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https://keeleacuk-my.sharepoint.com/personal/r_halama_keele_ac_uk/Documents/Santorini Manuscript/For submission (Volcanica) 2023/"/>
    </mc:Choice>
  </mc:AlternateContent>
  <xr:revisionPtr revIDLastSave="442" documentId="8_{65E7E3B7-5216-4D05-9C00-D52357E73FF7}" xr6:coauthVersionLast="47" xr6:coauthVersionMax="47" xr10:uidLastSave="{1E0A3E58-4BBA-4CD5-BEF0-F8E77192E00B}"/>
  <bookViews>
    <workbookView xWindow="-28620" yWindow="60" windowWidth="28485" windowHeight="15390" tabRatio="857" xr2:uid="{00000000-000D-0000-FFFF-FFFF00000000}"/>
  </bookViews>
  <sheets>
    <sheet name="Introduction" sheetId="44" r:id="rId1"/>
    <sheet name="S1 EMPA SRMs" sheetId="45" r:id="rId2"/>
    <sheet name="S2 LA-ICP-MS SRMs" sheetId="55" r:id="rId3"/>
    <sheet name="S3 Olivine" sheetId="49" r:id="rId4"/>
    <sheet name="S4 Clinopyroxene" sheetId="47" r:id="rId5"/>
    <sheet name="S5 Orthopyroxene" sheetId="50" r:id="rId6"/>
    <sheet name="S6 Feldspar" sheetId="48" r:id="rId7"/>
    <sheet name="S7 Other Minerals" sheetId="52" r:id="rId8"/>
    <sheet name="S8 Glass" sheetId="21" r:id="rId9"/>
  </sheets>
  <definedNames>
    <definedName name="_xlnm._FilterDatabase" localSheetId="3" hidden="1">'S3 Olivine'!$A$1:$DW$85</definedName>
    <definedName name="_xlnm._FilterDatabase" localSheetId="4" hidden="1">'S4 Clinopyroxene'!$A$1:$FP$211</definedName>
    <definedName name="_xlnm._FilterDatabase" localSheetId="5" hidden="1">'S5 Orthopyroxene'!$A$1:$FD$749</definedName>
    <definedName name="_xlnm._FilterDatabase" localSheetId="6" hidden="1">'S6 Feldspar'!$A$1:$DN$476</definedName>
    <definedName name="_xlnm._FilterDatabase" localSheetId="7" hidden="1">'S7 Other Minerals'!$A$1:$FK$285</definedName>
    <definedName name="_xlnm._FilterDatabase" localSheetId="8" hidden="1">'S8 Glass'!$A$1:$AP$95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3" i="55" l="1"/>
  <c r="J43" i="55"/>
  <c r="F43" i="55"/>
  <c r="D43" i="55"/>
  <c r="T91" i="21"/>
  <c r="T90" i="21"/>
  <c r="T83" i="21"/>
  <c r="T82" i="21"/>
  <c r="T81" i="21"/>
  <c r="T80" i="21"/>
  <c r="T79" i="21"/>
  <c r="T78" i="21"/>
  <c r="T77" i="21"/>
  <c r="T53" i="21"/>
  <c r="T67" i="21"/>
  <c r="T66" i="21"/>
  <c r="T64" i="21"/>
  <c r="T63" i="21"/>
  <c r="T62" i="21"/>
  <c r="T61" i="21"/>
  <c r="T60" i="21"/>
  <c r="T59" i="21"/>
  <c r="T58" i="21"/>
  <c r="T51" i="21"/>
  <c r="T50" i="21"/>
  <c r="T49" i="21"/>
  <c r="T46" i="21"/>
  <c r="T44" i="21"/>
  <c r="T43" i="21"/>
  <c r="T10" i="21"/>
  <c r="T15" i="21"/>
  <c r="T36" i="21"/>
  <c r="T35" i="21"/>
  <c r="T31" i="21"/>
  <c r="T24" i="21"/>
  <c r="T25" i="21"/>
  <c r="T26" i="21"/>
  <c r="T27" i="21"/>
  <c r="T28" i="21"/>
  <c r="T29" i="21"/>
  <c r="T30" i="21"/>
  <c r="T37" i="21"/>
  <c r="T38" i="21"/>
  <c r="T39" i="21"/>
  <c r="T40" i="21"/>
  <c r="T41" i="21"/>
  <c r="T52" i="21"/>
  <c r="T57" i="21"/>
  <c r="T68" i="21"/>
  <c r="T69" i="21"/>
  <c r="T70" i="21"/>
  <c r="T71" i="21"/>
  <c r="CC476" i="48" l="1"/>
  <c r="CB476" i="48"/>
  <c r="CA476" i="48"/>
  <c r="BZ476" i="48"/>
  <c r="BY476" i="48"/>
  <c r="BX476" i="48"/>
  <c r="BW476" i="48"/>
  <c r="BV476" i="48"/>
  <c r="BU476" i="48"/>
  <c r="BT476" i="48"/>
  <c r="BS476" i="48"/>
  <c r="BR476" i="48"/>
  <c r="BQ476" i="48"/>
  <c r="S476" i="48"/>
  <c r="CC475" i="48"/>
  <c r="CB475" i="48"/>
  <c r="CA475" i="48"/>
  <c r="BZ475" i="48"/>
  <c r="BY475" i="48"/>
  <c r="BX475" i="48"/>
  <c r="BW475" i="48"/>
  <c r="BV475" i="48"/>
  <c r="BU475" i="48"/>
  <c r="BT475" i="48"/>
  <c r="BS475" i="48"/>
  <c r="BR475" i="48"/>
  <c r="BQ475" i="48"/>
  <c r="S475" i="48"/>
  <c r="CC474" i="48"/>
  <c r="CB474" i="48"/>
  <c r="CA474" i="48"/>
  <c r="BZ474" i="48"/>
  <c r="BY474" i="48"/>
  <c r="BX474" i="48"/>
  <c r="BW474" i="48"/>
  <c r="BV474" i="48"/>
  <c r="BU474" i="48"/>
  <c r="BT474" i="48"/>
  <c r="BS474" i="48"/>
  <c r="BR474" i="48"/>
  <c r="BQ474" i="48"/>
  <c r="S474" i="48"/>
  <c r="CC473" i="48"/>
  <c r="CB473" i="48"/>
  <c r="CA473" i="48"/>
  <c r="BZ473" i="48"/>
  <c r="BY473" i="48"/>
  <c r="BX473" i="48"/>
  <c r="BW473" i="48"/>
  <c r="BV473" i="48"/>
  <c r="BU473" i="48"/>
  <c r="BT473" i="48"/>
  <c r="BS473" i="48"/>
  <c r="BR473" i="48"/>
  <c r="BQ473" i="48"/>
  <c r="S473" i="48"/>
  <c r="CC472" i="48"/>
  <c r="CB472" i="48"/>
  <c r="CA472" i="48"/>
  <c r="BZ472" i="48"/>
  <c r="BY472" i="48"/>
  <c r="BX472" i="48"/>
  <c r="BW472" i="48"/>
  <c r="BV472" i="48"/>
  <c r="BU472" i="48"/>
  <c r="BT472" i="48"/>
  <c r="BS472" i="48"/>
  <c r="BR472" i="48"/>
  <c r="BQ472" i="48"/>
  <c r="S472" i="48"/>
  <c r="CC471" i="48"/>
  <c r="CB471" i="48"/>
  <c r="CA471" i="48"/>
  <c r="BZ471" i="48"/>
  <c r="BY471" i="48"/>
  <c r="BX471" i="48"/>
  <c r="BW471" i="48"/>
  <c r="BV471" i="48"/>
  <c r="BU471" i="48"/>
  <c r="BT471" i="48"/>
  <c r="BS471" i="48"/>
  <c r="BR471" i="48"/>
  <c r="BQ471" i="48"/>
  <c r="S471" i="48"/>
  <c r="CC470" i="48"/>
  <c r="CB470" i="48"/>
  <c r="CA470" i="48"/>
  <c r="BZ470" i="48"/>
  <c r="BY470" i="48"/>
  <c r="BX470" i="48"/>
  <c r="BW470" i="48"/>
  <c r="BV470" i="48"/>
  <c r="BU470" i="48"/>
  <c r="BT470" i="48"/>
  <c r="BS470" i="48"/>
  <c r="BR470" i="48"/>
  <c r="BQ470" i="48"/>
  <c r="S470" i="48"/>
  <c r="CC469" i="48"/>
  <c r="CB469" i="48"/>
  <c r="CA469" i="48"/>
  <c r="BZ469" i="48"/>
  <c r="BY469" i="48"/>
  <c r="BX469" i="48"/>
  <c r="BW469" i="48"/>
  <c r="BV469" i="48"/>
  <c r="BU469" i="48"/>
  <c r="BT469" i="48"/>
  <c r="BS469" i="48"/>
  <c r="BR469" i="48"/>
  <c r="BQ469" i="48"/>
  <c r="S469" i="48"/>
  <c r="CC468" i="48"/>
  <c r="CB468" i="48"/>
  <c r="CA468" i="48"/>
  <c r="BZ468" i="48"/>
  <c r="BY468" i="48"/>
  <c r="BX468" i="48"/>
  <c r="BW468" i="48"/>
  <c r="BV468" i="48"/>
  <c r="BU468" i="48"/>
  <c r="BT468" i="48"/>
  <c r="BS468" i="48"/>
  <c r="BR468" i="48"/>
  <c r="BQ468" i="48"/>
  <c r="S468" i="48"/>
  <c r="CC467" i="48"/>
  <c r="CB467" i="48"/>
  <c r="CA467" i="48"/>
  <c r="BZ467" i="48"/>
  <c r="BY467" i="48"/>
  <c r="BX467" i="48"/>
  <c r="BW467" i="48"/>
  <c r="BV467" i="48"/>
  <c r="BU467" i="48"/>
  <c r="BT467" i="48"/>
  <c r="BS467" i="48"/>
  <c r="BR467" i="48"/>
  <c r="BQ467" i="48"/>
  <c r="S467" i="48"/>
  <c r="CC466" i="48"/>
  <c r="CB466" i="48"/>
  <c r="CA466" i="48"/>
  <c r="BZ466" i="48"/>
  <c r="BY466" i="48"/>
  <c r="BX466" i="48"/>
  <c r="BW466" i="48"/>
  <c r="BV466" i="48"/>
  <c r="BU466" i="48"/>
  <c r="BT466" i="48"/>
  <c r="BS466" i="48"/>
  <c r="BR466" i="48"/>
  <c r="BQ466" i="48"/>
  <c r="S466" i="48"/>
  <c r="CC465" i="48"/>
  <c r="CB465" i="48"/>
  <c r="CA465" i="48"/>
  <c r="BZ465" i="48"/>
  <c r="BY465" i="48"/>
  <c r="BX465" i="48"/>
  <c r="BW465" i="48"/>
  <c r="BV465" i="48"/>
  <c r="BU465" i="48"/>
  <c r="BT465" i="48"/>
  <c r="BS465" i="48"/>
  <c r="BR465" i="48"/>
  <c r="BQ465" i="48"/>
  <c r="S465" i="48"/>
  <c r="CC464" i="48"/>
  <c r="CB464" i="48"/>
  <c r="CA464" i="48"/>
  <c r="BZ464" i="48"/>
  <c r="BY464" i="48"/>
  <c r="BX464" i="48"/>
  <c r="BW464" i="48"/>
  <c r="BV464" i="48"/>
  <c r="BU464" i="48"/>
  <c r="BT464" i="48"/>
  <c r="BS464" i="48"/>
  <c r="BR464" i="48"/>
  <c r="BQ464" i="48"/>
  <c r="S464" i="48"/>
  <c r="CC463" i="48"/>
  <c r="CB463" i="48"/>
  <c r="CA463" i="48"/>
  <c r="BZ463" i="48"/>
  <c r="BY463" i="48"/>
  <c r="BX463" i="48"/>
  <c r="BW463" i="48"/>
  <c r="BV463" i="48"/>
  <c r="BU463" i="48"/>
  <c r="BT463" i="48"/>
  <c r="BS463" i="48"/>
  <c r="BR463" i="48"/>
  <c r="BQ463" i="48"/>
  <c r="S463" i="48"/>
  <c r="CC462" i="48"/>
  <c r="CB462" i="48"/>
  <c r="CA462" i="48"/>
  <c r="BZ462" i="48"/>
  <c r="BY462" i="48"/>
  <c r="BX462" i="48"/>
  <c r="BW462" i="48"/>
  <c r="BV462" i="48"/>
  <c r="BU462" i="48"/>
  <c r="BT462" i="48"/>
  <c r="BS462" i="48"/>
  <c r="BR462" i="48"/>
  <c r="BQ462" i="48"/>
  <c r="S462" i="48"/>
  <c r="CC461" i="48"/>
  <c r="CB461" i="48"/>
  <c r="CA461" i="48"/>
  <c r="BZ461" i="48"/>
  <c r="BY461" i="48"/>
  <c r="BX461" i="48"/>
  <c r="BW461" i="48"/>
  <c r="BV461" i="48"/>
  <c r="BU461" i="48"/>
  <c r="BT461" i="48"/>
  <c r="BS461" i="48"/>
  <c r="BR461" i="48"/>
  <c r="BQ461" i="48"/>
  <c r="S461" i="48"/>
  <c r="CC460" i="48"/>
  <c r="CB460" i="48"/>
  <c r="CA460" i="48"/>
  <c r="BZ460" i="48"/>
  <c r="BY460" i="48"/>
  <c r="BX460" i="48"/>
  <c r="BW460" i="48"/>
  <c r="BV460" i="48"/>
  <c r="BU460" i="48"/>
  <c r="BT460" i="48"/>
  <c r="BS460" i="48"/>
  <c r="BR460" i="48"/>
  <c r="BQ460" i="48"/>
  <c r="S460" i="48"/>
  <c r="CC459" i="48"/>
  <c r="CB459" i="48"/>
  <c r="CA459" i="48"/>
  <c r="BZ459" i="48"/>
  <c r="BY459" i="48"/>
  <c r="BX459" i="48"/>
  <c r="BW459" i="48"/>
  <c r="BV459" i="48"/>
  <c r="BU459" i="48"/>
  <c r="BT459" i="48"/>
  <c r="BS459" i="48"/>
  <c r="BR459" i="48"/>
  <c r="BQ459" i="48"/>
  <c r="S459" i="48"/>
  <c r="CC458" i="48"/>
  <c r="CB458" i="48"/>
  <c r="CA458" i="48"/>
  <c r="BZ458" i="48"/>
  <c r="BY458" i="48"/>
  <c r="BX458" i="48"/>
  <c r="BW458" i="48"/>
  <c r="BV458" i="48"/>
  <c r="BU458" i="48"/>
  <c r="BT458" i="48"/>
  <c r="BS458" i="48"/>
  <c r="BR458" i="48"/>
  <c r="BQ458" i="48"/>
  <c r="S458" i="48"/>
  <c r="CC457" i="48"/>
  <c r="CB457" i="48"/>
  <c r="CA457" i="48"/>
  <c r="BZ457" i="48"/>
  <c r="BY457" i="48"/>
  <c r="BX457" i="48"/>
  <c r="BW457" i="48"/>
  <c r="BV457" i="48"/>
  <c r="BU457" i="48"/>
  <c r="BT457" i="48"/>
  <c r="BS457" i="48"/>
  <c r="BR457" i="48"/>
  <c r="BQ457" i="48"/>
  <c r="S457" i="48"/>
  <c r="CC456" i="48"/>
  <c r="CB456" i="48"/>
  <c r="CA456" i="48"/>
  <c r="BZ456" i="48"/>
  <c r="BY456" i="48"/>
  <c r="BX456" i="48"/>
  <c r="BW456" i="48"/>
  <c r="BV456" i="48"/>
  <c r="BU456" i="48"/>
  <c r="BT456" i="48"/>
  <c r="BS456" i="48"/>
  <c r="BR456" i="48"/>
  <c r="BQ456" i="48"/>
  <c r="S456" i="48"/>
  <c r="CC455" i="48"/>
  <c r="CB455" i="48"/>
  <c r="CA455" i="48"/>
  <c r="BZ455" i="48"/>
  <c r="BY455" i="48"/>
  <c r="BX455" i="48"/>
  <c r="BW455" i="48"/>
  <c r="BV455" i="48"/>
  <c r="BU455" i="48"/>
  <c r="BT455" i="48"/>
  <c r="BS455" i="48"/>
  <c r="BR455" i="48"/>
  <c r="BQ455" i="48"/>
  <c r="S455" i="48"/>
  <c r="CC454" i="48"/>
  <c r="CB454" i="48"/>
  <c r="CA454" i="48"/>
  <c r="BZ454" i="48"/>
  <c r="BY454" i="48"/>
  <c r="BX454" i="48"/>
  <c r="BW454" i="48"/>
  <c r="BV454" i="48"/>
  <c r="BU454" i="48"/>
  <c r="BT454" i="48"/>
  <c r="BS454" i="48"/>
  <c r="BR454" i="48"/>
  <c r="BQ454" i="48"/>
  <c r="S454" i="48"/>
  <c r="CC453" i="48"/>
  <c r="CB453" i="48"/>
  <c r="CA453" i="48"/>
  <c r="BZ453" i="48"/>
  <c r="BY453" i="48"/>
  <c r="BX453" i="48"/>
  <c r="BW453" i="48"/>
  <c r="BV453" i="48"/>
  <c r="BU453" i="48"/>
  <c r="BT453" i="48"/>
  <c r="BS453" i="48"/>
  <c r="BR453" i="48"/>
  <c r="BQ453" i="48"/>
  <c r="S453" i="48"/>
  <c r="CC452" i="48"/>
  <c r="CB452" i="48"/>
  <c r="CA452" i="48"/>
  <c r="BZ452" i="48"/>
  <c r="BY452" i="48"/>
  <c r="BX452" i="48"/>
  <c r="BW452" i="48"/>
  <c r="BV452" i="48"/>
  <c r="BU452" i="48"/>
  <c r="BT452" i="48"/>
  <c r="BS452" i="48"/>
  <c r="BR452" i="48"/>
  <c r="BQ452" i="48"/>
  <c r="S452" i="48"/>
  <c r="DY451" i="48"/>
  <c r="CC451" i="48"/>
  <c r="CB451" i="48"/>
  <c r="CA451" i="48"/>
  <c r="BZ451" i="48"/>
  <c r="BY451" i="48"/>
  <c r="BX451" i="48"/>
  <c r="BW451" i="48"/>
  <c r="BV451" i="48"/>
  <c r="BU451" i="48"/>
  <c r="BT451" i="48"/>
  <c r="BS451" i="48"/>
  <c r="BR451" i="48"/>
  <c r="BQ451" i="48"/>
  <c r="S451" i="48"/>
  <c r="CC450" i="48"/>
  <c r="CB450" i="48"/>
  <c r="CA450" i="48"/>
  <c r="BZ450" i="48"/>
  <c r="BY450" i="48"/>
  <c r="BX450" i="48"/>
  <c r="BW450" i="48"/>
  <c r="BV450" i="48"/>
  <c r="BU450" i="48"/>
  <c r="BT450" i="48"/>
  <c r="BS450" i="48"/>
  <c r="BR450" i="48"/>
  <c r="BQ450" i="48"/>
  <c r="S450" i="48"/>
  <c r="CC449" i="48"/>
  <c r="CB449" i="48"/>
  <c r="CA449" i="48"/>
  <c r="BZ449" i="48"/>
  <c r="BY449" i="48"/>
  <c r="BX449" i="48"/>
  <c r="BW449" i="48"/>
  <c r="BV449" i="48"/>
  <c r="BU449" i="48"/>
  <c r="BT449" i="48"/>
  <c r="BS449" i="48"/>
  <c r="BR449" i="48"/>
  <c r="BQ449" i="48"/>
  <c r="S449" i="48"/>
  <c r="CC448" i="48"/>
  <c r="CB448" i="48"/>
  <c r="CA448" i="48"/>
  <c r="BZ448" i="48"/>
  <c r="BY448" i="48"/>
  <c r="BX448" i="48"/>
  <c r="BW448" i="48"/>
  <c r="BV448" i="48"/>
  <c r="BU448" i="48"/>
  <c r="BT448" i="48"/>
  <c r="BS448" i="48"/>
  <c r="BR448" i="48"/>
  <c r="BQ448" i="48"/>
  <c r="S448" i="48"/>
  <c r="CC447" i="48"/>
  <c r="CB447" i="48"/>
  <c r="CA447" i="48"/>
  <c r="BZ447" i="48"/>
  <c r="BY447" i="48"/>
  <c r="BX447" i="48"/>
  <c r="BW447" i="48"/>
  <c r="BV447" i="48"/>
  <c r="BU447" i="48"/>
  <c r="BT447" i="48"/>
  <c r="BS447" i="48"/>
  <c r="BR447" i="48"/>
  <c r="BQ447" i="48"/>
  <c r="S447" i="48"/>
  <c r="CC446" i="48"/>
  <c r="CB446" i="48"/>
  <c r="CA446" i="48"/>
  <c r="BZ446" i="48"/>
  <c r="BY446" i="48"/>
  <c r="BX446" i="48"/>
  <c r="BW446" i="48"/>
  <c r="BV446" i="48"/>
  <c r="BU446" i="48"/>
  <c r="BT446" i="48"/>
  <c r="BS446" i="48"/>
  <c r="BR446" i="48"/>
  <c r="BQ446" i="48"/>
  <c r="S446" i="48"/>
  <c r="CC445" i="48"/>
  <c r="CB445" i="48"/>
  <c r="CA445" i="48"/>
  <c r="BZ445" i="48"/>
  <c r="BY445" i="48"/>
  <c r="BX445" i="48"/>
  <c r="BW445" i="48"/>
  <c r="BV445" i="48"/>
  <c r="BU445" i="48"/>
  <c r="BT445" i="48"/>
  <c r="BS445" i="48"/>
  <c r="BR445" i="48"/>
  <c r="BQ445" i="48"/>
  <c r="S445" i="48"/>
  <c r="CC444" i="48"/>
  <c r="CB444" i="48"/>
  <c r="CA444" i="48"/>
  <c r="BZ444" i="48"/>
  <c r="BY444" i="48"/>
  <c r="BX444" i="48"/>
  <c r="BW444" i="48"/>
  <c r="BV444" i="48"/>
  <c r="BU444" i="48"/>
  <c r="BT444" i="48"/>
  <c r="BS444" i="48"/>
  <c r="BR444" i="48"/>
  <c r="BQ444" i="48"/>
  <c r="S444" i="48"/>
  <c r="CC443" i="48"/>
  <c r="CB443" i="48"/>
  <c r="CA443" i="48"/>
  <c r="BZ443" i="48"/>
  <c r="BY443" i="48"/>
  <c r="BX443" i="48"/>
  <c r="BW443" i="48"/>
  <c r="BV443" i="48"/>
  <c r="BU443" i="48"/>
  <c r="BT443" i="48"/>
  <c r="BS443" i="48"/>
  <c r="BR443" i="48"/>
  <c r="BQ443" i="48"/>
  <c r="S443" i="48"/>
  <c r="CC442" i="48"/>
  <c r="CB442" i="48"/>
  <c r="CA442" i="48"/>
  <c r="BZ442" i="48"/>
  <c r="BY442" i="48"/>
  <c r="BX442" i="48"/>
  <c r="BW442" i="48"/>
  <c r="BV442" i="48"/>
  <c r="BU442" i="48"/>
  <c r="BT442" i="48"/>
  <c r="BS442" i="48"/>
  <c r="BR442" i="48"/>
  <c r="BQ442" i="48"/>
  <c r="S442" i="48"/>
  <c r="CC441" i="48"/>
  <c r="CB441" i="48"/>
  <c r="CA441" i="48"/>
  <c r="BZ441" i="48"/>
  <c r="BY441" i="48"/>
  <c r="BX441" i="48"/>
  <c r="BW441" i="48"/>
  <c r="BV441" i="48"/>
  <c r="BU441" i="48"/>
  <c r="BT441" i="48"/>
  <c r="BS441" i="48"/>
  <c r="BR441" i="48"/>
  <c r="BQ441" i="48"/>
  <c r="S441" i="48"/>
  <c r="CC440" i="48"/>
  <c r="CB440" i="48"/>
  <c r="CA440" i="48"/>
  <c r="BZ440" i="48"/>
  <c r="BY440" i="48"/>
  <c r="BX440" i="48"/>
  <c r="BW440" i="48"/>
  <c r="BV440" i="48"/>
  <c r="BU440" i="48"/>
  <c r="BT440" i="48"/>
  <c r="BS440" i="48"/>
  <c r="BR440" i="48"/>
  <c r="BQ440" i="48"/>
  <c r="S440" i="48"/>
  <c r="CC439" i="48"/>
  <c r="CB439" i="48"/>
  <c r="CA439" i="48"/>
  <c r="BZ439" i="48"/>
  <c r="BY439" i="48"/>
  <c r="BX439" i="48"/>
  <c r="BW439" i="48"/>
  <c r="BV439" i="48"/>
  <c r="BU439" i="48"/>
  <c r="BT439" i="48"/>
  <c r="BS439" i="48"/>
  <c r="BR439" i="48"/>
  <c r="BQ439" i="48"/>
  <c r="S439" i="48"/>
  <c r="CC438" i="48"/>
  <c r="CB438" i="48"/>
  <c r="CA438" i="48"/>
  <c r="BZ438" i="48"/>
  <c r="BY438" i="48"/>
  <c r="BX438" i="48"/>
  <c r="BW438" i="48"/>
  <c r="BV438" i="48"/>
  <c r="BU438" i="48"/>
  <c r="BT438" i="48"/>
  <c r="BS438" i="48"/>
  <c r="BR438" i="48"/>
  <c r="BQ438" i="48"/>
  <c r="S438" i="48"/>
  <c r="CC437" i="48"/>
  <c r="CB437" i="48"/>
  <c r="CA437" i="48"/>
  <c r="BZ437" i="48"/>
  <c r="BY437" i="48"/>
  <c r="BX437" i="48"/>
  <c r="BW437" i="48"/>
  <c r="BV437" i="48"/>
  <c r="BU437" i="48"/>
  <c r="BT437" i="48"/>
  <c r="BS437" i="48"/>
  <c r="BR437" i="48"/>
  <c r="BQ437" i="48"/>
  <c r="S437" i="48"/>
  <c r="DY436" i="48"/>
  <c r="CC436" i="48"/>
  <c r="CB436" i="48"/>
  <c r="CA436" i="48"/>
  <c r="BZ436" i="48"/>
  <c r="BY436" i="48"/>
  <c r="BX436" i="48"/>
  <c r="BW436" i="48"/>
  <c r="BV436" i="48"/>
  <c r="BU436" i="48"/>
  <c r="BT436" i="48"/>
  <c r="BS436" i="48"/>
  <c r="BR436" i="48"/>
  <c r="BQ436" i="48"/>
  <c r="S436" i="48"/>
  <c r="CC435" i="48"/>
  <c r="CB435" i="48"/>
  <c r="CA435" i="48"/>
  <c r="BZ435" i="48"/>
  <c r="BY435" i="48"/>
  <c r="BX435" i="48"/>
  <c r="BW435" i="48"/>
  <c r="BV435" i="48"/>
  <c r="BU435" i="48"/>
  <c r="BT435" i="48"/>
  <c r="BS435" i="48"/>
  <c r="BR435" i="48"/>
  <c r="BQ435" i="48"/>
  <c r="S435" i="48"/>
  <c r="CC434" i="48"/>
  <c r="CB434" i="48"/>
  <c r="CA434" i="48"/>
  <c r="BZ434" i="48"/>
  <c r="BY434" i="48"/>
  <c r="BX434" i="48"/>
  <c r="BW434" i="48"/>
  <c r="BV434" i="48"/>
  <c r="BU434" i="48"/>
  <c r="BT434" i="48"/>
  <c r="BS434" i="48"/>
  <c r="BR434" i="48"/>
  <c r="BQ434" i="48"/>
  <c r="S434" i="48"/>
  <c r="CC433" i="48"/>
  <c r="CB433" i="48"/>
  <c r="CA433" i="48"/>
  <c r="BZ433" i="48"/>
  <c r="BY433" i="48"/>
  <c r="BX433" i="48"/>
  <c r="BW433" i="48"/>
  <c r="BV433" i="48"/>
  <c r="BU433" i="48"/>
  <c r="BT433" i="48"/>
  <c r="BS433" i="48"/>
  <c r="BR433" i="48"/>
  <c r="BQ433" i="48"/>
  <c r="S433" i="48"/>
  <c r="CC432" i="48"/>
  <c r="CB432" i="48"/>
  <c r="CA432" i="48"/>
  <c r="BZ432" i="48"/>
  <c r="BY432" i="48"/>
  <c r="BX432" i="48"/>
  <c r="BW432" i="48"/>
  <c r="BV432" i="48"/>
  <c r="BU432" i="48"/>
  <c r="BT432" i="48"/>
  <c r="BS432" i="48"/>
  <c r="BR432" i="48"/>
  <c r="BQ432" i="48"/>
  <c r="S432" i="48"/>
  <c r="CC431" i="48"/>
  <c r="CB431" i="48"/>
  <c r="CA431" i="48"/>
  <c r="BZ431" i="48"/>
  <c r="BY431" i="48"/>
  <c r="BX431" i="48"/>
  <c r="BW431" i="48"/>
  <c r="BV431" i="48"/>
  <c r="BU431" i="48"/>
  <c r="BT431" i="48"/>
  <c r="BS431" i="48"/>
  <c r="BR431" i="48"/>
  <c r="BQ431" i="48"/>
  <c r="S431" i="48"/>
  <c r="CC430" i="48"/>
  <c r="CB430" i="48"/>
  <c r="CA430" i="48"/>
  <c r="BZ430" i="48"/>
  <c r="BY430" i="48"/>
  <c r="BX430" i="48"/>
  <c r="BW430" i="48"/>
  <c r="BV430" i="48"/>
  <c r="BU430" i="48"/>
  <c r="BT430" i="48"/>
  <c r="BS430" i="48"/>
  <c r="BR430" i="48"/>
  <c r="BQ430" i="48"/>
  <c r="S430" i="48"/>
  <c r="CC429" i="48"/>
  <c r="CB429" i="48"/>
  <c r="CA429" i="48"/>
  <c r="BZ429" i="48"/>
  <c r="BY429" i="48"/>
  <c r="BX429" i="48"/>
  <c r="BW429" i="48"/>
  <c r="BV429" i="48"/>
  <c r="BU429" i="48"/>
  <c r="BT429" i="48"/>
  <c r="BS429" i="48"/>
  <c r="BR429" i="48"/>
  <c r="BQ429" i="48"/>
  <c r="S429" i="48"/>
  <c r="CC428" i="48"/>
  <c r="CB428" i="48"/>
  <c r="CA428" i="48"/>
  <c r="BZ428" i="48"/>
  <c r="BY428" i="48"/>
  <c r="BX428" i="48"/>
  <c r="BW428" i="48"/>
  <c r="BV428" i="48"/>
  <c r="BU428" i="48"/>
  <c r="BT428" i="48"/>
  <c r="BS428" i="48"/>
  <c r="BR428" i="48"/>
  <c r="BQ428" i="48"/>
  <c r="S428" i="48"/>
  <c r="DY427" i="48"/>
  <c r="CC427" i="48"/>
  <c r="CB427" i="48"/>
  <c r="CA427" i="48"/>
  <c r="BZ427" i="48"/>
  <c r="BY427" i="48"/>
  <c r="BX427" i="48"/>
  <c r="BW427" i="48"/>
  <c r="BV427" i="48"/>
  <c r="BU427" i="48"/>
  <c r="BT427" i="48"/>
  <c r="BS427" i="48"/>
  <c r="BR427" i="48"/>
  <c r="BQ427" i="48"/>
  <c r="S427" i="48"/>
  <c r="DY426" i="48"/>
  <c r="CC426" i="48"/>
  <c r="CB426" i="48"/>
  <c r="CA426" i="48"/>
  <c r="BZ426" i="48"/>
  <c r="BY426" i="48"/>
  <c r="BX426" i="48"/>
  <c r="BW426" i="48"/>
  <c r="BV426" i="48"/>
  <c r="BU426" i="48"/>
  <c r="BT426" i="48"/>
  <c r="BS426" i="48"/>
  <c r="BR426" i="48"/>
  <c r="BQ426" i="48"/>
  <c r="S426" i="48"/>
  <c r="CC425" i="48"/>
  <c r="CB425" i="48"/>
  <c r="CA425" i="48"/>
  <c r="BZ425" i="48"/>
  <c r="BY425" i="48"/>
  <c r="BX425" i="48"/>
  <c r="BW425" i="48"/>
  <c r="BV425" i="48"/>
  <c r="BU425" i="48"/>
  <c r="BT425" i="48"/>
  <c r="BS425" i="48"/>
  <c r="BR425" i="48"/>
  <c r="BQ425" i="48"/>
  <c r="S425" i="48"/>
  <c r="CC424" i="48"/>
  <c r="CB424" i="48"/>
  <c r="CA424" i="48"/>
  <c r="BZ424" i="48"/>
  <c r="BY424" i="48"/>
  <c r="BX424" i="48"/>
  <c r="BW424" i="48"/>
  <c r="BV424" i="48"/>
  <c r="BU424" i="48"/>
  <c r="BT424" i="48"/>
  <c r="BS424" i="48"/>
  <c r="BR424" i="48"/>
  <c r="BQ424" i="48"/>
  <c r="S424" i="48"/>
  <c r="CC423" i="48"/>
  <c r="CB423" i="48"/>
  <c r="CA423" i="48"/>
  <c r="BZ423" i="48"/>
  <c r="BY423" i="48"/>
  <c r="BX423" i="48"/>
  <c r="BW423" i="48"/>
  <c r="BV423" i="48"/>
  <c r="BU423" i="48"/>
  <c r="BT423" i="48"/>
  <c r="BS423" i="48"/>
  <c r="BR423" i="48"/>
  <c r="BQ423" i="48"/>
  <c r="S423" i="48"/>
  <c r="CC422" i="48"/>
  <c r="CB422" i="48"/>
  <c r="CA422" i="48"/>
  <c r="BZ422" i="48"/>
  <c r="BY422" i="48"/>
  <c r="BX422" i="48"/>
  <c r="BW422" i="48"/>
  <c r="BV422" i="48"/>
  <c r="BU422" i="48"/>
  <c r="BT422" i="48"/>
  <c r="BS422" i="48"/>
  <c r="BR422" i="48"/>
  <c r="BQ422" i="48"/>
  <c r="S422" i="48"/>
  <c r="CC421" i="48"/>
  <c r="CB421" i="48"/>
  <c r="CA421" i="48"/>
  <c r="BZ421" i="48"/>
  <c r="BY421" i="48"/>
  <c r="BX421" i="48"/>
  <c r="BW421" i="48"/>
  <c r="BV421" i="48"/>
  <c r="BU421" i="48"/>
  <c r="BT421" i="48"/>
  <c r="BS421" i="48"/>
  <c r="BR421" i="48"/>
  <c r="BQ421" i="48"/>
  <c r="S421" i="48"/>
  <c r="CC420" i="48"/>
  <c r="CB420" i="48"/>
  <c r="CA420" i="48"/>
  <c r="BZ420" i="48"/>
  <c r="BY420" i="48"/>
  <c r="BX420" i="48"/>
  <c r="BW420" i="48"/>
  <c r="BV420" i="48"/>
  <c r="BU420" i="48"/>
  <c r="BT420" i="48"/>
  <c r="BS420" i="48"/>
  <c r="BR420" i="48"/>
  <c r="BQ420" i="48"/>
  <c r="S420" i="48"/>
  <c r="CC419" i="48"/>
  <c r="CB419" i="48"/>
  <c r="CA419" i="48"/>
  <c r="BZ419" i="48"/>
  <c r="BY419" i="48"/>
  <c r="BX419" i="48"/>
  <c r="BW419" i="48"/>
  <c r="BV419" i="48"/>
  <c r="BU419" i="48"/>
  <c r="BT419" i="48"/>
  <c r="BS419" i="48"/>
  <c r="BR419" i="48"/>
  <c r="BQ419" i="48"/>
  <c r="S419" i="48"/>
  <c r="CC418" i="48"/>
  <c r="CB418" i="48"/>
  <c r="CA418" i="48"/>
  <c r="BZ418" i="48"/>
  <c r="BY418" i="48"/>
  <c r="BX418" i="48"/>
  <c r="BW418" i="48"/>
  <c r="BV418" i="48"/>
  <c r="BU418" i="48"/>
  <c r="BT418" i="48"/>
  <c r="BS418" i="48"/>
  <c r="BR418" i="48"/>
  <c r="BQ418" i="48"/>
  <c r="S418" i="48"/>
  <c r="CC417" i="48"/>
  <c r="CB417" i="48"/>
  <c r="CA417" i="48"/>
  <c r="BZ417" i="48"/>
  <c r="BY417" i="48"/>
  <c r="BX417" i="48"/>
  <c r="BW417" i="48"/>
  <c r="BV417" i="48"/>
  <c r="BU417" i="48"/>
  <c r="BT417" i="48"/>
  <c r="BS417" i="48"/>
  <c r="BR417" i="48"/>
  <c r="BQ417" i="48"/>
  <c r="S417" i="48"/>
  <c r="CC416" i="48"/>
  <c r="CB416" i="48"/>
  <c r="CA416" i="48"/>
  <c r="BZ416" i="48"/>
  <c r="BY416" i="48"/>
  <c r="BX416" i="48"/>
  <c r="BW416" i="48"/>
  <c r="BV416" i="48"/>
  <c r="BU416" i="48"/>
  <c r="BT416" i="48"/>
  <c r="BS416" i="48"/>
  <c r="BR416" i="48"/>
  <c r="BQ416" i="48"/>
  <c r="S416" i="48"/>
  <c r="CC415" i="48"/>
  <c r="CB415" i="48"/>
  <c r="CA415" i="48"/>
  <c r="BZ415" i="48"/>
  <c r="BY415" i="48"/>
  <c r="BX415" i="48"/>
  <c r="BW415" i="48"/>
  <c r="BV415" i="48"/>
  <c r="BU415" i="48"/>
  <c r="BT415" i="48"/>
  <c r="BS415" i="48"/>
  <c r="BR415" i="48"/>
  <c r="BQ415" i="48"/>
  <c r="S415" i="48"/>
  <c r="CC414" i="48"/>
  <c r="CB414" i="48"/>
  <c r="CA414" i="48"/>
  <c r="BZ414" i="48"/>
  <c r="BY414" i="48"/>
  <c r="BX414" i="48"/>
  <c r="BW414" i="48"/>
  <c r="BV414" i="48"/>
  <c r="BU414" i="48"/>
  <c r="BT414" i="48"/>
  <c r="BS414" i="48"/>
  <c r="BR414" i="48"/>
  <c r="BQ414" i="48"/>
  <c r="S414" i="48"/>
  <c r="CC413" i="48"/>
  <c r="CB413" i="48"/>
  <c r="CA413" i="48"/>
  <c r="BZ413" i="48"/>
  <c r="BY413" i="48"/>
  <c r="BX413" i="48"/>
  <c r="BW413" i="48"/>
  <c r="BV413" i="48"/>
  <c r="BU413" i="48"/>
  <c r="BT413" i="48"/>
  <c r="BS413" i="48"/>
  <c r="BR413" i="48"/>
  <c r="BQ413" i="48"/>
  <c r="S413" i="48"/>
  <c r="CC412" i="48"/>
  <c r="CB412" i="48"/>
  <c r="CA412" i="48"/>
  <c r="BZ412" i="48"/>
  <c r="BY412" i="48"/>
  <c r="BX412" i="48"/>
  <c r="BW412" i="48"/>
  <c r="BV412" i="48"/>
  <c r="BU412" i="48"/>
  <c r="BT412" i="48"/>
  <c r="BS412" i="48"/>
  <c r="BR412" i="48"/>
  <c r="BQ412" i="48"/>
  <c r="S412" i="48"/>
  <c r="CC411" i="48"/>
  <c r="CB411" i="48"/>
  <c r="CA411" i="48"/>
  <c r="BZ411" i="48"/>
  <c r="BY411" i="48"/>
  <c r="BX411" i="48"/>
  <c r="BW411" i="48"/>
  <c r="BV411" i="48"/>
  <c r="BU411" i="48"/>
  <c r="BT411" i="48"/>
  <c r="BS411" i="48"/>
  <c r="BR411" i="48"/>
  <c r="BQ411" i="48"/>
  <c r="S411" i="48"/>
  <c r="CC410" i="48"/>
  <c r="CB410" i="48"/>
  <c r="CA410" i="48"/>
  <c r="BZ410" i="48"/>
  <c r="BY410" i="48"/>
  <c r="BX410" i="48"/>
  <c r="BW410" i="48"/>
  <c r="BV410" i="48"/>
  <c r="BU410" i="48"/>
  <c r="BT410" i="48"/>
  <c r="BS410" i="48"/>
  <c r="BR410" i="48"/>
  <c r="BQ410" i="48"/>
  <c r="S410" i="48"/>
  <c r="CC409" i="48"/>
  <c r="CB409" i="48"/>
  <c r="CA409" i="48"/>
  <c r="BZ409" i="48"/>
  <c r="BY409" i="48"/>
  <c r="BX409" i="48"/>
  <c r="BW409" i="48"/>
  <c r="BV409" i="48"/>
  <c r="BU409" i="48"/>
  <c r="BT409" i="48"/>
  <c r="BS409" i="48"/>
  <c r="BR409" i="48"/>
  <c r="BQ409" i="48"/>
  <c r="S409" i="48"/>
  <c r="CC408" i="48"/>
  <c r="CB408" i="48"/>
  <c r="CA408" i="48"/>
  <c r="BZ408" i="48"/>
  <c r="BY408" i="48"/>
  <c r="BX408" i="48"/>
  <c r="BW408" i="48"/>
  <c r="BV408" i="48"/>
  <c r="BU408" i="48"/>
  <c r="BT408" i="48"/>
  <c r="BS408" i="48"/>
  <c r="BR408" i="48"/>
  <c r="BQ408" i="48"/>
  <c r="S408" i="48"/>
  <c r="CC407" i="48"/>
  <c r="CB407" i="48"/>
  <c r="CA407" i="48"/>
  <c r="BZ407" i="48"/>
  <c r="BY407" i="48"/>
  <c r="BX407" i="48"/>
  <c r="BW407" i="48"/>
  <c r="BV407" i="48"/>
  <c r="BU407" i="48"/>
  <c r="BT407" i="48"/>
  <c r="BS407" i="48"/>
  <c r="BR407" i="48"/>
  <c r="BQ407" i="48"/>
  <c r="S407" i="48"/>
  <c r="DY406" i="48"/>
  <c r="CC406" i="48"/>
  <c r="CB406" i="48"/>
  <c r="CA406" i="48"/>
  <c r="BZ406" i="48"/>
  <c r="BY406" i="48"/>
  <c r="BX406" i="48"/>
  <c r="BW406" i="48"/>
  <c r="BV406" i="48"/>
  <c r="BU406" i="48"/>
  <c r="BT406" i="48"/>
  <c r="BS406" i="48"/>
  <c r="BR406" i="48"/>
  <c r="BQ406" i="48"/>
  <c r="S406" i="48"/>
  <c r="DY405" i="48"/>
  <c r="CC405" i="48"/>
  <c r="CB405" i="48"/>
  <c r="CA405" i="48"/>
  <c r="BZ405" i="48"/>
  <c r="BY405" i="48"/>
  <c r="BX405" i="48"/>
  <c r="BW405" i="48"/>
  <c r="BV405" i="48"/>
  <c r="BU405" i="48"/>
  <c r="BT405" i="48"/>
  <c r="BS405" i="48"/>
  <c r="BR405" i="48"/>
  <c r="BQ405" i="48"/>
  <c r="S405" i="48"/>
  <c r="CC404" i="48"/>
  <c r="CB404" i="48"/>
  <c r="CA404" i="48"/>
  <c r="BZ404" i="48"/>
  <c r="BY404" i="48"/>
  <c r="BX404" i="48"/>
  <c r="BW404" i="48"/>
  <c r="BV404" i="48"/>
  <c r="BU404" i="48"/>
  <c r="BT404" i="48"/>
  <c r="BS404" i="48"/>
  <c r="BR404" i="48"/>
  <c r="BQ404" i="48"/>
  <c r="S404" i="48"/>
  <c r="CC403" i="48"/>
  <c r="CB403" i="48"/>
  <c r="CA403" i="48"/>
  <c r="BZ403" i="48"/>
  <c r="BY403" i="48"/>
  <c r="BX403" i="48"/>
  <c r="BW403" i="48"/>
  <c r="BV403" i="48"/>
  <c r="BU403" i="48"/>
  <c r="BT403" i="48"/>
  <c r="BS403" i="48"/>
  <c r="BR403" i="48"/>
  <c r="BQ403" i="48"/>
  <c r="S403" i="48"/>
  <c r="CC402" i="48"/>
  <c r="CB402" i="48"/>
  <c r="CA402" i="48"/>
  <c r="BZ402" i="48"/>
  <c r="BY402" i="48"/>
  <c r="BX402" i="48"/>
  <c r="BW402" i="48"/>
  <c r="BV402" i="48"/>
  <c r="BU402" i="48"/>
  <c r="BT402" i="48"/>
  <c r="BS402" i="48"/>
  <c r="BR402" i="48"/>
  <c r="BQ402" i="48"/>
  <c r="S402" i="48"/>
  <c r="CC401" i="48"/>
  <c r="CB401" i="48"/>
  <c r="CA401" i="48"/>
  <c r="BZ401" i="48"/>
  <c r="BY401" i="48"/>
  <c r="BX401" i="48"/>
  <c r="BW401" i="48"/>
  <c r="BV401" i="48"/>
  <c r="BU401" i="48"/>
  <c r="BT401" i="48"/>
  <c r="BS401" i="48"/>
  <c r="BR401" i="48"/>
  <c r="BQ401" i="48"/>
  <c r="S401" i="48"/>
  <c r="CC400" i="48"/>
  <c r="CB400" i="48"/>
  <c r="CA400" i="48"/>
  <c r="BZ400" i="48"/>
  <c r="BY400" i="48"/>
  <c r="BX400" i="48"/>
  <c r="BW400" i="48"/>
  <c r="BV400" i="48"/>
  <c r="BU400" i="48"/>
  <c r="BT400" i="48"/>
  <c r="BS400" i="48"/>
  <c r="BR400" i="48"/>
  <c r="BQ400" i="48"/>
  <c r="S400" i="48"/>
  <c r="CC399" i="48"/>
  <c r="CB399" i="48"/>
  <c r="CA399" i="48"/>
  <c r="BZ399" i="48"/>
  <c r="BY399" i="48"/>
  <c r="BX399" i="48"/>
  <c r="BW399" i="48"/>
  <c r="BV399" i="48"/>
  <c r="BU399" i="48"/>
  <c r="BT399" i="48"/>
  <c r="BS399" i="48"/>
  <c r="BR399" i="48"/>
  <c r="BQ399" i="48"/>
  <c r="S399" i="48"/>
  <c r="CC398" i="48"/>
  <c r="CB398" i="48"/>
  <c r="CA398" i="48"/>
  <c r="BZ398" i="48"/>
  <c r="BY398" i="48"/>
  <c r="BX398" i="48"/>
  <c r="BW398" i="48"/>
  <c r="BV398" i="48"/>
  <c r="BU398" i="48"/>
  <c r="BT398" i="48"/>
  <c r="BS398" i="48"/>
  <c r="BR398" i="48"/>
  <c r="BQ398" i="48"/>
  <c r="S398" i="48"/>
  <c r="CC397" i="48"/>
  <c r="CB397" i="48"/>
  <c r="CA397" i="48"/>
  <c r="BZ397" i="48"/>
  <c r="BY397" i="48"/>
  <c r="BX397" i="48"/>
  <c r="BW397" i="48"/>
  <c r="BV397" i="48"/>
  <c r="BU397" i="48"/>
  <c r="BT397" i="48"/>
  <c r="BS397" i="48"/>
  <c r="BR397" i="48"/>
  <c r="BQ397" i="48"/>
  <c r="S397" i="48"/>
  <c r="CC396" i="48"/>
  <c r="CB396" i="48"/>
  <c r="CA396" i="48"/>
  <c r="BZ396" i="48"/>
  <c r="BY396" i="48"/>
  <c r="BX396" i="48"/>
  <c r="BW396" i="48"/>
  <c r="BV396" i="48"/>
  <c r="BU396" i="48"/>
  <c r="BT396" i="48"/>
  <c r="BS396" i="48"/>
  <c r="BR396" i="48"/>
  <c r="BQ396" i="48"/>
  <c r="S396" i="48"/>
  <c r="CC395" i="48"/>
  <c r="CB395" i="48"/>
  <c r="CA395" i="48"/>
  <c r="BZ395" i="48"/>
  <c r="BY395" i="48"/>
  <c r="BX395" i="48"/>
  <c r="BW395" i="48"/>
  <c r="BV395" i="48"/>
  <c r="BU395" i="48"/>
  <c r="BT395" i="48"/>
  <c r="BS395" i="48"/>
  <c r="BR395" i="48"/>
  <c r="BQ395" i="48"/>
  <c r="S395" i="48"/>
  <c r="CC394" i="48"/>
  <c r="CB394" i="48"/>
  <c r="CA394" i="48"/>
  <c r="BZ394" i="48"/>
  <c r="BY394" i="48"/>
  <c r="BX394" i="48"/>
  <c r="BW394" i="48"/>
  <c r="BV394" i="48"/>
  <c r="BU394" i="48"/>
  <c r="BT394" i="48"/>
  <c r="BS394" i="48"/>
  <c r="BR394" i="48"/>
  <c r="BQ394" i="48"/>
  <c r="S394" i="48"/>
  <c r="CC393" i="48"/>
  <c r="CB393" i="48"/>
  <c r="CA393" i="48"/>
  <c r="BZ393" i="48"/>
  <c r="BY393" i="48"/>
  <c r="BX393" i="48"/>
  <c r="BW393" i="48"/>
  <c r="BV393" i="48"/>
  <c r="BU393" i="48"/>
  <c r="BT393" i="48"/>
  <c r="BS393" i="48"/>
  <c r="BR393" i="48"/>
  <c r="BQ393" i="48"/>
  <c r="S393" i="48"/>
  <c r="CC392" i="48"/>
  <c r="CB392" i="48"/>
  <c r="CA392" i="48"/>
  <c r="BZ392" i="48"/>
  <c r="BY392" i="48"/>
  <c r="BX392" i="48"/>
  <c r="BW392" i="48"/>
  <c r="BV392" i="48"/>
  <c r="BU392" i="48"/>
  <c r="BT392" i="48"/>
  <c r="BS392" i="48"/>
  <c r="BR392" i="48"/>
  <c r="BQ392" i="48"/>
  <c r="S392" i="48"/>
  <c r="CC391" i="48"/>
  <c r="CB391" i="48"/>
  <c r="CA391" i="48"/>
  <c r="BZ391" i="48"/>
  <c r="BY391" i="48"/>
  <c r="BX391" i="48"/>
  <c r="BW391" i="48"/>
  <c r="BV391" i="48"/>
  <c r="BU391" i="48"/>
  <c r="BT391" i="48"/>
  <c r="BS391" i="48"/>
  <c r="BR391" i="48"/>
  <c r="BQ391" i="48"/>
  <c r="S391" i="48"/>
  <c r="CC390" i="48"/>
  <c r="CB390" i="48"/>
  <c r="CA390" i="48"/>
  <c r="BZ390" i="48"/>
  <c r="BY390" i="48"/>
  <c r="BX390" i="48"/>
  <c r="BW390" i="48"/>
  <c r="BV390" i="48"/>
  <c r="BU390" i="48"/>
  <c r="BT390" i="48"/>
  <c r="BS390" i="48"/>
  <c r="BR390" i="48"/>
  <c r="BQ390" i="48"/>
  <c r="S390" i="48"/>
  <c r="CC389" i="48"/>
  <c r="CB389" i="48"/>
  <c r="CA389" i="48"/>
  <c r="BZ389" i="48"/>
  <c r="BY389" i="48"/>
  <c r="BX389" i="48"/>
  <c r="BW389" i="48"/>
  <c r="BV389" i="48"/>
  <c r="BU389" i="48"/>
  <c r="BT389" i="48"/>
  <c r="BS389" i="48"/>
  <c r="BR389" i="48"/>
  <c r="BQ389" i="48"/>
  <c r="S389" i="48"/>
  <c r="CC388" i="48"/>
  <c r="CB388" i="48"/>
  <c r="CA388" i="48"/>
  <c r="BZ388" i="48"/>
  <c r="BY388" i="48"/>
  <c r="BX388" i="48"/>
  <c r="BW388" i="48"/>
  <c r="BV388" i="48"/>
  <c r="BU388" i="48"/>
  <c r="BT388" i="48"/>
  <c r="BS388" i="48"/>
  <c r="BR388" i="48"/>
  <c r="BQ388" i="48"/>
  <c r="S388" i="48"/>
  <c r="CC387" i="48"/>
  <c r="CB387" i="48"/>
  <c r="CA387" i="48"/>
  <c r="BZ387" i="48"/>
  <c r="BY387" i="48"/>
  <c r="BX387" i="48"/>
  <c r="BW387" i="48"/>
  <c r="BV387" i="48"/>
  <c r="BU387" i="48"/>
  <c r="BT387" i="48"/>
  <c r="BS387" i="48"/>
  <c r="BR387" i="48"/>
  <c r="BQ387" i="48"/>
  <c r="S387" i="48"/>
  <c r="CC386" i="48"/>
  <c r="CB386" i="48"/>
  <c r="CA386" i="48"/>
  <c r="BZ386" i="48"/>
  <c r="BY386" i="48"/>
  <c r="BX386" i="48"/>
  <c r="BW386" i="48"/>
  <c r="BV386" i="48"/>
  <c r="BU386" i="48"/>
  <c r="BT386" i="48"/>
  <c r="BS386" i="48"/>
  <c r="BR386" i="48"/>
  <c r="BQ386" i="48"/>
  <c r="S386" i="48"/>
  <c r="CC385" i="48"/>
  <c r="CB385" i="48"/>
  <c r="CA385" i="48"/>
  <c r="BZ385" i="48"/>
  <c r="BY385" i="48"/>
  <c r="BX385" i="48"/>
  <c r="BW385" i="48"/>
  <c r="BV385" i="48"/>
  <c r="BU385" i="48"/>
  <c r="BT385" i="48"/>
  <c r="BS385" i="48"/>
  <c r="BR385" i="48"/>
  <c r="BQ385" i="48"/>
  <c r="S385" i="48"/>
  <c r="CC384" i="48"/>
  <c r="CB384" i="48"/>
  <c r="CA384" i="48"/>
  <c r="BZ384" i="48"/>
  <c r="BY384" i="48"/>
  <c r="BX384" i="48"/>
  <c r="BW384" i="48"/>
  <c r="BV384" i="48"/>
  <c r="BU384" i="48"/>
  <c r="BT384" i="48"/>
  <c r="BS384" i="48"/>
  <c r="BR384" i="48"/>
  <c r="BQ384" i="48"/>
  <c r="S384" i="48"/>
  <c r="CC383" i="48"/>
  <c r="CB383" i="48"/>
  <c r="CA383" i="48"/>
  <c r="BZ383" i="48"/>
  <c r="BY383" i="48"/>
  <c r="BX383" i="48"/>
  <c r="BW383" i="48"/>
  <c r="BV383" i="48"/>
  <c r="BU383" i="48"/>
  <c r="BT383" i="48"/>
  <c r="BS383" i="48"/>
  <c r="BR383" i="48"/>
  <c r="BQ383" i="48"/>
  <c r="S383" i="48"/>
  <c r="CC382" i="48"/>
  <c r="CB382" i="48"/>
  <c r="CA382" i="48"/>
  <c r="BZ382" i="48"/>
  <c r="BY382" i="48"/>
  <c r="BX382" i="48"/>
  <c r="BW382" i="48"/>
  <c r="BV382" i="48"/>
  <c r="BU382" i="48"/>
  <c r="BT382" i="48"/>
  <c r="BS382" i="48"/>
  <c r="BR382" i="48"/>
  <c r="BQ382" i="48"/>
  <c r="S382" i="48"/>
  <c r="CC381" i="48"/>
  <c r="CB381" i="48"/>
  <c r="CA381" i="48"/>
  <c r="BZ381" i="48"/>
  <c r="BY381" i="48"/>
  <c r="BX381" i="48"/>
  <c r="BW381" i="48"/>
  <c r="BV381" i="48"/>
  <c r="BU381" i="48"/>
  <c r="BT381" i="48"/>
  <c r="BS381" i="48"/>
  <c r="BR381" i="48"/>
  <c r="BQ381" i="48"/>
  <c r="S381" i="48"/>
  <c r="CC380" i="48"/>
  <c r="CB380" i="48"/>
  <c r="CA380" i="48"/>
  <c r="BZ380" i="48"/>
  <c r="BY380" i="48"/>
  <c r="BX380" i="48"/>
  <c r="BW380" i="48"/>
  <c r="BV380" i="48"/>
  <c r="BU380" i="48"/>
  <c r="BT380" i="48"/>
  <c r="BS380" i="48"/>
  <c r="BR380" i="48"/>
  <c r="BQ380" i="48"/>
  <c r="S380" i="48"/>
  <c r="CC379" i="48"/>
  <c r="CB379" i="48"/>
  <c r="CA379" i="48"/>
  <c r="BZ379" i="48"/>
  <c r="BY379" i="48"/>
  <c r="BX379" i="48"/>
  <c r="BW379" i="48"/>
  <c r="BV379" i="48"/>
  <c r="BU379" i="48"/>
  <c r="BT379" i="48"/>
  <c r="BS379" i="48"/>
  <c r="BR379" i="48"/>
  <c r="BQ379" i="48"/>
  <c r="S379" i="48"/>
  <c r="CC378" i="48"/>
  <c r="CB378" i="48"/>
  <c r="CA378" i="48"/>
  <c r="BZ378" i="48"/>
  <c r="BY378" i="48"/>
  <c r="BX378" i="48"/>
  <c r="BW378" i="48"/>
  <c r="BV378" i="48"/>
  <c r="BU378" i="48"/>
  <c r="BT378" i="48"/>
  <c r="BS378" i="48"/>
  <c r="BR378" i="48"/>
  <c r="BQ378" i="48"/>
  <c r="S378" i="48"/>
  <c r="CC377" i="48"/>
  <c r="CB377" i="48"/>
  <c r="CA377" i="48"/>
  <c r="BZ377" i="48"/>
  <c r="BY377" i="48"/>
  <c r="BX377" i="48"/>
  <c r="BW377" i="48"/>
  <c r="BV377" i="48"/>
  <c r="BU377" i="48"/>
  <c r="BT377" i="48"/>
  <c r="BS377" i="48"/>
  <c r="BR377" i="48"/>
  <c r="BQ377" i="48"/>
  <c r="S377" i="48"/>
  <c r="CC376" i="48"/>
  <c r="CB376" i="48"/>
  <c r="CA376" i="48"/>
  <c r="BZ376" i="48"/>
  <c r="BY376" i="48"/>
  <c r="BX376" i="48"/>
  <c r="BW376" i="48"/>
  <c r="BV376" i="48"/>
  <c r="BU376" i="48"/>
  <c r="BT376" i="48"/>
  <c r="BS376" i="48"/>
  <c r="BR376" i="48"/>
  <c r="BQ376" i="48"/>
  <c r="S376" i="48"/>
  <c r="CC375" i="48"/>
  <c r="CB375" i="48"/>
  <c r="CA375" i="48"/>
  <c r="BZ375" i="48"/>
  <c r="BY375" i="48"/>
  <c r="BX375" i="48"/>
  <c r="BW375" i="48"/>
  <c r="BV375" i="48"/>
  <c r="BU375" i="48"/>
  <c r="BT375" i="48"/>
  <c r="BS375" i="48"/>
  <c r="BR375" i="48"/>
  <c r="BQ375" i="48"/>
  <c r="S375" i="48"/>
  <c r="CC374" i="48"/>
  <c r="CB374" i="48"/>
  <c r="CA374" i="48"/>
  <c r="BZ374" i="48"/>
  <c r="BY374" i="48"/>
  <c r="BX374" i="48"/>
  <c r="BW374" i="48"/>
  <c r="BV374" i="48"/>
  <c r="BU374" i="48"/>
  <c r="BT374" i="48"/>
  <c r="BS374" i="48"/>
  <c r="BR374" i="48"/>
  <c r="BQ374" i="48"/>
  <c r="S374" i="48"/>
  <c r="CC373" i="48"/>
  <c r="CB373" i="48"/>
  <c r="CA373" i="48"/>
  <c r="BZ373" i="48"/>
  <c r="BY373" i="48"/>
  <c r="BX373" i="48"/>
  <c r="BW373" i="48"/>
  <c r="BV373" i="48"/>
  <c r="BU373" i="48"/>
  <c r="BT373" i="48"/>
  <c r="BS373" i="48"/>
  <c r="BR373" i="48"/>
  <c r="BQ373" i="48"/>
  <c r="S373" i="48"/>
  <c r="CC372" i="48"/>
  <c r="CB372" i="48"/>
  <c r="CA372" i="48"/>
  <c r="BZ372" i="48"/>
  <c r="BY372" i="48"/>
  <c r="BX372" i="48"/>
  <c r="BW372" i="48"/>
  <c r="BV372" i="48"/>
  <c r="BU372" i="48"/>
  <c r="BT372" i="48"/>
  <c r="BS372" i="48"/>
  <c r="BR372" i="48"/>
  <c r="BQ372" i="48"/>
  <c r="S372" i="48"/>
  <c r="CC371" i="48"/>
  <c r="CB371" i="48"/>
  <c r="CA371" i="48"/>
  <c r="BZ371" i="48"/>
  <c r="BY371" i="48"/>
  <c r="BX371" i="48"/>
  <c r="BW371" i="48"/>
  <c r="BV371" i="48"/>
  <c r="BU371" i="48"/>
  <c r="BT371" i="48"/>
  <c r="BS371" i="48"/>
  <c r="BR371" i="48"/>
  <c r="BQ371" i="48"/>
  <c r="S371" i="48"/>
  <c r="CC370" i="48"/>
  <c r="CB370" i="48"/>
  <c r="CA370" i="48"/>
  <c r="BZ370" i="48"/>
  <c r="BY370" i="48"/>
  <c r="BX370" i="48"/>
  <c r="BW370" i="48"/>
  <c r="BV370" i="48"/>
  <c r="BU370" i="48"/>
  <c r="BT370" i="48"/>
  <c r="BS370" i="48"/>
  <c r="BR370" i="48"/>
  <c r="BQ370" i="48"/>
  <c r="S370" i="48"/>
  <c r="CC369" i="48"/>
  <c r="CB369" i="48"/>
  <c r="CA369" i="48"/>
  <c r="BZ369" i="48"/>
  <c r="BY369" i="48"/>
  <c r="BX369" i="48"/>
  <c r="BW369" i="48"/>
  <c r="BV369" i="48"/>
  <c r="BU369" i="48"/>
  <c r="BT369" i="48"/>
  <c r="BS369" i="48"/>
  <c r="BR369" i="48"/>
  <c r="BQ369" i="48"/>
  <c r="S369" i="48"/>
  <c r="DY368" i="48"/>
  <c r="CC368" i="48"/>
  <c r="CB368" i="48"/>
  <c r="CA368" i="48"/>
  <c r="BZ368" i="48"/>
  <c r="BY368" i="48"/>
  <c r="BX368" i="48"/>
  <c r="BW368" i="48"/>
  <c r="BV368" i="48"/>
  <c r="BU368" i="48"/>
  <c r="BT368" i="48"/>
  <c r="BS368" i="48"/>
  <c r="BR368" i="48"/>
  <c r="BQ368" i="48"/>
  <c r="S368" i="48"/>
  <c r="DY367" i="48"/>
  <c r="CC367" i="48"/>
  <c r="CB367" i="48"/>
  <c r="CA367" i="48"/>
  <c r="BZ367" i="48"/>
  <c r="BY367" i="48"/>
  <c r="BX367" i="48"/>
  <c r="BW367" i="48"/>
  <c r="BV367" i="48"/>
  <c r="BU367" i="48"/>
  <c r="BT367" i="48"/>
  <c r="BS367" i="48"/>
  <c r="BR367" i="48"/>
  <c r="BQ367" i="48"/>
  <c r="S367" i="48"/>
  <c r="CC366" i="48"/>
  <c r="CB366" i="48"/>
  <c r="CA366" i="48"/>
  <c r="BZ366" i="48"/>
  <c r="BY366" i="48"/>
  <c r="BX366" i="48"/>
  <c r="BW366" i="48"/>
  <c r="BV366" i="48"/>
  <c r="BU366" i="48"/>
  <c r="BT366" i="48"/>
  <c r="BS366" i="48"/>
  <c r="BR366" i="48"/>
  <c r="BQ366" i="48"/>
  <c r="S366" i="48"/>
  <c r="CC365" i="48"/>
  <c r="CB365" i="48"/>
  <c r="CA365" i="48"/>
  <c r="BZ365" i="48"/>
  <c r="BY365" i="48"/>
  <c r="BX365" i="48"/>
  <c r="BW365" i="48"/>
  <c r="BV365" i="48"/>
  <c r="BU365" i="48"/>
  <c r="BT365" i="48"/>
  <c r="BS365" i="48"/>
  <c r="BR365" i="48"/>
  <c r="BQ365" i="48"/>
  <c r="S365" i="48"/>
  <c r="CC364" i="48"/>
  <c r="CB364" i="48"/>
  <c r="CA364" i="48"/>
  <c r="BZ364" i="48"/>
  <c r="BY364" i="48"/>
  <c r="BX364" i="48"/>
  <c r="BW364" i="48"/>
  <c r="BV364" i="48"/>
  <c r="BU364" i="48"/>
  <c r="BT364" i="48"/>
  <c r="BS364" i="48"/>
  <c r="BR364" i="48"/>
  <c r="BQ364" i="48"/>
  <c r="S364" i="48"/>
  <c r="CC363" i="48"/>
  <c r="CB363" i="48"/>
  <c r="CA363" i="48"/>
  <c r="BZ363" i="48"/>
  <c r="BY363" i="48"/>
  <c r="BX363" i="48"/>
  <c r="BW363" i="48"/>
  <c r="BV363" i="48"/>
  <c r="BU363" i="48"/>
  <c r="BT363" i="48"/>
  <c r="BS363" i="48"/>
  <c r="BR363" i="48"/>
  <c r="BQ363" i="48"/>
  <c r="S363" i="48"/>
  <c r="CC362" i="48"/>
  <c r="CB362" i="48"/>
  <c r="CA362" i="48"/>
  <c r="BZ362" i="48"/>
  <c r="BY362" i="48"/>
  <c r="BX362" i="48"/>
  <c r="BW362" i="48"/>
  <c r="BV362" i="48"/>
  <c r="BU362" i="48"/>
  <c r="BT362" i="48"/>
  <c r="BS362" i="48"/>
  <c r="BR362" i="48"/>
  <c r="BQ362" i="48"/>
  <c r="S362" i="48"/>
  <c r="CC361" i="48"/>
  <c r="CB361" i="48"/>
  <c r="CA361" i="48"/>
  <c r="BZ361" i="48"/>
  <c r="BY361" i="48"/>
  <c r="BX361" i="48"/>
  <c r="BW361" i="48"/>
  <c r="BV361" i="48"/>
  <c r="BU361" i="48"/>
  <c r="BT361" i="48"/>
  <c r="BS361" i="48"/>
  <c r="BR361" i="48"/>
  <c r="BQ361" i="48"/>
  <c r="S361" i="48"/>
  <c r="CC360" i="48"/>
  <c r="CB360" i="48"/>
  <c r="CA360" i="48"/>
  <c r="BZ360" i="48"/>
  <c r="BY360" i="48"/>
  <c r="BX360" i="48"/>
  <c r="BW360" i="48"/>
  <c r="BV360" i="48"/>
  <c r="BU360" i="48"/>
  <c r="BT360" i="48"/>
  <c r="BS360" i="48"/>
  <c r="BR360" i="48"/>
  <c r="BQ360" i="48"/>
  <c r="S360" i="48"/>
  <c r="CC359" i="48"/>
  <c r="CB359" i="48"/>
  <c r="CA359" i="48"/>
  <c r="BZ359" i="48"/>
  <c r="BY359" i="48"/>
  <c r="BX359" i="48"/>
  <c r="BW359" i="48"/>
  <c r="BV359" i="48"/>
  <c r="BU359" i="48"/>
  <c r="BT359" i="48"/>
  <c r="BS359" i="48"/>
  <c r="BR359" i="48"/>
  <c r="BQ359" i="48"/>
  <c r="S359" i="48"/>
  <c r="CC358" i="48"/>
  <c r="CB358" i="48"/>
  <c r="CA358" i="48"/>
  <c r="BZ358" i="48"/>
  <c r="BY358" i="48"/>
  <c r="BX358" i="48"/>
  <c r="BW358" i="48"/>
  <c r="BV358" i="48"/>
  <c r="BU358" i="48"/>
  <c r="BT358" i="48"/>
  <c r="BS358" i="48"/>
  <c r="BR358" i="48"/>
  <c r="BQ358" i="48"/>
  <c r="S358" i="48"/>
  <c r="CC357" i="48"/>
  <c r="CB357" i="48"/>
  <c r="CA357" i="48"/>
  <c r="BZ357" i="48"/>
  <c r="BY357" i="48"/>
  <c r="BX357" i="48"/>
  <c r="BW357" i="48"/>
  <c r="BV357" i="48"/>
  <c r="BU357" i="48"/>
  <c r="BT357" i="48"/>
  <c r="BS357" i="48"/>
  <c r="BR357" i="48"/>
  <c r="BQ357" i="48"/>
  <c r="S357" i="48"/>
  <c r="CC356" i="48"/>
  <c r="CB356" i="48"/>
  <c r="CA356" i="48"/>
  <c r="BZ356" i="48"/>
  <c r="BY356" i="48"/>
  <c r="BX356" i="48"/>
  <c r="BW356" i="48"/>
  <c r="BV356" i="48"/>
  <c r="BU356" i="48"/>
  <c r="BT356" i="48"/>
  <c r="BS356" i="48"/>
  <c r="BR356" i="48"/>
  <c r="BQ356" i="48"/>
  <c r="S356" i="48"/>
  <c r="CC355" i="48"/>
  <c r="CB355" i="48"/>
  <c r="CA355" i="48"/>
  <c r="BZ355" i="48"/>
  <c r="BY355" i="48"/>
  <c r="BX355" i="48"/>
  <c r="BW355" i="48"/>
  <c r="BV355" i="48"/>
  <c r="BU355" i="48"/>
  <c r="BT355" i="48"/>
  <c r="BS355" i="48"/>
  <c r="BR355" i="48"/>
  <c r="BQ355" i="48"/>
  <c r="S355" i="48"/>
  <c r="CC354" i="48"/>
  <c r="CB354" i="48"/>
  <c r="CA354" i="48"/>
  <c r="BZ354" i="48"/>
  <c r="BY354" i="48"/>
  <c r="BX354" i="48"/>
  <c r="BW354" i="48"/>
  <c r="BV354" i="48"/>
  <c r="BU354" i="48"/>
  <c r="BT354" i="48"/>
  <c r="BS354" i="48"/>
  <c r="BR354" i="48"/>
  <c r="BQ354" i="48"/>
  <c r="S354" i="48"/>
  <c r="CC353" i="48"/>
  <c r="CB353" i="48"/>
  <c r="CA353" i="48"/>
  <c r="BZ353" i="48"/>
  <c r="BY353" i="48"/>
  <c r="BX353" i="48"/>
  <c r="BW353" i="48"/>
  <c r="BV353" i="48"/>
  <c r="BU353" i="48"/>
  <c r="BT353" i="48"/>
  <c r="BS353" i="48"/>
  <c r="BR353" i="48"/>
  <c r="BQ353" i="48"/>
  <c r="S353" i="48"/>
  <c r="CC352" i="48"/>
  <c r="CB352" i="48"/>
  <c r="CA352" i="48"/>
  <c r="BZ352" i="48"/>
  <c r="BY352" i="48"/>
  <c r="BX352" i="48"/>
  <c r="BW352" i="48"/>
  <c r="BV352" i="48"/>
  <c r="BU352" i="48"/>
  <c r="BT352" i="48"/>
  <c r="BS352" i="48"/>
  <c r="BR352" i="48"/>
  <c r="BQ352" i="48"/>
  <c r="S352" i="48"/>
  <c r="CC351" i="48"/>
  <c r="CB351" i="48"/>
  <c r="CA351" i="48"/>
  <c r="BZ351" i="48"/>
  <c r="BY351" i="48"/>
  <c r="BX351" i="48"/>
  <c r="BW351" i="48"/>
  <c r="BV351" i="48"/>
  <c r="BU351" i="48"/>
  <c r="BT351" i="48"/>
  <c r="BS351" i="48"/>
  <c r="BR351" i="48"/>
  <c r="BQ351" i="48"/>
  <c r="S351" i="48"/>
  <c r="CC350" i="48"/>
  <c r="CB350" i="48"/>
  <c r="CA350" i="48"/>
  <c r="BZ350" i="48"/>
  <c r="BY350" i="48"/>
  <c r="BX350" i="48"/>
  <c r="BW350" i="48"/>
  <c r="BV350" i="48"/>
  <c r="BU350" i="48"/>
  <c r="BT350" i="48"/>
  <c r="BS350" i="48"/>
  <c r="BR350" i="48"/>
  <c r="BQ350" i="48"/>
  <c r="S350" i="48"/>
  <c r="CC349" i="48"/>
  <c r="CB349" i="48"/>
  <c r="CA349" i="48"/>
  <c r="BZ349" i="48"/>
  <c r="BY349" i="48"/>
  <c r="BX349" i="48"/>
  <c r="BW349" i="48"/>
  <c r="BV349" i="48"/>
  <c r="BU349" i="48"/>
  <c r="BT349" i="48"/>
  <c r="BS349" i="48"/>
  <c r="BR349" i="48"/>
  <c r="BQ349" i="48"/>
  <c r="S349" i="48"/>
  <c r="CC348" i="48"/>
  <c r="CB348" i="48"/>
  <c r="CA348" i="48"/>
  <c r="BZ348" i="48"/>
  <c r="BY348" i="48"/>
  <c r="BX348" i="48"/>
  <c r="BW348" i="48"/>
  <c r="BV348" i="48"/>
  <c r="BU348" i="48"/>
  <c r="BT348" i="48"/>
  <c r="BS348" i="48"/>
  <c r="BR348" i="48"/>
  <c r="BQ348" i="48"/>
  <c r="S348" i="48"/>
  <c r="CC347" i="48"/>
  <c r="CB347" i="48"/>
  <c r="CA347" i="48"/>
  <c r="BZ347" i="48"/>
  <c r="BY347" i="48"/>
  <c r="BX347" i="48"/>
  <c r="BW347" i="48"/>
  <c r="BV347" i="48"/>
  <c r="BU347" i="48"/>
  <c r="BT347" i="48"/>
  <c r="BS347" i="48"/>
  <c r="BR347" i="48"/>
  <c r="BQ347" i="48"/>
  <c r="S347" i="48"/>
  <c r="CC346" i="48"/>
  <c r="CB346" i="48"/>
  <c r="CA346" i="48"/>
  <c r="BZ346" i="48"/>
  <c r="BY346" i="48"/>
  <c r="BX346" i="48"/>
  <c r="BW346" i="48"/>
  <c r="BV346" i="48"/>
  <c r="BU346" i="48"/>
  <c r="BT346" i="48"/>
  <c r="BS346" i="48"/>
  <c r="BR346" i="48"/>
  <c r="BQ346" i="48"/>
  <c r="S346" i="48"/>
  <c r="CC345" i="48"/>
  <c r="CB345" i="48"/>
  <c r="CA345" i="48"/>
  <c r="BZ345" i="48"/>
  <c r="BY345" i="48"/>
  <c r="BX345" i="48"/>
  <c r="BW345" i="48"/>
  <c r="BV345" i="48"/>
  <c r="BU345" i="48"/>
  <c r="BT345" i="48"/>
  <c r="BS345" i="48"/>
  <c r="BR345" i="48"/>
  <c r="BQ345" i="48"/>
  <c r="S345" i="48"/>
  <c r="CC344" i="48"/>
  <c r="CB344" i="48"/>
  <c r="CA344" i="48"/>
  <c r="BZ344" i="48"/>
  <c r="BY344" i="48"/>
  <c r="BX344" i="48"/>
  <c r="BW344" i="48"/>
  <c r="BV344" i="48"/>
  <c r="BU344" i="48"/>
  <c r="BT344" i="48"/>
  <c r="BS344" i="48"/>
  <c r="BR344" i="48"/>
  <c r="BQ344" i="48"/>
  <c r="S344" i="48"/>
  <c r="CC343" i="48"/>
  <c r="CB343" i="48"/>
  <c r="CA343" i="48"/>
  <c r="BZ343" i="48"/>
  <c r="BY343" i="48"/>
  <c r="BX343" i="48"/>
  <c r="BW343" i="48"/>
  <c r="BV343" i="48"/>
  <c r="BU343" i="48"/>
  <c r="BT343" i="48"/>
  <c r="BS343" i="48"/>
  <c r="BR343" i="48"/>
  <c r="BQ343" i="48"/>
  <c r="S343" i="48"/>
  <c r="CC342" i="48"/>
  <c r="CB342" i="48"/>
  <c r="CA342" i="48"/>
  <c r="BZ342" i="48"/>
  <c r="BY342" i="48"/>
  <c r="BX342" i="48"/>
  <c r="BW342" i="48"/>
  <c r="BV342" i="48"/>
  <c r="BU342" i="48"/>
  <c r="BT342" i="48"/>
  <c r="BS342" i="48"/>
  <c r="BR342" i="48"/>
  <c r="BQ342" i="48"/>
  <c r="S342" i="48"/>
  <c r="CC341" i="48"/>
  <c r="CB341" i="48"/>
  <c r="CA341" i="48"/>
  <c r="BZ341" i="48"/>
  <c r="BY341" i="48"/>
  <c r="BX341" i="48"/>
  <c r="BW341" i="48"/>
  <c r="BV341" i="48"/>
  <c r="BU341" i="48"/>
  <c r="BT341" i="48"/>
  <c r="BS341" i="48"/>
  <c r="BR341" i="48"/>
  <c r="BQ341" i="48"/>
  <c r="S341" i="48"/>
  <c r="CC340" i="48"/>
  <c r="CB340" i="48"/>
  <c r="CA340" i="48"/>
  <c r="BZ340" i="48"/>
  <c r="BY340" i="48"/>
  <c r="BX340" i="48"/>
  <c r="BW340" i="48"/>
  <c r="BV340" i="48"/>
  <c r="BU340" i="48"/>
  <c r="BT340" i="48"/>
  <c r="BS340" i="48"/>
  <c r="BR340" i="48"/>
  <c r="BQ340" i="48"/>
  <c r="S340" i="48"/>
  <c r="CC339" i="48"/>
  <c r="CB339" i="48"/>
  <c r="CA339" i="48"/>
  <c r="BZ339" i="48"/>
  <c r="BY339" i="48"/>
  <c r="BX339" i="48"/>
  <c r="BW339" i="48"/>
  <c r="BV339" i="48"/>
  <c r="BU339" i="48"/>
  <c r="BT339" i="48"/>
  <c r="BS339" i="48"/>
  <c r="BR339" i="48"/>
  <c r="BQ339" i="48"/>
  <c r="S339" i="48"/>
  <c r="CC338" i="48"/>
  <c r="CB338" i="48"/>
  <c r="CA338" i="48"/>
  <c r="BZ338" i="48"/>
  <c r="BY338" i="48"/>
  <c r="BX338" i="48"/>
  <c r="BW338" i="48"/>
  <c r="BV338" i="48"/>
  <c r="BU338" i="48"/>
  <c r="BT338" i="48"/>
  <c r="BS338" i="48"/>
  <c r="BR338" i="48"/>
  <c r="BQ338" i="48"/>
  <c r="S338" i="48"/>
  <c r="CC337" i="48"/>
  <c r="CB337" i="48"/>
  <c r="CA337" i="48"/>
  <c r="BZ337" i="48"/>
  <c r="BY337" i="48"/>
  <c r="BX337" i="48"/>
  <c r="BW337" i="48"/>
  <c r="BV337" i="48"/>
  <c r="BU337" i="48"/>
  <c r="BT337" i="48"/>
  <c r="BS337" i="48"/>
  <c r="BR337" i="48"/>
  <c r="BQ337" i="48"/>
  <c r="S337" i="48"/>
  <c r="CC336" i="48"/>
  <c r="CB336" i="48"/>
  <c r="CA336" i="48"/>
  <c r="BZ336" i="48"/>
  <c r="BY336" i="48"/>
  <c r="BX336" i="48"/>
  <c r="BW336" i="48"/>
  <c r="BV336" i="48"/>
  <c r="BU336" i="48"/>
  <c r="BT336" i="48"/>
  <c r="BS336" i="48"/>
  <c r="BR336" i="48"/>
  <c r="BQ336" i="48"/>
  <c r="S336" i="48"/>
  <c r="CC335" i="48"/>
  <c r="CB335" i="48"/>
  <c r="CA335" i="48"/>
  <c r="BZ335" i="48"/>
  <c r="BY335" i="48"/>
  <c r="BX335" i="48"/>
  <c r="BW335" i="48"/>
  <c r="BV335" i="48"/>
  <c r="BU335" i="48"/>
  <c r="BT335" i="48"/>
  <c r="BS335" i="48"/>
  <c r="BR335" i="48"/>
  <c r="BQ335" i="48"/>
  <c r="S335" i="48"/>
  <c r="CC334" i="48"/>
  <c r="CB334" i="48"/>
  <c r="CA334" i="48"/>
  <c r="BZ334" i="48"/>
  <c r="BY334" i="48"/>
  <c r="BX334" i="48"/>
  <c r="BW334" i="48"/>
  <c r="BV334" i="48"/>
  <c r="BU334" i="48"/>
  <c r="BT334" i="48"/>
  <c r="BS334" i="48"/>
  <c r="BR334" i="48"/>
  <c r="BQ334" i="48"/>
  <c r="S334" i="48"/>
  <c r="CC333" i="48"/>
  <c r="CB333" i="48"/>
  <c r="CA333" i="48"/>
  <c r="BZ333" i="48"/>
  <c r="BY333" i="48"/>
  <c r="BX333" i="48"/>
  <c r="BW333" i="48"/>
  <c r="BV333" i="48"/>
  <c r="BU333" i="48"/>
  <c r="BT333" i="48"/>
  <c r="BS333" i="48"/>
  <c r="BR333" i="48"/>
  <c r="BQ333" i="48"/>
  <c r="S333" i="48"/>
  <c r="CC332" i="48"/>
  <c r="CB332" i="48"/>
  <c r="CA332" i="48"/>
  <c r="BZ332" i="48"/>
  <c r="BY332" i="48"/>
  <c r="BX332" i="48"/>
  <c r="BW332" i="48"/>
  <c r="BV332" i="48"/>
  <c r="BU332" i="48"/>
  <c r="BT332" i="48"/>
  <c r="BS332" i="48"/>
  <c r="BR332" i="48"/>
  <c r="BQ332" i="48"/>
  <c r="S332" i="48"/>
  <c r="CC331" i="48"/>
  <c r="CB331" i="48"/>
  <c r="CA331" i="48"/>
  <c r="BZ331" i="48"/>
  <c r="BY331" i="48"/>
  <c r="BX331" i="48"/>
  <c r="BW331" i="48"/>
  <c r="BV331" i="48"/>
  <c r="BU331" i="48"/>
  <c r="BT331" i="48"/>
  <c r="BS331" i="48"/>
  <c r="BR331" i="48"/>
  <c r="BQ331" i="48"/>
  <c r="S331" i="48"/>
  <c r="CC330" i="48"/>
  <c r="CB330" i="48"/>
  <c r="CA330" i="48"/>
  <c r="BZ330" i="48"/>
  <c r="BY330" i="48"/>
  <c r="BX330" i="48"/>
  <c r="BW330" i="48"/>
  <c r="BV330" i="48"/>
  <c r="BU330" i="48"/>
  <c r="BT330" i="48"/>
  <c r="BS330" i="48"/>
  <c r="BR330" i="48"/>
  <c r="BQ330" i="48"/>
  <c r="S330" i="48"/>
  <c r="CC329" i="48"/>
  <c r="CB329" i="48"/>
  <c r="CA329" i="48"/>
  <c r="BZ329" i="48"/>
  <c r="BY329" i="48"/>
  <c r="BX329" i="48"/>
  <c r="BW329" i="48"/>
  <c r="BV329" i="48"/>
  <c r="BU329" i="48"/>
  <c r="BT329" i="48"/>
  <c r="BS329" i="48"/>
  <c r="BR329" i="48"/>
  <c r="BQ329" i="48"/>
  <c r="S329" i="48"/>
  <c r="CC328" i="48"/>
  <c r="CB328" i="48"/>
  <c r="CA328" i="48"/>
  <c r="BZ328" i="48"/>
  <c r="BY328" i="48"/>
  <c r="BX328" i="48"/>
  <c r="BW328" i="48"/>
  <c r="BV328" i="48"/>
  <c r="BU328" i="48"/>
  <c r="BT328" i="48"/>
  <c r="BS328" i="48"/>
  <c r="BR328" i="48"/>
  <c r="BQ328" i="48"/>
  <c r="S328" i="48"/>
  <c r="CC327" i="48"/>
  <c r="CB327" i="48"/>
  <c r="CA327" i="48"/>
  <c r="BZ327" i="48"/>
  <c r="BY327" i="48"/>
  <c r="BX327" i="48"/>
  <c r="BW327" i="48"/>
  <c r="BV327" i="48"/>
  <c r="BU327" i="48"/>
  <c r="BT327" i="48"/>
  <c r="BS327" i="48"/>
  <c r="BR327" i="48"/>
  <c r="BQ327" i="48"/>
  <c r="S327" i="48"/>
  <c r="CC326" i="48"/>
  <c r="CB326" i="48"/>
  <c r="CA326" i="48"/>
  <c r="BZ326" i="48"/>
  <c r="BY326" i="48"/>
  <c r="BX326" i="48"/>
  <c r="BW326" i="48"/>
  <c r="BV326" i="48"/>
  <c r="BU326" i="48"/>
  <c r="BT326" i="48"/>
  <c r="BS326" i="48"/>
  <c r="BR326" i="48"/>
  <c r="BQ326" i="48"/>
  <c r="S326" i="48"/>
  <c r="CC325" i="48"/>
  <c r="CB325" i="48"/>
  <c r="CA325" i="48"/>
  <c r="BZ325" i="48"/>
  <c r="BY325" i="48"/>
  <c r="BX325" i="48"/>
  <c r="BW325" i="48"/>
  <c r="BV325" i="48"/>
  <c r="BU325" i="48"/>
  <c r="BT325" i="48"/>
  <c r="BS325" i="48"/>
  <c r="BR325" i="48"/>
  <c r="BQ325" i="48"/>
  <c r="S325" i="48"/>
  <c r="DY324" i="48"/>
  <c r="CC324" i="48"/>
  <c r="CB324" i="48"/>
  <c r="CA324" i="48"/>
  <c r="BZ324" i="48"/>
  <c r="BY324" i="48"/>
  <c r="BX324" i="48"/>
  <c r="BW324" i="48"/>
  <c r="BV324" i="48"/>
  <c r="BU324" i="48"/>
  <c r="BT324" i="48"/>
  <c r="BS324" i="48"/>
  <c r="BR324" i="48"/>
  <c r="BQ324" i="48"/>
  <c r="S324" i="48"/>
  <c r="CC323" i="48"/>
  <c r="CB323" i="48"/>
  <c r="CA323" i="48"/>
  <c r="BZ323" i="48"/>
  <c r="BY323" i="48"/>
  <c r="BX323" i="48"/>
  <c r="BW323" i="48"/>
  <c r="BV323" i="48"/>
  <c r="BU323" i="48"/>
  <c r="BT323" i="48"/>
  <c r="BS323" i="48"/>
  <c r="BR323" i="48"/>
  <c r="BQ323" i="48"/>
  <c r="S323" i="48"/>
  <c r="CC322" i="48"/>
  <c r="CB322" i="48"/>
  <c r="CA322" i="48"/>
  <c r="BZ322" i="48"/>
  <c r="BY322" i="48"/>
  <c r="BX322" i="48"/>
  <c r="BW322" i="48"/>
  <c r="BV322" i="48"/>
  <c r="BU322" i="48"/>
  <c r="BT322" i="48"/>
  <c r="BS322" i="48"/>
  <c r="BR322" i="48"/>
  <c r="BQ322" i="48"/>
  <c r="S322" i="48"/>
  <c r="CC321" i="48"/>
  <c r="CB321" i="48"/>
  <c r="CA321" i="48"/>
  <c r="BZ321" i="48"/>
  <c r="BY321" i="48"/>
  <c r="BX321" i="48"/>
  <c r="BW321" i="48"/>
  <c r="BV321" i="48"/>
  <c r="BU321" i="48"/>
  <c r="BT321" i="48"/>
  <c r="BS321" i="48"/>
  <c r="BR321" i="48"/>
  <c r="BQ321" i="48"/>
  <c r="S321" i="48"/>
  <c r="CC320" i="48"/>
  <c r="CB320" i="48"/>
  <c r="CA320" i="48"/>
  <c r="BZ320" i="48"/>
  <c r="BY320" i="48"/>
  <c r="BX320" i="48"/>
  <c r="BW320" i="48"/>
  <c r="BV320" i="48"/>
  <c r="BU320" i="48"/>
  <c r="BT320" i="48"/>
  <c r="BS320" i="48"/>
  <c r="BR320" i="48"/>
  <c r="BQ320" i="48"/>
  <c r="S320" i="48"/>
  <c r="CC319" i="48"/>
  <c r="CB319" i="48"/>
  <c r="CA319" i="48"/>
  <c r="BZ319" i="48"/>
  <c r="BY319" i="48"/>
  <c r="BX319" i="48"/>
  <c r="BW319" i="48"/>
  <c r="BV319" i="48"/>
  <c r="BU319" i="48"/>
  <c r="BT319" i="48"/>
  <c r="BS319" i="48"/>
  <c r="BR319" i="48"/>
  <c r="BQ319" i="48"/>
  <c r="S319" i="48"/>
  <c r="DY318" i="48"/>
  <c r="CC318" i="48"/>
  <c r="CB318" i="48"/>
  <c r="CA318" i="48"/>
  <c r="BZ318" i="48"/>
  <c r="BY318" i="48"/>
  <c r="BX318" i="48"/>
  <c r="BW318" i="48"/>
  <c r="BV318" i="48"/>
  <c r="BU318" i="48"/>
  <c r="BT318" i="48"/>
  <c r="BS318" i="48"/>
  <c r="BR318" i="48"/>
  <c r="BQ318" i="48"/>
  <c r="S318" i="48"/>
  <c r="CC317" i="48"/>
  <c r="CB317" i="48"/>
  <c r="CA317" i="48"/>
  <c r="BZ317" i="48"/>
  <c r="BY317" i="48"/>
  <c r="BX317" i="48"/>
  <c r="BW317" i="48"/>
  <c r="BV317" i="48"/>
  <c r="BU317" i="48"/>
  <c r="BT317" i="48"/>
  <c r="BS317" i="48"/>
  <c r="BR317" i="48"/>
  <c r="BQ317" i="48"/>
  <c r="S317" i="48"/>
  <c r="CC316" i="48"/>
  <c r="CB316" i="48"/>
  <c r="CA316" i="48"/>
  <c r="BZ316" i="48"/>
  <c r="BY316" i="48"/>
  <c r="BX316" i="48"/>
  <c r="BW316" i="48"/>
  <c r="BV316" i="48"/>
  <c r="BU316" i="48"/>
  <c r="BT316" i="48"/>
  <c r="BS316" i="48"/>
  <c r="BR316" i="48"/>
  <c r="BQ316" i="48"/>
  <c r="S316" i="48"/>
  <c r="CC315" i="48"/>
  <c r="CB315" i="48"/>
  <c r="CA315" i="48"/>
  <c r="BZ315" i="48"/>
  <c r="BY315" i="48"/>
  <c r="BX315" i="48"/>
  <c r="BW315" i="48"/>
  <c r="BV315" i="48"/>
  <c r="BU315" i="48"/>
  <c r="BT315" i="48"/>
  <c r="BS315" i="48"/>
  <c r="BR315" i="48"/>
  <c r="BQ315" i="48"/>
  <c r="S315" i="48"/>
  <c r="DY314" i="48"/>
  <c r="CC314" i="48"/>
  <c r="CB314" i="48"/>
  <c r="CA314" i="48"/>
  <c r="BZ314" i="48"/>
  <c r="BY314" i="48"/>
  <c r="BX314" i="48"/>
  <c r="BW314" i="48"/>
  <c r="BV314" i="48"/>
  <c r="BU314" i="48"/>
  <c r="BT314" i="48"/>
  <c r="BS314" i="48"/>
  <c r="BR314" i="48"/>
  <c r="BQ314" i="48"/>
  <c r="S314" i="48"/>
  <c r="CC313" i="48"/>
  <c r="CB313" i="48"/>
  <c r="CA313" i="48"/>
  <c r="BZ313" i="48"/>
  <c r="BY313" i="48"/>
  <c r="BX313" i="48"/>
  <c r="BW313" i="48"/>
  <c r="BV313" i="48"/>
  <c r="BU313" i="48"/>
  <c r="BT313" i="48"/>
  <c r="BS313" i="48"/>
  <c r="BR313" i="48"/>
  <c r="BQ313" i="48"/>
  <c r="S313" i="48"/>
  <c r="CC312" i="48"/>
  <c r="CB312" i="48"/>
  <c r="CA312" i="48"/>
  <c r="BZ312" i="48"/>
  <c r="BY312" i="48"/>
  <c r="BX312" i="48"/>
  <c r="BW312" i="48"/>
  <c r="BV312" i="48"/>
  <c r="BU312" i="48"/>
  <c r="BT312" i="48"/>
  <c r="BS312" i="48"/>
  <c r="BR312" i="48"/>
  <c r="BQ312" i="48"/>
  <c r="S312" i="48"/>
  <c r="CC311" i="48"/>
  <c r="CB311" i="48"/>
  <c r="CA311" i="48"/>
  <c r="BZ311" i="48"/>
  <c r="BY311" i="48"/>
  <c r="BX311" i="48"/>
  <c r="BW311" i="48"/>
  <c r="BV311" i="48"/>
  <c r="BU311" i="48"/>
  <c r="BT311" i="48"/>
  <c r="BS311" i="48"/>
  <c r="BR311" i="48"/>
  <c r="BQ311" i="48"/>
  <c r="S311" i="48"/>
  <c r="CC310" i="48"/>
  <c r="CB310" i="48"/>
  <c r="CA310" i="48"/>
  <c r="BZ310" i="48"/>
  <c r="BY310" i="48"/>
  <c r="BX310" i="48"/>
  <c r="BW310" i="48"/>
  <c r="BV310" i="48"/>
  <c r="BU310" i="48"/>
  <c r="BT310" i="48"/>
  <c r="BS310" i="48"/>
  <c r="BR310" i="48"/>
  <c r="BQ310" i="48"/>
  <c r="S310" i="48"/>
  <c r="CC309" i="48"/>
  <c r="CB309" i="48"/>
  <c r="CA309" i="48"/>
  <c r="BZ309" i="48"/>
  <c r="BY309" i="48"/>
  <c r="BX309" i="48"/>
  <c r="BW309" i="48"/>
  <c r="BV309" i="48"/>
  <c r="BU309" i="48"/>
  <c r="BT309" i="48"/>
  <c r="BS309" i="48"/>
  <c r="BR309" i="48"/>
  <c r="BQ309" i="48"/>
  <c r="S309" i="48"/>
  <c r="CC308" i="48"/>
  <c r="CB308" i="48"/>
  <c r="CA308" i="48"/>
  <c r="BZ308" i="48"/>
  <c r="BY308" i="48"/>
  <c r="BX308" i="48"/>
  <c r="BW308" i="48"/>
  <c r="BV308" i="48"/>
  <c r="BU308" i="48"/>
  <c r="BT308" i="48"/>
  <c r="BS308" i="48"/>
  <c r="BR308" i="48"/>
  <c r="BQ308" i="48"/>
  <c r="S308" i="48"/>
  <c r="CC307" i="48"/>
  <c r="CB307" i="48"/>
  <c r="CA307" i="48"/>
  <c r="BZ307" i="48"/>
  <c r="BY307" i="48"/>
  <c r="BX307" i="48"/>
  <c r="BW307" i="48"/>
  <c r="BV307" i="48"/>
  <c r="BU307" i="48"/>
  <c r="BT307" i="48"/>
  <c r="BS307" i="48"/>
  <c r="BR307" i="48"/>
  <c r="BQ307" i="48"/>
  <c r="S307" i="48"/>
  <c r="CC306" i="48"/>
  <c r="CB306" i="48"/>
  <c r="CA306" i="48"/>
  <c r="BZ306" i="48"/>
  <c r="BY306" i="48"/>
  <c r="BX306" i="48"/>
  <c r="BW306" i="48"/>
  <c r="BV306" i="48"/>
  <c r="BU306" i="48"/>
  <c r="BT306" i="48"/>
  <c r="BS306" i="48"/>
  <c r="BR306" i="48"/>
  <c r="BQ306" i="48"/>
  <c r="S306" i="48"/>
  <c r="CC305" i="48"/>
  <c r="CB305" i="48"/>
  <c r="CA305" i="48"/>
  <c r="BZ305" i="48"/>
  <c r="BY305" i="48"/>
  <c r="BX305" i="48"/>
  <c r="BW305" i="48"/>
  <c r="BV305" i="48"/>
  <c r="BU305" i="48"/>
  <c r="BT305" i="48"/>
  <c r="BS305" i="48"/>
  <c r="BR305" i="48"/>
  <c r="BQ305" i="48"/>
  <c r="S305" i="48"/>
  <c r="CC304" i="48"/>
  <c r="CB304" i="48"/>
  <c r="CA304" i="48"/>
  <c r="BZ304" i="48"/>
  <c r="BY304" i="48"/>
  <c r="BX304" i="48"/>
  <c r="BW304" i="48"/>
  <c r="BV304" i="48"/>
  <c r="BU304" i="48"/>
  <c r="BT304" i="48"/>
  <c r="BS304" i="48"/>
  <c r="BR304" i="48"/>
  <c r="BQ304" i="48"/>
  <c r="S304" i="48"/>
  <c r="CC303" i="48"/>
  <c r="CB303" i="48"/>
  <c r="CA303" i="48"/>
  <c r="BZ303" i="48"/>
  <c r="BY303" i="48"/>
  <c r="BX303" i="48"/>
  <c r="BW303" i="48"/>
  <c r="BV303" i="48"/>
  <c r="BU303" i="48"/>
  <c r="BT303" i="48"/>
  <c r="BS303" i="48"/>
  <c r="BR303" i="48"/>
  <c r="BQ303" i="48"/>
  <c r="S303" i="48"/>
  <c r="CC302" i="48"/>
  <c r="CB302" i="48"/>
  <c r="CA302" i="48"/>
  <c r="BZ302" i="48"/>
  <c r="BY302" i="48"/>
  <c r="BX302" i="48"/>
  <c r="BW302" i="48"/>
  <c r="BV302" i="48"/>
  <c r="BU302" i="48"/>
  <c r="BT302" i="48"/>
  <c r="BS302" i="48"/>
  <c r="BR302" i="48"/>
  <c r="BQ302" i="48"/>
  <c r="S302" i="48"/>
  <c r="CC301" i="48"/>
  <c r="CB301" i="48"/>
  <c r="CA301" i="48"/>
  <c r="BZ301" i="48"/>
  <c r="BY301" i="48"/>
  <c r="BX301" i="48"/>
  <c r="BW301" i="48"/>
  <c r="BV301" i="48"/>
  <c r="BU301" i="48"/>
  <c r="BT301" i="48"/>
  <c r="BS301" i="48"/>
  <c r="BR301" i="48"/>
  <c r="BQ301" i="48"/>
  <c r="S301" i="48"/>
  <c r="CC300" i="48"/>
  <c r="CB300" i="48"/>
  <c r="CA300" i="48"/>
  <c r="BZ300" i="48"/>
  <c r="BY300" i="48"/>
  <c r="BX300" i="48"/>
  <c r="BW300" i="48"/>
  <c r="BV300" i="48"/>
  <c r="BU300" i="48"/>
  <c r="BT300" i="48"/>
  <c r="BS300" i="48"/>
  <c r="BR300" i="48"/>
  <c r="BQ300" i="48"/>
  <c r="S300" i="48"/>
  <c r="CC299" i="48"/>
  <c r="CB299" i="48"/>
  <c r="CA299" i="48"/>
  <c r="BZ299" i="48"/>
  <c r="BY299" i="48"/>
  <c r="BX299" i="48"/>
  <c r="BW299" i="48"/>
  <c r="BV299" i="48"/>
  <c r="BU299" i="48"/>
  <c r="BT299" i="48"/>
  <c r="BS299" i="48"/>
  <c r="BR299" i="48"/>
  <c r="BQ299" i="48"/>
  <c r="S299" i="48"/>
  <c r="CC298" i="48"/>
  <c r="CB298" i="48"/>
  <c r="CA298" i="48"/>
  <c r="BZ298" i="48"/>
  <c r="BY298" i="48"/>
  <c r="BX298" i="48"/>
  <c r="BW298" i="48"/>
  <c r="BV298" i="48"/>
  <c r="BU298" i="48"/>
  <c r="BT298" i="48"/>
  <c r="BS298" i="48"/>
  <c r="BR298" i="48"/>
  <c r="BQ298" i="48"/>
  <c r="S298" i="48"/>
  <c r="CC297" i="48"/>
  <c r="CB297" i="48"/>
  <c r="CA297" i="48"/>
  <c r="BZ297" i="48"/>
  <c r="BY297" i="48"/>
  <c r="BX297" i="48"/>
  <c r="BW297" i="48"/>
  <c r="BV297" i="48"/>
  <c r="BU297" i="48"/>
  <c r="BT297" i="48"/>
  <c r="BS297" i="48"/>
  <c r="BR297" i="48"/>
  <c r="BQ297" i="48"/>
  <c r="S297" i="48"/>
  <c r="CC296" i="48"/>
  <c r="CB296" i="48"/>
  <c r="CA296" i="48"/>
  <c r="BZ296" i="48"/>
  <c r="BY296" i="48"/>
  <c r="BX296" i="48"/>
  <c r="BW296" i="48"/>
  <c r="BV296" i="48"/>
  <c r="BU296" i="48"/>
  <c r="BT296" i="48"/>
  <c r="BS296" i="48"/>
  <c r="BR296" i="48"/>
  <c r="BQ296" i="48"/>
  <c r="S296" i="48"/>
  <c r="CC295" i="48"/>
  <c r="CB295" i="48"/>
  <c r="CA295" i="48"/>
  <c r="BZ295" i="48"/>
  <c r="BY295" i="48"/>
  <c r="BX295" i="48"/>
  <c r="BW295" i="48"/>
  <c r="BV295" i="48"/>
  <c r="BU295" i="48"/>
  <c r="BT295" i="48"/>
  <c r="BS295" i="48"/>
  <c r="BR295" i="48"/>
  <c r="BQ295" i="48"/>
  <c r="S295" i="48"/>
  <c r="CC294" i="48"/>
  <c r="CB294" i="48"/>
  <c r="CA294" i="48"/>
  <c r="BZ294" i="48"/>
  <c r="BY294" i="48"/>
  <c r="BX294" i="48"/>
  <c r="BW294" i="48"/>
  <c r="BV294" i="48"/>
  <c r="BU294" i="48"/>
  <c r="BT294" i="48"/>
  <c r="BS294" i="48"/>
  <c r="BR294" i="48"/>
  <c r="BQ294" i="48"/>
  <c r="S294" i="48"/>
  <c r="CC293" i="48"/>
  <c r="CB293" i="48"/>
  <c r="CA293" i="48"/>
  <c r="BZ293" i="48"/>
  <c r="BY293" i="48"/>
  <c r="BX293" i="48"/>
  <c r="BW293" i="48"/>
  <c r="BV293" i="48"/>
  <c r="BU293" i="48"/>
  <c r="BT293" i="48"/>
  <c r="BS293" i="48"/>
  <c r="BR293" i="48"/>
  <c r="BQ293" i="48"/>
  <c r="S293" i="48"/>
  <c r="CC292" i="48"/>
  <c r="CB292" i="48"/>
  <c r="CA292" i="48"/>
  <c r="BZ292" i="48"/>
  <c r="BY292" i="48"/>
  <c r="BX292" i="48"/>
  <c r="BW292" i="48"/>
  <c r="BV292" i="48"/>
  <c r="BU292" i="48"/>
  <c r="BT292" i="48"/>
  <c r="BS292" i="48"/>
  <c r="BR292" i="48"/>
  <c r="BQ292" i="48"/>
  <c r="S292" i="48"/>
  <c r="CC291" i="48"/>
  <c r="CB291" i="48"/>
  <c r="CA291" i="48"/>
  <c r="BZ291" i="48"/>
  <c r="BY291" i="48"/>
  <c r="BX291" i="48"/>
  <c r="BW291" i="48"/>
  <c r="BV291" i="48"/>
  <c r="BU291" i="48"/>
  <c r="BT291" i="48"/>
  <c r="BS291" i="48"/>
  <c r="BR291" i="48"/>
  <c r="BQ291" i="48"/>
  <c r="S291" i="48"/>
  <c r="CC290" i="48"/>
  <c r="CB290" i="48"/>
  <c r="CA290" i="48"/>
  <c r="BZ290" i="48"/>
  <c r="BY290" i="48"/>
  <c r="BX290" i="48"/>
  <c r="BW290" i="48"/>
  <c r="BV290" i="48"/>
  <c r="BU290" i="48"/>
  <c r="BT290" i="48"/>
  <c r="BS290" i="48"/>
  <c r="BR290" i="48"/>
  <c r="BQ290" i="48"/>
  <c r="S290" i="48"/>
  <c r="CC289" i="48"/>
  <c r="CB289" i="48"/>
  <c r="CA289" i="48"/>
  <c r="BZ289" i="48"/>
  <c r="BY289" i="48"/>
  <c r="BX289" i="48"/>
  <c r="BW289" i="48"/>
  <c r="BV289" i="48"/>
  <c r="BU289" i="48"/>
  <c r="BT289" i="48"/>
  <c r="BS289" i="48"/>
  <c r="BR289" i="48"/>
  <c r="BQ289" i="48"/>
  <c r="S289" i="48"/>
  <c r="CC288" i="48"/>
  <c r="CB288" i="48"/>
  <c r="CA288" i="48"/>
  <c r="BZ288" i="48"/>
  <c r="BY288" i="48"/>
  <c r="BX288" i="48"/>
  <c r="BW288" i="48"/>
  <c r="BV288" i="48"/>
  <c r="BU288" i="48"/>
  <c r="BT288" i="48"/>
  <c r="BS288" i="48"/>
  <c r="BR288" i="48"/>
  <c r="BQ288" i="48"/>
  <c r="S288" i="48"/>
  <c r="CC287" i="48"/>
  <c r="CB287" i="48"/>
  <c r="CA287" i="48"/>
  <c r="BZ287" i="48"/>
  <c r="BY287" i="48"/>
  <c r="BX287" i="48"/>
  <c r="BW287" i="48"/>
  <c r="BV287" i="48"/>
  <c r="BU287" i="48"/>
  <c r="BT287" i="48"/>
  <c r="BS287" i="48"/>
  <c r="BR287" i="48"/>
  <c r="BQ287" i="48"/>
  <c r="S287" i="48"/>
  <c r="CC286" i="48"/>
  <c r="CB286" i="48"/>
  <c r="CA286" i="48"/>
  <c r="BZ286" i="48"/>
  <c r="BY286" i="48"/>
  <c r="BX286" i="48"/>
  <c r="BW286" i="48"/>
  <c r="BV286" i="48"/>
  <c r="BU286" i="48"/>
  <c r="BT286" i="48"/>
  <c r="BS286" i="48"/>
  <c r="BR286" i="48"/>
  <c r="BQ286" i="48"/>
  <c r="S286" i="48"/>
  <c r="CC285" i="48"/>
  <c r="CB285" i="48"/>
  <c r="CA285" i="48"/>
  <c r="BZ285" i="48"/>
  <c r="BY285" i="48"/>
  <c r="BX285" i="48"/>
  <c r="BW285" i="48"/>
  <c r="BV285" i="48"/>
  <c r="BU285" i="48"/>
  <c r="BT285" i="48"/>
  <c r="BS285" i="48"/>
  <c r="BR285" i="48"/>
  <c r="BQ285" i="48"/>
  <c r="S285" i="48"/>
  <c r="CC284" i="48"/>
  <c r="CB284" i="48"/>
  <c r="CA284" i="48"/>
  <c r="BZ284" i="48"/>
  <c r="BY284" i="48"/>
  <c r="BX284" i="48"/>
  <c r="BW284" i="48"/>
  <c r="BV284" i="48"/>
  <c r="BU284" i="48"/>
  <c r="BT284" i="48"/>
  <c r="BS284" i="48"/>
  <c r="BR284" i="48"/>
  <c r="BQ284" i="48"/>
  <c r="S284" i="48"/>
  <c r="CC283" i="48"/>
  <c r="CB283" i="48"/>
  <c r="CA283" i="48"/>
  <c r="BZ283" i="48"/>
  <c r="BY283" i="48"/>
  <c r="BX283" i="48"/>
  <c r="BW283" i="48"/>
  <c r="BV283" i="48"/>
  <c r="BU283" i="48"/>
  <c r="BT283" i="48"/>
  <c r="BS283" i="48"/>
  <c r="BR283" i="48"/>
  <c r="BQ283" i="48"/>
  <c r="S283" i="48"/>
  <c r="CC282" i="48"/>
  <c r="CB282" i="48"/>
  <c r="CA282" i="48"/>
  <c r="BZ282" i="48"/>
  <c r="BY282" i="48"/>
  <c r="BX282" i="48"/>
  <c r="BW282" i="48"/>
  <c r="BV282" i="48"/>
  <c r="BU282" i="48"/>
  <c r="BT282" i="48"/>
  <c r="BS282" i="48"/>
  <c r="BR282" i="48"/>
  <c r="BQ282" i="48"/>
  <c r="S282" i="48"/>
  <c r="CC281" i="48"/>
  <c r="CB281" i="48"/>
  <c r="CA281" i="48"/>
  <c r="BZ281" i="48"/>
  <c r="BY281" i="48"/>
  <c r="BX281" i="48"/>
  <c r="BW281" i="48"/>
  <c r="BV281" i="48"/>
  <c r="BU281" i="48"/>
  <c r="BT281" i="48"/>
  <c r="BS281" i="48"/>
  <c r="BR281" i="48"/>
  <c r="BQ281" i="48"/>
  <c r="S281" i="48"/>
  <c r="CC280" i="48"/>
  <c r="CB280" i="48"/>
  <c r="CA280" i="48"/>
  <c r="BZ280" i="48"/>
  <c r="BY280" i="48"/>
  <c r="BX280" i="48"/>
  <c r="BW280" i="48"/>
  <c r="BV280" i="48"/>
  <c r="BU280" i="48"/>
  <c r="BT280" i="48"/>
  <c r="BS280" i="48"/>
  <c r="BR280" i="48"/>
  <c r="BQ280" i="48"/>
  <c r="S280" i="48"/>
  <c r="CC279" i="48"/>
  <c r="CB279" i="48"/>
  <c r="CA279" i="48"/>
  <c r="BZ279" i="48"/>
  <c r="BY279" i="48"/>
  <c r="BX279" i="48"/>
  <c r="BW279" i="48"/>
  <c r="BV279" i="48"/>
  <c r="BU279" i="48"/>
  <c r="BT279" i="48"/>
  <c r="BS279" i="48"/>
  <c r="BR279" i="48"/>
  <c r="BQ279" i="48"/>
  <c r="S279" i="48"/>
  <c r="CC278" i="48"/>
  <c r="CB278" i="48"/>
  <c r="CA278" i="48"/>
  <c r="BZ278" i="48"/>
  <c r="BY278" i="48"/>
  <c r="BX278" i="48"/>
  <c r="BW278" i="48"/>
  <c r="BV278" i="48"/>
  <c r="BU278" i="48"/>
  <c r="BT278" i="48"/>
  <c r="BS278" i="48"/>
  <c r="BR278" i="48"/>
  <c r="BQ278" i="48"/>
  <c r="S278" i="48"/>
  <c r="CC277" i="48"/>
  <c r="CB277" i="48"/>
  <c r="CA277" i="48"/>
  <c r="BZ277" i="48"/>
  <c r="BY277" i="48"/>
  <c r="BX277" i="48"/>
  <c r="BW277" i="48"/>
  <c r="BV277" i="48"/>
  <c r="BU277" i="48"/>
  <c r="BT277" i="48"/>
  <c r="BS277" i="48"/>
  <c r="BR277" i="48"/>
  <c r="BQ277" i="48"/>
  <c r="S277" i="48"/>
  <c r="CC276" i="48"/>
  <c r="CB276" i="48"/>
  <c r="CA276" i="48"/>
  <c r="BZ276" i="48"/>
  <c r="BY276" i="48"/>
  <c r="BX276" i="48"/>
  <c r="BW276" i="48"/>
  <c r="BV276" i="48"/>
  <c r="BU276" i="48"/>
  <c r="BT276" i="48"/>
  <c r="BS276" i="48"/>
  <c r="BR276" i="48"/>
  <c r="BQ276" i="48"/>
  <c r="S276" i="48"/>
  <c r="CC275" i="48"/>
  <c r="CB275" i="48"/>
  <c r="CA275" i="48"/>
  <c r="BZ275" i="48"/>
  <c r="BY275" i="48"/>
  <c r="BX275" i="48"/>
  <c r="BW275" i="48"/>
  <c r="BV275" i="48"/>
  <c r="BU275" i="48"/>
  <c r="BT275" i="48"/>
  <c r="BS275" i="48"/>
  <c r="BR275" i="48"/>
  <c r="BQ275" i="48"/>
  <c r="S275" i="48"/>
  <c r="CC274" i="48"/>
  <c r="CB274" i="48"/>
  <c r="CA274" i="48"/>
  <c r="BZ274" i="48"/>
  <c r="BY274" i="48"/>
  <c r="BX274" i="48"/>
  <c r="BW274" i="48"/>
  <c r="BV274" i="48"/>
  <c r="BU274" i="48"/>
  <c r="BT274" i="48"/>
  <c r="BS274" i="48"/>
  <c r="BR274" i="48"/>
  <c r="BQ274" i="48"/>
  <c r="S274" i="48"/>
  <c r="CC273" i="48"/>
  <c r="CB273" i="48"/>
  <c r="CA273" i="48"/>
  <c r="BZ273" i="48"/>
  <c r="BY273" i="48"/>
  <c r="BX273" i="48"/>
  <c r="BW273" i="48"/>
  <c r="BV273" i="48"/>
  <c r="BU273" i="48"/>
  <c r="BT273" i="48"/>
  <c r="BS273" i="48"/>
  <c r="BR273" i="48"/>
  <c r="BQ273" i="48"/>
  <c r="S273" i="48"/>
  <c r="CC272" i="48"/>
  <c r="CB272" i="48"/>
  <c r="CA272" i="48"/>
  <c r="BZ272" i="48"/>
  <c r="BY272" i="48"/>
  <c r="BX272" i="48"/>
  <c r="BW272" i="48"/>
  <c r="BV272" i="48"/>
  <c r="BU272" i="48"/>
  <c r="BT272" i="48"/>
  <c r="BS272" i="48"/>
  <c r="BR272" i="48"/>
  <c r="BQ272" i="48"/>
  <c r="S272" i="48"/>
  <c r="CC271" i="48"/>
  <c r="CB271" i="48"/>
  <c r="CA271" i="48"/>
  <c r="BZ271" i="48"/>
  <c r="BY271" i="48"/>
  <c r="BX271" i="48"/>
  <c r="BW271" i="48"/>
  <c r="BV271" i="48"/>
  <c r="BU271" i="48"/>
  <c r="BT271" i="48"/>
  <c r="BS271" i="48"/>
  <c r="BR271" i="48"/>
  <c r="BQ271" i="48"/>
  <c r="S271" i="48"/>
  <c r="CC270" i="48"/>
  <c r="CB270" i="48"/>
  <c r="CA270" i="48"/>
  <c r="BZ270" i="48"/>
  <c r="BY270" i="48"/>
  <c r="BX270" i="48"/>
  <c r="BW270" i="48"/>
  <c r="BV270" i="48"/>
  <c r="BU270" i="48"/>
  <c r="BT270" i="48"/>
  <c r="BS270" i="48"/>
  <c r="BR270" i="48"/>
  <c r="BQ270" i="48"/>
  <c r="S270" i="48"/>
  <c r="CC269" i="48"/>
  <c r="CB269" i="48"/>
  <c r="CA269" i="48"/>
  <c r="BZ269" i="48"/>
  <c r="BY269" i="48"/>
  <c r="BX269" i="48"/>
  <c r="BW269" i="48"/>
  <c r="BV269" i="48"/>
  <c r="BU269" i="48"/>
  <c r="BT269" i="48"/>
  <c r="BS269" i="48"/>
  <c r="BR269" i="48"/>
  <c r="BQ269" i="48"/>
  <c r="S269" i="48"/>
  <c r="CC268" i="48"/>
  <c r="CB268" i="48"/>
  <c r="CA268" i="48"/>
  <c r="BZ268" i="48"/>
  <c r="BY268" i="48"/>
  <c r="BX268" i="48"/>
  <c r="BW268" i="48"/>
  <c r="BV268" i="48"/>
  <c r="BU268" i="48"/>
  <c r="BT268" i="48"/>
  <c r="BS268" i="48"/>
  <c r="BR268" i="48"/>
  <c r="BQ268" i="48"/>
  <c r="S268" i="48"/>
  <c r="CC267" i="48"/>
  <c r="CB267" i="48"/>
  <c r="CA267" i="48"/>
  <c r="BZ267" i="48"/>
  <c r="BY267" i="48"/>
  <c r="BX267" i="48"/>
  <c r="BW267" i="48"/>
  <c r="BV267" i="48"/>
  <c r="BU267" i="48"/>
  <c r="BT267" i="48"/>
  <c r="BS267" i="48"/>
  <c r="BR267" i="48"/>
  <c r="BQ267" i="48"/>
  <c r="S267" i="48"/>
  <c r="CC266" i="48"/>
  <c r="CB266" i="48"/>
  <c r="CA266" i="48"/>
  <c r="BZ266" i="48"/>
  <c r="BY266" i="48"/>
  <c r="BX266" i="48"/>
  <c r="BW266" i="48"/>
  <c r="BV266" i="48"/>
  <c r="BU266" i="48"/>
  <c r="BT266" i="48"/>
  <c r="BS266" i="48"/>
  <c r="BR266" i="48"/>
  <c r="BQ266" i="48"/>
  <c r="S266" i="48"/>
  <c r="CC265" i="48"/>
  <c r="CB265" i="48"/>
  <c r="CA265" i="48"/>
  <c r="BZ265" i="48"/>
  <c r="BY265" i="48"/>
  <c r="BX265" i="48"/>
  <c r="BW265" i="48"/>
  <c r="BV265" i="48"/>
  <c r="BU265" i="48"/>
  <c r="BT265" i="48"/>
  <c r="BS265" i="48"/>
  <c r="BR265" i="48"/>
  <c r="BQ265" i="48"/>
  <c r="S265" i="48"/>
  <c r="CC264" i="48"/>
  <c r="CB264" i="48"/>
  <c r="CA264" i="48"/>
  <c r="BZ264" i="48"/>
  <c r="BY264" i="48"/>
  <c r="BX264" i="48"/>
  <c r="BW264" i="48"/>
  <c r="BV264" i="48"/>
  <c r="BU264" i="48"/>
  <c r="BT264" i="48"/>
  <c r="BS264" i="48"/>
  <c r="BR264" i="48"/>
  <c r="BQ264" i="48"/>
  <c r="S264" i="48"/>
  <c r="DY263" i="48"/>
  <c r="CC263" i="48"/>
  <c r="CB263" i="48"/>
  <c r="CA263" i="48"/>
  <c r="BZ263" i="48"/>
  <c r="BY263" i="48"/>
  <c r="BX263" i="48"/>
  <c r="BW263" i="48"/>
  <c r="BV263" i="48"/>
  <c r="BU263" i="48"/>
  <c r="BT263" i="48"/>
  <c r="BS263" i="48"/>
  <c r="BR263" i="48"/>
  <c r="BQ263" i="48"/>
  <c r="S263" i="48"/>
  <c r="CC262" i="48"/>
  <c r="CB262" i="48"/>
  <c r="CA262" i="48"/>
  <c r="BZ262" i="48"/>
  <c r="BY262" i="48"/>
  <c r="BX262" i="48"/>
  <c r="BW262" i="48"/>
  <c r="BV262" i="48"/>
  <c r="BU262" i="48"/>
  <c r="BT262" i="48"/>
  <c r="BS262" i="48"/>
  <c r="BR262" i="48"/>
  <c r="BQ262" i="48"/>
  <c r="S262" i="48"/>
  <c r="CC261" i="48"/>
  <c r="CB261" i="48"/>
  <c r="CA261" i="48"/>
  <c r="BZ261" i="48"/>
  <c r="BY261" i="48"/>
  <c r="BX261" i="48"/>
  <c r="BW261" i="48"/>
  <c r="BV261" i="48"/>
  <c r="BU261" i="48"/>
  <c r="BT261" i="48"/>
  <c r="BS261" i="48"/>
  <c r="BR261" i="48"/>
  <c r="BQ261" i="48"/>
  <c r="S261" i="48"/>
  <c r="CC260" i="48"/>
  <c r="CB260" i="48"/>
  <c r="CA260" i="48"/>
  <c r="BZ260" i="48"/>
  <c r="BY260" i="48"/>
  <c r="BX260" i="48"/>
  <c r="BW260" i="48"/>
  <c r="BV260" i="48"/>
  <c r="BU260" i="48"/>
  <c r="BT260" i="48"/>
  <c r="BS260" i="48"/>
  <c r="BR260" i="48"/>
  <c r="BQ260" i="48"/>
  <c r="S260" i="48"/>
  <c r="CC259" i="48"/>
  <c r="CB259" i="48"/>
  <c r="CA259" i="48"/>
  <c r="BZ259" i="48"/>
  <c r="BY259" i="48"/>
  <c r="BX259" i="48"/>
  <c r="BW259" i="48"/>
  <c r="BV259" i="48"/>
  <c r="BU259" i="48"/>
  <c r="BT259" i="48"/>
  <c r="BS259" i="48"/>
  <c r="BR259" i="48"/>
  <c r="BQ259" i="48"/>
  <c r="S259" i="48"/>
  <c r="CC258" i="48"/>
  <c r="CB258" i="48"/>
  <c r="CA258" i="48"/>
  <c r="BZ258" i="48"/>
  <c r="BY258" i="48"/>
  <c r="BX258" i="48"/>
  <c r="BW258" i="48"/>
  <c r="BV258" i="48"/>
  <c r="BU258" i="48"/>
  <c r="BT258" i="48"/>
  <c r="BS258" i="48"/>
  <c r="BR258" i="48"/>
  <c r="BQ258" i="48"/>
  <c r="S258" i="48"/>
  <c r="CC257" i="48"/>
  <c r="CB257" i="48"/>
  <c r="CA257" i="48"/>
  <c r="BZ257" i="48"/>
  <c r="BY257" i="48"/>
  <c r="BX257" i="48"/>
  <c r="BW257" i="48"/>
  <c r="BV257" i="48"/>
  <c r="BU257" i="48"/>
  <c r="BT257" i="48"/>
  <c r="BS257" i="48"/>
  <c r="BR257" i="48"/>
  <c r="BQ257" i="48"/>
  <c r="S257" i="48"/>
  <c r="CC256" i="48"/>
  <c r="CB256" i="48"/>
  <c r="CA256" i="48"/>
  <c r="BZ256" i="48"/>
  <c r="BY256" i="48"/>
  <c r="BX256" i="48"/>
  <c r="BW256" i="48"/>
  <c r="BV256" i="48"/>
  <c r="BU256" i="48"/>
  <c r="BT256" i="48"/>
  <c r="BS256" i="48"/>
  <c r="BR256" i="48"/>
  <c r="BQ256" i="48"/>
  <c r="S256" i="48"/>
  <c r="CC255" i="48"/>
  <c r="CB255" i="48"/>
  <c r="CA255" i="48"/>
  <c r="BZ255" i="48"/>
  <c r="BY255" i="48"/>
  <c r="BX255" i="48"/>
  <c r="BW255" i="48"/>
  <c r="BV255" i="48"/>
  <c r="BU255" i="48"/>
  <c r="BT255" i="48"/>
  <c r="BS255" i="48"/>
  <c r="BR255" i="48"/>
  <c r="BQ255" i="48"/>
  <c r="S255" i="48"/>
  <c r="CC254" i="48"/>
  <c r="CB254" i="48"/>
  <c r="CA254" i="48"/>
  <c r="BZ254" i="48"/>
  <c r="BY254" i="48"/>
  <c r="BX254" i="48"/>
  <c r="BW254" i="48"/>
  <c r="BV254" i="48"/>
  <c r="BU254" i="48"/>
  <c r="BT254" i="48"/>
  <c r="BS254" i="48"/>
  <c r="BR254" i="48"/>
  <c r="BQ254" i="48"/>
  <c r="S254" i="48"/>
  <c r="CC253" i="48"/>
  <c r="CB253" i="48"/>
  <c r="CA253" i="48"/>
  <c r="BZ253" i="48"/>
  <c r="BY253" i="48"/>
  <c r="BX253" i="48"/>
  <c r="BW253" i="48"/>
  <c r="BV253" i="48"/>
  <c r="BU253" i="48"/>
  <c r="BT253" i="48"/>
  <c r="BS253" i="48"/>
  <c r="BR253" i="48"/>
  <c r="BQ253" i="48"/>
  <c r="S253" i="48"/>
  <c r="CC252" i="48"/>
  <c r="CB252" i="48"/>
  <c r="CA252" i="48"/>
  <c r="BZ252" i="48"/>
  <c r="BY252" i="48"/>
  <c r="BX252" i="48"/>
  <c r="BW252" i="48"/>
  <c r="BV252" i="48"/>
  <c r="BU252" i="48"/>
  <c r="BT252" i="48"/>
  <c r="BS252" i="48"/>
  <c r="BR252" i="48"/>
  <c r="BQ252" i="48"/>
  <c r="S252" i="48"/>
  <c r="CC251" i="48"/>
  <c r="CB251" i="48"/>
  <c r="CA251" i="48"/>
  <c r="BZ251" i="48"/>
  <c r="BY251" i="48"/>
  <c r="BX251" i="48"/>
  <c r="BW251" i="48"/>
  <c r="BV251" i="48"/>
  <c r="BU251" i="48"/>
  <c r="BT251" i="48"/>
  <c r="BS251" i="48"/>
  <c r="BR251" i="48"/>
  <c r="BQ251" i="48"/>
  <c r="S251" i="48"/>
  <c r="CC250" i="48"/>
  <c r="CB250" i="48"/>
  <c r="CA250" i="48"/>
  <c r="BZ250" i="48"/>
  <c r="BY250" i="48"/>
  <c r="BX250" i="48"/>
  <c r="BW250" i="48"/>
  <c r="BV250" i="48"/>
  <c r="BU250" i="48"/>
  <c r="BT250" i="48"/>
  <c r="BS250" i="48"/>
  <c r="BR250" i="48"/>
  <c r="BQ250" i="48"/>
  <c r="S250" i="48"/>
  <c r="CC249" i="48"/>
  <c r="CB249" i="48"/>
  <c r="CA249" i="48"/>
  <c r="BZ249" i="48"/>
  <c r="BY249" i="48"/>
  <c r="BX249" i="48"/>
  <c r="BW249" i="48"/>
  <c r="BV249" i="48"/>
  <c r="BU249" i="48"/>
  <c r="BT249" i="48"/>
  <c r="BS249" i="48"/>
  <c r="BR249" i="48"/>
  <c r="BQ249" i="48"/>
  <c r="S249" i="48"/>
  <c r="CC248" i="48"/>
  <c r="CB248" i="48"/>
  <c r="CA248" i="48"/>
  <c r="BZ248" i="48"/>
  <c r="BY248" i="48"/>
  <c r="BX248" i="48"/>
  <c r="BW248" i="48"/>
  <c r="BV248" i="48"/>
  <c r="BU248" i="48"/>
  <c r="BT248" i="48"/>
  <c r="BS248" i="48"/>
  <c r="BR248" i="48"/>
  <c r="BQ248" i="48"/>
  <c r="S248" i="48"/>
  <c r="CC247" i="48"/>
  <c r="CB247" i="48"/>
  <c r="CA247" i="48"/>
  <c r="BZ247" i="48"/>
  <c r="BY247" i="48"/>
  <c r="BX247" i="48"/>
  <c r="BW247" i="48"/>
  <c r="BV247" i="48"/>
  <c r="BU247" i="48"/>
  <c r="BT247" i="48"/>
  <c r="BS247" i="48"/>
  <c r="BR247" i="48"/>
  <c r="BQ247" i="48"/>
  <c r="S247" i="48"/>
  <c r="CC246" i="48"/>
  <c r="CB246" i="48"/>
  <c r="CA246" i="48"/>
  <c r="BZ246" i="48"/>
  <c r="BY246" i="48"/>
  <c r="BX246" i="48"/>
  <c r="BW246" i="48"/>
  <c r="BV246" i="48"/>
  <c r="BU246" i="48"/>
  <c r="BT246" i="48"/>
  <c r="BS246" i="48"/>
  <c r="BR246" i="48"/>
  <c r="BQ246" i="48"/>
  <c r="S246" i="48"/>
  <c r="CC245" i="48"/>
  <c r="CB245" i="48"/>
  <c r="CA245" i="48"/>
  <c r="BZ245" i="48"/>
  <c r="BY245" i="48"/>
  <c r="BX245" i="48"/>
  <c r="BW245" i="48"/>
  <c r="BV245" i="48"/>
  <c r="BU245" i="48"/>
  <c r="BT245" i="48"/>
  <c r="BS245" i="48"/>
  <c r="BR245" i="48"/>
  <c r="BQ245" i="48"/>
  <c r="S245" i="48"/>
  <c r="CC244" i="48"/>
  <c r="CB244" i="48"/>
  <c r="CA244" i="48"/>
  <c r="BZ244" i="48"/>
  <c r="BY244" i="48"/>
  <c r="BX244" i="48"/>
  <c r="BW244" i="48"/>
  <c r="BV244" i="48"/>
  <c r="BU244" i="48"/>
  <c r="BT244" i="48"/>
  <c r="BS244" i="48"/>
  <c r="BR244" i="48"/>
  <c r="BQ244" i="48"/>
  <c r="S244" i="48"/>
  <c r="CC243" i="48"/>
  <c r="CB243" i="48"/>
  <c r="CA243" i="48"/>
  <c r="BZ243" i="48"/>
  <c r="BY243" i="48"/>
  <c r="BX243" i="48"/>
  <c r="BW243" i="48"/>
  <c r="BV243" i="48"/>
  <c r="BU243" i="48"/>
  <c r="BT243" i="48"/>
  <c r="BS243" i="48"/>
  <c r="BR243" i="48"/>
  <c r="BQ243" i="48"/>
  <c r="S243" i="48"/>
  <c r="CC242" i="48"/>
  <c r="CB242" i="48"/>
  <c r="CA242" i="48"/>
  <c r="BZ242" i="48"/>
  <c r="BY242" i="48"/>
  <c r="BX242" i="48"/>
  <c r="BW242" i="48"/>
  <c r="BV242" i="48"/>
  <c r="BU242" i="48"/>
  <c r="BT242" i="48"/>
  <c r="BS242" i="48"/>
  <c r="BR242" i="48"/>
  <c r="BQ242" i="48"/>
  <c r="S242" i="48"/>
  <c r="CC241" i="48"/>
  <c r="CB241" i="48"/>
  <c r="CA241" i="48"/>
  <c r="BZ241" i="48"/>
  <c r="BY241" i="48"/>
  <c r="BX241" i="48"/>
  <c r="BW241" i="48"/>
  <c r="BV241" i="48"/>
  <c r="BU241" i="48"/>
  <c r="BT241" i="48"/>
  <c r="BS241" i="48"/>
  <c r="BR241" i="48"/>
  <c r="BQ241" i="48"/>
  <c r="S241" i="48"/>
  <c r="CC240" i="48"/>
  <c r="CB240" i="48"/>
  <c r="CA240" i="48"/>
  <c r="BZ240" i="48"/>
  <c r="BY240" i="48"/>
  <c r="BX240" i="48"/>
  <c r="BW240" i="48"/>
  <c r="BV240" i="48"/>
  <c r="BU240" i="48"/>
  <c r="BT240" i="48"/>
  <c r="BS240" i="48"/>
  <c r="BR240" i="48"/>
  <c r="BQ240" i="48"/>
  <c r="S240" i="48"/>
  <c r="CC239" i="48"/>
  <c r="CB239" i="48"/>
  <c r="CA239" i="48"/>
  <c r="BZ239" i="48"/>
  <c r="BY239" i="48"/>
  <c r="BX239" i="48"/>
  <c r="BW239" i="48"/>
  <c r="BV239" i="48"/>
  <c r="BU239" i="48"/>
  <c r="BT239" i="48"/>
  <c r="BS239" i="48"/>
  <c r="BR239" i="48"/>
  <c r="BQ239" i="48"/>
  <c r="S239" i="48"/>
  <c r="CC238" i="48"/>
  <c r="CB238" i="48"/>
  <c r="CA238" i="48"/>
  <c r="BZ238" i="48"/>
  <c r="BY238" i="48"/>
  <c r="BX238" i="48"/>
  <c r="BW238" i="48"/>
  <c r="BV238" i="48"/>
  <c r="BU238" i="48"/>
  <c r="BT238" i="48"/>
  <c r="BS238" i="48"/>
  <c r="BR238" i="48"/>
  <c r="BQ238" i="48"/>
  <c r="S238" i="48"/>
  <c r="DY237" i="48"/>
  <c r="CC237" i="48"/>
  <c r="CB237" i="48"/>
  <c r="CA237" i="48"/>
  <c r="BZ237" i="48"/>
  <c r="BY237" i="48"/>
  <c r="BX237" i="48"/>
  <c r="BW237" i="48"/>
  <c r="BV237" i="48"/>
  <c r="BU237" i="48"/>
  <c r="BT237" i="48"/>
  <c r="BS237" i="48"/>
  <c r="BR237" i="48"/>
  <c r="BQ237" i="48"/>
  <c r="S237" i="48"/>
  <c r="DY236" i="48"/>
  <c r="CC236" i="48"/>
  <c r="CB236" i="48"/>
  <c r="CA236" i="48"/>
  <c r="BZ236" i="48"/>
  <c r="BY236" i="48"/>
  <c r="BX236" i="48"/>
  <c r="BW236" i="48"/>
  <c r="BV236" i="48"/>
  <c r="BU236" i="48"/>
  <c r="BT236" i="48"/>
  <c r="BS236" i="48"/>
  <c r="BR236" i="48"/>
  <c r="BQ236" i="48"/>
  <c r="S236" i="48"/>
  <c r="CC235" i="48"/>
  <c r="CB235" i="48"/>
  <c r="CA235" i="48"/>
  <c r="BZ235" i="48"/>
  <c r="BY235" i="48"/>
  <c r="BX235" i="48"/>
  <c r="BW235" i="48"/>
  <c r="BV235" i="48"/>
  <c r="BU235" i="48"/>
  <c r="BT235" i="48"/>
  <c r="BS235" i="48"/>
  <c r="BR235" i="48"/>
  <c r="BQ235" i="48"/>
  <c r="S235" i="48"/>
  <c r="CC234" i="48"/>
  <c r="CB234" i="48"/>
  <c r="CA234" i="48"/>
  <c r="BZ234" i="48"/>
  <c r="BY234" i="48"/>
  <c r="BX234" i="48"/>
  <c r="BW234" i="48"/>
  <c r="BV234" i="48"/>
  <c r="BU234" i="48"/>
  <c r="BT234" i="48"/>
  <c r="BS234" i="48"/>
  <c r="BR234" i="48"/>
  <c r="BQ234" i="48"/>
  <c r="S234" i="48"/>
  <c r="CC233" i="48"/>
  <c r="CB233" i="48"/>
  <c r="CA233" i="48"/>
  <c r="BZ233" i="48"/>
  <c r="BY233" i="48"/>
  <c r="BX233" i="48"/>
  <c r="BW233" i="48"/>
  <c r="BV233" i="48"/>
  <c r="BU233" i="48"/>
  <c r="BT233" i="48"/>
  <c r="BS233" i="48"/>
  <c r="BR233" i="48"/>
  <c r="BQ233" i="48"/>
  <c r="S233" i="48"/>
  <c r="CC232" i="48"/>
  <c r="CB232" i="48"/>
  <c r="CA232" i="48"/>
  <c r="BZ232" i="48"/>
  <c r="BY232" i="48"/>
  <c r="BX232" i="48"/>
  <c r="BW232" i="48"/>
  <c r="BV232" i="48"/>
  <c r="BU232" i="48"/>
  <c r="BT232" i="48"/>
  <c r="BS232" i="48"/>
  <c r="BR232" i="48"/>
  <c r="BQ232" i="48"/>
  <c r="S232" i="48"/>
  <c r="CC231" i="48"/>
  <c r="CB231" i="48"/>
  <c r="CA231" i="48"/>
  <c r="BZ231" i="48"/>
  <c r="BY231" i="48"/>
  <c r="BX231" i="48"/>
  <c r="BW231" i="48"/>
  <c r="BV231" i="48"/>
  <c r="BU231" i="48"/>
  <c r="BT231" i="48"/>
  <c r="BS231" i="48"/>
  <c r="BR231" i="48"/>
  <c r="BQ231" i="48"/>
  <c r="S231" i="48"/>
  <c r="CC230" i="48"/>
  <c r="CB230" i="48"/>
  <c r="CA230" i="48"/>
  <c r="BZ230" i="48"/>
  <c r="BY230" i="48"/>
  <c r="BX230" i="48"/>
  <c r="BW230" i="48"/>
  <c r="BV230" i="48"/>
  <c r="BU230" i="48"/>
  <c r="BT230" i="48"/>
  <c r="BS230" i="48"/>
  <c r="BR230" i="48"/>
  <c r="BQ230" i="48"/>
  <c r="S230" i="48"/>
  <c r="CC229" i="48"/>
  <c r="CB229" i="48"/>
  <c r="CA229" i="48"/>
  <c r="BZ229" i="48"/>
  <c r="BY229" i="48"/>
  <c r="BX229" i="48"/>
  <c r="BW229" i="48"/>
  <c r="BV229" i="48"/>
  <c r="BU229" i="48"/>
  <c r="BT229" i="48"/>
  <c r="BS229" i="48"/>
  <c r="BR229" i="48"/>
  <c r="BQ229" i="48"/>
  <c r="S229" i="48"/>
  <c r="CC228" i="48"/>
  <c r="CB228" i="48"/>
  <c r="CA228" i="48"/>
  <c r="BZ228" i="48"/>
  <c r="BY228" i="48"/>
  <c r="BX228" i="48"/>
  <c r="BW228" i="48"/>
  <c r="BV228" i="48"/>
  <c r="BU228" i="48"/>
  <c r="BT228" i="48"/>
  <c r="BS228" i="48"/>
  <c r="BR228" i="48"/>
  <c r="BQ228" i="48"/>
  <c r="S228" i="48"/>
  <c r="CC227" i="48"/>
  <c r="CB227" i="48"/>
  <c r="CA227" i="48"/>
  <c r="BZ227" i="48"/>
  <c r="BY227" i="48"/>
  <c r="BX227" i="48"/>
  <c r="BW227" i="48"/>
  <c r="BV227" i="48"/>
  <c r="BU227" i="48"/>
  <c r="BT227" i="48"/>
  <c r="BS227" i="48"/>
  <c r="BR227" i="48"/>
  <c r="BQ227" i="48"/>
  <c r="S227" i="48"/>
  <c r="CC226" i="48"/>
  <c r="CB226" i="48"/>
  <c r="CA226" i="48"/>
  <c r="BZ226" i="48"/>
  <c r="BY226" i="48"/>
  <c r="BX226" i="48"/>
  <c r="BW226" i="48"/>
  <c r="BV226" i="48"/>
  <c r="BU226" i="48"/>
  <c r="BT226" i="48"/>
  <c r="BS226" i="48"/>
  <c r="BR226" i="48"/>
  <c r="BQ226" i="48"/>
  <c r="S226" i="48"/>
  <c r="CC225" i="48"/>
  <c r="CB225" i="48"/>
  <c r="CA225" i="48"/>
  <c r="BZ225" i="48"/>
  <c r="BY225" i="48"/>
  <c r="BX225" i="48"/>
  <c r="BW225" i="48"/>
  <c r="BV225" i="48"/>
  <c r="BU225" i="48"/>
  <c r="BT225" i="48"/>
  <c r="BS225" i="48"/>
  <c r="BR225" i="48"/>
  <c r="BQ225" i="48"/>
  <c r="S225" i="48"/>
  <c r="CC224" i="48"/>
  <c r="CB224" i="48"/>
  <c r="CA224" i="48"/>
  <c r="BZ224" i="48"/>
  <c r="BY224" i="48"/>
  <c r="BX224" i="48"/>
  <c r="BW224" i="48"/>
  <c r="BV224" i="48"/>
  <c r="BU224" i="48"/>
  <c r="BT224" i="48"/>
  <c r="BS224" i="48"/>
  <c r="BR224" i="48"/>
  <c r="BQ224" i="48"/>
  <c r="S224" i="48"/>
  <c r="CC223" i="48"/>
  <c r="CB223" i="48"/>
  <c r="CA223" i="48"/>
  <c r="BZ223" i="48"/>
  <c r="BY223" i="48"/>
  <c r="BX223" i="48"/>
  <c r="BW223" i="48"/>
  <c r="BV223" i="48"/>
  <c r="BU223" i="48"/>
  <c r="BT223" i="48"/>
  <c r="BS223" i="48"/>
  <c r="BR223" i="48"/>
  <c r="BQ223" i="48"/>
  <c r="S223" i="48"/>
  <c r="CC222" i="48"/>
  <c r="CB222" i="48"/>
  <c r="CA222" i="48"/>
  <c r="BZ222" i="48"/>
  <c r="BY222" i="48"/>
  <c r="BX222" i="48"/>
  <c r="BW222" i="48"/>
  <c r="BV222" i="48"/>
  <c r="BU222" i="48"/>
  <c r="BT222" i="48"/>
  <c r="BS222" i="48"/>
  <c r="BR222" i="48"/>
  <c r="BQ222" i="48"/>
  <c r="S222" i="48"/>
  <c r="CC221" i="48"/>
  <c r="CB221" i="48"/>
  <c r="CA221" i="48"/>
  <c r="BZ221" i="48"/>
  <c r="BY221" i="48"/>
  <c r="BX221" i="48"/>
  <c r="BW221" i="48"/>
  <c r="BV221" i="48"/>
  <c r="BU221" i="48"/>
  <c r="BT221" i="48"/>
  <c r="BS221" i="48"/>
  <c r="BR221" i="48"/>
  <c r="BQ221" i="48"/>
  <c r="S221" i="48"/>
  <c r="CC220" i="48"/>
  <c r="CB220" i="48"/>
  <c r="CA220" i="48"/>
  <c r="BZ220" i="48"/>
  <c r="BY220" i="48"/>
  <c r="BX220" i="48"/>
  <c r="BW220" i="48"/>
  <c r="BV220" i="48"/>
  <c r="BU220" i="48"/>
  <c r="BT220" i="48"/>
  <c r="BS220" i="48"/>
  <c r="BR220" i="48"/>
  <c r="BQ220" i="48"/>
  <c r="S220" i="48"/>
  <c r="CC219" i="48"/>
  <c r="CB219" i="48"/>
  <c r="CA219" i="48"/>
  <c r="BZ219" i="48"/>
  <c r="BY219" i="48"/>
  <c r="BX219" i="48"/>
  <c r="BW219" i="48"/>
  <c r="BV219" i="48"/>
  <c r="BU219" i="48"/>
  <c r="BT219" i="48"/>
  <c r="BS219" i="48"/>
  <c r="BR219" i="48"/>
  <c r="BQ219" i="48"/>
  <c r="S219" i="48"/>
  <c r="CC218" i="48"/>
  <c r="CB218" i="48"/>
  <c r="CA218" i="48"/>
  <c r="BZ218" i="48"/>
  <c r="BY218" i="48"/>
  <c r="BX218" i="48"/>
  <c r="BW218" i="48"/>
  <c r="BV218" i="48"/>
  <c r="BU218" i="48"/>
  <c r="BT218" i="48"/>
  <c r="BS218" i="48"/>
  <c r="BR218" i="48"/>
  <c r="BQ218" i="48"/>
  <c r="S218" i="48"/>
  <c r="CC217" i="48"/>
  <c r="CB217" i="48"/>
  <c r="CA217" i="48"/>
  <c r="BZ217" i="48"/>
  <c r="BY217" i="48"/>
  <c r="BX217" i="48"/>
  <c r="BW217" i="48"/>
  <c r="BV217" i="48"/>
  <c r="BU217" i="48"/>
  <c r="BT217" i="48"/>
  <c r="BS217" i="48"/>
  <c r="BR217" i="48"/>
  <c r="BQ217" i="48"/>
  <c r="S217" i="48"/>
  <c r="CC216" i="48"/>
  <c r="CB216" i="48"/>
  <c r="CA216" i="48"/>
  <c r="BZ216" i="48"/>
  <c r="BY216" i="48"/>
  <c r="BX216" i="48"/>
  <c r="BW216" i="48"/>
  <c r="BV216" i="48"/>
  <c r="BU216" i="48"/>
  <c r="BT216" i="48"/>
  <c r="BS216" i="48"/>
  <c r="BR216" i="48"/>
  <c r="BQ216" i="48"/>
  <c r="S216" i="48"/>
  <c r="CC215" i="48"/>
  <c r="CB215" i="48"/>
  <c r="CA215" i="48"/>
  <c r="BZ215" i="48"/>
  <c r="BY215" i="48"/>
  <c r="BX215" i="48"/>
  <c r="BW215" i="48"/>
  <c r="BV215" i="48"/>
  <c r="BU215" i="48"/>
  <c r="BT215" i="48"/>
  <c r="BS215" i="48"/>
  <c r="BR215" i="48"/>
  <c r="BQ215" i="48"/>
  <c r="S215" i="48"/>
  <c r="CC214" i="48"/>
  <c r="CB214" i="48"/>
  <c r="CA214" i="48"/>
  <c r="BZ214" i="48"/>
  <c r="BY214" i="48"/>
  <c r="BX214" i="48"/>
  <c r="BW214" i="48"/>
  <c r="BV214" i="48"/>
  <c r="BU214" i="48"/>
  <c r="BT214" i="48"/>
  <c r="BS214" i="48"/>
  <c r="BR214" i="48"/>
  <c r="BQ214" i="48"/>
  <c r="S214" i="48"/>
  <c r="CC213" i="48"/>
  <c r="CB213" i="48"/>
  <c r="CA213" i="48"/>
  <c r="BZ213" i="48"/>
  <c r="BY213" i="48"/>
  <c r="BX213" i="48"/>
  <c r="BW213" i="48"/>
  <c r="BV213" i="48"/>
  <c r="BU213" i="48"/>
  <c r="BT213" i="48"/>
  <c r="BS213" i="48"/>
  <c r="BR213" i="48"/>
  <c r="BQ213" i="48"/>
  <c r="S213" i="48"/>
  <c r="CC212" i="48"/>
  <c r="CB212" i="48"/>
  <c r="CA212" i="48"/>
  <c r="BZ212" i="48"/>
  <c r="BY212" i="48"/>
  <c r="BX212" i="48"/>
  <c r="BW212" i="48"/>
  <c r="BV212" i="48"/>
  <c r="BU212" i="48"/>
  <c r="BT212" i="48"/>
  <c r="BS212" i="48"/>
  <c r="BR212" i="48"/>
  <c r="BQ212" i="48"/>
  <c r="S212" i="48"/>
  <c r="DY211" i="48"/>
  <c r="CC211" i="48"/>
  <c r="CB211" i="48"/>
  <c r="CA211" i="48"/>
  <c r="BZ211" i="48"/>
  <c r="BY211" i="48"/>
  <c r="BX211" i="48"/>
  <c r="BW211" i="48"/>
  <c r="BV211" i="48"/>
  <c r="BU211" i="48"/>
  <c r="BT211" i="48"/>
  <c r="BS211" i="48"/>
  <c r="BR211" i="48"/>
  <c r="BQ211" i="48"/>
  <c r="S211" i="48"/>
  <c r="CC210" i="48"/>
  <c r="CB210" i="48"/>
  <c r="CA210" i="48"/>
  <c r="BZ210" i="48"/>
  <c r="BY210" i="48"/>
  <c r="BX210" i="48"/>
  <c r="BW210" i="48"/>
  <c r="BV210" i="48"/>
  <c r="BU210" i="48"/>
  <c r="BT210" i="48"/>
  <c r="BS210" i="48"/>
  <c r="BR210" i="48"/>
  <c r="BQ210" i="48"/>
  <c r="S210" i="48"/>
  <c r="CC209" i="48"/>
  <c r="CB209" i="48"/>
  <c r="CA209" i="48"/>
  <c r="BZ209" i="48"/>
  <c r="BY209" i="48"/>
  <c r="BX209" i="48"/>
  <c r="BW209" i="48"/>
  <c r="BV209" i="48"/>
  <c r="BU209" i="48"/>
  <c r="BT209" i="48"/>
  <c r="BS209" i="48"/>
  <c r="BR209" i="48"/>
  <c r="BQ209" i="48"/>
  <c r="S209" i="48"/>
  <c r="DY208" i="48"/>
  <c r="CC208" i="48"/>
  <c r="CB208" i="48"/>
  <c r="CA208" i="48"/>
  <c r="BZ208" i="48"/>
  <c r="BY208" i="48"/>
  <c r="BX208" i="48"/>
  <c r="BW208" i="48"/>
  <c r="BV208" i="48"/>
  <c r="BU208" i="48"/>
  <c r="BT208" i="48"/>
  <c r="BS208" i="48"/>
  <c r="BR208" i="48"/>
  <c r="BQ208" i="48"/>
  <c r="S208" i="48"/>
  <c r="CC207" i="48"/>
  <c r="CB207" i="48"/>
  <c r="CA207" i="48"/>
  <c r="BZ207" i="48"/>
  <c r="BY207" i="48"/>
  <c r="BX207" i="48"/>
  <c r="BW207" i="48"/>
  <c r="BV207" i="48"/>
  <c r="BU207" i="48"/>
  <c r="BT207" i="48"/>
  <c r="BS207" i="48"/>
  <c r="BR207" i="48"/>
  <c r="BQ207" i="48"/>
  <c r="S207" i="48"/>
  <c r="CC206" i="48"/>
  <c r="CB206" i="48"/>
  <c r="CA206" i="48"/>
  <c r="BZ206" i="48"/>
  <c r="BY206" i="48"/>
  <c r="BX206" i="48"/>
  <c r="BW206" i="48"/>
  <c r="BV206" i="48"/>
  <c r="BU206" i="48"/>
  <c r="BT206" i="48"/>
  <c r="BS206" i="48"/>
  <c r="BR206" i="48"/>
  <c r="BQ206" i="48"/>
  <c r="S206" i="48"/>
  <c r="CC205" i="48"/>
  <c r="CB205" i="48"/>
  <c r="CA205" i="48"/>
  <c r="BZ205" i="48"/>
  <c r="BY205" i="48"/>
  <c r="BX205" i="48"/>
  <c r="BW205" i="48"/>
  <c r="BV205" i="48"/>
  <c r="BU205" i="48"/>
  <c r="BT205" i="48"/>
  <c r="BS205" i="48"/>
  <c r="BR205" i="48"/>
  <c r="BQ205" i="48"/>
  <c r="S205" i="48"/>
  <c r="CC204" i="48"/>
  <c r="CB204" i="48"/>
  <c r="CA204" i="48"/>
  <c r="BZ204" i="48"/>
  <c r="BY204" i="48"/>
  <c r="BX204" i="48"/>
  <c r="BW204" i="48"/>
  <c r="BV204" i="48"/>
  <c r="BU204" i="48"/>
  <c r="BT204" i="48"/>
  <c r="BS204" i="48"/>
  <c r="BR204" i="48"/>
  <c r="BQ204" i="48"/>
  <c r="S204" i="48"/>
  <c r="CC203" i="48"/>
  <c r="CB203" i="48"/>
  <c r="CA203" i="48"/>
  <c r="BZ203" i="48"/>
  <c r="BY203" i="48"/>
  <c r="BX203" i="48"/>
  <c r="BW203" i="48"/>
  <c r="BV203" i="48"/>
  <c r="BU203" i="48"/>
  <c r="BT203" i="48"/>
  <c r="BS203" i="48"/>
  <c r="BR203" i="48"/>
  <c r="BQ203" i="48"/>
  <c r="S203" i="48"/>
  <c r="CC202" i="48"/>
  <c r="CB202" i="48"/>
  <c r="CA202" i="48"/>
  <c r="BZ202" i="48"/>
  <c r="BY202" i="48"/>
  <c r="BX202" i="48"/>
  <c r="BW202" i="48"/>
  <c r="BV202" i="48"/>
  <c r="BU202" i="48"/>
  <c r="BT202" i="48"/>
  <c r="BS202" i="48"/>
  <c r="BR202" i="48"/>
  <c r="BQ202" i="48"/>
  <c r="S202" i="48"/>
  <c r="CC201" i="48"/>
  <c r="CB201" i="48"/>
  <c r="CA201" i="48"/>
  <c r="BZ201" i="48"/>
  <c r="BY201" i="48"/>
  <c r="BX201" i="48"/>
  <c r="BW201" i="48"/>
  <c r="BV201" i="48"/>
  <c r="BU201" i="48"/>
  <c r="BT201" i="48"/>
  <c r="BS201" i="48"/>
  <c r="BR201" i="48"/>
  <c r="BQ201" i="48"/>
  <c r="S201" i="48"/>
  <c r="CC200" i="48"/>
  <c r="CB200" i="48"/>
  <c r="CA200" i="48"/>
  <c r="BZ200" i="48"/>
  <c r="BY200" i="48"/>
  <c r="BX200" i="48"/>
  <c r="BW200" i="48"/>
  <c r="BV200" i="48"/>
  <c r="BU200" i="48"/>
  <c r="BT200" i="48"/>
  <c r="BS200" i="48"/>
  <c r="BR200" i="48"/>
  <c r="BQ200" i="48"/>
  <c r="S200" i="48"/>
  <c r="CC199" i="48"/>
  <c r="CB199" i="48"/>
  <c r="CA199" i="48"/>
  <c r="BZ199" i="48"/>
  <c r="BY199" i="48"/>
  <c r="BX199" i="48"/>
  <c r="BW199" i="48"/>
  <c r="BV199" i="48"/>
  <c r="BU199" i="48"/>
  <c r="BT199" i="48"/>
  <c r="BS199" i="48"/>
  <c r="BR199" i="48"/>
  <c r="BQ199" i="48"/>
  <c r="S199" i="48"/>
  <c r="CC198" i="48"/>
  <c r="CB198" i="48"/>
  <c r="CA198" i="48"/>
  <c r="BZ198" i="48"/>
  <c r="BY198" i="48"/>
  <c r="BX198" i="48"/>
  <c r="BW198" i="48"/>
  <c r="BV198" i="48"/>
  <c r="BU198" i="48"/>
  <c r="BT198" i="48"/>
  <c r="BS198" i="48"/>
  <c r="BR198" i="48"/>
  <c r="BQ198" i="48"/>
  <c r="S198" i="48"/>
  <c r="CC197" i="48"/>
  <c r="CB197" i="48"/>
  <c r="CA197" i="48"/>
  <c r="BZ197" i="48"/>
  <c r="BY197" i="48"/>
  <c r="BX197" i="48"/>
  <c r="BW197" i="48"/>
  <c r="BV197" i="48"/>
  <c r="BU197" i="48"/>
  <c r="BT197" i="48"/>
  <c r="BS197" i="48"/>
  <c r="BR197" i="48"/>
  <c r="BQ197" i="48"/>
  <c r="S197" i="48"/>
  <c r="CC196" i="48"/>
  <c r="CB196" i="48"/>
  <c r="CA196" i="48"/>
  <c r="BZ196" i="48"/>
  <c r="BY196" i="48"/>
  <c r="BX196" i="48"/>
  <c r="BW196" i="48"/>
  <c r="BV196" i="48"/>
  <c r="BU196" i="48"/>
  <c r="BT196" i="48"/>
  <c r="BS196" i="48"/>
  <c r="BR196" i="48"/>
  <c r="BQ196" i="48"/>
  <c r="S196" i="48"/>
  <c r="CC195" i="48"/>
  <c r="CB195" i="48"/>
  <c r="CA195" i="48"/>
  <c r="BZ195" i="48"/>
  <c r="BY195" i="48"/>
  <c r="BX195" i="48"/>
  <c r="BW195" i="48"/>
  <c r="BV195" i="48"/>
  <c r="BU195" i="48"/>
  <c r="BT195" i="48"/>
  <c r="BS195" i="48"/>
  <c r="BR195" i="48"/>
  <c r="BQ195" i="48"/>
  <c r="S195" i="48"/>
  <c r="CC194" i="48"/>
  <c r="CB194" i="48"/>
  <c r="CA194" i="48"/>
  <c r="BZ194" i="48"/>
  <c r="BY194" i="48"/>
  <c r="BX194" i="48"/>
  <c r="BW194" i="48"/>
  <c r="BV194" i="48"/>
  <c r="BU194" i="48"/>
  <c r="BT194" i="48"/>
  <c r="BS194" i="48"/>
  <c r="BR194" i="48"/>
  <c r="BQ194" i="48"/>
  <c r="S194" i="48"/>
  <c r="CC193" i="48"/>
  <c r="CB193" i="48"/>
  <c r="CA193" i="48"/>
  <c r="BZ193" i="48"/>
  <c r="BY193" i="48"/>
  <c r="BX193" i="48"/>
  <c r="BW193" i="48"/>
  <c r="BV193" i="48"/>
  <c r="BU193" i="48"/>
  <c r="BT193" i="48"/>
  <c r="BS193" i="48"/>
  <c r="BR193" i="48"/>
  <c r="BQ193" i="48"/>
  <c r="S193" i="48"/>
  <c r="CC192" i="48"/>
  <c r="CB192" i="48"/>
  <c r="CA192" i="48"/>
  <c r="BZ192" i="48"/>
  <c r="BY192" i="48"/>
  <c r="BX192" i="48"/>
  <c r="BW192" i="48"/>
  <c r="BV192" i="48"/>
  <c r="BU192" i="48"/>
  <c r="BT192" i="48"/>
  <c r="BS192" i="48"/>
  <c r="BR192" i="48"/>
  <c r="BQ192" i="48"/>
  <c r="S192" i="48"/>
  <c r="CC191" i="48"/>
  <c r="CB191" i="48"/>
  <c r="CA191" i="48"/>
  <c r="BZ191" i="48"/>
  <c r="BY191" i="48"/>
  <c r="BX191" i="48"/>
  <c r="BW191" i="48"/>
  <c r="BV191" i="48"/>
  <c r="BU191" i="48"/>
  <c r="BT191" i="48"/>
  <c r="BS191" i="48"/>
  <c r="BR191" i="48"/>
  <c r="BQ191" i="48"/>
  <c r="S191" i="48"/>
  <c r="CC190" i="48"/>
  <c r="CB190" i="48"/>
  <c r="CA190" i="48"/>
  <c r="BZ190" i="48"/>
  <c r="BY190" i="48"/>
  <c r="BX190" i="48"/>
  <c r="BW190" i="48"/>
  <c r="BV190" i="48"/>
  <c r="BU190" i="48"/>
  <c r="BT190" i="48"/>
  <c r="BS190" i="48"/>
  <c r="BR190" i="48"/>
  <c r="BQ190" i="48"/>
  <c r="S190" i="48"/>
  <c r="CC189" i="48"/>
  <c r="CB189" i="48"/>
  <c r="CA189" i="48"/>
  <c r="BZ189" i="48"/>
  <c r="BY189" i="48"/>
  <c r="BX189" i="48"/>
  <c r="BW189" i="48"/>
  <c r="BV189" i="48"/>
  <c r="BU189" i="48"/>
  <c r="BT189" i="48"/>
  <c r="BS189" i="48"/>
  <c r="BR189" i="48"/>
  <c r="BQ189" i="48"/>
  <c r="S189" i="48"/>
  <c r="CC188" i="48"/>
  <c r="CB188" i="48"/>
  <c r="CA188" i="48"/>
  <c r="BZ188" i="48"/>
  <c r="BY188" i="48"/>
  <c r="BX188" i="48"/>
  <c r="BW188" i="48"/>
  <c r="BV188" i="48"/>
  <c r="BU188" i="48"/>
  <c r="BT188" i="48"/>
  <c r="BS188" i="48"/>
  <c r="BR188" i="48"/>
  <c r="BQ188" i="48"/>
  <c r="S188" i="48"/>
  <c r="CC187" i="48"/>
  <c r="CB187" i="48"/>
  <c r="CA187" i="48"/>
  <c r="BZ187" i="48"/>
  <c r="BY187" i="48"/>
  <c r="BX187" i="48"/>
  <c r="BW187" i="48"/>
  <c r="BV187" i="48"/>
  <c r="BU187" i="48"/>
  <c r="BT187" i="48"/>
  <c r="BS187" i="48"/>
  <c r="BR187" i="48"/>
  <c r="BQ187" i="48"/>
  <c r="S187" i="48"/>
  <c r="CC186" i="48"/>
  <c r="CB186" i="48"/>
  <c r="CA186" i="48"/>
  <c r="BZ186" i="48"/>
  <c r="BY186" i="48"/>
  <c r="BX186" i="48"/>
  <c r="BW186" i="48"/>
  <c r="BV186" i="48"/>
  <c r="BU186" i="48"/>
  <c r="BT186" i="48"/>
  <c r="BS186" i="48"/>
  <c r="BR186" i="48"/>
  <c r="BQ186" i="48"/>
  <c r="S186" i="48"/>
  <c r="CC185" i="48"/>
  <c r="CB185" i="48"/>
  <c r="CA185" i="48"/>
  <c r="BZ185" i="48"/>
  <c r="BY185" i="48"/>
  <c r="BX185" i="48"/>
  <c r="BW185" i="48"/>
  <c r="BV185" i="48"/>
  <c r="BU185" i="48"/>
  <c r="BT185" i="48"/>
  <c r="BS185" i="48"/>
  <c r="BR185" i="48"/>
  <c r="BQ185" i="48"/>
  <c r="S185" i="48"/>
  <c r="CC184" i="48"/>
  <c r="CB184" i="48"/>
  <c r="CA184" i="48"/>
  <c r="BZ184" i="48"/>
  <c r="BY184" i="48"/>
  <c r="BX184" i="48"/>
  <c r="BW184" i="48"/>
  <c r="BV184" i="48"/>
  <c r="BU184" i="48"/>
  <c r="BT184" i="48"/>
  <c r="BS184" i="48"/>
  <c r="BR184" i="48"/>
  <c r="BQ184" i="48"/>
  <c r="S184" i="48"/>
  <c r="CC183" i="48"/>
  <c r="CB183" i="48"/>
  <c r="CA183" i="48"/>
  <c r="BZ183" i="48"/>
  <c r="BY183" i="48"/>
  <c r="BX183" i="48"/>
  <c r="BW183" i="48"/>
  <c r="BV183" i="48"/>
  <c r="BU183" i="48"/>
  <c r="BT183" i="48"/>
  <c r="BS183" i="48"/>
  <c r="BR183" i="48"/>
  <c r="BQ183" i="48"/>
  <c r="S183" i="48"/>
  <c r="CC182" i="48"/>
  <c r="CB182" i="48"/>
  <c r="CA182" i="48"/>
  <c r="BZ182" i="48"/>
  <c r="BY182" i="48"/>
  <c r="BX182" i="48"/>
  <c r="BW182" i="48"/>
  <c r="BV182" i="48"/>
  <c r="BU182" i="48"/>
  <c r="BT182" i="48"/>
  <c r="BS182" i="48"/>
  <c r="BR182" i="48"/>
  <c r="BQ182" i="48"/>
  <c r="S182" i="48"/>
  <c r="CC181" i="48"/>
  <c r="CB181" i="48"/>
  <c r="CA181" i="48"/>
  <c r="BZ181" i="48"/>
  <c r="BY181" i="48"/>
  <c r="BX181" i="48"/>
  <c r="BW181" i="48"/>
  <c r="BV181" i="48"/>
  <c r="BU181" i="48"/>
  <c r="BT181" i="48"/>
  <c r="BS181" i="48"/>
  <c r="BR181" i="48"/>
  <c r="BQ181" i="48"/>
  <c r="S181" i="48"/>
  <c r="CC180" i="48"/>
  <c r="CB180" i="48"/>
  <c r="CA180" i="48"/>
  <c r="BZ180" i="48"/>
  <c r="BY180" i="48"/>
  <c r="BX180" i="48"/>
  <c r="BW180" i="48"/>
  <c r="BV180" i="48"/>
  <c r="BU180" i="48"/>
  <c r="BT180" i="48"/>
  <c r="BS180" i="48"/>
  <c r="BR180" i="48"/>
  <c r="BQ180" i="48"/>
  <c r="S180" i="48"/>
  <c r="CC179" i="48"/>
  <c r="CB179" i="48"/>
  <c r="CA179" i="48"/>
  <c r="BZ179" i="48"/>
  <c r="BY179" i="48"/>
  <c r="BX179" i="48"/>
  <c r="BW179" i="48"/>
  <c r="BV179" i="48"/>
  <c r="BU179" i="48"/>
  <c r="BT179" i="48"/>
  <c r="BS179" i="48"/>
  <c r="BR179" i="48"/>
  <c r="BQ179" i="48"/>
  <c r="S179" i="48"/>
  <c r="CC178" i="48"/>
  <c r="CB178" i="48"/>
  <c r="CA178" i="48"/>
  <c r="BZ178" i="48"/>
  <c r="BY178" i="48"/>
  <c r="BX178" i="48"/>
  <c r="BW178" i="48"/>
  <c r="BV178" i="48"/>
  <c r="BU178" i="48"/>
  <c r="BT178" i="48"/>
  <c r="BS178" i="48"/>
  <c r="BR178" i="48"/>
  <c r="BQ178" i="48"/>
  <c r="S178" i="48"/>
  <c r="CC177" i="48"/>
  <c r="CB177" i="48"/>
  <c r="CA177" i="48"/>
  <c r="BZ177" i="48"/>
  <c r="BY177" i="48"/>
  <c r="BX177" i="48"/>
  <c r="BW177" i="48"/>
  <c r="BV177" i="48"/>
  <c r="BU177" i="48"/>
  <c r="BT177" i="48"/>
  <c r="BS177" i="48"/>
  <c r="BR177" i="48"/>
  <c r="BQ177" i="48"/>
  <c r="S177" i="48"/>
  <c r="CC176" i="48"/>
  <c r="CB176" i="48"/>
  <c r="CA176" i="48"/>
  <c r="BZ176" i="48"/>
  <c r="BY176" i="48"/>
  <c r="BX176" i="48"/>
  <c r="BW176" i="48"/>
  <c r="BV176" i="48"/>
  <c r="BU176" i="48"/>
  <c r="BT176" i="48"/>
  <c r="BS176" i="48"/>
  <c r="BR176" i="48"/>
  <c r="BQ176" i="48"/>
  <c r="S176" i="48"/>
  <c r="CC175" i="48"/>
  <c r="CB175" i="48"/>
  <c r="CA175" i="48"/>
  <c r="BZ175" i="48"/>
  <c r="BY175" i="48"/>
  <c r="BX175" i="48"/>
  <c r="BW175" i="48"/>
  <c r="BV175" i="48"/>
  <c r="BU175" i="48"/>
  <c r="BT175" i="48"/>
  <c r="BS175" i="48"/>
  <c r="BR175" i="48"/>
  <c r="BQ175" i="48"/>
  <c r="S175" i="48"/>
  <c r="CC174" i="48"/>
  <c r="CB174" i="48"/>
  <c r="CA174" i="48"/>
  <c r="BZ174" i="48"/>
  <c r="BY174" i="48"/>
  <c r="BX174" i="48"/>
  <c r="BW174" i="48"/>
  <c r="BV174" i="48"/>
  <c r="BU174" i="48"/>
  <c r="BT174" i="48"/>
  <c r="BS174" i="48"/>
  <c r="BR174" i="48"/>
  <c r="BQ174" i="48"/>
  <c r="S174" i="48"/>
  <c r="CC173" i="48"/>
  <c r="CB173" i="48"/>
  <c r="CA173" i="48"/>
  <c r="BZ173" i="48"/>
  <c r="BY173" i="48"/>
  <c r="BX173" i="48"/>
  <c r="BW173" i="48"/>
  <c r="BV173" i="48"/>
  <c r="BU173" i="48"/>
  <c r="BT173" i="48"/>
  <c r="BS173" i="48"/>
  <c r="BR173" i="48"/>
  <c r="BQ173" i="48"/>
  <c r="S173" i="48"/>
  <c r="CC172" i="48"/>
  <c r="CB172" i="48"/>
  <c r="CA172" i="48"/>
  <c r="BZ172" i="48"/>
  <c r="BY172" i="48"/>
  <c r="BX172" i="48"/>
  <c r="BW172" i="48"/>
  <c r="BV172" i="48"/>
  <c r="BU172" i="48"/>
  <c r="BT172" i="48"/>
  <c r="BS172" i="48"/>
  <c r="BR172" i="48"/>
  <c r="BQ172" i="48"/>
  <c r="S172" i="48"/>
  <c r="DY171" i="48"/>
  <c r="CC171" i="48"/>
  <c r="CB171" i="48"/>
  <c r="CA171" i="48"/>
  <c r="BZ171" i="48"/>
  <c r="BY171" i="48"/>
  <c r="BX171" i="48"/>
  <c r="BW171" i="48"/>
  <c r="BV171" i="48"/>
  <c r="BU171" i="48"/>
  <c r="BT171" i="48"/>
  <c r="BS171" i="48"/>
  <c r="BR171" i="48"/>
  <c r="BQ171" i="48"/>
  <c r="S171" i="48"/>
  <c r="CC170" i="48"/>
  <c r="CB170" i="48"/>
  <c r="CA170" i="48"/>
  <c r="BZ170" i="48"/>
  <c r="BY170" i="48"/>
  <c r="BX170" i="48"/>
  <c r="BW170" i="48"/>
  <c r="BV170" i="48"/>
  <c r="BU170" i="48"/>
  <c r="BT170" i="48"/>
  <c r="BS170" i="48"/>
  <c r="BR170" i="48"/>
  <c r="BQ170" i="48"/>
  <c r="S170" i="48"/>
  <c r="CC169" i="48"/>
  <c r="CB169" i="48"/>
  <c r="CA169" i="48"/>
  <c r="BZ169" i="48"/>
  <c r="BY169" i="48"/>
  <c r="BX169" i="48"/>
  <c r="BW169" i="48"/>
  <c r="BV169" i="48"/>
  <c r="BU169" i="48"/>
  <c r="BT169" i="48"/>
  <c r="BS169" i="48"/>
  <c r="BR169" i="48"/>
  <c r="BQ169" i="48"/>
  <c r="S169" i="48"/>
  <c r="CC168" i="48"/>
  <c r="CB168" i="48"/>
  <c r="CA168" i="48"/>
  <c r="BZ168" i="48"/>
  <c r="BY168" i="48"/>
  <c r="BX168" i="48"/>
  <c r="BW168" i="48"/>
  <c r="BV168" i="48"/>
  <c r="BU168" i="48"/>
  <c r="BT168" i="48"/>
  <c r="BS168" i="48"/>
  <c r="BR168" i="48"/>
  <c r="BQ168" i="48"/>
  <c r="S168" i="48"/>
  <c r="CC167" i="48"/>
  <c r="CB167" i="48"/>
  <c r="CA167" i="48"/>
  <c r="BZ167" i="48"/>
  <c r="BY167" i="48"/>
  <c r="BX167" i="48"/>
  <c r="BW167" i="48"/>
  <c r="BV167" i="48"/>
  <c r="BU167" i="48"/>
  <c r="BT167" i="48"/>
  <c r="BS167" i="48"/>
  <c r="BR167" i="48"/>
  <c r="BQ167" i="48"/>
  <c r="S167" i="48"/>
  <c r="CC166" i="48"/>
  <c r="CB166" i="48"/>
  <c r="CA166" i="48"/>
  <c r="BZ166" i="48"/>
  <c r="BY166" i="48"/>
  <c r="BX166" i="48"/>
  <c r="BW166" i="48"/>
  <c r="BV166" i="48"/>
  <c r="BU166" i="48"/>
  <c r="BT166" i="48"/>
  <c r="BS166" i="48"/>
  <c r="BR166" i="48"/>
  <c r="BQ166" i="48"/>
  <c r="S166" i="48"/>
  <c r="CC165" i="48"/>
  <c r="CB165" i="48"/>
  <c r="CA165" i="48"/>
  <c r="BZ165" i="48"/>
  <c r="BY165" i="48"/>
  <c r="BX165" i="48"/>
  <c r="BW165" i="48"/>
  <c r="BV165" i="48"/>
  <c r="BU165" i="48"/>
  <c r="BT165" i="48"/>
  <c r="BS165" i="48"/>
  <c r="BR165" i="48"/>
  <c r="BQ165" i="48"/>
  <c r="S165" i="48"/>
  <c r="CC164" i="48"/>
  <c r="CB164" i="48"/>
  <c r="CA164" i="48"/>
  <c r="BZ164" i="48"/>
  <c r="BY164" i="48"/>
  <c r="BX164" i="48"/>
  <c r="BW164" i="48"/>
  <c r="BV164" i="48"/>
  <c r="BU164" i="48"/>
  <c r="BT164" i="48"/>
  <c r="BS164" i="48"/>
  <c r="BR164" i="48"/>
  <c r="BQ164" i="48"/>
  <c r="S164" i="48"/>
  <c r="DY163" i="48"/>
  <c r="CC163" i="48"/>
  <c r="CB163" i="48"/>
  <c r="CA163" i="48"/>
  <c r="BZ163" i="48"/>
  <c r="BY163" i="48"/>
  <c r="BX163" i="48"/>
  <c r="BW163" i="48"/>
  <c r="BV163" i="48"/>
  <c r="BU163" i="48"/>
  <c r="BT163" i="48"/>
  <c r="BS163" i="48"/>
  <c r="BR163" i="48"/>
  <c r="BQ163" i="48"/>
  <c r="S163" i="48"/>
  <c r="CC162" i="48"/>
  <c r="CB162" i="48"/>
  <c r="CA162" i="48"/>
  <c r="BZ162" i="48"/>
  <c r="BY162" i="48"/>
  <c r="BX162" i="48"/>
  <c r="BW162" i="48"/>
  <c r="BV162" i="48"/>
  <c r="BU162" i="48"/>
  <c r="BT162" i="48"/>
  <c r="BS162" i="48"/>
  <c r="BR162" i="48"/>
  <c r="BQ162" i="48"/>
  <c r="S162" i="48"/>
  <c r="CC161" i="48"/>
  <c r="CB161" i="48"/>
  <c r="CA161" i="48"/>
  <c r="BZ161" i="48"/>
  <c r="BY161" i="48"/>
  <c r="BX161" i="48"/>
  <c r="BW161" i="48"/>
  <c r="BV161" i="48"/>
  <c r="BU161" i="48"/>
  <c r="BT161" i="48"/>
  <c r="BS161" i="48"/>
  <c r="BR161" i="48"/>
  <c r="BQ161" i="48"/>
  <c r="S161" i="48"/>
  <c r="CC160" i="48"/>
  <c r="CB160" i="48"/>
  <c r="CA160" i="48"/>
  <c r="BZ160" i="48"/>
  <c r="BY160" i="48"/>
  <c r="BX160" i="48"/>
  <c r="BW160" i="48"/>
  <c r="BV160" i="48"/>
  <c r="BU160" i="48"/>
  <c r="BT160" i="48"/>
  <c r="BS160" i="48"/>
  <c r="BR160" i="48"/>
  <c r="BQ160" i="48"/>
  <c r="S160" i="48"/>
  <c r="CC159" i="48"/>
  <c r="CB159" i="48"/>
  <c r="CA159" i="48"/>
  <c r="BZ159" i="48"/>
  <c r="BY159" i="48"/>
  <c r="BX159" i="48"/>
  <c r="BW159" i="48"/>
  <c r="BV159" i="48"/>
  <c r="BU159" i="48"/>
  <c r="BT159" i="48"/>
  <c r="BS159" i="48"/>
  <c r="BR159" i="48"/>
  <c r="BQ159" i="48"/>
  <c r="S159" i="48"/>
  <c r="CC158" i="48"/>
  <c r="CB158" i="48"/>
  <c r="CA158" i="48"/>
  <c r="BZ158" i="48"/>
  <c r="BY158" i="48"/>
  <c r="BX158" i="48"/>
  <c r="BW158" i="48"/>
  <c r="BV158" i="48"/>
  <c r="BU158" i="48"/>
  <c r="BT158" i="48"/>
  <c r="BS158" i="48"/>
  <c r="BR158" i="48"/>
  <c r="BQ158" i="48"/>
  <c r="S158" i="48"/>
  <c r="CC157" i="48"/>
  <c r="CB157" i="48"/>
  <c r="CA157" i="48"/>
  <c r="BZ157" i="48"/>
  <c r="BY157" i="48"/>
  <c r="BX157" i="48"/>
  <c r="BW157" i="48"/>
  <c r="BV157" i="48"/>
  <c r="BU157" i="48"/>
  <c r="BT157" i="48"/>
  <c r="BS157" i="48"/>
  <c r="BR157" i="48"/>
  <c r="BQ157" i="48"/>
  <c r="S157" i="48"/>
  <c r="CC156" i="48"/>
  <c r="CB156" i="48"/>
  <c r="CA156" i="48"/>
  <c r="BZ156" i="48"/>
  <c r="BY156" i="48"/>
  <c r="BX156" i="48"/>
  <c r="BW156" i="48"/>
  <c r="BV156" i="48"/>
  <c r="BU156" i="48"/>
  <c r="BT156" i="48"/>
  <c r="BS156" i="48"/>
  <c r="BR156" i="48"/>
  <c r="BQ156" i="48"/>
  <c r="S156" i="48"/>
  <c r="CC155" i="48"/>
  <c r="CB155" i="48"/>
  <c r="CA155" i="48"/>
  <c r="BZ155" i="48"/>
  <c r="BY155" i="48"/>
  <c r="BX155" i="48"/>
  <c r="BW155" i="48"/>
  <c r="BV155" i="48"/>
  <c r="BU155" i="48"/>
  <c r="BT155" i="48"/>
  <c r="BS155" i="48"/>
  <c r="BR155" i="48"/>
  <c r="BQ155" i="48"/>
  <c r="S155" i="48"/>
  <c r="CC154" i="48"/>
  <c r="CB154" i="48"/>
  <c r="CA154" i="48"/>
  <c r="BZ154" i="48"/>
  <c r="BY154" i="48"/>
  <c r="BX154" i="48"/>
  <c r="BW154" i="48"/>
  <c r="BV154" i="48"/>
  <c r="BU154" i="48"/>
  <c r="BT154" i="48"/>
  <c r="BS154" i="48"/>
  <c r="BR154" i="48"/>
  <c r="BQ154" i="48"/>
  <c r="S154" i="48"/>
  <c r="CC153" i="48"/>
  <c r="CB153" i="48"/>
  <c r="CA153" i="48"/>
  <c r="BZ153" i="48"/>
  <c r="BY153" i="48"/>
  <c r="BX153" i="48"/>
  <c r="BW153" i="48"/>
  <c r="BV153" i="48"/>
  <c r="BU153" i="48"/>
  <c r="BT153" i="48"/>
  <c r="BS153" i="48"/>
  <c r="BR153" i="48"/>
  <c r="BQ153" i="48"/>
  <c r="S153" i="48"/>
  <c r="CC152" i="48"/>
  <c r="CB152" i="48"/>
  <c r="CA152" i="48"/>
  <c r="BZ152" i="48"/>
  <c r="BY152" i="48"/>
  <c r="BX152" i="48"/>
  <c r="BW152" i="48"/>
  <c r="BV152" i="48"/>
  <c r="BU152" i="48"/>
  <c r="BT152" i="48"/>
  <c r="BS152" i="48"/>
  <c r="BR152" i="48"/>
  <c r="BQ152" i="48"/>
  <c r="S152" i="48"/>
  <c r="CC151" i="48"/>
  <c r="CB151" i="48"/>
  <c r="CA151" i="48"/>
  <c r="BZ151" i="48"/>
  <c r="BY151" i="48"/>
  <c r="BX151" i="48"/>
  <c r="BW151" i="48"/>
  <c r="BV151" i="48"/>
  <c r="BU151" i="48"/>
  <c r="BT151" i="48"/>
  <c r="BS151" i="48"/>
  <c r="BR151" i="48"/>
  <c r="BQ151" i="48"/>
  <c r="S151" i="48"/>
  <c r="CC150" i="48"/>
  <c r="CB150" i="48"/>
  <c r="CA150" i="48"/>
  <c r="BZ150" i="48"/>
  <c r="BY150" i="48"/>
  <c r="BX150" i="48"/>
  <c r="BW150" i="48"/>
  <c r="BV150" i="48"/>
  <c r="BU150" i="48"/>
  <c r="BT150" i="48"/>
  <c r="BS150" i="48"/>
  <c r="BR150" i="48"/>
  <c r="BQ150" i="48"/>
  <c r="S150" i="48"/>
  <c r="CC149" i="48"/>
  <c r="CB149" i="48"/>
  <c r="CA149" i="48"/>
  <c r="BZ149" i="48"/>
  <c r="BY149" i="48"/>
  <c r="BX149" i="48"/>
  <c r="BW149" i="48"/>
  <c r="BV149" i="48"/>
  <c r="BU149" i="48"/>
  <c r="BT149" i="48"/>
  <c r="BS149" i="48"/>
  <c r="BR149" i="48"/>
  <c r="BQ149" i="48"/>
  <c r="S149" i="48"/>
  <c r="CC148" i="48"/>
  <c r="CB148" i="48"/>
  <c r="CA148" i="48"/>
  <c r="BZ148" i="48"/>
  <c r="BY148" i="48"/>
  <c r="BX148" i="48"/>
  <c r="BW148" i="48"/>
  <c r="BV148" i="48"/>
  <c r="BU148" i="48"/>
  <c r="BT148" i="48"/>
  <c r="BS148" i="48"/>
  <c r="BR148" i="48"/>
  <c r="BQ148" i="48"/>
  <c r="S148" i="48"/>
  <c r="CC147" i="48"/>
  <c r="CB147" i="48"/>
  <c r="CA147" i="48"/>
  <c r="BZ147" i="48"/>
  <c r="BY147" i="48"/>
  <c r="BX147" i="48"/>
  <c r="BW147" i="48"/>
  <c r="BV147" i="48"/>
  <c r="BU147" i="48"/>
  <c r="BT147" i="48"/>
  <c r="BS147" i="48"/>
  <c r="BR147" i="48"/>
  <c r="BQ147" i="48"/>
  <c r="S147" i="48"/>
  <c r="CC146" i="48"/>
  <c r="CB146" i="48"/>
  <c r="CA146" i="48"/>
  <c r="BZ146" i="48"/>
  <c r="BY146" i="48"/>
  <c r="BX146" i="48"/>
  <c r="BW146" i="48"/>
  <c r="BV146" i="48"/>
  <c r="BU146" i="48"/>
  <c r="BT146" i="48"/>
  <c r="BS146" i="48"/>
  <c r="BR146" i="48"/>
  <c r="BQ146" i="48"/>
  <c r="S146" i="48"/>
  <c r="CC145" i="48"/>
  <c r="CB145" i="48"/>
  <c r="CA145" i="48"/>
  <c r="BZ145" i="48"/>
  <c r="BY145" i="48"/>
  <c r="BX145" i="48"/>
  <c r="BW145" i="48"/>
  <c r="BV145" i="48"/>
  <c r="BU145" i="48"/>
  <c r="BT145" i="48"/>
  <c r="BS145" i="48"/>
  <c r="BR145" i="48"/>
  <c r="BQ145" i="48"/>
  <c r="S145" i="48"/>
  <c r="CC144" i="48"/>
  <c r="CB144" i="48"/>
  <c r="CA144" i="48"/>
  <c r="BZ144" i="48"/>
  <c r="BY144" i="48"/>
  <c r="BX144" i="48"/>
  <c r="BW144" i="48"/>
  <c r="BV144" i="48"/>
  <c r="BU144" i="48"/>
  <c r="BT144" i="48"/>
  <c r="BS144" i="48"/>
  <c r="BR144" i="48"/>
  <c r="BQ144" i="48"/>
  <c r="S144" i="48"/>
  <c r="CC143" i="48"/>
  <c r="CB143" i="48"/>
  <c r="CA143" i="48"/>
  <c r="BZ143" i="48"/>
  <c r="BY143" i="48"/>
  <c r="BX143" i="48"/>
  <c r="BW143" i="48"/>
  <c r="BV143" i="48"/>
  <c r="BU143" i="48"/>
  <c r="BT143" i="48"/>
  <c r="BS143" i="48"/>
  <c r="BR143" i="48"/>
  <c r="BQ143" i="48"/>
  <c r="S143" i="48"/>
  <c r="CC142" i="48"/>
  <c r="CB142" i="48"/>
  <c r="CA142" i="48"/>
  <c r="BZ142" i="48"/>
  <c r="BY142" i="48"/>
  <c r="BX142" i="48"/>
  <c r="BW142" i="48"/>
  <c r="BV142" i="48"/>
  <c r="BU142" i="48"/>
  <c r="BT142" i="48"/>
  <c r="BS142" i="48"/>
  <c r="BR142" i="48"/>
  <c r="BQ142" i="48"/>
  <c r="S142" i="48"/>
  <c r="CC141" i="48"/>
  <c r="CB141" i="48"/>
  <c r="CA141" i="48"/>
  <c r="BZ141" i="48"/>
  <c r="BY141" i="48"/>
  <c r="BX141" i="48"/>
  <c r="BW141" i="48"/>
  <c r="BV141" i="48"/>
  <c r="BU141" i="48"/>
  <c r="BT141" i="48"/>
  <c r="BS141" i="48"/>
  <c r="BR141" i="48"/>
  <c r="BQ141" i="48"/>
  <c r="S141" i="48"/>
  <c r="CC140" i="48"/>
  <c r="CB140" i="48"/>
  <c r="CA140" i="48"/>
  <c r="BZ140" i="48"/>
  <c r="BY140" i="48"/>
  <c r="BX140" i="48"/>
  <c r="BW140" i="48"/>
  <c r="BV140" i="48"/>
  <c r="BU140" i="48"/>
  <c r="BT140" i="48"/>
  <c r="BS140" i="48"/>
  <c r="BR140" i="48"/>
  <c r="BQ140" i="48"/>
  <c r="S140" i="48"/>
  <c r="CC139" i="48"/>
  <c r="CB139" i="48"/>
  <c r="CA139" i="48"/>
  <c r="BZ139" i="48"/>
  <c r="BY139" i="48"/>
  <c r="BX139" i="48"/>
  <c r="BW139" i="48"/>
  <c r="BV139" i="48"/>
  <c r="BU139" i="48"/>
  <c r="BT139" i="48"/>
  <c r="BS139" i="48"/>
  <c r="BR139" i="48"/>
  <c r="BQ139" i="48"/>
  <c r="S139" i="48"/>
  <c r="CC138" i="48"/>
  <c r="CB138" i="48"/>
  <c r="CA138" i="48"/>
  <c r="BZ138" i="48"/>
  <c r="BY138" i="48"/>
  <c r="BX138" i="48"/>
  <c r="BW138" i="48"/>
  <c r="BV138" i="48"/>
  <c r="BU138" i="48"/>
  <c r="BT138" i="48"/>
  <c r="BS138" i="48"/>
  <c r="BR138" i="48"/>
  <c r="BQ138" i="48"/>
  <c r="S138" i="48"/>
  <c r="CC137" i="48"/>
  <c r="CB137" i="48"/>
  <c r="CA137" i="48"/>
  <c r="BZ137" i="48"/>
  <c r="BY137" i="48"/>
  <c r="BX137" i="48"/>
  <c r="BW137" i="48"/>
  <c r="BV137" i="48"/>
  <c r="BU137" i="48"/>
  <c r="BT137" i="48"/>
  <c r="BS137" i="48"/>
  <c r="BR137" i="48"/>
  <c r="BQ137" i="48"/>
  <c r="S137" i="48"/>
  <c r="CC136" i="48"/>
  <c r="CB136" i="48"/>
  <c r="CA136" i="48"/>
  <c r="BZ136" i="48"/>
  <c r="BY136" i="48"/>
  <c r="BX136" i="48"/>
  <c r="BW136" i="48"/>
  <c r="BV136" i="48"/>
  <c r="BU136" i="48"/>
  <c r="BT136" i="48"/>
  <c r="BS136" i="48"/>
  <c r="BR136" i="48"/>
  <c r="BQ136" i="48"/>
  <c r="S136" i="48"/>
  <c r="CC135" i="48"/>
  <c r="CB135" i="48"/>
  <c r="CA135" i="48"/>
  <c r="BZ135" i="48"/>
  <c r="BY135" i="48"/>
  <c r="BX135" i="48"/>
  <c r="BW135" i="48"/>
  <c r="BV135" i="48"/>
  <c r="BU135" i="48"/>
  <c r="BT135" i="48"/>
  <c r="BS135" i="48"/>
  <c r="BR135" i="48"/>
  <c r="BQ135" i="48"/>
  <c r="S135" i="48"/>
  <c r="CC134" i="48"/>
  <c r="CB134" i="48"/>
  <c r="CA134" i="48"/>
  <c r="BZ134" i="48"/>
  <c r="BY134" i="48"/>
  <c r="BX134" i="48"/>
  <c r="BW134" i="48"/>
  <c r="BV134" i="48"/>
  <c r="BU134" i="48"/>
  <c r="BT134" i="48"/>
  <c r="BS134" i="48"/>
  <c r="BR134" i="48"/>
  <c r="BQ134" i="48"/>
  <c r="S134" i="48"/>
  <c r="CC133" i="48"/>
  <c r="CB133" i="48"/>
  <c r="CA133" i="48"/>
  <c r="BZ133" i="48"/>
  <c r="BY133" i="48"/>
  <c r="BX133" i="48"/>
  <c r="BW133" i="48"/>
  <c r="BV133" i="48"/>
  <c r="BU133" i="48"/>
  <c r="BT133" i="48"/>
  <c r="BS133" i="48"/>
  <c r="BR133" i="48"/>
  <c r="BQ133" i="48"/>
  <c r="S133" i="48"/>
  <c r="DY132" i="48"/>
  <c r="CC132" i="48"/>
  <c r="CB132" i="48"/>
  <c r="CA132" i="48"/>
  <c r="BZ132" i="48"/>
  <c r="BY132" i="48"/>
  <c r="BX132" i="48"/>
  <c r="BW132" i="48"/>
  <c r="BV132" i="48"/>
  <c r="BU132" i="48"/>
  <c r="BT132" i="48"/>
  <c r="BS132" i="48"/>
  <c r="BR132" i="48"/>
  <c r="BQ132" i="48"/>
  <c r="S132" i="48"/>
  <c r="CC131" i="48"/>
  <c r="CB131" i="48"/>
  <c r="CA131" i="48"/>
  <c r="BZ131" i="48"/>
  <c r="BY131" i="48"/>
  <c r="BX131" i="48"/>
  <c r="BW131" i="48"/>
  <c r="BV131" i="48"/>
  <c r="BU131" i="48"/>
  <c r="BT131" i="48"/>
  <c r="BS131" i="48"/>
  <c r="BR131" i="48"/>
  <c r="BQ131" i="48"/>
  <c r="S131" i="48"/>
  <c r="CC130" i="48"/>
  <c r="CB130" i="48"/>
  <c r="CA130" i="48"/>
  <c r="BZ130" i="48"/>
  <c r="BY130" i="48"/>
  <c r="BX130" i="48"/>
  <c r="BW130" i="48"/>
  <c r="BV130" i="48"/>
  <c r="BU130" i="48"/>
  <c r="BT130" i="48"/>
  <c r="BS130" i="48"/>
  <c r="BR130" i="48"/>
  <c r="BQ130" i="48"/>
  <c r="S130" i="48"/>
  <c r="CC129" i="48"/>
  <c r="CB129" i="48"/>
  <c r="CA129" i="48"/>
  <c r="BZ129" i="48"/>
  <c r="BY129" i="48"/>
  <c r="BX129" i="48"/>
  <c r="BW129" i="48"/>
  <c r="BV129" i="48"/>
  <c r="BU129" i="48"/>
  <c r="BT129" i="48"/>
  <c r="BS129" i="48"/>
  <c r="BR129" i="48"/>
  <c r="BQ129" i="48"/>
  <c r="S129" i="48"/>
  <c r="CC128" i="48"/>
  <c r="CB128" i="48"/>
  <c r="CA128" i="48"/>
  <c r="BZ128" i="48"/>
  <c r="BY128" i="48"/>
  <c r="BX128" i="48"/>
  <c r="BW128" i="48"/>
  <c r="BV128" i="48"/>
  <c r="BU128" i="48"/>
  <c r="BT128" i="48"/>
  <c r="BS128" i="48"/>
  <c r="BR128" i="48"/>
  <c r="BQ128" i="48"/>
  <c r="S128" i="48"/>
  <c r="CC127" i="48"/>
  <c r="CB127" i="48"/>
  <c r="CA127" i="48"/>
  <c r="BZ127" i="48"/>
  <c r="BY127" i="48"/>
  <c r="BX127" i="48"/>
  <c r="BW127" i="48"/>
  <c r="BV127" i="48"/>
  <c r="BU127" i="48"/>
  <c r="BT127" i="48"/>
  <c r="BS127" i="48"/>
  <c r="BR127" i="48"/>
  <c r="BQ127" i="48"/>
  <c r="S127" i="48"/>
  <c r="CC126" i="48"/>
  <c r="CB126" i="48"/>
  <c r="CA126" i="48"/>
  <c r="BZ126" i="48"/>
  <c r="BY126" i="48"/>
  <c r="BX126" i="48"/>
  <c r="BW126" i="48"/>
  <c r="BV126" i="48"/>
  <c r="BU126" i="48"/>
  <c r="BT126" i="48"/>
  <c r="BS126" i="48"/>
  <c r="BR126" i="48"/>
  <c r="BQ126" i="48"/>
  <c r="S126" i="48"/>
  <c r="CC125" i="48"/>
  <c r="CB125" i="48"/>
  <c r="CA125" i="48"/>
  <c r="BZ125" i="48"/>
  <c r="BY125" i="48"/>
  <c r="BX125" i="48"/>
  <c r="BW125" i="48"/>
  <c r="BV125" i="48"/>
  <c r="BU125" i="48"/>
  <c r="BT125" i="48"/>
  <c r="BS125" i="48"/>
  <c r="BR125" i="48"/>
  <c r="BQ125" i="48"/>
  <c r="S125" i="48"/>
  <c r="CC124" i="48"/>
  <c r="CB124" i="48"/>
  <c r="CA124" i="48"/>
  <c r="BZ124" i="48"/>
  <c r="BY124" i="48"/>
  <c r="BX124" i="48"/>
  <c r="BW124" i="48"/>
  <c r="BV124" i="48"/>
  <c r="BU124" i="48"/>
  <c r="BT124" i="48"/>
  <c r="BS124" i="48"/>
  <c r="BR124" i="48"/>
  <c r="BQ124" i="48"/>
  <c r="S124" i="48"/>
  <c r="CC123" i="48"/>
  <c r="CB123" i="48"/>
  <c r="CA123" i="48"/>
  <c r="BZ123" i="48"/>
  <c r="BY123" i="48"/>
  <c r="BX123" i="48"/>
  <c r="BW123" i="48"/>
  <c r="BV123" i="48"/>
  <c r="BU123" i="48"/>
  <c r="BT123" i="48"/>
  <c r="BS123" i="48"/>
  <c r="BR123" i="48"/>
  <c r="BQ123" i="48"/>
  <c r="S123" i="48"/>
  <c r="CC122" i="48"/>
  <c r="CB122" i="48"/>
  <c r="CA122" i="48"/>
  <c r="BZ122" i="48"/>
  <c r="BY122" i="48"/>
  <c r="BX122" i="48"/>
  <c r="BW122" i="48"/>
  <c r="BV122" i="48"/>
  <c r="BU122" i="48"/>
  <c r="BT122" i="48"/>
  <c r="BS122" i="48"/>
  <c r="BR122" i="48"/>
  <c r="BQ122" i="48"/>
  <c r="S122" i="48"/>
  <c r="CC121" i="48"/>
  <c r="CB121" i="48"/>
  <c r="CA121" i="48"/>
  <c r="BZ121" i="48"/>
  <c r="BY121" i="48"/>
  <c r="BX121" i="48"/>
  <c r="BW121" i="48"/>
  <c r="BV121" i="48"/>
  <c r="BU121" i="48"/>
  <c r="BT121" i="48"/>
  <c r="BS121" i="48"/>
  <c r="BR121" i="48"/>
  <c r="BQ121" i="48"/>
  <c r="S121" i="48"/>
  <c r="CC120" i="48"/>
  <c r="CB120" i="48"/>
  <c r="CA120" i="48"/>
  <c r="BZ120" i="48"/>
  <c r="BY120" i="48"/>
  <c r="BX120" i="48"/>
  <c r="BW120" i="48"/>
  <c r="BV120" i="48"/>
  <c r="BU120" i="48"/>
  <c r="BT120" i="48"/>
  <c r="BS120" i="48"/>
  <c r="BR120" i="48"/>
  <c r="BQ120" i="48"/>
  <c r="S120" i="48"/>
  <c r="CC119" i="48"/>
  <c r="CB119" i="48"/>
  <c r="CA119" i="48"/>
  <c r="BZ119" i="48"/>
  <c r="BY119" i="48"/>
  <c r="BX119" i="48"/>
  <c r="BW119" i="48"/>
  <c r="BV119" i="48"/>
  <c r="BU119" i="48"/>
  <c r="BT119" i="48"/>
  <c r="BS119" i="48"/>
  <c r="BR119" i="48"/>
  <c r="BQ119" i="48"/>
  <c r="S119" i="48"/>
  <c r="CC118" i="48"/>
  <c r="CB118" i="48"/>
  <c r="CA118" i="48"/>
  <c r="BZ118" i="48"/>
  <c r="BY118" i="48"/>
  <c r="BX118" i="48"/>
  <c r="BW118" i="48"/>
  <c r="BV118" i="48"/>
  <c r="BU118" i="48"/>
  <c r="BT118" i="48"/>
  <c r="BS118" i="48"/>
  <c r="BR118" i="48"/>
  <c r="BQ118" i="48"/>
  <c r="S118" i="48"/>
  <c r="CC117" i="48"/>
  <c r="CB117" i="48"/>
  <c r="CA117" i="48"/>
  <c r="BZ117" i="48"/>
  <c r="BY117" i="48"/>
  <c r="BX117" i="48"/>
  <c r="BW117" i="48"/>
  <c r="BV117" i="48"/>
  <c r="BU117" i="48"/>
  <c r="BT117" i="48"/>
  <c r="BS117" i="48"/>
  <c r="BR117" i="48"/>
  <c r="BQ117" i="48"/>
  <c r="S117" i="48"/>
  <c r="CC116" i="48"/>
  <c r="CB116" i="48"/>
  <c r="CA116" i="48"/>
  <c r="BZ116" i="48"/>
  <c r="BY116" i="48"/>
  <c r="BX116" i="48"/>
  <c r="BW116" i="48"/>
  <c r="BV116" i="48"/>
  <c r="BU116" i="48"/>
  <c r="BT116" i="48"/>
  <c r="BS116" i="48"/>
  <c r="BR116" i="48"/>
  <c r="BQ116" i="48"/>
  <c r="S116" i="48"/>
  <c r="CC115" i="48"/>
  <c r="CB115" i="48"/>
  <c r="CA115" i="48"/>
  <c r="BZ115" i="48"/>
  <c r="BY115" i="48"/>
  <c r="BX115" i="48"/>
  <c r="BW115" i="48"/>
  <c r="BV115" i="48"/>
  <c r="BU115" i="48"/>
  <c r="BT115" i="48"/>
  <c r="BS115" i="48"/>
  <c r="BR115" i="48"/>
  <c r="BQ115" i="48"/>
  <c r="S115" i="48"/>
  <c r="DY114" i="48"/>
  <c r="CC114" i="48"/>
  <c r="CB114" i="48"/>
  <c r="CA114" i="48"/>
  <c r="BZ114" i="48"/>
  <c r="BY114" i="48"/>
  <c r="BX114" i="48"/>
  <c r="BW114" i="48"/>
  <c r="BV114" i="48"/>
  <c r="BU114" i="48"/>
  <c r="BT114" i="48"/>
  <c r="BS114" i="48"/>
  <c r="BR114" i="48"/>
  <c r="BQ114" i="48"/>
  <c r="S114" i="48"/>
  <c r="CC113" i="48"/>
  <c r="CB113" i="48"/>
  <c r="CA113" i="48"/>
  <c r="BZ113" i="48"/>
  <c r="BY113" i="48"/>
  <c r="BX113" i="48"/>
  <c r="BW113" i="48"/>
  <c r="BV113" i="48"/>
  <c r="BU113" i="48"/>
  <c r="BT113" i="48"/>
  <c r="BS113" i="48"/>
  <c r="BR113" i="48"/>
  <c r="BQ113" i="48"/>
  <c r="S113" i="48"/>
  <c r="DY112" i="48"/>
  <c r="CC112" i="48"/>
  <c r="CB112" i="48"/>
  <c r="CA112" i="48"/>
  <c r="BZ112" i="48"/>
  <c r="BY112" i="48"/>
  <c r="BX112" i="48"/>
  <c r="BW112" i="48"/>
  <c r="BV112" i="48"/>
  <c r="BU112" i="48"/>
  <c r="BT112" i="48"/>
  <c r="BS112" i="48"/>
  <c r="BR112" i="48"/>
  <c r="BQ112" i="48"/>
  <c r="S112" i="48"/>
  <c r="CC111" i="48"/>
  <c r="CB111" i="48"/>
  <c r="CA111" i="48"/>
  <c r="BZ111" i="48"/>
  <c r="BY111" i="48"/>
  <c r="BX111" i="48"/>
  <c r="BW111" i="48"/>
  <c r="BV111" i="48"/>
  <c r="BU111" i="48"/>
  <c r="BT111" i="48"/>
  <c r="BS111" i="48"/>
  <c r="BR111" i="48"/>
  <c r="BQ111" i="48"/>
  <c r="S111" i="48"/>
  <c r="CC110" i="48"/>
  <c r="CB110" i="48"/>
  <c r="CA110" i="48"/>
  <c r="BZ110" i="48"/>
  <c r="BY110" i="48"/>
  <c r="BX110" i="48"/>
  <c r="BW110" i="48"/>
  <c r="BV110" i="48"/>
  <c r="BU110" i="48"/>
  <c r="BT110" i="48"/>
  <c r="BS110" i="48"/>
  <c r="BR110" i="48"/>
  <c r="BQ110" i="48"/>
  <c r="S110" i="48"/>
  <c r="CC109" i="48"/>
  <c r="CB109" i="48"/>
  <c r="CA109" i="48"/>
  <c r="BZ109" i="48"/>
  <c r="BY109" i="48"/>
  <c r="BX109" i="48"/>
  <c r="BW109" i="48"/>
  <c r="BV109" i="48"/>
  <c r="BU109" i="48"/>
  <c r="BT109" i="48"/>
  <c r="BS109" i="48"/>
  <c r="BR109" i="48"/>
  <c r="BQ109" i="48"/>
  <c r="S109" i="48"/>
  <c r="CC108" i="48"/>
  <c r="CB108" i="48"/>
  <c r="CA108" i="48"/>
  <c r="BZ108" i="48"/>
  <c r="BY108" i="48"/>
  <c r="BX108" i="48"/>
  <c r="BW108" i="48"/>
  <c r="BV108" i="48"/>
  <c r="BU108" i="48"/>
  <c r="BT108" i="48"/>
  <c r="BS108" i="48"/>
  <c r="BR108" i="48"/>
  <c r="BQ108" i="48"/>
  <c r="S108" i="48"/>
  <c r="CC107" i="48"/>
  <c r="CB107" i="48"/>
  <c r="CA107" i="48"/>
  <c r="BZ107" i="48"/>
  <c r="BY107" i="48"/>
  <c r="BX107" i="48"/>
  <c r="BW107" i="48"/>
  <c r="BV107" i="48"/>
  <c r="BU107" i="48"/>
  <c r="BT107" i="48"/>
  <c r="BS107" i="48"/>
  <c r="BR107" i="48"/>
  <c r="BQ107" i="48"/>
  <c r="S107" i="48"/>
  <c r="CC106" i="48"/>
  <c r="CB106" i="48"/>
  <c r="CA106" i="48"/>
  <c r="BZ106" i="48"/>
  <c r="BY106" i="48"/>
  <c r="BX106" i="48"/>
  <c r="BW106" i="48"/>
  <c r="BV106" i="48"/>
  <c r="BU106" i="48"/>
  <c r="BT106" i="48"/>
  <c r="BS106" i="48"/>
  <c r="BR106" i="48"/>
  <c r="BQ106" i="48"/>
  <c r="S106" i="48"/>
  <c r="CC105" i="48"/>
  <c r="CB105" i="48"/>
  <c r="CA105" i="48"/>
  <c r="BZ105" i="48"/>
  <c r="BY105" i="48"/>
  <c r="BX105" i="48"/>
  <c r="BW105" i="48"/>
  <c r="BV105" i="48"/>
  <c r="BU105" i="48"/>
  <c r="BT105" i="48"/>
  <c r="BS105" i="48"/>
  <c r="BR105" i="48"/>
  <c r="BQ105" i="48"/>
  <c r="S105" i="48"/>
  <c r="CC104" i="48"/>
  <c r="CB104" i="48"/>
  <c r="CA104" i="48"/>
  <c r="BZ104" i="48"/>
  <c r="BY104" i="48"/>
  <c r="BX104" i="48"/>
  <c r="BW104" i="48"/>
  <c r="BV104" i="48"/>
  <c r="BU104" i="48"/>
  <c r="BT104" i="48"/>
  <c r="BS104" i="48"/>
  <c r="BR104" i="48"/>
  <c r="BQ104" i="48"/>
  <c r="S104" i="48"/>
  <c r="CC103" i="48"/>
  <c r="CB103" i="48"/>
  <c r="CA103" i="48"/>
  <c r="BZ103" i="48"/>
  <c r="BY103" i="48"/>
  <c r="BX103" i="48"/>
  <c r="BW103" i="48"/>
  <c r="BV103" i="48"/>
  <c r="BU103" i="48"/>
  <c r="BT103" i="48"/>
  <c r="BS103" i="48"/>
  <c r="BR103" i="48"/>
  <c r="BQ103" i="48"/>
  <c r="S103" i="48"/>
  <c r="CC102" i="48"/>
  <c r="CB102" i="48"/>
  <c r="CA102" i="48"/>
  <c r="BZ102" i="48"/>
  <c r="BY102" i="48"/>
  <c r="BX102" i="48"/>
  <c r="BW102" i="48"/>
  <c r="BV102" i="48"/>
  <c r="BU102" i="48"/>
  <c r="BT102" i="48"/>
  <c r="BS102" i="48"/>
  <c r="BR102" i="48"/>
  <c r="BQ102" i="48"/>
  <c r="S102" i="48"/>
  <c r="CC101" i="48"/>
  <c r="CB101" i="48"/>
  <c r="CA101" i="48"/>
  <c r="BZ101" i="48"/>
  <c r="BY101" i="48"/>
  <c r="BX101" i="48"/>
  <c r="BW101" i="48"/>
  <c r="BV101" i="48"/>
  <c r="BU101" i="48"/>
  <c r="BT101" i="48"/>
  <c r="BS101" i="48"/>
  <c r="BR101" i="48"/>
  <c r="BQ101" i="48"/>
  <c r="S101" i="48"/>
  <c r="CC100" i="48"/>
  <c r="CB100" i="48"/>
  <c r="CA100" i="48"/>
  <c r="BZ100" i="48"/>
  <c r="BY100" i="48"/>
  <c r="BX100" i="48"/>
  <c r="BW100" i="48"/>
  <c r="BV100" i="48"/>
  <c r="BU100" i="48"/>
  <c r="BT100" i="48"/>
  <c r="BS100" i="48"/>
  <c r="BR100" i="48"/>
  <c r="BQ100" i="48"/>
  <c r="S100" i="48"/>
  <c r="CC99" i="48"/>
  <c r="CB99" i="48"/>
  <c r="CA99" i="48"/>
  <c r="BZ99" i="48"/>
  <c r="BY99" i="48"/>
  <c r="BX99" i="48"/>
  <c r="BW99" i="48"/>
  <c r="BV99" i="48"/>
  <c r="BU99" i="48"/>
  <c r="BT99" i="48"/>
  <c r="BS99" i="48"/>
  <c r="BR99" i="48"/>
  <c r="BQ99" i="48"/>
  <c r="S99" i="48"/>
  <c r="CC98" i="48"/>
  <c r="CB98" i="48"/>
  <c r="CA98" i="48"/>
  <c r="BZ98" i="48"/>
  <c r="BY98" i="48"/>
  <c r="BX98" i="48"/>
  <c r="BW98" i="48"/>
  <c r="BV98" i="48"/>
  <c r="BU98" i="48"/>
  <c r="BT98" i="48"/>
  <c r="BS98" i="48"/>
  <c r="BR98" i="48"/>
  <c r="BQ98" i="48"/>
  <c r="S98" i="48"/>
  <c r="DY97" i="48"/>
  <c r="CC97" i="48"/>
  <c r="CB97" i="48"/>
  <c r="CA97" i="48"/>
  <c r="BZ97" i="48"/>
  <c r="BY97" i="48"/>
  <c r="BX97" i="48"/>
  <c r="BW97" i="48"/>
  <c r="BV97" i="48"/>
  <c r="BU97" i="48"/>
  <c r="BT97" i="48"/>
  <c r="BS97" i="48"/>
  <c r="BR97" i="48"/>
  <c r="BQ97" i="48"/>
  <c r="S97" i="48"/>
  <c r="CC96" i="48"/>
  <c r="CB96" i="48"/>
  <c r="CA96" i="48"/>
  <c r="BZ96" i="48"/>
  <c r="BY96" i="48"/>
  <c r="BX96" i="48"/>
  <c r="BW96" i="48"/>
  <c r="BV96" i="48"/>
  <c r="BU96" i="48"/>
  <c r="BT96" i="48"/>
  <c r="BS96" i="48"/>
  <c r="BR96" i="48"/>
  <c r="BQ96" i="48"/>
  <c r="S96" i="48"/>
  <c r="CC95" i="48"/>
  <c r="CB95" i="48"/>
  <c r="CA95" i="48"/>
  <c r="BZ95" i="48"/>
  <c r="BY95" i="48"/>
  <c r="BX95" i="48"/>
  <c r="BW95" i="48"/>
  <c r="BV95" i="48"/>
  <c r="BU95" i="48"/>
  <c r="BT95" i="48"/>
  <c r="BS95" i="48"/>
  <c r="BR95" i="48"/>
  <c r="BQ95" i="48"/>
  <c r="S95" i="48"/>
  <c r="CC94" i="48"/>
  <c r="CB94" i="48"/>
  <c r="CA94" i="48"/>
  <c r="BZ94" i="48"/>
  <c r="BY94" i="48"/>
  <c r="BX94" i="48"/>
  <c r="BW94" i="48"/>
  <c r="BV94" i="48"/>
  <c r="BU94" i="48"/>
  <c r="BT94" i="48"/>
  <c r="BS94" i="48"/>
  <c r="BR94" i="48"/>
  <c r="BQ94" i="48"/>
  <c r="S94" i="48"/>
  <c r="DY93" i="48"/>
  <c r="CC93" i="48"/>
  <c r="CB93" i="48"/>
  <c r="CA93" i="48"/>
  <c r="BZ93" i="48"/>
  <c r="BY93" i="48"/>
  <c r="BX93" i="48"/>
  <c r="BW93" i="48"/>
  <c r="BV93" i="48"/>
  <c r="BU93" i="48"/>
  <c r="BT93" i="48"/>
  <c r="BS93" i="48"/>
  <c r="BR93" i="48"/>
  <c r="BQ93" i="48"/>
  <c r="S93" i="48"/>
  <c r="DY92" i="48"/>
  <c r="CC92" i="48"/>
  <c r="CB92" i="48"/>
  <c r="CA92" i="48"/>
  <c r="BZ92" i="48"/>
  <c r="BY92" i="48"/>
  <c r="BX92" i="48"/>
  <c r="BW92" i="48"/>
  <c r="BV92" i="48"/>
  <c r="BU92" i="48"/>
  <c r="BT92" i="48"/>
  <c r="BS92" i="48"/>
  <c r="BR92" i="48"/>
  <c r="BQ92" i="48"/>
  <c r="S92" i="48"/>
  <c r="CC91" i="48"/>
  <c r="CB91" i="48"/>
  <c r="CA91" i="48"/>
  <c r="BZ91" i="48"/>
  <c r="BY91" i="48"/>
  <c r="BX91" i="48"/>
  <c r="BW91" i="48"/>
  <c r="BV91" i="48"/>
  <c r="BU91" i="48"/>
  <c r="BT91" i="48"/>
  <c r="BS91" i="48"/>
  <c r="BR91" i="48"/>
  <c r="BQ91" i="48"/>
  <c r="S91" i="48"/>
  <c r="CC90" i="48"/>
  <c r="CB90" i="48"/>
  <c r="CA90" i="48"/>
  <c r="BZ90" i="48"/>
  <c r="BY90" i="48"/>
  <c r="BX90" i="48"/>
  <c r="BW90" i="48"/>
  <c r="BV90" i="48"/>
  <c r="BU90" i="48"/>
  <c r="BT90" i="48"/>
  <c r="BS90" i="48"/>
  <c r="BR90" i="48"/>
  <c r="BQ90" i="48"/>
  <c r="S90" i="48"/>
  <c r="CC89" i="48"/>
  <c r="CB89" i="48"/>
  <c r="CA89" i="48"/>
  <c r="BZ89" i="48"/>
  <c r="BY89" i="48"/>
  <c r="BX89" i="48"/>
  <c r="BW89" i="48"/>
  <c r="BV89" i="48"/>
  <c r="BU89" i="48"/>
  <c r="BT89" i="48"/>
  <c r="BS89" i="48"/>
  <c r="BR89" i="48"/>
  <c r="BQ89" i="48"/>
  <c r="S89" i="48"/>
  <c r="CC88" i="48"/>
  <c r="CB88" i="48"/>
  <c r="CA88" i="48"/>
  <c r="BZ88" i="48"/>
  <c r="BY88" i="48"/>
  <c r="BX88" i="48"/>
  <c r="BW88" i="48"/>
  <c r="BV88" i="48"/>
  <c r="BU88" i="48"/>
  <c r="BT88" i="48"/>
  <c r="BS88" i="48"/>
  <c r="BR88" i="48"/>
  <c r="BQ88" i="48"/>
  <c r="S88" i="48"/>
  <c r="CC87" i="48"/>
  <c r="CB87" i="48"/>
  <c r="CA87" i="48"/>
  <c r="BZ87" i="48"/>
  <c r="BY87" i="48"/>
  <c r="BX87" i="48"/>
  <c r="BW87" i="48"/>
  <c r="BV87" i="48"/>
  <c r="BU87" i="48"/>
  <c r="BT87" i="48"/>
  <c r="BS87" i="48"/>
  <c r="BR87" i="48"/>
  <c r="BQ87" i="48"/>
  <c r="S87" i="48"/>
  <c r="CC86" i="48"/>
  <c r="CB86" i="48"/>
  <c r="CA86" i="48"/>
  <c r="BZ86" i="48"/>
  <c r="BY86" i="48"/>
  <c r="BX86" i="48"/>
  <c r="BW86" i="48"/>
  <c r="BV86" i="48"/>
  <c r="BU86" i="48"/>
  <c r="BT86" i="48"/>
  <c r="BS86" i="48"/>
  <c r="BR86" i="48"/>
  <c r="BQ86" i="48"/>
  <c r="S86" i="48"/>
  <c r="CC85" i="48"/>
  <c r="CB85" i="48"/>
  <c r="CA85" i="48"/>
  <c r="BZ85" i="48"/>
  <c r="BY85" i="48"/>
  <c r="BX85" i="48"/>
  <c r="BW85" i="48"/>
  <c r="BV85" i="48"/>
  <c r="BU85" i="48"/>
  <c r="BT85" i="48"/>
  <c r="BS85" i="48"/>
  <c r="BR85" i="48"/>
  <c r="BQ85" i="48"/>
  <c r="S85" i="48"/>
  <c r="CC84" i="48"/>
  <c r="CB84" i="48"/>
  <c r="CA84" i="48"/>
  <c r="BZ84" i="48"/>
  <c r="BY84" i="48"/>
  <c r="BX84" i="48"/>
  <c r="BW84" i="48"/>
  <c r="BV84" i="48"/>
  <c r="BU84" i="48"/>
  <c r="BT84" i="48"/>
  <c r="BS84" i="48"/>
  <c r="BR84" i="48"/>
  <c r="BQ84" i="48"/>
  <c r="S84" i="48"/>
  <c r="CC83" i="48"/>
  <c r="CB83" i="48"/>
  <c r="CA83" i="48"/>
  <c r="BZ83" i="48"/>
  <c r="BY83" i="48"/>
  <c r="BX83" i="48"/>
  <c r="BW83" i="48"/>
  <c r="BV83" i="48"/>
  <c r="BU83" i="48"/>
  <c r="BT83" i="48"/>
  <c r="BS83" i="48"/>
  <c r="BR83" i="48"/>
  <c r="BQ83" i="48"/>
  <c r="S83" i="48"/>
  <c r="CC82" i="48"/>
  <c r="CB82" i="48"/>
  <c r="CA82" i="48"/>
  <c r="BZ82" i="48"/>
  <c r="BY82" i="48"/>
  <c r="BX82" i="48"/>
  <c r="BW82" i="48"/>
  <c r="BV82" i="48"/>
  <c r="BU82" i="48"/>
  <c r="BT82" i="48"/>
  <c r="BS82" i="48"/>
  <c r="BR82" i="48"/>
  <c r="BQ82" i="48"/>
  <c r="S82" i="48"/>
  <c r="CC81" i="48"/>
  <c r="CB81" i="48"/>
  <c r="CA81" i="48"/>
  <c r="BZ81" i="48"/>
  <c r="BY81" i="48"/>
  <c r="BX81" i="48"/>
  <c r="BW81" i="48"/>
  <c r="BV81" i="48"/>
  <c r="BU81" i="48"/>
  <c r="BT81" i="48"/>
  <c r="BS81" i="48"/>
  <c r="BR81" i="48"/>
  <c r="BQ81" i="48"/>
  <c r="S81" i="48"/>
  <c r="CC80" i="48"/>
  <c r="CB80" i="48"/>
  <c r="CA80" i="48"/>
  <c r="BZ80" i="48"/>
  <c r="BY80" i="48"/>
  <c r="BX80" i="48"/>
  <c r="BW80" i="48"/>
  <c r="BV80" i="48"/>
  <c r="BU80" i="48"/>
  <c r="BT80" i="48"/>
  <c r="BS80" i="48"/>
  <c r="BR80" i="48"/>
  <c r="BQ80" i="48"/>
  <c r="S80" i="48"/>
  <c r="CC79" i="48"/>
  <c r="CB79" i="48"/>
  <c r="CA79" i="48"/>
  <c r="BZ79" i="48"/>
  <c r="BY79" i="48"/>
  <c r="BX79" i="48"/>
  <c r="BW79" i="48"/>
  <c r="BV79" i="48"/>
  <c r="BU79" i="48"/>
  <c r="BT79" i="48"/>
  <c r="BS79" i="48"/>
  <c r="BR79" i="48"/>
  <c r="BQ79" i="48"/>
  <c r="S79" i="48"/>
  <c r="CC78" i="48"/>
  <c r="CB78" i="48"/>
  <c r="CA78" i="48"/>
  <c r="BZ78" i="48"/>
  <c r="BY78" i="48"/>
  <c r="BX78" i="48"/>
  <c r="BW78" i="48"/>
  <c r="BV78" i="48"/>
  <c r="BU78" i="48"/>
  <c r="BT78" i="48"/>
  <c r="BS78" i="48"/>
  <c r="BR78" i="48"/>
  <c r="BQ78" i="48"/>
  <c r="S78" i="48"/>
  <c r="DY77" i="48"/>
  <c r="CC77" i="48"/>
  <c r="CB77" i="48"/>
  <c r="CA77" i="48"/>
  <c r="BZ77" i="48"/>
  <c r="BY77" i="48"/>
  <c r="BX77" i="48"/>
  <c r="BW77" i="48"/>
  <c r="BV77" i="48"/>
  <c r="BU77" i="48"/>
  <c r="BT77" i="48"/>
  <c r="BS77" i="48"/>
  <c r="BR77" i="48"/>
  <c r="BQ77" i="48"/>
  <c r="S77" i="48"/>
  <c r="CC76" i="48"/>
  <c r="CB76" i="48"/>
  <c r="CA76" i="48"/>
  <c r="BZ76" i="48"/>
  <c r="BY76" i="48"/>
  <c r="BX76" i="48"/>
  <c r="BW76" i="48"/>
  <c r="BV76" i="48"/>
  <c r="BU76" i="48"/>
  <c r="BT76" i="48"/>
  <c r="BS76" i="48"/>
  <c r="BR76" i="48"/>
  <c r="BQ76" i="48"/>
  <c r="S76" i="48"/>
  <c r="DY75" i="48"/>
  <c r="CC75" i="48"/>
  <c r="CB75" i="48"/>
  <c r="CA75" i="48"/>
  <c r="BZ75" i="48"/>
  <c r="BY75" i="48"/>
  <c r="BX75" i="48"/>
  <c r="BW75" i="48"/>
  <c r="BV75" i="48"/>
  <c r="BU75" i="48"/>
  <c r="BT75" i="48"/>
  <c r="BS75" i="48"/>
  <c r="BR75" i="48"/>
  <c r="BQ75" i="48"/>
  <c r="S75" i="48"/>
  <c r="CC74" i="48"/>
  <c r="CB74" i="48"/>
  <c r="CA74" i="48"/>
  <c r="BZ74" i="48"/>
  <c r="BY74" i="48"/>
  <c r="BX74" i="48"/>
  <c r="BW74" i="48"/>
  <c r="BV74" i="48"/>
  <c r="BU74" i="48"/>
  <c r="BT74" i="48"/>
  <c r="BS74" i="48"/>
  <c r="BR74" i="48"/>
  <c r="BQ74" i="48"/>
  <c r="S74" i="48"/>
  <c r="CC73" i="48"/>
  <c r="CB73" i="48"/>
  <c r="CA73" i="48"/>
  <c r="BZ73" i="48"/>
  <c r="BY73" i="48"/>
  <c r="BX73" i="48"/>
  <c r="BW73" i="48"/>
  <c r="BV73" i="48"/>
  <c r="BU73" i="48"/>
  <c r="BT73" i="48"/>
  <c r="BS73" i="48"/>
  <c r="BR73" i="48"/>
  <c r="BQ73" i="48"/>
  <c r="S73" i="48"/>
  <c r="CC72" i="48"/>
  <c r="CB72" i="48"/>
  <c r="CA72" i="48"/>
  <c r="BZ72" i="48"/>
  <c r="BY72" i="48"/>
  <c r="BX72" i="48"/>
  <c r="BW72" i="48"/>
  <c r="BV72" i="48"/>
  <c r="BU72" i="48"/>
  <c r="BT72" i="48"/>
  <c r="BS72" i="48"/>
  <c r="BR72" i="48"/>
  <c r="BQ72" i="48"/>
  <c r="S72" i="48"/>
  <c r="CC71" i="48"/>
  <c r="CB71" i="48"/>
  <c r="CA71" i="48"/>
  <c r="BZ71" i="48"/>
  <c r="BY71" i="48"/>
  <c r="BX71" i="48"/>
  <c r="BW71" i="48"/>
  <c r="BV71" i="48"/>
  <c r="BU71" i="48"/>
  <c r="BT71" i="48"/>
  <c r="BS71" i="48"/>
  <c r="BR71" i="48"/>
  <c r="BQ71" i="48"/>
  <c r="S71" i="48"/>
  <c r="CC70" i="48"/>
  <c r="CB70" i="48"/>
  <c r="CA70" i="48"/>
  <c r="BZ70" i="48"/>
  <c r="BY70" i="48"/>
  <c r="BX70" i="48"/>
  <c r="BW70" i="48"/>
  <c r="BV70" i="48"/>
  <c r="BU70" i="48"/>
  <c r="BT70" i="48"/>
  <c r="BS70" i="48"/>
  <c r="BR70" i="48"/>
  <c r="BQ70" i="48"/>
  <c r="S70" i="48"/>
  <c r="CC69" i="48"/>
  <c r="CB69" i="48"/>
  <c r="CA69" i="48"/>
  <c r="BZ69" i="48"/>
  <c r="BY69" i="48"/>
  <c r="BX69" i="48"/>
  <c r="BW69" i="48"/>
  <c r="BV69" i="48"/>
  <c r="BU69" i="48"/>
  <c r="BT69" i="48"/>
  <c r="BS69" i="48"/>
  <c r="BR69" i="48"/>
  <c r="BQ69" i="48"/>
  <c r="S69" i="48"/>
  <c r="DY68" i="48"/>
  <c r="CC68" i="48"/>
  <c r="CB68" i="48"/>
  <c r="CA68" i="48"/>
  <c r="BZ68" i="48"/>
  <c r="BY68" i="48"/>
  <c r="BX68" i="48"/>
  <c r="BW68" i="48"/>
  <c r="BV68" i="48"/>
  <c r="BU68" i="48"/>
  <c r="BT68" i="48"/>
  <c r="BS68" i="48"/>
  <c r="BR68" i="48"/>
  <c r="BQ68" i="48"/>
  <c r="S68" i="48"/>
  <c r="CC67" i="48"/>
  <c r="CB67" i="48"/>
  <c r="CA67" i="48"/>
  <c r="BZ67" i="48"/>
  <c r="BY67" i="48"/>
  <c r="BX67" i="48"/>
  <c r="BW67" i="48"/>
  <c r="BV67" i="48"/>
  <c r="BU67" i="48"/>
  <c r="BT67" i="48"/>
  <c r="BS67" i="48"/>
  <c r="BR67" i="48"/>
  <c r="BQ67" i="48"/>
  <c r="S67" i="48"/>
  <c r="CC66" i="48"/>
  <c r="CB66" i="48"/>
  <c r="CA66" i="48"/>
  <c r="BZ66" i="48"/>
  <c r="BY66" i="48"/>
  <c r="BX66" i="48"/>
  <c r="BW66" i="48"/>
  <c r="BV66" i="48"/>
  <c r="BU66" i="48"/>
  <c r="BT66" i="48"/>
  <c r="BS66" i="48"/>
  <c r="BR66" i="48"/>
  <c r="BQ66" i="48"/>
  <c r="S66" i="48"/>
  <c r="CC65" i="48"/>
  <c r="CB65" i="48"/>
  <c r="CA65" i="48"/>
  <c r="BZ65" i="48"/>
  <c r="BY65" i="48"/>
  <c r="BX65" i="48"/>
  <c r="BW65" i="48"/>
  <c r="BV65" i="48"/>
  <c r="BU65" i="48"/>
  <c r="BT65" i="48"/>
  <c r="BS65" i="48"/>
  <c r="BR65" i="48"/>
  <c r="BQ65" i="48"/>
  <c r="S65" i="48"/>
  <c r="CC64" i="48"/>
  <c r="CB64" i="48"/>
  <c r="CA64" i="48"/>
  <c r="BZ64" i="48"/>
  <c r="BY64" i="48"/>
  <c r="BX64" i="48"/>
  <c r="BW64" i="48"/>
  <c r="BV64" i="48"/>
  <c r="BU64" i="48"/>
  <c r="BT64" i="48"/>
  <c r="BS64" i="48"/>
  <c r="BR64" i="48"/>
  <c r="BQ64" i="48"/>
  <c r="S64" i="48"/>
  <c r="CC63" i="48"/>
  <c r="CB63" i="48"/>
  <c r="CA63" i="48"/>
  <c r="BZ63" i="48"/>
  <c r="BY63" i="48"/>
  <c r="BX63" i="48"/>
  <c r="BW63" i="48"/>
  <c r="BV63" i="48"/>
  <c r="BU63" i="48"/>
  <c r="BT63" i="48"/>
  <c r="BS63" i="48"/>
  <c r="BR63" i="48"/>
  <c r="BQ63" i="48"/>
  <c r="S63" i="48"/>
  <c r="CC62" i="48"/>
  <c r="CB62" i="48"/>
  <c r="CA62" i="48"/>
  <c r="BZ62" i="48"/>
  <c r="BY62" i="48"/>
  <c r="BX62" i="48"/>
  <c r="BW62" i="48"/>
  <c r="BV62" i="48"/>
  <c r="BU62" i="48"/>
  <c r="BT62" i="48"/>
  <c r="BS62" i="48"/>
  <c r="BR62" i="48"/>
  <c r="BQ62" i="48"/>
  <c r="S62" i="48"/>
  <c r="CC61" i="48"/>
  <c r="CB61" i="48"/>
  <c r="CA61" i="48"/>
  <c r="BZ61" i="48"/>
  <c r="BY61" i="48"/>
  <c r="BX61" i="48"/>
  <c r="BW61" i="48"/>
  <c r="BV61" i="48"/>
  <c r="BU61" i="48"/>
  <c r="BT61" i="48"/>
  <c r="BS61" i="48"/>
  <c r="BR61" i="48"/>
  <c r="BQ61" i="48"/>
  <c r="S61" i="48"/>
  <c r="CC60" i="48"/>
  <c r="CB60" i="48"/>
  <c r="CA60" i="48"/>
  <c r="BZ60" i="48"/>
  <c r="BY60" i="48"/>
  <c r="BX60" i="48"/>
  <c r="BW60" i="48"/>
  <c r="BV60" i="48"/>
  <c r="BU60" i="48"/>
  <c r="BT60" i="48"/>
  <c r="BS60" i="48"/>
  <c r="BR60" i="48"/>
  <c r="BQ60" i="48"/>
  <c r="S60" i="48"/>
  <c r="CC59" i="48"/>
  <c r="CB59" i="48"/>
  <c r="CA59" i="48"/>
  <c r="BZ59" i="48"/>
  <c r="BY59" i="48"/>
  <c r="BX59" i="48"/>
  <c r="BW59" i="48"/>
  <c r="BV59" i="48"/>
  <c r="BU59" i="48"/>
  <c r="BT59" i="48"/>
  <c r="BS59" i="48"/>
  <c r="BR59" i="48"/>
  <c r="BQ59" i="48"/>
  <c r="S59" i="48"/>
  <c r="CC58" i="48"/>
  <c r="CB58" i="48"/>
  <c r="CA58" i="48"/>
  <c r="BZ58" i="48"/>
  <c r="BY58" i="48"/>
  <c r="BX58" i="48"/>
  <c r="BW58" i="48"/>
  <c r="BV58" i="48"/>
  <c r="BU58" i="48"/>
  <c r="BT58" i="48"/>
  <c r="BS58" i="48"/>
  <c r="BR58" i="48"/>
  <c r="BQ58" i="48"/>
  <c r="S58" i="48"/>
  <c r="DY57" i="48"/>
  <c r="CC57" i="48"/>
  <c r="CB57" i="48"/>
  <c r="CA57" i="48"/>
  <c r="BZ57" i="48"/>
  <c r="BY57" i="48"/>
  <c r="BX57" i="48"/>
  <c r="BW57" i="48"/>
  <c r="BV57" i="48"/>
  <c r="BU57" i="48"/>
  <c r="BT57" i="48"/>
  <c r="BS57" i="48"/>
  <c r="BR57" i="48"/>
  <c r="BQ57" i="48"/>
  <c r="S57" i="48"/>
  <c r="CC56" i="48"/>
  <c r="CB56" i="48"/>
  <c r="CA56" i="48"/>
  <c r="BZ56" i="48"/>
  <c r="BY56" i="48"/>
  <c r="BX56" i="48"/>
  <c r="BW56" i="48"/>
  <c r="BV56" i="48"/>
  <c r="BU56" i="48"/>
  <c r="BT56" i="48"/>
  <c r="BS56" i="48"/>
  <c r="BR56" i="48"/>
  <c r="BQ56" i="48"/>
  <c r="S56" i="48"/>
  <c r="DY55" i="48"/>
  <c r="CC55" i="48"/>
  <c r="CB55" i="48"/>
  <c r="CA55" i="48"/>
  <c r="BZ55" i="48"/>
  <c r="BY55" i="48"/>
  <c r="BX55" i="48"/>
  <c r="BW55" i="48"/>
  <c r="BV55" i="48"/>
  <c r="BU55" i="48"/>
  <c r="BT55" i="48"/>
  <c r="BS55" i="48"/>
  <c r="BR55" i="48"/>
  <c r="BQ55" i="48"/>
  <c r="S55" i="48"/>
  <c r="CC54" i="48"/>
  <c r="CB54" i="48"/>
  <c r="CA54" i="48"/>
  <c r="BZ54" i="48"/>
  <c r="BY54" i="48"/>
  <c r="BX54" i="48"/>
  <c r="BW54" i="48"/>
  <c r="BV54" i="48"/>
  <c r="BU54" i="48"/>
  <c r="BT54" i="48"/>
  <c r="BS54" i="48"/>
  <c r="BR54" i="48"/>
  <c r="BQ54" i="48"/>
  <c r="S54" i="48"/>
  <c r="CC53" i="48"/>
  <c r="CB53" i="48"/>
  <c r="CA53" i="48"/>
  <c r="BZ53" i="48"/>
  <c r="BY53" i="48"/>
  <c r="BX53" i="48"/>
  <c r="BW53" i="48"/>
  <c r="BV53" i="48"/>
  <c r="BU53" i="48"/>
  <c r="BT53" i="48"/>
  <c r="BS53" i="48"/>
  <c r="BR53" i="48"/>
  <c r="BQ53" i="48"/>
  <c r="S53" i="48"/>
  <c r="CC52" i="48"/>
  <c r="CB52" i="48"/>
  <c r="CA52" i="48"/>
  <c r="BZ52" i="48"/>
  <c r="BY52" i="48"/>
  <c r="BX52" i="48"/>
  <c r="BW52" i="48"/>
  <c r="BV52" i="48"/>
  <c r="BU52" i="48"/>
  <c r="BT52" i="48"/>
  <c r="BS52" i="48"/>
  <c r="BR52" i="48"/>
  <c r="BQ52" i="48"/>
  <c r="S52" i="48"/>
  <c r="CC51" i="48"/>
  <c r="CB51" i="48"/>
  <c r="CA51" i="48"/>
  <c r="BZ51" i="48"/>
  <c r="BY51" i="48"/>
  <c r="BX51" i="48"/>
  <c r="BW51" i="48"/>
  <c r="BV51" i="48"/>
  <c r="BU51" i="48"/>
  <c r="BT51" i="48"/>
  <c r="BS51" i="48"/>
  <c r="BR51" i="48"/>
  <c r="BQ51" i="48"/>
  <c r="S51" i="48"/>
  <c r="CC50" i="48"/>
  <c r="CB50" i="48"/>
  <c r="CA50" i="48"/>
  <c r="BZ50" i="48"/>
  <c r="BY50" i="48"/>
  <c r="BX50" i="48"/>
  <c r="BW50" i="48"/>
  <c r="BV50" i="48"/>
  <c r="BU50" i="48"/>
  <c r="BT50" i="48"/>
  <c r="BS50" i="48"/>
  <c r="BR50" i="48"/>
  <c r="BQ50" i="48"/>
  <c r="S50" i="48"/>
  <c r="CC49" i="48"/>
  <c r="CB49" i="48"/>
  <c r="CA49" i="48"/>
  <c r="BZ49" i="48"/>
  <c r="BY49" i="48"/>
  <c r="BX49" i="48"/>
  <c r="BW49" i="48"/>
  <c r="BV49" i="48"/>
  <c r="BU49" i="48"/>
  <c r="BT49" i="48"/>
  <c r="BS49" i="48"/>
  <c r="BR49" i="48"/>
  <c r="BQ49" i="48"/>
  <c r="S49" i="48"/>
  <c r="CC48" i="48"/>
  <c r="CB48" i="48"/>
  <c r="CA48" i="48"/>
  <c r="BZ48" i="48"/>
  <c r="BY48" i="48"/>
  <c r="BX48" i="48"/>
  <c r="BW48" i="48"/>
  <c r="BV48" i="48"/>
  <c r="BU48" i="48"/>
  <c r="BT48" i="48"/>
  <c r="BS48" i="48"/>
  <c r="BR48" i="48"/>
  <c r="BQ48" i="48"/>
  <c r="S48" i="48"/>
  <c r="CC47" i="48"/>
  <c r="CB47" i="48"/>
  <c r="CA47" i="48"/>
  <c r="BZ47" i="48"/>
  <c r="BY47" i="48"/>
  <c r="BX47" i="48"/>
  <c r="BW47" i="48"/>
  <c r="BV47" i="48"/>
  <c r="BU47" i="48"/>
  <c r="BT47" i="48"/>
  <c r="BS47" i="48"/>
  <c r="BR47" i="48"/>
  <c r="BQ47" i="48"/>
  <c r="S47" i="48"/>
  <c r="CC46" i="48"/>
  <c r="CB46" i="48"/>
  <c r="CA46" i="48"/>
  <c r="BZ46" i="48"/>
  <c r="BY46" i="48"/>
  <c r="BX46" i="48"/>
  <c r="BW46" i="48"/>
  <c r="BV46" i="48"/>
  <c r="BU46" i="48"/>
  <c r="BT46" i="48"/>
  <c r="BS46" i="48"/>
  <c r="BR46" i="48"/>
  <c r="BQ46" i="48"/>
  <c r="S46" i="48"/>
  <c r="DY45" i="48"/>
  <c r="CC45" i="48"/>
  <c r="CB45" i="48"/>
  <c r="CA45" i="48"/>
  <c r="BZ45" i="48"/>
  <c r="BY45" i="48"/>
  <c r="BX45" i="48"/>
  <c r="BW45" i="48"/>
  <c r="BV45" i="48"/>
  <c r="BU45" i="48"/>
  <c r="BT45" i="48"/>
  <c r="BS45" i="48"/>
  <c r="BR45" i="48"/>
  <c r="BQ45" i="48"/>
  <c r="S45" i="48"/>
  <c r="CC44" i="48"/>
  <c r="CB44" i="48"/>
  <c r="CA44" i="48"/>
  <c r="BZ44" i="48"/>
  <c r="BY44" i="48"/>
  <c r="BX44" i="48"/>
  <c r="BW44" i="48"/>
  <c r="BV44" i="48"/>
  <c r="BU44" i="48"/>
  <c r="BT44" i="48"/>
  <c r="BS44" i="48"/>
  <c r="BR44" i="48"/>
  <c r="BQ44" i="48"/>
  <c r="S44" i="48"/>
  <c r="DY43" i="48"/>
  <c r="CC43" i="48"/>
  <c r="CB43" i="48"/>
  <c r="CA43" i="48"/>
  <c r="BZ43" i="48"/>
  <c r="BY43" i="48"/>
  <c r="BX43" i="48"/>
  <c r="BW43" i="48"/>
  <c r="BV43" i="48"/>
  <c r="BU43" i="48"/>
  <c r="BT43" i="48"/>
  <c r="BS43" i="48"/>
  <c r="BR43" i="48"/>
  <c r="BQ43" i="48"/>
  <c r="S43" i="48"/>
  <c r="CC42" i="48"/>
  <c r="CB42" i="48"/>
  <c r="CA42" i="48"/>
  <c r="BZ42" i="48"/>
  <c r="BY42" i="48"/>
  <c r="BX42" i="48"/>
  <c r="BW42" i="48"/>
  <c r="BV42" i="48"/>
  <c r="BU42" i="48"/>
  <c r="BT42" i="48"/>
  <c r="BS42" i="48"/>
  <c r="BR42" i="48"/>
  <c r="BQ42" i="48"/>
  <c r="S42" i="48"/>
  <c r="CC41" i="48"/>
  <c r="CB41" i="48"/>
  <c r="CA41" i="48"/>
  <c r="BZ41" i="48"/>
  <c r="BY41" i="48"/>
  <c r="BX41" i="48"/>
  <c r="BW41" i="48"/>
  <c r="BV41" i="48"/>
  <c r="BU41" i="48"/>
  <c r="BT41" i="48"/>
  <c r="BS41" i="48"/>
  <c r="BR41" i="48"/>
  <c r="BQ41" i="48"/>
  <c r="S41" i="48"/>
  <c r="CC40" i="48"/>
  <c r="CB40" i="48"/>
  <c r="CA40" i="48"/>
  <c r="BZ40" i="48"/>
  <c r="BY40" i="48"/>
  <c r="BX40" i="48"/>
  <c r="BW40" i="48"/>
  <c r="BV40" i="48"/>
  <c r="BU40" i="48"/>
  <c r="BT40" i="48"/>
  <c r="BS40" i="48"/>
  <c r="BR40" i="48"/>
  <c r="BQ40" i="48"/>
  <c r="S40" i="48"/>
  <c r="CC39" i="48"/>
  <c r="CB39" i="48"/>
  <c r="CA39" i="48"/>
  <c r="BZ39" i="48"/>
  <c r="BY39" i="48"/>
  <c r="BX39" i="48"/>
  <c r="BW39" i="48"/>
  <c r="BV39" i="48"/>
  <c r="BU39" i="48"/>
  <c r="BT39" i="48"/>
  <c r="BS39" i="48"/>
  <c r="BR39" i="48"/>
  <c r="BQ39" i="48"/>
  <c r="S39" i="48"/>
  <c r="CC38" i="48"/>
  <c r="CB38" i="48"/>
  <c r="CA38" i="48"/>
  <c r="BZ38" i="48"/>
  <c r="BY38" i="48"/>
  <c r="BX38" i="48"/>
  <c r="BW38" i="48"/>
  <c r="BV38" i="48"/>
  <c r="BU38" i="48"/>
  <c r="BT38" i="48"/>
  <c r="BS38" i="48"/>
  <c r="BR38" i="48"/>
  <c r="BQ38" i="48"/>
  <c r="S38" i="48"/>
  <c r="CC37" i="48"/>
  <c r="CB37" i="48"/>
  <c r="CA37" i="48"/>
  <c r="BZ37" i="48"/>
  <c r="BY37" i="48"/>
  <c r="BX37" i="48"/>
  <c r="BW37" i="48"/>
  <c r="BV37" i="48"/>
  <c r="BU37" i="48"/>
  <c r="BT37" i="48"/>
  <c r="BS37" i="48"/>
  <c r="BR37" i="48"/>
  <c r="BQ37" i="48"/>
  <c r="S37" i="48"/>
  <c r="CC36" i="48"/>
  <c r="CB36" i="48"/>
  <c r="CA36" i="48"/>
  <c r="BZ36" i="48"/>
  <c r="BY36" i="48"/>
  <c r="BX36" i="48"/>
  <c r="BW36" i="48"/>
  <c r="BV36" i="48"/>
  <c r="BU36" i="48"/>
  <c r="BT36" i="48"/>
  <c r="BS36" i="48"/>
  <c r="BR36" i="48"/>
  <c r="BQ36" i="48"/>
  <c r="S36" i="48"/>
  <c r="CC35" i="48"/>
  <c r="CB35" i="48"/>
  <c r="CA35" i="48"/>
  <c r="BZ35" i="48"/>
  <c r="BY35" i="48"/>
  <c r="BX35" i="48"/>
  <c r="BW35" i="48"/>
  <c r="BV35" i="48"/>
  <c r="BU35" i="48"/>
  <c r="BT35" i="48"/>
  <c r="BS35" i="48"/>
  <c r="BR35" i="48"/>
  <c r="BQ35" i="48"/>
  <c r="S35" i="48"/>
  <c r="CC34" i="48"/>
  <c r="CB34" i="48"/>
  <c r="CA34" i="48"/>
  <c r="BZ34" i="48"/>
  <c r="BY34" i="48"/>
  <c r="BX34" i="48"/>
  <c r="BW34" i="48"/>
  <c r="BV34" i="48"/>
  <c r="BU34" i="48"/>
  <c r="BT34" i="48"/>
  <c r="BS34" i="48"/>
  <c r="BR34" i="48"/>
  <c r="BQ34" i="48"/>
  <c r="S34" i="48"/>
  <c r="CC33" i="48"/>
  <c r="CB33" i="48"/>
  <c r="CA33" i="48"/>
  <c r="BZ33" i="48"/>
  <c r="BY33" i="48"/>
  <c r="BX33" i="48"/>
  <c r="BW33" i="48"/>
  <c r="BV33" i="48"/>
  <c r="BU33" i="48"/>
  <c r="BT33" i="48"/>
  <c r="BS33" i="48"/>
  <c r="BR33" i="48"/>
  <c r="BQ33" i="48"/>
  <c r="S33" i="48"/>
  <c r="CC32" i="48"/>
  <c r="CB32" i="48"/>
  <c r="CA32" i="48"/>
  <c r="BZ32" i="48"/>
  <c r="BY32" i="48"/>
  <c r="BX32" i="48"/>
  <c r="BW32" i="48"/>
  <c r="BV32" i="48"/>
  <c r="BU32" i="48"/>
  <c r="BT32" i="48"/>
  <c r="BS32" i="48"/>
  <c r="BR32" i="48"/>
  <c r="BQ32" i="48"/>
  <c r="S32" i="48"/>
  <c r="CC31" i="48"/>
  <c r="CB31" i="48"/>
  <c r="CA31" i="48"/>
  <c r="BZ31" i="48"/>
  <c r="BY31" i="48"/>
  <c r="BX31" i="48"/>
  <c r="BW31" i="48"/>
  <c r="BV31" i="48"/>
  <c r="BU31" i="48"/>
  <c r="BT31" i="48"/>
  <c r="BS31" i="48"/>
  <c r="BR31" i="48"/>
  <c r="BQ31" i="48"/>
  <c r="S31" i="48"/>
  <c r="CC30" i="48"/>
  <c r="CB30" i="48"/>
  <c r="CA30" i="48"/>
  <c r="BZ30" i="48"/>
  <c r="BY30" i="48"/>
  <c r="BX30" i="48"/>
  <c r="BW30" i="48"/>
  <c r="BV30" i="48"/>
  <c r="BU30" i="48"/>
  <c r="BT30" i="48"/>
  <c r="BS30" i="48"/>
  <c r="BR30" i="48"/>
  <c r="BQ30" i="48"/>
  <c r="S30" i="48"/>
  <c r="CC29" i="48"/>
  <c r="CB29" i="48"/>
  <c r="CA29" i="48"/>
  <c r="BZ29" i="48"/>
  <c r="BY29" i="48"/>
  <c r="BX29" i="48"/>
  <c r="BW29" i="48"/>
  <c r="BV29" i="48"/>
  <c r="BU29" i="48"/>
  <c r="BT29" i="48"/>
  <c r="BS29" i="48"/>
  <c r="BR29" i="48"/>
  <c r="BQ29" i="48"/>
  <c r="S29" i="48"/>
  <c r="CC28" i="48"/>
  <c r="CB28" i="48"/>
  <c r="CA28" i="48"/>
  <c r="BZ28" i="48"/>
  <c r="BY28" i="48"/>
  <c r="BX28" i="48"/>
  <c r="BW28" i="48"/>
  <c r="BV28" i="48"/>
  <c r="BU28" i="48"/>
  <c r="BT28" i="48"/>
  <c r="BS28" i="48"/>
  <c r="BR28" i="48"/>
  <c r="BQ28" i="48"/>
  <c r="S28" i="48"/>
  <c r="CC27" i="48"/>
  <c r="CB27" i="48"/>
  <c r="CA27" i="48"/>
  <c r="BZ27" i="48"/>
  <c r="BY27" i="48"/>
  <c r="BX27" i="48"/>
  <c r="BW27" i="48"/>
  <c r="BV27" i="48"/>
  <c r="BU27" i="48"/>
  <c r="BT27" i="48"/>
  <c r="BS27" i="48"/>
  <c r="BR27" i="48"/>
  <c r="BQ27" i="48"/>
  <c r="S27" i="48"/>
  <c r="CC26" i="48"/>
  <c r="CB26" i="48"/>
  <c r="CA26" i="48"/>
  <c r="BZ26" i="48"/>
  <c r="BY26" i="48"/>
  <c r="BX26" i="48"/>
  <c r="BW26" i="48"/>
  <c r="BV26" i="48"/>
  <c r="BU26" i="48"/>
  <c r="BT26" i="48"/>
  <c r="BS26" i="48"/>
  <c r="BR26" i="48"/>
  <c r="BQ26" i="48"/>
  <c r="S26" i="48"/>
  <c r="CC25" i="48"/>
  <c r="CB25" i="48"/>
  <c r="CA25" i="48"/>
  <c r="BZ25" i="48"/>
  <c r="BY25" i="48"/>
  <c r="BX25" i="48"/>
  <c r="BW25" i="48"/>
  <c r="BV25" i="48"/>
  <c r="BU25" i="48"/>
  <c r="BT25" i="48"/>
  <c r="BS25" i="48"/>
  <c r="BR25" i="48"/>
  <c r="BQ25" i="48"/>
  <c r="S25" i="48"/>
  <c r="CC24" i="48"/>
  <c r="CB24" i="48"/>
  <c r="CA24" i="48"/>
  <c r="BZ24" i="48"/>
  <c r="BY24" i="48"/>
  <c r="BX24" i="48"/>
  <c r="BW24" i="48"/>
  <c r="BV24" i="48"/>
  <c r="BU24" i="48"/>
  <c r="BT24" i="48"/>
  <c r="BS24" i="48"/>
  <c r="BR24" i="48"/>
  <c r="BQ24" i="48"/>
  <c r="S24" i="48"/>
  <c r="CC23" i="48"/>
  <c r="CB23" i="48"/>
  <c r="CA23" i="48"/>
  <c r="BZ23" i="48"/>
  <c r="BY23" i="48"/>
  <c r="BX23" i="48"/>
  <c r="BW23" i="48"/>
  <c r="BV23" i="48"/>
  <c r="BU23" i="48"/>
  <c r="BT23" i="48"/>
  <c r="BS23" i="48"/>
  <c r="BR23" i="48"/>
  <c r="BQ23" i="48"/>
  <c r="S23" i="48"/>
  <c r="CC22" i="48"/>
  <c r="CB22" i="48"/>
  <c r="CA22" i="48"/>
  <c r="BZ22" i="48"/>
  <c r="BY22" i="48"/>
  <c r="BX22" i="48"/>
  <c r="BW22" i="48"/>
  <c r="BV22" i="48"/>
  <c r="BU22" i="48"/>
  <c r="BT22" i="48"/>
  <c r="BS22" i="48"/>
  <c r="BR22" i="48"/>
  <c r="BQ22" i="48"/>
  <c r="S22" i="48"/>
  <c r="CC21" i="48"/>
  <c r="CB21" i="48"/>
  <c r="CA21" i="48"/>
  <c r="BZ21" i="48"/>
  <c r="BY21" i="48"/>
  <c r="BX21" i="48"/>
  <c r="BW21" i="48"/>
  <c r="BV21" i="48"/>
  <c r="BU21" i="48"/>
  <c r="BT21" i="48"/>
  <c r="BS21" i="48"/>
  <c r="BR21" i="48"/>
  <c r="BQ21" i="48"/>
  <c r="S21" i="48"/>
  <c r="CC20" i="48"/>
  <c r="CB20" i="48"/>
  <c r="CA20" i="48"/>
  <c r="BZ20" i="48"/>
  <c r="BY20" i="48"/>
  <c r="BX20" i="48"/>
  <c r="BW20" i="48"/>
  <c r="BV20" i="48"/>
  <c r="BU20" i="48"/>
  <c r="BT20" i="48"/>
  <c r="BS20" i="48"/>
  <c r="BR20" i="48"/>
  <c r="BQ20" i="48"/>
  <c r="S20" i="48"/>
  <c r="CC19" i="48"/>
  <c r="CB19" i="48"/>
  <c r="CA19" i="48"/>
  <c r="BZ19" i="48"/>
  <c r="BY19" i="48"/>
  <c r="BX19" i="48"/>
  <c r="BW19" i="48"/>
  <c r="BV19" i="48"/>
  <c r="BU19" i="48"/>
  <c r="BT19" i="48"/>
  <c r="BS19" i="48"/>
  <c r="BR19" i="48"/>
  <c r="BQ19" i="48"/>
  <c r="S19" i="48"/>
  <c r="DY18" i="48"/>
  <c r="CC18" i="48"/>
  <c r="CB18" i="48"/>
  <c r="CA18" i="48"/>
  <c r="BZ18" i="48"/>
  <c r="BY18" i="48"/>
  <c r="BX18" i="48"/>
  <c r="BW18" i="48"/>
  <c r="BV18" i="48"/>
  <c r="BU18" i="48"/>
  <c r="BT18" i="48"/>
  <c r="BS18" i="48"/>
  <c r="BR18" i="48"/>
  <c r="BQ18" i="48"/>
  <c r="S18" i="48"/>
  <c r="DY17" i="48"/>
  <c r="CC17" i="48"/>
  <c r="CB17" i="48"/>
  <c r="CA17" i="48"/>
  <c r="BZ17" i="48"/>
  <c r="BY17" i="48"/>
  <c r="BX17" i="48"/>
  <c r="BW17" i="48"/>
  <c r="BV17" i="48"/>
  <c r="BU17" i="48"/>
  <c r="BT17" i="48"/>
  <c r="BS17" i="48"/>
  <c r="BR17" i="48"/>
  <c r="BQ17" i="48"/>
  <c r="S17" i="48"/>
  <c r="CC16" i="48"/>
  <c r="CB16" i="48"/>
  <c r="CA16" i="48"/>
  <c r="BZ16" i="48"/>
  <c r="BY16" i="48"/>
  <c r="BX16" i="48"/>
  <c r="BW16" i="48"/>
  <c r="BV16" i="48"/>
  <c r="BU16" i="48"/>
  <c r="BT16" i="48"/>
  <c r="BS16" i="48"/>
  <c r="BR16" i="48"/>
  <c r="BQ16" i="48"/>
  <c r="S16" i="48"/>
  <c r="CC15" i="48"/>
  <c r="CB15" i="48"/>
  <c r="CA15" i="48"/>
  <c r="BZ15" i="48"/>
  <c r="BY15" i="48"/>
  <c r="BX15" i="48"/>
  <c r="BW15" i="48"/>
  <c r="BV15" i="48"/>
  <c r="BU15" i="48"/>
  <c r="BT15" i="48"/>
  <c r="BS15" i="48"/>
  <c r="BR15" i="48"/>
  <c r="BQ15" i="48"/>
  <c r="S15" i="48"/>
  <c r="DY14" i="48"/>
  <c r="CC14" i="48"/>
  <c r="CB14" i="48"/>
  <c r="CA14" i="48"/>
  <c r="BZ14" i="48"/>
  <c r="BY14" i="48"/>
  <c r="BX14" i="48"/>
  <c r="BW14" i="48"/>
  <c r="BV14" i="48"/>
  <c r="BU14" i="48"/>
  <c r="BT14" i="48"/>
  <c r="BS14" i="48"/>
  <c r="BR14" i="48"/>
  <c r="BQ14" i="48"/>
  <c r="S14" i="48"/>
  <c r="DY13" i="48"/>
  <c r="CC13" i="48"/>
  <c r="CB13" i="48"/>
  <c r="CA13" i="48"/>
  <c r="BZ13" i="48"/>
  <c r="BY13" i="48"/>
  <c r="BX13" i="48"/>
  <c r="BW13" i="48"/>
  <c r="BV13" i="48"/>
  <c r="BU13" i="48"/>
  <c r="BT13" i="48"/>
  <c r="BS13" i="48"/>
  <c r="BR13" i="48"/>
  <c r="BQ13" i="48"/>
  <c r="S13" i="48"/>
  <c r="CC12" i="48"/>
  <c r="CB12" i="48"/>
  <c r="CA12" i="48"/>
  <c r="BZ12" i="48"/>
  <c r="BY12" i="48"/>
  <c r="BX12" i="48"/>
  <c r="BW12" i="48"/>
  <c r="BV12" i="48"/>
  <c r="BU12" i="48"/>
  <c r="BT12" i="48"/>
  <c r="BS12" i="48"/>
  <c r="BR12" i="48"/>
  <c r="BQ12" i="48"/>
  <c r="S12" i="48"/>
  <c r="CC11" i="48"/>
  <c r="CB11" i="48"/>
  <c r="CA11" i="48"/>
  <c r="BZ11" i="48"/>
  <c r="BY11" i="48"/>
  <c r="BX11" i="48"/>
  <c r="BW11" i="48"/>
  <c r="BV11" i="48"/>
  <c r="BU11" i="48"/>
  <c r="BT11" i="48"/>
  <c r="BS11" i="48"/>
  <c r="BR11" i="48"/>
  <c r="BQ11" i="48"/>
  <c r="S11" i="48"/>
  <c r="DY10" i="48"/>
  <c r="CC10" i="48"/>
  <c r="CB10" i="48"/>
  <c r="CA10" i="48"/>
  <c r="BZ10" i="48"/>
  <c r="BY10" i="48"/>
  <c r="BX10" i="48"/>
  <c r="BW10" i="48"/>
  <c r="BV10" i="48"/>
  <c r="BU10" i="48"/>
  <c r="BT10" i="48"/>
  <c r="BS10" i="48"/>
  <c r="BR10" i="48"/>
  <c r="BQ10" i="48"/>
  <c r="S10" i="48"/>
  <c r="CC9" i="48"/>
  <c r="CB9" i="48"/>
  <c r="CA9" i="48"/>
  <c r="BZ9" i="48"/>
  <c r="BY9" i="48"/>
  <c r="BX9" i="48"/>
  <c r="BW9" i="48"/>
  <c r="BV9" i="48"/>
  <c r="BU9" i="48"/>
  <c r="BT9" i="48"/>
  <c r="BS9" i="48"/>
  <c r="BR9" i="48"/>
  <c r="BQ9" i="48"/>
  <c r="S9" i="48"/>
  <c r="DY8" i="48"/>
  <c r="CC8" i="48"/>
  <c r="CB8" i="48"/>
  <c r="CA8" i="48"/>
  <c r="BZ8" i="48"/>
  <c r="BY8" i="48"/>
  <c r="BX8" i="48"/>
  <c r="BW8" i="48"/>
  <c r="BV8" i="48"/>
  <c r="BU8" i="48"/>
  <c r="BT8" i="48"/>
  <c r="BS8" i="48"/>
  <c r="BR8" i="48"/>
  <c r="BQ8" i="48"/>
  <c r="S8" i="48"/>
  <c r="CC7" i="48"/>
  <c r="CB7" i="48"/>
  <c r="CA7" i="48"/>
  <c r="BZ7" i="48"/>
  <c r="BY7" i="48"/>
  <c r="BX7" i="48"/>
  <c r="BW7" i="48"/>
  <c r="BV7" i="48"/>
  <c r="BU7" i="48"/>
  <c r="BT7" i="48"/>
  <c r="BS7" i="48"/>
  <c r="BR7" i="48"/>
  <c r="BQ7" i="48"/>
  <c r="S7" i="48"/>
  <c r="CC6" i="48"/>
  <c r="CB6" i="48"/>
  <c r="CA6" i="48"/>
  <c r="BZ6" i="48"/>
  <c r="BY6" i="48"/>
  <c r="BX6" i="48"/>
  <c r="BW6" i="48"/>
  <c r="BV6" i="48"/>
  <c r="BU6" i="48"/>
  <c r="BT6" i="48"/>
  <c r="BS6" i="48"/>
  <c r="BR6" i="48"/>
  <c r="BQ6" i="48"/>
  <c r="S6" i="48"/>
  <c r="CC5" i="48"/>
  <c r="CB5" i="48"/>
  <c r="CA5" i="48"/>
  <c r="BZ5" i="48"/>
  <c r="BY5" i="48"/>
  <c r="BX5" i="48"/>
  <c r="BW5" i="48"/>
  <c r="BV5" i="48"/>
  <c r="BU5" i="48"/>
  <c r="BT5" i="48"/>
  <c r="BS5" i="48"/>
  <c r="BR5" i="48"/>
  <c r="BQ5" i="48"/>
  <c r="S5" i="48"/>
  <c r="CC4" i="48"/>
  <c r="CB4" i="48"/>
  <c r="CA4" i="48"/>
  <c r="BZ4" i="48"/>
  <c r="BY4" i="48"/>
  <c r="BX4" i="48"/>
  <c r="BW4" i="48"/>
  <c r="BV4" i="48"/>
  <c r="BU4" i="48"/>
  <c r="BT4" i="48"/>
  <c r="BS4" i="48"/>
  <c r="BR4" i="48"/>
  <c r="BQ4" i="48"/>
  <c r="S4" i="48"/>
  <c r="CC3" i="48"/>
  <c r="CB3" i="48"/>
  <c r="CA3" i="48"/>
  <c r="BZ3" i="48"/>
  <c r="BY3" i="48"/>
  <c r="BX3" i="48"/>
  <c r="BW3" i="48"/>
  <c r="BV3" i="48"/>
  <c r="BU3" i="48"/>
  <c r="BT3" i="48"/>
  <c r="BS3" i="48"/>
  <c r="BR3" i="48"/>
  <c r="BQ3" i="48"/>
  <c r="S3" i="48"/>
  <c r="CC2" i="48"/>
  <c r="CB2" i="48"/>
  <c r="CA2" i="48"/>
  <c r="BZ2" i="48"/>
  <c r="BY2" i="48"/>
  <c r="BX2" i="48"/>
  <c r="BW2" i="48"/>
  <c r="BV2" i="48"/>
  <c r="BU2" i="48"/>
  <c r="BT2" i="48"/>
  <c r="BS2" i="48"/>
  <c r="BR2" i="48"/>
  <c r="BQ2" i="48"/>
  <c r="S2" i="48"/>
  <c r="EW112" i="50"/>
  <c r="EW111" i="50"/>
  <c r="CH34" i="50"/>
  <c r="CG34" i="50"/>
  <c r="CF34" i="50"/>
  <c r="CE34" i="50"/>
  <c r="CD34" i="50"/>
  <c r="CC34" i="50"/>
  <c r="CB34" i="50"/>
  <c r="CA34" i="50"/>
  <c r="BZ34" i="50"/>
  <c r="BY34" i="50"/>
  <c r="BX34" i="50"/>
  <c r="BW34" i="50"/>
  <c r="BV34" i="50"/>
  <c r="S34" i="50"/>
  <c r="CH33" i="50"/>
  <c r="CG33" i="50"/>
  <c r="CF33" i="50"/>
  <c r="CE33" i="50"/>
  <c r="CD33" i="50"/>
  <c r="CC33" i="50"/>
  <c r="CB33" i="50"/>
  <c r="CA33" i="50"/>
  <c r="BZ33" i="50"/>
  <c r="BY33" i="50"/>
  <c r="BX33" i="50"/>
  <c r="BW33" i="50"/>
  <c r="BV33" i="50"/>
  <c r="S33" i="50"/>
  <c r="CH32" i="50"/>
  <c r="CG32" i="50"/>
  <c r="CF32" i="50"/>
  <c r="CE32" i="50"/>
  <c r="CD32" i="50"/>
  <c r="CC32" i="50"/>
  <c r="CB32" i="50"/>
  <c r="CA32" i="50"/>
  <c r="BZ32" i="50"/>
  <c r="BY32" i="50"/>
  <c r="BX32" i="50"/>
  <c r="BW32" i="50"/>
  <c r="BV32" i="50"/>
  <c r="S32" i="50"/>
  <c r="CH31" i="50"/>
  <c r="CG31" i="50"/>
  <c r="CF31" i="50"/>
  <c r="CE31" i="50"/>
  <c r="CD31" i="50"/>
  <c r="CC31" i="50"/>
  <c r="CB31" i="50"/>
  <c r="CA31" i="50"/>
  <c r="BZ31" i="50"/>
  <c r="BY31" i="50"/>
  <c r="BX31" i="50"/>
  <c r="BW31" i="50"/>
  <c r="BV31" i="50"/>
  <c r="S31" i="50"/>
  <c r="CH30" i="50"/>
  <c r="CG30" i="50"/>
  <c r="CF30" i="50"/>
  <c r="CE30" i="50"/>
  <c r="CD30" i="50"/>
  <c r="CC30" i="50"/>
  <c r="CB30" i="50"/>
  <c r="CA30" i="50"/>
  <c r="BZ30" i="50"/>
  <c r="BY30" i="50"/>
  <c r="BX30" i="50"/>
  <c r="BW30" i="50"/>
  <c r="BV30" i="50"/>
  <c r="S30" i="50"/>
  <c r="CH29" i="50"/>
  <c r="CG29" i="50"/>
  <c r="CF29" i="50"/>
  <c r="CE29" i="50"/>
  <c r="CD29" i="50"/>
  <c r="CC29" i="50"/>
  <c r="CB29" i="50"/>
  <c r="CA29" i="50"/>
  <c r="BZ29" i="50"/>
  <c r="BY29" i="50"/>
  <c r="BX29" i="50"/>
  <c r="BW29" i="50"/>
  <c r="BV29" i="50"/>
  <c r="S29" i="50"/>
  <c r="ES28" i="50"/>
  <c r="ED28" i="50"/>
  <c r="CH28" i="50"/>
  <c r="CG28" i="50"/>
  <c r="CF28" i="50"/>
  <c r="CE28" i="50"/>
  <c r="CD28" i="50"/>
  <c r="CC28" i="50"/>
  <c r="CB28" i="50"/>
  <c r="CA28" i="50"/>
  <c r="BZ28" i="50"/>
  <c r="BY28" i="50"/>
  <c r="BX28" i="50"/>
  <c r="BW28" i="50"/>
  <c r="BV28" i="50"/>
  <c r="S28" i="50"/>
  <c r="ES27" i="50"/>
  <c r="ED27" i="50"/>
  <c r="CH27" i="50"/>
  <c r="CG27" i="50"/>
  <c r="CF27" i="50"/>
  <c r="CE27" i="50"/>
  <c r="CD27" i="50"/>
  <c r="CC27" i="50"/>
  <c r="CB27" i="50"/>
  <c r="CA27" i="50"/>
  <c r="BZ27" i="50"/>
  <c r="BY27" i="50"/>
  <c r="BX27" i="50"/>
  <c r="BW27" i="50"/>
  <c r="BV27" i="50"/>
  <c r="S27" i="50"/>
  <c r="ES26" i="50"/>
  <c r="ED26" i="50"/>
  <c r="CH26" i="50"/>
  <c r="CG26" i="50"/>
  <c r="CF26" i="50"/>
  <c r="CE26" i="50"/>
  <c r="CD26" i="50"/>
  <c r="CC26" i="50"/>
  <c r="CB26" i="50"/>
  <c r="CA26" i="50"/>
  <c r="BZ26" i="50"/>
  <c r="BY26" i="50"/>
  <c r="BX26" i="50"/>
  <c r="BW26" i="50"/>
  <c r="BV26" i="50"/>
  <c r="S26" i="50"/>
  <c r="CH25" i="50"/>
  <c r="CG25" i="50"/>
  <c r="CF25" i="50"/>
  <c r="CE25" i="50"/>
  <c r="CD25" i="50"/>
  <c r="CC25" i="50"/>
  <c r="CB25" i="50"/>
  <c r="CA25" i="50"/>
  <c r="BZ25" i="50"/>
  <c r="BY25" i="50"/>
  <c r="BX25" i="50"/>
  <c r="BW25" i="50"/>
  <c r="BV25" i="50"/>
  <c r="S25" i="50"/>
  <c r="ES24" i="50"/>
  <c r="ED24" i="50"/>
  <c r="CH24" i="50"/>
  <c r="CG24" i="50"/>
  <c r="CF24" i="50"/>
  <c r="CE24" i="50"/>
  <c r="CD24" i="50"/>
  <c r="CC24" i="50"/>
  <c r="CB24" i="50"/>
  <c r="CA24" i="50"/>
  <c r="BZ24" i="50"/>
  <c r="BY24" i="50"/>
  <c r="BX24" i="50"/>
  <c r="BW24" i="50"/>
  <c r="BV24" i="50"/>
  <c r="S24" i="50"/>
  <c r="CH23" i="50"/>
  <c r="CG23" i="50"/>
  <c r="CF23" i="50"/>
  <c r="CE23" i="50"/>
  <c r="CD23" i="50"/>
  <c r="CC23" i="50"/>
  <c r="CB23" i="50"/>
  <c r="CA23" i="50"/>
  <c r="BZ23" i="50"/>
  <c r="BY23" i="50"/>
  <c r="BX23" i="50"/>
  <c r="BW23" i="50"/>
  <c r="BV23" i="50"/>
  <c r="S23" i="50"/>
  <c r="CH22" i="50"/>
  <c r="CG22" i="50"/>
  <c r="CF22" i="50"/>
  <c r="CE22" i="50"/>
  <c r="CD22" i="50"/>
  <c r="CC22" i="50"/>
  <c r="CB22" i="50"/>
  <c r="CA22" i="50"/>
  <c r="BZ22" i="50"/>
  <c r="BY22" i="50"/>
  <c r="BX22" i="50"/>
  <c r="BW22" i="50"/>
  <c r="BV22" i="50"/>
  <c r="S22" i="50"/>
  <c r="CH21" i="50"/>
  <c r="CG21" i="50"/>
  <c r="CF21" i="50"/>
  <c r="CE21" i="50"/>
  <c r="CD21" i="50"/>
  <c r="CC21" i="50"/>
  <c r="CB21" i="50"/>
  <c r="CA21" i="50"/>
  <c r="BZ21" i="50"/>
  <c r="BY21" i="50"/>
  <c r="BX21" i="50"/>
  <c r="BW21" i="50"/>
  <c r="BV21" i="50"/>
  <c r="S21" i="50"/>
  <c r="CH20" i="50"/>
  <c r="CG20" i="50"/>
  <c r="CF20" i="50"/>
  <c r="CE20" i="50"/>
  <c r="CD20" i="50"/>
  <c r="CC20" i="50"/>
  <c r="CB20" i="50"/>
  <c r="CA20" i="50"/>
  <c r="BZ20" i="50"/>
  <c r="BY20" i="50"/>
  <c r="BX20" i="50"/>
  <c r="BW20" i="50"/>
  <c r="BV20" i="50"/>
  <c r="S20" i="50"/>
  <c r="CH19" i="50"/>
  <c r="CG19" i="50"/>
  <c r="CF19" i="50"/>
  <c r="CE19" i="50"/>
  <c r="CD19" i="50"/>
  <c r="CC19" i="50"/>
  <c r="CB19" i="50"/>
  <c r="CA19" i="50"/>
  <c r="BZ19" i="50"/>
  <c r="BY19" i="50"/>
  <c r="BX19" i="50"/>
  <c r="BW19" i="50"/>
  <c r="BV19" i="50"/>
  <c r="S19" i="50"/>
  <c r="CH5" i="50"/>
  <c r="CG5" i="50"/>
  <c r="CF5" i="50"/>
  <c r="CE5" i="50"/>
  <c r="CD5" i="50"/>
  <c r="CC5" i="50"/>
  <c r="CB5" i="50"/>
  <c r="CA5" i="50"/>
  <c r="BZ5" i="50"/>
  <c r="BY5" i="50"/>
  <c r="BX5" i="50"/>
  <c r="BW5" i="50"/>
  <c r="BV5" i="50"/>
  <c r="S5" i="50"/>
  <c r="CH4" i="50"/>
  <c r="CG4" i="50"/>
  <c r="CF4" i="50"/>
  <c r="CE4" i="50"/>
  <c r="CD4" i="50"/>
  <c r="CC4" i="50"/>
  <c r="CB4" i="50"/>
  <c r="CA4" i="50"/>
  <c r="BZ4" i="50"/>
  <c r="BY4" i="50"/>
  <c r="BX4" i="50"/>
  <c r="BW4" i="50"/>
  <c r="BV4" i="50"/>
  <c r="S4" i="50"/>
  <c r="CH3" i="50"/>
  <c r="CG3" i="50"/>
  <c r="CF3" i="50"/>
  <c r="CE3" i="50"/>
  <c r="CD3" i="50"/>
  <c r="CC3" i="50"/>
  <c r="CB3" i="50"/>
  <c r="CA3" i="50"/>
  <c r="BZ3" i="50"/>
  <c r="BY3" i="50"/>
  <c r="BX3" i="50"/>
  <c r="BW3" i="50"/>
  <c r="BV3" i="50"/>
  <c r="S3" i="50"/>
  <c r="CH2" i="50"/>
  <c r="CG2" i="50"/>
  <c r="CF2" i="50"/>
  <c r="CE2" i="50"/>
  <c r="CD2" i="50"/>
  <c r="CC2" i="50"/>
  <c r="CB2" i="50"/>
  <c r="CA2" i="50"/>
  <c r="BZ2" i="50"/>
  <c r="BY2" i="50"/>
  <c r="BX2" i="50"/>
  <c r="BW2" i="50"/>
  <c r="BV2" i="50"/>
  <c r="S2" i="50"/>
  <c r="CH51" i="50"/>
  <c r="CG51" i="50"/>
  <c r="CF51" i="50"/>
  <c r="CE51" i="50"/>
  <c r="CD51" i="50"/>
  <c r="CC51" i="50"/>
  <c r="CB51" i="50"/>
  <c r="CA51" i="50"/>
  <c r="BZ51" i="50"/>
  <c r="BY51" i="50"/>
  <c r="BX51" i="50"/>
  <c r="BW51" i="50"/>
  <c r="BV51" i="50"/>
  <c r="S51" i="50"/>
  <c r="CH50" i="50"/>
  <c r="CG50" i="50"/>
  <c r="CF50" i="50"/>
  <c r="CE50" i="50"/>
  <c r="CD50" i="50"/>
  <c r="CC50" i="50"/>
  <c r="CB50" i="50"/>
  <c r="CA50" i="50"/>
  <c r="BZ50" i="50"/>
  <c r="BY50" i="50"/>
  <c r="BX50" i="50"/>
  <c r="BW50" i="50"/>
  <c r="BV50" i="50"/>
  <c r="S50" i="50"/>
  <c r="CH49" i="50"/>
  <c r="CG49" i="50"/>
  <c r="CF49" i="50"/>
  <c r="CE49" i="50"/>
  <c r="CD49" i="50"/>
  <c r="CC49" i="50"/>
  <c r="CB49" i="50"/>
  <c r="CA49" i="50"/>
  <c r="BZ49" i="50"/>
  <c r="BY49" i="50"/>
  <c r="BX49" i="50"/>
  <c r="BW49" i="50"/>
  <c r="BV49" i="50"/>
  <c r="S49" i="50"/>
  <c r="CH48" i="50"/>
  <c r="CG48" i="50"/>
  <c r="CF48" i="50"/>
  <c r="CE48" i="50"/>
  <c r="CD48" i="50"/>
  <c r="CC48" i="50"/>
  <c r="CB48" i="50"/>
  <c r="CA48" i="50"/>
  <c r="BZ48" i="50"/>
  <c r="BY48" i="50"/>
  <c r="BX48" i="50"/>
  <c r="BW48" i="50"/>
  <c r="BV48" i="50"/>
  <c r="S48" i="50"/>
  <c r="ES47" i="50"/>
  <c r="ED47" i="50"/>
  <c r="CH47" i="50"/>
  <c r="CG47" i="50"/>
  <c r="CF47" i="50"/>
  <c r="CE47" i="50"/>
  <c r="CD47" i="50"/>
  <c r="CC47" i="50"/>
  <c r="CB47" i="50"/>
  <c r="CA47" i="50"/>
  <c r="BZ47" i="50"/>
  <c r="BY47" i="50"/>
  <c r="BX47" i="50"/>
  <c r="BW47" i="50"/>
  <c r="BV47" i="50"/>
  <c r="S47" i="50"/>
  <c r="CH46" i="50"/>
  <c r="CG46" i="50"/>
  <c r="CF46" i="50"/>
  <c r="CE46" i="50"/>
  <c r="CD46" i="50"/>
  <c r="CC46" i="50"/>
  <c r="CB46" i="50"/>
  <c r="CA46" i="50"/>
  <c r="BZ46" i="50"/>
  <c r="BY46" i="50"/>
  <c r="BX46" i="50"/>
  <c r="BW46" i="50"/>
  <c r="BV46" i="50"/>
  <c r="S46" i="50"/>
  <c r="CH45" i="50"/>
  <c r="CG45" i="50"/>
  <c r="CF45" i="50"/>
  <c r="CE45" i="50"/>
  <c r="CD45" i="50"/>
  <c r="CC45" i="50"/>
  <c r="CB45" i="50"/>
  <c r="CA45" i="50"/>
  <c r="BZ45" i="50"/>
  <c r="BY45" i="50"/>
  <c r="BX45" i="50"/>
  <c r="BW45" i="50"/>
  <c r="BV45" i="50"/>
  <c r="S45" i="50"/>
  <c r="CH44" i="50"/>
  <c r="CG44" i="50"/>
  <c r="CF44" i="50"/>
  <c r="CE44" i="50"/>
  <c r="CD44" i="50"/>
  <c r="CC44" i="50"/>
  <c r="CB44" i="50"/>
  <c r="CA44" i="50"/>
  <c r="BZ44" i="50"/>
  <c r="BY44" i="50"/>
  <c r="BX44" i="50"/>
  <c r="BW44" i="50"/>
  <c r="BV44" i="50"/>
  <c r="S44" i="50"/>
  <c r="CH43" i="50"/>
  <c r="CG43" i="50"/>
  <c r="CF43" i="50"/>
  <c r="CE43" i="50"/>
  <c r="CD43" i="50"/>
  <c r="CC43" i="50"/>
  <c r="CB43" i="50"/>
  <c r="CA43" i="50"/>
  <c r="BZ43" i="50"/>
  <c r="BY43" i="50"/>
  <c r="BX43" i="50"/>
  <c r="BW43" i="50"/>
  <c r="BV43" i="50"/>
  <c r="S43" i="50"/>
  <c r="CH42" i="50"/>
  <c r="CG42" i="50"/>
  <c r="CF42" i="50"/>
  <c r="CE42" i="50"/>
  <c r="CD42" i="50"/>
  <c r="CC42" i="50"/>
  <c r="CB42" i="50"/>
  <c r="CA42" i="50"/>
  <c r="BZ42" i="50"/>
  <c r="BY42" i="50"/>
  <c r="BX42" i="50"/>
  <c r="BW42" i="50"/>
  <c r="BV42" i="50"/>
  <c r="S42" i="50"/>
  <c r="CH41" i="50"/>
  <c r="CG41" i="50"/>
  <c r="CF41" i="50"/>
  <c r="CE41" i="50"/>
  <c r="CD41" i="50"/>
  <c r="CC41" i="50"/>
  <c r="CB41" i="50"/>
  <c r="CA41" i="50"/>
  <c r="BZ41" i="50"/>
  <c r="BY41" i="50"/>
  <c r="BX41" i="50"/>
  <c r="BW41" i="50"/>
  <c r="BV41" i="50"/>
  <c r="S41" i="50"/>
  <c r="CH40" i="50"/>
  <c r="CG40" i="50"/>
  <c r="CF40" i="50"/>
  <c r="CE40" i="50"/>
  <c r="CD40" i="50"/>
  <c r="CC40" i="50"/>
  <c r="CB40" i="50"/>
  <c r="CA40" i="50"/>
  <c r="BZ40" i="50"/>
  <c r="BY40" i="50"/>
  <c r="BX40" i="50"/>
  <c r="BW40" i="50"/>
  <c r="BV40" i="50"/>
  <c r="S40" i="50"/>
  <c r="ES39" i="50"/>
  <c r="ED39" i="50"/>
  <c r="CH39" i="50"/>
  <c r="CG39" i="50"/>
  <c r="CF39" i="50"/>
  <c r="CE39" i="50"/>
  <c r="CD39" i="50"/>
  <c r="CC39" i="50"/>
  <c r="CB39" i="50"/>
  <c r="CA39" i="50"/>
  <c r="BZ39" i="50"/>
  <c r="BY39" i="50"/>
  <c r="BX39" i="50"/>
  <c r="BW39" i="50"/>
  <c r="BV39" i="50"/>
  <c r="S39" i="50"/>
  <c r="ES38" i="50"/>
  <c r="ED38" i="50"/>
  <c r="CH38" i="50"/>
  <c r="CG38" i="50"/>
  <c r="CF38" i="50"/>
  <c r="CE38" i="50"/>
  <c r="CD38" i="50"/>
  <c r="CC38" i="50"/>
  <c r="CB38" i="50"/>
  <c r="CA38" i="50"/>
  <c r="BZ38" i="50"/>
  <c r="BY38" i="50"/>
  <c r="BX38" i="50"/>
  <c r="BW38" i="50"/>
  <c r="BV38" i="50"/>
  <c r="S38" i="50"/>
  <c r="CH37" i="50"/>
  <c r="CG37" i="50"/>
  <c r="CF37" i="50"/>
  <c r="CE37" i="50"/>
  <c r="CD37" i="50"/>
  <c r="CC37" i="50"/>
  <c r="CB37" i="50"/>
  <c r="CA37" i="50"/>
  <c r="BZ37" i="50"/>
  <c r="BY37" i="50"/>
  <c r="BX37" i="50"/>
  <c r="BW37" i="50"/>
  <c r="BV37" i="50"/>
  <c r="S37" i="50"/>
  <c r="CH36" i="50"/>
  <c r="CG36" i="50"/>
  <c r="CF36" i="50"/>
  <c r="CE36" i="50"/>
  <c r="CD36" i="50"/>
  <c r="CC36" i="50"/>
  <c r="CB36" i="50"/>
  <c r="CA36" i="50"/>
  <c r="BZ36" i="50"/>
  <c r="BY36" i="50"/>
  <c r="BX36" i="50"/>
  <c r="BW36" i="50"/>
  <c r="BV36" i="50"/>
  <c r="S36" i="50"/>
  <c r="ES35" i="50"/>
  <c r="ED35" i="50"/>
  <c r="CH35" i="50"/>
  <c r="CG35" i="50"/>
  <c r="CF35" i="50"/>
  <c r="CE35" i="50"/>
  <c r="CD35" i="50"/>
  <c r="CC35" i="50"/>
  <c r="CB35" i="50"/>
  <c r="CA35" i="50"/>
  <c r="BZ35" i="50"/>
  <c r="BY35" i="50"/>
  <c r="BX35" i="50"/>
  <c r="BW35" i="50"/>
  <c r="BV35" i="50"/>
  <c r="S35" i="50"/>
  <c r="CH95" i="50"/>
  <c r="CG95" i="50"/>
  <c r="CF95" i="50"/>
  <c r="CE95" i="50"/>
  <c r="CD95" i="50"/>
  <c r="CC95" i="50"/>
  <c r="CB95" i="50"/>
  <c r="CA95" i="50"/>
  <c r="BZ95" i="50"/>
  <c r="BY95" i="50"/>
  <c r="BX95" i="50"/>
  <c r="BW95" i="50"/>
  <c r="BV95" i="50"/>
  <c r="S95" i="50"/>
  <c r="CH94" i="50"/>
  <c r="CG94" i="50"/>
  <c r="CF94" i="50"/>
  <c r="CE94" i="50"/>
  <c r="CD94" i="50"/>
  <c r="CC94" i="50"/>
  <c r="CB94" i="50"/>
  <c r="CA94" i="50"/>
  <c r="BZ94" i="50"/>
  <c r="BY94" i="50"/>
  <c r="BX94" i="50"/>
  <c r="BW94" i="50"/>
  <c r="BV94" i="50"/>
  <c r="S94" i="50"/>
  <c r="CH93" i="50"/>
  <c r="CG93" i="50"/>
  <c r="CF93" i="50"/>
  <c r="CE93" i="50"/>
  <c r="CD93" i="50"/>
  <c r="CC93" i="50"/>
  <c r="CB93" i="50"/>
  <c r="CA93" i="50"/>
  <c r="BZ93" i="50"/>
  <c r="BY93" i="50"/>
  <c r="BX93" i="50"/>
  <c r="BW93" i="50"/>
  <c r="BV93" i="50"/>
  <c r="S93" i="50"/>
  <c r="CH92" i="50"/>
  <c r="CG92" i="50"/>
  <c r="CF92" i="50"/>
  <c r="CE92" i="50"/>
  <c r="CD92" i="50"/>
  <c r="CC92" i="50"/>
  <c r="CB92" i="50"/>
  <c r="CA92" i="50"/>
  <c r="BZ92" i="50"/>
  <c r="BY92" i="50"/>
  <c r="BX92" i="50"/>
  <c r="BW92" i="50"/>
  <c r="BV92" i="50"/>
  <c r="S92" i="50"/>
  <c r="CH91" i="50"/>
  <c r="CG91" i="50"/>
  <c r="CF91" i="50"/>
  <c r="CE91" i="50"/>
  <c r="CD91" i="50"/>
  <c r="CC91" i="50"/>
  <c r="CB91" i="50"/>
  <c r="CA91" i="50"/>
  <c r="BZ91" i="50"/>
  <c r="BY91" i="50"/>
  <c r="BX91" i="50"/>
  <c r="BW91" i="50"/>
  <c r="BV91" i="50"/>
  <c r="S91" i="50"/>
  <c r="CH90" i="50"/>
  <c r="CG90" i="50"/>
  <c r="CF90" i="50"/>
  <c r="CE90" i="50"/>
  <c r="CD90" i="50"/>
  <c r="CC90" i="50"/>
  <c r="CB90" i="50"/>
  <c r="CA90" i="50"/>
  <c r="BZ90" i="50"/>
  <c r="BY90" i="50"/>
  <c r="BX90" i="50"/>
  <c r="BW90" i="50"/>
  <c r="BV90" i="50"/>
  <c r="S90" i="50"/>
  <c r="CH89" i="50"/>
  <c r="CG89" i="50"/>
  <c r="CF89" i="50"/>
  <c r="CE89" i="50"/>
  <c r="CD89" i="50"/>
  <c r="CC89" i="50"/>
  <c r="CB89" i="50"/>
  <c r="CA89" i="50"/>
  <c r="BZ89" i="50"/>
  <c r="BY89" i="50"/>
  <c r="BX89" i="50"/>
  <c r="BW89" i="50"/>
  <c r="BV89" i="50"/>
  <c r="S89" i="50"/>
  <c r="CH88" i="50"/>
  <c r="CG88" i="50"/>
  <c r="CF88" i="50"/>
  <c r="CE88" i="50"/>
  <c r="CD88" i="50"/>
  <c r="CC88" i="50"/>
  <c r="CB88" i="50"/>
  <c r="CA88" i="50"/>
  <c r="BZ88" i="50"/>
  <c r="BY88" i="50"/>
  <c r="BX88" i="50"/>
  <c r="BW88" i="50"/>
  <c r="BV88" i="50"/>
  <c r="S88" i="50"/>
  <c r="CH87" i="50"/>
  <c r="CG87" i="50"/>
  <c r="CF87" i="50"/>
  <c r="CE87" i="50"/>
  <c r="CD87" i="50"/>
  <c r="CC87" i="50"/>
  <c r="CB87" i="50"/>
  <c r="CA87" i="50"/>
  <c r="BZ87" i="50"/>
  <c r="BY87" i="50"/>
  <c r="BX87" i="50"/>
  <c r="BW87" i="50"/>
  <c r="BV87" i="50"/>
  <c r="S87" i="50"/>
  <c r="CH86" i="50"/>
  <c r="CG86" i="50"/>
  <c r="CF86" i="50"/>
  <c r="CE86" i="50"/>
  <c r="CD86" i="50"/>
  <c r="CC86" i="50"/>
  <c r="CB86" i="50"/>
  <c r="CA86" i="50"/>
  <c r="BZ86" i="50"/>
  <c r="BY86" i="50"/>
  <c r="BX86" i="50"/>
  <c r="BW86" i="50"/>
  <c r="BV86" i="50"/>
  <c r="S86" i="50"/>
  <c r="CH110" i="50"/>
  <c r="CG110" i="50"/>
  <c r="CF110" i="50"/>
  <c r="CE110" i="50"/>
  <c r="CD110" i="50"/>
  <c r="CC110" i="50"/>
  <c r="CB110" i="50"/>
  <c r="CA110" i="50"/>
  <c r="BZ110" i="50"/>
  <c r="BY110" i="50"/>
  <c r="BX110" i="50"/>
  <c r="BW110" i="50"/>
  <c r="BV110" i="50"/>
  <c r="S110" i="50"/>
  <c r="CH109" i="50"/>
  <c r="CG109" i="50"/>
  <c r="CF109" i="50"/>
  <c r="CE109" i="50"/>
  <c r="CD109" i="50"/>
  <c r="CC109" i="50"/>
  <c r="CB109" i="50"/>
  <c r="CA109" i="50"/>
  <c r="BZ109" i="50"/>
  <c r="BY109" i="50"/>
  <c r="BX109" i="50"/>
  <c r="BW109" i="50"/>
  <c r="BV109" i="50"/>
  <c r="S109" i="50"/>
  <c r="CH108" i="50"/>
  <c r="CG108" i="50"/>
  <c r="CF108" i="50"/>
  <c r="CE108" i="50"/>
  <c r="CD108" i="50"/>
  <c r="CC108" i="50"/>
  <c r="CB108" i="50"/>
  <c r="CA108" i="50"/>
  <c r="BZ108" i="50"/>
  <c r="BY108" i="50"/>
  <c r="BX108" i="50"/>
  <c r="BW108" i="50"/>
  <c r="BV108" i="50"/>
  <c r="S108" i="50"/>
  <c r="CH107" i="50"/>
  <c r="CG107" i="50"/>
  <c r="CF107" i="50"/>
  <c r="CE107" i="50"/>
  <c r="CD107" i="50"/>
  <c r="CC107" i="50"/>
  <c r="CB107" i="50"/>
  <c r="CA107" i="50"/>
  <c r="BZ107" i="50"/>
  <c r="BY107" i="50"/>
  <c r="BX107" i="50"/>
  <c r="BW107" i="50"/>
  <c r="BV107" i="50"/>
  <c r="S107" i="50"/>
  <c r="CH106" i="50"/>
  <c r="CG106" i="50"/>
  <c r="CF106" i="50"/>
  <c r="CE106" i="50"/>
  <c r="CD106" i="50"/>
  <c r="CC106" i="50"/>
  <c r="CB106" i="50"/>
  <c r="CA106" i="50"/>
  <c r="BZ106" i="50"/>
  <c r="BY106" i="50"/>
  <c r="BX106" i="50"/>
  <c r="BW106" i="50"/>
  <c r="BV106" i="50"/>
  <c r="S106" i="50"/>
  <c r="CH105" i="50"/>
  <c r="CG105" i="50"/>
  <c r="CF105" i="50"/>
  <c r="CE105" i="50"/>
  <c r="CD105" i="50"/>
  <c r="CC105" i="50"/>
  <c r="CB105" i="50"/>
  <c r="CA105" i="50"/>
  <c r="BZ105" i="50"/>
  <c r="BY105" i="50"/>
  <c r="BX105" i="50"/>
  <c r="BW105" i="50"/>
  <c r="BV105" i="50"/>
  <c r="S105" i="50"/>
  <c r="CH104" i="50"/>
  <c r="CG104" i="50"/>
  <c r="CF104" i="50"/>
  <c r="CE104" i="50"/>
  <c r="CD104" i="50"/>
  <c r="CC104" i="50"/>
  <c r="CB104" i="50"/>
  <c r="CA104" i="50"/>
  <c r="BZ104" i="50"/>
  <c r="BY104" i="50"/>
  <c r="BX104" i="50"/>
  <c r="BW104" i="50"/>
  <c r="BV104" i="50"/>
  <c r="S104" i="50"/>
  <c r="CH103" i="50"/>
  <c r="CG103" i="50"/>
  <c r="CF103" i="50"/>
  <c r="CE103" i="50"/>
  <c r="CD103" i="50"/>
  <c r="CC103" i="50"/>
  <c r="CB103" i="50"/>
  <c r="CA103" i="50"/>
  <c r="BZ103" i="50"/>
  <c r="BY103" i="50"/>
  <c r="BX103" i="50"/>
  <c r="BW103" i="50"/>
  <c r="BV103" i="50"/>
  <c r="S103" i="50"/>
  <c r="CH102" i="50"/>
  <c r="CG102" i="50"/>
  <c r="CF102" i="50"/>
  <c r="CE102" i="50"/>
  <c r="CD102" i="50"/>
  <c r="CC102" i="50"/>
  <c r="CB102" i="50"/>
  <c r="CA102" i="50"/>
  <c r="BZ102" i="50"/>
  <c r="BY102" i="50"/>
  <c r="BX102" i="50"/>
  <c r="BW102" i="50"/>
  <c r="BV102" i="50"/>
  <c r="S102" i="50"/>
  <c r="CH101" i="50"/>
  <c r="CG101" i="50"/>
  <c r="CF101" i="50"/>
  <c r="CE101" i="50"/>
  <c r="CD101" i="50"/>
  <c r="CC101" i="50"/>
  <c r="CB101" i="50"/>
  <c r="CA101" i="50"/>
  <c r="BZ101" i="50"/>
  <c r="BY101" i="50"/>
  <c r="BX101" i="50"/>
  <c r="BW101" i="50"/>
  <c r="BV101" i="50"/>
  <c r="S101" i="50"/>
  <c r="CH100" i="50"/>
  <c r="CG100" i="50"/>
  <c r="CF100" i="50"/>
  <c r="CE100" i="50"/>
  <c r="CD100" i="50"/>
  <c r="CC100" i="50"/>
  <c r="CB100" i="50"/>
  <c r="CA100" i="50"/>
  <c r="BZ100" i="50"/>
  <c r="BY100" i="50"/>
  <c r="BX100" i="50"/>
  <c r="BW100" i="50"/>
  <c r="BV100" i="50"/>
  <c r="S100" i="50"/>
  <c r="ES99" i="50"/>
  <c r="ED99" i="50"/>
  <c r="CH99" i="50"/>
  <c r="CG99" i="50"/>
  <c r="CF99" i="50"/>
  <c r="CE99" i="50"/>
  <c r="CD99" i="50"/>
  <c r="CC99" i="50"/>
  <c r="CB99" i="50"/>
  <c r="CA99" i="50"/>
  <c r="BZ99" i="50"/>
  <c r="BY99" i="50"/>
  <c r="BX99" i="50"/>
  <c r="BW99" i="50"/>
  <c r="BV99" i="50"/>
  <c r="S99" i="50"/>
  <c r="CH98" i="50"/>
  <c r="CG98" i="50"/>
  <c r="CF98" i="50"/>
  <c r="CE98" i="50"/>
  <c r="CD98" i="50"/>
  <c r="CC98" i="50"/>
  <c r="CB98" i="50"/>
  <c r="CA98" i="50"/>
  <c r="BZ98" i="50"/>
  <c r="BY98" i="50"/>
  <c r="BX98" i="50"/>
  <c r="BW98" i="50"/>
  <c r="BV98" i="50"/>
  <c r="S98" i="50"/>
  <c r="CH97" i="50"/>
  <c r="CG97" i="50"/>
  <c r="CF97" i="50"/>
  <c r="CE97" i="50"/>
  <c r="CD97" i="50"/>
  <c r="CC97" i="50"/>
  <c r="CB97" i="50"/>
  <c r="CA97" i="50"/>
  <c r="BZ97" i="50"/>
  <c r="BY97" i="50"/>
  <c r="BX97" i="50"/>
  <c r="BW97" i="50"/>
  <c r="BV97" i="50"/>
  <c r="S97" i="50"/>
  <c r="ES85" i="50"/>
  <c r="ED85" i="50"/>
  <c r="CH85" i="50"/>
  <c r="CG85" i="50"/>
  <c r="CF85" i="50"/>
  <c r="CE85" i="50"/>
  <c r="CD85" i="50"/>
  <c r="CC85" i="50"/>
  <c r="CB85" i="50"/>
  <c r="CA85" i="50"/>
  <c r="BZ85" i="50"/>
  <c r="BY85" i="50"/>
  <c r="BX85" i="50"/>
  <c r="BW85" i="50"/>
  <c r="BV85" i="50"/>
  <c r="S85" i="50"/>
  <c r="CH84" i="50"/>
  <c r="CG84" i="50"/>
  <c r="CF84" i="50"/>
  <c r="CE84" i="50"/>
  <c r="CD84" i="50"/>
  <c r="CC84" i="50"/>
  <c r="CB84" i="50"/>
  <c r="CA84" i="50"/>
  <c r="BZ84" i="50"/>
  <c r="BY84" i="50"/>
  <c r="BX84" i="50"/>
  <c r="BW84" i="50"/>
  <c r="BV84" i="50"/>
  <c r="S84" i="50"/>
  <c r="CH83" i="50"/>
  <c r="CG83" i="50"/>
  <c r="CF83" i="50"/>
  <c r="CE83" i="50"/>
  <c r="CD83" i="50"/>
  <c r="CC83" i="50"/>
  <c r="CB83" i="50"/>
  <c r="CA83" i="50"/>
  <c r="BZ83" i="50"/>
  <c r="BY83" i="50"/>
  <c r="BX83" i="50"/>
  <c r="BW83" i="50"/>
  <c r="BV83" i="50"/>
  <c r="S83" i="50"/>
  <c r="CH82" i="50"/>
  <c r="CG82" i="50"/>
  <c r="CF82" i="50"/>
  <c r="CE82" i="50"/>
  <c r="CD82" i="50"/>
  <c r="CC82" i="50"/>
  <c r="CB82" i="50"/>
  <c r="CA82" i="50"/>
  <c r="BZ82" i="50"/>
  <c r="BY82" i="50"/>
  <c r="BX82" i="50"/>
  <c r="BW82" i="50"/>
  <c r="BV82" i="50"/>
  <c r="S82" i="50"/>
  <c r="CH81" i="50"/>
  <c r="CG81" i="50"/>
  <c r="CF81" i="50"/>
  <c r="CE81" i="50"/>
  <c r="CD81" i="50"/>
  <c r="CC81" i="50"/>
  <c r="CB81" i="50"/>
  <c r="CA81" i="50"/>
  <c r="BZ81" i="50"/>
  <c r="BY81" i="50"/>
  <c r="BX81" i="50"/>
  <c r="BW81" i="50"/>
  <c r="BV81" i="50"/>
  <c r="S81" i="50"/>
  <c r="CH80" i="50"/>
  <c r="CG80" i="50"/>
  <c r="CF80" i="50"/>
  <c r="CE80" i="50"/>
  <c r="CD80" i="50"/>
  <c r="CC80" i="50"/>
  <c r="CB80" i="50"/>
  <c r="CA80" i="50"/>
  <c r="BZ80" i="50"/>
  <c r="BY80" i="50"/>
  <c r="BX80" i="50"/>
  <c r="BW80" i="50"/>
  <c r="BV80" i="50"/>
  <c r="S80" i="50"/>
  <c r="CH79" i="50"/>
  <c r="CG79" i="50"/>
  <c r="CF79" i="50"/>
  <c r="CE79" i="50"/>
  <c r="CD79" i="50"/>
  <c r="CC79" i="50"/>
  <c r="CB79" i="50"/>
  <c r="CA79" i="50"/>
  <c r="BZ79" i="50"/>
  <c r="BY79" i="50"/>
  <c r="BX79" i="50"/>
  <c r="BW79" i="50"/>
  <c r="BV79" i="50"/>
  <c r="S79" i="50"/>
  <c r="CH78" i="50"/>
  <c r="CG78" i="50"/>
  <c r="CF78" i="50"/>
  <c r="CE78" i="50"/>
  <c r="CD78" i="50"/>
  <c r="CC78" i="50"/>
  <c r="CB78" i="50"/>
  <c r="CA78" i="50"/>
  <c r="BZ78" i="50"/>
  <c r="BY78" i="50"/>
  <c r="BX78" i="50"/>
  <c r="BW78" i="50"/>
  <c r="BV78" i="50"/>
  <c r="S78" i="50"/>
  <c r="CH77" i="50"/>
  <c r="CG77" i="50"/>
  <c r="CF77" i="50"/>
  <c r="CE77" i="50"/>
  <c r="CD77" i="50"/>
  <c r="CC77" i="50"/>
  <c r="CB77" i="50"/>
  <c r="CA77" i="50"/>
  <c r="BZ77" i="50"/>
  <c r="BY77" i="50"/>
  <c r="BX77" i="50"/>
  <c r="BW77" i="50"/>
  <c r="BV77" i="50"/>
  <c r="S77" i="50"/>
  <c r="CH76" i="50"/>
  <c r="CG76" i="50"/>
  <c r="CF76" i="50"/>
  <c r="CE76" i="50"/>
  <c r="CD76" i="50"/>
  <c r="CC76" i="50"/>
  <c r="CB76" i="50"/>
  <c r="CA76" i="50"/>
  <c r="BZ76" i="50"/>
  <c r="BY76" i="50"/>
  <c r="BX76" i="50"/>
  <c r="BW76" i="50"/>
  <c r="BV76" i="50"/>
  <c r="S76" i="50"/>
  <c r="ES75" i="50"/>
  <c r="ED75" i="50"/>
  <c r="CH75" i="50"/>
  <c r="CG75" i="50"/>
  <c r="CF75" i="50"/>
  <c r="CE75" i="50"/>
  <c r="CD75" i="50"/>
  <c r="CC75" i="50"/>
  <c r="CB75" i="50"/>
  <c r="CA75" i="50"/>
  <c r="BZ75" i="50"/>
  <c r="BY75" i="50"/>
  <c r="BX75" i="50"/>
  <c r="BW75" i="50"/>
  <c r="BV75" i="50"/>
  <c r="S75" i="50"/>
  <c r="CH74" i="50"/>
  <c r="CG74" i="50"/>
  <c r="CF74" i="50"/>
  <c r="CE74" i="50"/>
  <c r="CD74" i="50"/>
  <c r="CC74" i="50"/>
  <c r="CB74" i="50"/>
  <c r="CA74" i="50"/>
  <c r="BZ74" i="50"/>
  <c r="BY74" i="50"/>
  <c r="BX74" i="50"/>
  <c r="BW74" i="50"/>
  <c r="BV74" i="50"/>
  <c r="S74" i="50"/>
  <c r="CH73" i="50"/>
  <c r="CG73" i="50"/>
  <c r="CF73" i="50"/>
  <c r="CE73" i="50"/>
  <c r="CD73" i="50"/>
  <c r="CC73" i="50"/>
  <c r="CB73" i="50"/>
  <c r="CA73" i="50"/>
  <c r="BZ73" i="50"/>
  <c r="BY73" i="50"/>
  <c r="BX73" i="50"/>
  <c r="BW73" i="50"/>
  <c r="BV73" i="50"/>
  <c r="S73" i="50"/>
  <c r="CH72" i="50"/>
  <c r="CG72" i="50"/>
  <c r="CF72" i="50"/>
  <c r="CE72" i="50"/>
  <c r="CD72" i="50"/>
  <c r="CC72" i="50"/>
  <c r="CB72" i="50"/>
  <c r="CA72" i="50"/>
  <c r="BZ72" i="50"/>
  <c r="BY72" i="50"/>
  <c r="BX72" i="50"/>
  <c r="BW72" i="50"/>
  <c r="BV72" i="50"/>
  <c r="S72" i="50"/>
  <c r="CH18" i="50"/>
  <c r="CG18" i="50"/>
  <c r="CF18" i="50"/>
  <c r="CE18" i="50"/>
  <c r="CD18" i="50"/>
  <c r="CC18" i="50"/>
  <c r="CB18" i="50"/>
  <c r="CA18" i="50"/>
  <c r="BZ18" i="50"/>
  <c r="BY18" i="50"/>
  <c r="BX18" i="50"/>
  <c r="BW18" i="50"/>
  <c r="BV18" i="50"/>
  <c r="S18" i="50"/>
  <c r="CH17" i="50"/>
  <c r="CG17" i="50"/>
  <c r="CF17" i="50"/>
  <c r="CE17" i="50"/>
  <c r="CD17" i="50"/>
  <c r="CC17" i="50"/>
  <c r="CB17" i="50"/>
  <c r="CA17" i="50"/>
  <c r="BZ17" i="50"/>
  <c r="BY17" i="50"/>
  <c r="BX17" i="50"/>
  <c r="BW17" i="50"/>
  <c r="BV17" i="50"/>
  <c r="S17" i="50"/>
  <c r="ES16" i="50"/>
  <c r="ED16" i="50"/>
  <c r="CH16" i="50"/>
  <c r="CG16" i="50"/>
  <c r="CF16" i="50"/>
  <c r="CE16" i="50"/>
  <c r="CD16" i="50"/>
  <c r="CC16" i="50"/>
  <c r="CB16" i="50"/>
  <c r="CA16" i="50"/>
  <c r="BZ16" i="50"/>
  <c r="BY16" i="50"/>
  <c r="BX16" i="50"/>
  <c r="BW16" i="50"/>
  <c r="BV16" i="50"/>
  <c r="S16" i="50"/>
  <c r="CH15" i="50"/>
  <c r="CG15" i="50"/>
  <c r="CF15" i="50"/>
  <c r="CE15" i="50"/>
  <c r="CD15" i="50"/>
  <c r="CC15" i="50"/>
  <c r="CB15" i="50"/>
  <c r="CA15" i="50"/>
  <c r="BZ15" i="50"/>
  <c r="BY15" i="50"/>
  <c r="BX15" i="50"/>
  <c r="BW15" i="50"/>
  <c r="BV15" i="50"/>
  <c r="S15" i="50"/>
  <c r="CH14" i="50"/>
  <c r="CG14" i="50"/>
  <c r="CF14" i="50"/>
  <c r="CE14" i="50"/>
  <c r="CD14" i="50"/>
  <c r="CC14" i="50"/>
  <c r="CB14" i="50"/>
  <c r="CA14" i="50"/>
  <c r="BZ14" i="50"/>
  <c r="BY14" i="50"/>
  <c r="BX14" i="50"/>
  <c r="BW14" i="50"/>
  <c r="BV14" i="50"/>
  <c r="S14" i="50"/>
  <c r="CH13" i="50"/>
  <c r="CG13" i="50"/>
  <c r="CF13" i="50"/>
  <c r="CE13" i="50"/>
  <c r="CD13" i="50"/>
  <c r="CC13" i="50"/>
  <c r="CB13" i="50"/>
  <c r="CA13" i="50"/>
  <c r="BZ13" i="50"/>
  <c r="BY13" i="50"/>
  <c r="BX13" i="50"/>
  <c r="BW13" i="50"/>
  <c r="BV13" i="50"/>
  <c r="S13" i="50"/>
  <c r="CH12" i="50"/>
  <c r="CG12" i="50"/>
  <c r="CF12" i="50"/>
  <c r="CE12" i="50"/>
  <c r="CD12" i="50"/>
  <c r="CC12" i="50"/>
  <c r="CB12" i="50"/>
  <c r="CA12" i="50"/>
  <c r="BZ12" i="50"/>
  <c r="BY12" i="50"/>
  <c r="BX12" i="50"/>
  <c r="BW12" i="50"/>
  <c r="BV12" i="50"/>
  <c r="S12" i="50"/>
  <c r="CH11" i="50"/>
  <c r="CG11" i="50"/>
  <c r="CF11" i="50"/>
  <c r="CE11" i="50"/>
  <c r="CD11" i="50"/>
  <c r="CC11" i="50"/>
  <c r="CB11" i="50"/>
  <c r="CA11" i="50"/>
  <c r="BZ11" i="50"/>
  <c r="BY11" i="50"/>
  <c r="BX11" i="50"/>
  <c r="BW11" i="50"/>
  <c r="BV11" i="50"/>
  <c r="S11" i="50"/>
  <c r="CH10" i="50"/>
  <c r="CG10" i="50"/>
  <c r="CF10" i="50"/>
  <c r="CE10" i="50"/>
  <c r="CD10" i="50"/>
  <c r="CC10" i="50"/>
  <c r="CB10" i="50"/>
  <c r="CA10" i="50"/>
  <c r="BZ10" i="50"/>
  <c r="BY10" i="50"/>
  <c r="BX10" i="50"/>
  <c r="BW10" i="50"/>
  <c r="BV10" i="50"/>
  <c r="S10" i="50"/>
  <c r="CH9" i="50"/>
  <c r="CG9" i="50"/>
  <c r="CF9" i="50"/>
  <c r="CE9" i="50"/>
  <c r="CD9" i="50"/>
  <c r="CC9" i="50"/>
  <c r="CB9" i="50"/>
  <c r="CA9" i="50"/>
  <c r="BZ9" i="50"/>
  <c r="BY9" i="50"/>
  <c r="BX9" i="50"/>
  <c r="BW9" i="50"/>
  <c r="BV9" i="50"/>
  <c r="S9" i="50"/>
  <c r="CH8" i="50"/>
  <c r="CG8" i="50"/>
  <c r="CF8" i="50"/>
  <c r="CE8" i="50"/>
  <c r="CD8" i="50"/>
  <c r="CC8" i="50"/>
  <c r="CB8" i="50"/>
  <c r="CA8" i="50"/>
  <c r="BZ8" i="50"/>
  <c r="BY8" i="50"/>
  <c r="BX8" i="50"/>
  <c r="BW8" i="50"/>
  <c r="BV8" i="50"/>
  <c r="S8" i="50"/>
  <c r="CH7" i="50"/>
  <c r="CG7" i="50"/>
  <c r="CF7" i="50"/>
  <c r="CE7" i="50"/>
  <c r="CD7" i="50"/>
  <c r="CC7" i="50"/>
  <c r="CB7" i="50"/>
  <c r="CA7" i="50"/>
  <c r="BZ7" i="50"/>
  <c r="BY7" i="50"/>
  <c r="BX7" i="50"/>
  <c r="BW7" i="50"/>
  <c r="BV7" i="50"/>
  <c r="S7" i="50"/>
  <c r="CH6" i="50"/>
  <c r="CG6" i="50"/>
  <c r="CF6" i="50"/>
  <c r="CE6" i="50"/>
  <c r="CD6" i="50"/>
  <c r="CC6" i="50"/>
  <c r="CB6" i="50"/>
  <c r="CA6" i="50"/>
  <c r="BZ6" i="50"/>
  <c r="BY6" i="50"/>
  <c r="BX6" i="50"/>
  <c r="BW6" i="50"/>
  <c r="BV6" i="50"/>
  <c r="S6" i="50"/>
  <c r="CH70" i="50"/>
  <c r="CG70" i="50"/>
  <c r="CF70" i="50"/>
  <c r="CE70" i="50"/>
  <c r="CD70" i="50"/>
  <c r="CC70" i="50"/>
  <c r="CB70" i="50"/>
  <c r="CA70" i="50"/>
  <c r="BZ70" i="50"/>
  <c r="BY70" i="50"/>
  <c r="BX70" i="50"/>
  <c r="BW70" i="50"/>
  <c r="BV70" i="50"/>
  <c r="S70" i="50"/>
  <c r="CH69" i="50"/>
  <c r="CG69" i="50"/>
  <c r="CF69" i="50"/>
  <c r="CE69" i="50"/>
  <c r="CD69" i="50"/>
  <c r="CC69" i="50"/>
  <c r="CB69" i="50"/>
  <c r="CA69" i="50"/>
  <c r="BZ69" i="50"/>
  <c r="BY69" i="50"/>
  <c r="BX69" i="50"/>
  <c r="BW69" i="50"/>
  <c r="BV69" i="50"/>
  <c r="S69" i="50"/>
  <c r="CH68" i="50"/>
  <c r="CG68" i="50"/>
  <c r="CF68" i="50"/>
  <c r="CE68" i="50"/>
  <c r="CD68" i="50"/>
  <c r="CC68" i="50"/>
  <c r="CB68" i="50"/>
  <c r="CA68" i="50"/>
  <c r="BZ68" i="50"/>
  <c r="BY68" i="50"/>
  <c r="BX68" i="50"/>
  <c r="BW68" i="50"/>
  <c r="BV68" i="50"/>
  <c r="S68" i="50"/>
  <c r="CH67" i="50"/>
  <c r="CG67" i="50"/>
  <c r="CF67" i="50"/>
  <c r="CE67" i="50"/>
  <c r="CD67" i="50"/>
  <c r="CC67" i="50"/>
  <c r="CB67" i="50"/>
  <c r="CA67" i="50"/>
  <c r="BZ67" i="50"/>
  <c r="BY67" i="50"/>
  <c r="BX67" i="50"/>
  <c r="BW67" i="50"/>
  <c r="BV67" i="50"/>
  <c r="S67" i="50"/>
  <c r="CH66" i="50"/>
  <c r="CG66" i="50"/>
  <c r="CF66" i="50"/>
  <c r="CE66" i="50"/>
  <c r="CD66" i="50"/>
  <c r="CC66" i="50"/>
  <c r="CB66" i="50"/>
  <c r="CA66" i="50"/>
  <c r="BZ66" i="50"/>
  <c r="BY66" i="50"/>
  <c r="BX66" i="50"/>
  <c r="BW66" i="50"/>
  <c r="BV66" i="50"/>
  <c r="S66" i="50"/>
  <c r="CH65" i="50"/>
  <c r="CG65" i="50"/>
  <c r="CF65" i="50"/>
  <c r="CE65" i="50"/>
  <c r="CD65" i="50"/>
  <c r="CC65" i="50"/>
  <c r="CB65" i="50"/>
  <c r="CA65" i="50"/>
  <c r="BZ65" i="50"/>
  <c r="BY65" i="50"/>
  <c r="BX65" i="50"/>
  <c r="BW65" i="50"/>
  <c r="BV65" i="50"/>
  <c r="S65" i="50"/>
  <c r="CH64" i="50"/>
  <c r="CG64" i="50"/>
  <c r="CF64" i="50"/>
  <c r="CE64" i="50"/>
  <c r="CD64" i="50"/>
  <c r="CC64" i="50"/>
  <c r="CB64" i="50"/>
  <c r="CA64" i="50"/>
  <c r="BZ64" i="50"/>
  <c r="BY64" i="50"/>
  <c r="BX64" i="50"/>
  <c r="BW64" i="50"/>
  <c r="BV64" i="50"/>
  <c r="S64" i="50"/>
  <c r="CH63" i="50"/>
  <c r="CG63" i="50"/>
  <c r="CF63" i="50"/>
  <c r="CE63" i="50"/>
  <c r="CD63" i="50"/>
  <c r="CC63" i="50"/>
  <c r="CB63" i="50"/>
  <c r="CA63" i="50"/>
  <c r="BZ63" i="50"/>
  <c r="BY63" i="50"/>
  <c r="BX63" i="50"/>
  <c r="BW63" i="50"/>
  <c r="BV63" i="50"/>
  <c r="S63" i="50"/>
  <c r="CH62" i="50"/>
  <c r="CG62" i="50"/>
  <c r="CF62" i="50"/>
  <c r="CE62" i="50"/>
  <c r="CD62" i="50"/>
  <c r="CC62" i="50"/>
  <c r="CB62" i="50"/>
  <c r="CA62" i="50"/>
  <c r="BZ62" i="50"/>
  <c r="BY62" i="50"/>
  <c r="BX62" i="50"/>
  <c r="BW62" i="50"/>
  <c r="BV62" i="50"/>
  <c r="S62" i="50"/>
  <c r="CH61" i="50"/>
  <c r="CG61" i="50"/>
  <c r="CF61" i="50"/>
  <c r="CE61" i="50"/>
  <c r="CD61" i="50"/>
  <c r="CC61" i="50"/>
  <c r="CB61" i="50"/>
  <c r="CA61" i="50"/>
  <c r="BZ61" i="50"/>
  <c r="BY61" i="50"/>
  <c r="BX61" i="50"/>
  <c r="BW61" i="50"/>
  <c r="BV61" i="50"/>
  <c r="S61" i="50"/>
  <c r="CH60" i="50"/>
  <c r="CG60" i="50"/>
  <c r="CF60" i="50"/>
  <c r="CE60" i="50"/>
  <c r="CD60" i="50"/>
  <c r="CC60" i="50"/>
  <c r="CB60" i="50"/>
  <c r="CA60" i="50"/>
  <c r="BZ60" i="50"/>
  <c r="BY60" i="50"/>
  <c r="BX60" i="50"/>
  <c r="BW60" i="50"/>
  <c r="BV60" i="50"/>
  <c r="S60" i="50"/>
  <c r="CH59" i="50"/>
  <c r="CG59" i="50"/>
  <c r="CF59" i="50"/>
  <c r="CE59" i="50"/>
  <c r="CD59" i="50"/>
  <c r="CC59" i="50"/>
  <c r="CB59" i="50"/>
  <c r="CA59" i="50"/>
  <c r="BZ59" i="50"/>
  <c r="BY59" i="50"/>
  <c r="BX59" i="50"/>
  <c r="BW59" i="50"/>
  <c r="BV59" i="50"/>
  <c r="S59" i="50"/>
  <c r="CH58" i="50"/>
  <c r="CG58" i="50"/>
  <c r="CF58" i="50"/>
  <c r="CE58" i="50"/>
  <c r="CD58" i="50"/>
  <c r="CC58" i="50"/>
  <c r="CB58" i="50"/>
  <c r="CA58" i="50"/>
  <c r="BZ58" i="50"/>
  <c r="BY58" i="50"/>
  <c r="BX58" i="50"/>
  <c r="BW58" i="50"/>
  <c r="BV58" i="50"/>
  <c r="S58" i="50"/>
  <c r="CH57" i="50"/>
  <c r="CG57" i="50"/>
  <c r="CF57" i="50"/>
  <c r="CE57" i="50"/>
  <c r="CD57" i="50"/>
  <c r="CC57" i="50"/>
  <c r="CB57" i="50"/>
  <c r="CA57" i="50"/>
  <c r="BZ57" i="50"/>
  <c r="BY57" i="50"/>
  <c r="BX57" i="50"/>
  <c r="BW57" i="50"/>
  <c r="BV57" i="50"/>
  <c r="S57" i="50"/>
  <c r="CH56" i="50"/>
  <c r="CG56" i="50"/>
  <c r="CF56" i="50"/>
  <c r="CE56" i="50"/>
  <c r="CD56" i="50"/>
  <c r="CC56" i="50"/>
  <c r="CB56" i="50"/>
  <c r="CA56" i="50"/>
  <c r="BZ56" i="50"/>
  <c r="BY56" i="50"/>
  <c r="BX56" i="50"/>
  <c r="BW56" i="50"/>
  <c r="BV56" i="50"/>
  <c r="S56" i="50"/>
  <c r="CH55" i="50"/>
  <c r="CG55" i="50"/>
  <c r="CF55" i="50"/>
  <c r="CE55" i="50"/>
  <c r="CD55" i="50"/>
  <c r="CC55" i="50"/>
  <c r="CB55" i="50"/>
  <c r="CA55" i="50"/>
  <c r="BZ55" i="50"/>
  <c r="BY55" i="50"/>
  <c r="BX55" i="50"/>
  <c r="BW55" i="50"/>
  <c r="BV55" i="50"/>
  <c r="S55" i="50"/>
  <c r="CH54" i="50"/>
  <c r="CG54" i="50"/>
  <c r="CF54" i="50"/>
  <c r="CE54" i="50"/>
  <c r="CD54" i="50"/>
  <c r="CC54" i="50"/>
  <c r="CB54" i="50"/>
  <c r="CA54" i="50"/>
  <c r="BZ54" i="50"/>
  <c r="BY54" i="50"/>
  <c r="BX54" i="50"/>
  <c r="BW54" i="50"/>
  <c r="BV54" i="50"/>
  <c r="S54" i="50"/>
  <c r="CH53" i="50"/>
  <c r="CG53" i="50"/>
  <c r="CF53" i="50"/>
  <c r="CE53" i="50"/>
  <c r="CD53" i="50"/>
  <c r="CC53" i="50"/>
  <c r="CB53" i="50"/>
  <c r="CA53" i="50"/>
  <c r="BZ53" i="50"/>
  <c r="BY53" i="50"/>
  <c r="BX53" i="50"/>
  <c r="BW53" i="50"/>
  <c r="BV53" i="50"/>
  <c r="S53" i="50"/>
  <c r="ES52" i="50"/>
  <c r="ED52" i="50"/>
  <c r="CH52" i="50"/>
  <c r="CG52" i="50"/>
  <c r="CF52" i="50"/>
  <c r="CE52" i="50"/>
  <c r="CD52" i="50"/>
  <c r="CC52" i="50"/>
  <c r="CB52" i="50"/>
  <c r="CA52" i="50"/>
  <c r="BZ52" i="50"/>
  <c r="BY52" i="50"/>
  <c r="BX52" i="50"/>
  <c r="BW52" i="50"/>
  <c r="BV52" i="50"/>
  <c r="S52" i="50"/>
  <c r="CH71" i="50"/>
  <c r="CG71" i="50"/>
  <c r="CF71" i="50"/>
  <c r="CE71" i="50"/>
  <c r="CD71" i="50"/>
  <c r="CC71" i="50"/>
  <c r="CB71" i="50"/>
  <c r="CA71" i="50"/>
  <c r="BZ71" i="50"/>
  <c r="BY71" i="50"/>
  <c r="BX71" i="50"/>
  <c r="BW71" i="50"/>
  <c r="BV71" i="50"/>
  <c r="S71" i="50"/>
  <c r="ES96" i="50"/>
  <c r="ED96" i="50"/>
  <c r="CH96" i="50"/>
  <c r="CG96" i="50"/>
  <c r="CF96" i="50"/>
  <c r="CE96" i="50"/>
  <c r="CD96" i="50"/>
  <c r="CC96" i="50"/>
  <c r="CB96" i="50"/>
  <c r="CA96" i="50"/>
  <c r="BZ96" i="50"/>
  <c r="BY96" i="50"/>
  <c r="BX96" i="50"/>
  <c r="BW96" i="50"/>
  <c r="BV96" i="50"/>
  <c r="S96" i="50"/>
  <c r="DA202" i="47"/>
  <c r="CZ202" i="47"/>
  <c r="CY202" i="47"/>
  <c r="CX202" i="47"/>
  <c r="CW202" i="47"/>
  <c r="CV202" i="47"/>
  <c r="CU202" i="47"/>
  <c r="CT202" i="47"/>
  <c r="CS202" i="47"/>
  <c r="CR202" i="47"/>
  <c r="CQ202" i="47"/>
  <c r="CP202" i="47"/>
  <c r="CO202" i="47"/>
  <c r="S202" i="47"/>
  <c r="DA201" i="47"/>
  <c r="CZ201" i="47"/>
  <c r="CY201" i="47"/>
  <c r="CX201" i="47"/>
  <c r="CW201" i="47"/>
  <c r="CV201" i="47"/>
  <c r="CU201" i="47"/>
  <c r="CT201" i="47"/>
  <c r="CS201" i="47"/>
  <c r="CR201" i="47"/>
  <c r="CQ201" i="47"/>
  <c r="CP201" i="47"/>
  <c r="CO201" i="47"/>
  <c r="S201" i="47"/>
  <c r="DA200" i="47"/>
  <c r="CZ200" i="47"/>
  <c r="CY200" i="47"/>
  <c r="CX200" i="47"/>
  <c r="CW200" i="47"/>
  <c r="CV200" i="47"/>
  <c r="CU200" i="47"/>
  <c r="CT200" i="47"/>
  <c r="CS200" i="47"/>
  <c r="CR200" i="47"/>
  <c r="CQ200" i="47"/>
  <c r="CP200" i="47"/>
  <c r="CO200" i="47"/>
  <c r="S200" i="47"/>
  <c r="DA199" i="47"/>
  <c r="CZ199" i="47"/>
  <c r="CY199" i="47"/>
  <c r="CX199" i="47"/>
  <c r="CW199" i="47"/>
  <c r="CV199" i="47"/>
  <c r="CU199" i="47"/>
  <c r="CT199" i="47"/>
  <c r="CS199" i="47"/>
  <c r="CR199" i="47"/>
  <c r="CQ199" i="47"/>
  <c r="CP199" i="47"/>
  <c r="CO199" i="47"/>
  <c r="S199" i="47"/>
  <c r="DA198" i="47"/>
  <c r="CZ198" i="47"/>
  <c r="CY198" i="47"/>
  <c r="CX198" i="47"/>
  <c r="CW198" i="47"/>
  <c r="CV198" i="47"/>
  <c r="CU198" i="47"/>
  <c r="CT198" i="47"/>
  <c r="CS198" i="47"/>
  <c r="CR198" i="47"/>
  <c r="CQ198" i="47"/>
  <c r="CP198" i="47"/>
  <c r="CO198" i="47"/>
  <c r="S198" i="47"/>
  <c r="DA197" i="47"/>
  <c r="CZ197" i="47"/>
  <c r="CY197" i="47"/>
  <c r="CX197" i="47"/>
  <c r="CW197" i="47"/>
  <c r="CV197" i="47"/>
  <c r="CU197" i="47"/>
  <c r="CT197" i="47"/>
  <c r="CS197" i="47"/>
  <c r="CR197" i="47"/>
  <c r="CQ197" i="47"/>
  <c r="CP197" i="47"/>
  <c r="CO197" i="47"/>
  <c r="S197" i="47"/>
  <c r="DA196" i="47"/>
  <c r="CZ196" i="47"/>
  <c r="CY196" i="47"/>
  <c r="CX196" i="47"/>
  <c r="CW196" i="47"/>
  <c r="CV196" i="47"/>
  <c r="CU196" i="47"/>
  <c r="CT196" i="47"/>
  <c r="CS196" i="47"/>
  <c r="CR196" i="47"/>
  <c r="CQ196" i="47"/>
  <c r="CP196" i="47"/>
  <c r="CO196" i="47"/>
  <c r="S196" i="47"/>
  <c r="DA195" i="47"/>
  <c r="CZ195" i="47"/>
  <c r="CY195" i="47"/>
  <c r="CX195" i="47"/>
  <c r="CW195" i="47"/>
  <c r="CV195" i="47"/>
  <c r="CU195" i="47"/>
  <c r="CT195" i="47"/>
  <c r="CS195" i="47"/>
  <c r="CR195" i="47"/>
  <c r="CQ195" i="47"/>
  <c r="CP195" i="47"/>
  <c r="CO195" i="47"/>
  <c r="S195" i="47"/>
  <c r="EW194" i="47"/>
  <c r="DA194" i="47"/>
  <c r="CZ194" i="47"/>
  <c r="CY194" i="47"/>
  <c r="CX194" i="47"/>
  <c r="CW194" i="47"/>
  <c r="CV194" i="47"/>
  <c r="CU194" i="47"/>
  <c r="CT194" i="47"/>
  <c r="CS194" i="47"/>
  <c r="CR194" i="47"/>
  <c r="CQ194" i="47"/>
  <c r="CP194" i="47"/>
  <c r="CO194" i="47"/>
  <c r="S194" i="47"/>
  <c r="DA193" i="47"/>
  <c r="CZ193" i="47"/>
  <c r="CY193" i="47"/>
  <c r="CX193" i="47"/>
  <c r="CW193" i="47"/>
  <c r="CV193" i="47"/>
  <c r="CU193" i="47"/>
  <c r="CT193" i="47"/>
  <c r="CS193" i="47"/>
  <c r="CR193" i="47"/>
  <c r="CQ193" i="47"/>
  <c r="CP193" i="47"/>
  <c r="CO193" i="47"/>
  <c r="S193" i="47"/>
  <c r="DA192" i="47"/>
  <c r="CZ192" i="47"/>
  <c r="CY192" i="47"/>
  <c r="CX192" i="47"/>
  <c r="CW192" i="47"/>
  <c r="CV192" i="47"/>
  <c r="CU192" i="47"/>
  <c r="CT192" i="47"/>
  <c r="CS192" i="47"/>
  <c r="CR192" i="47"/>
  <c r="CQ192" i="47"/>
  <c r="CP192" i="47"/>
  <c r="CO192" i="47"/>
  <c r="S192" i="47"/>
  <c r="DA191" i="47"/>
  <c r="CZ191" i="47"/>
  <c r="CY191" i="47"/>
  <c r="CX191" i="47"/>
  <c r="CW191" i="47"/>
  <c r="CV191" i="47"/>
  <c r="CU191" i="47"/>
  <c r="CT191" i="47"/>
  <c r="CS191" i="47"/>
  <c r="CR191" i="47"/>
  <c r="CQ191" i="47"/>
  <c r="CP191" i="47"/>
  <c r="CO191" i="47"/>
  <c r="S191" i="47"/>
  <c r="DA190" i="47"/>
  <c r="CZ190" i="47"/>
  <c r="CY190" i="47"/>
  <c r="CX190" i="47"/>
  <c r="CW190" i="47"/>
  <c r="CV190" i="47"/>
  <c r="CU190" i="47"/>
  <c r="CT190" i="47"/>
  <c r="CS190" i="47"/>
  <c r="CR190" i="47"/>
  <c r="CQ190" i="47"/>
  <c r="CP190" i="47"/>
  <c r="CO190" i="47"/>
  <c r="S190" i="47"/>
  <c r="DA189" i="47"/>
  <c r="CZ189" i="47"/>
  <c r="CY189" i="47"/>
  <c r="CX189" i="47"/>
  <c r="CW189" i="47"/>
  <c r="CV189" i="47"/>
  <c r="CU189" i="47"/>
  <c r="CT189" i="47"/>
  <c r="CS189" i="47"/>
  <c r="CR189" i="47"/>
  <c r="CQ189" i="47"/>
  <c r="CP189" i="47"/>
  <c r="CO189" i="47"/>
  <c r="S189" i="47"/>
  <c r="DA188" i="47"/>
  <c r="CZ188" i="47"/>
  <c r="CY188" i="47"/>
  <c r="CX188" i="47"/>
  <c r="CW188" i="47"/>
  <c r="CV188" i="47"/>
  <c r="CU188" i="47"/>
  <c r="CT188" i="47"/>
  <c r="CS188" i="47"/>
  <c r="CR188" i="47"/>
  <c r="CQ188" i="47"/>
  <c r="CP188" i="47"/>
  <c r="CO188" i="47"/>
  <c r="S188" i="47"/>
  <c r="DA187" i="47"/>
  <c r="CZ187" i="47"/>
  <c r="CY187" i="47"/>
  <c r="CX187" i="47"/>
  <c r="CW187" i="47"/>
  <c r="CV187" i="47"/>
  <c r="CU187" i="47"/>
  <c r="CT187" i="47"/>
  <c r="CS187" i="47"/>
  <c r="CR187" i="47"/>
  <c r="CQ187" i="47"/>
  <c r="CP187" i="47"/>
  <c r="CO187" i="47"/>
  <c r="S187" i="47"/>
  <c r="DA186" i="47"/>
  <c r="CZ186" i="47"/>
  <c r="CY186" i="47"/>
  <c r="CX186" i="47"/>
  <c r="CW186" i="47"/>
  <c r="CV186" i="47"/>
  <c r="CU186" i="47"/>
  <c r="CT186" i="47"/>
  <c r="CS186" i="47"/>
  <c r="CR186" i="47"/>
  <c r="CQ186" i="47"/>
  <c r="CP186" i="47"/>
  <c r="CO186" i="47"/>
  <c r="S186" i="47"/>
  <c r="DA185" i="47"/>
  <c r="CZ185" i="47"/>
  <c r="CY185" i="47"/>
  <c r="CX185" i="47"/>
  <c r="CW185" i="47"/>
  <c r="CV185" i="47"/>
  <c r="CU185" i="47"/>
  <c r="CT185" i="47"/>
  <c r="CS185" i="47"/>
  <c r="CR185" i="47"/>
  <c r="CQ185" i="47"/>
  <c r="CP185" i="47"/>
  <c r="CO185" i="47"/>
  <c r="S185" i="47"/>
  <c r="DA184" i="47"/>
  <c r="CZ184" i="47"/>
  <c r="CY184" i="47"/>
  <c r="CX184" i="47"/>
  <c r="CW184" i="47"/>
  <c r="CV184" i="47"/>
  <c r="CU184" i="47"/>
  <c r="CT184" i="47"/>
  <c r="CS184" i="47"/>
  <c r="CR184" i="47"/>
  <c r="CQ184" i="47"/>
  <c r="CP184" i="47"/>
  <c r="CO184" i="47"/>
  <c r="S184" i="47"/>
  <c r="DA183" i="47"/>
  <c r="CZ183" i="47"/>
  <c r="CY183" i="47"/>
  <c r="CX183" i="47"/>
  <c r="CW183" i="47"/>
  <c r="CV183" i="47"/>
  <c r="CU183" i="47"/>
  <c r="CT183" i="47"/>
  <c r="CS183" i="47"/>
  <c r="CR183" i="47"/>
  <c r="CQ183" i="47"/>
  <c r="CP183" i="47"/>
  <c r="CO183" i="47"/>
  <c r="S183" i="47"/>
  <c r="DA182" i="47"/>
  <c r="CZ182" i="47"/>
  <c r="CY182" i="47"/>
  <c r="CX182" i="47"/>
  <c r="CW182" i="47"/>
  <c r="CV182" i="47"/>
  <c r="CU182" i="47"/>
  <c r="CT182" i="47"/>
  <c r="CS182" i="47"/>
  <c r="CR182" i="47"/>
  <c r="CQ182" i="47"/>
  <c r="CP182" i="47"/>
  <c r="CO182" i="47"/>
  <c r="S182" i="47"/>
  <c r="DA181" i="47"/>
  <c r="CZ181" i="47"/>
  <c r="CY181" i="47"/>
  <c r="CX181" i="47"/>
  <c r="CW181" i="47"/>
  <c r="CV181" i="47"/>
  <c r="CU181" i="47"/>
  <c r="CT181" i="47"/>
  <c r="CS181" i="47"/>
  <c r="CR181" i="47"/>
  <c r="CQ181" i="47"/>
  <c r="CP181" i="47"/>
  <c r="CO181" i="47"/>
  <c r="S181" i="47"/>
  <c r="EW180" i="47"/>
  <c r="DA180" i="47"/>
  <c r="CZ180" i="47"/>
  <c r="CY180" i="47"/>
  <c r="CX180" i="47"/>
  <c r="CW180" i="47"/>
  <c r="CV180" i="47"/>
  <c r="CU180" i="47"/>
  <c r="CT180" i="47"/>
  <c r="CS180" i="47"/>
  <c r="CR180" i="47"/>
  <c r="CQ180" i="47"/>
  <c r="CP180" i="47"/>
  <c r="CO180" i="47"/>
  <c r="S180" i="47"/>
  <c r="DA179" i="47"/>
  <c r="CZ179" i="47"/>
  <c r="CY179" i="47"/>
  <c r="CX179" i="47"/>
  <c r="CW179" i="47"/>
  <c r="CV179" i="47"/>
  <c r="CU179" i="47"/>
  <c r="CT179" i="47"/>
  <c r="CS179" i="47"/>
  <c r="CR179" i="47"/>
  <c r="CQ179" i="47"/>
  <c r="CP179" i="47"/>
  <c r="CO179" i="47"/>
  <c r="S179" i="47"/>
  <c r="DA178" i="47"/>
  <c r="CZ178" i="47"/>
  <c r="CY178" i="47"/>
  <c r="CX178" i="47"/>
  <c r="CW178" i="47"/>
  <c r="CV178" i="47"/>
  <c r="CU178" i="47"/>
  <c r="CT178" i="47"/>
  <c r="CS178" i="47"/>
  <c r="CR178" i="47"/>
  <c r="CQ178" i="47"/>
  <c r="CP178" i="47"/>
  <c r="CO178" i="47"/>
  <c r="S178" i="47"/>
  <c r="DA177" i="47"/>
  <c r="CZ177" i="47"/>
  <c r="CY177" i="47"/>
  <c r="CX177" i="47"/>
  <c r="CW177" i="47"/>
  <c r="CV177" i="47"/>
  <c r="CU177" i="47"/>
  <c r="CT177" i="47"/>
  <c r="CS177" i="47"/>
  <c r="CR177" i="47"/>
  <c r="CQ177" i="47"/>
  <c r="CP177" i="47"/>
  <c r="CO177" i="47"/>
  <c r="S177" i="47"/>
  <c r="DA176" i="47"/>
  <c r="CZ176" i="47"/>
  <c r="CY176" i="47"/>
  <c r="CX176" i="47"/>
  <c r="CW176" i="47"/>
  <c r="CV176" i="47"/>
  <c r="CU176" i="47"/>
  <c r="CT176" i="47"/>
  <c r="CS176" i="47"/>
  <c r="CR176" i="47"/>
  <c r="CQ176" i="47"/>
  <c r="CP176" i="47"/>
  <c r="CO176" i="47"/>
  <c r="S176" i="47"/>
  <c r="DA175" i="47"/>
  <c r="CZ175" i="47"/>
  <c r="CY175" i="47"/>
  <c r="CX175" i="47"/>
  <c r="CW175" i="47"/>
  <c r="CV175" i="47"/>
  <c r="CU175" i="47"/>
  <c r="CT175" i="47"/>
  <c r="CS175" i="47"/>
  <c r="CR175" i="47"/>
  <c r="CQ175" i="47"/>
  <c r="CP175" i="47"/>
  <c r="CO175" i="47"/>
  <c r="S175" i="47"/>
  <c r="DA174" i="47"/>
  <c r="CZ174" i="47"/>
  <c r="CY174" i="47"/>
  <c r="CX174" i="47"/>
  <c r="CW174" i="47"/>
  <c r="CV174" i="47"/>
  <c r="CU174" i="47"/>
  <c r="CT174" i="47"/>
  <c r="CS174" i="47"/>
  <c r="CR174" i="47"/>
  <c r="CQ174" i="47"/>
  <c r="CP174" i="47"/>
  <c r="CO174" i="47"/>
  <c r="S174" i="47"/>
  <c r="DA173" i="47"/>
  <c r="CZ173" i="47"/>
  <c r="CY173" i="47"/>
  <c r="CX173" i="47"/>
  <c r="CW173" i="47"/>
  <c r="CV173" i="47"/>
  <c r="CU173" i="47"/>
  <c r="CT173" i="47"/>
  <c r="CS173" i="47"/>
  <c r="CR173" i="47"/>
  <c r="CQ173" i="47"/>
  <c r="CP173" i="47"/>
  <c r="CO173" i="47"/>
  <c r="S173" i="47"/>
  <c r="DA172" i="47"/>
  <c r="CZ172" i="47"/>
  <c r="CY172" i="47"/>
  <c r="CX172" i="47"/>
  <c r="CW172" i="47"/>
  <c r="CV172" i="47"/>
  <c r="CU172" i="47"/>
  <c r="CT172" i="47"/>
  <c r="CS172" i="47"/>
  <c r="CR172" i="47"/>
  <c r="CQ172" i="47"/>
  <c r="CP172" i="47"/>
  <c r="CO172" i="47"/>
  <c r="S172" i="47"/>
  <c r="DA171" i="47"/>
  <c r="CZ171" i="47"/>
  <c r="CY171" i="47"/>
  <c r="CX171" i="47"/>
  <c r="CW171" i="47"/>
  <c r="CV171" i="47"/>
  <c r="CU171" i="47"/>
  <c r="CT171" i="47"/>
  <c r="CS171" i="47"/>
  <c r="CR171" i="47"/>
  <c r="CQ171" i="47"/>
  <c r="CP171" i="47"/>
  <c r="CO171" i="47"/>
  <c r="S171" i="47"/>
  <c r="DA170" i="47"/>
  <c r="CZ170" i="47"/>
  <c r="CY170" i="47"/>
  <c r="CX170" i="47"/>
  <c r="CW170" i="47"/>
  <c r="CV170" i="47"/>
  <c r="CU170" i="47"/>
  <c r="CT170" i="47"/>
  <c r="CS170" i="47"/>
  <c r="CR170" i="47"/>
  <c r="CQ170" i="47"/>
  <c r="CP170" i="47"/>
  <c r="CO170" i="47"/>
  <c r="S170" i="47"/>
  <c r="DA169" i="47"/>
  <c r="CZ169" i="47"/>
  <c r="CY169" i="47"/>
  <c r="CX169" i="47"/>
  <c r="CW169" i="47"/>
  <c r="CV169" i="47"/>
  <c r="CU169" i="47"/>
  <c r="CT169" i="47"/>
  <c r="CS169" i="47"/>
  <c r="CR169" i="47"/>
  <c r="CQ169" i="47"/>
  <c r="CP169" i="47"/>
  <c r="CO169" i="47"/>
  <c r="S169" i="47"/>
  <c r="DA168" i="47"/>
  <c r="CZ168" i="47"/>
  <c r="CY168" i="47"/>
  <c r="CX168" i="47"/>
  <c r="CW168" i="47"/>
  <c r="CV168" i="47"/>
  <c r="CU168" i="47"/>
  <c r="CT168" i="47"/>
  <c r="CS168" i="47"/>
  <c r="CR168" i="47"/>
  <c r="CQ168" i="47"/>
  <c r="CP168" i="47"/>
  <c r="CO168" i="47"/>
  <c r="S168" i="47"/>
  <c r="DA167" i="47"/>
  <c r="CZ167" i="47"/>
  <c r="CY167" i="47"/>
  <c r="CX167" i="47"/>
  <c r="CW167" i="47"/>
  <c r="CV167" i="47"/>
  <c r="CU167" i="47"/>
  <c r="CT167" i="47"/>
  <c r="CS167" i="47"/>
  <c r="CR167" i="47"/>
  <c r="CQ167" i="47"/>
  <c r="CP167" i="47"/>
  <c r="CO167" i="47"/>
  <c r="S167" i="47"/>
  <c r="DA166" i="47"/>
  <c r="CZ166" i="47"/>
  <c r="CY166" i="47"/>
  <c r="CX166" i="47"/>
  <c r="CW166" i="47"/>
  <c r="CV166" i="47"/>
  <c r="CU166" i="47"/>
  <c r="CT166" i="47"/>
  <c r="CS166" i="47"/>
  <c r="CR166" i="47"/>
  <c r="CQ166" i="47"/>
  <c r="CP166" i="47"/>
  <c r="CO166" i="47"/>
  <c r="S166" i="47"/>
  <c r="DA165" i="47"/>
  <c r="CZ165" i="47"/>
  <c r="CY165" i="47"/>
  <c r="CX165" i="47"/>
  <c r="CW165" i="47"/>
  <c r="CV165" i="47"/>
  <c r="CU165" i="47"/>
  <c r="CT165" i="47"/>
  <c r="CS165" i="47"/>
  <c r="CR165" i="47"/>
  <c r="CQ165" i="47"/>
  <c r="CP165" i="47"/>
  <c r="CO165" i="47"/>
  <c r="S165" i="47"/>
  <c r="DA164" i="47"/>
  <c r="CZ164" i="47"/>
  <c r="CY164" i="47"/>
  <c r="CX164" i="47"/>
  <c r="CW164" i="47"/>
  <c r="CV164" i="47"/>
  <c r="CU164" i="47"/>
  <c r="CT164" i="47"/>
  <c r="CS164" i="47"/>
  <c r="CR164" i="47"/>
  <c r="CQ164" i="47"/>
  <c r="CP164" i="47"/>
  <c r="CO164" i="47"/>
  <c r="S164" i="47"/>
  <c r="DA163" i="47"/>
  <c r="CZ163" i="47"/>
  <c r="CY163" i="47"/>
  <c r="CX163" i="47"/>
  <c r="CW163" i="47"/>
  <c r="CV163" i="47"/>
  <c r="CU163" i="47"/>
  <c r="CT163" i="47"/>
  <c r="CS163" i="47"/>
  <c r="CR163" i="47"/>
  <c r="CQ163" i="47"/>
  <c r="CP163" i="47"/>
  <c r="CO163" i="47"/>
  <c r="S163" i="47"/>
  <c r="EW162" i="47"/>
  <c r="DA162" i="47"/>
  <c r="CZ162" i="47"/>
  <c r="CY162" i="47"/>
  <c r="CX162" i="47"/>
  <c r="CW162" i="47"/>
  <c r="CV162" i="47"/>
  <c r="CU162" i="47"/>
  <c r="CT162" i="47"/>
  <c r="CS162" i="47"/>
  <c r="CR162" i="47"/>
  <c r="CQ162" i="47"/>
  <c r="CP162" i="47"/>
  <c r="CO162" i="47"/>
  <c r="S162" i="47"/>
  <c r="EW161" i="47"/>
  <c r="DA161" i="47"/>
  <c r="CZ161" i="47"/>
  <c r="CY161" i="47"/>
  <c r="CX161" i="47"/>
  <c r="CW161" i="47"/>
  <c r="CV161" i="47"/>
  <c r="CU161" i="47"/>
  <c r="CT161" i="47"/>
  <c r="CS161" i="47"/>
  <c r="CR161" i="47"/>
  <c r="CQ161" i="47"/>
  <c r="CP161" i="47"/>
  <c r="CO161" i="47"/>
  <c r="S161" i="47"/>
  <c r="DA160" i="47"/>
  <c r="CZ160" i="47"/>
  <c r="CY160" i="47"/>
  <c r="CX160" i="47"/>
  <c r="CW160" i="47"/>
  <c r="CV160" i="47"/>
  <c r="CU160" i="47"/>
  <c r="CT160" i="47"/>
  <c r="CS160" i="47"/>
  <c r="CR160" i="47"/>
  <c r="CQ160" i="47"/>
  <c r="CP160" i="47"/>
  <c r="CO160" i="47"/>
  <c r="S160" i="47"/>
  <c r="EW159" i="47"/>
  <c r="DA159" i="47"/>
  <c r="CZ159" i="47"/>
  <c r="CY159" i="47"/>
  <c r="CX159" i="47"/>
  <c r="CW159" i="47"/>
  <c r="CV159" i="47"/>
  <c r="CU159" i="47"/>
  <c r="CT159" i="47"/>
  <c r="CS159" i="47"/>
  <c r="CR159" i="47"/>
  <c r="CQ159" i="47"/>
  <c r="CP159" i="47"/>
  <c r="CO159" i="47"/>
  <c r="S159" i="47"/>
  <c r="DA45" i="47"/>
  <c r="CZ45" i="47"/>
  <c r="CY45" i="47"/>
  <c r="CX45" i="47"/>
  <c r="CW45" i="47"/>
  <c r="CV45" i="47"/>
  <c r="CU45" i="47"/>
  <c r="CT45" i="47"/>
  <c r="CS45" i="47"/>
  <c r="CR45" i="47"/>
  <c r="CQ45" i="47"/>
  <c r="CP45" i="47"/>
  <c r="CO45" i="47"/>
  <c r="S45" i="47"/>
  <c r="DA44" i="47"/>
  <c r="CZ44" i="47"/>
  <c r="CY44" i="47"/>
  <c r="CX44" i="47"/>
  <c r="CW44" i="47"/>
  <c r="CV44" i="47"/>
  <c r="CU44" i="47"/>
  <c r="CT44" i="47"/>
  <c r="CS44" i="47"/>
  <c r="CR44" i="47"/>
  <c r="CQ44" i="47"/>
  <c r="CP44" i="47"/>
  <c r="CO44" i="47"/>
  <c r="S44" i="47"/>
  <c r="DA43" i="47"/>
  <c r="CZ43" i="47"/>
  <c r="CY43" i="47"/>
  <c r="CX43" i="47"/>
  <c r="CW43" i="47"/>
  <c r="CV43" i="47"/>
  <c r="CU43" i="47"/>
  <c r="CT43" i="47"/>
  <c r="CS43" i="47"/>
  <c r="CR43" i="47"/>
  <c r="CQ43" i="47"/>
  <c r="CP43" i="47"/>
  <c r="CO43" i="47"/>
  <c r="S43" i="47"/>
  <c r="DA42" i="47"/>
  <c r="CZ42" i="47"/>
  <c r="CY42" i="47"/>
  <c r="CX42" i="47"/>
  <c r="CW42" i="47"/>
  <c r="CV42" i="47"/>
  <c r="CU42" i="47"/>
  <c r="CT42" i="47"/>
  <c r="CS42" i="47"/>
  <c r="CR42" i="47"/>
  <c r="CQ42" i="47"/>
  <c r="CP42" i="47"/>
  <c r="CO42" i="47"/>
  <c r="S42" i="47"/>
  <c r="DA41" i="47"/>
  <c r="CZ41" i="47"/>
  <c r="CY41" i="47"/>
  <c r="CX41" i="47"/>
  <c r="CW41" i="47"/>
  <c r="CV41" i="47"/>
  <c r="CU41" i="47"/>
  <c r="CT41" i="47"/>
  <c r="CS41" i="47"/>
  <c r="CR41" i="47"/>
  <c r="CQ41" i="47"/>
  <c r="CP41" i="47"/>
  <c r="CO41" i="47"/>
  <c r="S41" i="47"/>
  <c r="DA40" i="47"/>
  <c r="CZ40" i="47"/>
  <c r="CY40" i="47"/>
  <c r="CX40" i="47"/>
  <c r="CW40" i="47"/>
  <c r="CV40" i="47"/>
  <c r="CU40" i="47"/>
  <c r="CT40" i="47"/>
  <c r="CS40" i="47"/>
  <c r="CR40" i="47"/>
  <c r="CQ40" i="47"/>
  <c r="CP40" i="47"/>
  <c r="CO40" i="47"/>
  <c r="S40" i="47"/>
  <c r="DA39" i="47"/>
  <c r="CZ39" i="47"/>
  <c r="CY39" i="47"/>
  <c r="CX39" i="47"/>
  <c r="CW39" i="47"/>
  <c r="CV39" i="47"/>
  <c r="CU39" i="47"/>
  <c r="CT39" i="47"/>
  <c r="CS39" i="47"/>
  <c r="CR39" i="47"/>
  <c r="CQ39" i="47"/>
  <c r="CP39" i="47"/>
  <c r="CO39" i="47"/>
  <c r="S39" i="47"/>
  <c r="DA38" i="47"/>
  <c r="CZ38" i="47"/>
  <c r="CY38" i="47"/>
  <c r="CX38" i="47"/>
  <c r="CW38" i="47"/>
  <c r="CV38" i="47"/>
  <c r="CU38" i="47"/>
  <c r="CT38" i="47"/>
  <c r="CS38" i="47"/>
  <c r="CR38" i="47"/>
  <c r="CQ38" i="47"/>
  <c r="CP38" i="47"/>
  <c r="CO38" i="47"/>
  <c r="S38" i="47"/>
  <c r="EW37" i="47"/>
  <c r="DA37" i="47"/>
  <c r="CZ37" i="47"/>
  <c r="CY37" i="47"/>
  <c r="CX37" i="47"/>
  <c r="CW37" i="47"/>
  <c r="CV37" i="47"/>
  <c r="CU37" i="47"/>
  <c r="CT37" i="47"/>
  <c r="CS37" i="47"/>
  <c r="CR37" i="47"/>
  <c r="CQ37" i="47"/>
  <c r="CP37" i="47"/>
  <c r="CO37" i="47"/>
  <c r="S37" i="47"/>
  <c r="EW36" i="47"/>
  <c r="DA36" i="47"/>
  <c r="CZ36" i="47"/>
  <c r="CY36" i="47"/>
  <c r="CX36" i="47"/>
  <c r="CW36" i="47"/>
  <c r="CV36" i="47"/>
  <c r="CU36" i="47"/>
  <c r="CT36" i="47"/>
  <c r="CS36" i="47"/>
  <c r="CR36" i="47"/>
  <c r="CQ36" i="47"/>
  <c r="CP36" i="47"/>
  <c r="CO36" i="47"/>
  <c r="S36" i="47"/>
  <c r="EW35" i="47"/>
  <c r="DA35" i="47"/>
  <c r="CZ35" i="47"/>
  <c r="CY35" i="47"/>
  <c r="CX35" i="47"/>
  <c r="CW35" i="47"/>
  <c r="CV35" i="47"/>
  <c r="CU35" i="47"/>
  <c r="CT35" i="47"/>
  <c r="CS35" i="47"/>
  <c r="CR35" i="47"/>
  <c r="CQ35" i="47"/>
  <c r="CP35" i="47"/>
  <c r="CO35" i="47"/>
  <c r="S35" i="47"/>
  <c r="EW34" i="47"/>
  <c r="DA34" i="47"/>
  <c r="CZ34" i="47"/>
  <c r="CY34" i="47"/>
  <c r="CX34" i="47"/>
  <c r="CW34" i="47"/>
  <c r="CV34" i="47"/>
  <c r="CU34" i="47"/>
  <c r="CT34" i="47"/>
  <c r="CS34" i="47"/>
  <c r="CR34" i="47"/>
  <c r="CQ34" i="47"/>
  <c r="CP34" i="47"/>
  <c r="CO34" i="47"/>
  <c r="S34" i="47"/>
  <c r="EW33" i="47"/>
  <c r="DA33" i="47"/>
  <c r="CZ33" i="47"/>
  <c r="CY33" i="47"/>
  <c r="CX33" i="47"/>
  <c r="CW33" i="47"/>
  <c r="CV33" i="47"/>
  <c r="CU33" i="47"/>
  <c r="CT33" i="47"/>
  <c r="CS33" i="47"/>
  <c r="CR33" i="47"/>
  <c r="CQ33" i="47"/>
  <c r="CP33" i="47"/>
  <c r="CO33" i="47"/>
  <c r="S33" i="47"/>
  <c r="EW32" i="47"/>
  <c r="DA32" i="47"/>
  <c r="CZ32" i="47"/>
  <c r="CY32" i="47"/>
  <c r="CX32" i="47"/>
  <c r="CW32" i="47"/>
  <c r="CV32" i="47"/>
  <c r="CU32" i="47"/>
  <c r="CT32" i="47"/>
  <c r="CS32" i="47"/>
  <c r="CR32" i="47"/>
  <c r="CQ32" i="47"/>
  <c r="CP32" i="47"/>
  <c r="CO32" i="47"/>
  <c r="S32" i="47"/>
  <c r="EW31" i="47"/>
  <c r="DA31" i="47"/>
  <c r="CZ31" i="47"/>
  <c r="CY31" i="47"/>
  <c r="CX31" i="47"/>
  <c r="CW31" i="47"/>
  <c r="CV31" i="47"/>
  <c r="CU31" i="47"/>
  <c r="CT31" i="47"/>
  <c r="CS31" i="47"/>
  <c r="CR31" i="47"/>
  <c r="CQ31" i="47"/>
  <c r="CP31" i="47"/>
  <c r="CO31" i="47"/>
  <c r="S31" i="47"/>
  <c r="DA30" i="47"/>
  <c r="CZ30" i="47"/>
  <c r="CY30" i="47"/>
  <c r="CX30" i="47"/>
  <c r="CW30" i="47"/>
  <c r="CV30" i="47"/>
  <c r="CU30" i="47"/>
  <c r="CT30" i="47"/>
  <c r="CS30" i="47"/>
  <c r="CR30" i="47"/>
  <c r="CQ30" i="47"/>
  <c r="CP30" i="47"/>
  <c r="CO30" i="47"/>
  <c r="S30" i="47"/>
  <c r="DA29" i="47"/>
  <c r="CZ29" i="47"/>
  <c r="CY29" i="47"/>
  <c r="CX29" i="47"/>
  <c r="CW29" i="47"/>
  <c r="CV29" i="47"/>
  <c r="CU29" i="47"/>
  <c r="CT29" i="47"/>
  <c r="CS29" i="47"/>
  <c r="CR29" i="47"/>
  <c r="CQ29" i="47"/>
  <c r="CP29" i="47"/>
  <c r="CO29" i="47"/>
  <c r="S29" i="47"/>
  <c r="EW28" i="47"/>
  <c r="DA28" i="47"/>
  <c r="CZ28" i="47"/>
  <c r="CY28" i="47"/>
  <c r="CX28" i="47"/>
  <c r="CW28" i="47"/>
  <c r="CV28" i="47"/>
  <c r="CU28" i="47"/>
  <c r="CT28" i="47"/>
  <c r="CS28" i="47"/>
  <c r="CR28" i="47"/>
  <c r="CQ28" i="47"/>
  <c r="CP28" i="47"/>
  <c r="CO28" i="47"/>
  <c r="S28" i="47"/>
  <c r="DA20" i="47"/>
  <c r="CZ20" i="47"/>
  <c r="CY20" i="47"/>
  <c r="CX20" i="47"/>
  <c r="CW20" i="47"/>
  <c r="CV20" i="47"/>
  <c r="CU20" i="47"/>
  <c r="CT20" i="47"/>
  <c r="CS20" i="47"/>
  <c r="CR20" i="47"/>
  <c r="CQ20" i="47"/>
  <c r="CP20" i="47"/>
  <c r="CO20" i="47"/>
  <c r="S20" i="47"/>
  <c r="DA19" i="47"/>
  <c r="CZ19" i="47"/>
  <c r="CY19" i="47"/>
  <c r="CX19" i="47"/>
  <c r="CW19" i="47"/>
  <c r="CV19" i="47"/>
  <c r="CU19" i="47"/>
  <c r="CT19" i="47"/>
  <c r="CS19" i="47"/>
  <c r="CR19" i="47"/>
  <c r="CQ19" i="47"/>
  <c r="CP19" i="47"/>
  <c r="CO19" i="47"/>
  <c r="S19" i="47"/>
  <c r="DA103" i="47"/>
  <c r="CZ103" i="47"/>
  <c r="CY103" i="47"/>
  <c r="CX103" i="47"/>
  <c r="CW103" i="47"/>
  <c r="CV103" i="47"/>
  <c r="CU103" i="47"/>
  <c r="CT103" i="47"/>
  <c r="CS103" i="47"/>
  <c r="CR103" i="47"/>
  <c r="CQ103" i="47"/>
  <c r="CP103" i="47"/>
  <c r="CO103" i="47"/>
  <c r="S103" i="47"/>
  <c r="DA102" i="47"/>
  <c r="CZ102" i="47"/>
  <c r="CY102" i="47"/>
  <c r="CX102" i="47"/>
  <c r="CW102" i="47"/>
  <c r="CV102" i="47"/>
  <c r="CU102" i="47"/>
  <c r="CT102" i="47"/>
  <c r="CS102" i="47"/>
  <c r="CR102" i="47"/>
  <c r="CQ102" i="47"/>
  <c r="CP102" i="47"/>
  <c r="CO102" i="47"/>
  <c r="S102" i="47"/>
  <c r="DA101" i="47"/>
  <c r="CZ101" i="47"/>
  <c r="CY101" i="47"/>
  <c r="CX101" i="47"/>
  <c r="CW101" i="47"/>
  <c r="CV101" i="47"/>
  <c r="CU101" i="47"/>
  <c r="CT101" i="47"/>
  <c r="CS101" i="47"/>
  <c r="CR101" i="47"/>
  <c r="CQ101" i="47"/>
  <c r="CP101" i="47"/>
  <c r="CO101" i="47"/>
  <c r="S101" i="47"/>
  <c r="EW100" i="47"/>
  <c r="DA100" i="47"/>
  <c r="CZ100" i="47"/>
  <c r="CY100" i="47"/>
  <c r="CX100" i="47"/>
  <c r="CW100" i="47"/>
  <c r="CV100" i="47"/>
  <c r="CU100" i="47"/>
  <c r="CT100" i="47"/>
  <c r="CS100" i="47"/>
  <c r="CR100" i="47"/>
  <c r="CQ100" i="47"/>
  <c r="CP100" i="47"/>
  <c r="CO100" i="47"/>
  <c r="S100" i="47"/>
  <c r="EW99" i="47"/>
  <c r="DA99" i="47"/>
  <c r="CZ99" i="47"/>
  <c r="CY99" i="47"/>
  <c r="CX99" i="47"/>
  <c r="CW99" i="47"/>
  <c r="CV99" i="47"/>
  <c r="CU99" i="47"/>
  <c r="CT99" i="47"/>
  <c r="CS99" i="47"/>
  <c r="CR99" i="47"/>
  <c r="CQ99" i="47"/>
  <c r="CP99" i="47"/>
  <c r="CO99" i="47"/>
  <c r="S99" i="47"/>
  <c r="EW98" i="47"/>
  <c r="DA98" i="47"/>
  <c r="CZ98" i="47"/>
  <c r="CY98" i="47"/>
  <c r="CX98" i="47"/>
  <c r="CW98" i="47"/>
  <c r="CV98" i="47"/>
  <c r="CU98" i="47"/>
  <c r="CT98" i="47"/>
  <c r="CS98" i="47"/>
  <c r="CR98" i="47"/>
  <c r="CQ98" i="47"/>
  <c r="CP98" i="47"/>
  <c r="CO98" i="47"/>
  <c r="S98" i="47"/>
  <c r="EW97" i="47"/>
  <c r="DA97" i="47"/>
  <c r="CZ97" i="47"/>
  <c r="CY97" i="47"/>
  <c r="CX97" i="47"/>
  <c r="CW97" i="47"/>
  <c r="CV97" i="47"/>
  <c r="CU97" i="47"/>
  <c r="CT97" i="47"/>
  <c r="CS97" i="47"/>
  <c r="CR97" i="47"/>
  <c r="CQ97" i="47"/>
  <c r="CP97" i="47"/>
  <c r="CO97" i="47"/>
  <c r="S97" i="47"/>
  <c r="EW96" i="47"/>
  <c r="DA96" i="47"/>
  <c r="CZ96" i="47"/>
  <c r="CY96" i="47"/>
  <c r="CX96" i="47"/>
  <c r="CW96" i="47"/>
  <c r="CV96" i="47"/>
  <c r="CU96" i="47"/>
  <c r="CT96" i="47"/>
  <c r="CS96" i="47"/>
  <c r="CR96" i="47"/>
  <c r="CQ96" i="47"/>
  <c r="CP96" i="47"/>
  <c r="CO96" i="47"/>
  <c r="S96" i="47"/>
  <c r="EW95" i="47"/>
  <c r="DA95" i="47"/>
  <c r="CZ95" i="47"/>
  <c r="CY95" i="47"/>
  <c r="CX95" i="47"/>
  <c r="CW95" i="47"/>
  <c r="CV95" i="47"/>
  <c r="CU95" i="47"/>
  <c r="CT95" i="47"/>
  <c r="CS95" i="47"/>
  <c r="CR95" i="47"/>
  <c r="CQ95" i="47"/>
  <c r="CP95" i="47"/>
  <c r="CO95" i="47"/>
  <c r="S95" i="47"/>
  <c r="DA94" i="47"/>
  <c r="CZ94" i="47"/>
  <c r="CY94" i="47"/>
  <c r="CX94" i="47"/>
  <c r="CW94" i="47"/>
  <c r="CV94" i="47"/>
  <c r="CU94" i="47"/>
  <c r="CT94" i="47"/>
  <c r="CS94" i="47"/>
  <c r="CR94" i="47"/>
  <c r="CQ94" i="47"/>
  <c r="CP94" i="47"/>
  <c r="CO94" i="47"/>
  <c r="S94" i="47"/>
  <c r="DA93" i="47"/>
  <c r="CZ93" i="47"/>
  <c r="CY93" i="47"/>
  <c r="CX93" i="47"/>
  <c r="CW93" i="47"/>
  <c r="CV93" i="47"/>
  <c r="CU93" i="47"/>
  <c r="CT93" i="47"/>
  <c r="CS93" i="47"/>
  <c r="CR93" i="47"/>
  <c r="CQ93" i="47"/>
  <c r="CP93" i="47"/>
  <c r="CO93" i="47"/>
  <c r="S93" i="47"/>
  <c r="DA92" i="47"/>
  <c r="CZ92" i="47"/>
  <c r="CY92" i="47"/>
  <c r="CX92" i="47"/>
  <c r="CW92" i="47"/>
  <c r="CV92" i="47"/>
  <c r="CU92" i="47"/>
  <c r="CT92" i="47"/>
  <c r="CS92" i="47"/>
  <c r="CR92" i="47"/>
  <c r="CQ92" i="47"/>
  <c r="CP92" i="47"/>
  <c r="CO92" i="47"/>
  <c r="S92" i="47"/>
  <c r="DA62" i="47"/>
  <c r="CZ62" i="47"/>
  <c r="CY62" i="47"/>
  <c r="CX62" i="47"/>
  <c r="CW62" i="47"/>
  <c r="CV62" i="47"/>
  <c r="CU62" i="47"/>
  <c r="CT62" i="47"/>
  <c r="CS62" i="47"/>
  <c r="CR62" i="47"/>
  <c r="CQ62" i="47"/>
  <c r="CP62" i="47"/>
  <c r="CO62" i="47"/>
  <c r="S62" i="47"/>
  <c r="DA61" i="47"/>
  <c r="CZ61" i="47"/>
  <c r="CY61" i="47"/>
  <c r="CX61" i="47"/>
  <c r="CW61" i="47"/>
  <c r="CV61" i="47"/>
  <c r="CU61" i="47"/>
  <c r="CT61" i="47"/>
  <c r="CS61" i="47"/>
  <c r="CR61" i="47"/>
  <c r="CQ61" i="47"/>
  <c r="CP61" i="47"/>
  <c r="CO61" i="47"/>
  <c r="S61" i="47"/>
  <c r="EW60" i="47"/>
  <c r="DA60" i="47"/>
  <c r="CZ60" i="47"/>
  <c r="CY60" i="47"/>
  <c r="CX60" i="47"/>
  <c r="CW60" i="47"/>
  <c r="CV60" i="47"/>
  <c r="CU60" i="47"/>
  <c r="CT60" i="47"/>
  <c r="CS60" i="47"/>
  <c r="CR60" i="47"/>
  <c r="CQ60" i="47"/>
  <c r="CP60" i="47"/>
  <c r="CO60" i="47"/>
  <c r="S60" i="47"/>
  <c r="EW59" i="47"/>
  <c r="DA59" i="47"/>
  <c r="CZ59" i="47"/>
  <c r="CY59" i="47"/>
  <c r="CX59" i="47"/>
  <c r="CW59" i="47"/>
  <c r="CV59" i="47"/>
  <c r="CU59" i="47"/>
  <c r="CT59" i="47"/>
  <c r="CS59" i="47"/>
  <c r="CR59" i="47"/>
  <c r="CQ59" i="47"/>
  <c r="CP59" i="47"/>
  <c r="CO59" i="47"/>
  <c r="S59" i="47"/>
  <c r="EW58" i="47"/>
  <c r="DA58" i="47"/>
  <c r="CZ58" i="47"/>
  <c r="CY58" i="47"/>
  <c r="CX58" i="47"/>
  <c r="CW58" i="47"/>
  <c r="CV58" i="47"/>
  <c r="CU58" i="47"/>
  <c r="CT58" i="47"/>
  <c r="CS58" i="47"/>
  <c r="CR58" i="47"/>
  <c r="CQ58" i="47"/>
  <c r="CP58" i="47"/>
  <c r="CO58" i="47"/>
  <c r="S58" i="47"/>
  <c r="EW57" i="47"/>
  <c r="DA57" i="47"/>
  <c r="CZ57" i="47"/>
  <c r="CY57" i="47"/>
  <c r="CX57" i="47"/>
  <c r="CW57" i="47"/>
  <c r="CV57" i="47"/>
  <c r="CU57" i="47"/>
  <c r="CT57" i="47"/>
  <c r="CS57" i="47"/>
  <c r="CR57" i="47"/>
  <c r="CQ57" i="47"/>
  <c r="CP57" i="47"/>
  <c r="CO57" i="47"/>
  <c r="S57" i="47"/>
  <c r="DA56" i="47"/>
  <c r="CZ56" i="47"/>
  <c r="CY56" i="47"/>
  <c r="CX56" i="47"/>
  <c r="CW56" i="47"/>
  <c r="CV56" i="47"/>
  <c r="CU56" i="47"/>
  <c r="CT56" i="47"/>
  <c r="CS56" i="47"/>
  <c r="CR56" i="47"/>
  <c r="CQ56" i="47"/>
  <c r="CP56" i="47"/>
  <c r="CO56" i="47"/>
  <c r="S56" i="47"/>
  <c r="DA55" i="47"/>
  <c r="CZ55" i="47"/>
  <c r="CY55" i="47"/>
  <c r="CX55" i="47"/>
  <c r="CW55" i="47"/>
  <c r="CV55" i="47"/>
  <c r="CU55" i="47"/>
  <c r="CT55" i="47"/>
  <c r="CS55" i="47"/>
  <c r="CR55" i="47"/>
  <c r="CQ55" i="47"/>
  <c r="CP55" i="47"/>
  <c r="CO55" i="47"/>
  <c r="S55" i="47"/>
  <c r="EW54" i="47"/>
  <c r="DA54" i="47"/>
  <c r="CZ54" i="47"/>
  <c r="CY54" i="47"/>
  <c r="CX54" i="47"/>
  <c r="CW54" i="47"/>
  <c r="CV54" i="47"/>
  <c r="CU54" i="47"/>
  <c r="CT54" i="47"/>
  <c r="CS54" i="47"/>
  <c r="CR54" i="47"/>
  <c r="CQ54" i="47"/>
  <c r="CP54" i="47"/>
  <c r="CO54" i="47"/>
  <c r="S54" i="47"/>
  <c r="EW53" i="47"/>
  <c r="DA53" i="47"/>
  <c r="CZ53" i="47"/>
  <c r="CY53" i="47"/>
  <c r="CX53" i="47"/>
  <c r="CW53" i="47"/>
  <c r="CV53" i="47"/>
  <c r="CU53" i="47"/>
  <c r="CT53" i="47"/>
  <c r="CS53" i="47"/>
  <c r="CR53" i="47"/>
  <c r="CQ53" i="47"/>
  <c r="CP53" i="47"/>
  <c r="CO53" i="47"/>
  <c r="S53" i="47"/>
  <c r="EW52" i="47"/>
  <c r="DA52" i="47"/>
  <c r="CZ52" i="47"/>
  <c r="CY52" i="47"/>
  <c r="CX52" i="47"/>
  <c r="CW52" i="47"/>
  <c r="CV52" i="47"/>
  <c r="CU52" i="47"/>
  <c r="CT52" i="47"/>
  <c r="CS52" i="47"/>
  <c r="CR52" i="47"/>
  <c r="CQ52" i="47"/>
  <c r="CP52" i="47"/>
  <c r="CO52" i="47"/>
  <c r="S52" i="47"/>
  <c r="DA51" i="47"/>
  <c r="CZ51" i="47"/>
  <c r="CY51" i="47"/>
  <c r="CX51" i="47"/>
  <c r="CW51" i="47"/>
  <c r="CV51" i="47"/>
  <c r="CU51" i="47"/>
  <c r="CT51" i="47"/>
  <c r="CS51" i="47"/>
  <c r="CR51" i="47"/>
  <c r="CQ51" i="47"/>
  <c r="CP51" i="47"/>
  <c r="CO51" i="47"/>
  <c r="S51" i="47"/>
  <c r="DA50" i="47"/>
  <c r="CZ50" i="47"/>
  <c r="CY50" i="47"/>
  <c r="CX50" i="47"/>
  <c r="CW50" i="47"/>
  <c r="CV50" i="47"/>
  <c r="CU50" i="47"/>
  <c r="CT50" i="47"/>
  <c r="CS50" i="47"/>
  <c r="CR50" i="47"/>
  <c r="CQ50" i="47"/>
  <c r="CP50" i="47"/>
  <c r="CO50" i="47"/>
  <c r="S50" i="47"/>
  <c r="DA49" i="47"/>
  <c r="CZ49" i="47"/>
  <c r="CY49" i="47"/>
  <c r="CX49" i="47"/>
  <c r="CW49" i="47"/>
  <c r="CV49" i="47"/>
  <c r="CU49" i="47"/>
  <c r="CT49" i="47"/>
  <c r="CS49" i="47"/>
  <c r="CR49" i="47"/>
  <c r="CQ49" i="47"/>
  <c r="CP49" i="47"/>
  <c r="CO49" i="47"/>
  <c r="S49" i="47"/>
  <c r="EW48" i="47"/>
  <c r="DA48" i="47"/>
  <c r="CZ48" i="47"/>
  <c r="CY48" i="47"/>
  <c r="CX48" i="47"/>
  <c r="CW48" i="47"/>
  <c r="CV48" i="47"/>
  <c r="CU48" i="47"/>
  <c r="CT48" i="47"/>
  <c r="CS48" i="47"/>
  <c r="CR48" i="47"/>
  <c r="CQ48" i="47"/>
  <c r="CP48" i="47"/>
  <c r="CO48" i="47"/>
  <c r="S48" i="47"/>
  <c r="DA47" i="47"/>
  <c r="CZ47" i="47"/>
  <c r="CY47" i="47"/>
  <c r="CX47" i="47"/>
  <c r="CW47" i="47"/>
  <c r="CV47" i="47"/>
  <c r="CU47" i="47"/>
  <c r="CT47" i="47"/>
  <c r="CS47" i="47"/>
  <c r="CR47" i="47"/>
  <c r="CQ47" i="47"/>
  <c r="CP47" i="47"/>
  <c r="CO47" i="47"/>
  <c r="S47" i="47"/>
  <c r="EW46" i="47"/>
  <c r="DA46" i="47"/>
  <c r="CZ46" i="47"/>
  <c r="CY46" i="47"/>
  <c r="CX46" i="47"/>
  <c r="CW46" i="47"/>
  <c r="CV46" i="47"/>
  <c r="CU46" i="47"/>
  <c r="CT46" i="47"/>
  <c r="CS46" i="47"/>
  <c r="CR46" i="47"/>
  <c r="CQ46" i="47"/>
  <c r="CP46" i="47"/>
  <c r="CO46" i="47"/>
  <c r="S46" i="47"/>
  <c r="DA121" i="47"/>
  <c r="CZ121" i="47"/>
  <c r="CY121" i="47"/>
  <c r="CX121" i="47"/>
  <c r="CW121" i="47"/>
  <c r="CV121" i="47"/>
  <c r="CU121" i="47"/>
  <c r="CT121" i="47"/>
  <c r="CS121" i="47"/>
  <c r="CR121" i="47"/>
  <c r="CQ121" i="47"/>
  <c r="CP121" i="47"/>
  <c r="CO121" i="47"/>
  <c r="S121" i="47"/>
  <c r="EW120" i="47"/>
  <c r="DA120" i="47"/>
  <c r="CZ120" i="47"/>
  <c r="CY120" i="47"/>
  <c r="CX120" i="47"/>
  <c r="CW120" i="47"/>
  <c r="CV120" i="47"/>
  <c r="CU120" i="47"/>
  <c r="CT120" i="47"/>
  <c r="CS120" i="47"/>
  <c r="CR120" i="47"/>
  <c r="CQ120" i="47"/>
  <c r="CP120" i="47"/>
  <c r="CO120" i="47"/>
  <c r="S120" i="47"/>
  <c r="EW119" i="47"/>
  <c r="DA119" i="47"/>
  <c r="CZ119" i="47"/>
  <c r="CY119" i="47"/>
  <c r="CX119" i="47"/>
  <c r="CW119" i="47"/>
  <c r="CV119" i="47"/>
  <c r="CU119" i="47"/>
  <c r="CT119" i="47"/>
  <c r="CS119" i="47"/>
  <c r="CR119" i="47"/>
  <c r="CQ119" i="47"/>
  <c r="CP119" i="47"/>
  <c r="CO119" i="47"/>
  <c r="S119" i="47"/>
  <c r="DA118" i="47"/>
  <c r="CZ118" i="47"/>
  <c r="CY118" i="47"/>
  <c r="CX118" i="47"/>
  <c r="CW118" i="47"/>
  <c r="CV118" i="47"/>
  <c r="CU118" i="47"/>
  <c r="CT118" i="47"/>
  <c r="CS118" i="47"/>
  <c r="CR118" i="47"/>
  <c r="CQ118" i="47"/>
  <c r="CP118" i="47"/>
  <c r="CO118" i="47"/>
  <c r="S118" i="47"/>
  <c r="DA117" i="47"/>
  <c r="CZ117" i="47"/>
  <c r="CY117" i="47"/>
  <c r="CX117" i="47"/>
  <c r="CW117" i="47"/>
  <c r="CV117" i="47"/>
  <c r="CU117" i="47"/>
  <c r="CT117" i="47"/>
  <c r="CS117" i="47"/>
  <c r="CR117" i="47"/>
  <c r="CQ117" i="47"/>
  <c r="CP117" i="47"/>
  <c r="CO117" i="47"/>
  <c r="S117" i="47"/>
  <c r="DA148" i="47"/>
  <c r="CZ148" i="47"/>
  <c r="CY148" i="47"/>
  <c r="CX148" i="47"/>
  <c r="CW148" i="47"/>
  <c r="CV148" i="47"/>
  <c r="CU148" i="47"/>
  <c r="CT148" i="47"/>
  <c r="CS148" i="47"/>
  <c r="CR148" i="47"/>
  <c r="CQ148" i="47"/>
  <c r="CP148" i="47"/>
  <c r="CO148" i="47"/>
  <c r="S148" i="47"/>
  <c r="DA147" i="47"/>
  <c r="CZ147" i="47"/>
  <c r="CY147" i="47"/>
  <c r="CX147" i="47"/>
  <c r="CW147" i="47"/>
  <c r="CV147" i="47"/>
  <c r="CU147" i="47"/>
  <c r="CT147" i="47"/>
  <c r="CS147" i="47"/>
  <c r="CR147" i="47"/>
  <c r="CQ147" i="47"/>
  <c r="CP147" i="47"/>
  <c r="CO147" i="47"/>
  <c r="S147" i="47"/>
  <c r="EW146" i="47"/>
  <c r="DA146" i="47"/>
  <c r="CZ146" i="47"/>
  <c r="CY146" i="47"/>
  <c r="CX146" i="47"/>
  <c r="CW146" i="47"/>
  <c r="CV146" i="47"/>
  <c r="CU146" i="47"/>
  <c r="CT146" i="47"/>
  <c r="CS146" i="47"/>
  <c r="CR146" i="47"/>
  <c r="CQ146" i="47"/>
  <c r="CP146" i="47"/>
  <c r="CO146" i="47"/>
  <c r="S146" i="47"/>
  <c r="EW145" i="47"/>
  <c r="DA145" i="47"/>
  <c r="CZ145" i="47"/>
  <c r="CY145" i="47"/>
  <c r="CX145" i="47"/>
  <c r="CW145" i="47"/>
  <c r="CV145" i="47"/>
  <c r="CU145" i="47"/>
  <c r="CT145" i="47"/>
  <c r="CS145" i="47"/>
  <c r="CR145" i="47"/>
  <c r="CQ145" i="47"/>
  <c r="CP145" i="47"/>
  <c r="CO145" i="47"/>
  <c r="S145" i="47"/>
  <c r="DA144" i="47"/>
  <c r="CZ144" i="47"/>
  <c r="CY144" i="47"/>
  <c r="CX144" i="47"/>
  <c r="CW144" i="47"/>
  <c r="CV144" i="47"/>
  <c r="CU144" i="47"/>
  <c r="CT144" i="47"/>
  <c r="CS144" i="47"/>
  <c r="CR144" i="47"/>
  <c r="CQ144" i="47"/>
  <c r="CP144" i="47"/>
  <c r="CO144" i="47"/>
  <c r="S144" i="47"/>
  <c r="DA143" i="47"/>
  <c r="CZ143" i="47"/>
  <c r="CY143" i="47"/>
  <c r="CX143" i="47"/>
  <c r="CW143" i="47"/>
  <c r="CV143" i="47"/>
  <c r="CU143" i="47"/>
  <c r="CT143" i="47"/>
  <c r="CS143" i="47"/>
  <c r="CR143" i="47"/>
  <c r="CQ143" i="47"/>
  <c r="CP143" i="47"/>
  <c r="CO143" i="47"/>
  <c r="S143" i="47"/>
  <c r="EW142" i="47"/>
  <c r="DA142" i="47"/>
  <c r="CZ142" i="47"/>
  <c r="CY142" i="47"/>
  <c r="CX142" i="47"/>
  <c r="CW142" i="47"/>
  <c r="CV142" i="47"/>
  <c r="CU142" i="47"/>
  <c r="CT142" i="47"/>
  <c r="CS142" i="47"/>
  <c r="CR142" i="47"/>
  <c r="CQ142" i="47"/>
  <c r="CP142" i="47"/>
  <c r="CO142" i="47"/>
  <c r="S142" i="47"/>
  <c r="DA141" i="47"/>
  <c r="CZ141" i="47"/>
  <c r="CY141" i="47"/>
  <c r="CX141" i="47"/>
  <c r="CW141" i="47"/>
  <c r="CV141" i="47"/>
  <c r="CU141" i="47"/>
  <c r="CT141" i="47"/>
  <c r="CS141" i="47"/>
  <c r="CR141" i="47"/>
  <c r="CQ141" i="47"/>
  <c r="CP141" i="47"/>
  <c r="CO141" i="47"/>
  <c r="S141" i="47"/>
  <c r="DA140" i="47"/>
  <c r="CZ140" i="47"/>
  <c r="CY140" i="47"/>
  <c r="CX140" i="47"/>
  <c r="CW140" i="47"/>
  <c r="CV140" i="47"/>
  <c r="CU140" i="47"/>
  <c r="CT140" i="47"/>
  <c r="CS140" i="47"/>
  <c r="CR140" i="47"/>
  <c r="CQ140" i="47"/>
  <c r="CP140" i="47"/>
  <c r="CO140" i="47"/>
  <c r="S140" i="47"/>
  <c r="EW139" i="47"/>
  <c r="DA139" i="47"/>
  <c r="CZ139" i="47"/>
  <c r="CY139" i="47"/>
  <c r="CX139" i="47"/>
  <c r="CW139" i="47"/>
  <c r="CV139" i="47"/>
  <c r="CU139" i="47"/>
  <c r="CT139" i="47"/>
  <c r="CS139" i="47"/>
  <c r="CR139" i="47"/>
  <c r="CQ139" i="47"/>
  <c r="CP139" i="47"/>
  <c r="CO139" i="47"/>
  <c r="S139" i="47"/>
  <c r="DA138" i="47"/>
  <c r="CZ138" i="47"/>
  <c r="CY138" i="47"/>
  <c r="CX138" i="47"/>
  <c r="CW138" i="47"/>
  <c r="CV138" i="47"/>
  <c r="CU138" i="47"/>
  <c r="CT138" i="47"/>
  <c r="CS138" i="47"/>
  <c r="CR138" i="47"/>
  <c r="CQ138" i="47"/>
  <c r="CP138" i="47"/>
  <c r="CO138" i="47"/>
  <c r="S138" i="47"/>
  <c r="EW137" i="47"/>
  <c r="DA137" i="47"/>
  <c r="CZ137" i="47"/>
  <c r="CY137" i="47"/>
  <c r="CX137" i="47"/>
  <c r="CW137" i="47"/>
  <c r="CV137" i="47"/>
  <c r="CU137" i="47"/>
  <c r="CT137" i="47"/>
  <c r="CS137" i="47"/>
  <c r="CR137" i="47"/>
  <c r="CQ137" i="47"/>
  <c r="CP137" i="47"/>
  <c r="CO137" i="47"/>
  <c r="S137" i="47"/>
  <c r="DA211" i="47"/>
  <c r="CZ211" i="47"/>
  <c r="CY211" i="47"/>
  <c r="CX211" i="47"/>
  <c r="CW211" i="47"/>
  <c r="CV211" i="47"/>
  <c r="CU211" i="47"/>
  <c r="CT211" i="47"/>
  <c r="CS211" i="47"/>
  <c r="CR211" i="47"/>
  <c r="CQ211" i="47"/>
  <c r="CP211" i="47"/>
  <c r="CO211" i="47"/>
  <c r="S211" i="47"/>
  <c r="DA210" i="47"/>
  <c r="CZ210" i="47"/>
  <c r="CY210" i="47"/>
  <c r="CX210" i="47"/>
  <c r="CW210" i="47"/>
  <c r="CV210" i="47"/>
  <c r="CU210" i="47"/>
  <c r="CT210" i="47"/>
  <c r="CS210" i="47"/>
  <c r="CR210" i="47"/>
  <c r="CQ210" i="47"/>
  <c r="CP210" i="47"/>
  <c r="CO210" i="47"/>
  <c r="S210" i="47"/>
  <c r="EW209" i="47"/>
  <c r="DA209" i="47"/>
  <c r="CZ209" i="47"/>
  <c r="CY209" i="47"/>
  <c r="CX209" i="47"/>
  <c r="CW209" i="47"/>
  <c r="CV209" i="47"/>
  <c r="CU209" i="47"/>
  <c r="CT209" i="47"/>
  <c r="CS209" i="47"/>
  <c r="CR209" i="47"/>
  <c r="CQ209" i="47"/>
  <c r="CP209" i="47"/>
  <c r="CO209" i="47"/>
  <c r="S209" i="47"/>
  <c r="EW208" i="47"/>
  <c r="DA208" i="47"/>
  <c r="CZ208" i="47"/>
  <c r="CY208" i="47"/>
  <c r="CX208" i="47"/>
  <c r="CW208" i="47"/>
  <c r="CV208" i="47"/>
  <c r="CU208" i="47"/>
  <c r="CT208" i="47"/>
  <c r="CS208" i="47"/>
  <c r="CR208" i="47"/>
  <c r="CQ208" i="47"/>
  <c r="CP208" i="47"/>
  <c r="CO208" i="47"/>
  <c r="S208" i="47"/>
  <c r="DA207" i="47"/>
  <c r="CZ207" i="47"/>
  <c r="CY207" i="47"/>
  <c r="CX207" i="47"/>
  <c r="CW207" i="47"/>
  <c r="CV207" i="47"/>
  <c r="CU207" i="47"/>
  <c r="CT207" i="47"/>
  <c r="CS207" i="47"/>
  <c r="CR207" i="47"/>
  <c r="CQ207" i="47"/>
  <c r="CP207" i="47"/>
  <c r="CO207" i="47"/>
  <c r="S207" i="47"/>
  <c r="DA206" i="47"/>
  <c r="CZ206" i="47"/>
  <c r="CY206" i="47"/>
  <c r="CX206" i="47"/>
  <c r="CW206" i="47"/>
  <c r="CV206" i="47"/>
  <c r="CU206" i="47"/>
  <c r="CT206" i="47"/>
  <c r="CS206" i="47"/>
  <c r="CR206" i="47"/>
  <c r="CQ206" i="47"/>
  <c r="CP206" i="47"/>
  <c r="CO206" i="47"/>
  <c r="S206" i="47"/>
  <c r="DA205" i="47"/>
  <c r="CZ205" i="47"/>
  <c r="CY205" i="47"/>
  <c r="CX205" i="47"/>
  <c r="CW205" i="47"/>
  <c r="CV205" i="47"/>
  <c r="CU205" i="47"/>
  <c r="CT205" i="47"/>
  <c r="CS205" i="47"/>
  <c r="CR205" i="47"/>
  <c r="CQ205" i="47"/>
  <c r="CP205" i="47"/>
  <c r="CO205" i="47"/>
  <c r="S205" i="47"/>
  <c r="DA204" i="47"/>
  <c r="CZ204" i="47"/>
  <c r="CY204" i="47"/>
  <c r="CX204" i="47"/>
  <c r="CW204" i="47"/>
  <c r="CV204" i="47"/>
  <c r="CU204" i="47"/>
  <c r="CT204" i="47"/>
  <c r="CS204" i="47"/>
  <c r="CR204" i="47"/>
  <c r="CQ204" i="47"/>
  <c r="CP204" i="47"/>
  <c r="CO204" i="47"/>
  <c r="S204" i="47"/>
  <c r="EW203" i="47"/>
  <c r="DA203" i="47"/>
  <c r="CZ203" i="47"/>
  <c r="CY203" i="47"/>
  <c r="CX203" i="47"/>
  <c r="CW203" i="47"/>
  <c r="CV203" i="47"/>
  <c r="CU203" i="47"/>
  <c r="CT203" i="47"/>
  <c r="CS203" i="47"/>
  <c r="CR203" i="47"/>
  <c r="CQ203" i="47"/>
  <c r="CP203" i="47"/>
  <c r="CO203" i="47"/>
  <c r="S203" i="47"/>
  <c r="EW136" i="47"/>
  <c r="DA136" i="47"/>
  <c r="CZ136" i="47"/>
  <c r="CY136" i="47"/>
  <c r="CX136" i="47"/>
  <c r="CW136" i="47"/>
  <c r="CV136" i="47"/>
  <c r="CU136" i="47"/>
  <c r="CT136" i="47"/>
  <c r="CS136" i="47"/>
  <c r="CR136" i="47"/>
  <c r="CQ136" i="47"/>
  <c r="CP136" i="47"/>
  <c r="CO136" i="47"/>
  <c r="S136" i="47"/>
  <c r="DA135" i="47"/>
  <c r="CZ135" i="47"/>
  <c r="CY135" i="47"/>
  <c r="CX135" i="47"/>
  <c r="CW135" i="47"/>
  <c r="CV135" i="47"/>
  <c r="CU135" i="47"/>
  <c r="CT135" i="47"/>
  <c r="CS135" i="47"/>
  <c r="CR135" i="47"/>
  <c r="CQ135" i="47"/>
  <c r="CP135" i="47"/>
  <c r="CO135" i="47"/>
  <c r="S135" i="47"/>
  <c r="DA134" i="47"/>
  <c r="CZ134" i="47"/>
  <c r="CY134" i="47"/>
  <c r="CX134" i="47"/>
  <c r="CW134" i="47"/>
  <c r="CV134" i="47"/>
  <c r="CU134" i="47"/>
  <c r="CT134" i="47"/>
  <c r="CS134" i="47"/>
  <c r="CR134" i="47"/>
  <c r="CQ134" i="47"/>
  <c r="CP134" i="47"/>
  <c r="CO134" i="47"/>
  <c r="S134" i="47"/>
  <c r="EW133" i="47"/>
  <c r="DA133" i="47"/>
  <c r="CZ133" i="47"/>
  <c r="CY133" i="47"/>
  <c r="CX133" i="47"/>
  <c r="CW133" i="47"/>
  <c r="CV133" i="47"/>
  <c r="CU133" i="47"/>
  <c r="CT133" i="47"/>
  <c r="CS133" i="47"/>
  <c r="CR133" i="47"/>
  <c r="CQ133" i="47"/>
  <c r="CP133" i="47"/>
  <c r="CO133" i="47"/>
  <c r="S133" i="47"/>
  <c r="EW132" i="47"/>
  <c r="DA132" i="47"/>
  <c r="CZ132" i="47"/>
  <c r="CY132" i="47"/>
  <c r="CX132" i="47"/>
  <c r="CW132" i="47"/>
  <c r="CV132" i="47"/>
  <c r="CU132" i="47"/>
  <c r="CT132" i="47"/>
  <c r="CS132" i="47"/>
  <c r="CR132" i="47"/>
  <c r="CQ132" i="47"/>
  <c r="CP132" i="47"/>
  <c r="CO132" i="47"/>
  <c r="S132" i="47"/>
  <c r="EW27" i="47"/>
  <c r="DA27" i="47"/>
  <c r="CZ27" i="47"/>
  <c r="CY27" i="47"/>
  <c r="CX27" i="47"/>
  <c r="CW27" i="47"/>
  <c r="CV27" i="47"/>
  <c r="CU27" i="47"/>
  <c r="CT27" i="47"/>
  <c r="CS27" i="47"/>
  <c r="CR27" i="47"/>
  <c r="CQ27" i="47"/>
  <c r="CP27" i="47"/>
  <c r="CO27" i="47"/>
  <c r="S27" i="47"/>
  <c r="EW26" i="47"/>
  <c r="DA26" i="47"/>
  <c r="CZ26" i="47"/>
  <c r="CY26" i="47"/>
  <c r="CX26" i="47"/>
  <c r="CW26" i="47"/>
  <c r="CV26" i="47"/>
  <c r="CU26" i="47"/>
  <c r="CT26" i="47"/>
  <c r="CS26" i="47"/>
  <c r="CR26" i="47"/>
  <c r="CQ26" i="47"/>
  <c r="CP26" i="47"/>
  <c r="CO26" i="47"/>
  <c r="S26" i="47"/>
  <c r="DA25" i="47"/>
  <c r="CZ25" i="47"/>
  <c r="CY25" i="47"/>
  <c r="CX25" i="47"/>
  <c r="CW25" i="47"/>
  <c r="CV25" i="47"/>
  <c r="CU25" i="47"/>
  <c r="CT25" i="47"/>
  <c r="CS25" i="47"/>
  <c r="CR25" i="47"/>
  <c r="CQ25" i="47"/>
  <c r="CP25" i="47"/>
  <c r="CO25" i="47"/>
  <c r="S25" i="47"/>
  <c r="DA24" i="47"/>
  <c r="CZ24" i="47"/>
  <c r="CY24" i="47"/>
  <c r="CX24" i="47"/>
  <c r="CW24" i="47"/>
  <c r="CV24" i="47"/>
  <c r="CU24" i="47"/>
  <c r="CT24" i="47"/>
  <c r="CS24" i="47"/>
  <c r="CR24" i="47"/>
  <c r="CQ24" i="47"/>
  <c r="CP24" i="47"/>
  <c r="CO24" i="47"/>
  <c r="S24" i="47"/>
  <c r="DA23" i="47"/>
  <c r="CZ23" i="47"/>
  <c r="CY23" i="47"/>
  <c r="CX23" i="47"/>
  <c r="CW23" i="47"/>
  <c r="CV23" i="47"/>
  <c r="CU23" i="47"/>
  <c r="CT23" i="47"/>
  <c r="CS23" i="47"/>
  <c r="CR23" i="47"/>
  <c r="CQ23" i="47"/>
  <c r="CP23" i="47"/>
  <c r="CO23" i="47"/>
  <c r="S23" i="47"/>
  <c r="DA22" i="47"/>
  <c r="CZ22" i="47"/>
  <c r="CY22" i="47"/>
  <c r="CX22" i="47"/>
  <c r="CW22" i="47"/>
  <c r="CV22" i="47"/>
  <c r="CU22" i="47"/>
  <c r="CT22" i="47"/>
  <c r="CS22" i="47"/>
  <c r="CR22" i="47"/>
  <c r="CQ22" i="47"/>
  <c r="CP22" i="47"/>
  <c r="CO22" i="47"/>
  <c r="S22" i="47"/>
  <c r="DA21" i="47"/>
  <c r="CZ21" i="47"/>
  <c r="CY21" i="47"/>
  <c r="CX21" i="47"/>
  <c r="CW21" i="47"/>
  <c r="CV21" i="47"/>
  <c r="CU21" i="47"/>
  <c r="CT21" i="47"/>
  <c r="CS21" i="47"/>
  <c r="CR21" i="47"/>
  <c r="CQ21" i="47"/>
  <c r="CP21" i="47"/>
  <c r="CO21" i="47"/>
  <c r="S21" i="47"/>
  <c r="DA70" i="47"/>
  <c r="CZ70" i="47"/>
  <c r="CY70" i="47"/>
  <c r="CX70" i="47"/>
  <c r="CW70" i="47"/>
  <c r="CV70" i="47"/>
  <c r="CU70" i="47"/>
  <c r="CT70" i="47"/>
  <c r="CS70" i="47"/>
  <c r="CR70" i="47"/>
  <c r="CQ70" i="47"/>
  <c r="CP70" i="47"/>
  <c r="CO70" i="47"/>
  <c r="S70" i="47"/>
  <c r="DA69" i="47"/>
  <c r="CZ69" i="47"/>
  <c r="CY69" i="47"/>
  <c r="CX69" i="47"/>
  <c r="CW69" i="47"/>
  <c r="CV69" i="47"/>
  <c r="CU69" i="47"/>
  <c r="CT69" i="47"/>
  <c r="CS69" i="47"/>
  <c r="CR69" i="47"/>
  <c r="CQ69" i="47"/>
  <c r="CP69" i="47"/>
  <c r="CO69" i="47"/>
  <c r="S69" i="47"/>
  <c r="DA68" i="47"/>
  <c r="CZ68" i="47"/>
  <c r="CY68" i="47"/>
  <c r="CX68" i="47"/>
  <c r="CW68" i="47"/>
  <c r="CV68" i="47"/>
  <c r="CU68" i="47"/>
  <c r="CT68" i="47"/>
  <c r="CS68" i="47"/>
  <c r="CR68" i="47"/>
  <c r="CQ68" i="47"/>
  <c r="CP68" i="47"/>
  <c r="CO68" i="47"/>
  <c r="S68" i="47"/>
  <c r="EW67" i="47"/>
  <c r="DA67" i="47"/>
  <c r="CZ67" i="47"/>
  <c r="CY67" i="47"/>
  <c r="CX67" i="47"/>
  <c r="CW67" i="47"/>
  <c r="CV67" i="47"/>
  <c r="CU67" i="47"/>
  <c r="CT67" i="47"/>
  <c r="CS67" i="47"/>
  <c r="CR67" i="47"/>
  <c r="CQ67" i="47"/>
  <c r="CP67" i="47"/>
  <c r="CO67" i="47"/>
  <c r="S67" i="47"/>
  <c r="EW66" i="47"/>
  <c r="DA66" i="47"/>
  <c r="CZ66" i="47"/>
  <c r="CY66" i="47"/>
  <c r="CX66" i="47"/>
  <c r="CW66" i="47"/>
  <c r="CV66" i="47"/>
  <c r="CU66" i="47"/>
  <c r="CT66" i="47"/>
  <c r="CS66" i="47"/>
  <c r="CR66" i="47"/>
  <c r="CQ66" i="47"/>
  <c r="CP66" i="47"/>
  <c r="CO66" i="47"/>
  <c r="S66" i="47"/>
  <c r="EW65" i="47"/>
  <c r="DA65" i="47"/>
  <c r="CZ65" i="47"/>
  <c r="CY65" i="47"/>
  <c r="CX65" i="47"/>
  <c r="CW65" i="47"/>
  <c r="CV65" i="47"/>
  <c r="CU65" i="47"/>
  <c r="CT65" i="47"/>
  <c r="CS65" i="47"/>
  <c r="CR65" i="47"/>
  <c r="CQ65" i="47"/>
  <c r="CP65" i="47"/>
  <c r="CO65" i="47"/>
  <c r="S65" i="47"/>
  <c r="EW64" i="47"/>
  <c r="DA64" i="47"/>
  <c r="CZ64" i="47"/>
  <c r="CY64" i="47"/>
  <c r="CX64" i="47"/>
  <c r="CW64" i="47"/>
  <c r="CV64" i="47"/>
  <c r="CU64" i="47"/>
  <c r="CT64" i="47"/>
  <c r="CS64" i="47"/>
  <c r="CR64" i="47"/>
  <c r="CQ64" i="47"/>
  <c r="CP64" i="47"/>
  <c r="CO64" i="47"/>
  <c r="S64" i="47"/>
  <c r="EW63" i="47"/>
  <c r="DA63" i="47"/>
  <c r="CZ63" i="47"/>
  <c r="CY63" i="47"/>
  <c r="CX63" i="47"/>
  <c r="CW63" i="47"/>
  <c r="CV63" i="47"/>
  <c r="CU63" i="47"/>
  <c r="CT63" i="47"/>
  <c r="CS63" i="47"/>
  <c r="CR63" i="47"/>
  <c r="CQ63" i="47"/>
  <c r="CP63" i="47"/>
  <c r="CO63" i="47"/>
  <c r="S63" i="47"/>
  <c r="DA18" i="47"/>
  <c r="CZ18" i="47"/>
  <c r="CY18" i="47"/>
  <c r="CX18" i="47"/>
  <c r="CW18" i="47"/>
  <c r="CV18" i="47"/>
  <c r="CU18" i="47"/>
  <c r="CT18" i="47"/>
  <c r="CS18" i="47"/>
  <c r="CR18" i="47"/>
  <c r="CQ18" i="47"/>
  <c r="CP18" i="47"/>
  <c r="CO18" i="47"/>
  <c r="S18" i="47"/>
  <c r="DA17" i="47"/>
  <c r="CZ17" i="47"/>
  <c r="CY17" i="47"/>
  <c r="CX17" i="47"/>
  <c r="CW17" i="47"/>
  <c r="CV17" i="47"/>
  <c r="CU17" i="47"/>
  <c r="CT17" i="47"/>
  <c r="CS17" i="47"/>
  <c r="CR17" i="47"/>
  <c r="CQ17" i="47"/>
  <c r="CP17" i="47"/>
  <c r="CO17" i="47"/>
  <c r="S17" i="47"/>
  <c r="EW16" i="47"/>
  <c r="DA16" i="47"/>
  <c r="CZ16" i="47"/>
  <c r="CY16" i="47"/>
  <c r="CX16" i="47"/>
  <c r="CW16" i="47"/>
  <c r="CV16" i="47"/>
  <c r="CU16" i="47"/>
  <c r="CT16" i="47"/>
  <c r="CS16" i="47"/>
  <c r="CR16" i="47"/>
  <c r="CQ16" i="47"/>
  <c r="CP16" i="47"/>
  <c r="CO16" i="47"/>
  <c r="S16" i="47"/>
  <c r="EW15" i="47"/>
  <c r="DA15" i="47"/>
  <c r="CZ15" i="47"/>
  <c r="CY15" i="47"/>
  <c r="CX15" i="47"/>
  <c r="CW15" i="47"/>
  <c r="CV15" i="47"/>
  <c r="CU15" i="47"/>
  <c r="CT15" i="47"/>
  <c r="CS15" i="47"/>
  <c r="CR15" i="47"/>
  <c r="CQ15" i="47"/>
  <c r="CP15" i="47"/>
  <c r="CO15" i="47"/>
  <c r="S15" i="47"/>
  <c r="DA14" i="47"/>
  <c r="CZ14" i="47"/>
  <c r="CY14" i="47"/>
  <c r="CX14" i="47"/>
  <c r="CW14" i="47"/>
  <c r="CV14" i="47"/>
  <c r="CU14" i="47"/>
  <c r="CT14" i="47"/>
  <c r="CS14" i="47"/>
  <c r="CR14" i="47"/>
  <c r="CQ14" i="47"/>
  <c r="CP14" i="47"/>
  <c r="CO14" i="47"/>
  <c r="S14" i="47"/>
  <c r="EW13" i="47"/>
  <c r="DA13" i="47"/>
  <c r="CZ13" i="47"/>
  <c r="CY13" i="47"/>
  <c r="CX13" i="47"/>
  <c r="CW13" i="47"/>
  <c r="CV13" i="47"/>
  <c r="CU13" i="47"/>
  <c r="CT13" i="47"/>
  <c r="CS13" i="47"/>
  <c r="CR13" i="47"/>
  <c r="CQ13" i="47"/>
  <c r="CP13" i="47"/>
  <c r="CO13" i="47"/>
  <c r="S13" i="47"/>
  <c r="EW12" i="47"/>
  <c r="DA12" i="47"/>
  <c r="CZ12" i="47"/>
  <c r="CY12" i="47"/>
  <c r="CX12" i="47"/>
  <c r="CW12" i="47"/>
  <c r="CV12" i="47"/>
  <c r="CU12" i="47"/>
  <c r="CT12" i="47"/>
  <c r="CS12" i="47"/>
  <c r="CR12" i="47"/>
  <c r="CQ12" i="47"/>
  <c r="CP12" i="47"/>
  <c r="CO12" i="47"/>
  <c r="S12" i="47"/>
  <c r="DA11" i="47"/>
  <c r="CZ11" i="47"/>
  <c r="CY11" i="47"/>
  <c r="CX11" i="47"/>
  <c r="CW11" i="47"/>
  <c r="CV11" i="47"/>
  <c r="CU11" i="47"/>
  <c r="CT11" i="47"/>
  <c r="CS11" i="47"/>
  <c r="CR11" i="47"/>
  <c r="CQ11" i="47"/>
  <c r="CP11" i="47"/>
  <c r="CO11" i="47"/>
  <c r="S11" i="47"/>
  <c r="DA10" i="47"/>
  <c r="CZ10" i="47"/>
  <c r="CY10" i="47"/>
  <c r="CX10" i="47"/>
  <c r="CW10" i="47"/>
  <c r="CV10" i="47"/>
  <c r="CU10" i="47"/>
  <c r="CT10" i="47"/>
  <c r="CS10" i="47"/>
  <c r="CR10" i="47"/>
  <c r="CQ10" i="47"/>
  <c r="CP10" i="47"/>
  <c r="CO10" i="47"/>
  <c r="S10" i="47"/>
  <c r="EW9" i="47"/>
  <c r="DA9" i="47"/>
  <c r="CZ9" i="47"/>
  <c r="CY9" i="47"/>
  <c r="CX9" i="47"/>
  <c r="CW9" i="47"/>
  <c r="CV9" i="47"/>
  <c r="CU9" i="47"/>
  <c r="CT9" i="47"/>
  <c r="CS9" i="47"/>
  <c r="CR9" i="47"/>
  <c r="CQ9" i="47"/>
  <c r="CP9" i="47"/>
  <c r="CO9" i="47"/>
  <c r="S9" i="47"/>
  <c r="DA116" i="47"/>
  <c r="CZ116" i="47"/>
  <c r="CY116" i="47"/>
  <c r="CX116" i="47"/>
  <c r="CW116" i="47"/>
  <c r="CV116" i="47"/>
  <c r="CU116" i="47"/>
  <c r="CT116" i="47"/>
  <c r="CS116" i="47"/>
  <c r="CR116" i="47"/>
  <c r="CQ116" i="47"/>
  <c r="CP116" i="47"/>
  <c r="CO116" i="47"/>
  <c r="S116" i="47"/>
  <c r="DA115" i="47"/>
  <c r="CZ115" i="47"/>
  <c r="CY115" i="47"/>
  <c r="CX115" i="47"/>
  <c r="CW115" i="47"/>
  <c r="CV115" i="47"/>
  <c r="CU115" i="47"/>
  <c r="CT115" i="47"/>
  <c r="CS115" i="47"/>
  <c r="CR115" i="47"/>
  <c r="CQ115" i="47"/>
  <c r="CP115" i="47"/>
  <c r="CO115" i="47"/>
  <c r="S115" i="47"/>
  <c r="EW114" i="47"/>
  <c r="DA114" i="47"/>
  <c r="CZ114" i="47"/>
  <c r="CY114" i="47"/>
  <c r="CX114" i="47"/>
  <c r="CW114" i="47"/>
  <c r="CV114" i="47"/>
  <c r="CU114" i="47"/>
  <c r="CT114" i="47"/>
  <c r="CS114" i="47"/>
  <c r="CR114" i="47"/>
  <c r="CQ114" i="47"/>
  <c r="CP114" i="47"/>
  <c r="CO114" i="47"/>
  <c r="S114" i="47"/>
  <c r="EW113" i="47"/>
  <c r="DA113" i="47"/>
  <c r="CZ113" i="47"/>
  <c r="CY113" i="47"/>
  <c r="CX113" i="47"/>
  <c r="CW113" i="47"/>
  <c r="CV113" i="47"/>
  <c r="CU113" i="47"/>
  <c r="CT113" i="47"/>
  <c r="CS113" i="47"/>
  <c r="CR113" i="47"/>
  <c r="CQ113" i="47"/>
  <c r="CP113" i="47"/>
  <c r="CO113" i="47"/>
  <c r="S113" i="47"/>
  <c r="DA112" i="47"/>
  <c r="CZ112" i="47"/>
  <c r="CY112" i="47"/>
  <c r="CX112" i="47"/>
  <c r="CW112" i="47"/>
  <c r="CV112" i="47"/>
  <c r="CU112" i="47"/>
  <c r="CT112" i="47"/>
  <c r="CS112" i="47"/>
  <c r="CR112" i="47"/>
  <c r="CQ112" i="47"/>
  <c r="CP112" i="47"/>
  <c r="CO112" i="47"/>
  <c r="S112" i="47"/>
  <c r="DA111" i="47"/>
  <c r="CZ111" i="47"/>
  <c r="CY111" i="47"/>
  <c r="CX111" i="47"/>
  <c r="CW111" i="47"/>
  <c r="CV111" i="47"/>
  <c r="CU111" i="47"/>
  <c r="CT111" i="47"/>
  <c r="CS111" i="47"/>
  <c r="CR111" i="47"/>
  <c r="CQ111" i="47"/>
  <c r="CP111" i="47"/>
  <c r="CO111" i="47"/>
  <c r="S111" i="47"/>
  <c r="DA110" i="47"/>
  <c r="CZ110" i="47"/>
  <c r="CY110" i="47"/>
  <c r="CX110" i="47"/>
  <c r="CW110" i="47"/>
  <c r="CV110" i="47"/>
  <c r="CU110" i="47"/>
  <c r="CT110" i="47"/>
  <c r="CS110" i="47"/>
  <c r="CR110" i="47"/>
  <c r="CQ110" i="47"/>
  <c r="CP110" i="47"/>
  <c r="CO110" i="47"/>
  <c r="S110" i="47"/>
  <c r="EW109" i="47"/>
  <c r="DA109" i="47"/>
  <c r="CZ109" i="47"/>
  <c r="CY109" i="47"/>
  <c r="CX109" i="47"/>
  <c r="CW109" i="47"/>
  <c r="CV109" i="47"/>
  <c r="CU109" i="47"/>
  <c r="CT109" i="47"/>
  <c r="CS109" i="47"/>
  <c r="CR109" i="47"/>
  <c r="CQ109" i="47"/>
  <c r="CP109" i="47"/>
  <c r="CO109" i="47"/>
  <c r="S109" i="47"/>
  <c r="EW108" i="47"/>
  <c r="DA108" i="47"/>
  <c r="CZ108" i="47"/>
  <c r="CY108" i="47"/>
  <c r="CX108" i="47"/>
  <c r="CW108" i="47"/>
  <c r="CV108" i="47"/>
  <c r="CU108" i="47"/>
  <c r="CT108" i="47"/>
  <c r="CS108" i="47"/>
  <c r="CR108" i="47"/>
  <c r="CQ108" i="47"/>
  <c r="CP108" i="47"/>
  <c r="CO108" i="47"/>
  <c r="S108" i="47"/>
  <c r="DA107" i="47"/>
  <c r="CZ107" i="47"/>
  <c r="CY107" i="47"/>
  <c r="CX107" i="47"/>
  <c r="CW107" i="47"/>
  <c r="CV107" i="47"/>
  <c r="CU107" i="47"/>
  <c r="CT107" i="47"/>
  <c r="CS107" i="47"/>
  <c r="CR107" i="47"/>
  <c r="CQ107" i="47"/>
  <c r="CP107" i="47"/>
  <c r="CO107" i="47"/>
  <c r="S107" i="47"/>
  <c r="EW106" i="47"/>
  <c r="DA106" i="47"/>
  <c r="CZ106" i="47"/>
  <c r="CY106" i="47"/>
  <c r="CX106" i="47"/>
  <c r="CW106" i="47"/>
  <c r="CV106" i="47"/>
  <c r="CU106" i="47"/>
  <c r="CT106" i="47"/>
  <c r="CS106" i="47"/>
  <c r="CR106" i="47"/>
  <c r="CQ106" i="47"/>
  <c r="CP106" i="47"/>
  <c r="CO106" i="47"/>
  <c r="S106" i="47"/>
  <c r="DA105" i="47"/>
  <c r="CZ105" i="47"/>
  <c r="CY105" i="47"/>
  <c r="CX105" i="47"/>
  <c r="CW105" i="47"/>
  <c r="CV105" i="47"/>
  <c r="CU105" i="47"/>
  <c r="CT105" i="47"/>
  <c r="CS105" i="47"/>
  <c r="CR105" i="47"/>
  <c r="CQ105" i="47"/>
  <c r="CP105" i="47"/>
  <c r="CO105" i="47"/>
  <c r="S105" i="47"/>
  <c r="EW104" i="47"/>
  <c r="DA104" i="47"/>
  <c r="CZ104" i="47"/>
  <c r="CY104" i="47"/>
  <c r="CX104" i="47"/>
  <c r="CW104" i="47"/>
  <c r="CV104" i="47"/>
  <c r="CU104" i="47"/>
  <c r="CT104" i="47"/>
  <c r="CS104" i="47"/>
  <c r="CR104" i="47"/>
  <c r="CQ104" i="47"/>
  <c r="CP104" i="47"/>
  <c r="CO104" i="47"/>
  <c r="S104" i="47"/>
  <c r="DA91" i="47"/>
  <c r="CZ91" i="47"/>
  <c r="CY91" i="47"/>
  <c r="CX91" i="47"/>
  <c r="CW91" i="47"/>
  <c r="CV91" i="47"/>
  <c r="CU91" i="47"/>
  <c r="CT91" i="47"/>
  <c r="CS91" i="47"/>
  <c r="CR91" i="47"/>
  <c r="CQ91" i="47"/>
  <c r="CP91" i="47"/>
  <c r="CO91" i="47"/>
  <c r="S91" i="47"/>
  <c r="DA90" i="47"/>
  <c r="CZ90" i="47"/>
  <c r="CY90" i="47"/>
  <c r="CX90" i="47"/>
  <c r="CW90" i="47"/>
  <c r="CV90" i="47"/>
  <c r="CU90" i="47"/>
  <c r="CT90" i="47"/>
  <c r="CS90" i="47"/>
  <c r="CR90" i="47"/>
  <c r="CQ90" i="47"/>
  <c r="CP90" i="47"/>
  <c r="CO90" i="47"/>
  <c r="S90" i="47"/>
  <c r="DA89" i="47"/>
  <c r="CZ89" i="47"/>
  <c r="CY89" i="47"/>
  <c r="CX89" i="47"/>
  <c r="CW89" i="47"/>
  <c r="CV89" i="47"/>
  <c r="CU89" i="47"/>
  <c r="CT89" i="47"/>
  <c r="CS89" i="47"/>
  <c r="CR89" i="47"/>
  <c r="CQ89" i="47"/>
  <c r="CP89" i="47"/>
  <c r="CO89" i="47"/>
  <c r="S89" i="47"/>
  <c r="EW88" i="47"/>
  <c r="DA88" i="47"/>
  <c r="CZ88" i="47"/>
  <c r="CY88" i="47"/>
  <c r="CX88" i="47"/>
  <c r="CW88" i="47"/>
  <c r="CV88" i="47"/>
  <c r="CU88" i="47"/>
  <c r="CT88" i="47"/>
  <c r="CS88" i="47"/>
  <c r="CR88" i="47"/>
  <c r="CQ88" i="47"/>
  <c r="CP88" i="47"/>
  <c r="CO88" i="47"/>
  <c r="S88" i="47"/>
  <c r="DA87" i="47"/>
  <c r="CZ87" i="47"/>
  <c r="CY87" i="47"/>
  <c r="CX87" i="47"/>
  <c r="CW87" i="47"/>
  <c r="CV87" i="47"/>
  <c r="CU87" i="47"/>
  <c r="CT87" i="47"/>
  <c r="CS87" i="47"/>
  <c r="CR87" i="47"/>
  <c r="CQ87" i="47"/>
  <c r="CP87" i="47"/>
  <c r="CO87" i="47"/>
  <c r="S87" i="47"/>
  <c r="DA86" i="47"/>
  <c r="CZ86" i="47"/>
  <c r="CY86" i="47"/>
  <c r="CX86" i="47"/>
  <c r="CW86" i="47"/>
  <c r="CV86" i="47"/>
  <c r="CU86" i="47"/>
  <c r="CT86" i="47"/>
  <c r="CS86" i="47"/>
  <c r="CR86" i="47"/>
  <c r="CQ86" i="47"/>
  <c r="CP86" i="47"/>
  <c r="CO86" i="47"/>
  <c r="S86" i="47"/>
  <c r="EW85" i="47"/>
  <c r="DA85" i="47"/>
  <c r="CZ85" i="47"/>
  <c r="CY85" i="47"/>
  <c r="CX85" i="47"/>
  <c r="CW85" i="47"/>
  <c r="CV85" i="47"/>
  <c r="CU85" i="47"/>
  <c r="CT85" i="47"/>
  <c r="CS85" i="47"/>
  <c r="CR85" i="47"/>
  <c r="CQ85" i="47"/>
  <c r="CP85" i="47"/>
  <c r="CO85" i="47"/>
  <c r="S85" i="47"/>
  <c r="DA84" i="47"/>
  <c r="CZ84" i="47"/>
  <c r="CY84" i="47"/>
  <c r="CX84" i="47"/>
  <c r="CW84" i="47"/>
  <c r="CV84" i="47"/>
  <c r="CU84" i="47"/>
  <c r="CT84" i="47"/>
  <c r="CS84" i="47"/>
  <c r="CR84" i="47"/>
  <c r="CQ84" i="47"/>
  <c r="CP84" i="47"/>
  <c r="CO84" i="47"/>
  <c r="S84" i="47"/>
  <c r="DA83" i="47"/>
  <c r="CZ83" i="47"/>
  <c r="CY83" i="47"/>
  <c r="CX83" i="47"/>
  <c r="CW83" i="47"/>
  <c r="CV83" i="47"/>
  <c r="CU83" i="47"/>
  <c r="CT83" i="47"/>
  <c r="CS83" i="47"/>
  <c r="CR83" i="47"/>
  <c r="CQ83" i="47"/>
  <c r="CP83" i="47"/>
  <c r="CO83" i="47"/>
  <c r="S83" i="47"/>
  <c r="DA82" i="47"/>
  <c r="CZ82" i="47"/>
  <c r="CY82" i="47"/>
  <c r="CX82" i="47"/>
  <c r="CW82" i="47"/>
  <c r="CV82" i="47"/>
  <c r="CU82" i="47"/>
  <c r="CT82" i="47"/>
  <c r="CS82" i="47"/>
  <c r="CR82" i="47"/>
  <c r="CQ82" i="47"/>
  <c r="CP82" i="47"/>
  <c r="CO82" i="47"/>
  <c r="S82" i="47"/>
  <c r="DA81" i="47"/>
  <c r="CZ81" i="47"/>
  <c r="CY81" i="47"/>
  <c r="CX81" i="47"/>
  <c r="CW81" i="47"/>
  <c r="CV81" i="47"/>
  <c r="CU81" i="47"/>
  <c r="CT81" i="47"/>
  <c r="CS81" i="47"/>
  <c r="CR81" i="47"/>
  <c r="CQ81" i="47"/>
  <c r="CP81" i="47"/>
  <c r="CO81" i="47"/>
  <c r="S81" i="47"/>
  <c r="DA80" i="47"/>
  <c r="CZ80" i="47"/>
  <c r="CY80" i="47"/>
  <c r="CX80" i="47"/>
  <c r="CW80" i="47"/>
  <c r="CV80" i="47"/>
  <c r="CU80" i="47"/>
  <c r="CT80" i="47"/>
  <c r="CS80" i="47"/>
  <c r="CR80" i="47"/>
  <c r="CQ80" i="47"/>
  <c r="CP80" i="47"/>
  <c r="CO80" i="47"/>
  <c r="S80" i="47"/>
  <c r="DA79" i="47"/>
  <c r="CZ79" i="47"/>
  <c r="CY79" i="47"/>
  <c r="CX79" i="47"/>
  <c r="CW79" i="47"/>
  <c r="CV79" i="47"/>
  <c r="CU79" i="47"/>
  <c r="CT79" i="47"/>
  <c r="CS79" i="47"/>
  <c r="CR79" i="47"/>
  <c r="CQ79" i="47"/>
  <c r="CP79" i="47"/>
  <c r="CO79" i="47"/>
  <c r="S79" i="47"/>
  <c r="DA78" i="47"/>
  <c r="CZ78" i="47"/>
  <c r="CY78" i="47"/>
  <c r="CX78" i="47"/>
  <c r="CW78" i="47"/>
  <c r="CV78" i="47"/>
  <c r="CU78" i="47"/>
  <c r="CT78" i="47"/>
  <c r="CS78" i="47"/>
  <c r="CR78" i="47"/>
  <c r="CQ78" i="47"/>
  <c r="CP78" i="47"/>
  <c r="CO78" i="47"/>
  <c r="S78" i="47"/>
  <c r="DA77" i="47"/>
  <c r="CZ77" i="47"/>
  <c r="CY77" i="47"/>
  <c r="CX77" i="47"/>
  <c r="CW77" i="47"/>
  <c r="CV77" i="47"/>
  <c r="CU77" i="47"/>
  <c r="CT77" i="47"/>
  <c r="CS77" i="47"/>
  <c r="CR77" i="47"/>
  <c r="CQ77" i="47"/>
  <c r="CP77" i="47"/>
  <c r="CO77" i="47"/>
  <c r="S77" i="47"/>
  <c r="EW76" i="47"/>
  <c r="DA76" i="47"/>
  <c r="CZ76" i="47"/>
  <c r="CY76" i="47"/>
  <c r="CX76" i="47"/>
  <c r="CW76" i="47"/>
  <c r="CV76" i="47"/>
  <c r="CU76" i="47"/>
  <c r="CT76" i="47"/>
  <c r="CS76" i="47"/>
  <c r="CR76" i="47"/>
  <c r="CQ76" i="47"/>
  <c r="CP76" i="47"/>
  <c r="CO76" i="47"/>
  <c r="S76" i="47"/>
  <c r="DA75" i="47"/>
  <c r="CZ75" i="47"/>
  <c r="CY75" i="47"/>
  <c r="CX75" i="47"/>
  <c r="CW75" i="47"/>
  <c r="CV75" i="47"/>
  <c r="CU75" i="47"/>
  <c r="CT75" i="47"/>
  <c r="CS75" i="47"/>
  <c r="CR75" i="47"/>
  <c r="CQ75" i="47"/>
  <c r="CP75" i="47"/>
  <c r="CO75" i="47"/>
  <c r="S75" i="47"/>
  <c r="DA74" i="47"/>
  <c r="CZ74" i="47"/>
  <c r="CY74" i="47"/>
  <c r="CX74" i="47"/>
  <c r="CW74" i="47"/>
  <c r="CV74" i="47"/>
  <c r="CU74" i="47"/>
  <c r="CT74" i="47"/>
  <c r="CS74" i="47"/>
  <c r="CR74" i="47"/>
  <c r="CQ74" i="47"/>
  <c r="CP74" i="47"/>
  <c r="CO74" i="47"/>
  <c r="S74" i="47"/>
  <c r="EW73" i="47"/>
  <c r="DA73" i="47"/>
  <c r="CZ73" i="47"/>
  <c r="CY73" i="47"/>
  <c r="CX73" i="47"/>
  <c r="CW73" i="47"/>
  <c r="CV73" i="47"/>
  <c r="CU73" i="47"/>
  <c r="CT73" i="47"/>
  <c r="CS73" i="47"/>
  <c r="CR73" i="47"/>
  <c r="CQ73" i="47"/>
  <c r="CP73" i="47"/>
  <c r="CO73" i="47"/>
  <c r="S73" i="47"/>
  <c r="DA72" i="47"/>
  <c r="CZ72" i="47"/>
  <c r="CY72" i="47"/>
  <c r="CX72" i="47"/>
  <c r="CW72" i="47"/>
  <c r="CV72" i="47"/>
  <c r="CU72" i="47"/>
  <c r="CT72" i="47"/>
  <c r="CS72" i="47"/>
  <c r="CR72" i="47"/>
  <c r="CQ72" i="47"/>
  <c r="CP72" i="47"/>
  <c r="CO72" i="47"/>
  <c r="S72" i="47"/>
  <c r="EW71" i="47"/>
  <c r="DA71" i="47"/>
  <c r="CZ71" i="47"/>
  <c r="CY71" i="47"/>
  <c r="CX71" i="47"/>
  <c r="CW71" i="47"/>
  <c r="CV71" i="47"/>
  <c r="CU71" i="47"/>
  <c r="CT71" i="47"/>
  <c r="CS71" i="47"/>
  <c r="CR71" i="47"/>
  <c r="CQ71" i="47"/>
  <c r="CP71" i="47"/>
  <c r="CO71" i="47"/>
  <c r="S71" i="47"/>
  <c r="DA158" i="47"/>
  <c r="CZ158" i="47"/>
  <c r="CY158" i="47"/>
  <c r="CX158" i="47"/>
  <c r="CW158" i="47"/>
  <c r="CV158" i="47"/>
  <c r="CU158" i="47"/>
  <c r="CT158" i="47"/>
  <c r="CS158" i="47"/>
  <c r="CR158" i="47"/>
  <c r="CQ158" i="47"/>
  <c r="CP158" i="47"/>
  <c r="CO158" i="47"/>
  <c r="S158" i="47"/>
  <c r="DA157" i="47"/>
  <c r="CZ157" i="47"/>
  <c r="CY157" i="47"/>
  <c r="CX157" i="47"/>
  <c r="CW157" i="47"/>
  <c r="CV157" i="47"/>
  <c r="CU157" i="47"/>
  <c r="CT157" i="47"/>
  <c r="CS157" i="47"/>
  <c r="CR157" i="47"/>
  <c r="CQ157" i="47"/>
  <c r="CP157" i="47"/>
  <c r="CO157" i="47"/>
  <c r="S157" i="47"/>
  <c r="DA156" i="47"/>
  <c r="CZ156" i="47"/>
  <c r="CY156" i="47"/>
  <c r="CX156" i="47"/>
  <c r="CW156" i="47"/>
  <c r="CV156" i="47"/>
  <c r="CU156" i="47"/>
  <c r="CT156" i="47"/>
  <c r="CS156" i="47"/>
  <c r="CR156" i="47"/>
  <c r="CQ156" i="47"/>
  <c r="CP156" i="47"/>
  <c r="CO156" i="47"/>
  <c r="S156" i="47"/>
  <c r="DA155" i="47"/>
  <c r="CZ155" i="47"/>
  <c r="CY155" i="47"/>
  <c r="CX155" i="47"/>
  <c r="CW155" i="47"/>
  <c r="CV155" i="47"/>
  <c r="CU155" i="47"/>
  <c r="CT155" i="47"/>
  <c r="CS155" i="47"/>
  <c r="CR155" i="47"/>
  <c r="CQ155" i="47"/>
  <c r="CP155" i="47"/>
  <c r="CO155" i="47"/>
  <c r="S155" i="47"/>
  <c r="EW154" i="47"/>
  <c r="DA154" i="47"/>
  <c r="CZ154" i="47"/>
  <c r="CY154" i="47"/>
  <c r="CX154" i="47"/>
  <c r="CW154" i="47"/>
  <c r="CV154" i="47"/>
  <c r="CU154" i="47"/>
  <c r="CT154" i="47"/>
  <c r="CS154" i="47"/>
  <c r="CR154" i="47"/>
  <c r="CQ154" i="47"/>
  <c r="CP154" i="47"/>
  <c r="CO154" i="47"/>
  <c r="S154" i="47"/>
  <c r="EW153" i="47"/>
  <c r="DA153" i="47"/>
  <c r="CZ153" i="47"/>
  <c r="CY153" i="47"/>
  <c r="CX153" i="47"/>
  <c r="CW153" i="47"/>
  <c r="CV153" i="47"/>
  <c r="CU153" i="47"/>
  <c r="CT153" i="47"/>
  <c r="CS153" i="47"/>
  <c r="CR153" i="47"/>
  <c r="CQ153" i="47"/>
  <c r="CP153" i="47"/>
  <c r="CO153" i="47"/>
  <c r="S153" i="47"/>
  <c r="DA152" i="47"/>
  <c r="CZ152" i="47"/>
  <c r="CY152" i="47"/>
  <c r="CX152" i="47"/>
  <c r="CW152" i="47"/>
  <c r="CV152" i="47"/>
  <c r="CU152" i="47"/>
  <c r="CT152" i="47"/>
  <c r="CS152" i="47"/>
  <c r="CR152" i="47"/>
  <c r="CQ152" i="47"/>
  <c r="CP152" i="47"/>
  <c r="CO152" i="47"/>
  <c r="S152" i="47"/>
  <c r="DA151" i="47"/>
  <c r="CZ151" i="47"/>
  <c r="CY151" i="47"/>
  <c r="CX151" i="47"/>
  <c r="CW151" i="47"/>
  <c r="CV151" i="47"/>
  <c r="CU151" i="47"/>
  <c r="CT151" i="47"/>
  <c r="CS151" i="47"/>
  <c r="CR151" i="47"/>
  <c r="CQ151" i="47"/>
  <c r="CP151" i="47"/>
  <c r="CO151" i="47"/>
  <c r="S151" i="47"/>
  <c r="DA150" i="47"/>
  <c r="CZ150" i="47"/>
  <c r="CY150" i="47"/>
  <c r="CX150" i="47"/>
  <c r="CW150" i="47"/>
  <c r="CV150" i="47"/>
  <c r="CU150" i="47"/>
  <c r="CT150" i="47"/>
  <c r="CS150" i="47"/>
  <c r="CR150" i="47"/>
  <c r="CQ150" i="47"/>
  <c r="CP150" i="47"/>
  <c r="CO150" i="47"/>
  <c r="S150" i="47"/>
  <c r="EW149" i="47"/>
  <c r="DA149" i="47"/>
  <c r="CZ149" i="47"/>
  <c r="CY149" i="47"/>
  <c r="CX149" i="47"/>
  <c r="CW149" i="47"/>
  <c r="CV149" i="47"/>
  <c r="CU149" i="47"/>
  <c r="CT149" i="47"/>
  <c r="CS149" i="47"/>
  <c r="CR149" i="47"/>
  <c r="CQ149" i="47"/>
  <c r="CP149" i="47"/>
  <c r="CO149" i="47"/>
  <c r="S149" i="47"/>
  <c r="DA131" i="47"/>
  <c r="CZ131" i="47"/>
  <c r="CY131" i="47"/>
  <c r="CX131" i="47"/>
  <c r="CW131" i="47"/>
  <c r="CV131" i="47"/>
  <c r="CU131" i="47"/>
  <c r="CT131" i="47"/>
  <c r="CS131" i="47"/>
  <c r="CR131" i="47"/>
  <c r="CQ131" i="47"/>
  <c r="CP131" i="47"/>
  <c r="CO131" i="47"/>
  <c r="S131" i="47"/>
  <c r="DA130" i="47"/>
  <c r="CZ130" i="47"/>
  <c r="CY130" i="47"/>
  <c r="CX130" i="47"/>
  <c r="CW130" i="47"/>
  <c r="CV130" i="47"/>
  <c r="CU130" i="47"/>
  <c r="CT130" i="47"/>
  <c r="CS130" i="47"/>
  <c r="CR130" i="47"/>
  <c r="CQ130" i="47"/>
  <c r="CP130" i="47"/>
  <c r="CO130" i="47"/>
  <c r="S130" i="47"/>
  <c r="EW129" i="47"/>
  <c r="DA129" i="47"/>
  <c r="CZ129" i="47"/>
  <c r="CY129" i="47"/>
  <c r="CX129" i="47"/>
  <c r="CW129" i="47"/>
  <c r="CV129" i="47"/>
  <c r="CU129" i="47"/>
  <c r="CT129" i="47"/>
  <c r="CS129" i="47"/>
  <c r="CR129" i="47"/>
  <c r="CQ129" i="47"/>
  <c r="CP129" i="47"/>
  <c r="CO129" i="47"/>
  <c r="S129" i="47"/>
  <c r="DA128" i="47"/>
  <c r="CZ128" i="47"/>
  <c r="CY128" i="47"/>
  <c r="CX128" i="47"/>
  <c r="CW128" i="47"/>
  <c r="CV128" i="47"/>
  <c r="CU128" i="47"/>
  <c r="CT128" i="47"/>
  <c r="CS128" i="47"/>
  <c r="CR128" i="47"/>
  <c r="CQ128" i="47"/>
  <c r="CP128" i="47"/>
  <c r="CO128" i="47"/>
  <c r="S128" i="47"/>
  <c r="EW127" i="47"/>
  <c r="DA127" i="47"/>
  <c r="CZ127" i="47"/>
  <c r="CY127" i="47"/>
  <c r="CX127" i="47"/>
  <c r="CW127" i="47"/>
  <c r="CV127" i="47"/>
  <c r="CU127" i="47"/>
  <c r="CT127" i="47"/>
  <c r="CS127" i="47"/>
  <c r="CR127" i="47"/>
  <c r="CQ127" i="47"/>
  <c r="CP127" i="47"/>
  <c r="CO127" i="47"/>
  <c r="S127" i="47"/>
  <c r="EW126" i="47"/>
  <c r="DA126" i="47"/>
  <c r="CZ126" i="47"/>
  <c r="CY126" i="47"/>
  <c r="CX126" i="47"/>
  <c r="CW126" i="47"/>
  <c r="CV126" i="47"/>
  <c r="CU126" i="47"/>
  <c r="CT126" i="47"/>
  <c r="CS126" i="47"/>
  <c r="CR126" i="47"/>
  <c r="CQ126" i="47"/>
  <c r="CP126" i="47"/>
  <c r="CO126" i="47"/>
  <c r="S126" i="47"/>
  <c r="DA125" i="47"/>
  <c r="CZ125" i="47"/>
  <c r="CY125" i="47"/>
  <c r="CX125" i="47"/>
  <c r="CW125" i="47"/>
  <c r="CV125" i="47"/>
  <c r="CU125" i="47"/>
  <c r="CT125" i="47"/>
  <c r="CS125" i="47"/>
  <c r="CR125" i="47"/>
  <c r="CQ125" i="47"/>
  <c r="CP125" i="47"/>
  <c r="CO125" i="47"/>
  <c r="S125" i="47"/>
  <c r="EW124" i="47"/>
  <c r="DA124" i="47"/>
  <c r="CZ124" i="47"/>
  <c r="CY124" i="47"/>
  <c r="CX124" i="47"/>
  <c r="CW124" i="47"/>
  <c r="CV124" i="47"/>
  <c r="CU124" i="47"/>
  <c r="CT124" i="47"/>
  <c r="CS124" i="47"/>
  <c r="CR124" i="47"/>
  <c r="CQ124" i="47"/>
  <c r="CP124" i="47"/>
  <c r="CO124" i="47"/>
  <c r="S124" i="47"/>
  <c r="DA123" i="47"/>
  <c r="CZ123" i="47"/>
  <c r="CY123" i="47"/>
  <c r="CX123" i="47"/>
  <c r="CW123" i="47"/>
  <c r="CV123" i="47"/>
  <c r="CU123" i="47"/>
  <c r="CT123" i="47"/>
  <c r="CS123" i="47"/>
  <c r="CR123" i="47"/>
  <c r="CQ123" i="47"/>
  <c r="CP123" i="47"/>
  <c r="CO123" i="47"/>
  <c r="S123" i="47"/>
  <c r="DA122" i="47"/>
  <c r="CZ122" i="47"/>
  <c r="CY122" i="47"/>
  <c r="CX122" i="47"/>
  <c r="CW122" i="47"/>
  <c r="CV122" i="47"/>
  <c r="CU122" i="47"/>
  <c r="CT122" i="47"/>
  <c r="CS122" i="47"/>
  <c r="CR122" i="47"/>
  <c r="CQ122" i="47"/>
  <c r="CP122" i="47"/>
  <c r="CO122" i="47"/>
  <c r="S122" i="47"/>
  <c r="DA8" i="47"/>
  <c r="CZ8" i="47"/>
  <c r="CY8" i="47"/>
  <c r="CX8" i="47"/>
  <c r="CW8" i="47"/>
  <c r="CV8" i="47"/>
  <c r="CU8" i="47"/>
  <c r="CT8" i="47"/>
  <c r="CS8" i="47"/>
  <c r="CR8" i="47"/>
  <c r="CQ8" i="47"/>
  <c r="CP8" i="47"/>
  <c r="CO8" i="47"/>
  <c r="S8" i="47"/>
  <c r="DA7" i="47"/>
  <c r="CZ7" i="47"/>
  <c r="CY7" i="47"/>
  <c r="CX7" i="47"/>
  <c r="CW7" i="47"/>
  <c r="CV7" i="47"/>
  <c r="CU7" i="47"/>
  <c r="CT7" i="47"/>
  <c r="CS7" i="47"/>
  <c r="CR7" i="47"/>
  <c r="CQ7" i="47"/>
  <c r="CP7" i="47"/>
  <c r="CO7" i="47"/>
  <c r="S7" i="47"/>
  <c r="EW6" i="47"/>
  <c r="DA6" i="47"/>
  <c r="CZ6" i="47"/>
  <c r="CY6" i="47"/>
  <c r="CX6" i="47"/>
  <c r="CW6" i="47"/>
  <c r="CV6" i="47"/>
  <c r="CU6" i="47"/>
  <c r="CT6" i="47"/>
  <c r="CS6" i="47"/>
  <c r="CR6" i="47"/>
  <c r="CQ6" i="47"/>
  <c r="CP6" i="47"/>
  <c r="CO6" i="47"/>
  <c r="S6" i="47"/>
  <c r="DA5" i="47"/>
  <c r="CZ5" i="47"/>
  <c r="CY5" i="47"/>
  <c r="CX5" i="47"/>
  <c r="CW5" i="47"/>
  <c r="CV5" i="47"/>
  <c r="CU5" i="47"/>
  <c r="CT5" i="47"/>
  <c r="CS5" i="47"/>
  <c r="CR5" i="47"/>
  <c r="CQ5" i="47"/>
  <c r="CP5" i="47"/>
  <c r="CO5" i="47"/>
  <c r="S5" i="47"/>
  <c r="EW4" i="47"/>
  <c r="DA4" i="47"/>
  <c r="CZ4" i="47"/>
  <c r="CY4" i="47"/>
  <c r="CX4" i="47"/>
  <c r="CW4" i="47"/>
  <c r="CV4" i="47"/>
  <c r="CU4" i="47"/>
  <c r="CT4" i="47"/>
  <c r="CS4" i="47"/>
  <c r="CR4" i="47"/>
  <c r="CQ4" i="47"/>
  <c r="CP4" i="47"/>
  <c r="CO4" i="47"/>
  <c r="S4" i="47"/>
  <c r="DA3" i="47"/>
  <c r="CZ3" i="47"/>
  <c r="CY3" i="47"/>
  <c r="CX3" i="47"/>
  <c r="CW3" i="47"/>
  <c r="CV3" i="47"/>
  <c r="CU3" i="47"/>
  <c r="CT3" i="47"/>
  <c r="CS3" i="47"/>
  <c r="CR3" i="47"/>
  <c r="CQ3" i="47"/>
  <c r="CP3" i="47"/>
  <c r="CO3" i="47"/>
  <c r="S3" i="47"/>
  <c r="EW2" i="47"/>
  <c r="DA2" i="47"/>
  <c r="CZ2" i="47"/>
  <c r="CY2" i="47"/>
  <c r="CX2" i="47"/>
  <c r="CW2" i="47"/>
  <c r="CV2" i="47"/>
  <c r="CU2" i="47"/>
  <c r="CT2" i="47"/>
  <c r="CS2" i="47"/>
  <c r="CR2" i="47"/>
  <c r="CQ2" i="47"/>
  <c r="CP2" i="47"/>
  <c r="CO2" i="47"/>
  <c r="S2" i="47"/>
  <c r="CA44" i="49"/>
  <c r="BZ44" i="49"/>
  <c r="BY44" i="49"/>
  <c r="BX44" i="49"/>
  <c r="BW44" i="49"/>
  <c r="BV44" i="49"/>
  <c r="BU44" i="49"/>
  <c r="BT44" i="49"/>
  <c r="BS44" i="49"/>
  <c r="BR44" i="49"/>
  <c r="BQ44" i="49"/>
  <c r="BP44" i="49"/>
  <c r="BO44" i="49"/>
  <c r="T44" i="49"/>
  <c r="CA43" i="49"/>
  <c r="BZ43" i="49"/>
  <c r="BY43" i="49"/>
  <c r="BX43" i="49"/>
  <c r="BW43" i="49"/>
  <c r="BV43" i="49"/>
  <c r="BU43" i="49"/>
  <c r="BT43" i="49"/>
  <c r="BS43" i="49"/>
  <c r="BR43" i="49"/>
  <c r="BQ43" i="49"/>
  <c r="BP43" i="49"/>
  <c r="BO43" i="49"/>
  <c r="T43" i="49"/>
  <c r="CA42" i="49"/>
  <c r="BZ42" i="49"/>
  <c r="BY42" i="49"/>
  <c r="BX42" i="49"/>
  <c r="BW42" i="49"/>
  <c r="BV42" i="49"/>
  <c r="BU42" i="49"/>
  <c r="BT42" i="49"/>
  <c r="BS42" i="49"/>
  <c r="BR42" i="49"/>
  <c r="BQ42" i="49"/>
  <c r="BP42" i="49"/>
  <c r="BO42" i="49"/>
  <c r="T42" i="49"/>
  <c r="CA41" i="49"/>
  <c r="BZ41" i="49"/>
  <c r="BY41" i="49"/>
  <c r="BX41" i="49"/>
  <c r="BW41" i="49"/>
  <c r="BV41" i="49"/>
  <c r="BU41" i="49"/>
  <c r="BT41" i="49"/>
  <c r="BS41" i="49"/>
  <c r="BR41" i="49"/>
  <c r="BQ41" i="49"/>
  <c r="BP41" i="49"/>
  <c r="BO41" i="49"/>
  <c r="T41" i="49"/>
  <c r="CA40" i="49"/>
  <c r="BZ40" i="49"/>
  <c r="BY40" i="49"/>
  <c r="BX40" i="49"/>
  <c r="BW40" i="49"/>
  <c r="BV40" i="49"/>
  <c r="BU40" i="49"/>
  <c r="BT40" i="49"/>
  <c r="BS40" i="49"/>
  <c r="BR40" i="49"/>
  <c r="BQ40" i="49"/>
  <c r="BP40" i="49"/>
  <c r="BO40" i="49"/>
  <c r="T40" i="49"/>
  <c r="CA39" i="49"/>
  <c r="BZ39" i="49"/>
  <c r="BY39" i="49"/>
  <c r="BX39" i="49"/>
  <c r="BW39" i="49"/>
  <c r="BV39" i="49"/>
  <c r="BU39" i="49"/>
  <c r="BT39" i="49"/>
  <c r="BS39" i="49"/>
  <c r="BR39" i="49"/>
  <c r="BQ39" i="49"/>
  <c r="BP39" i="49"/>
  <c r="BO39" i="49"/>
  <c r="T39" i="49"/>
  <c r="CA38" i="49"/>
  <c r="BZ38" i="49"/>
  <c r="BY38" i="49"/>
  <c r="BX38" i="49"/>
  <c r="BW38" i="49"/>
  <c r="BV38" i="49"/>
  <c r="BU38" i="49"/>
  <c r="BT38" i="49"/>
  <c r="BS38" i="49"/>
  <c r="BR38" i="49"/>
  <c r="BQ38" i="49"/>
  <c r="BP38" i="49"/>
  <c r="BO38" i="49"/>
  <c r="T38" i="49"/>
  <c r="CA37" i="49"/>
  <c r="BZ37" i="49"/>
  <c r="BY37" i="49"/>
  <c r="BX37" i="49"/>
  <c r="BW37" i="49"/>
  <c r="BV37" i="49"/>
  <c r="BU37" i="49"/>
  <c r="BT37" i="49"/>
  <c r="BS37" i="49"/>
  <c r="BR37" i="49"/>
  <c r="BQ37" i="49"/>
  <c r="BP37" i="49"/>
  <c r="BO37" i="49"/>
  <c r="T37" i="49"/>
  <c r="CA36" i="49"/>
  <c r="BZ36" i="49"/>
  <c r="BY36" i="49"/>
  <c r="BX36" i="49"/>
  <c r="BW36" i="49"/>
  <c r="BV36" i="49"/>
  <c r="BU36" i="49"/>
  <c r="BT36" i="49"/>
  <c r="BS36" i="49"/>
  <c r="BR36" i="49"/>
  <c r="BQ36" i="49"/>
  <c r="BP36" i="49"/>
  <c r="BO36" i="49"/>
  <c r="T36" i="49"/>
  <c r="CA35" i="49"/>
  <c r="BZ35" i="49"/>
  <c r="BY35" i="49"/>
  <c r="BX35" i="49"/>
  <c r="BW35" i="49"/>
  <c r="BV35" i="49"/>
  <c r="BU35" i="49"/>
  <c r="BT35" i="49"/>
  <c r="BS35" i="49"/>
  <c r="BR35" i="49"/>
  <c r="BQ35" i="49"/>
  <c r="BP35" i="49"/>
  <c r="BO35" i="49"/>
  <c r="T35" i="49"/>
  <c r="CA34" i="49"/>
  <c r="BZ34" i="49"/>
  <c r="BY34" i="49"/>
  <c r="BX34" i="49"/>
  <c r="BW34" i="49"/>
  <c r="BV34" i="49"/>
  <c r="BU34" i="49"/>
  <c r="BT34" i="49"/>
  <c r="BS34" i="49"/>
  <c r="BR34" i="49"/>
  <c r="BQ34" i="49"/>
  <c r="BP34" i="49"/>
  <c r="BO34" i="49"/>
  <c r="T34" i="49"/>
  <c r="CA33" i="49"/>
  <c r="BZ33" i="49"/>
  <c r="BY33" i="49"/>
  <c r="BX33" i="49"/>
  <c r="BW33" i="49"/>
  <c r="BV33" i="49"/>
  <c r="BU33" i="49"/>
  <c r="BT33" i="49"/>
  <c r="BS33" i="49"/>
  <c r="BR33" i="49"/>
  <c r="BQ33" i="49"/>
  <c r="BP33" i="49"/>
  <c r="BO33" i="49"/>
  <c r="T33" i="49"/>
  <c r="CA32" i="49"/>
  <c r="BZ32" i="49"/>
  <c r="BY32" i="49"/>
  <c r="BX32" i="49"/>
  <c r="BW32" i="49"/>
  <c r="BV32" i="49"/>
  <c r="BU32" i="49"/>
  <c r="BT32" i="49"/>
  <c r="BS32" i="49"/>
  <c r="BR32" i="49"/>
  <c r="BQ32" i="49"/>
  <c r="BP32" i="49"/>
  <c r="BO32" i="49"/>
  <c r="T32" i="49"/>
  <c r="CA31" i="49"/>
  <c r="BZ31" i="49"/>
  <c r="BY31" i="49"/>
  <c r="BX31" i="49"/>
  <c r="BW31" i="49"/>
  <c r="BV31" i="49"/>
  <c r="BU31" i="49"/>
  <c r="BT31" i="49"/>
  <c r="BS31" i="49"/>
  <c r="BR31" i="49"/>
  <c r="BQ31" i="49"/>
  <c r="BP31" i="49"/>
  <c r="BO31" i="49"/>
  <c r="T31" i="49"/>
  <c r="CA30" i="49"/>
  <c r="BZ30" i="49"/>
  <c r="BY30" i="49"/>
  <c r="BX30" i="49"/>
  <c r="BW30" i="49"/>
  <c r="BV30" i="49"/>
  <c r="BU30" i="49"/>
  <c r="BT30" i="49"/>
  <c r="BS30" i="49"/>
  <c r="BR30" i="49"/>
  <c r="BQ30" i="49"/>
  <c r="BP30" i="49"/>
  <c r="BO30" i="49"/>
  <c r="T30" i="49"/>
  <c r="CA29" i="49"/>
  <c r="BZ29" i="49"/>
  <c r="BY29" i="49"/>
  <c r="BX29" i="49"/>
  <c r="BW29" i="49"/>
  <c r="BV29" i="49"/>
  <c r="BU29" i="49"/>
  <c r="BT29" i="49"/>
  <c r="BS29" i="49"/>
  <c r="BR29" i="49"/>
  <c r="BQ29" i="49"/>
  <c r="BP29" i="49"/>
  <c r="BO29" i="49"/>
  <c r="T29" i="49"/>
  <c r="CA28" i="49"/>
  <c r="BZ28" i="49"/>
  <c r="BY28" i="49"/>
  <c r="BX28" i="49"/>
  <c r="BW28" i="49"/>
  <c r="BV28" i="49"/>
  <c r="BU28" i="49"/>
  <c r="BT28" i="49"/>
  <c r="BS28" i="49"/>
  <c r="BR28" i="49"/>
  <c r="BQ28" i="49"/>
  <c r="BP28" i="49"/>
  <c r="BO28" i="49"/>
  <c r="T28" i="49"/>
  <c r="CA27" i="49"/>
  <c r="BZ27" i="49"/>
  <c r="BY27" i="49"/>
  <c r="BX27" i="49"/>
  <c r="BW27" i="49"/>
  <c r="BV27" i="49"/>
  <c r="BU27" i="49"/>
  <c r="BT27" i="49"/>
  <c r="BS27" i="49"/>
  <c r="BR27" i="49"/>
  <c r="BQ27" i="49"/>
  <c r="BP27" i="49"/>
  <c r="BO27" i="49"/>
  <c r="T27" i="49"/>
  <c r="CA26" i="49"/>
  <c r="BZ26" i="49"/>
  <c r="BY26" i="49"/>
  <c r="BX26" i="49"/>
  <c r="BW26" i="49"/>
  <c r="BV26" i="49"/>
  <c r="BU26" i="49"/>
  <c r="BT26" i="49"/>
  <c r="BS26" i="49"/>
  <c r="BR26" i="49"/>
  <c r="BQ26" i="49"/>
  <c r="BP26" i="49"/>
  <c r="BO26" i="49"/>
  <c r="T26" i="49"/>
  <c r="CA25" i="49"/>
  <c r="BZ25" i="49"/>
  <c r="BY25" i="49"/>
  <c r="BX25" i="49"/>
  <c r="BW25" i="49"/>
  <c r="BV25" i="49"/>
  <c r="BU25" i="49"/>
  <c r="BT25" i="49"/>
  <c r="BS25" i="49"/>
  <c r="BR25" i="49"/>
  <c r="BQ25" i="49"/>
  <c r="BP25" i="49"/>
  <c r="BO25" i="49"/>
  <c r="T25" i="49"/>
  <c r="CA24" i="49"/>
  <c r="BZ24" i="49"/>
  <c r="BY24" i="49"/>
  <c r="BX24" i="49"/>
  <c r="BW24" i="49"/>
  <c r="BV24" i="49"/>
  <c r="BU24" i="49"/>
  <c r="BT24" i="49"/>
  <c r="BS24" i="49"/>
  <c r="BR24" i="49"/>
  <c r="BQ24" i="49"/>
  <c r="BP24" i="49"/>
  <c r="BO24" i="49"/>
  <c r="T24" i="49"/>
  <c r="CA23" i="49"/>
  <c r="BZ23" i="49"/>
  <c r="BY23" i="49"/>
  <c r="BX23" i="49"/>
  <c r="BW23" i="49"/>
  <c r="BV23" i="49"/>
  <c r="BU23" i="49"/>
  <c r="BT23" i="49"/>
  <c r="BS23" i="49"/>
  <c r="BR23" i="49"/>
  <c r="BQ23" i="49"/>
  <c r="BP23" i="49"/>
  <c r="BO23" i="49"/>
  <c r="T23" i="49"/>
  <c r="CA22" i="49"/>
  <c r="BZ22" i="49"/>
  <c r="BY22" i="49"/>
  <c r="BX22" i="49"/>
  <c r="BW22" i="49"/>
  <c r="BV22" i="49"/>
  <c r="BU22" i="49"/>
  <c r="BT22" i="49"/>
  <c r="BS22" i="49"/>
  <c r="BR22" i="49"/>
  <c r="BQ22" i="49"/>
  <c r="BP22" i="49"/>
  <c r="BO22" i="49"/>
  <c r="T22" i="49"/>
  <c r="CA61" i="49"/>
  <c r="BZ61" i="49"/>
  <c r="BY61" i="49"/>
  <c r="BX61" i="49"/>
  <c r="BW61" i="49"/>
  <c r="BV61" i="49"/>
  <c r="BU61" i="49"/>
  <c r="BT61" i="49"/>
  <c r="BS61" i="49"/>
  <c r="BR61" i="49"/>
  <c r="BQ61" i="49"/>
  <c r="BP61" i="49"/>
  <c r="BO61" i="49"/>
  <c r="T61" i="49"/>
  <c r="CA60" i="49"/>
  <c r="BZ60" i="49"/>
  <c r="BY60" i="49"/>
  <c r="BX60" i="49"/>
  <c r="BW60" i="49"/>
  <c r="BV60" i="49"/>
  <c r="BU60" i="49"/>
  <c r="BT60" i="49"/>
  <c r="BS60" i="49"/>
  <c r="BR60" i="49"/>
  <c r="BQ60" i="49"/>
  <c r="BP60" i="49"/>
  <c r="BO60" i="49"/>
  <c r="T60" i="49"/>
  <c r="CA59" i="49"/>
  <c r="BZ59" i="49"/>
  <c r="BY59" i="49"/>
  <c r="BX59" i="49"/>
  <c r="BW59" i="49"/>
  <c r="BV59" i="49"/>
  <c r="BU59" i="49"/>
  <c r="BT59" i="49"/>
  <c r="BS59" i="49"/>
  <c r="BR59" i="49"/>
  <c r="BQ59" i="49"/>
  <c r="BP59" i="49"/>
  <c r="BO59" i="49"/>
  <c r="T59" i="49"/>
  <c r="CA58" i="49"/>
  <c r="BZ58" i="49"/>
  <c r="BY58" i="49"/>
  <c r="BX58" i="49"/>
  <c r="BW58" i="49"/>
  <c r="BV58" i="49"/>
  <c r="BU58" i="49"/>
  <c r="BT58" i="49"/>
  <c r="BS58" i="49"/>
  <c r="BR58" i="49"/>
  <c r="BQ58" i="49"/>
  <c r="BP58" i="49"/>
  <c r="BO58" i="49"/>
  <c r="T58" i="49"/>
  <c r="CA57" i="49"/>
  <c r="BZ57" i="49"/>
  <c r="BY57" i="49"/>
  <c r="BX57" i="49"/>
  <c r="BW57" i="49"/>
  <c r="BV57" i="49"/>
  <c r="BU57" i="49"/>
  <c r="BT57" i="49"/>
  <c r="BS57" i="49"/>
  <c r="BR57" i="49"/>
  <c r="BQ57" i="49"/>
  <c r="BP57" i="49"/>
  <c r="BO57" i="49"/>
  <c r="T57" i="49"/>
  <c r="CA56" i="49"/>
  <c r="BZ56" i="49"/>
  <c r="BY56" i="49"/>
  <c r="BX56" i="49"/>
  <c r="BW56" i="49"/>
  <c r="BV56" i="49"/>
  <c r="BU56" i="49"/>
  <c r="BT56" i="49"/>
  <c r="BS56" i="49"/>
  <c r="BR56" i="49"/>
  <c r="BQ56" i="49"/>
  <c r="BP56" i="49"/>
  <c r="BO56" i="49"/>
  <c r="T56" i="49"/>
  <c r="CA55" i="49"/>
  <c r="BZ55" i="49"/>
  <c r="BY55" i="49"/>
  <c r="BX55" i="49"/>
  <c r="BW55" i="49"/>
  <c r="BV55" i="49"/>
  <c r="BU55" i="49"/>
  <c r="BT55" i="49"/>
  <c r="BS55" i="49"/>
  <c r="BR55" i="49"/>
  <c r="BQ55" i="49"/>
  <c r="BP55" i="49"/>
  <c r="BO55" i="49"/>
  <c r="T55" i="49"/>
  <c r="CA17" i="49"/>
  <c r="BZ17" i="49"/>
  <c r="BY17" i="49"/>
  <c r="BX17" i="49"/>
  <c r="BW17" i="49"/>
  <c r="BV17" i="49"/>
  <c r="BU17" i="49"/>
  <c r="BT17" i="49"/>
  <c r="BS17" i="49"/>
  <c r="BR17" i="49"/>
  <c r="BQ17" i="49"/>
  <c r="BP17" i="49"/>
  <c r="BO17" i="49"/>
  <c r="T17" i="49"/>
  <c r="CA16" i="49"/>
  <c r="BZ16" i="49"/>
  <c r="BY16" i="49"/>
  <c r="BX16" i="49"/>
  <c r="BW16" i="49"/>
  <c r="BV16" i="49"/>
  <c r="BU16" i="49"/>
  <c r="BT16" i="49"/>
  <c r="BS16" i="49"/>
  <c r="BR16" i="49"/>
  <c r="BQ16" i="49"/>
  <c r="BP16" i="49"/>
  <c r="BO16" i="49"/>
  <c r="T16" i="49"/>
  <c r="CA15" i="49"/>
  <c r="BZ15" i="49"/>
  <c r="BY15" i="49"/>
  <c r="BX15" i="49"/>
  <c r="BW15" i="49"/>
  <c r="BV15" i="49"/>
  <c r="BU15" i="49"/>
  <c r="BT15" i="49"/>
  <c r="BS15" i="49"/>
  <c r="BR15" i="49"/>
  <c r="BQ15" i="49"/>
  <c r="BP15" i="49"/>
  <c r="BO15" i="49"/>
  <c r="T15" i="49"/>
  <c r="CA14" i="49"/>
  <c r="BZ14" i="49"/>
  <c r="BY14" i="49"/>
  <c r="BX14" i="49"/>
  <c r="BW14" i="49"/>
  <c r="BV14" i="49"/>
  <c r="BU14" i="49"/>
  <c r="BT14" i="49"/>
  <c r="BS14" i="49"/>
  <c r="BR14" i="49"/>
  <c r="BQ14" i="49"/>
  <c r="BP14" i="49"/>
  <c r="BO14" i="49"/>
  <c r="T14" i="49"/>
  <c r="CA13" i="49"/>
  <c r="BZ13" i="49"/>
  <c r="BY13" i="49"/>
  <c r="BX13" i="49"/>
  <c r="BW13" i="49"/>
  <c r="BV13" i="49"/>
  <c r="BU13" i="49"/>
  <c r="BT13" i="49"/>
  <c r="BS13" i="49"/>
  <c r="BR13" i="49"/>
  <c r="BQ13" i="49"/>
  <c r="BP13" i="49"/>
  <c r="BO13" i="49"/>
  <c r="T13" i="49"/>
  <c r="CA12" i="49"/>
  <c r="BZ12" i="49"/>
  <c r="BY12" i="49"/>
  <c r="BX12" i="49"/>
  <c r="BW12" i="49"/>
  <c r="BV12" i="49"/>
  <c r="BU12" i="49"/>
  <c r="BT12" i="49"/>
  <c r="BS12" i="49"/>
  <c r="BR12" i="49"/>
  <c r="BQ12" i="49"/>
  <c r="BP12" i="49"/>
  <c r="BO12" i="49"/>
  <c r="T12" i="49"/>
  <c r="CA11" i="49"/>
  <c r="BZ11" i="49"/>
  <c r="BY11" i="49"/>
  <c r="BX11" i="49"/>
  <c r="BW11" i="49"/>
  <c r="BV11" i="49"/>
  <c r="BU11" i="49"/>
  <c r="BT11" i="49"/>
  <c r="BS11" i="49"/>
  <c r="BR11" i="49"/>
  <c r="BQ11" i="49"/>
  <c r="BP11" i="49"/>
  <c r="BO11" i="49"/>
  <c r="T11" i="49"/>
  <c r="CA21" i="49"/>
  <c r="BZ21" i="49"/>
  <c r="BY21" i="49"/>
  <c r="BX21" i="49"/>
  <c r="BW21" i="49"/>
  <c r="BV21" i="49"/>
  <c r="BU21" i="49"/>
  <c r="BT21" i="49"/>
  <c r="BS21" i="49"/>
  <c r="BR21" i="49"/>
  <c r="BQ21" i="49"/>
  <c r="BP21" i="49"/>
  <c r="BO21" i="49"/>
  <c r="T21" i="49"/>
  <c r="CA20" i="49"/>
  <c r="BZ20" i="49"/>
  <c r="BY20" i="49"/>
  <c r="BX20" i="49"/>
  <c r="BW20" i="49"/>
  <c r="BV20" i="49"/>
  <c r="BU20" i="49"/>
  <c r="BT20" i="49"/>
  <c r="BS20" i="49"/>
  <c r="BR20" i="49"/>
  <c r="BQ20" i="49"/>
  <c r="BP20" i="49"/>
  <c r="BO20" i="49"/>
  <c r="T20" i="49"/>
  <c r="CA19" i="49"/>
  <c r="BZ19" i="49"/>
  <c r="BY19" i="49"/>
  <c r="BX19" i="49"/>
  <c r="BW19" i="49"/>
  <c r="BV19" i="49"/>
  <c r="BU19" i="49"/>
  <c r="BT19" i="49"/>
  <c r="BS19" i="49"/>
  <c r="BR19" i="49"/>
  <c r="BQ19" i="49"/>
  <c r="BP19" i="49"/>
  <c r="BO19" i="49"/>
  <c r="T19" i="49"/>
  <c r="CA18" i="49"/>
  <c r="BZ18" i="49"/>
  <c r="BY18" i="49"/>
  <c r="BX18" i="49"/>
  <c r="BW18" i="49"/>
  <c r="BV18" i="49"/>
  <c r="BU18" i="49"/>
  <c r="BT18" i="49"/>
  <c r="BS18" i="49"/>
  <c r="BR18" i="49"/>
  <c r="BQ18" i="49"/>
  <c r="BP18" i="49"/>
  <c r="BO18" i="49"/>
  <c r="T18" i="49"/>
  <c r="CA54" i="49"/>
  <c r="BZ54" i="49"/>
  <c r="BY54" i="49"/>
  <c r="BX54" i="49"/>
  <c r="BW54" i="49"/>
  <c r="BV54" i="49"/>
  <c r="BU54" i="49"/>
  <c r="BT54" i="49"/>
  <c r="BS54" i="49"/>
  <c r="BR54" i="49"/>
  <c r="BQ54" i="49"/>
  <c r="BP54" i="49"/>
  <c r="BO54" i="49"/>
  <c r="T54" i="49"/>
  <c r="CA53" i="49"/>
  <c r="BZ53" i="49"/>
  <c r="BY53" i="49"/>
  <c r="BX53" i="49"/>
  <c r="BW53" i="49"/>
  <c r="BV53" i="49"/>
  <c r="BU53" i="49"/>
  <c r="BT53" i="49"/>
  <c r="BS53" i="49"/>
  <c r="BR53" i="49"/>
  <c r="BQ53" i="49"/>
  <c r="BP53" i="49"/>
  <c r="BO53" i="49"/>
  <c r="T53" i="49"/>
  <c r="CA52" i="49"/>
  <c r="BZ52" i="49"/>
  <c r="BY52" i="49"/>
  <c r="BX52" i="49"/>
  <c r="BW52" i="49"/>
  <c r="BV52" i="49"/>
  <c r="BU52" i="49"/>
  <c r="BT52" i="49"/>
  <c r="BS52" i="49"/>
  <c r="BR52" i="49"/>
  <c r="BQ52" i="49"/>
  <c r="BP52" i="49"/>
  <c r="BO52" i="49"/>
  <c r="T52" i="49"/>
  <c r="CA51" i="49"/>
  <c r="BZ51" i="49"/>
  <c r="BY51" i="49"/>
  <c r="BX51" i="49"/>
  <c r="BW51" i="49"/>
  <c r="BV51" i="49"/>
  <c r="BU51" i="49"/>
  <c r="BT51" i="49"/>
  <c r="BS51" i="49"/>
  <c r="BR51" i="49"/>
  <c r="BQ51" i="49"/>
  <c r="BP51" i="49"/>
  <c r="BO51" i="49"/>
  <c r="T51" i="49"/>
  <c r="CA50" i="49"/>
  <c r="BZ50" i="49"/>
  <c r="BY50" i="49"/>
  <c r="BX50" i="49"/>
  <c r="BW50" i="49"/>
  <c r="BV50" i="49"/>
  <c r="BU50" i="49"/>
  <c r="BT50" i="49"/>
  <c r="BS50" i="49"/>
  <c r="BR50" i="49"/>
  <c r="BQ50" i="49"/>
  <c r="BP50" i="49"/>
  <c r="BO50" i="49"/>
  <c r="T50" i="49"/>
  <c r="CA49" i="49"/>
  <c r="BZ49" i="49"/>
  <c r="BY49" i="49"/>
  <c r="BX49" i="49"/>
  <c r="BW49" i="49"/>
  <c r="BV49" i="49"/>
  <c r="BU49" i="49"/>
  <c r="BT49" i="49"/>
  <c r="BS49" i="49"/>
  <c r="BR49" i="49"/>
  <c r="BQ49" i="49"/>
  <c r="BP49" i="49"/>
  <c r="BO49" i="49"/>
  <c r="T49" i="49"/>
  <c r="CA48" i="49"/>
  <c r="BZ48" i="49"/>
  <c r="BY48" i="49"/>
  <c r="BX48" i="49"/>
  <c r="BW48" i="49"/>
  <c r="BV48" i="49"/>
  <c r="BU48" i="49"/>
  <c r="BT48" i="49"/>
  <c r="BS48" i="49"/>
  <c r="BR48" i="49"/>
  <c r="BQ48" i="49"/>
  <c r="BP48" i="49"/>
  <c r="BO48" i="49"/>
  <c r="T48" i="49"/>
  <c r="CA47" i="49"/>
  <c r="BZ47" i="49"/>
  <c r="BY47" i="49"/>
  <c r="BX47" i="49"/>
  <c r="BW47" i="49"/>
  <c r="BV47" i="49"/>
  <c r="BU47" i="49"/>
  <c r="BT47" i="49"/>
  <c r="BS47" i="49"/>
  <c r="BR47" i="49"/>
  <c r="BQ47" i="49"/>
  <c r="BP47" i="49"/>
  <c r="BO47" i="49"/>
  <c r="T47" i="49"/>
  <c r="CA46" i="49"/>
  <c r="BZ46" i="49"/>
  <c r="BY46" i="49"/>
  <c r="BX46" i="49"/>
  <c r="BW46" i="49"/>
  <c r="BV46" i="49"/>
  <c r="BU46" i="49"/>
  <c r="BT46" i="49"/>
  <c r="BS46" i="49"/>
  <c r="BR46" i="49"/>
  <c r="BQ46" i="49"/>
  <c r="BP46" i="49"/>
  <c r="BO46" i="49"/>
  <c r="T46" i="49"/>
  <c r="CA45" i="49"/>
  <c r="BZ45" i="49"/>
  <c r="BY45" i="49"/>
  <c r="BX45" i="49"/>
  <c r="BW45" i="49"/>
  <c r="BV45" i="49"/>
  <c r="BU45" i="49"/>
  <c r="BT45" i="49"/>
  <c r="BS45" i="49"/>
  <c r="BR45" i="49"/>
  <c r="BQ45" i="49"/>
  <c r="BP45" i="49"/>
  <c r="BO45" i="49"/>
  <c r="T45" i="49"/>
  <c r="CA10" i="49"/>
  <c r="BZ10" i="49"/>
  <c r="BY10" i="49"/>
  <c r="BX10" i="49"/>
  <c r="BW10" i="49"/>
  <c r="BV10" i="49"/>
  <c r="BU10" i="49"/>
  <c r="BT10" i="49"/>
  <c r="BS10" i="49"/>
  <c r="BR10" i="49"/>
  <c r="BQ10" i="49"/>
  <c r="BP10" i="49"/>
  <c r="BO10" i="49"/>
  <c r="T10" i="49"/>
  <c r="CA9" i="49"/>
  <c r="BZ9" i="49"/>
  <c r="BY9" i="49"/>
  <c r="BX9" i="49"/>
  <c r="BW9" i="49"/>
  <c r="BV9" i="49"/>
  <c r="BU9" i="49"/>
  <c r="BT9" i="49"/>
  <c r="BS9" i="49"/>
  <c r="BR9" i="49"/>
  <c r="BQ9" i="49"/>
  <c r="BP9" i="49"/>
  <c r="BO9" i="49"/>
  <c r="T9" i="49"/>
  <c r="CA8" i="49"/>
  <c r="BZ8" i="49"/>
  <c r="BY8" i="49"/>
  <c r="BX8" i="49"/>
  <c r="BW8" i="49"/>
  <c r="BV8" i="49"/>
  <c r="BU8" i="49"/>
  <c r="BT8" i="49"/>
  <c r="BS8" i="49"/>
  <c r="BR8" i="49"/>
  <c r="BQ8" i="49"/>
  <c r="BP8" i="49"/>
  <c r="BO8" i="49"/>
  <c r="T8" i="49"/>
  <c r="CA7" i="49"/>
  <c r="BZ7" i="49"/>
  <c r="BY7" i="49"/>
  <c r="BX7" i="49"/>
  <c r="BW7" i="49"/>
  <c r="BV7" i="49"/>
  <c r="BU7" i="49"/>
  <c r="BT7" i="49"/>
  <c r="BS7" i="49"/>
  <c r="BR7" i="49"/>
  <c r="BQ7" i="49"/>
  <c r="BP7" i="49"/>
  <c r="BO7" i="49"/>
  <c r="T7" i="49"/>
  <c r="CA6" i="49"/>
  <c r="BZ6" i="49"/>
  <c r="BY6" i="49"/>
  <c r="BX6" i="49"/>
  <c r="BW6" i="49"/>
  <c r="BV6" i="49"/>
  <c r="BU6" i="49"/>
  <c r="BT6" i="49"/>
  <c r="BS6" i="49"/>
  <c r="BR6" i="49"/>
  <c r="BQ6" i="49"/>
  <c r="BP6" i="49"/>
  <c r="BO6" i="49"/>
  <c r="T6" i="49"/>
  <c r="CA5" i="49"/>
  <c r="BZ5" i="49"/>
  <c r="BY5" i="49"/>
  <c r="BX5" i="49"/>
  <c r="BW5" i="49"/>
  <c r="BV5" i="49"/>
  <c r="BU5" i="49"/>
  <c r="BT5" i="49"/>
  <c r="BS5" i="49"/>
  <c r="BR5" i="49"/>
  <c r="BQ5" i="49"/>
  <c r="BP5" i="49"/>
  <c r="BO5" i="49"/>
  <c r="T5" i="49"/>
  <c r="CA4" i="49"/>
  <c r="BZ4" i="49"/>
  <c r="BY4" i="49"/>
  <c r="BX4" i="49"/>
  <c r="BW4" i="49"/>
  <c r="BV4" i="49"/>
  <c r="BU4" i="49"/>
  <c r="BT4" i="49"/>
  <c r="BS4" i="49"/>
  <c r="BR4" i="49"/>
  <c r="BQ4" i="49"/>
  <c r="BP4" i="49"/>
  <c r="BO4" i="49"/>
  <c r="T4" i="49"/>
  <c r="CA3" i="49"/>
  <c r="BZ3" i="49"/>
  <c r="BY3" i="49"/>
  <c r="BX3" i="49"/>
  <c r="BW3" i="49"/>
  <c r="BV3" i="49"/>
  <c r="BU3" i="49"/>
  <c r="BT3" i="49"/>
  <c r="BS3" i="49"/>
  <c r="BR3" i="49"/>
  <c r="BQ3" i="49"/>
  <c r="BP3" i="49"/>
  <c r="BO3" i="49"/>
  <c r="T3" i="49"/>
  <c r="CA2" i="49"/>
  <c r="BZ2" i="49"/>
  <c r="BY2" i="49"/>
  <c r="BX2" i="49"/>
  <c r="BW2" i="49"/>
  <c r="BV2" i="49"/>
  <c r="BU2" i="49"/>
  <c r="BT2" i="49"/>
  <c r="BS2" i="49"/>
  <c r="BR2" i="49"/>
  <c r="BQ2" i="49"/>
  <c r="BP2" i="49"/>
  <c r="BO2" i="49"/>
  <c r="T2" i="49"/>
  <c r="CC262" i="52"/>
  <c r="CB262" i="52"/>
  <c r="CA262" i="52"/>
  <c r="BZ262" i="52"/>
  <c r="BY262" i="52"/>
  <c r="BX262" i="52"/>
  <c r="BW262" i="52"/>
  <c r="BV262" i="52"/>
  <c r="BU262" i="52"/>
  <c r="BT262" i="52"/>
  <c r="BS262" i="52"/>
  <c r="BR262" i="52"/>
  <c r="BQ262" i="52"/>
  <c r="T262" i="52"/>
  <c r="CC261" i="52"/>
  <c r="CB261" i="52"/>
  <c r="CA261" i="52"/>
  <c r="BZ261" i="52"/>
  <c r="BY261" i="52"/>
  <c r="BX261" i="52"/>
  <c r="BW261" i="52"/>
  <c r="BV261" i="52"/>
  <c r="BU261" i="52"/>
  <c r="BT261" i="52"/>
  <c r="BS261" i="52"/>
  <c r="BR261" i="52"/>
  <c r="BQ261" i="52"/>
  <c r="T261" i="52"/>
  <c r="CC260" i="52"/>
  <c r="CB260" i="52"/>
  <c r="CA260" i="52"/>
  <c r="BZ260" i="52"/>
  <c r="BY260" i="52"/>
  <c r="BX260" i="52"/>
  <c r="BW260" i="52"/>
  <c r="BV260" i="52"/>
  <c r="BU260" i="52"/>
  <c r="BT260" i="52"/>
  <c r="BS260" i="52"/>
  <c r="BR260" i="52"/>
  <c r="BQ260" i="52"/>
  <c r="T260" i="52"/>
  <c r="DY259" i="52"/>
  <c r="CC259" i="52"/>
  <c r="CB259" i="52"/>
  <c r="CA259" i="52"/>
  <c r="BZ259" i="52"/>
  <c r="BY259" i="52"/>
  <c r="BX259" i="52"/>
  <c r="BW259" i="52"/>
  <c r="BV259" i="52"/>
  <c r="BU259" i="52"/>
  <c r="BT259" i="52"/>
  <c r="BS259" i="52"/>
  <c r="BR259" i="52"/>
  <c r="BQ259" i="52"/>
  <c r="T259" i="52"/>
  <c r="CC258" i="52"/>
  <c r="CB258" i="52"/>
  <c r="CA258" i="52"/>
  <c r="BZ258" i="52"/>
  <c r="BY258" i="52"/>
  <c r="BX258" i="52"/>
  <c r="BW258" i="52"/>
  <c r="BV258" i="52"/>
  <c r="BU258" i="52"/>
  <c r="BT258" i="52"/>
  <c r="BS258" i="52"/>
  <c r="BR258" i="52"/>
  <c r="BQ258" i="52"/>
  <c r="T258" i="52"/>
  <c r="CC257" i="52"/>
  <c r="CB257" i="52"/>
  <c r="CA257" i="52"/>
  <c r="BZ257" i="52"/>
  <c r="BY257" i="52"/>
  <c r="BX257" i="52"/>
  <c r="BW257" i="52"/>
  <c r="BV257" i="52"/>
  <c r="BU257" i="52"/>
  <c r="BT257" i="52"/>
  <c r="BS257" i="52"/>
  <c r="BR257" i="52"/>
  <c r="BQ257" i="52"/>
  <c r="T257" i="52"/>
  <c r="CC256" i="52"/>
  <c r="CB256" i="52"/>
  <c r="CA256" i="52"/>
  <c r="BZ256" i="52"/>
  <c r="BY256" i="52"/>
  <c r="BX256" i="52"/>
  <c r="BW256" i="52"/>
  <c r="BV256" i="52"/>
  <c r="BU256" i="52"/>
  <c r="BT256" i="52"/>
  <c r="BS256" i="52"/>
  <c r="BR256" i="52"/>
  <c r="BQ256" i="52"/>
  <c r="T256" i="52"/>
  <c r="CC255" i="52"/>
  <c r="CB255" i="52"/>
  <c r="CA255" i="52"/>
  <c r="BZ255" i="52"/>
  <c r="BY255" i="52"/>
  <c r="BX255" i="52"/>
  <c r="BW255" i="52"/>
  <c r="BV255" i="52"/>
  <c r="BU255" i="52"/>
  <c r="BT255" i="52"/>
  <c r="BS255" i="52"/>
  <c r="BR255" i="52"/>
  <c r="BQ255" i="52"/>
  <c r="T255" i="52"/>
  <c r="CC254" i="52"/>
  <c r="CB254" i="52"/>
  <c r="CA254" i="52"/>
  <c r="BZ254" i="52"/>
  <c r="BY254" i="52"/>
  <c r="BX254" i="52"/>
  <c r="BW254" i="52"/>
  <c r="BV254" i="52"/>
  <c r="BU254" i="52"/>
  <c r="BT254" i="52"/>
  <c r="BS254" i="52"/>
  <c r="BR254" i="52"/>
  <c r="BQ254" i="52"/>
  <c r="T254" i="52"/>
  <c r="CC253" i="52"/>
  <c r="CB253" i="52"/>
  <c r="CA253" i="52"/>
  <c r="BZ253" i="52"/>
  <c r="BY253" i="52"/>
  <c r="BX253" i="52"/>
  <c r="BW253" i="52"/>
  <c r="BV253" i="52"/>
  <c r="BU253" i="52"/>
  <c r="BT253" i="52"/>
  <c r="BS253" i="52"/>
  <c r="BR253" i="52"/>
  <c r="BQ253" i="52"/>
  <c r="T253" i="52"/>
  <c r="CC252" i="52"/>
  <c r="CB252" i="52"/>
  <c r="CA252" i="52"/>
  <c r="BZ252" i="52"/>
  <c r="BY252" i="52"/>
  <c r="BX252" i="52"/>
  <c r="BW252" i="52"/>
  <c r="BV252" i="52"/>
  <c r="BU252" i="52"/>
  <c r="BT252" i="52"/>
  <c r="BS252" i="52"/>
  <c r="BR252" i="52"/>
  <c r="BQ252" i="52"/>
  <c r="T252" i="52"/>
  <c r="CC251" i="52"/>
  <c r="CB251" i="52"/>
  <c r="CA251" i="52"/>
  <c r="BZ251" i="52"/>
  <c r="BY251" i="52"/>
  <c r="BX251" i="52"/>
  <c r="BW251" i="52"/>
  <c r="BV251" i="52"/>
  <c r="BU251" i="52"/>
  <c r="BT251" i="52"/>
  <c r="BS251" i="52"/>
  <c r="BR251" i="52"/>
  <c r="BQ251" i="52"/>
  <c r="T251" i="52"/>
  <c r="CC250" i="52"/>
  <c r="CB250" i="52"/>
  <c r="CA250" i="52"/>
  <c r="BZ250" i="52"/>
  <c r="BY250" i="52"/>
  <c r="BX250" i="52"/>
  <c r="BW250" i="52"/>
  <c r="BV250" i="52"/>
  <c r="BU250" i="52"/>
  <c r="BT250" i="52"/>
  <c r="BS250" i="52"/>
  <c r="BR250" i="52"/>
  <c r="BQ250" i="52"/>
  <c r="T250" i="52"/>
  <c r="CC249" i="52"/>
  <c r="CB249" i="52"/>
  <c r="CA249" i="52"/>
  <c r="BZ249" i="52"/>
  <c r="BY249" i="52"/>
  <c r="BX249" i="52"/>
  <c r="BW249" i="52"/>
  <c r="BV249" i="52"/>
  <c r="BU249" i="52"/>
  <c r="BT249" i="52"/>
  <c r="BS249" i="52"/>
  <c r="BR249" i="52"/>
  <c r="BQ249" i="52"/>
  <c r="T249" i="52"/>
  <c r="CC248" i="52"/>
  <c r="CB248" i="52"/>
  <c r="CA248" i="52"/>
  <c r="BZ248" i="52"/>
  <c r="BY248" i="52"/>
  <c r="BX248" i="52"/>
  <c r="BW248" i="52"/>
  <c r="BV248" i="52"/>
  <c r="BU248" i="52"/>
  <c r="BT248" i="52"/>
  <c r="BS248" i="52"/>
  <c r="BR248" i="52"/>
  <c r="BQ248" i="52"/>
  <c r="T248" i="52"/>
  <c r="CC73" i="52"/>
  <c r="CB73" i="52"/>
  <c r="CA73" i="52"/>
  <c r="BZ73" i="52"/>
  <c r="BY73" i="52"/>
  <c r="BX73" i="52"/>
  <c r="BW73" i="52"/>
  <c r="BV73" i="52"/>
  <c r="BU73" i="52"/>
  <c r="BT73" i="52"/>
  <c r="BS73" i="52"/>
  <c r="BR73" i="52"/>
  <c r="BQ73" i="52"/>
  <c r="T73" i="52"/>
  <c r="CC72" i="52"/>
  <c r="CB72" i="52"/>
  <c r="CA72" i="52"/>
  <c r="BZ72" i="52"/>
  <c r="BY72" i="52"/>
  <c r="BX72" i="52"/>
  <c r="BW72" i="52"/>
  <c r="BV72" i="52"/>
  <c r="BU72" i="52"/>
  <c r="BT72" i="52"/>
  <c r="BS72" i="52"/>
  <c r="BR72" i="52"/>
  <c r="BQ72" i="52"/>
  <c r="T72" i="52"/>
  <c r="CC71" i="52"/>
  <c r="CB71" i="52"/>
  <c r="CA71" i="52"/>
  <c r="BZ71" i="52"/>
  <c r="BY71" i="52"/>
  <c r="BX71" i="52"/>
  <c r="BW71" i="52"/>
  <c r="BV71" i="52"/>
  <c r="BU71" i="52"/>
  <c r="BT71" i="52"/>
  <c r="BS71" i="52"/>
  <c r="BR71" i="52"/>
  <c r="BQ71" i="52"/>
  <c r="T71" i="52"/>
  <c r="CC70" i="52"/>
  <c r="CB70" i="52"/>
  <c r="CA70" i="52"/>
  <c r="BZ70" i="52"/>
  <c r="BY70" i="52"/>
  <c r="BX70" i="52"/>
  <c r="BW70" i="52"/>
  <c r="BV70" i="52"/>
  <c r="BU70" i="52"/>
  <c r="BT70" i="52"/>
  <c r="BS70" i="52"/>
  <c r="BR70" i="52"/>
  <c r="BQ70" i="52"/>
  <c r="T70" i="52"/>
  <c r="CC69" i="52"/>
  <c r="CB69" i="52"/>
  <c r="CA69" i="52"/>
  <c r="BZ69" i="52"/>
  <c r="BY69" i="52"/>
  <c r="BX69" i="52"/>
  <c r="BW69" i="52"/>
  <c r="BV69" i="52"/>
  <c r="BU69" i="52"/>
  <c r="BT69" i="52"/>
  <c r="BS69" i="52"/>
  <c r="BR69" i="52"/>
  <c r="BQ69" i="52"/>
  <c r="T69" i="52"/>
  <c r="CC68" i="52"/>
  <c r="CB68" i="52"/>
  <c r="CA68" i="52"/>
  <c r="BZ68" i="52"/>
  <c r="BY68" i="52"/>
  <c r="BX68" i="52"/>
  <c r="BW68" i="52"/>
  <c r="BV68" i="52"/>
  <c r="BU68" i="52"/>
  <c r="BT68" i="52"/>
  <c r="BS68" i="52"/>
  <c r="BR68" i="52"/>
  <c r="BQ68" i="52"/>
  <c r="T68" i="52"/>
  <c r="CC67" i="52"/>
  <c r="CB67" i="52"/>
  <c r="CA67" i="52"/>
  <c r="BZ67" i="52"/>
  <c r="BY67" i="52"/>
  <c r="BX67" i="52"/>
  <c r="BW67" i="52"/>
  <c r="BV67" i="52"/>
  <c r="BU67" i="52"/>
  <c r="BT67" i="52"/>
  <c r="BS67" i="52"/>
  <c r="BR67" i="52"/>
  <c r="BQ67" i="52"/>
  <c r="T67" i="52"/>
  <c r="CC66" i="52"/>
  <c r="CB66" i="52"/>
  <c r="CA66" i="52"/>
  <c r="BZ66" i="52"/>
  <c r="BY66" i="52"/>
  <c r="BX66" i="52"/>
  <c r="BW66" i="52"/>
  <c r="BV66" i="52"/>
  <c r="BU66" i="52"/>
  <c r="BT66" i="52"/>
  <c r="BS66" i="52"/>
  <c r="BR66" i="52"/>
  <c r="BQ66" i="52"/>
  <c r="T66" i="52"/>
  <c r="CC65" i="52"/>
  <c r="CB65" i="52"/>
  <c r="CA65" i="52"/>
  <c r="BZ65" i="52"/>
  <c r="BY65" i="52"/>
  <c r="BX65" i="52"/>
  <c r="BW65" i="52"/>
  <c r="BV65" i="52"/>
  <c r="BU65" i="52"/>
  <c r="BT65" i="52"/>
  <c r="BS65" i="52"/>
  <c r="BR65" i="52"/>
  <c r="BQ65" i="52"/>
  <c r="T65" i="52"/>
  <c r="CC64" i="52"/>
  <c r="CB64" i="52"/>
  <c r="CA64" i="52"/>
  <c r="BZ64" i="52"/>
  <c r="BY64" i="52"/>
  <c r="BX64" i="52"/>
  <c r="BW64" i="52"/>
  <c r="BV64" i="52"/>
  <c r="BU64" i="52"/>
  <c r="BT64" i="52"/>
  <c r="BS64" i="52"/>
  <c r="BR64" i="52"/>
  <c r="BQ64" i="52"/>
  <c r="T64" i="52"/>
  <c r="CC63" i="52"/>
  <c r="CB63" i="52"/>
  <c r="CA63" i="52"/>
  <c r="BZ63" i="52"/>
  <c r="BY63" i="52"/>
  <c r="BX63" i="52"/>
  <c r="BW63" i="52"/>
  <c r="BV63" i="52"/>
  <c r="BU63" i="52"/>
  <c r="BT63" i="52"/>
  <c r="BS63" i="52"/>
  <c r="BR63" i="52"/>
  <c r="BQ63" i="52"/>
  <c r="T63" i="52"/>
  <c r="CC62" i="52"/>
  <c r="CB62" i="52"/>
  <c r="CA62" i="52"/>
  <c r="BZ62" i="52"/>
  <c r="BY62" i="52"/>
  <c r="BX62" i="52"/>
  <c r="BW62" i="52"/>
  <c r="BV62" i="52"/>
  <c r="BU62" i="52"/>
  <c r="BT62" i="52"/>
  <c r="BS62" i="52"/>
  <c r="BR62" i="52"/>
  <c r="BQ62" i="52"/>
  <c r="T62" i="52"/>
  <c r="CC61" i="52"/>
  <c r="CB61" i="52"/>
  <c r="CA61" i="52"/>
  <c r="BZ61" i="52"/>
  <c r="BY61" i="52"/>
  <c r="BX61" i="52"/>
  <c r="BW61" i="52"/>
  <c r="BV61" i="52"/>
  <c r="BU61" i="52"/>
  <c r="BT61" i="52"/>
  <c r="BS61" i="52"/>
  <c r="BR61" i="52"/>
  <c r="BQ61" i="52"/>
  <c r="T61" i="52"/>
  <c r="CC60" i="52"/>
  <c r="CB60" i="52"/>
  <c r="CA60" i="52"/>
  <c r="BZ60" i="52"/>
  <c r="BY60" i="52"/>
  <c r="BX60" i="52"/>
  <c r="BW60" i="52"/>
  <c r="BV60" i="52"/>
  <c r="BU60" i="52"/>
  <c r="BT60" i="52"/>
  <c r="BS60" i="52"/>
  <c r="BR60" i="52"/>
  <c r="BQ60" i="52"/>
  <c r="T60" i="52"/>
  <c r="CC59" i="52"/>
  <c r="CB59" i="52"/>
  <c r="CA59" i="52"/>
  <c r="BZ59" i="52"/>
  <c r="BY59" i="52"/>
  <c r="BX59" i="52"/>
  <c r="BW59" i="52"/>
  <c r="BV59" i="52"/>
  <c r="BU59" i="52"/>
  <c r="BT59" i="52"/>
  <c r="BS59" i="52"/>
  <c r="BR59" i="52"/>
  <c r="BQ59" i="52"/>
  <c r="T59" i="52"/>
  <c r="CC58" i="52"/>
  <c r="CB58" i="52"/>
  <c r="CA58" i="52"/>
  <c r="BZ58" i="52"/>
  <c r="BY58" i="52"/>
  <c r="BX58" i="52"/>
  <c r="BW58" i="52"/>
  <c r="BV58" i="52"/>
  <c r="BU58" i="52"/>
  <c r="BT58" i="52"/>
  <c r="BS58" i="52"/>
  <c r="BR58" i="52"/>
  <c r="BQ58" i="52"/>
  <c r="T58" i="52"/>
  <c r="CC57" i="52"/>
  <c r="CB57" i="52"/>
  <c r="CA57" i="52"/>
  <c r="BZ57" i="52"/>
  <c r="BY57" i="52"/>
  <c r="BX57" i="52"/>
  <c r="BW57" i="52"/>
  <c r="BV57" i="52"/>
  <c r="BU57" i="52"/>
  <c r="BT57" i="52"/>
  <c r="BS57" i="52"/>
  <c r="BR57" i="52"/>
  <c r="BQ57" i="52"/>
  <c r="T57" i="52"/>
  <c r="CC56" i="52"/>
  <c r="CB56" i="52"/>
  <c r="CA56" i="52"/>
  <c r="BZ56" i="52"/>
  <c r="BY56" i="52"/>
  <c r="BX56" i="52"/>
  <c r="BW56" i="52"/>
  <c r="BV56" i="52"/>
  <c r="BU56" i="52"/>
  <c r="BT56" i="52"/>
  <c r="BS56" i="52"/>
  <c r="BR56" i="52"/>
  <c r="BQ56" i="52"/>
  <c r="T56" i="52"/>
  <c r="CC55" i="52"/>
  <c r="CB55" i="52"/>
  <c r="CA55" i="52"/>
  <c r="BZ55" i="52"/>
  <c r="BY55" i="52"/>
  <c r="BX55" i="52"/>
  <c r="BW55" i="52"/>
  <c r="BV55" i="52"/>
  <c r="BU55" i="52"/>
  <c r="BT55" i="52"/>
  <c r="BS55" i="52"/>
  <c r="BR55" i="52"/>
  <c r="BQ55" i="52"/>
  <c r="T55" i="52"/>
  <c r="CC54" i="52"/>
  <c r="CB54" i="52"/>
  <c r="CA54" i="52"/>
  <c r="BZ54" i="52"/>
  <c r="BY54" i="52"/>
  <c r="BX54" i="52"/>
  <c r="BW54" i="52"/>
  <c r="BV54" i="52"/>
  <c r="BU54" i="52"/>
  <c r="BT54" i="52"/>
  <c r="BS54" i="52"/>
  <c r="BR54" i="52"/>
  <c r="BQ54" i="52"/>
  <c r="T54" i="52"/>
  <c r="CC53" i="52"/>
  <c r="CB53" i="52"/>
  <c r="CA53" i="52"/>
  <c r="BZ53" i="52"/>
  <c r="BY53" i="52"/>
  <c r="BX53" i="52"/>
  <c r="BW53" i="52"/>
  <c r="BV53" i="52"/>
  <c r="BU53" i="52"/>
  <c r="BT53" i="52"/>
  <c r="BS53" i="52"/>
  <c r="BR53" i="52"/>
  <c r="BQ53" i="52"/>
  <c r="T53" i="52"/>
  <c r="CC52" i="52"/>
  <c r="CB52" i="52"/>
  <c r="CA52" i="52"/>
  <c r="BZ52" i="52"/>
  <c r="BY52" i="52"/>
  <c r="BX52" i="52"/>
  <c r="BW52" i="52"/>
  <c r="BV52" i="52"/>
  <c r="BU52" i="52"/>
  <c r="BT52" i="52"/>
  <c r="BS52" i="52"/>
  <c r="BR52" i="52"/>
  <c r="BQ52" i="52"/>
  <c r="T52" i="52"/>
  <c r="CC31" i="52"/>
  <c r="CB31" i="52"/>
  <c r="CA31" i="52"/>
  <c r="BZ31" i="52"/>
  <c r="BY31" i="52"/>
  <c r="BX31" i="52"/>
  <c r="BW31" i="52"/>
  <c r="BV31" i="52"/>
  <c r="BU31" i="52"/>
  <c r="BT31" i="52"/>
  <c r="BS31" i="52"/>
  <c r="BR31" i="52"/>
  <c r="BQ31" i="52"/>
  <c r="T31" i="52"/>
  <c r="CC30" i="52"/>
  <c r="CB30" i="52"/>
  <c r="CA30" i="52"/>
  <c r="BZ30" i="52"/>
  <c r="BY30" i="52"/>
  <c r="BX30" i="52"/>
  <c r="BW30" i="52"/>
  <c r="BV30" i="52"/>
  <c r="BU30" i="52"/>
  <c r="BT30" i="52"/>
  <c r="BS30" i="52"/>
  <c r="BR30" i="52"/>
  <c r="BQ30" i="52"/>
  <c r="T30" i="52"/>
  <c r="CC29" i="52"/>
  <c r="CB29" i="52"/>
  <c r="CA29" i="52"/>
  <c r="BZ29" i="52"/>
  <c r="BY29" i="52"/>
  <c r="BX29" i="52"/>
  <c r="BW29" i="52"/>
  <c r="BV29" i="52"/>
  <c r="BU29" i="52"/>
  <c r="BT29" i="52"/>
  <c r="BS29" i="52"/>
  <c r="BR29" i="52"/>
  <c r="BQ29" i="52"/>
  <c r="T29" i="52"/>
  <c r="CC28" i="52"/>
  <c r="CB28" i="52"/>
  <c r="CA28" i="52"/>
  <c r="BZ28" i="52"/>
  <c r="BY28" i="52"/>
  <c r="BX28" i="52"/>
  <c r="BW28" i="52"/>
  <c r="BV28" i="52"/>
  <c r="BU28" i="52"/>
  <c r="BT28" i="52"/>
  <c r="BS28" i="52"/>
  <c r="BR28" i="52"/>
  <c r="BQ28" i="52"/>
  <c r="T28" i="52"/>
  <c r="CC27" i="52"/>
  <c r="CB27" i="52"/>
  <c r="CA27" i="52"/>
  <c r="BZ27" i="52"/>
  <c r="BY27" i="52"/>
  <c r="BX27" i="52"/>
  <c r="BW27" i="52"/>
  <c r="BV27" i="52"/>
  <c r="BU27" i="52"/>
  <c r="BT27" i="52"/>
  <c r="BS27" i="52"/>
  <c r="BR27" i="52"/>
  <c r="BQ27" i="52"/>
  <c r="T27" i="52"/>
  <c r="CC26" i="52"/>
  <c r="CB26" i="52"/>
  <c r="CA26" i="52"/>
  <c r="BZ26" i="52"/>
  <c r="BY26" i="52"/>
  <c r="BX26" i="52"/>
  <c r="BW26" i="52"/>
  <c r="BV26" i="52"/>
  <c r="BU26" i="52"/>
  <c r="BT26" i="52"/>
  <c r="BS26" i="52"/>
  <c r="BR26" i="52"/>
  <c r="BQ26" i="52"/>
  <c r="T26" i="52"/>
  <c r="CC25" i="52"/>
  <c r="CB25" i="52"/>
  <c r="CA25" i="52"/>
  <c r="BZ25" i="52"/>
  <c r="BY25" i="52"/>
  <c r="BX25" i="52"/>
  <c r="BW25" i="52"/>
  <c r="BV25" i="52"/>
  <c r="BU25" i="52"/>
  <c r="BT25" i="52"/>
  <c r="BS25" i="52"/>
  <c r="BR25" i="52"/>
  <c r="BQ25" i="52"/>
  <c r="T25" i="52"/>
  <c r="CC24" i="52"/>
  <c r="CB24" i="52"/>
  <c r="CA24" i="52"/>
  <c r="BZ24" i="52"/>
  <c r="BY24" i="52"/>
  <c r="BX24" i="52"/>
  <c r="BW24" i="52"/>
  <c r="BV24" i="52"/>
  <c r="BU24" i="52"/>
  <c r="BT24" i="52"/>
  <c r="BS24" i="52"/>
  <c r="BR24" i="52"/>
  <c r="BQ24" i="52"/>
  <c r="T24" i="52"/>
  <c r="CC23" i="52"/>
  <c r="CB23" i="52"/>
  <c r="CA23" i="52"/>
  <c r="BZ23" i="52"/>
  <c r="BY23" i="52"/>
  <c r="BX23" i="52"/>
  <c r="BW23" i="52"/>
  <c r="BV23" i="52"/>
  <c r="BU23" i="52"/>
  <c r="BT23" i="52"/>
  <c r="BS23" i="52"/>
  <c r="BR23" i="52"/>
  <c r="BQ23" i="52"/>
  <c r="T23" i="52"/>
  <c r="CC22" i="52"/>
  <c r="CB22" i="52"/>
  <c r="CA22" i="52"/>
  <c r="BZ22" i="52"/>
  <c r="BY22" i="52"/>
  <c r="BX22" i="52"/>
  <c r="BW22" i="52"/>
  <c r="BV22" i="52"/>
  <c r="BU22" i="52"/>
  <c r="BT22" i="52"/>
  <c r="BS22" i="52"/>
  <c r="BR22" i="52"/>
  <c r="BQ22" i="52"/>
  <c r="T22" i="52"/>
  <c r="CC21" i="52"/>
  <c r="CB21" i="52"/>
  <c r="CA21" i="52"/>
  <c r="BZ21" i="52"/>
  <c r="BY21" i="52"/>
  <c r="BX21" i="52"/>
  <c r="BW21" i="52"/>
  <c r="BV21" i="52"/>
  <c r="BU21" i="52"/>
  <c r="BT21" i="52"/>
  <c r="BS21" i="52"/>
  <c r="BR21" i="52"/>
  <c r="BQ21" i="52"/>
  <c r="T21" i="52"/>
  <c r="CC20" i="52"/>
  <c r="CB20" i="52"/>
  <c r="CA20" i="52"/>
  <c r="BZ20" i="52"/>
  <c r="BY20" i="52"/>
  <c r="BX20" i="52"/>
  <c r="BW20" i="52"/>
  <c r="BV20" i="52"/>
  <c r="BU20" i="52"/>
  <c r="BT20" i="52"/>
  <c r="BS20" i="52"/>
  <c r="BR20" i="52"/>
  <c r="BQ20" i="52"/>
  <c r="T20" i="52"/>
  <c r="CC19" i="52"/>
  <c r="CB19" i="52"/>
  <c r="CA19" i="52"/>
  <c r="BZ19" i="52"/>
  <c r="BY19" i="52"/>
  <c r="BX19" i="52"/>
  <c r="BW19" i="52"/>
  <c r="BV19" i="52"/>
  <c r="BU19" i="52"/>
  <c r="BT19" i="52"/>
  <c r="BS19" i="52"/>
  <c r="BR19" i="52"/>
  <c r="BQ19" i="52"/>
  <c r="T19" i="52"/>
  <c r="CC135" i="52"/>
  <c r="CB135" i="52"/>
  <c r="CA135" i="52"/>
  <c r="BZ135" i="52"/>
  <c r="BY135" i="52"/>
  <c r="BX135" i="52"/>
  <c r="BW135" i="52"/>
  <c r="BV135" i="52"/>
  <c r="BU135" i="52"/>
  <c r="BT135" i="52"/>
  <c r="BS135" i="52"/>
  <c r="BR135" i="52"/>
  <c r="BQ135" i="52"/>
  <c r="T135" i="52"/>
  <c r="CC134" i="52"/>
  <c r="CB134" i="52"/>
  <c r="CA134" i="52"/>
  <c r="BZ134" i="52"/>
  <c r="BY134" i="52"/>
  <c r="BX134" i="52"/>
  <c r="BW134" i="52"/>
  <c r="BV134" i="52"/>
  <c r="BU134" i="52"/>
  <c r="BT134" i="52"/>
  <c r="BS134" i="52"/>
  <c r="BR134" i="52"/>
  <c r="BQ134" i="52"/>
  <c r="T134" i="52"/>
  <c r="CC133" i="52"/>
  <c r="CB133" i="52"/>
  <c r="CA133" i="52"/>
  <c r="BZ133" i="52"/>
  <c r="BY133" i="52"/>
  <c r="BX133" i="52"/>
  <c r="BW133" i="52"/>
  <c r="BV133" i="52"/>
  <c r="BU133" i="52"/>
  <c r="BT133" i="52"/>
  <c r="BS133" i="52"/>
  <c r="BR133" i="52"/>
  <c r="BQ133" i="52"/>
  <c r="T133" i="52"/>
  <c r="CC132" i="52"/>
  <c r="CB132" i="52"/>
  <c r="CA132" i="52"/>
  <c r="BZ132" i="52"/>
  <c r="BY132" i="52"/>
  <c r="BX132" i="52"/>
  <c r="BW132" i="52"/>
  <c r="BV132" i="52"/>
  <c r="BU132" i="52"/>
  <c r="BT132" i="52"/>
  <c r="BS132" i="52"/>
  <c r="BR132" i="52"/>
  <c r="BQ132" i="52"/>
  <c r="T132" i="52"/>
  <c r="CC131" i="52"/>
  <c r="CB131" i="52"/>
  <c r="CA131" i="52"/>
  <c r="BZ131" i="52"/>
  <c r="BY131" i="52"/>
  <c r="BX131" i="52"/>
  <c r="BW131" i="52"/>
  <c r="BV131" i="52"/>
  <c r="BU131" i="52"/>
  <c r="BT131" i="52"/>
  <c r="BS131" i="52"/>
  <c r="BR131" i="52"/>
  <c r="BQ131" i="52"/>
  <c r="T131" i="52"/>
  <c r="CC130" i="52"/>
  <c r="CB130" i="52"/>
  <c r="CA130" i="52"/>
  <c r="BZ130" i="52"/>
  <c r="BY130" i="52"/>
  <c r="BX130" i="52"/>
  <c r="BW130" i="52"/>
  <c r="BV130" i="52"/>
  <c r="BU130" i="52"/>
  <c r="BT130" i="52"/>
  <c r="BS130" i="52"/>
  <c r="BR130" i="52"/>
  <c r="BQ130" i="52"/>
  <c r="T130" i="52"/>
  <c r="CC129" i="52"/>
  <c r="CB129" i="52"/>
  <c r="CA129" i="52"/>
  <c r="BZ129" i="52"/>
  <c r="BY129" i="52"/>
  <c r="BX129" i="52"/>
  <c r="BW129" i="52"/>
  <c r="BV129" i="52"/>
  <c r="BU129" i="52"/>
  <c r="BT129" i="52"/>
  <c r="BS129" i="52"/>
  <c r="BR129" i="52"/>
  <c r="BQ129" i="52"/>
  <c r="T129" i="52"/>
  <c r="CC128" i="52"/>
  <c r="CB128" i="52"/>
  <c r="CA128" i="52"/>
  <c r="BZ128" i="52"/>
  <c r="BY128" i="52"/>
  <c r="BX128" i="52"/>
  <c r="BW128" i="52"/>
  <c r="BV128" i="52"/>
  <c r="BU128" i="52"/>
  <c r="BT128" i="52"/>
  <c r="BS128" i="52"/>
  <c r="BR128" i="52"/>
  <c r="BQ128" i="52"/>
  <c r="T128" i="52"/>
  <c r="CC127" i="52"/>
  <c r="CB127" i="52"/>
  <c r="CA127" i="52"/>
  <c r="BZ127" i="52"/>
  <c r="BY127" i="52"/>
  <c r="BX127" i="52"/>
  <c r="BW127" i="52"/>
  <c r="BV127" i="52"/>
  <c r="BU127" i="52"/>
  <c r="BT127" i="52"/>
  <c r="BS127" i="52"/>
  <c r="BR127" i="52"/>
  <c r="BQ127" i="52"/>
  <c r="T127" i="52"/>
  <c r="CC126" i="52"/>
  <c r="CB126" i="52"/>
  <c r="CA126" i="52"/>
  <c r="BZ126" i="52"/>
  <c r="BY126" i="52"/>
  <c r="BX126" i="52"/>
  <c r="BW126" i="52"/>
  <c r="BV126" i="52"/>
  <c r="BU126" i="52"/>
  <c r="BT126" i="52"/>
  <c r="BS126" i="52"/>
  <c r="BR126" i="52"/>
  <c r="BQ126" i="52"/>
  <c r="T126" i="52"/>
  <c r="CC125" i="52"/>
  <c r="CB125" i="52"/>
  <c r="CA125" i="52"/>
  <c r="BZ125" i="52"/>
  <c r="BY125" i="52"/>
  <c r="BX125" i="52"/>
  <c r="BW125" i="52"/>
  <c r="BV125" i="52"/>
  <c r="BU125" i="52"/>
  <c r="BT125" i="52"/>
  <c r="BS125" i="52"/>
  <c r="BR125" i="52"/>
  <c r="BQ125" i="52"/>
  <c r="T125" i="52"/>
  <c r="CC101" i="52"/>
  <c r="CB101" i="52"/>
  <c r="CA101" i="52"/>
  <c r="BZ101" i="52"/>
  <c r="BY101" i="52"/>
  <c r="BX101" i="52"/>
  <c r="BW101" i="52"/>
  <c r="BV101" i="52"/>
  <c r="BU101" i="52"/>
  <c r="BT101" i="52"/>
  <c r="BS101" i="52"/>
  <c r="BR101" i="52"/>
  <c r="BQ101" i="52"/>
  <c r="T101" i="52"/>
  <c r="CC100" i="52"/>
  <c r="CB100" i="52"/>
  <c r="CA100" i="52"/>
  <c r="BZ100" i="52"/>
  <c r="BY100" i="52"/>
  <c r="BX100" i="52"/>
  <c r="BW100" i="52"/>
  <c r="BV100" i="52"/>
  <c r="BU100" i="52"/>
  <c r="BT100" i="52"/>
  <c r="BS100" i="52"/>
  <c r="BR100" i="52"/>
  <c r="BQ100" i="52"/>
  <c r="T100" i="52"/>
  <c r="CC99" i="52"/>
  <c r="CB99" i="52"/>
  <c r="CA99" i="52"/>
  <c r="BZ99" i="52"/>
  <c r="BY99" i="52"/>
  <c r="BX99" i="52"/>
  <c r="BW99" i="52"/>
  <c r="BV99" i="52"/>
  <c r="BU99" i="52"/>
  <c r="BT99" i="52"/>
  <c r="BS99" i="52"/>
  <c r="BR99" i="52"/>
  <c r="BQ99" i="52"/>
  <c r="T99" i="52"/>
  <c r="CC98" i="52"/>
  <c r="CB98" i="52"/>
  <c r="CA98" i="52"/>
  <c r="BZ98" i="52"/>
  <c r="BY98" i="52"/>
  <c r="BX98" i="52"/>
  <c r="BW98" i="52"/>
  <c r="BV98" i="52"/>
  <c r="BU98" i="52"/>
  <c r="BT98" i="52"/>
  <c r="BS98" i="52"/>
  <c r="BR98" i="52"/>
  <c r="BQ98" i="52"/>
  <c r="T98" i="52"/>
  <c r="CC97" i="52"/>
  <c r="CB97" i="52"/>
  <c r="CA97" i="52"/>
  <c r="BZ97" i="52"/>
  <c r="BY97" i="52"/>
  <c r="BX97" i="52"/>
  <c r="BW97" i="52"/>
  <c r="BV97" i="52"/>
  <c r="BU97" i="52"/>
  <c r="BT97" i="52"/>
  <c r="BS97" i="52"/>
  <c r="BR97" i="52"/>
  <c r="BQ97" i="52"/>
  <c r="T97" i="52"/>
  <c r="CC96" i="52"/>
  <c r="CB96" i="52"/>
  <c r="CA96" i="52"/>
  <c r="BZ96" i="52"/>
  <c r="BY96" i="52"/>
  <c r="BX96" i="52"/>
  <c r="BW96" i="52"/>
  <c r="BV96" i="52"/>
  <c r="BU96" i="52"/>
  <c r="BT96" i="52"/>
  <c r="BS96" i="52"/>
  <c r="BR96" i="52"/>
  <c r="BQ96" i="52"/>
  <c r="T96" i="52"/>
  <c r="CC95" i="52"/>
  <c r="CB95" i="52"/>
  <c r="CA95" i="52"/>
  <c r="BZ95" i="52"/>
  <c r="BY95" i="52"/>
  <c r="BX95" i="52"/>
  <c r="BW95" i="52"/>
  <c r="BV95" i="52"/>
  <c r="BU95" i="52"/>
  <c r="BT95" i="52"/>
  <c r="BS95" i="52"/>
  <c r="BR95" i="52"/>
  <c r="BQ95" i="52"/>
  <c r="T95" i="52"/>
  <c r="CC94" i="52"/>
  <c r="CB94" i="52"/>
  <c r="CA94" i="52"/>
  <c r="BZ94" i="52"/>
  <c r="BY94" i="52"/>
  <c r="BX94" i="52"/>
  <c r="BW94" i="52"/>
  <c r="BV94" i="52"/>
  <c r="BU94" i="52"/>
  <c r="BT94" i="52"/>
  <c r="BS94" i="52"/>
  <c r="BR94" i="52"/>
  <c r="BQ94" i="52"/>
  <c r="T94" i="52"/>
  <c r="CC93" i="52"/>
  <c r="CB93" i="52"/>
  <c r="CA93" i="52"/>
  <c r="BZ93" i="52"/>
  <c r="BY93" i="52"/>
  <c r="BX93" i="52"/>
  <c r="BW93" i="52"/>
  <c r="BV93" i="52"/>
  <c r="BU93" i="52"/>
  <c r="BT93" i="52"/>
  <c r="BS93" i="52"/>
  <c r="BR93" i="52"/>
  <c r="BQ93" i="52"/>
  <c r="T93" i="52"/>
  <c r="CC92" i="52"/>
  <c r="CB92" i="52"/>
  <c r="CA92" i="52"/>
  <c r="BZ92" i="52"/>
  <c r="BY92" i="52"/>
  <c r="BX92" i="52"/>
  <c r="BW92" i="52"/>
  <c r="BV92" i="52"/>
  <c r="BU92" i="52"/>
  <c r="BT92" i="52"/>
  <c r="BS92" i="52"/>
  <c r="BR92" i="52"/>
  <c r="BQ92" i="52"/>
  <c r="T92" i="52"/>
  <c r="CC91" i="52"/>
  <c r="CB91" i="52"/>
  <c r="CA91" i="52"/>
  <c r="BZ91" i="52"/>
  <c r="BY91" i="52"/>
  <c r="BX91" i="52"/>
  <c r="BW91" i="52"/>
  <c r="BV91" i="52"/>
  <c r="BU91" i="52"/>
  <c r="BT91" i="52"/>
  <c r="BS91" i="52"/>
  <c r="BR91" i="52"/>
  <c r="BQ91" i="52"/>
  <c r="T91" i="52"/>
  <c r="CC90" i="52"/>
  <c r="CB90" i="52"/>
  <c r="CA90" i="52"/>
  <c r="BZ90" i="52"/>
  <c r="BY90" i="52"/>
  <c r="BX90" i="52"/>
  <c r="BW90" i="52"/>
  <c r="BV90" i="52"/>
  <c r="BU90" i="52"/>
  <c r="BT90" i="52"/>
  <c r="BS90" i="52"/>
  <c r="BR90" i="52"/>
  <c r="BQ90" i="52"/>
  <c r="T90" i="52"/>
  <c r="CC89" i="52"/>
  <c r="CB89" i="52"/>
  <c r="CA89" i="52"/>
  <c r="BZ89" i="52"/>
  <c r="BY89" i="52"/>
  <c r="BX89" i="52"/>
  <c r="BW89" i="52"/>
  <c r="BV89" i="52"/>
  <c r="BU89" i="52"/>
  <c r="BT89" i="52"/>
  <c r="BS89" i="52"/>
  <c r="BR89" i="52"/>
  <c r="BQ89" i="52"/>
  <c r="T89" i="52"/>
  <c r="CC88" i="52"/>
  <c r="CB88" i="52"/>
  <c r="CA88" i="52"/>
  <c r="BZ88" i="52"/>
  <c r="BY88" i="52"/>
  <c r="BX88" i="52"/>
  <c r="BW88" i="52"/>
  <c r="BV88" i="52"/>
  <c r="BU88" i="52"/>
  <c r="BT88" i="52"/>
  <c r="BS88" i="52"/>
  <c r="BR88" i="52"/>
  <c r="BQ88" i="52"/>
  <c r="T88" i="52"/>
  <c r="CC87" i="52"/>
  <c r="CB87" i="52"/>
  <c r="CA87" i="52"/>
  <c r="BZ87" i="52"/>
  <c r="BY87" i="52"/>
  <c r="BX87" i="52"/>
  <c r="BW87" i="52"/>
  <c r="BV87" i="52"/>
  <c r="BU87" i="52"/>
  <c r="BT87" i="52"/>
  <c r="BS87" i="52"/>
  <c r="BR87" i="52"/>
  <c r="BQ87" i="52"/>
  <c r="T87" i="52"/>
  <c r="CC86" i="52"/>
  <c r="CB86" i="52"/>
  <c r="CA86" i="52"/>
  <c r="BZ86" i="52"/>
  <c r="BY86" i="52"/>
  <c r="BX86" i="52"/>
  <c r="BW86" i="52"/>
  <c r="BV86" i="52"/>
  <c r="BU86" i="52"/>
  <c r="BT86" i="52"/>
  <c r="BS86" i="52"/>
  <c r="BR86" i="52"/>
  <c r="BQ86" i="52"/>
  <c r="T86" i="52"/>
  <c r="CC85" i="52"/>
  <c r="CB85" i="52"/>
  <c r="CA85" i="52"/>
  <c r="BZ85" i="52"/>
  <c r="BY85" i="52"/>
  <c r="BX85" i="52"/>
  <c r="BW85" i="52"/>
  <c r="BV85" i="52"/>
  <c r="BU85" i="52"/>
  <c r="BT85" i="52"/>
  <c r="BS85" i="52"/>
  <c r="BR85" i="52"/>
  <c r="BQ85" i="52"/>
  <c r="T85" i="52"/>
  <c r="CC84" i="52"/>
  <c r="CB84" i="52"/>
  <c r="CA84" i="52"/>
  <c r="BZ84" i="52"/>
  <c r="BY84" i="52"/>
  <c r="BX84" i="52"/>
  <c r="BW84" i="52"/>
  <c r="BV84" i="52"/>
  <c r="BU84" i="52"/>
  <c r="BT84" i="52"/>
  <c r="BS84" i="52"/>
  <c r="BR84" i="52"/>
  <c r="BQ84" i="52"/>
  <c r="T84" i="52"/>
  <c r="CC83" i="52"/>
  <c r="CB83" i="52"/>
  <c r="CA83" i="52"/>
  <c r="BZ83" i="52"/>
  <c r="BY83" i="52"/>
  <c r="BX83" i="52"/>
  <c r="BW83" i="52"/>
  <c r="BV83" i="52"/>
  <c r="BU83" i="52"/>
  <c r="BT83" i="52"/>
  <c r="BS83" i="52"/>
  <c r="BR83" i="52"/>
  <c r="BQ83" i="52"/>
  <c r="T83" i="52"/>
  <c r="CC82" i="52"/>
  <c r="CB82" i="52"/>
  <c r="CA82" i="52"/>
  <c r="BZ82" i="52"/>
  <c r="BY82" i="52"/>
  <c r="BX82" i="52"/>
  <c r="BW82" i="52"/>
  <c r="BV82" i="52"/>
  <c r="BU82" i="52"/>
  <c r="BT82" i="52"/>
  <c r="BS82" i="52"/>
  <c r="BR82" i="52"/>
  <c r="BQ82" i="52"/>
  <c r="T82" i="52"/>
  <c r="CC81" i="52"/>
  <c r="CB81" i="52"/>
  <c r="CA81" i="52"/>
  <c r="BZ81" i="52"/>
  <c r="BY81" i="52"/>
  <c r="BX81" i="52"/>
  <c r="BW81" i="52"/>
  <c r="BV81" i="52"/>
  <c r="BU81" i="52"/>
  <c r="BT81" i="52"/>
  <c r="BS81" i="52"/>
  <c r="BR81" i="52"/>
  <c r="BQ81" i="52"/>
  <c r="T81" i="52"/>
  <c r="CC80" i="52"/>
  <c r="CB80" i="52"/>
  <c r="CA80" i="52"/>
  <c r="BZ80" i="52"/>
  <c r="BY80" i="52"/>
  <c r="BX80" i="52"/>
  <c r="BW80" i="52"/>
  <c r="BV80" i="52"/>
  <c r="BU80" i="52"/>
  <c r="BT80" i="52"/>
  <c r="BS80" i="52"/>
  <c r="BR80" i="52"/>
  <c r="BQ80" i="52"/>
  <c r="T80" i="52"/>
  <c r="CC79" i="52"/>
  <c r="CB79" i="52"/>
  <c r="CA79" i="52"/>
  <c r="BZ79" i="52"/>
  <c r="BY79" i="52"/>
  <c r="BX79" i="52"/>
  <c r="BW79" i="52"/>
  <c r="BV79" i="52"/>
  <c r="BU79" i="52"/>
  <c r="BT79" i="52"/>
  <c r="BS79" i="52"/>
  <c r="BR79" i="52"/>
  <c r="BQ79" i="52"/>
  <c r="T79" i="52"/>
  <c r="CC78" i="52"/>
  <c r="CB78" i="52"/>
  <c r="CA78" i="52"/>
  <c r="BZ78" i="52"/>
  <c r="BY78" i="52"/>
  <c r="BX78" i="52"/>
  <c r="BW78" i="52"/>
  <c r="BV78" i="52"/>
  <c r="BU78" i="52"/>
  <c r="BT78" i="52"/>
  <c r="BS78" i="52"/>
  <c r="BR78" i="52"/>
  <c r="BQ78" i="52"/>
  <c r="T78" i="52"/>
  <c r="CC77" i="52"/>
  <c r="CB77" i="52"/>
  <c r="CA77" i="52"/>
  <c r="BZ77" i="52"/>
  <c r="BY77" i="52"/>
  <c r="BX77" i="52"/>
  <c r="BW77" i="52"/>
  <c r="BV77" i="52"/>
  <c r="BU77" i="52"/>
  <c r="BT77" i="52"/>
  <c r="BS77" i="52"/>
  <c r="BR77" i="52"/>
  <c r="BQ77" i="52"/>
  <c r="T77" i="52"/>
  <c r="CC76" i="52"/>
  <c r="CB76" i="52"/>
  <c r="CA76" i="52"/>
  <c r="BZ76" i="52"/>
  <c r="BY76" i="52"/>
  <c r="BX76" i="52"/>
  <c r="BW76" i="52"/>
  <c r="BV76" i="52"/>
  <c r="BU76" i="52"/>
  <c r="BT76" i="52"/>
  <c r="BS76" i="52"/>
  <c r="BR76" i="52"/>
  <c r="BQ76" i="52"/>
  <c r="T76" i="52"/>
  <c r="CC75" i="52"/>
  <c r="CB75" i="52"/>
  <c r="CA75" i="52"/>
  <c r="BZ75" i="52"/>
  <c r="BY75" i="52"/>
  <c r="BX75" i="52"/>
  <c r="BW75" i="52"/>
  <c r="BV75" i="52"/>
  <c r="BU75" i="52"/>
  <c r="BT75" i="52"/>
  <c r="BS75" i="52"/>
  <c r="BR75" i="52"/>
  <c r="BQ75" i="52"/>
  <c r="T75" i="52"/>
  <c r="CC74" i="52"/>
  <c r="CB74" i="52"/>
  <c r="CA74" i="52"/>
  <c r="BZ74" i="52"/>
  <c r="BY74" i="52"/>
  <c r="BX74" i="52"/>
  <c r="BW74" i="52"/>
  <c r="BV74" i="52"/>
  <c r="BU74" i="52"/>
  <c r="BT74" i="52"/>
  <c r="BS74" i="52"/>
  <c r="BR74" i="52"/>
  <c r="BQ74" i="52"/>
  <c r="T74" i="52"/>
  <c r="CC190" i="52"/>
  <c r="CB190" i="52"/>
  <c r="CA190" i="52"/>
  <c r="BZ190" i="52"/>
  <c r="BY190" i="52"/>
  <c r="BX190" i="52"/>
  <c r="BW190" i="52"/>
  <c r="BV190" i="52"/>
  <c r="BU190" i="52"/>
  <c r="BT190" i="52"/>
  <c r="BS190" i="52"/>
  <c r="BR190" i="52"/>
  <c r="BQ190" i="52"/>
  <c r="T190" i="52"/>
  <c r="CC189" i="52"/>
  <c r="CB189" i="52"/>
  <c r="CA189" i="52"/>
  <c r="BZ189" i="52"/>
  <c r="BY189" i="52"/>
  <c r="BX189" i="52"/>
  <c r="BW189" i="52"/>
  <c r="BV189" i="52"/>
  <c r="BU189" i="52"/>
  <c r="BT189" i="52"/>
  <c r="BS189" i="52"/>
  <c r="BR189" i="52"/>
  <c r="BQ189" i="52"/>
  <c r="T189" i="52"/>
  <c r="CC188" i="52"/>
  <c r="CB188" i="52"/>
  <c r="CA188" i="52"/>
  <c r="BZ188" i="52"/>
  <c r="BY188" i="52"/>
  <c r="BX188" i="52"/>
  <c r="BW188" i="52"/>
  <c r="BV188" i="52"/>
  <c r="BU188" i="52"/>
  <c r="BT188" i="52"/>
  <c r="BS188" i="52"/>
  <c r="BR188" i="52"/>
  <c r="BQ188" i="52"/>
  <c r="T188" i="52"/>
  <c r="CC187" i="52"/>
  <c r="CB187" i="52"/>
  <c r="CA187" i="52"/>
  <c r="BZ187" i="52"/>
  <c r="BY187" i="52"/>
  <c r="BX187" i="52"/>
  <c r="BW187" i="52"/>
  <c r="BV187" i="52"/>
  <c r="BU187" i="52"/>
  <c r="BT187" i="52"/>
  <c r="BS187" i="52"/>
  <c r="BR187" i="52"/>
  <c r="BQ187" i="52"/>
  <c r="T187" i="52"/>
  <c r="CC186" i="52"/>
  <c r="CB186" i="52"/>
  <c r="CA186" i="52"/>
  <c r="BZ186" i="52"/>
  <c r="BY186" i="52"/>
  <c r="BX186" i="52"/>
  <c r="BW186" i="52"/>
  <c r="BV186" i="52"/>
  <c r="BU186" i="52"/>
  <c r="BT186" i="52"/>
  <c r="BS186" i="52"/>
  <c r="BR186" i="52"/>
  <c r="BQ186" i="52"/>
  <c r="T186" i="52"/>
  <c r="CC185" i="52"/>
  <c r="CB185" i="52"/>
  <c r="CA185" i="52"/>
  <c r="BZ185" i="52"/>
  <c r="BY185" i="52"/>
  <c r="BX185" i="52"/>
  <c r="BW185" i="52"/>
  <c r="BV185" i="52"/>
  <c r="BU185" i="52"/>
  <c r="BT185" i="52"/>
  <c r="BS185" i="52"/>
  <c r="BR185" i="52"/>
  <c r="BQ185" i="52"/>
  <c r="T185" i="52"/>
  <c r="CC184" i="52"/>
  <c r="CB184" i="52"/>
  <c r="CA184" i="52"/>
  <c r="BZ184" i="52"/>
  <c r="BY184" i="52"/>
  <c r="BX184" i="52"/>
  <c r="BW184" i="52"/>
  <c r="BV184" i="52"/>
  <c r="BU184" i="52"/>
  <c r="BT184" i="52"/>
  <c r="BS184" i="52"/>
  <c r="BR184" i="52"/>
  <c r="BQ184" i="52"/>
  <c r="T184" i="52"/>
  <c r="CC183" i="52"/>
  <c r="CB183" i="52"/>
  <c r="CA183" i="52"/>
  <c r="BZ183" i="52"/>
  <c r="BY183" i="52"/>
  <c r="BX183" i="52"/>
  <c r="BW183" i="52"/>
  <c r="BV183" i="52"/>
  <c r="BU183" i="52"/>
  <c r="BT183" i="52"/>
  <c r="BS183" i="52"/>
  <c r="BR183" i="52"/>
  <c r="BQ183" i="52"/>
  <c r="T183" i="52"/>
  <c r="CC182" i="52"/>
  <c r="CB182" i="52"/>
  <c r="CA182" i="52"/>
  <c r="BZ182" i="52"/>
  <c r="BY182" i="52"/>
  <c r="BX182" i="52"/>
  <c r="BW182" i="52"/>
  <c r="BV182" i="52"/>
  <c r="BU182" i="52"/>
  <c r="BT182" i="52"/>
  <c r="BS182" i="52"/>
  <c r="BR182" i="52"/>
  <c r="BQ182" i="52"/>
  <c r="T182" i="52"/>
  <c r="CC181" i="52"/>
  <c r="CB181" i="52"/>
  <c r="CA181" i="52"/>
  <c r="BZ181" i="52"/>
  <c r="BY181" i="52"/>
  <c r="BX181" i="52"/>
  <c r="BW181" i="52"/>
  <c r="BV181" i="52"/>
  <c r="BU181" i="52"/>
  <c r="BT181" i="52"/>
  <c r="BS181" i="52"/>
  <c r="BR181" i="52"/>
  <c r="BQ181" i="52"/>
  <c r="T181" i="52"/>
  <c r="DY180" i="52"/>
  <c r="CC180" i="52"/>
  <c r="CB180" i="52"/>
  <c r="CA180" i="52"/>
  <c r="BZ180" i="52"/>
  <c r="BY180" i="52"/>
  <c r="BX180" i="52"/>
  <c r="BW180" i="52"/>
  <c r="BV180" i="52"/>
  <c r="BU180" i="52"/>
  <c r="BT180" i="52"/>
  <c r="BS180" i="52"/>
  <c r="BR180" i="52"/>
  <c r="BQ180" i="52"/>
  <c r="T180" i="52"/>
  <c r="CC179" i="52"/>
  <c r="CB179" i="52"/>
  <c r="CA179" i="52"/>
  <c r="BZ179" i="52"/>
  <c r="BY179" i="52"/>
  <c r="BX179" i="52"/>
  <c r="BW179" i="52"/>
  <c r="BV179" i="52"/>
  <c r="BU179" i="52"/>
  <c r="BT179" i="52"/>
  <c r="BS179" i="52"/>
  <c r="BR179" i="52"/>
  <c r="BQ179" i="52"/>
  <c r="T179" i="52"/>
  <c r="CC178" i="52"/>
  <c r="CB178" i="52"/>
  <c r="CA178" i="52"/>
  <c r="BZ178" i="52"/>
  <c r="BY178" i="52"/>
  <c r="BX178" i="52"/>
  <c r="BW178" i="52"/>
  <c r="BV178" i="52"/>
  <c r="BU178" i="52"/>
  <c r="BT178" i="52"/>
  <c r="BS178" i="52"/>
  <c r="BR178" i="52"/>
  <c r="BQ178" i="52"/>
  <c r="T178" i="52"/>
  <c r="CC177" i="52"/>
  <c r="CB177" i="52"/>
  <c r="CA177" i="52"/>
  <c r="BZ177" i="52"/>
  <c r="BY177" i="52"/>
  <c r="BX177" i="52"/>
  <c r="BW177" i="52"/>
  <c r="BV177" i="52"/>
  <c r="BU177" i="52"/>
  <c r="BT177" i="52"/>
  <c r="BS177" i="52"/>
  <c r="BR177" i="52"/>
  <c r="BQ177" i="52"/>
  <c r="T177" i="52"/>
  <c r="CC176" i="52"/>
  <c r="CB176" i="52"/>
  <c r="CA176" i="52"/>
  <c r="BZ176" i="52"/>
  <c r="BY176" i="52"/>
  <c r="BX176" i="52"/>
  <c r="BW176" i="52"/>
  <c r="BV176" i="52"/>
  <c r="BU176" i="52"/>
  <c r="BT176" i="52"/>
  <c r="BS176" i="52"/>
  <c r="BR176" i="52"/>
  <c r="BQ176" i="52"/>
  <c r="T176" i="52"/>
  <c r="CC175" i="52"/>
  <c r="CB175" i="52"/>
  <c r="CA175" i="52"/>
  <c r="BZ175" i="52"/>
  <c r="BY175" i="52"/>
  <c r="BX175" i="52"/>
  <c r="BW175" i="52"/>
  <c r="BV175" i="52"/>
  <c r="BU175" i="52"/>
  <c r="BT175" i="52"/>
  <c r="BS175" i="52"/>
  <c r="BR175" i="52"/>
  <c r="BQ175" i="52"/>
  <c r="T175" i="52"/>
  <c r="CC174" i="52"/>
  <c r="CB174" i="52"/>
  <c r="CA174" i="52"/>
  <c r="BZ174" i="52"/>
  <c r="BY174" i="52"/>
  <c r="BX174" i="52"/>
  <c r="BW174" i="52"/>
  <c r="BV174" i="52"/>
  <c r="BU174" i="52"/>
  <c r="BT174" i="52"/>
  <c r="BS174" i="52"/>
  <c r="BR174" i="52"/>
  <c r="BQ174" i="52"/>
  <c r="T174" i="52"/>
  <c r="CC173" i="52"/>
  <c r="CB173" i="52"/>
  <c r="CA173" i="52"/>
  <c r="BZ173" i="52"/>
  <c r="BY173" i="52"/>
  <c r="BX173" i="52"/>
  <c r="BW173" i="52"/>
  <c r="BV173" i="52"/>
  <c r="BU173" i="52"/>
  <c r="BT173" i="52"/>
  <c r="BS173" i="52"/>
  <c r="BR173" i="52"/>
  <c r="BQ173" i="52"/>
  <c r="T173" i="52"/>
  <c r="CC172" i="52"/>
  <c r="CB172" i="52"/>
  <c r="CA172" i="52"/>
  <c r="BZ172" i="52"/>
  <c r="BY172" i="52"/>
  <c r="BX172" i="52"/>
  <c r="BW172" i="52"/>
  <c r="BV172" i="52"/>
  <c r="BU172" i="52"/>
  <c r="BT172" i="52"/>
  <c r="BS172" i="52"/>
  <c r="BR172" i="52"/>
  <c r="BQ172" i="52"/>
  <c r="T172" i="52"/>
  <c r="CC171" i="52"/>
  <c r="CB171" i="52"/>
  <c r="CA171" i="52"/>
  <c r="BZ171" i="52"/>
  <c r="BY171" i="52"/>
  <c r="BX171" i="52"/>
  <c r="BW171" i="52"/>
  <c r="BV171" i="52"/>
  <c r="BU171" i="52"/>
  <c r="BT171" i="52"/>
  <c r="BS171" i="52"/>
  <c r="BR171" i="52"/>
  <c r="BQ171" i="52"/>
  <c r="T171" i="52"/>
  <c r="CC170" i="52"/>
  <c r="CB170" i="52"/>
  <c r="CA170" i="52"/>
  <c r="BZ170" i="52"/>
  <c r="BY170" i="52"/>
  <c r="BX170" i="52"/>
  <c r="BW170" i="52"/>
  <c r="BV170" i="52"/>
  <c r="BU170" i="52"/>
  <c r="BT170" i="52"/>
  <c r="BS170" i="52"/>
  <c r="BR170" i="52"/>
  <c r="BQ170" i="52"/>
  <c r="T170" i="52"/>
  <c r="CC169" i="52"/>
  <c r="CB169" i="52"/>
  <c r="CA169" i="52"/>
  <c r="BZ169" i="52"/>
  <c r="BY169" i="52"/>
  <c r="BX169" i="52"/>
  <c r="BW169" i="52"/>
  <c r="BV169" i="52"/>
  <c r="BU169" i="52"/>
  <c r="BT169" i="52"/>
  <c r="BS169" i="52"/>
  <c r="BR169" i="52"/>
  <c r="BQ169" i="52"/>
  <c r="T169" i="52"/>
  <c r="CC168" i="52"/>
  <c r="CB168" i="52"/>
  <c r="CA168" i="52"/>
  <c r="BZ168" i="52"/>
  <c r="BY168" i="52"/>
  <c r="BX168" i="52"/>
  <c r="BW168" i="52"/>
  <c r="BV168" i="52"/>
  <c r="BU168" i="52"/>
  <c r="BT168" i="52"/>
  <c r="BS168" i="52"/>
  <c r="BR168" i="52"/>
  <c r="BQ168" i="52"/>
  <c r="T168" i="52"/>
  <c r="CC167" i="52"/>
  <c r="CB167" i="52"/>
  <c r="CA167" i="52"/>
  <c r="BZ167" i="52"/>
  <c r="BY167" i="52"/>
  <c r="BX167" i="52"/>
  <c r="BW167" i="52"/>
  <c r="BV167" i="52"/>
  <c r="BU167" i="52"/>
  <c r="BT167" i="52"/>
  <c r="BS167" i="52"/>
  <c r="BR167" i="52"/>
  <c r="BQ167" i="52"/>
  <c r="T167" i="52"/>
  <c r="CC166" i="52"/>
  <c r="CB166" i="52"/>
  <c r="CA166" i="52"/>
  <c r="BZ166" i="52"/>
  <c r="BY166" i="52"/>
  <c r="BX166" i="52"/>
  <c r="BW166" i="52"/>
  <c r="BV166" i="52"/>
  <c r="BU166" i="52"/>
  <c r="BT166" i="52"/>
  <c r="BS166" i="52"/>
  <c r="BR166" i="52"/>
  <c r="BQ166" i="52"/>
  <c r="T166" i="52"/>
  <c r="CC165" i="52"/>
  <c r="CB165" i="52"/>
  <c r="CA165" i="52"/>
  <c r="BZ165" i="52"/>
  <c r="BY165" i="52"/>
  <c r="BX165" i="52"/>
  <c r="BW165" i="52"/>
  <c r="BV165" i="52"/>
  <c r="BU165" i="52"/>
  <c r="BT165" i="52"/>
  <c r="BS165" i="52"/>
  <c r="BR165" i="52"/>
  <c r="BQ165" i="52"/>
  <c r="T165" i="52"/>
  <c r="CC164" i="52"/>
  <c r="CB164" i="52"/>
  <c r="CA164" i="52"/>
  <c r="BZ164" i="52"/>
  <c r="BY164" i="52"/>
  <c r="BX164" i="52"/>
  <c r="BW164" i="52"/>
  <c r="BV164" i="52"/>
  <c r="BU164" i="52"/>
  <c r="BT164" i="52"/>
  <c r="BS164" i="52"/>
  <c r="BR164" i="52"/>
  <c r="BQ164" i="52"/>
  <c r="T164" i="52"/>
  <c r="CC163" i="52"/>
  <c r="CB163" i="52"/>
  <c r="CA163" i="52"/>
  <c r="BZ163" i="52"/>
  <c r="BY163" i="52"/>
  <c r="BX163" i="52"/>
  <c r="BW163" i="52"/>
  <c r="BV163" i="52"/>
  <c r="BU163" i="52"/>
  <c r="BT163" i="52"/>
  <c r="BS163" i="52"/>
  <c r="BR163" i="52"/>
  <c r="BQ163" i="52"/>
  <c r="T163" i="52"/>
  <c r="CC162" i="52"/>
  <c r="CB162" i="52"/>
  <c r="CA162" i="52"/>
  <c r="BZ162" i="52"/>
  <c r="BY162" i="52"/>
  <c r="BX162" i="52"/>
  <c r="BW162" i="52"/>
  <c r="BV162" i="52"/>
  <c r="BU162" i="52"/>
  <c r="BT162" i="52"/>
  <c r="BS162" i="52"/>
  <c r="BR162" i="52"/>
  <c r="BQ162" i="52"/>
  <c r="T162" i="52"/>
  <c r="CC161" i="52"/>
  <c r="CB161" i="52"/>
  <c r="CA161" i="52"/>
  <c r="BZ161" i="52"/>
  <c r="BY161" i="52"/>
  <c r="BX161" i="52"/>
  <c r="BW161" i="52"/>
  <c r="BV161" i="52"/>
  <c r="BU161" i="52"/>
  <c r="BT161" i="52"/>
  <c r="BS161" i="52"/>
  <c r="BR161" i="52"/>
  <c r="BQ161" i="52"/>
  <c r="T161" i="52"/>
  <c r="CC160" i="52"/>
  <c r="CB160" i="52"/>
  <c r="CA160" i="52"/>
  <c r="BZ160" i="52"/>
  <c r="BY160" i="52"/>
  <c r="BX160" i="52"/>
  <c r="BW160" i="52"/>
  <c r="BV160" i="52"/>
  <c r="BU160" i="52"/>
  <c r="BT160" i="52"/>
  <c r="BS160" i="52"/>
  <c r="BR160" i="52"/>
  <c r="BQ160" i="52"/>
  <c r="T160" i="52"/>
  <c r="CC159" i="52"/>
  <c r="CB159" i="52"/>
  <c r="CA159" i="52"/>
  <c r="BZ159" i="52"/>
  <c r="BY159" i="52"/>
  <c r="BX159" i="52"/>
  <c r="BW159" i="52"/>
  <c r="BV159" i="52"/>
  <c r="BU159" i="52"/>
  <c r="BT159" i="52"/>
  <c r="BS159" i="52"/>
  <c r="BR159" i="52"/>
  <c r="BQ159" i="52"/>
  <c r="T159" i="52"/>
  <c r="CC158" i="52"/>
  <c r="CB158" i="52"/>
  <c r="CA158" i="52"/>
  <c r="BZ158" i="52"/>
  <c r="BY158" i="52"/>
  <c r="BX158" i="52"/>
  <c r="BW158" i="52"/>
  <c r="BV158" i="52"/>
  <c r="BU158" i="52"/>
  <c r="BT158" i="52"/>
  <c r="BS158" i="52"/>
  <c r="BR158" i="52"/>
  <c r="BQ158" i="52"/>
  <c r="T158" i="52"/>
  <c r="CC157" i="52"/>
  <c r="CB157" i="52"/>
  <c r="CA157" i="52"/>
  <c r="BZ157" i="52"/>
  <c r="BY157" i="52"/>
  <c r="BX157" i="52"/>
  <c r="BW157" i="52"/>
  <c r="BV157" i="52"/>
  <c r="BU157" i="52"/>
  <c r="BT157" i="52"/>
  <c r="BS157" i="52"/>
  <c r="BR157" i="52"/>
  <c r="BQ157" i="52"/>
  <c r="T157" i="52"/>
  <c r="CC156" i="52"/>
  <c r="CB156" i="52"/>
  <c r="CA156" i="52"/>
  <c r="BZ156" i="52"/>
  <c r="BY156" i="52"/>
  <c r="BX156" i="52"/>
  <c r="BW156" i="52"/>
  <c r="BV156" i="52"/>
  <c r="BU156" i="52"/>
  <c r="BT156" i="52"/>
  <c r="BS156" i="52"/>
  <c r="BR156" i="52"/>
  <c r="BQ156" i="52"/>
  <c r="T156" i="52"/>
  <c r="CC235" i="52"/>
  <c r="CB235" i="52"/>
  <c r="CA235" i="52"/>
  <c r="BZ235" i="52"/>
  <c r="BY235" i="52"/>
  <c r="BX235" i="52"/>
  <c r="BW235" i="52"/>
  <c r="BV235" i="52"/>
  <c r="BU235" i="52"/>
  <c r="BT235" i="52"/>
  <c r="BS235" i="52"/>
  <c r="BR235" i="52"/>
  <c r="BQ235" i="52"/>
  <c r="T235" i="52"/>
  <c r="CC234" i="52"/>
  <c r="CB234" i="52"/>
  <c r="CA234" i="52"/>
  <c r="BZ234" i="52"/>
  <c r="BY234" i="52"/>
  <c r="BX234" i="52"/>
  <c r="BW234" i="52"/>
  <c r="BV234" i="52"/>
  <c r="BU234" i="52"/>
  <c r="BT234" i="52"/>
  <c r="BS234" i="52"/>
  <c r="BR234" i="52"/>
  <c r="BQ234" i="52"/>
  <c r="T234" i="52"/>
  <c r="CC233" i="52"/>
  <c r="CB233" i="52"/>
  <c r="CA233" i="52"/>
  <c r="BZ233" i="52"/>
  <c r="BY233" i="52"/>
  <c r="BX233" i="52"/>
  <c r="BW233" i="52"/>
  <c r="BV233" i="52"/>
  <c r="BU233" i="52"/>
  <c r="BT233" i="52"/>
  <c r="BS233" i="52"/>
  <c r="BR233" i="52"/>
  <c r="BQ233" i="52"/>
  <c r="T233" i="52"/>
  <c r="CC232" i="52"/>
  <c r="CB232" i="52"/>
  <c r="CA232" i="52"/>
  <c r="BZ232" i="52"/>
  <c r="BY232" i="52"/>
  <c r="BX232" i="52"/>
  <c r="BW232" i="52"/>
  <c r="BV232" i="52"/>
  <c r="BU232" i="52"/>
  <c r="BT232" i="52"/>
  <c r="BS232" i="52"/>
  <c r="BR232" i="52"/>
  <c r="BQ232" i="52"/>
  <c r="T232" i="52"/>
  <c r="CC231" i="52"/>
  <c r="CB231" i="52"/>
  <c r="CA231" i="52"/>
  <c r="BZ231" i="52"/>
  <c r="BY231" i="52"/>
  <c r="BX231" i="52"/>
  <c r="BW231" i="52"/>
  <c r="BV231" i="52"/>
  <c r="BU231" i="52"/>
  <c r="BT231" i="52"/>
  <c r="BS231" i="52"/>
  <c r="BR231" i="52"/>
  <c r="BQ231" i="52"/>
  <c r="T231" i="52"/>
  <c r="CC230" i="52"/>
  <c r="CB230" i="52"/>
  <c r="CA230" i="52"/>
  <c r="BZ230" i="52"/>
  <c r="BY230" i="52"/>
  <c r="BX230" i="52"/>
  <c r="BW230" i="52"/>
  <c r="BV230" i="52"/>
  <c r="BU230" i="52"/>
  <c r="BT230" i="52"/>
  <c r="BS230" i="52"/>
  <c r="BR230" i="52"/>
  <c r="BQ230" i="52"/>
  <c r="T230" i="52"/>
  <c r="DY229" i="52"/>
  <c r="CC229" i="52"/>
  <c r="CB229" i="52"/>
  <c r="CA229" i="52"/>
  <c r="BZ229" i="52"/>
  <c r="BY229" i="52"/>
  <c r="BX229" i="52"/>
  <c r="BW229" i="52"/>
  <c r="BV229" i="52"/>
  <c r="BU229" i="52"/>
  <c r="BT229" i="52"/>
  <c r="BS229" i="52"/>
  <c r="BR229" i="52"/>
  <c r="BQ229" i="52"/>
  <c r="T229" i="52"/>
  <c r="CC228" i="52"/>
  <c r="CB228" i="52"/>
  <c r="CA228" i="52"/>
  <c r="BZ228" i="52"/>
  <c r="BY228" i="52"/>
  <c r="BX228" i="52"/>
  <c r="BW228" i="52"/>
  <c r="BV228" i="52"/>
  <c r="BU228" i="52"/>
  <c r="BT228" i="52"/>
  <c r="BS228" i="52"/>
  <c r="BR228" i="52"/>
  <c r="BQ228" i="52"/>
  <c r="T228" i="52"/>
  <c r="CC227" i="52"/>
  <c r="CB227" i="52"/>
  <c r="CA227" i="52"/>
  <c r="BZ227" i="52"/>
  <c r="BY227" i="52"/>
  <c r="BX227" i="52"/>
  <c r="BW227" i="52"/>
  <c r="BV227" i="52"/>
  <c r="BU227" i="52"/>
  <c r="BT227" i="52"/>
  <c r="BS227" i="52"/>
  <c r="BR227" i="52"/>
  <c r="BQ227" i="52"/>
  <c r="T227" i="52"/>
  <c r="CC226" i="52"/>
  <c r="CB226" i="52"/>
  <c r="CA226" i="52"/>
  <c r="BZ226" i="52"/>
  <c r="BY226" i="52"/>
  <c r="BX226" i="52"/>
  <c r="BW226" i="52"/>
  <c r="BV226" i="52"/>
  <c r="BU226" i="52"/>
  <c r="BT226" i="52"/>
  <c r="BS226" i="52"/>
  <c r="BR226" i="52"/>
  <c r="BQ226" i="52"/>
  <c r="T226" i="52"/>
  <c r="CC225" i="52"/>
  <c r="CB225" i="52"/>
  <c r="CA225" i="52"/>
  <c r="BZ225" i="52"/>
  <c r="BY225" i="52"/>
  <c r="BX225" i="52"/>
  <c r="BW225" i="52"/>
  <c r="BV225" i="52"/>
  <c r="BU225" i="52"/>
  <c r="BT225" i="52"/>
  <c r="BS225" i="52"/>
  <c r="BR225" i="52"/>
  <c r="BQ225" i="52"/>
  <c r="T225" i="52"/>
  <c r="CC224" i="52"/>
  <c r="CB224" i="52"/>
  <c r="CA224" i="52"/>
  <c r="BZ224" i="52"/>
  <c r="BY224" i="52"/>
  <c r="BX224" i="52"/>
  <c r="BW224" i="52"/>
  <c r="BV224" i="52"/>
  <c r="BU224" i="52"/>
  <c r="BT224" i="52"/>
  <c r="BS224" i="52"/>
  <c r="BR224" i="52"/>
  <c r="BQ224" i="52"/>
  <c r="T224" i="52"/>
  <c r="CC223" i="52"/>
  <c r="CB223" i="52"/>
  <c r="CA223" i="52"/>
  <c r="BZ223" i="52"/>
  <c r="BY223" i="52"/>
  <c r="BX223" i="52"/>
  <c r="BW223" i="52"/>
  <c r="BV223" i="52"/>
  <c r="BU223" i="52"/>
  <c r="BT223" i="52"/>
  <c r="BS223" i="52"/>
  <c r="BR223" i="52"/>
  <c r="BQ223" i="52"/>
  <c r="T223" i="52"/>
  <c r="CC222" i="52"/>
  <c r="CB222" i="52"/>
  <c r="CA222" i="52"/>
  <c r="BZ222" i="52"/>
  <c r="BY222" i="52"/>
  <c r="BX222" i="52"/>
  <c r="BW222" i="52"/>
  <c r="BV222" i="52"/>
  <c r="BU222" i="52"/>
  <c r="BT222" i="52"/>
  <c r="BS222" i="52"/>
  <c r="BR222" i="52"/>
  <c r="BQ222" i="52"/>
  <c r="T222" i="52"/>
  <c r="CC221" i="52"/>
  <c r="CB221" i="52"/>
  <c r="CA221" i="52"/>
  <c r="BZ221" i="52"/>
  <c r="BY221" i="52"/>
  <c r="BX221" i="52"/>
  <c r="BW221" i="52"/>
  <c r="BV221" i="52"/>
  <c r="BU221" i="52"/>
  <c r="BT221" i="52"/>
  <c r="BS221" i="52"/>
  <c r="BR221" i="52"/>
  <c r="BQ221" i="52"/>
  <c r="T221" i="52"/>
  <c r="CC220" i="52"/>
  <c r="CB220" i="52"/>
  <c r="CA220" i="52"/>
  <c r="BZ220" i="52"/>
  <c r="BY220" i="52"/>
  <c r="BX220" i="52"/>
  <c r="BW220" i="52"/>
  <c r="BV220" i="52"/>
  <c r="BU220" i="52"/>
  <c r="BT220" i="52"/>
  <c r="BS220" i="52"/>
  <c r="BR220" i="52"/>
  <c r="BQ220" i="52"/>
  <c r="T220" i="52"/>
  <c r="CC219" i="52"/>
  <c r="CB219" i="52"/>
  <c r="CA219" i="52"/>
  <c r="BZ219" i="52"/>
  <c r="BY219" i="52"/>
  <c r="BX219" i="52"/>
  <c r="BW219" i="52"/>
  <c r="BV219" i="52"/>
  <c r="BU219" i="52"/>
  <c r="BT219" i="52"/>
  <c r="BS219" i="52"/>
  <c r="BR219" i="52"/>
  <c r="BQ219" i="52"/>
  <c r="T219" i="52"/>
  <c r="CC218" i="52"/>
  <c r="CB218" i="52"/>
  <c r="CA218" i="52"/>
  <c r="BZ218" i="52"/>
  <c r="BY218" i="52"/>
  <c r="BX218" i="52"/>
  <c r="BW218" i="52"/>
  <c r="BV218" i="52"/>
  <c r="BU218" i="52"/>
  <c r="BT218" i="52"/>
  <c r="BS218" i="52"/>
  <c r="BR218" i="52"/>
  <c r="BQ218" i="52"/>
  <c r="T218" i="52"/>
  <c r="CC217" i="52"/>
  <c r="CB217" i="52"/>
  <c r="CA217" i="52"/>
  <c r="BZ217" i="52"/>
  <c r="BY217" i="52"/>
  <c r="BX217" i="52"/>
  <c r="BW217" i="52"/>
  <c r="BV217" i="52"/>
  <c r="BU217" i="52"/>
  <c r="BT217" i="52"/>
  <c r="BS217" i="52"/>
  <c r="BR217" i="52"/>
  <c r="BQ217" i="52"/>
  <c r="T217" i="52"/>
  <c r="CC216" i="52"/>
  <c r="CB216" i="52"/>
  <c r="CA216" i="52"/>
  <c r="BZ216" i="52"/>
  <c r="BY216" i="52"/>
  <c r="BX216" i="52"/>
  <c r="BW216" i="52"/>
  <c r="BV216" i="52"/>
  <c r="BU216" i="52"/>
  <c r="BT216" i="52"/>
  <c r="BS216" i="52"/>
  <c r="BR216" i="52"/>
  <c r="BQ216" i="52"/>
  <c r="BO216" i="52"/>
  <c r="BN216" i="52"/>
  <c r="BL216" i="52"/>
  <c r="BK216" i="52"/>
  <c r="BJ216" i="52"/>
  <c r="BI216" i="52"/>
  <c r="BH216" i="52"/>
  <c r="BG216" i="52"/>
  <c r="BF216" i="52"/>
  <c r="BE216" i="52"/>
  <c r="BD216" i="52"/>
  <c r="BC216" i="52"/>
  <c r="BB216" i="52"/>
  <c r="BA216" i="52"/>
  <c r="AZ216" i="52"/>
  <c r="AY216" i="52"/>
  <c r="AX216" i="52"/>
  <c r="T216" i="52"/>
  <c r="CC215" i="52"/>
  <c r="CB215" i="52"/>
  <c r="CA215" i="52"/>
  <c r="BZ215" i="52"/>
  <c r="BY215" i="52"/>
  <c r="BX215" i="52"/>
  <c r="BW215" i="52"/>
  <c r="BV215" i="52"/>
  <c r="BU215" i="52"/>
  <c r="BT215" i="52"/>
  <c r="BS215" i="52"/>
  <c r="BR215" i="52"/>
  <c r="BQ215" i="52"/>
  <c r="T215" i="52"/>
  <c r="CC281" i="52"/>
  <c r="CB281" i="52"/>
  <c r="CA281" i="52"/>
  <c r="BZ281" i="52"/>
  <c r="BY281" i="52"/>
  <c r="BX281" i="52"/>
  <c r="BW281" i="52"/>
  <c r="BV281" i="52"/>
  <c r="BU281" i="52"/>
  <c r="BT281" i="52"/>
  <c r="BS281" i="52"/>
  <c r="BR281" i="52"/>
  <c r="BQ281" i="52"/>
  <c r="T281" i="52"/>
  <c r="CC280" i="52"/>
  <c r="CB280" i="52"/>
  <c r="CA280" i="52"/>
  <c r="BZ280" i="52"/>
  <c r="BY280" i="52"/>
  <c r="BX280" i="52"/>
  <c r="BW280" i="52"/>
  <c r="BV280" i="52"/>
  <c r="BU280" i="52"/>
  <c r="BT280" i="52"/>
  <c r="BS280" i="52"/>
  <c r="BR280" i="52"/>
  <c r="BQ280" i="52"/>
  <c r="T280" i="52"/>
  <c r="CC279" i="52"/>
  <c r="CB279" i="52"/>
  <c r="CA279" i="52"/>
  <c r="BZ279" i="52"/>
  <c r="BY279" i="52"/>
  <c r="BX279" i="52"/>
  <c r="BW279" i="52"/>
  <c r="BV279" i="52"/>
  <c r="BU279" i="52"/>
  <c r="BT279" i="52"/>
  <c r="BS279" i="52"/>
  <c r="BR279" i="52"/>
  <c r="BQ279" i="52"/>
  <c r="T279" i="52"/>
  <c r="CC278" i="52"/>
  <c r="CB278" i="52"/>
  <c r="CA278" i="52"/>
  <c r="BZ278" i="52"/>
  <c r="BY278" i="52"/>
  <c r="BX278" i="52"/>
  <c r="BW278" i="52"/>
  <c r="BV278" i="52"/>
  <c r="BU278" i="52"/>
  <c r="BT278" i="52"/>
  <c r="BS278" i="52"/>
  <c r="BR278" i="52"/>
  <c r="BQ278" i="52"/>
  <c r="T278" i="52"/>
  <c r="DY277" i="52"/>
  <c r="CC277" i="52"/>
  <c r="CB277" i="52"/>
  <c r="CA277" i="52"/>
  <c r="BZ277" i="52"/>
  <c r="BY277" i="52"/>
  <c r="BX277" i="52"/>
  <c r="BW277" i="52"/>
  <c r="BV277" i="52"/>
  <c r="BU277" i="52"/>
  <c r="BT277" i="52"/>
  <c r="BS277" i="52"/>
  <c r="BR277" i="52"/>
  <c r="BQ277" i="52"/>
  <c r="T277" i="52"/>
  <c r="CC276" i="52"/>
  <c r="CB276" i="52"/>
  <c r="CA276" i="52"/>
  <c r="BZ276" i="52"/>
  <c r="BY276" i="52"/>
  <c r="BX276" i="52"/>
  <c r="BW276" i="52"/>
  <c r="BV276" i="52"/>
  <c r="BU276" i="52"/>
  <c r="BT276" i="52"/>
  <c r="BS276" i="52"/>
  <c r="BR276" i="52"/>
  <c r="BQ276" i="52"/>
  <c r="T276" i="52"/>
  <c r="CC275" i="52"/>
  <c r="CB275" i="52"/>
  <c r="CA275" i="52"/>
  <c r="BZ275" i="52"/>
  <c r="BY275" i="52"/>
  <c r="BX275" i="52"/>
  <c r="BW275" i="52"/>
  <c r="BV275" i="52"/>
  <c r="BU275" i="52"/>
  <c r="BT275" i="52"/>
  <c r="BS275" i="52"/>
  <c r="BR275" i="52"/>
  <c r="BQ275" i="52"/>
  <c r="T275" i="52"/>
  <c r="CC274" i="52"/>
  <c r="CB274" i="52"/>
  <c r="CA274" i="52"/>
  <c r="BZ274" i="52"/>
  <c r="BY274" i="52"/>
  <c r="BX274" i="52"/>
  <c r="BW274" i="52"/>
  <c r="BV274" i="52"/>
  <c r="BU274" i="52"/>
  <c r="BT274" i="52"/>
  <c r="BS274" i="52"/>
  <c r="BR274" i="52"/>
  <c r="BQ274" i="52"/>
  <c r="T274" i="52"/>
  <c r="CC273" i="52"/>
  <c r="CB273" i="52"/>
  <c r="CA273" i="52"/>
  <c r="BZ273" i="52"/>
  <c r="BY273" i="52"/>
  <c r="BX273" i="52"/>
  <c r="BW273" i="52"/>
  <c r="BV273" i="52"/>
  <c r="BU273" i="52"/>
  <c r="BT273" i="52"/>
  <c r="BS273" i="52"/>
  <c r="BR273" i="52"/>
  <c r="BQ273" i="52"/>
  <c r="T273" i="52"/>
  <c r="CC272" i="52"/>
  <c r="CB272" i="52"/>
  <c r="CA272" i="52"/>
  <c r="BZ272" i="52"/>
  <c r="BY272" i="52"/>
  <c r="BX272" i="52"/>
  <c r="BW272" i="52"/>
  <c r="BV272" i="52"/>
  <c r="BU272" i="52"/>
  <c r="BT272" i="52"/>
  <c r="BS272" i="52"/>
  <c r="BR272" i="52"/>
  <c r="BQ272" i="52"/>
  <c r="T272" i="52"/>
  <c r="CC271" i="52"/>
  <c r="CB271" i="52"/>
  <c r="CA271" i="52"/>
  <c r="BZ271" i="52"/>
  <c r="BY271" i="52"/>
  <c r="BX271" i="52"/>
  <c r="BW271" i="52"/>
  <c r="BV271" i="52"/>
  <c r="BU271" i="52"/>
  <c r="BT271" i="52"/>
  <c r="BS271" i="52"/>
  <c r="BR271" i="52"/>
  <c r="BQ271" i="52"/>
  <c r="T271" i="52"/>
  <c r="CC270" i="52"/>
  <c r="CB270" i="52"/>
  <c r="CA270" i="52"/>
  <c r="BZ270" i="52"/>
  <c r="BY270" i="52"/>
  <c r="BX270" i="52"/>
  <c r="BW270" i="52"/>
  <c r="BV270" i="52"/>
  <c r="BU270" i="52"/>
  <c r="BT270" i="52"/>
  <c r="BS270" i="52"/>
  <c r="BR270" i="52"/>
  <c r="BQ270" i="52"/>
  <c r="T270" i="52"/>
  <c r="CC269" i="52"/>
  <c r="CB269" i="52"/>
  <c r="CA269" i="52"/>
  <c r="BZ269" i="52"/>
  <c r="BY269" i="52"/>
  <c r="BX269" i="52"/>
  <c r="BW269" i="52"/>
  <c r="BV269" i="52"/>
  <c r="BU269" i="52"/>
  <c r="BT269" i="52"/>
  <c r="BS269" i="52"/>
  <c r="BR269" i="52"/>
  <c r="BQ269" i="52"/>
  <c r="T269" i="52"/>
  <c r="DY268" i="52"/>
  <c r="CC268" i="52"/>
  <c r="CB268" i="52"/>
  <c r="CA268" i="52"/>
  <c r="BZ268" i="52"/>
  <c r="BY268" i="52"/>
  <c r="BX268" i="52"/>
  <c r="BW268" i="52"/>
  <c r="BV268" i="52"/>
  <c r="BU268" i="52"/>
  <c r="BT268" i="52"/>
  <c r="BS268" i="52"/>
  <c r="BR268" i="52"/>
  <c r="BQ268" i="52"/>
  <c r="T268" i="52"/>
  <c r="CC267" i="52"/>
  <c r="CB267" i="52"/>
  <c r="CA267" i="52"/>
  <c r="BZ267" i="52"/>
  <c r="BY267" i="52"/>
  <c r="BX267" i="52"/>
  <c r="BW267" i="52"/>
  <c r="BV267" i="52"/>
  <c r="BU267" i="52"/>
  <c r="BT267" i="52"/>
  <c r="BS267" i="52"/>
  <c r="BR267" i="52"/>
  <c r="BQ267" i="52"/>
  <c r="T267" i="52"/>
  <c r="CC266" i="52"/>
  <c r="CB266" i="52"/>
  <c r="CA266" i="52"/>
  <c r="BZ266" i="52"/>
  <c r="BY266" i="52"/>
  <c r="BX266" i="52"/>
  <c r="BW266" i="52"/>
  <c r="BV266" i="52"/>
  <c r="BU266" i="52"/>
  <c r="BT266" i="52"/>
  <c r="BS266" i="52"/>
  <c r="BR266" i="52"/>
  <c r="BQ266" i="52"/>
  <c r="T266" i="52"/>
  <c r="CC265" i="52"/>
  <c r="CB265" i="52"/>
  <c r="CA265" i="52"/>
  <c r="BZ265" i="52"/>
  <c r="BY265" i="52"/>
  <c r="BX265" i="52"/>
  <c r="BW265" i="52"/>
  <c r="BV265" i="52"/>
  <c r="BU265" i="52"/>
  <c r="BT265" i="52"/>
  <c r="BS265" i="52"/>
  <c r="BR265" i="52"/>
  <c r="BQ265" i="52"/>
  <c r="T265" i="52"/>
  <c r="CC264" i="52"/>
  <c r="CB264" i="52"/>
  <c r="CA264" i="52"/>
  <c r="BZ264" i="52"/>
  <c r="BY264" i="52"/>
  <c r="BX264" i="52"/>
  <c r="BW264" i="52"/>
  <c r="BV264" i="52"/>
  <c r="BU264" i="52"/>
  <c r="BT264" i="52"/>
  <c r="BS264" i="52"/>
  <c r="BR264" i="52"/>
  <c r="BQ264" i="52"/>
  <c r="T264" i="52"/>
  <c r="CC263" i="52"/>
  <c r="CB263" i="52"/>
  <c r="CA263" i="52"/>
  <c r="BZ263" i="52"/>
  <c r="BY263" i="52"/>
  <c r="BX263" i="52"/>
  <c r="BW263" i="52"/>
  <c r="BV263" i="52"/>
  <c r="BU263" i="52"/>
  <c r="BT263" i="52"/>
  <c r="BS263" i="52"/>
  <c r="BR263" i="52"/>
  <c r="BQ263" i="52"/>
  <c r="T263" i="52"/>
  <c r="CC214" i="52"/>
  <c r="CB214" i="52"/>
  <c r="CA214" i="52"/>
  <c r="BZ214" i="52"/>
  <c r="BY214" i="52"/>
  <c r="BX214" i="52"/>
  <c r="BW214" i="52"/>
  <c r="BV214" i="52"/>
  <c r="BU214" i="52"/>
  <c r="BT214" i="52"/>
  <c r="BS214" i="52"/>
  <c r="BR214" i="52"/>
  <c r="BQ214" i="52"/>
  <c r="T214" i="52"/>
  <c r="CC213" i="52"/>
  <c r="CB213" i="52"/>
  <c r="CA213" i="52"/>
  <c r="BZ213" i="52"/>
  <c r="BY213" i="52"/>
  <c r="BX213" i="52"/>
  <c r="BW213" i="52"/>
  <c r="BV213" i="52"/>
  <c r="BU213" i="52"/>
  <c r="BT213" i="52"/>
  <c r="BS213" i="52"/>
  <c r="BR213" i="52"/>
  <c r="BQ213" i="52"/>
  <c r="T213" i="52"/>
  <c r="CC212" i="52"/>
  <c r="CB212" i="52"/>
  <c r="CA212" i="52"/>
  <c r="BZ212" i="52"/>
  <c r="BY212" i="52"/>
  <c r="BX212" i="52"/>
  <c r="BW212" i="52"/>
  <c r="BV212" i="52"/>
  <c r="BU212" i="52"/>
  <c r="BT212" i="52"/>
  <c r="BS212" i="52"/>
  <c r="BR212" i="52"/>
  <c r="BQ212" i="52"/>
  <c r="T212" i="52"/>
  <c r="CC211" i="52"/>
  <c r="CB211" i="52"/>
  <c r="CA211" i="52"/>
  <c r="BZ211" i="52"/>
  <c r="BY211" i="52"/>
  <c r="BX211" i="52"/>
  <c r="BW211" i="52"/>
  <c r="BV211" i="52"/>
  <c r="BU211" i="52"/>
  <c r="BT211" i="52"/>
  <c r="BS211" i="52"/>
  <c r="BR211" i="52"/>
  <c r="BQ211" i="52"/>
  <c r="T211" i="52"/>
  <c r="CC210" i="52"/>
  <c r="CB210" i="52"/>
  <c r="CA210" i="52"/>
  <c r="BZ210" i="52"/>
  <c r="BY210" i="52"/>
  <c r="BX210" i="52"/>
  <c r="BW210" i="52"/>
  <c r="BV210" i="52"/>
  <c r="BU210" i="52"/>
  <c r="BT210" i="52"/>
  <c r="BS210" i="52"/>
  <c r="BR210" i="52"/>
  <c r="BQ210" i="52"/>
  <c r="T210" i="52"/>
  <c r="DY209" i="52"/>
  <c r="CC209" i="52"/>
  <c r="CB209" i="52"/>
  <c r="CA209" i="52"/>
  <c r="BZ209" i="52"/>
  <c r="BY209" i="52"/>
  <c r="BX209" i="52"/>
  <c r="BW209" i="52"/>
  <c r="BV209" i="52"/>
  <c r="BU209" i="52"/>
  <c r="BT209" i="52"/>
  <c r="BS209" i="52"/>
  <c r="BR209" i="52"/>
  <c r="BQ209" i="52"/>
  <c r="T209" i="52"/>
  <c r="CC208" i="52"/>
  <c r="CB208" i="52"/>
  <c r="CA208" i="52"/>
  <c r="BZ208" i="52"/>
  <c r="BY208" i="52"/>
  <c r="BX208" i="52"/>
  <c r="BW208" i="52"/>
  <c r="BV208" i="52"/>
  <c r="BU208" i="52"/>
  <c r="BT208" i="52"/>
  <c r="BS208" i="52"/>
  <c r="BR208" i="52"/>
  <c r="BQ208" i="52"/>
  <c r="T208" i="52"/>
  <c r="CC207" i="52"/>
  <c r="CB207" i="52"/>
  <c r="CA207" i="52"/>
  <c r="BZ207" i="52"/>
  <c r="BY207" i="52"/>
  <c r="BX207" i="52"/>
  <c r="BW207" i="52"/>
  <c r="BV207" i="52"/>
  <c r="BU207" i="52"/>
  <c r="BT207" i="52"/>
  <c r="BS207" i="52"/>
  <c r="BR207" i="52"/>
  <c r="BQ207" i="52"/>
  <c r="T207" i="52"/>
  <c r="CC206" i="52"/>
  <c r="CB206" i="52"/>
  <c r="CA206" i="52"/>
  <c r="BZ206" i="52"/>
  <c r="BY206" i="52"/>
  <c r="BX206" i="52"/>
  <c r="BW206" i="52"/>
  <c r="BV206" i="52"/>
  <c r="BU206" i="52"/>
  <c r="BT206" i="52"/>
  <c r="BS206" i="52"/>
  <c r="BR206" i="52"/>
  <c r="BQ206" i="52"/>
  <c r="T206" i="52"/>
  <c r="CC205" i="52"/>
  <c r="CB205" i="52"/>
  <c r="CA205" i="52"/>
  <c r="BZ205" i="52"/>
  <c r="BY205" i="52"/>
  <c r="BX205" i="52"/>
  <c r="BW205" i="52"/>
  <c r="BV205" i="52"/>
  <c r="BU205" i="52"/>
  <c r="BT205" i="52"/>
  <c r="BS205" i="52"/>
  <c r="BR205" i="52"/>
  <c r="BQ205" i="52"/>
  <c r="T205" i="52"/>
  <c r="CC204" i="52"/>
  <c r="CB204" i="52"/>
  <c r="CA204" i="52"/>
  <c r="BZ204" i="52"/>
  <c r="BY204" i="52"/>
  <c r="BX204" i="52"/>
  <c r="BW204" i="52"/>
  <c r="BV204" i="52"/>
  <c r="BU204" i="52"/>
  <c r="BT204" i="52"/>
  <c r="BS204" i="52"/>
  <c r="BR204" i="52"/>
  <c r="BQ204" i="52"/>
  <c r="T204" i="52"/>
  <c r="CC203" i="52"/>
  <c r="CB203" i="52"/>
  <c r="CA203" i="52"/>
  <c r="BZ203" i="52"/>
  <c r="BY203" i="52"/>
  <c r="BX203" i="52"/>
  <c r="BW203" i="52"/>
  <c r="BV203" i="52"/>
  <c r="BU203" i="52"/>
  <c r="BT203" i="52"/>
  <c r="BS203" i="52"/>
  <c r="BR203" i="52"/>
  <c r="BQ203" i="52"/>
  <c r="T203" i="52"/>
  <c r="CC202" i="52"/>
  <c r="CB202" i="52"/>
  <c r="CA202" i="52"/>
  <c r="BZ202" i="52"/>
  <c r="BY202" i="52"/>
  <c r="BX202" i="52"/>
  <c r="BW202" i="52"/>
  <c r="BV202" i="52"/>
  <c r="BU202" i="52"/>
  <c r="BT202" i="52"/>
  <c r="BS202" i="52"/>
  <c r="BR202" i="52"/>
  <c r="BQ202" i="52"/>
  <c r="T202" i="52"/>
  <c r="CC201" i="52"/>
  <c r="CB201" i="52"/>
  <c r="CA201" i="52"/>
  <c r="BZ201" i="52"/>
  <c r="BY201" i="52"/>
  <c r="BX201" i="52"/>
  <c r="BW201" i="52"/>
  <c r="BV201" i="52"/>
  <c r="BU201" i="52"/>
  <c r="BT201" i="52"/>
  <c r="BS201" i="52"/>
  <c r="BR201" i="52"/>
  <c r="BQ201" i="52"/>
  <c r="T201" i="52"/>
  <c r="CC200" i="52"/>
  <c r="CB200" i="52"/>
  <c r="CA200" i="52"/>
  <c r="BZ200" i="52"/>
  <c r="BY200" i="52"/>
  <c r="BX200" i="52"/>
  <c r="BW200" i="52"/>
  <c r="BV200" i="52"/>
  <c r="BU200" i="52"/>
  <c r="BT200" i="52"/>
  <c r="BS200" i="52"/>
  <c r="BR200" i="52"/>
  <c r="BQ200" i="52"/>
  <c r="T200" i="52"/>
  <c r="CC199" i="52"/>
  <c r="CB199" i="52"/>
  <c r="CA199" i="52"/>
  <c r="BZ199" i="52"/>
  <c r="BY199" i="52"/>
  <c r="BX199" i="52"/>
  <c r="BW199" i="52"/>
  <c r="BV199" i="52"/>
  <c r="BU199" i="52"/>
  <c r="BT199" i="52"/>
  <c r="BS199" i="52"/>
  <c r="BR199" i="52"/>
  <c r="BQ199" i="52"/>
  <c r="T199" i="52"/>
  <c r="CC198" i="52"/>
  <c r="CB198" i="52"/>
  <c r="CA198" i="52"/>
  <c r="BZ198" i="52"/>
  <c r="BY198" i="52"/>
  <c r="BX198" i="52"/>
  <c r="BW198" i="52"/>
  <c r="BV198" i="52"/>
  <c r="BU198" i="52"/>
  <c r="BT198" i="52"/>
  <c r="BS198" i="52"/>
  <c r="BR198" i="52"/>
  <c r="BQ198" i="52"/>
  <c r="T198" i="52"/>
  <c r="CC197" i="52"/>
  <c r="CB197" i="52"/>
  <c r="CA197" i="52"/>
  <c r="BZ197" i="52"/>
  <c r="BY197" i="52"/>
  <c r="BX197" i="52"/>
  <c r="BW197" i="52"/>
  <c r="BV197" i="52"/>
  <c r="BU197" i="52"/>
  <c r="BT197" i="52"/>
  <c r="BS197" i="52"/>
  <c r="BR197" i="52"/>
  <c r="BQ197" i="52"/>
  <c r="T197" i="52"/>
  <c r="CC196" i="52"/>
  <c r="CB196" i="52"/>
  <c r="CA196" i="52"/>
  <c r="BZ196" i="52"/>
  <c r="BY196" i="52"/>
  <c r="BX196" i="52"/>
  <c r="BW196" i="52"/>
  <c r="BV196" i="52"/>
  <c r="BU196" i="52"/>
  <c r="BT196" i="52"/>
  <c r="BS196" i="52"/>
  <c r="BR196" i="52"/>
  <c r="BQ196" i="52"/>
  <c r="T196" i="52"/>
  <c r="CC195" i="52"/>
  <c r="CB195" i="52"/>
  <c r="CA195" i="52"/>
  <c r="BZ195" i="52"/>
  <c r="BY195" i="52"/>
  <c r="BX195" i="52"/>
  <c r="BW195" i="52"/>
  <c r="BV195" i="52"/>
  <c r="BU195" i="52"/>
  <c r="BT195" i="52"/>
  <c r="BS195" i="52"/>
  <c r="BR195" i="52"/>
  <c r="BQ195" i="52"/>
  <c r="T195" i="52"/>
  <c r="CC194" i="52"/>
  <c r="CB194" i="52"/>
  <c r="CA194" i="52"/>
  <c r="BZ194" i="52"/>
  <c r="BY194" i="52"/>
  <c r="BX194" i="52"/>
  <c r="BW194" i="52"/>
  <c r="BV194" i="52"/>
  <c r="BU194" i="52"/>
  <c r="BT194" i="52"/>
  <c r="BS194" i="52"/>
  <c r="BR194" i="52"/>
  <c r="BQ194" i="52"/>
  <c r="T194" i="52"/>
  <c r="CC51" i="52"/>
  <c r="CB51" i="52"/>
  <c r="CA51" i="52"/>
  <c r="BZ51" i="52"/>
  <c r="BY51" i="52"/>
  <c r="BX51" i="52"/>
  <c r="BW51" i="52"/>
  <c r="BV51" i="52"/>
  <c r="BU51" i="52"/>
  <c r="BT51" i="52"/>
  <c r="BS51" i="52"/>
  <c r="BR51" i="52"/>
  <c r="BQ51" i="52"/>
  <c r="T51" i="52"/>
  <c r="CC50" i="52"/>
  <c r="CB50" i="52"/>
  <c r="CA50" i="52"/>
  <c r="BZ50" i="52"/>
  <c r="BY50" i="52"/>
  <c r="BX50" i="52"/>
  <c r="BW50" i="52"/>
  <c r="BV50" i="52"/>
  <c r="BU50" i="52"/>
  <c r="BT50" i="52"/>
  <c r="BS50" i="52"/>
  <c r="BR50" i="52"/>
  <c r="BQ50" i="52"/>
  <c r="T50" i="52"/>
  <c r="CC49" i="52"/>
  <c r="CB49" i="52"/>
  <c r="CA49" i="52"/>
  <c r="BZ49" i="52"/>
  <c r="BY49" i="52"/>
  <c r="BX49" i="52"/>
  <c r="BW49" i="52"/>
  <c r="BV49" i="52"/>
  <c r="BU49" i="52"/>
  <c r="BT49" i="52"/>
  <c r="BS49" i="52"/>
  <c r="BR49" i="52"/>
  <c r="BQ49" i="52"/>
  <c r="T49" i="52"/>
  <c r="CC48" i="52"/>
  <c r="CB48" i="52"/>
  <c r="CA48" i="52"/>
  <c r="BZ48" i="52"/>
  <c r="BY48" i="52"/>
  <c r="BX48" i="52"/>
  <c r="BW48" i="52"/>
  <c r="BV48" i="52"/>
  <c r="BU48" i="52"/>
  <c r="BT48" i="52"/>
  <c r="BS48" i="52"/>
  <c r="BR48" i="52"/>
  <c r="BQ48" i="52"/>
  <c r="T48" i="52"/>
  <c r="CC47" i="52"/>
  <c r="CB47" i="52"/>
  <c r="CA47" i="52"/>
  <c r="BZ47" i="52"/>
  <c r="BY47" i="52"/>
  <c r="BX47" i="52"/>
  <c r="BW47" i="52"/>
  <c r="BV47" i="52"/>
  <c r="BU47" i="52"/>
  <c r="BT47" i="52"/>
  <c r="BS47" i="52"/>
  <c r="BR47" i="52"/>
  <c r="BQ47" i="52"/>
  <c r="T47" i="52"/>
  <c r="CC46" i="52"/>
  <c r="CB46" i="52"/>
  <c r="CA46" i="52"/>
  <c r="BZ46" i="52"/>
  <c r="BY46" i="52"/>
  <c r="BX46" i="52"/>
  <c r="BW46" i="52"/>
  <c r="BV46" i="52"/>
  <c r="BU46" i="52"/>
  <c r="BT46" i="52"/>
  <c r="BS46" i="52"/>
  <c r="BR46" i="52"/>
  <c r="BQ46" i="52"/>
  <c r="T46" i="52"/>
  <c r="CC45" i="52"/>
  <c r="CB45" i="52"/>
  <c r="CA45" i="52"/>
  <c r="BZ45" i="52"/>
  <c r="BY45" i="52"/>
  <c r="BX45" i="52"/>
  <c r="BW45" i="52"/>
  <c r="BV45" i="52"/>
  <c r="BU45" i="52"/>
  <c r="BT45" i="52"/>
  <c r="BS45" i="52"/>
  <c r="BR45" i="52"/>
  <c r="BQ45" i="52"/>
  <c r="T45" i="52"/>
  <c r="CC44" i="52"/>
  <c r="CB44" i="52"/>
  <c r="CA44" i="52"/>
  <c r="BZ44" i="52"/>
  <c r="BY44" i="52"/>
  <c r="BX44" i="52"/>
  <c r="BW44" i="52"/>
  <c r="BV44" i="52"/>
  <c r="BU44" i="52"/>
  <c r="BT44" i="52"/>
  <c r="BS44" i="52"/>
  <c r="BR44" i="52"/>
  <c r="BQ44" i="52"/>
  <c r="T44" i="52"/>
  <c r="CC43" i="52"/>
  <c r="CB43" i="52"/>
  <c r="CA43" i="52"/>
  <c r="BZ43" i="52"/>
  <c r="BY43" i="52"/>
  <c r="BX43" i="52"/>
  <c r="BW43" i="52"/>
  <c r="BV43" i="52"/>
  <c r="BU43" i="52"/>
  <c r="BT43" i="52"/>
  <c r="BS43" i="52"/>
  <c r="BR43" i="52"/>
  <c r="BQ43" i="52"/>
  <c r="T43" i="52"/>
  <c r="CC42" i="52"/>
  <c r="CB42" i="52"/>
  <c r="CA42" i="52"/>
  <c r="BZ42" i="52"/>
  <c r="BY42" i="52"/>
  <c r="BX42" i="52"/>
  <c r="BW42" i="52"/>
  <c r="BV42" i="52"/>
  <c r="BU42" i="52"/>
  <c r="BT42" i="52"/>
  <c r="BS42" i="52"/>
  <c r="BR42" i="52"/>
  <c r="BQ42" i="52"/>
  <c r="T42" i="52"/>
  <c r="CC41" i="52"/>
  <c r="CB41" i="52"/>
  <c r="CA41" i="52"/>
  <c r="BZ41" i="52"/>
  <c r="BY41" i="52"/>
  <c r="BX41" i="52"/>
  <c r="BW41" i="52"/>
  <c r="BV41" i="52"/>
  <c r="BU41" i="52"/>
  <c r="BT41" i="52"/>
  <c r="BS41" i="52"/>
  <c r="BR41" i="52"/>
  <c r="BQ41" i="52"/>
  <c r="T41" i="52"/>
  <c r="CC40" i="52"/>
  <c r="CB40" i="52"/>
  <c r="CA40" i="52"/>
  <c r="BZ40" i="52"/>
  <c r="BY40" i="52"/>
  <c r="BX40" i="52"/>
  <c r="BW40" i="52"/>
  <c r="BV40" i="52"/>
  <c r="BU40" i="52"/>
  <c r="BT40" i="52"/>
  <c r="BS40" i="52"/>
  <c r="BR40" i="52"/>
  <c r="BQ40" i="52"/>
  <c r="T40" i="52"/>
  <c r="CC39" i="52"/>
  <c r="CB39" i="52"/>
  <c r="CA39" i="52"/>
  <c r="BZ39" i="52"/>
  <c r="BY39" i="52"/>
  <c r="BX39" i="52"/>
  <c r="BW39" i="52"/>
  <c r="BV39" i="52"/>
  <c r="BU39" i="52"/>
  <c r="BT39" i="52"/>
  <c r="BS39" i="52"/>
  <c r="BR39" i="52"/>
  <c r="BQ39" i="52"/>
  <c r="T39" i="52"/>
  <c r="CC38" i="52"/>
  <c r="CB38" i="52"/>
  <c r="CA38" i="52"/>
  <c r="BZ38" i="52"/>
  <c r="BY38" i="52"/>
  <c r="BX38" i="52"/>
  <c r="BW38" i="52"/>
  <c r="BV38" i="52"/>
  <c r="BU38" i="52"/>
  <c r="BT38" i="52"/>
  <c r="BS38" i="52"/>
  <c r="BR38" i="52"/>
  <c r="BQ38" i="52"/>
  <c r="T38" i="52"/>
  <c r="CC37" i="52"/>
  <c r="CB37" i="52"/>
  <c r="CA37" i="52"/>
  <c r="BZ37" i="52"/>
  <c r="BY37" i="52"/>
  <c r="BX37" i="52"/>
  <c r="BW37" i="52"/>
  <c r="BV37" i="52"/>
  <c r="BU37" i="52"/>
  <c r="BT37" i="52"/>
  <c r="BS37" i="52"/>
  <c r="BR37" i="52"/>
  <c r="BQ37" i="52"/>
  <c r="T37" i="52"/>
  <c r="CC36" i="52"/>
  <c r="CB36" i="52"/>
  <c r="CA36" i="52"/>
  <c r="BZ36" i="52"/>
  <c r="BY36" i="52"/>
  <c r="BX36" i="52"/>
  <c r="BW36" i="52"/>
  <c r="BV36" i="52"/>
  <c r="BU36" i="52"/>
  <c r="BT36" i="52"/>
  <c r="BS36" i="52"/>
  <c r="BR36" i="52"/>
  <c r="BQ36" i="52"/>
  <c r="T36" i="52"/>
  <c r="CC35" i="52"/>
  <c r="CB35" i="52"/>
  <c r="CA35" i="52"/>
  <c r="BZ35" i="52"/>
  <c r="BY35" i="52"/>
  <c r="BX35" i="52"/>
  <c r="BW35" i="52"/>
  <c r="BV35" i="52"/>
  <c r="BU35" i="52"/>
  <c r="BT35" i="52"/>
  <c r="BS35" i="52"/>
  <c r="BR35" i="52"/>
  <c r="BQ35" i="52"/>
  <c r="T35" i="52"/>
  <c r="CC34" i="52"/>
  <c r="CB34" i="52"/>
  <c r="CA34" i="52"/>
  <c r="BZ34" i="52"/>
  <c r="BY34" i="52"/>
  <c r="BX34" i="52"/>
  <c r="BW34" i="52"/>
  <c r="BV34" i="52"/>
  <c r="BU34" i="52"/>
  <c r="BT34" i="52"/>
  <c r="BS34" i="52"/>
  <c r="BR34" i="52"/>
  <c r="BQ34" i="52"/>
  <c r="T34" i="52"/>
  <c r="CC33" i="52"/>
  <c r="CB33" i="52"/>
  <c r="CA33" i="52"/>
  <c r="BZ33" i="52"/>
  <c r="BY33" i="52"/>
  <c r="BX33" i="52"/>
  <c r="BW33" i="52"/>
  <c r="BV33" i="52"/>
  <c r="BU33" i="52"/>
  <c r="BT33" i="52"/>
  <c r="BS33" i="52"/>
  <c r="BR33" i="52"/>
  <c r="BQ33" i="52"/>
  <c r="T33" i="52"/>
  <c r="CC32" i="52"/>
  <c r="CB32" i="52"/>
  <c r="CA32" i="52"/>
  <c r="BZ32" i="52"/>
  <c r="BY32" i="52"/>
  <c r="BX32" i="52"/>
  <c r="BW32" i="52"/>
  <c r="BV32" i="52"/>
  <c r="BU32" i="52"/>
  <c r="BT32" i="52"/>
  <c r="BS32" i="52"/>
  <c r="BR32" i="52"/>
  <c r="BQ32" i="52"/>
  <c r="T32" i="52"/>
  <c r="CC110" i="52"/>
  <c r="CB110" i="52"/>
  <c r="CA110" i="52"/>
  <c r="BZ110" i="52"/>
  <c r="BY110" i="52"/>
  <c r="BX110" i="52"/>
  <c r="BW110" i="52"/>
  <c r="BV110" i="52"/>
  <c r="BU110" i="52"/>
  <c r="BT110" i="52"/>
  <c r="BS110" i="52"/>
  <c r="BR110" i="52"/>
  <c r="BQ110" i="52"/>
  <c r="T110" i="52"/>
  <c r="CC109" i="52"/>
  <c r="CB109" i="52"/>
  <c r="CA109" i="52"/>
  <c r="BZ109" i="52"/>
  <c r="BY109" i="52"/>
  <c r="BX109" i="52"/>
  <c r="BW109" i="52"/>
  <c r="BV109" i="52"/>
  <c r="BU109" i="52"/>
  <c r="BT109" i="52"/>
  <c r="BS109" i="52"/>
  <c r="BR109" i="52"/>
  <c r="BQ109" i="52"/>
  <c r="T109" i="52"/>
  <c r="CC108" i="52"/>
  <c r="CB108" i="52"/>
  <c r="CA108" i="52"/>
  <c r="BZ108" i="52"/>
  <c r="BY108" i="52"/>
  <c r="BX108" i="52"/>
  <c r="BW108" i="52"/>
  <c r="BV108" i="52"/>
  <c r="BU108" i="52"/>
  <c r="BT108" i="52"/>
  <c r="BS108" i="52"/>
  <c r="BR108" i="52"/>
  <c r="BQ108" i="52"/>
  <c r="T108" i="52"/>
  <c r="CC107" i="52"/>
  <c r="CB107" i="52"/>
  <c r="CA107" i="52"/>
  <c r="BZ107" i="52"/>
  <c r="BY107" i="52"/>
  <c r="BX107" i="52"/>
  <c r="BW107" i="52"/>
  <c r="BV107" i="52"/>
  <c r="BU107" i="52"/>
  <c r="BT107" i="52"/>
  <c r="BS107" i="52"/>
  <c r="BR107" i="52"/>
  <c r="BQ107" i="52"/>
  <c r="T107" i="52"/>
  <c r="CC106" i="52"/>
  <c r="CB106" i="52"/>
  <c r="CA106" i="52"/>
  <c r="BZ106" i="52"/>
  <c r="BY106" i="52"/>
  <c r="BX106" i="52"/>
  <c r="BW106" i="52"/>
  <c r="BV106" i="52"/>
  <c r="BU106" i="52"/>
  <c r="BT106" i="52"/>
  <c r="BS106" i="52"/>
  <c r="BR106" i="52"/>
  <c r="BQ106" i="52"/>
  <c r="T106" i="52"/>
  <c r="CC105" i="52"/>
  <c r="CB105" i="52"/>
  <c r="CA105" i="52"/>
  <c r="BZ105" i="52"/>
  <c r="BY105" i="52"/>
  <c r="BX105" i="52"/>
  <c r="BW105" i="52"/>
  <c r="BV105" i="52"/>
  <c r="BU105" i="52"/>
  <c r="BT105" i="52"/>
  <c r="BS105" i="52"/>
  <c r="BR105" i="52"/>
  <c r="BQ105" i="52"/>
  <c r="T105" i="52"/>
  <c r="CC104" i="52"/>
  <c r="CB104" i="52"/>
  <c r="CA104" i="52"/>
  <c r="BZ104" i="52"/>
  <c r="BY104" i="52"/>
  <c r="BX104" i="52"/>
  <c r="BW104" i="52"/>
  <c r="BV104" i="52"/>
  <c r="BU104" i="52"/>
  <c r="BT104" i="52"/>
  <c r="BS104" i="52"/>
  <c r="BR104" i="52"/>
  <c r="BQ104" i="52"/>
  <c r="T104" i="52"/>
  <c r="CC103" i="52"/>
  <c r="CB103" i="52"/>
  <c r="CA103" i="52"/>
  <c r="BZ103" i="52"/>
  <c r="BY103" i="52"/>
  <c r="BX103" i="52"/>
  <c r="BW103" i="52"/>
  <c r="BV103" i="52"/>
  <c r="BU103" i="52"/>
  <c r="BT103" i="52"/>
  <c r="BS103" i="52"/>
  <c r="BR103" i="52"/>
  <c r="BQ103" i="52"/>
  <c r="T103" i="52"/>
  <c r="CC102" i="52"/>
  <c r="CB102" i="52"/>
  <c r="CA102" i="52"/>
  <c r="BZ102" i="52"/>
  <c r="BY102" i="52"/>
  <c r="BX102" i="52"/>
  <c r="BW102" i="52"/>
  <c r="BV102" i="52"/>
  <c r="BU102" i="52"/>
  <c r="BT102" i="52"/>
  <c r="BS102" i="52"/>
  <c r="BR102" i="52"/>
  <c r="BQ102" i="52"/>
  <c r="T102" i="52"/>
  <c r="CC18" i="52"/>
  <c r="CB18" i="52"/>
  <c r="CA18" i="52"/>
  <c r="BZ18" i="52"/>
  <c r="BY18" i="52"/>
  <c r="BX18" i="52"/>
  <c r="BW18" i="52"/>
  <c r="BV18" i="52"/>
  <c r="BU18" i="52"/>
  <c r="BT18" i="52"/>
  <c r="BS18" i="52"/>
  <c r="BR18" i="52"/>
  <c r="BQ18" i="52"/>
  <c r="T18" i="52"/>
  <c r="CC17" i="52"/>
  <c r="CB17" i="52"/>
  <c r="CA17" i="52"/>
  <c r="BZ17" i="52"/>
  <c r="BY17" i="52"/>
  <c r="BX17" i="52"/>
  <c r="BW17" i="52"/>
  <c r="BV17" i="52"/>
  <c r="BU17" i="52"/>
  <c r="BT17" i="52"/>
  <c r="BS17" i="52"/>
  <c r="BR17" i="52"/>
  <c r="BQ17" i="52"/>
  <c r="T17" i="52"/>
  <c r="CC16" i="52"/>
  <c r="CB16" i="52"/>
  <c r="CA16" i="52"/>
  <c r="BZ16" i="52"/>
  <c r="BY16" i="52"/>
  <c r="BX16" i="52"/>
  <c r="BW16" i="52"/>
  <c r="BV16" i="52"/>
  <c r="BU16" i="52"/>
  <c r="BT16" i="52"/>
  <c r="BS16" i="52"/>
  <c r="BR16" i="52"/>
  <c r="BQ16" i="52"/>
  <c r="T16" i="52"/>
  <c r="CC15" i="52"/>
  <c r="CB15" i="52"/>
  <c r="CA15" i="52"/>
  <c r="BZ15" i="52"/>
  <c r="BY15" i="52"/>
  <c r="BX15" i="52"/>
  <c r="BW15" i="52"/>
  <c r="BV15" i="52"/>
  <c r="BU15" i="52"/>
  <c r="BT15" i="52"/>
  <c r="BS15" i="52"/>
  <c r="BR15" i="52"/>
  <c r="BQ15" i="52"/>
  <c r="BO15" i="52"/>
  <c r="BN15" i="52"/>
  <c r="BL15" i="52"/>
  <c r="BK15" i="52"/>
  <c r="BJ15" i="52"/>
  <c r="BI15" i="52"/>
  <c r="BH15" i="52"/>
  <c r="BG15" i="52"/>
  <c r="BF15" i="52"/>
  <c r="BE15" i="52"/>
  <c r="BD15" i="52"/>
  <c r="BC15" i="52"/>
  <c r="BB15" i="52"/>
  <c r="BA15" i="52"/>
  <c r="AZ15" i="52"/>
  <c r="AY15" i="52"/>
  <c r="AX15" i="52"/>
  <c r="T15" i="52"/>
  <c r="CC14" i="52"/>
  <c r="CB14" i="52"/>
  <c r="CA14" i="52"/>
  <c r="BZ14" i="52"/>
  <c r="BY14" i="52"/>
  <c r="BX14" i="52"/>
  <c r="BW14" i="52"/>
  <c r="BV14" i="52"/>
  <c r="BU14" i="52"/>
  <c r="BT14" i="52"/>
  <c r="BS14" i="52"/>
  <c r="BR14" i="52"/>
  <c r="BQ14" i="52"/>
  <c r="T14" i="52"/>
  <c r="CC13" i="52"/>
  <c r="CB13" i="52"/>
  <c r="CA13" i="52"/>
  <c r="BZ13" i="52"/>
  <c r="BY13" i="52"/>
  <c r="BX13" i="52"/>
  <c r="BW13" i="52"/>
  <c r="BV13" i="52"/>
  <c r="BU13" i="52"/>
  <c r="BT13" i="52"/>
  <c r="BS13" i="52"/>
  <c r="BR13" i="52"/>
  <c r="BQ13" i="52"/>
  <c r="T13" i="52"/>
  <c r="CC12" i="52"/>
  <c r="CB12" i="52"/>
  <c r="CA12" i="52"/>
  <c r="BZ12" i="52"/>
  <c r="BY12" i="52"/>
  <c r="BX12" i="52"/>
  <c r="BW12" i="52"/>
  <c r="BV12" i="52"/>
  <c r="BU12" i="52"/>
  <c r="BT12" i="52"/>
  <c r="BS12" i="52"/>
  <c r="BR12" i="52"/>
  <c r="BQ12" i="52"/>
  <c r="T12" i="52"/>
  <c r="CC11" i="52"/>
  <c r="CB11" i="52"/>
  <c r="CA11" i="52"/>
  <c r="BZ11" i="52"/>
  <c r="BY11" i="52"/>
  <c r="BX11" i="52"/>
  <c r="BW11" i="52"/>
  <c r="BV11" i="52"/>
  <c r="BU11" i="52"/>
  <c r="BT11" i="52"/>
  <c r="BS11" i="52"/>
  <c r="BR11" i="52"/>
  <c r="BQ11" i="52"/>
  <c r="T11" i="52"/>
  <c r="CC10" i="52"/>
  <c r="CB10" i="52"/>
  <c r="CA10" i="52"/>
  <c r="BZ10" i="52"/>
  <c r="BY10" i="52"/>
  <c r="BX10" i="52"/>
  <c r="BW10" i="52"/>
  <c r="BV10" i="52"/>
  <c r="BU10" i="52"/>
  <c r="BT10" i="52"/>
  <c r="BS10" i="52"/>
  <c r="BR10" i="52"/>
  <c r="BQ10" i="52"/>
  <c r="T10" i="52"/>
  <c r="CC9" i="52"/>
  <c r="CB9" i="52"/>
  <c r="CA9" i="52"/>
  <c r="BZ9" i="52"/>
  <c r="BY9" i="52"/>
  <c r="BX9" i="52"/>
  <c r="BW9" i="52"/>
  <c r="BV9" i="52"/>
  <c r="BU9" i="52"/>
  <c r="BT9" i="52"/>
  <c r="BS9" i="52"/>
  <c r="BR9" i="52"/>
  <c r="BQ9" i="52"/>
  <c r="T9" i="52"/>
  <c r="CC155" i="52"/>
  <c r="CB155" i="52"/>
  <c r="CA155" i="52"/>
  <c r="BZ155" i="52"/>
  <c r="BY155" i="52"/>
  <c r="BX155" i="52"/>
  <c r="BW155" i="52"/>
  <c r="BV155" i="52"/>
  <c r="BU155" i="52"/>
  <c r="BT155" i="52"/>
  <c r="BS155" i="52"/>
  <c r="BR155" i="52"/>
  <c r="BQ155" i="52"/>
  <c r="T155" i="52"/>
  <c r="CC154" i="52"/>
  <c r="CB154" i="52"/>
  <c r="CA154" i="52"/>
  <c r="BZ154" i="52"/>
  <c r="BY154" i="52"/>
  <c r="BX154" i="52"/>
  <c r="BW154" i="52"/>
  <c r="BV154" i="52"/>
  <c r="BU154" i="52"/>
  <c r="BT154" i="52"/>
  <c r="BS154" i="52"/>
  <c r="BR154" i="52"/>
  <c r="BQ154" i="52"/>
  <c r="T154" i="52"/>
  <c r="CC153" i="52"/>
  <c r="CB153" i="52"/>
  <c r="CA153" i="52"/>
  <c r="BZ153" i="52"/>
  <c r="BY153" i="52"/>
  <c r="BX153" i="52"/>
  <c r="BW153" i="52"/>
  <c r="BV153" i="52"/>
  <c r="BU153" i="52"/>
  <c r="BT153" i="52"/>
  <c r="BS153" i="52"/>
  <c r="BR153" i="52"/>
  <c r="BQ153" i="52"/>
  <c r="T153" i="52"/>
  <c r="CC152" i="52"/>
  <c r="CB152" i="52"/>
  <c r="CA152" i="52"/>
  <c r="BZ152" i="52"/>
  <c r="BY152" i="52"/>
  <c r="BX152" i="52"/>
  <c r="BW152" i="52"/>
  <c r="BV152" i="52"/>
  <c r="BU152" i="52"/>
  <c r="BT152" i="52"/>
  <c r="BS152" i="52"/>
  <c r="BR152" i="52"/>
  <c r="BQ152" i="52"/>
  <c r="T152" i="52"/>
  <c r="CC151" i="52"/>
  <c r="CB151" i="52"/>
  <c r="CA151" i="52"/>
  <c r="BZ151" i="52"/>
  <c r="BY151" i="52"/>
  <c r="BX151" i="52"/>
  <c r="BW151" i="52"/>
  <c r="BV151" i="52"/>
  <c r="BU151" i="52"/>
  <c r="BT151" i="52"/>
  <c r="BS151" i="52"/>
  <c r="BR151" i="52"/>
  <c r="BQ151" i="52"/>
  <c r="T151" i="52"/>
  <c r="CC150" i="52"/>
  <c r="CB150" i="52"/>
  <c r="CA150" i="52"/>
  <c r="BZ150" i="52"/>
  <c r="BY150" i="52"/>
  <c r="BX150" i="52"/>
  <c r="BW150" i="52"/>
  <c r="BV150" i="52"/>
  <c r="BU150" i="52"/>
  <c r="BT150" i="52"/>
  <c r="BS150" i="52"/>
  <c r="BR150" i="52"/>
  <c r="BQ150" i="52"/>
  <c r="T150" i="52"/>
  <c r="CC149" i="52"/>
  <c r="CB149" i="52"/>
  <c r="CA149" i="52"/>
  <c r="BZ149" i="52"/>
  <c r="BY149" i="52"/>
  <c r="BX149" i="52"/>
  <c r="BW149" i="52"/>
  <c r="BV149" i="52"/>
  <c r="BU149" i="52"/>
  <c r="BT149" i="52"/>
  <c r="BS149" i="52"/>
  <c r="BR149" i="52"/>
  <c r="BQ149" i="52"/>
  <c r="T149" i="52"/>
  <c r="CC148" i="52"/>
  <c r="CB148" i="52"/>
  <c r="CA148" i="52"/>
  <c r="BZ148" i="52"/>
  <c r="BY148" i="52"/>
  <c r="BX148" i="52"/>
  <c r="BW148" i="52"/>
  <c r="BV148" i="52"/>
  <c r="BU148" i="52"/>
  <c r="BT148" i="52"/>
  <c r="BS148" i="52"/>
  <c r="BR148" i="52"/>
  <c r="BQ148" i="52"/>
  <c r="T148" i="52"/>
  <c r="CC147" i="52"/>
  <c r="CB147" i="52"/>
  <c r="CA147" i="52"/>
  <c r="BZ147" i="52"/>
  <c r="BY147" i="52"/>
  <c r="BX147" i="52"/>
  <c r="BW147" i="52"/>
  <c r="BV147" i="52"/>
  <c r="BU147" i="52"/>
  <c r="BT147" i="52"/>
  <c r="BS147" i="52"/>
  <c r="BR147" i="52"/>
  <c r="BQ147" i="52"/>
  <c r="T147" i="52"/>
  <c r="CC146" i="52"/>
  <c r="CB146" i="52"/>
  <c r="CA146" i="52"/>
  <c r="BZ146" i="52"/>
  <c r="BY146" i="52"/>
  <c r="BX146" i="52"/>
  <c r="BW146" i="52"/>
  <c r="BV146" i="52"/>
  <c r="BU146" i="52"/>
  <c r="BT146" i="52"/>
  <c r="BS146" i="52"/>
  <c r="BR146" i="52"/>
  <c r="BQ146" i="52"/>
  <c r="T146" i="52"/>
  <c r="CC145" i="52"/>
  <c r="CB145" i="52"/>
  <c r="CA145" i="52"/>
  <c r="BZ145" i="52"/>
  <c r="BY145" i="52"/>
  <c r="BX145" i="52"/>
  <c r="BW145" i="52"/>
  <c r="BV145" i="52"/>
  <c r="BU145" i="52"/>
  <c r="BT145" i="52"/>
  <c r="BS145" i="52"/>
  <c r="BR145" i="52"/>
  <c r="BQ145" i="52"/>
  <c r="T145" i="52"/>
  <c r="CC144" i="52"/>
  <c r="CB144" i="52"/>
  <c r="CA144" i="52"/>
  <c r="BZ144" i="52"/>
  <c r="BY144" i="52"/>
  <c r="BX144" i="52"/>
  <c r="BW144" i="52"/>
  <c r="BV144" i="52"/>
  <c r="BU144" i="52"/>
  <c r="BT144" i="52"/>
  <c r="BS144" i="52"/>
  <c r="BR144" i="52"/>
  <c r="BQ144" i="52"/>
  <c r="T144" i="52"/>
  <c r="CC143" i="52"/>
  <c r="CB143" i="52"/>
  <c r="CA143" i="52"/>
  <c r="BZ143" i="52"/>
  <c r="BY143" i="52"/>
  <c r="BX143" i="52"/>
  <c r="BW143" i="52"/>
  <c r="BV143" i="52"/>
  <c r="BU143" i="52"/>
  <c r="BT143" i="52"/>
  <c r="BS143" i="52"/>
  <c r="BR143" i="52"/>
  <c r="BQ143" i="52"/>
  <c r="T143" i="52"/>
  <c r="CC142" i="52"/>
  <c r="CB142" i="52"/>
  <c r="CA142" i="52"/>
  <c r="BZ142" i="52"/>
  <c r="BY142" i="52"/>
  <c r="BX142" i="52"/>
  <c r="BW142" i="52"/>
  <c r="BV142" i="52"/>
  <c r="BU142" i="52"/>
  <c r="BT142" i="52"/>
  <c r="BS142" i="52"/>
  <c r="BR142" i="52"/>
  <c r="BQ142" i="52"/>
  <c r="T142" i="52"/>
  <c r="CC141" i="52"/>
  <c r="CB141" i="52"/>
  <c r="CA141" i="52"/>
  <c r="BZ141" i="52"/>
  <c r="BY141" i="52"/>
  <c r="BX141" i="52"/>
  <c r="BW141" i="52"/>
  <c r="BV141" i="52"/>
  <c r="BU141" i="52"/>
  <c r="BT141" i="52"/>
  <c r="BS141" i="52"/>
  <c r="BR141" i="52"/>
  <c r="BQ141" i="52"/>
  <c r="T141" i="52"/>
  <c r="CC140" i="52"/>
  <c r="CB140" i="52"/>
  <c r="CA140" i="52"/>
  <c r="BZ140" i="52"/>
  <c r="BY140" i="52"/>
  <c r="BX140" i="52"/>
  <c r="BW140" i="52"/>
  <c r="BV140" i="52"/>
  <c r="BU140" i="52"/>
  <c r="BT140" i="52"/>
  <c r="BS140" i="52"/>
  <c r="BR140" i="52"/>
  <c r="BQ140" i="52"/>
  <c r="T140" i="52"/>
  <c r="CC139" i="52"/>
  <c r="CB139" i="52"/>
  <c r="CA139" i="52"/>
  <c r="BZ139" i="52"/>
  <c r="BY139" i="52"/>
  <c r="BX139" i="52"/>
  <c r="BW139" i="52"/>
  <c r="BV139" i="52"/>
  <c r="BU139" i="52"/>
  <c r="BT139" i="52"/>
  <c r="BS139" i="52"/>
  <c r="BR139" i="52"/>
  <c r="BQ139" i="52"/>
  <c r="T139" i="52"/>
  <c r="CC138" i="52"/>
  <c r="CB138" i="52"/>
  <c r="CA138" i="52"/>
  <c r="BZ138" i="52"/>
  <c r="BY138" i="52"/>
  <c r="BX138" i="52"/>
  <c r="BW138" i="52"/>
  <c r="BV138" i="52"/>
  <c r="BU138" i="52"/>
  <c r="BT138" i="52"/>
  <c r="BS138" i="52"/>
  <c r="BR138" i="52"/>
  <c r="BQ138" i="52"/>
  <c r="T138" i="52"/>
  <c r="CC137" i="52"/>
  <c r="CB137" i="52"/>
  <c r="CA137" i="52"/>
  <c r="BZ137" i="52"/>
  <c r="BY137" i="52"/>
  <c r="BX137" i="52"/>
  <c r="BW137" i="52"/>
  <c r="BV137" i="52"/>
  <c r="BU137" i="52"/>
  <c r="BT137" i="52"/>
  <c r="BS137" i="52"/>
  <c r="BR137" i="52"/>
  <c r="BQ137" i="52"/>
  <c r="T137" i="52"/>
  <c r="CC136" i="52"/>
  <c r="CB136" i="52"/>
  <c r="CA136" i="52"/>
  <c r="BZ136" i="52"/>
  <c r="BY136" i="52"/>
  <c r="BX136" i="52"/>
  <c r="BW136" i="52"/>
  <c r="BV136" i="52"/>
  <c r="BU136" i="52"/>
  <c r="BT136" i="52"/>
  <c r="BS136" i="52"/>
  <c r="BR136" i="52"/>
  <c r="BQ136" i="52"/>
  <c r="T136" i="52"/>
  <c r="CC124" i="52"/>
  <c r="CB124" i="52"/>
  <c r="CA124" i="52"/>
  <c r="BZ124" i="52"/>
  <c r="BY124" i="52"/>
  <c r="BX124" i="52"/>
  <c r="BW124" i="52"/>
  <c r="BV124" i="52"/>
  <c r="BU124" i="52"/>
  <c r="BT124" i="52"/>
  <c r="BS124" i="52"/>
  <c r="BR124" i="52"/>
  <c r="BQ124" i="52"/>
  <c r="T124" i="52"/>
  <c r="CC123" i="52"/>
  <c r="CB123" i="52"/>
  <c r="CA123" i="52"/>
  <c r="BZ123" i="52"/>
  <c r="BY123" i="52"/>
  <c r="BX123" i="52"/>
  <c r="BW123" i="52"/>
  <c r="BV123" i="52"/>
  <c r="BU123" i="52"/>
  <c r="BT123" i="52"/>
  <c r="BS123" i="52"/>
  <c r="BR123" i="52"/>
  <c r="BQ123" i="52"/>
  <c r="T123" i="52"/>
  <c r="CC122" i="52"/>
  <c r="CB122" i="52"/>
  <c r="CA122" i="52"/>
  <c r="BZ122" i="52"/>
  <c r="BY122" i="52"/>
  <c r="BX122" i="52"/>
  <c r="BW122" i="52"/>
  <c r="BV122" i="52"/>
  <c r="BU122" i="52"/>
  <c r="BT122" i="52"/>
  <c r="BS122" i="52"/>
  <c r="BR122" i="52"/>
  <c r="BQ122" i="52"/>
  <c r="T122" i="52"/>
  <c r="CC121" i="52"/>
  <c r="CB121" i="52"/>
  <c r="CA121" i="52"/>
  <c r="BZ121" i="52"/>
  <c r="BY121" i="52"/>
  <c r="BX121" i="52"/>
  <c r="BW121" i="52"/>
  <c r="BV121" i="52"/>
  <c r="BU121" i="52"/>
  <c r="BT121" i="52"/>
  <c r="BS121" i="52"/>
  <c r="BR121" i="52"/>
  <c r="BQ121" i="52"/>
  <c r="BO121" i="52"/>
  <c r="BN121" i="52"/>
  <c r="BL121" i="52"/>
  <c r="BK121" i="52"/>
  <c r="BJ121" i="52"/>
  <c r="BI121" i="52"/>
  <c r="BH121" i="52"/>
  <c r="BG121" i="52"/>
  <c r="BF121" i="52"/>
  <c r="BE121" i="52"/>
  <c r="BD121" i="52"/>
  <c r="BC121" i="52"/>
  <c r="BB121" i="52"/>
  <c r="BA121" i="52"/>
  <c r="AZ121" i="52"/>
  <c r="AY121" i="52"/>
  <c r="AX121" i="52"/>
  <c r="T121" i="52"/>
  <c r="CC120" i="52"/>
  <c r="CB120" i="52"/>
  <c r="CA120" i="52"/>
  <c r="BZ120" i="52"/>
  <c r="BY120" i="52"/>
  <c r="BX120" i="52"/>
  <c r="BW120" i="52"/>
  <c r="BV120" i="52"/>
  <c r="BU120" i="52"/>
  <c r="BT120" i="52"/>
  <c r="BS120" i="52"/>
  <c r="BR120" i="52"/>
  <c r="BQ120" i="52"/>
  <c r="BO120" i="52"/>
  <c r="BN120" i="52"/>
  <c r="BL120" i="52"/>
  <c r="BK120" i="52"/>
  <c r="BJ120" i="52"/>
  <c r="BI120" i="52"/>
  <c r="BH120" i="52"/>
  <c r="BG120" i="52"/>
  <c r="BF120" i="52"/>
  <c r="BE120" i="52"/>
  <c r="BD120" i="52"/>
  <c r="BC120" i="52"/>
  <c r="BB120" i="52"/>
  <c r="BA120" i="52"/>
  <c r="AZ120" i="52"/>
  <c r="AY120" i="52"/>
  <c r="AX120" i="52"/>
  <c r="T120" i="52"/>
  <c r="CC119" i="52"/>
  <c r="CB119" i="52"/>
  <c r="CA119" i="52"/>
  <c r="BZ119" i="52"/>
  <c r="BY119" i="52"/>
  <c r="BX119" i="52"/>
  <c r="BW119" i="52"/>
  <c r="BV119" i="52"/>
  <c r="BU119" i="52"/>
  <c r="BT119" i="52"/>
  <c r="BS119" i="52"/>
  <c r="BR119" i="52"/>
  <c r="BQ119" i="52"/>
  <c r="BO119" i="52"/>
  <c r="BN119" i="52"/>
  <c r="BL119" i="52"/>
  <c r="BK119" i="52"/>
  <c r="BJ119" i="52"/>
  <c r="BI119" i="52"/>
  <c r="BH119" i="52"/>
  <c r="BG119" i="52"/>
  <c r="BF119" i="52"/>
  <c r="BE119" i="52"/>
  <c r="BD119" i="52"/>
  <c r="BC119" i="52"/>
  <c r="BB119" i="52"/>
  <c r="BA119" i="52"/>
  <c r="AZ119" i="52"/>
  <c r="AY119" i="52"/>
  <c r="AX119" i="52"/>
  <c r="T119" i="52"/>
  <c r="CC118" i="52"/>
  <c r="CB118" i="52"/>
  <c r="CA118" i="52"/>
  <c r="BZ118" i="52"/>
  <c r="BY118" i="52"/>
  <c r="BX118" i="52"/>
  <c r="BW118" i="52"/>
  <c r="BV118" i="52"/>
  <c r="BU118" i="52"/>
  <c r="BT118" i="52"/>
  <c r="BS118" i="52"/>
  <c r="BR118" i="52"/>
  <c r="BQ118" i="52"/>
  <c r="T118" i="52"/>
  <c r="CC117" i="52"/>
  <c r="CB117" i="52"/>
  <c r="CA117" i="52"/>
  <c r="BZ117" i="52"/>
  <c r="BY117" i="52"/>
  <c r="BX117" i="52"/>
  <c r="BW117" i="52"/>
  <c r="BV117" i="52"/>
  <c r="BU117" i="52"/>
  <c r="BT117" i="52"/>
  <c r="BS117" i="52"/>
  <c r="BR117" i="52"/>
  <c r="BQ117" i="52"/>
  <c r="T117" i="52"/>
  <c r="CC116" i="52"/>
  <c r="CB116" i="52"/>
  <c r="CA116" i="52"/>
  <c r="BZ116" i="52"/>
  <c r="BY116" i="52"/>
  <c r="BX116" i="52"/>
  <c r="BW116" i="52"/>
  <c r="BV116" i="52"/>
  <c r="BU116" i="52"/>
  <c r="BT116" i="52"/>
  <c r="BS116" i="52"/>
  <c r="BR116" i="52"/>
  <c r="BQ116" i="52"/>
  <c r="T116" i="52"/>
  <c r="CC115" i="52"/>
  <c r="CB115" i="52"/>
  <c r="CA115" i="52"/>
  <c r="BZ115" i="52"/>
  <c r="BY115" i="52"/>
  <c r="BX115" i="52"/>
  <c r="BW115" i="52"/>
  <c r="BV115" i="52"/>
  <c r="BU115" i="52"/>
  <c r="BT115" i="52"/>
  <c r="BS115" i="52"/>
  <c r="BR115" i="52"/>
  <c r="BQ115" i="52"/>
  <c r="T115" i="52"/>
  <c r="CC114" i="52"/>
  <c r="CB114" i="52"/>
  <c r="CA114" i="52"/>
  <c r="BZ114" i="52"/>
  <c r="BY114" i="52"/>
  <c r="BX114" i="52"/>
  <c r="BW114" i="52"/>
  <c r="BV114" i="52"/>
  <c r="BU114" i="52"/>
  <c r="BT114" i="52"/>
  <c r="BS114" i="52"/>
  <c r="BR114" i="52"/>
  <c r="BQ114" i="52"/>
  <c r="T114" i="52"/>
  <c r="CC113" i="52"/>
  <c r="CB113" i="52"/>
  <c r="CA113" i="52"/>
  <c r="BZ113" i="52"/>
  <c r="BY113" i="52"/>
  <c r="BX113" i="52"/>
  <c r="BW113" i="52"/>
  <c r="BV113" i="52"/>
  <c r="BU113" i="52"/>
  <c r="BT113" i="52"/>
  <c r="BS113" i="52"/>
  <c r="BR113" i="52"/>
  <c r="BQ113" i="52"/>
  <c r="T113" i="52"/>
  <c r="CC112" i="52"/>
  <c r="CB112" i="52"/>
  <c r="CA112" i="52"/>
  <c r="BZ112" i="52"/>
  <c r="BY112" i="52"/>
  <c r="BX112" i="52"/>
  <c r="BW112" i="52"/>
  <c r="BV112" i="52"/>
  <c r="BU112" i="52"/>
  <c r="BT112" i="52"/>
  <c r="BS112" i="52"/>
  <c r="BR112" i="52"/>
  <c r="BQ112" i="52"/>
  <c r="T112" i="52"/>
  <c r="CC111" i="52"/>
  <c r="CB111" i="52"/>
  <c r="CA111" i="52"/>
  <c r="BZ111" i="52"/>
  <c r="BY111" i="52"/>
  <c r="BX111" i="52"/>
  <c r="BW111" i="52"/>
  <c r="BV111" i="52"/>
  <c r="BU111" i="52"/>
  <c r="BT111" i="52"/>
  <c r="BS111" i="52"/>
  <c r="BR111" i="52"/>
  <c r="BQ111" i="52"/>
  <c r="T111" i="52"/>
  <c r="CC247" i="52"/>
  <c r="CB247" i="52"/>
  <c r="CA247" i="52"/>
  <c r="BZ247" i="52"/>
  <c r="BY247" i="52"/>
  <c r="BX247" i="52"/>
  <c r="BW247" i="52"/>
  <c r="BV247" i="52"/>
  <c r="BU247" i="52"/>
  <c r="BT247" i="52"/>
  <c r="BS247" i="52"/>
  <c r="BR247" i="52"/>
  <c r="BQ247" i="52"/>
  <c r="T247" i="52"/>
  <c r="CC246" i="52"/>
  <c r="CB246" i="52"/>
  <c r="CA246" i="52"/>
  <c r="BZ246" i="52"/>
  <c r="BY246" i="52"/>
  <c r="BX246" i="52"/>
  <c r="BW246" i="52"/>
  <c r="BV246" i="52"/>
  <c r="BU246" i="52"/>
  <c r="BT246" i="52"/>
  <c r="BS246" i="52"/>
  <c r="BR246" i="52"/>
  <c r="BQ246" i="52"/>
  <c r="T246" i="52"/>
  <c r="CC245" i="52"/>
  <c r="CB245" i="52"/>
  <c r="CA245" i="52"/>
  <c r="BZ245" i="52"/>
  <c r="BY245" i="52"/>
  <c r="BX245" i="52"/>
  <c r="BW245" i="52"/>
  <c r="BV245" i="52"/>
  <c r="BU245" i="52"/>
  <c r="BT245" i="52"/>
  <c r="BS245" i="52"/>
  <c r="BR245" i="52"/>
  <c r="BQ245" i="52"/>
  <c r="T245" i="52"/>
  <c r="CC244" i="52"/>
  <c r="CB244" i="52"/>
  <c r="CA244" i="52"/>
  <c r="BZ244" i="52"/>
  <c r="BY244" i="52"/>
  <c r="BX244" i="52"/>
  <c r="BW244" i="52"/>
  <c r="BV244" i="52"/>
  <c r="BU244" i="52"/>
  <c r="BT244" i="52"/>
  <c r="BS244" i="52"/>
  <c r="BR244" i="52"/>
  <c r="BQ244" i="52"/>
  <c r="T244" i="52"/>
  <c r="CC243" i="52"/>
  <c r="CB243" i="52"/>
  <c r="CA243" i="52"/>
  <c r="BZ243" i="52"/>
  <c r="BY243" i="52"/>
  <c r="BX243" i="52"/>
  <c r="BW243" i="52"/>
  <c r="BV243" i="52"/>
  <c r="BU243" i="52"/>
  <c r="BT243" i="52"/>
  <c r="BS243" i="52"/>
  <c r="BR243" i="52"/>
  <c r="BQ243" i="52"/>
  <c r="T243" i="52"/>
  <c r="CC242" i="52"/>
  <c r="CB242" i="52"/>
  <c r="CA242" i="52"/>
  <c r="BZ242" i="52"/>
  <c r="BY242" i="52"/>
  <c r="BX242" i="52"/>
  <c r="BW242" i="52"/>
  <c r="BV242" i="52"/>
  <c r="BU242" i="52"/>
  <c r="BT242" i="52"/>
  <c r="BS242" i="52"/>
  <c r="BR242" i="52"/>
  <c r="BQ242" i="52"/>
  <c r="T242" i="52"/>
  <c r="CC241" i="52"/>
  <c r="CB241" i="52"/>
  <c r="CA241" i="52"/>
  <c r="BZ241" i="52"/>
  <c r="BY241" i="52"/>
  <c r="BX241" i="52"/>
  <c r="BW241" i="52"/>
  <c r="BV241" i="52"/>
  <c r="BU241" i="52"/>
  <c r="BT241" i="52"/>
  <c r="BS241" i="52"/>
  <c r="BR241" i="52"/>
  <c r="BQ241" i="52"/>
  <c r="T241" i="52"/>
  <c r="CC240" i="52"/>
  <c r="CB240" i="52"/>
  <c r="CA240" i="52"/>
  <c r="BZ240" i="52"/>
  <c r="BY240" i="52"/>
  <c r="BX240" i="52"/>
  <c r="BW240" i="52"/>
  <c r="BV240" i="52"/>
  <c r="BU240" i="52"/>
  <c r="BT240" i="52"/>
  <c r="BS240" i="52"/>
  <c r="BR240" i="52"/>
  <c r="BQ240" i="52"/>
  <c r="T240" i="52"/>
  <c r="CC239" i="52"/>
  <c r="CB239" i="52"/>
  <c r="CA239" i="52"/>
  <c r="BZ239" i="52"/>
  <c r="BY239" i="52"/>
  <c r="BX239" i="52"/>
  <c r="BW239" i="52"/>
  <c r="BV239" i="52"/>
  <c r="BU239" i="52"/>
  <c r="BT239" i="52"/>
  <c r="BS239" i="52"/>
  <c r="BR239" i="52"/>
  <c r="BQ239" i="52"/>
  <c r="T239" i="52"/>
  <c r="CC238" i="52"/>
  <c r="CB238" i="52"/>
  <c r="CA238" i="52"/>
  <c r="BZ238" i="52"/>
  <c r="BY238" i="52"/>
  <c r="BX238" i="52"/>
  <c r="BW238" i="52"/>
  <c r="BV238" i="52"/>
  <c r="BU238" i="52"/>
  <c r="BT238" i="52"/>
  <c r="BS238" i="52"/>
  <c r="BR238" i="52"/>
  <c r="BQ238" i="52"/>
  <c r="T238" i="52"/>
  <c r="CC237" i="52"/>
  <c r="CB237" i="52"/>
  <c r="CA237" i="52"/>
  <c r="BZ237" i="52"/>
  <c r="BY237" i="52"/>
  <c r="BX237" i="52"/>
  <c r="BW237" i="52"/>
  <c r="BV237" i="52"/>
  <c r="BU237" i="52"/>
  <c r="BT237" i="52"/>
  <c r="BS237" i="52"/>
  <c r="BR237" i="52"/>
  <c r="BQ237" i="52"/>
  <c r="T237" i="52"/>
  <c r="CC236" i="52"/>
  <c r="CB236" i="52"/>
  <c r="CA236" i="52"/>
  <c r="BZ236" i="52"/>
  <c r="BY236" i="52"/>
  <c r="BX236" i="52"/>
  <c r="BW236" i="52"/>
  <c r="BV236" i="52"/>
  <c r="BU236" i="52"/>
  <c r="BT236" i="52"/>
  <c r="BS236" i="52"/>
  <c r="BR236" i="52"/>
  <c r="BQ236" i="52"/>
  <c r="T236" i="52"/>
  <c r="CC193" i="52"/>
  <c r="CB193" i="52"/>
  <c r="CA193" i="52"/>
  <c r="BZ193" i="52"/>
  <c r="BY193" i="52"/>
  <c r="BX193" i="52"/>
  <c r="BW193" i="52"/>
  <c r="BV193" i="52"/>
  <c r="BU193" i="52"/>
  <c r="BT193" i="52"/>
  <c r="BS193" i="52"/>
  <c r="BR193" i="52"/>
  <c r="BQ193" i="52"/>
  <c r="T193" i="52"/>
  <c r="CC192" i="52"/>
  <c r="CB192" i="52"/>
  <c r="CA192" i="52"/>
  <c r="BZ192" i="52"/>
  <c r="BY192" i="52"/>
  <c r="BX192" i="52"/>
  <c r="BW192" i="52"/>
  <c r="BV192" i="52"/>
  <c r="BU192" i="52"/>
  <c r="BT192" i="52"/>
  <c r="BS192" i="52"/>
  <c r="BR192" i="52"/>
  <c r="BQ192" i="52"/>
  <c r="T192" i="52"/>
  <c r="CC191" i="52"/>
  <c r="CB191" i="52"/>
  <c r="CA191" i="52"/>
  <c r="BZ191" i="52"/>
  <c r="BY191" i="52"/>
  <c r="BX191" i="52"/>
  <c r="BW191" i="52"/>
  <c r="BV191" i="52"/>
  <c r="BU191" i="52"/>
  <c r="BT191" i="52"/>
  <c r="BS191" i="52"/>
  <c r="BR191" i="52"/>
  <c r="BQ191" i="52"/>
  <c r="T191" i="52"/>
  <c r="CC8" i="52"/>
  <c r="CB8" i="52"/>
  <c r="CA8" i="52"/>
  <c r="BZ8" i="52"/>
  <c r="BY8" i="52"/>
  <c r="BX8" i="52"/>
  <c r="BW8" i="52"/>
  <c r="BV8" i="52"/>
  <c r="BU8" i="52"/>
  <c r="BT8" i="52"/>
  <c r="BS8" i="52"/>
  <c r="BR8" i="52"/>
  <c r="BQ8" i="52"/>
  <c r="BO8" i="52"/>
  <c r="BN8" i="52"/>
  <c r="BL8" i="52"/>
  <c r="BK8" i="52"/>
  <c r="BJ8" i="52"/>
  <c r="BI8" i="52"/>
  <c r="BH8" i="52"/>
  <c r="BG8" i="52"/>
  <c r="BF8" i="52"/>
  <c r="BE8" i="52"/>
  <c r="BD8" i="52"/>
  <c r="BC8" i="52"/>
  <c r="BB8" i="52"/>
  <c r="BA8" i="52"/>
  <c r="AZ8" i="52"/>
  <c r="AY8" i="52"/>
  <c r="AX8" i="52"/>
  <c r="T8" i="52"/>
  <c r="CC7" i="52"/>
  <c r="CB7" i="52"/>
  <c r="CA7" i="52"/>
  <c r="BZ7" i="52"/>
  <c r="BY7" i="52"/>
  <c r="BX7" i="52"/>
  <c r="BW7" i="52"/>
  <c r="BV7" i="52"/>
  <c r="BU7" i="52"/>
  <c r="BT7" i="52"/>
  <c r="BS7" i="52"/>
  <c r="BR7" i="52"/>
  <c r="BQ7" i="52"/>
  <c r="BO7" i="52"/>
  <c r="BN7" i="52"/>
  <c r="BL7" i="52"/>
  <c r="BK7" i="52"/>
  <c r="BJ7" i="52"/>
  <c r="BI7" i="52"/>
  <c r="BH7" i="52"/>
  <c r="BG7" i="52"/>
  <c r="BF7" i="52"/>
  <c r="BE7" i="52"/>
  <c r="BD7" i="52"/>
  <c r="BC7" i="52"/>
  <c r="BB7" i="52"/>
  <c r="BA7" i="52"/>
  <c r="AZ7" i="52"/>
  <c r="AY7" i="52"/>
  <c r="AX7" i="52"/>
  <c r="T7" i="52"/>
  <c r="CC6" i="52"/>
  <c r="CB6" i="52"/>
  <c r="CA6" i="52"/>
  <c r="BZ6" i="52"/>
  <c r="BY6" i="52"/>
  <c r="BX6" i="52"/>
  <c r="BW6" i="52"/>
  <c r="BV6" i="52"/>
  <c r="BU6" i="52"/>
  <c r="BT6" i="52"/>
  <c r="BS6" i="52"/>
  <c r="BR6" i="52"/>
  <c r="BQ6" i="52"/>
  <c r="T6" i="52"/>
  <c r="CC5" i="52"/>
  <c r="CB5" i="52"/>
  <c r="CA5" i="52"/>
  <c r="BZ5" i="52"/>
  <c r="BY5" i="52"/>
  <c r="BX5" i="52"/>
  <c r="BW5" i="52"/>
  <c r="BV5" i="52"/>
  <c r="BU5" i="52"/>
  <c r="BT5" i="52"/>
  <c r="BS5" i="52"/>
  <c r="BR5" i="52"/>
  <c r="BQ5" i="52"/>
  <c r="T5" i="52"/>
  <c r="CC4" i="52"/>
  <c r="CB4" i="52"/>
  <c r="CA4" i="52"/>
  <c r="BZ4" i="52"/>
  <c r="BY4" i="52"/>
  <c r="BX4" i="52"/>
  <c r="BW4" i="52"/>
  <c r="BV4" i="52"/>
  <c r="BU4" i="52"/>
  <c r="BT4" i="52"/>
  <c r="BS4" i="52"/>
  <c r="BR4" i="52"/>
  <c r="BQ4" i="52"/>
  <c r="T4" i="52"/>
  <c r="CC3" i="52"/>
  <c r="CB3" i="52"/>
  <c r="CA3" i="52"/>
  <c r="BZ3" i="52"/>
  <c r="BY3" i="52"/>
  <c r="BX3" i="52"/>
  <c r="BW3" i="52"/>
  <c r="BV3" i="52"/>
  <c r="BU3" i="52"/>
  <c r="BT3" i="52"/>
  <c r="BS3" i="52"/>
  <c r="BR3" i="52"/>
  <c r="BQ3" i="52"/>
  <c r="T3" i="52"/>
  <c r="CC2" i="52"/>
  <c r="CB2" i="52"/>
  <c r="CA2" i="52"/>
  <c r="BZ2" i="52"/>
  <c r="BY2" i="52"/>
  <c r="BX2" i="52"/>
  <c r="BW2" i="52"/>
  <c r="BV2" i="52"/>
  <c r="BU2" i="52"/>
  <c r="BT2" i="52"/>
  <c r="BS2" i="52"/>
  <c r="BR2" i="52"/>
  <c r="BQ2" i="52"/>
  <c r="T2" i="52"/>
  <c r="W15" i="52" l="1"/>
  <c r="V119" i="52"/>
  <c r="X119" i="52" s="1"/>
  <c r="W216" i="52"/>
  <c r="CD474" i="48"/>
  <c r="CF474" i="48" s="1"/>
  <c r="BE474" i="48" s="1"/>
  <c r="CE33" i="48"/>
  <c r="AL33" i="48" s="1"/>
  <c r="CD54" i="48"/>
  <c r="CF54" i="48" s="1"/>
  <c r="BF54" i="48" s="1"/>
  <c r="CE61" i="48"/>
  <c r="CE119" i="48"/>
  <c r="AO119" i="48" s="1"/>
  <c r="CD209" i="48"/>
  <c r="CF209" i="48" s="1"/>
  <c r="CE282" i="48"/>
  <c r="CE337" i="48"/>
  <c r="AJ337" i="48" s="1"/>
  <c r="CD473" i="48"/>
  <c r="CF473" i="48" s="1"/>
  <c r="AV473" i="48" s="1"/>
  <c r="CD24" i="48"/>
  <c r="CF24" i="48" s="1"/>
  <c r="BF24" i="48" s="1"/>
  <c r="CD38" i="48"/>
  <c r="CF38" i="48" s="1"/>
  <c r="BF38" i="48" s="1"/>
  <c r="CD42" i="48"/>
  <c r="CF42" i="48" s="1"/>
  <c r="BD42" i="48" s="1"/>
  <c r="CE49" i="48"/>
  <c r="AH49" i="48" s="1"/>
  <c r="CD97" i="48"/>
  <c r="CF97" i="48" s="1"/>
  <c r="CE105" i="48"/>
  <c r="AJ105" i="48" s="1"/>
  <c r="CD349" i="48"/>
  <c r="CF349" i="48" s="1"/>
  <c r="BA349" i="48" s="1"/>
  <c r="CD283" i="48"/>
  <c r="CF283" i="48" s="1"/>
  <c r="AV283" i="48" s="1"/>
  <c r="CD311" i="48"/>
  <c r="CF311" i="48" s="1"/>
  <c r="BE311" i="48" s="1"/>
  <c r="CI67" i="50"/>
  <c r="CK67" i="50" s="1"/>
  <c r="CI5" i="50"/>
  <c r="CK5" i="50" s="1"/>
  <c r="CI16" i="50"/>
  <c r="CK16" i="50" s="1"/>
  <c r="CJ51" i="50"/>
  <c r="CC51" i="49"/>
  <c r="CC5" i="49"/>
  <c r="CJ66" i="50"/>
  <c r="CJ18" i="50"/>
  <c r="CJ98" i="50"/>
  <c r="CI37" i="50"/>
  <c r="CK37" i="50" s="1"/>
  <c r="CI41" i="50"/>
  <c r="CK41" i="50" s="1"/>
  <c r="CJ4" i="50"/>
  <c r="AN4" i="50" s="1"/>
  <c r="V121" i="52"/>
  <c r="X121" i="52" s="1"/>
  <c r="W120" i="52"/>
  <c r="CI85" i="50"/>
  <c r="CK85" i="50" s="1"/>
  <c r="CI97" i="50"/>
  <c r="CK97" i="50" s="1"/>
  <c r="CD58" i="48"/>
  <c r="CF58" i="48" s="1"/>
  <c r="BD58" i="48" s="1"/>
  <c r="CD279" i="48"/>
  <c r="CF279" i="48" s="1"/>
  <c r="BE279" i="48" s="1"/>
  <c r="CD476" i="48"/>
  <c r="CF476" i="48" s="1"/>
  <c r="AU476" i="48" s="1"/>
  <c r="CD310" i="48"/>
  <c r="CF310" i="48" s="1"/>
  <c r="CC49" i="49"/>
  <c r="CI65" i="50"/>
  <c r="CK65" i="50" s="1"/>
  <c r="CI17" i="50"/>
  <c r="CK17" i="50" s="1"/>
  <c r="CI99" i="50"/>
  <c r="CK99" i="50" s="1"/>
  <c r="CE314" i="48"/>
  <c r="CE433" i="48"/>
  <c r="AJ433" i="48" s="1"/>
  <c r="CD30" i="48"/>
  <c r="CF30" i="48" s="1"/>
  <c r="CC19" i="49"/>
  <c r="CC21" i="49"/>
  <c r="AO21" i="49" s="1"/>
  <c r="CC55" i="49"/>
  <c r="AG55" i="49" s="1"/>
  <c r="CC25" i="49"/>
  <c r="AL25" i="49" s="1"/>
  <c r="CC27" i="49"/>
  <c r="AG27" i="49" s="1"/>
  <c r="CC33" i="49"/>
  <c r="AM33" i="49" s="1"/>
  <c r="CC42" i="49"/>
  <c r="AO42" i="49" s="1"/>
  <c r="CC44" i="49"/>
  <c r="AH44" i="49" s="1"/>
  <c r="CD278" i="48"/>
  <c r="CF278" i="48" s="1"/>
  <c r="BB278" i="48" s="1"/>
  <c r="CD166" i="48"/>
  <c r="CF166" i="48" s="1"/>
  <c r="BA166" i="48" s="1"/>
  <c r="CE169" i="48"/>
  <c r="AK169" i="48" s="1"/>
  <c r="CD170" i="48"/>
  <c r="CF170" i="48" s="1"/>
  <c r="CE196" i="48"/>
  <c r="AJ196" i="48" s="1"/>
  <c r="CE200" i="48"/>
  <c r="AJ200" i="48" s="1"/>
  <c r="CD210" i="48"/>
  <c r="CF210" i="48" s="1"/>
  <c r="BE210" i="48" s="1"/>
  <c r="CD221" i="48"/>
  <c r="CF221" i="48" s="1"/>
  <c r="BA221" i="48" s="1"/>
  <c r="CD294" i="48"/>
  <c r="CF294" i="48" s="1"/>
  <c r="BF294" i="48" s="1"/>
  <c r="CD295" i="48"/>
  <c r="CF295" i="48" s="1"/>
  <c r="BE295" i="48" s="1"/>
  <c r="CE298" i="48"/>
  <c r="AM298" i="48" s="1"/>
  <c r="CD299" i="48"/>
  <c r="CF299" i="48" s="1"/>
  <c r="CD393" i="48"/>
  <c r="CF393" i="48" s="1"/>
  <c r="BA393" i="48" s="1"/>
  <c r="CE449" i="48"/>
  <c r="AJ449" i="48" s="1"/>
  <c r="CE454" i="48"/>
  <c r="CJ21" i="50"/>
  <c r="AF21" i="50" s="1"/>
  <c r="CI71" i="50"/>
  <c r="CK71" i="50" s="1"/>
  <c r="CJ55" i="50"/>
  <c r="CJ29" i="50"/>
  <c r="AM29" i="50" s="1"/>
  <c r="CI32" i="50"/>
  <c r="CK32" i="50" s="1"/>
  <c r="BH32" i="50" s="1"/>
  <c r="CI34" i="50"/>
  <c r="CK34" i="50" s="1"/>
  <c r="DB3" i="47"/>
  <c r="DD3" i="47" s="1"/>
  <c r="DB4" i="47"/>
  <c r="DD4" i="47" s="1"/>
  <c r="DB7" i="47"/>
  <c r="DD7" i="47" s="1"/>
  <c r="DB8" i="47"/>
  <c r="DD8" i="47" s="1"/>
  <c r="AX8" i="47" s="1"/>
  <c r="DB122" i="47"/>
  <c r="DD122" i="47" s="1"/>
  <c r="DB124" i="47"/>
  <c r="DD124" i="47" s="1"/>
  <c r="DB127" i="47"/>
  <c r="DD127" i="47" s="1"/>
  <c r="DC131" i="47"/>
  <c r="AJ131" i="47" s="1"/>
  <c r="DC154" i="47"/>
  <c r="AJ154" i="47" s="1"/>
  <c r="DC72" i="47"/>
  <c r="DC77" i="47"/>
  <c r="AF77" i="47" s="1"/>
  <c r="DC79" i="47"/>
  <c r="AJ79" i="47" s="1"/>
  <c r="DC81" i="47"/>
  <c r="AJ81" i="47" s="1"/>
  <c r="DC83" i="47"/>
  <c r="DC85" i="47"/>
  <c r="AR85" i="47" s="1"/>
  <c r="DC107" i="47"/>
  <c r="AF107" i="47" s="1"/>
  <c r="DC205" i="47"/>
  <c r="AJ205" i="47" s="1"/>
  <c r="DC207" i="47"/>
  <c r="DC142" i="47"/>
  <c r="AN142" i="47" s="1"/>
  <c r="DC146" i="47"/>
  <c r="AF146" i="47" s="1"/>
  <c r="DC117" i="47"/>
  <c r="AK117" i="47" s="1"/>
  <c r="DC120" i="47"/>
  <c r="DC48" i="47"/>
  <c r="AG48" i="47" s="1"/>
  <c r="DC51" i="47"/>
  <c r="AK51" i="47" s="1"/>
  <c r="DC56" i="47"/>
  <c r="AK56" i="47" s="1"/>
  <c r="DC62" i="47"/>
  <c r="DC93" i="47"/>
  <c r="AK93" i="47" s="1"/>
  <c r="DB123" i="47"/>
  <c r="DD123" i="47" s="1"/>
  <c r="AX123" i="47" s="1"/>
  <c r="DC11" i="47"/>
  <c r="AF11" i="47" s="1"/>
  <c r="DC17" i="47"/>
  <c r="DC63" i="47"/>
  <c r="DC65" i="47"/>
  <c r="AR65" i="47" s="1"/>
  <c r="DC67" i="47"/>
  <c r="AR67" i="47" s="1"/>
  <c r="DC20" i="47"/>
  <c r="AR20" i="47" s="1"/>
  <c r="DC30" i="47"/>
  <c r="AL30" i="47" s="1"/>
  <c r="DC169" i="47"/>
  <c r="AP169" i="47" s="1"/>
  <c r="DC190" i="47"/>
  <c r="DC194" i="47"/>
  <c r="AK194" i="47" s="1"/>
  <c r="DC195" i="47"/>
  <c r="AK195" i="47" s="1"/>
  <c r="W119" i="52"/>
  <c r="V120" i="52"/>
  <c r="X120" i="52" s="1"/>
  <c r="W121" i="52"/>
  <c r="V15" i="52"/>
  <c r="X15" i="52" s="1"/>
  <c r="V216" i="52"/>
  <c r="X216" i="52" s="1"/>
  <c r="CD277" i="48"/>
  <c r="CF277" i="48" s="1"/>
  <c r="BC277" i="48" s="1"/>
  <c r="AZ24" i="48"/>
  <c r="CD27" i="48"/>
  <c r="CF27" i="48" s="1"/>
  <c r="CE28" i="48"/>
  <c r="AO28" i="48" s="1"/>
  <c r="CD29" i="48"/>
  <c r="CF29" i="48" s="1"/>
  <c r="CD41" i="48"/>
  <c r="CF41" i="48" s="1"/>
  <c r="CD70" i="48"/>
  <c r="CF70" i="48" s="1"/>
  <c r="BD70" i="48" s="1"/>
  <c r="CE73" i="48"/>
  <c r="CD77" i="48"/>
  <c r="CF77" i="48" s="1"/>
  <c r="CE85" i="48"/>
  <c r="AI85" i="48" s="1"/>
  <c r="CD90" i="48"/>
  <c r="CF90" i="48" s="1"/>
  <c r="BD90" i="48" s="1"/>
  <c r="CD93" i="48"/>
  <c r="CF93" i="48" s="1"/>
  <c r="CE130" i="48"/>
  <c r="CD131" i="48"/>
  <c r="CF131" i="48" s="1"/>
  <c r="CE139" i="48"/>
  <c r="CE147" i="48"/>
  <c r="CE183" i="48"/>
  <c r="CE187" i="48"/>
  <c r="CE191" i="48"/>
  <c r="CE204" i="48"/>
  <c r="AN204" i="48" s="1"/>
  <c r="CE208" i="48"/>
  <c r="CE214" i="48"/>
  <c r="CE218" i="48"/>
  <c r="AN218" i="48" s="1"/>
  <c r="CD220" i="48"/>
  <c r="CF220" i="48" s="1"/>
  <c r="AU220" i="48" s="1"/>
  <c r="CE225" i="48"/>
  <c r="CE229" i="48"/>
  <c r="CE247" i="48"/>
  <c r="CE251" i="48"/>
  <c r="AC251" i="48" s="1"/>
  <c r="CE255" i="48"/>
  <c r="CE261" i="48"/>
  <c r="AJ261" i="48" s="1"/>
  <c r="CE266" i="48"/>
  <c r="AG266" i="48" s="1"/>
  <c r="CD267" i="48"/>
  <c r="CF267" i="48" s="1"/>
  <c r="CD293" i="48"/>
  <c r="CF293" i="48" s="1"/>
  <c r="CD309" i="48"/>
  <c r="CF309" i="48" s="1"/>
  <c r="BC309" i="48" s="1"/>
  <c r="CE321" i="48"/>
  <c r="CE353" i="48"/>
  <c r="AJ353" i="48" s="1"/>
  <c r="CE357" i="48"/>
  <c r="AK357" i="48" s="1"/>
  <c r="CE365" i="48"/>
  <c r="AJ365" i="48" s="1"/>
  <c r="CE367" i="48"/>
  <c r="AJ367" i="48" s="1"/>
  <c r="CE377" i="48"/>
  <c r="CE389" i="48"/>
  <c r="AI389" i="48" s="1"/>
  <c r="CD391" i="48"/>
  <c r="CF391" i="48" s="1"/>
  <c r="AU391" i="48" s="1"/>
  <c r="CE405" i="48"/>
  <c r="AJ405" i="48" s="1"/>
  <c r="CE406" i="48"/>
  <c r="AC406" i="48" s="1"/>
  <c r="CD407" i="48"/>
  <c r="CF407" i="48" s="1"/>
  <c r="CE410" i="48"/>
  <c r="AG410" i="48" s="1"/>
  <c r="CD411" i="48"/>
  <c r="CF411" i="48" s="1"/>
  <c r="CE422" i="48"/>
  <c r="CD423" i="48"/>
  <c r="CF423" i="48" s="1"/>
  <c r="BE423" i="48" s="1"/>
  <c r="CE426" i="48"/>
  <c r="AO426" i="48" s="1"/>
  <c r="CE427" i="48"/>
  <c r="AJ427" i="48" s="1"/>
  <c r="CE428" i="48"/>
  <c r="CD445" i="48"/>
  <c r="CF445" i="48" s="1"/>
  <c r="BA445" i="48" s="1"/>
  <c r="CE455" i="48"/>
  <c r="AJ455" i="48" s="1"/>
  <c r="CD464" i="48"/>
  <c r="CF464" i="48" s="1"/>
  <c r="BA464" i="48" s="1"/>
  <c r="AV24" i="48"/>
  <c r="AV54" i="48"/>
  <c r="CD157" i="48"/>
  <c r="CF157" i="48" s="1"/>
  <c r="AN200" i="48"/>
  <c r="BD209" i="48"/>
  <c r="BF209" i="48"/>
  <c r="AV209" i="48"/>
  <c r="AJ218" i="48"/>
  <c r="AN261" i="48"/>
  <c r="BD294" i="48"/>
  <c r="AV294" i="48"/>
  <c r="BD310" i="48"/>
  <c r="BF310" i="48"/>
  <c r="BB310" i="48"/>
  <c r="AV310" i="48"/>
  <c r="CD336" i="48"/>
  <c r="CF336" i="48" s="1"/>
  <c r="CE2" i="48"/>
  <c r="AD2" i="48" s="1"/>
  <c r="CE3" i="48"/>
  <c r="CE4" i="48"/>
  <c r="CE5" i="48"/>
  <c r="CE6" i="48"/>
  <c r="AE6" i="48" s="1"/>
  <c r="CD7" i="48"/>
  <c r="CF7" i="48" s="1"/>
  <c r="CE8" i="48"/>
  <c r="CD9" i="48"/>
  <c r="CF9" i="48" s="1"/>
  <c r="CD11" i="48"/>
  <c r="CF11" i="48" s="1"/>
  <c r="BG11" i="48" s="1"/>
  <c r="CE12" i="48"/>
  <c r="CD13" i="48"/>
  <c r="CF13" i="48" s="1"/>
  <c r="CE15" i="48"/>
  <c r="CE16" i="48"/>
  <c r="AJ16" i="48" s="1"/>
  <c r="CD17" i="48"/>
  <c r="CF17" i="48" s="1"/>
  <c r="CD19" i="48"/>
  <c r="CF19" i="48" s="1"/>
  <c r="CE20" i="48"/>
  <c r="CD21" i="48"/>
  <c r="CF21" i="48" s="1"/>
  <c r="AW21" i="48" s="1"/>
  <c r="CD22" i="48"/>
  <c r="CF22" i="48" s="1"/>
  <c r="AT24" i="48"/>
  <c r="BJ24" i="48" s="1"/>
  <c r="BD24" i="48"/>
  <c r="CE25" i="48"/>
  <c r="AM25" i="48" s="1"/>
  <c r="CD32" i="48"/>
  <c r="CF32" i="48" s="1"/>
  <c r="AJ33" i="48"/>
  <c r="CD35" i="48"/>
  <c r="CF35" i="48" s="1"/>
  <c r="CE36" i="48"/>
  <c r="AN36" i="48" s="1"/>
  <c r="CE37" i="48"/>
  <c r="CD40" i="48"/>
  <c r="CF40" i="48" s="1"/>
  <c r="AZ40" i="48" s="1"/>
  <c r="CD44" i="48"/>
  <c r="CF44" i="48" s="1"/>
  <c r="AT44" i="48" s="1"/>
  <c r="CD47" i="48"/>
  <c r="CF47" i="48" s="1"/>
  <c r="CE48" i="48"/>
  <c r="CD51" i="48"/>
  <c r="CF51" i="48" s="1"/>
  <c r="CE52" i="48"/>
  <c r="AJ52" i="48" s="1"/>
  <c r="CD53" i="48"/>
  <c r="CF53" i="48" s="1"/>
  <c r="CD56" i="48"/>
  <c r="CF56" i="48" s="1"/>
  <c r="CD63" i="48"/>
  <c r="CF63" i="48" s="1"/>
  <c r="CE64" i="48"/>
  <c r="AM64" i="48" s="1"/>
  <c r="CD65" i="48"/>
  <c r="CF65" i="48" s="1"/>
  <c r="AN147" i="48"/>
  <c r="CD165" i="48"/>
  <c r="CF165" i="48" s="1"/>
  <c r="AN196" i="48"/>
  <c r="AF200" i="48"/>
  <c r="BB209" i="48"/>
  <c r="AF218" i="48"/>
  <c r="AF261" i="48"/>
  <c r="BD278" i="48"/>
  <c r="AV278" i="48"/>
  <c r="BB294" i="48"/>
  <c r="CD444" i="48"/>
  <c r="CF444" i="48" s="1"/>
  <c r="AV444" i="48" s="1"/>
  <c r="CD448" i="48"/>
  <c r="CF448" i="48" s="1"/>
  <c r="BB448" i="48" s="1"/>
  <c r="BF473" i="48"/>
  <c r="CD66" i="48"/>
  <c r="CF66" i="48" s="1"/>
  <c r="BF66" i="48" s="1"/>
  <c r="CD69" i="48"/>
  <c r="CF69" i="48" s="1"/>
  <c r="CD75" i="48"/>
  <c r="CF75" i="48" s="1"/>
  <c r="AV75" i="48" s="1"/>
  <c r="CD79" i="48"/>
  <c r="CF79" i="48" s="1"/>
  <c r="CE80" i="48"/>
  <c r="AG80" i="48" s="1"/>
  <c r="CD81" i="48"/>
  <c r="CF81" i="48" s="1"/>
  <c r="CD82" i="48"/>
  <c r="CF82" i="48" s="1"/>
  <c r="AV82" i="48" s="1"/>
  <c r="CD87" i="48"/>
  <c r="CF87" i="48" s="1"/>
  <c r="CE88" i="48"/>
  <c r="CD89" i="48"/>
  <c r="CF89" i="48" s="1"/>
  <c r="CE95" i="48"/>
  <c r="AF95" i="48" s="1"/>
  <c r="CD99" i="48"/>
  <c r="CF99" i="48" s="1"/>
  <c r="CE100" i="48"/>
  <c r="AG100" i="48" s="1"/>
  <c r="CD101" i="48"/>
  <c r="CF101" i="48" s="1"/>
  <c r="CD102" i="48"/>
  <c r="CF102" i="48" s="1"/>
  <c r="AV102" i="48" s="1"/>
  <c r="CE110" i="48"/>
  <c r="CD111" i="48"/>
  <c r="CF111" i="48" s="1"/>
  <c r="CD115" i="48"/>
  <c r="CF115" i="48" s="1"/>
  <c r="CD117" i="48"/>
  <c r="CF117" i="48" s="1"/>
  <c r="AV117" i="48" s="1"/>
  <c r="CE122" i="48"/>
  <c r="CD123" i="48"/>
  <c r="CF123" i="48" s="1"/>
  <c r="CD125" i="48"/>
  <c r="CF125" i="48" s="1"/>
  <c r="CE127" i="48"/>
  <c r="AN127" i="48" s="1"/>
  <c r="CE134" i="48"/>
  <c r="CD135" i="48"/>
  <c r="CF135" i="48" s="1"/>
  <c r="CD137" i="48"/>
  <c r="CF137" i="48" s="1"/>
  <c r="CE142" i="48"/>
  <c r="AN142" i="48" s="1"/>
  <c r="CD143" i="48"/>
  <c r="CF143" i="48" s="1"/>
  <c r="CD145" i="48"/>
  <c r="CF145" i="48" s="1"/>
  <c r="CD146" i="48"/>
  <c r="CF146" i="48" s="1"/>
  <c r="AZ146" i="48" s="1"/>
  <c r="CD149" i="48"/>
  <c r="CF149" i="48" s="1"/>
  <c r="CD150" i="48"/>
  <c r="CF150" i="48" s="1"/>
  <c r="CD153" i="48"/>
  <c r="CF153" i="48" s="1"/>
  <c r="CE154" i="48"/>
  <c r="CD158" i="48"/>
  <c r="CF158" i="48" s="1"/>
  <c r="CE161" i="48"/>
  <c r="AK161" i="48" s="1"/>
  <c r="CD162" i="48"/>
  <c r="CF162" i="48" s="1"/>
  <c r="CD173" i="48"/>
  <c r="CF173" i="48" s="1"/>
  <c r="AV173" i="48" s="1"/>
  <c r="CD174" i="48"/>
  <c r="CF174" i="48" s="1"/>
  <c r="BA174" i="48" s="1"/>
  <c r="CE177" i="48"/>
  <c r="CD178" i="48"/>
  <c r="CF178" i="48" s="1"/>
  <c r="CE181" i="48"/>
  <c r="AK181" i="48" s="1"/>
  <c r="CE182" i="48"/>
  <c r="AJ182" i="48" s="1"/>
  <c r="CE184" i="48"/>
  <c r="CE188" i="48"/>
  <c r="AF188" i="48" s="1"/>
  <c r="CE192" i="48"/>
  <c r="CD194" i="48"/>
  <c r="CF194" i="48" s="1"/>
  <c r="AU194" i="48" s="1"/>
  <c r="CD195" i="48"/>
  <c r="CF195" i="48" s="1"/>
  <c r="CE199" i="48"/>
  <c r="CE203" i="48"/>
  <c r="CE207" i="48"/>
  <c r="AO207" i="48" s="1"/>
  <c r="CE213" i="48"/>
  <c r="AG213" i="48" s="1"/>
  <c r="CE217" i="48"/>
  <c r="AC217" i="48" s="1"/>
  <c r="CE222" i="48"/>
  <c r="AF222" i="48" s="1"/>
  <c r="CE226" i="48"/>
  <c r="AF226" i="48" s="1"/>
  <c r="CE230" i="48"/>
  <c r="CD234" i="48"/>
  <c r="CF234" i="48" s="1"/>
  <c r="BE234" i="48" s="1"/>
  <c r="CE239" i="48"/>
  <c r="AC239" i="48" s="1"/>
  <c r="CE240" i="48"/>
  <c r="AN240" i="48" s="1"/>
  <c r="CD242" i="48"/>
  <c r="CF242" i="48" s="1"/>
  <c r="AU242" i="48" s="1"/>
  <c r="CE244" i="48"/>
  <c r="AF244" i="48" s="1"/>
  <c r="CE248" i="48"/>
  <c r="CE252" i="48"/>
  <c r="AF252" i="48" s="1"/>
  <c r="CE256" i="48"/>
  <c r="CD258" i="48"/>
  <c r="CF258" i="48" s="1"/>
  <c r="AU258" i="48" s="1"/>
  <c r="CD259" i="48"/>
  <c r="CF259" i="48" s="1"/>
  <c r="CE260" i="48"/>
  <c r="AK260" i="48" s="1"/>
  <c r="CD269" i="48"/>
  <c r="CF269" i="48" s="1"/>
  <c r="CD270" i="48"/>
  <c r="CF270" i="48" s="1"/>
  <c r="AT270" i="48" s="1"/>
  <c r="CD271" i="48"/>
  <c r="CF271" i="48" s="1"/>
  <c r="BE271" i="48" s="1"/>
  <c r="CD273" i="48"/>
  <c r="CF273" i="48" s="1"/>
  <c r="CD274" i="48"/>
  <c r="CF274" i="48" s="1"/>
  <c r="AT274" i="48" s="1"/>
  <c r="CD275" i="48"/>
  <c r="CF275" i="48" s="1"/>
  <c r="CD285" i="48"/>
  <c r="CF285" i="48" s="1"/>
  <c r="CD286" i="48"/>
  <c r="CF286" i="48" s="1"/>
  <c r="AZ286" i="48" s="1"/>
  <c r="CD287" i="48"/>
  <c r="CF287" i="48" s="1"/>
  <c r="BE287" i="48" s="1"/>
  <c r="CD289" i="48"/>
  <c r="CF289" i="48" s="1"/>
  <c r="CD290" i="48"/>
  <c r="CF290" i="48" s="1"/>
  <c r="AZ290" i="48" s="1"/>
  <c r="CD291" i="48"/>
  <c r="CF291" i="48" s="1"/>
  <c r="CD301" i="48"/>
  <c r="CF301" i="48" s="1"/>
  <c r="CD302" i="48"/>
  <c r="CF302" i="48" s="1"/>
  <c r="AT302" i="48" s="1"/>
  <c r="CD303" i="48"/>
  <c r="CF303" i="48" s="1"/>
  <c r="BE303" i="48" s="1"/>
  <c r="CD305" i="48"/>
  <c r="CF305" i="48" s="1"/>
  <c r="CD306" i="48"/>
  <c r="CF306" i="48" s="1"/>
  <c r="AZ306" i="48" s="1"/>
  <c r="CD348" i="48"/>
  <c r="CF348" i="48" s="1"/>
  <c r="CD352" i="48"/>
  <c r="CF352" i="48" s="1"/>
  <c r="AT352" i="48" s="1"/>
  <c r="CD463" i="48"/>
  <c r="CF463" i="48" s="1"/>
  <c r="AV463" i="48" s="1"/>
  <c r="CD307" i="48"/>
  <c r="CF307" i="48" s="1"/>
  <c r="CE316" i="48"/>
  <c r="CD317" i="48"/>
  <c r="CF317" i="48" s="1"/>
  <c r="CD319" i="48"/>
  <c r="CF319" i="48" s="1"/>
  <c r="AU319" i="48" s="1"/>
  <c r="CD320" i="48"/>
  <c r="CF320" i="48" s="1"/>
  <c r="AZ320" i="48" s="1"/>
  <c r="CE324" i="48"/>
  <c r="CD325" i="48"/>
  <c r="CF325" i="48" s="1"/>
  <c r="BA325" i="48" s="1"/>
  <c r="CE328" i="48"/>
  <c r="CD329" i="48"/>
  <c r="CF329" i="48" s="1"/>
  <c r="CE332" i="48"/>
  <c r="AC332" i="48" s="1"/>
  <c r="CE333" i="48"/>
  <c r="CD340" i="48"/>
  <c r="CF340" i="48" s="1"/>
  <c r="CD341" i="48"/>
  <c r="CF341" i="48" s="1"/>
  <c r="BA341" i="48" s="1"/>
  <c r="CD344" i="48"/>
  <c r="CF344" i="48" s="1"/>
  <c r="CE345" i="48"/>
  <c r="AJ345" i="48" s="1"/>
  <c r="CD353" i="48"/>
  <c r="CF353" i="48" s="1"/>
  <c r="CE356" i="48"/>
  <c r="AK356" i="48" s="1"/>
  <c r="CE360" i="48"/>
  <c r="AK360" i="48" s="1"/>
  <c r="CD361" i="48"/>
  <c r="CF361" i="48" s="1"/>
  <c r="CE364" i="48"/>
  <c r="CD369" i="48"/>
  <c r="CF369" i="48" s="1"/>
  <c r="CE373" i="48"/>
  <c r="CD375" i="48"/>
  <c r="CF375" i="48" s="1"/>
  <c r="AU375" i="48" s="1"/>
  <c r="CE380" i="48"/>
  <c r="AG380" i="48" s="1"/>
  <c r="CD381" i="48"/>
  <c r="CF381" i="48" s="1"/>
  <c r="CE384" i="48"/>
  <c r="CD385" i="48"/>
  <c r="CF385" i="48" s="1"/>
  <c r="CE397" i="48"/>
  <c r="AJ397" i="48" s="1"/>
  <c r="CD401" i="48"/>
  <c r="CF401" i="48" s="1"/>
  <c r="BA401" i="48" s="1"/>
  <c r="CE415" i="48"/>
  <c r="AF415" i="48" s="1"/>
  <c r="CD417" i="48"/>
  <c r="CF417" i="48" s="1"/>
  <c r="AU417" i="48" s="1"/>
  <c r="CE419" i="48"/>
  <c r="CD429" i="48"/>
  <c r="CF429" i="48" s="1"/>
  <c r="BA429" i="48" s="1"/>
  <c r="CE436" i="48"/>
  <c r="CD437" i="48"/>
  <c r="CF437" i="48" s="1"/>
  <c r="BA437" i="48" s="1"/>
  <c r="CD440" i="48"/>
  <c r="CF440" i="48" s="1"/>
  <c r="CE441" i="48"/>
  <c r="AJ441" i="48" s="1"/>
  <c r="CD456" i="48"/>
  <c r="CF456" i="48" s="1"/>
  <c r="CD459" i="48"/>
  <c r="CF459" i="48" s="1"/>
  <c r="CE460" i="48"/>
  <c r="AJ460" i="48" s="1"/>
  <c r="CD467" i="48"/>
  <c r="CF467" i="48" s="1"/>
  <c r="CE470" i="48"/>
  <c r="AC470" i="48" s="1"/>
  <c r="CE471" i="48"/>
  <c r="AJ471" i="48" s="1"/>
  <c r="AK28" i="48"/>
  <c r="AK130" i="48"/>
  <c r="AC48" i="48"/>
  <c r="AC100" i="48"/>
  <c r="AC110" i="48"/>
  <c r="AK122" i="48"/>
  <c r="AC134" i="48"/>
  <c r="AL61" i="48"/>
  <c r="AN61" i="48"/>
  <c r="AF61" i="48"/>
  <c r="CD68" i="48"/>
  <c r="CF68" i="48" s="1"/>
  <c r="CE68" i="48"/>
  <c r="AV70" i="48"/>
  <c r="AF73" i="48"/>
  <c r="CD84" i="48"/>
  <c r="CF84" i="48" s="1"/>
  <c r="CE84" i="48"/>
  <c r="CD126" i="48"/>
  <c r="CF126" i="48" s="1"/>
  <c r="CE126" i="48"/>
  <c r="AO126" i="48" s="1"/>
  <c r="AC126" i="48"/>
  <c r="AZ54" i="48"/>
  <c r="AV58" i="48"/>
  <c r="AV90" i="48"/>
  <c r="CD94" i="48"/>
  <c r="CF94" i="48" s="1"/>
  <c r="CE94" i="48"/>
  <c r="AJ94" i="48" s="1"/>
  <c r="CD104" i="48"/>
  <c r="CF104" i="48" s="1"/>
  <c r="BC104" i="48" s="1"/>
  <c r="CE104" i="48"/>
  <c r="AF119" i="48"/>
  <c r="AN139" i="48"/>
  <c r="AF139" i="48"/>
  <c r="AG183" i="48"/>
  <c r="AO191" i="48"/>
  <c r="AG191" i="48"/>
  <c r="AK191" i="48"/>
  <c r="AC191" i="48"/>
  <c r="AO225" i="48"/>
  <c r="AO247" i="48"/>
  <c r="AG247" i="48"/>
  <c r="AK247" i="48"/>
  <c r="AC247" i="48"/>
  <c r="CD2" i="48"/>
  <c r="CF2" i="48" s="1"/>
  <c r="CD4" i="48"/>
  <c r="CF4" i="48" s="1"/>
  <c r="CD6" i="48"/>
  <c r="CF6" i="48" s="1"/>
  <c r="BD6" i="48" s="1"/>
  <c r="CD8" i="48"/>
  <c r="CF8" i="48" s="1"/>
  <c r="AT8" i="48" s="1"/>
  <c r="CE9" i="48"/>
  <c r="CE10" i="48"/>
  <c r="CD12" i="48"/>
  <c r="CF12" i="48" s="1"/>
  <c r="CE14" i="48"/>
  <c r="CD16" i="48"/>
  <c r="CF16" i="48" s="1"/>
  <c r="CD18" i="48"/>
  <c r="CF18" i="48" s="1"/>
  <c r="CD20" i="48"/>
  <c r="CF20" i="48" s="1"/>
  <c r="CD23" i="48"/>
  <c r="CF23" i="48" s="1"/>
  <c r="BB24" i="48"/>
  <c r="CE24" i="48"/>
  <c r="AO24" i="48" s="1"/>
  <c r="CD25" i="48"/>
  <c r="CF25" i="48" s="1"/>
  <c r="CD26" i="48"/>
  <c r="CF26" i="48" s="1"/>
  <c r="CD28" i="48"/>
  <c r="CF28" i="48" s="1"/>
  <c r="CE29" i="48"/>
  <c r="CD31" i="48"/>
  <c r="CF31" i="48" s="1"/>
  <c r="BE31" i="48" s="1"/>
  <c r="CE32" i="48"/>
  <c r="AF33" i="48"/>
  <c r="AN33" i="48"/>
  <c r="CD33" i="48"/>
  <c r="CF33" i="48" s="1"/>
  <c r="CD34" i="48"/>
  <c r="CF34" i="48" s="1"/>
  <c r="CD36" i="48"/>
  <c r="CF36" i="48" s="1"/>
  <c r="CD37" i="48"/>
  <c r="CF37" i="48" s="1"/>
  <c r="AU37" i="48" s="1"/>
  <c r="AZ38" i="48"/>
  <c r="CD39" i="48"/>
  <c r="CF39" i="48" s="1"/>
  <c r="BB40" i="48"/>
  <c r="CE40" i="48"/>
  <c r="CE41" i="48"/>
  <c r="CD43" i="48"/>
  <c r="CF43" i="48" s="1"/>
  <c r="CD45" i="48"/>
  <c r="CF45" i="48" s="1"/>
  <c r="BE45" i="48" s="1"/>
  <c r="CD46" i="48"/>
  <c r="CF46" i="48" s="1"/>
  <c r="CD48" i="48"/>
  <c r="CF48" i="48" s="1"/>
  <c r="BC48" i="48" s="1"/>
  <c r="CD49" i="48"/>
  <c r="CF49" i="48" s="1"/>
  <c r="AT49" i="48" s="1"/>
  <c r="CD50" i="48"/>
  <c r="CF50" i="48" s="1"/>
  <c r="CD52" i="48"/>
  <c r="CF52" i="48" s="1"/>
  <c r="CE53" i="48"/>
  <c r="AC53" i="48" s="1"/>
  <c r="BD54" i="48"/>
  <c r="CD55" i="48"/>
  <c r="CF55" i="48" s="1"/>
  <c r="AZ58" i="48"/>
  <c r="CD60" i="48"/>
  <c r="CF60" i="48" s="1"/>
  <c r="CE60" i="48"/>
  <c r="AO60" i="48" s="1"/>
  <c r="AJ61" i="48"/>
  <c r="AZ70" i="48"/>
  <c r="CD72" i="48"/>
  <c r="CF72" i="48" s="1"/>
  <c r="CE72" i="48"/>
  <c r="AL72" i="48" s="1"/>
  <c r="AZ90" i="48"/>
  <c r="CD92" i="48"/>
  <c r="CF92" i="48" s="1"/>
  <c r="CE92" i="48"/>
  <c r="AN105" i="48"/>
  <c r="AF105" i="48"/>
  <c r="CD107" i="48"/>
  <c r="CF107" i="48" s="1"/>
  <c r="AZ107" i="48" s="1"/>
  <c r="CD114" i="48"/>
  <c r="CF114" i="48" s="1"/>
  <c r="CE114" i="48"/>
  <c r="AC114" i="48" s="1"/>
  <c r="CD118" i="48"/>
  <c r="CF118" i="48" s="1"/>
  <c r="CE118" i="48"/>
  <c r="AT118" i="48"/>
  <c r="CD138" i="48"/>
  <c r="CF138" i="48" s="1"/>
  <c r="AT138" i="48" s="1"/>
  <c r="CE138" i="48"/>
  <c r="AJ139" i="48"/>
  <c r="AO199" i="48"/>
  <c r="CD243" i="48"/>
  <c r="CF243" i="48" s="1"/>
  <c r="AT243" i="48" s="1"/>
  <c r="CE243" i="48"/>
  <c r="AC243" i="48" s="1"/>
  <c r="AG251" i="48"/>
  <c r="AK255" i="48"/>
  <c r="AC266" i="48"/>
  <c r="AO282" i="48"/>
  <c r="AG282" i="48"/>
  <c r="AK282" i="48"/>
  <c r="AC282" i="48"/>
  <c r="AO314" i="48"/>
  <c r="AG314" i="48"/>
  <c r="AK314" i="48"/>
  <c r="AC314" i="48"/>
  <c r="CD57" i="48"/>
  <c r="CF57" i="48" s="1"/>
  <c r="CD59" i="48"/>
  <c r="CF59" i="48" s="1"/>
  <c r="BA59" i="48" s="1"/>
  <c r="CD61" i="48"/>
  <c r="CF61" i="48" s="1"/>
  <c r="CD62" i="48"/>
  <c r="CF62" i="48" s="1"/>
  <c r="CD64" i="48"/>
  <c r="CF64" i="48" s="1"/>
  <c r="CE65" i="48"/>
  <c r="AD65" i="48" s="1"/>
  <c r="CD67" i="48"/>
  <c r="CF67" i="48" s="1"/>
  <c r="CE69" i="48"/>
  <c r="CD71" i="48"/>
  <c r="CF71" i="48" s="1"/>
  <c r="CD73" i="48"/>
  <c r="CF73" i="48" s="1"/>
  <c r="CD74" i="48"/>
  <c r="CF74" i="48" s="1"/>
  <c r="CD76" i="48"/>
  <c r="CF76" i="48" s="1"/>
  <c r="CD78" i="48"/>
  <c r="CF78" i="48" s="1"/>
  <c r="CD80" i="48"/>
  <c r="CF80" i="48" s="1"/>
  <c r="CE81" i="48"/>
  <c r="CD83" i="48"/>
  <c r="CF83" i="48" s="1"/>
  <c r="CD85" i="48"/>
  <c r="CF85" i="48" s="1"/>
  <c r="CD86" i="48"/>
  <c r="CF86" i="48" s="1"/>
  <c r="AU86" i="48" s="1"/>
  <c r="CD88" i="48"/>
  <c r="CF88" i="48" s="1"/>
  <c r="CE89" i="48"/>
  <c r="CD91" i="48"/>
  <c r="CF91" i="48" s="1"/>
  <c r="CE93" i="48"/>
  <c r="CD95" i="48"/>
  <c r="CF95" i="48" s="1"/>
  <c r="CD96" i="48"/>
  <c r="CF96" i="48" s="1"/>
  <c r="CD98" i="48"/>
  <c r="CF98" i="48" s="1"/>
  <c r="CD100" i="48"/>
  <c r="CF100" i="48" s="1"/>
  <c r="CE101" i="48"/>
  <c r="CD103" i="48"/>
  <c r="CF103" i="48" s="1"/>
  <c r="CD105" i="48"/>
  <c r="CF105" i="48" s="1"/>
  <c r="CD106" i="48"/>
  <c r="CF106" i="48" s="1"/>
  <c r="BF106" i="48" s="1"/>
  <c r="CE107" i="48"/>
  <c r="CD110" i="48"/>
  <c r="CF110" i="48" s="1"/>
  <c r="BA110" i="48" s="1"/>
  <c r="CE111" i="48"/>
  <c r="CE115" i="48"/>
  <c r="CD119" i="48"/>
  <c r="CF119" i="48" s="1"/>
  <c r="CD121" i="48"/>
  <c r="CF121" i="48" s="1"/>
  <c r="CD122" i="48"/>
  <c r="CF122" i="48" s="1"/>
  <c r="CE123" i="48"/>
  <c r="CD127" i="48"/>
  <c r="CF127" i="48" s="1"/>
  <c r="CD129" i="48"/>
  <c r="CF129" i="48" s="1"/>
  <c r="CD130" i="48"/>
  <c r="CF130" i="48" s="1"/>
  <c r="CE131" i="48"/>
  <c r="AI131" i="48" s="1"/>
  <c r="CD133" i="48"/>
  <c r="CF133" i="48" s="1"/>
  <c r="CD134" i="48"/>
  <c r="CF134" i="48" s="1"/>
  <c r="CE135" i="48"/>
  <c r="CD139" i="48"/>
  <c r="CF139" i="48" s="1"/>
  <c r="CD141" i="48"/>
  <c r="CF141" i="48" s="1"/>
  <c r="CD142" i="48"/>
  <c r="CF142" i="48" s="1"/>
  <c r="CE143" i="48"/>
  <c r="AT146" i="48"/>
  <c r="CE146" i="48"/>
  <c r="AC146" i="48" s="1"/>
  <c r="CD147" i="48"/>
  <c r="CF147" i="48" s="1"/>
  <c r="CE149" i="48"/>
  <c r="AL149" i="48" s="1"/>
  <c r="CE150" i="48"/>
  <c r="AJ150" i="48" s="1"/>
  <c r="CE153" i="48"/>
  <c r="AC153" i="48" s="1"/>
  <c r="CD154" i="48"/>
  <c r="CF154" i="48" s="1"/>
  <c r="CE157" i="48"/>
  <c r="AH157" i="48" s="1"/>
  <c r="CE158" i="48"/>
  <c r="AJ158" i="48" s="1"/>
  <c r="CD161" i="48"/>
  <c r="CF161" i="48" s="1"/>
  <c r="AZ161" i="48" s="1"/>
  <c r="CE162" i="48"/>
  <c r="AJ162" i="48" s="1"/>
  <c r="CE165" i="48"/>
  <c r="AC165" i="48" s="1"/>
  <c r="CE166" i="48"/>
  <c r="AJ166" i="48" s="1"/>
  <c r="CD169" i="48"/>
  <c r="CF169" i="48" s="1"/>
  <c r="CE170" i="48"/>
  <c r="AJ170" i="48" s="1"/>
  <c r="BB173" i="48"/>
  <c r="CE173" i="48"/>
  <c r="CE174" i="48"/>
  <c r="AJ174" i="48" s="1"/>
  <c r="CD177" i="48"/>
  <c r="CF177" i="48" s="1"/>
  <c r="CE178" i="48"/>
  <c r="AJ178" i="48" s="1"/>
  <c r="CD181" i="48"/>
  <c r="CF181" i="48" s="1"/>
  <c r="AZ181" i="48" s="1"/>
  <c r="CD182" i="48"/>
  <c r="CF182" i="48" s="1"/>
  <c r="CD183" i="48"/>
  <c r="CF183" i="48" s="1"/>
  <c r="CD184" i="48"/>
  <c r="CF184" i="48" s="1"/>
  <c r="BE184" i="48" s="1"/>
  <c r="CD186" i="48"/>
  <c r="CF186" i="48" s="1"/>
  <c r="CD187" i="48"/>
  <c r="CF187" i="48" s="1"/>
  <c r="CD188" i="48"/>
  <c r="CF188" i="48" s="1"/>
  <c r="CD190" i="48"/>
  <c r="CF190" i="48" s="1"/>
  <c r="AU190" i="48" s="1"/>
  <c r="CD191" i="48"/>
  <c r="CF191" i="48" s="1"/>
  <c r="BB191" i="48" s="1"/>
  <c r="CD192" i="48"/>
  <c r="CF192" i="48" s="1"/>
  <c r="BE192" i="48" s="1"/>
  <c r="CE195" i="48"/>
  <c r="AF196" i="48"/>
  <c r="CD196" i="48"/>
  <c r="CF196" i="48" s="1"/>
  <c r="CD198" i="48"/>
  <c r="CF198" i="48" s="1"/>
  <c r="AU198" i="48" s="1"/>
  <c r="CD199" i="48"/>
  <c r="CF199" i="48" s="1"/>
  <c r="CD200" i="48"/>
  <c r="CF200" i="48" s="1"/>
  <c r="BE200" i="48" s="1"/>
  <c r="CD202" i="48"/>
  <c r="CF202" i="48" s="1"/>
  <c r="CD203" i="48"/>
  <c r="CF203" i="48" s="1"/>
  <c r="BF203" i="48" s="1"/>
  <c r="CD204" i="48"/>
  <c r="CF204" i="48" s="1"/>
  <c r="CD206" i="48"/>
  <c r="CF206" i="48" s="1"/>
  <c r="AU206" i="48" s="1"/>
  <c r="CD207" i="48"/>
  <c r="CF207" i="48" s="1"/>
  <c r="CD208" i="48"/>
  <c r="CF208" i="48" s="1"/>
  <c r="BE208" i="48" s="1"/>
  <c r="AT209" i="48"/>
  <c r="BJ209" i="48" s="1"/>
  <c r="AZ209" i="48"/>
  <c r="CE209" i="48"/>
  <c r="AC209" i="48" s="1"/>
  <c r="CE210" i="48"/>
  <c r="AJ210" i="48" s="1"/>
  <c r="CD212" i="48"/>
  <c r="CF212" i="48" s="1"/>
  <c r="CD213" i="48"/>
  <c r="CF213" i="48" s="1"/>
  <c r="CD214" i="48"/>
  <c r="CF214" i="48" s="1"/>
  <c r="BE214" i="48" s="1"/>
  <c r="CD216" i="48"/>
  <c r="CF216" i="48" s="1"/>
  <c r="AU216" i="48" s="1"/>
  <c r="CD217" i="48"/>
  <c r="CF217" i="48" s="1"/>
  <c r="BF217" i="48" s="1"/>
  <c r="CD218" i="48"/>
  <c r="CF218" i="48" s="1"/>
  <c r="AT218" i="48" s="1"/>
  <c r="CE221" i="48"/>
  <c r="CD222" i="48"/>
  <c r="CF222" i="48" s="1"/>
  <c r="AT222" i="48" s="1"/>
  <c r="CD224" i="48"/>
  <c r="CF224" i="48" s="1"/>
  <c r="CD225" i="48"/>
  <c r="CF225" i="48" s="1"/>
  <c r="CD226" i="48"/>
  <c r="CF226" i="48" s="1"/>
  <c r="CD228" i="48"/>
  <c r="CF228" i="48" s="1"/>
  <c r="CD229" i="48"/>
  <c r="CF229" i="48" s="1"/>
  <c r="CD230" i="48"/>
  <c r="CF230" i="48" s="1"/>
  <c r="AW230" i="48" s="1"/>
  <c r="CD232" i="48"/>
  <c r="CF232" i="48" s="1"/>
  <c r="CD233" i="48"/>
  <c r="CF233" i="48" s="1"/>
  <c r="CE233" i="48"/>
  <c r="AK316" i="48"/>
  <c r="AK324" i="48"/>
  <c r="AK332" i="48"/>
  <c r="AC364" i="48"/>
  <c r="AK364" i="48"/>
  <c r="AK406" i="48"/>
  <c r="AO410" i="48"/>
  <c r="AC422" i="48"/>
  <c r="AK426" i="48"/>
  <c r="CE234" i="48"/>
  <c r="CD236" i="48"/>
  <c r="CF236" i="48" s="1"/>
  <c r="AU236" i="48" s="1"/>
  <c r="CD238" i="48"/>
  <c r="CF238" i="48" s="1"/>
  <c r="CD239" i="48"/>
  <c r="CF239" i="48" s="1"/>
  <c r="CD240" i="48"/>
  <c r="CF240" i="48" s="1"/>
  <c r="CD244" i="48"/>
  <c r="CF244" i="48" s="1"/>
  <c r="CD246" i="48"/>
  <c r="CF246" i="48" s="1"/>
  <c r="CD247" i="48"/>
  <c r="CF247" i="48" s="1"/>
  <c r="CD248" i="48"/>
  <c r="CF248" i="48" s="1"/>
  <c r="BE248" i="48" s="1"/>
  <c r="CD250" i="48"/>
  <c r="CF250" i="48" s="1"/>
  <c r="CD251" i="48"/>
  <c r="CF251" i="48" s="1"/>
  <c r="CD252" i="48"/>
  <c r="CF252" i="48" s="1"/>
  <c r="AW252" i="48" s="1"/>
  <c r="CD254" i="48"/>
  <c r="CF254" i="48" s="1"/>
  <c r="AU254" i="48" s="1"/>
  <c r="CD255" i="48"/>
  <c r="CF255" i="48" s="1"/>
  <c r="CD256" i="48"/>
  <c r="CF256" i="48" s="1"/>
  <c r="CE259" i="48"/>
  <c r="AC259" i="48" s="1"/>
  <c r="CD260" i="48"/>
  <c r="CF260" i="48" s="1"/>
  <c r="CD261" i="48"/>
  <c r="CF261" i="48" s="1"/>
  <c r="CD263" i="48"/>
  <c r="CF263" i="48" s="1"/>
  <c r="AU263" i="48" s="1"/>
  <c r="CD265" i="48"/>
  <c r="CF265" i="48" s="1"/>
  <c r="AU265" i="48" s="1"/>
  <c r="CD266" i="48"/>
  <c r="CF266" i="48" s="1"/>
  <c r="CE267" i="48"/>
  <c r="CE270" i="48"/>
  <c r="CE271" i="48"/>
  <c r="AJ271" i="48" s="1"/>
  <c r="CE274" i="48"/>
  <c r="AC274" i="48" s="1"/>
  <c r="CE275" i="48"/>
  <c r="AJ275" i="48" s="1"/>
  <c r="AU277" i="48"/>
  <c r="AZ278" i="48"/>
  <c r="CE278" i="48"/>
  <c r="CE279" i="48"/>
  <c r="AJ279" i="48" s="1"/>
  <c r="CD281" i="48"/>
  <c r="CF281" i="48" s="1"/>
  <c r="AU281" i="48" s="1"/>
  <c r="CD282" i="48"/>
  <c r="CF282" i="48" s="1"/>
  <c r="CE283" i="48"/>
  <c r="CE286" i="48"/>
  <c r="CE287" i="48"/>
  <c r="CE290" i="48"/>
  <c r="AC290" i="48" s="1"/>
  <c r="CE291" i="48"/>
  <c r="AJ291" i="48" s="1"/>
  <c r="AT294" i="48"/>
  <c r="BJ294" i="48" s="1"/>
  <c r="AZ294" i="48"/>
  <c r="CE294" i="48"/>
  <c r="CE295" i="48"/>
  <c r="AJ295" i="48" s="1"/>
  <c r="CD297" i="48"/>
  <c r="CF297" i="48" s="1"/>
  <c r="CD298" i="48"/>
  <c r="CF298" i="48" s="1"/>
  <c r="CE299" i="48"/>
  <c r="CE302" i="48"/>
  <c r="CE303" i="48"/>
  <c r="AT306" i="48"/>
  <c r="CE306" i="48"/>
  <c r="AC306" i="48" s="1"/>
  <c r="CE307" i="48"/>
  <c r="AT310" i="48"/>
  <c r="AZ310" i="48"/>
  <c r="CE310" i="48"/>
  <c r="CE311" i="48"/>
  <c r="AJ311" i="48" s="1"/>
  <c r="CD313" i="48"/>
  <c r="CF313" i="48" s="1"/>
  <c r="AU313" i="48" s="1"/>
  <c r="CD314" i="48"/>
  <c r="CF314" i="48" s="1"/>
  <c r="CD315" i="48"/>
  <c r="CF315" i="48" s="1"/>
  <c r="CD316" i="48"/>
  <c r="CF316" i="48" s="1"/>
  <c r="CE317" i="48"/>
  <c r="AJ317" i="48" s="1"/>
  <c r="CE320" i="48"/>
  <c r="AC320" i="48" s="1"/>
  <c r="AF321" i="48"/>
  <c r="CD321" i="48"/>
  <c r="CF321" i="48" s="1"/>
  <c r="CD323" i="48"/>
  <c r="CF323" i="48" s="1"/>
  <c r="AU323" i="48" s="1"/>
  <c r="CD324" i="48"/>
  <c r="CF324" i="48" s="1"/>
  <c r="BB324" i="48" s="1"/>
  <c r="CE325" i="48"/>
  <c r="CD328" i="48"/>
  <c r="CF328" i="48" s="1"/>
  <c r="BD328" i="48" s="1"/>
  <c r="CE329" i="48"/>
  <c r="AJ329" i="48" s="1"/>
  <c r="CD332" i="48"/>
  <c r="CF332" i="48" s="1"/>
  <c r="BD332" i="48" s="1"/>
  <c r="CD333" i="48"/>
  <c r="CF333" i="48" s="1"/>
  <c r="BA333" i="48" s="1"/>
  <c r="CE336" i="48"/>
  <c r="CD337" i="48"/>
  <c r="CF337" i="48" s="1"/>
  <c r="CE340" i="48"/>
  <c r="AC340" i="48" s="1"/>
  <c r="CE341" i="48"/>
  <c r="CE344" i="48"/>
  <c r="AK344" i="48" s="1"/>
  <c r="CD345" i="48"/>
  <c r="CF345" i="48" s="1"/>
  <c r="CE348" i="48"/>
  <c r="AC348" i="48" s="1"/>
  <c r="CE349" i="48"/>
  <c r="AJ349" i="48" s="1"/>
  <c r="CE352" i="48"/>
  <c r="AK352" i="48" s="1"/>
  <c r="AK380" i="48"/>
  <c r="AG384" i="48"/>
  <c r="AC384" i="48"/>
  <c r="AG436" i="48"/>
  <c r="AK436" i="48"/>
  <c r="CD371" i="48"/>
  <c r="CF371" i="48" s="1"/>
  <c r="BC371" i="48" s="1"/>
  <c r="CD372" i="48"/>
  <c r="CF372" i="48" s="1"/>
  <c r="AT372" i="48" s="1"/>
  <c r="CE372" i="48"/>
  <c r="AO372" i="48" s="1"/>
  <c r="AN415" i="48"/>
  <c r="CD418" i="48"/>
  <c r="CF418" i="48" s="1"/>
  <c r="AU418" i="48" s="1"/>
  <c r="CE418" i="48"/>
  <c r="AC418" i="48"/>
  <c r="CD356" i="48"/>
  <c r="CF356" i="48" s="1"/>
  <c r="BD356" i="48" s="1"/>
  <c r="CD357" i="48"/>
  <c r="CF357" i="48" s="1"/>
  <c r="BA357" i="48" s="1"/>
  <c r="CD360" i="48"/>
  <c r="CF360" i="48" s="1"/>
  <c r="BD360" i="48" s="1"/>
  <c r="CE361" i="48"/>
  <c r="AJ361" i="48" s="1"/>
  <c r="CD364" i="48"/>
  <c r="CF364" i="48" s="1"/>
  <c r="BD364" i="48" s="1"/>
  <c r="CD365" i="48"/>
  <c r="CF365" i="48" s="1"/>
  <c r="BA365" i="48" s="1"/>
  <c r="CD367" i="48"/>
  <c r="CF367" i="48" s="1"/>
  <c r="BA367" i="48" s="1"/>
  <c r="CD368" i="48"/>
  <c r="CF368" i="48" s="1"/>
  <c r="CE368" i="48"/>
  <c r="AK368" i="48" s="1"/>
  <c r="AN373" i="48"/>
  <c r="CD376" i="48"/>
  <c r="CF376" i="48" s="1"/>
  <c r="AT376" i="48" s="1"/>
  <c r="CE376" i="48"/>
  <c r="AK376" i="48" s="1"/>
  <c r="CD387" i="48"/>
  <c r="CF387" i="48" s="1"/>
  <c r="BC387" i="48" s="1"/>
  <c r="CD388" i="48"/>
  <c r="CF388" i="48" s="1"/>
  <c r="AT388" i="48" s="1"/>
  <c r="CE388" i="48"/>
  <c r="AK388" i="48" s="1"/>
  <c r="AC388" i="48"/>
  <c r="CD392" i="48"/>
  <c r="CF392" i="48" s="1"/>
  <c r="AV392" i="48" s="1"/>
  <c r="CE392" i="48"/>
  <c r="AD392" i="48" s="1"/>
  <c r="CD396" i="48"/>
  <c r="CF396" i="48" s="1"/>
  <c r="AV396" i="48" s="1"/>
  <c r="CE396" i="48"/>
  <c r="AK396" i="48" s="1"/>
  <c r="CD400" i="48"/>
  <c r="CF400" i="48" s="1"/>
  <c r="AV400" i="48" s="1"/>
  <c r="CE400" i="48"/>
  <c r="AC400" i="48" s="1"/>
  <c r="CD404" i="48"/>
  <c r="CF404" i="48" s="1"/>
  <c r="CE404" i="48"/>
  <c r="AK404" i="48" s="1"/>
  <c r="CD413" i="48"/>
  <c r="CF413" i="48" s="1"/>
  <c r="BC413" i="48" s="1"/>
  <c r="CD414" i="48"/>
  <c r="CF414" i="48" s="1"/>
  <c r="AT414" i="48" s="1"/>
  <c r="CE414" i="48"/>
  <c r="AJ415" i="48"/>
  <c r="AF419" i="48"/>
  <c r="CD432" i="48"/>
  <c r="CF432" i="48" s="1"/>
  <c r="AV432" i="48" s="1"/>
  <c r="CE432" i="48"/>
  <c r="AK432" i="48" s="1"/>
  <c r="CE369" i="48"/>
  <c r="CD373" i="48"/>
  <c r="CF373" i="48" s="1"/>
  <c r="BB373" i="48" s="1"/>
  <c r="CD377" i="48"/>
  <c r="CF377" i="48" s="1"/>
  <c r="CD379" i="48"/>
  <c r="CF379" i="48" s="1"/>
  <c r="AU379" i="48" s="1"/>
  <c r="CD380" i="48"/>
  <c r="CF380" i="48" s="1"/>
  <c r="CE381" i="48"/>
  <c r="AK381" i="48" s="1"/>
  <c r="CD383" i="48"/>
  <c r="CF383" i="48" s="1"/>
  <c r="CD384" i="48"/>
  <c r="CF384" i="48" s="1"/>
  <c r="BB384" i="48" s="1"/>
  <c r="CE385" i="48"/>
  <c r="AN385" i="48" s="1"/>
  <c r="CD389" i="48"/>
  <c r="CF389" i="48" s="1"/>
  <c r="BB389" i="48" s="1"/>
  <c r="CE393" i="48"/>
  <c r="CD397" i="48"/>
  <c r="CF397" i="48" s="1"/>
  <c r="CE401" i="48"/>
  <c r="AJ401" i="48" s="1"/>
  <c r="CD405" i="48"/>
  <c r="CF405" i="48" s="1"/>
  <c r="BC405" i="48" s="1"/>
  <c r="CD406" i="48"/>
  <c r="CF406" i="48" s="1"/>
  <c r="AZ406" i="48" s="1"/>
  <c r="CE407" i="48"/>
  <c r="AJ407" i="48" s="1"/>
  <c r="CD409" i="48"/>
  <c r="CF409" i="48" s="1"/>
  <c r="AU409" i="48" s="1"/>
  <c r="CD410" i="48"/>
  <c r="CF410" i="48" s="1"/>
  <c r="BA410" i="48" s="1"/>
  <c r="CE411" i="48"/>
  <c r="AN411" i="48" s="1"/>
  <c r="CD415" i="48"/>
  <c r="CF415" i="48" s="1"/>
  <c r="CD419" i="48"/>
  <c r="CF419" i="48" s="1"/>
  <c r="CD421" i="48"/>
  <c r="CF421" i="48" s="1"/>
  <c r="AU421" i="48" s="1"/>
  <c r="CD422" i="48"/>
  <c r="CF422" i="48" s="1"/>
  <c r="BB422" i="48" s="1"/>
  <c r="CE423" i="48"/>
  <c r="AN423" i="48" s="1"/>
  <c r="CD425" i="48"/>
  <c r="CF425" i="48" s="1"/>
  <c r="AU425" i="48" s="1"/>
  <c r="CD426" i="48"/>
  <c r="CF426" i="48" s="1"/>
  <c r="AW426" i="48" s="1"/>
  <c r="CD427" i="48"/>
  <c r="CF427" i="48" s="1"/>
  <c r="CD428" i="48"/>
  <c r="CF428" i="48" s="1"/>
  <c r="AK470" i="48"/>
  <c r="CE429" i="48"/>
  <c r="AJ429" i="48" s="1"/>
  <c r="CD433" i="48"/>
  <c r="CF433" i="48" s="1"/>
  <c r="CD435" i="48"/>
  <c r="CF435" i="48" s="1"/>
  <c r="AU435" i="48" s="1"/>
  <c r="CD436" i="48"/>
  <c r="CF436" i="48" s="1"/>
  <c r="BD436" i="48" s="1"/>
  <c r="CE437" i="48"/>
  <c r="AJ437" i="48" s="1"/>
  <c r="CE440" i="48"/>
  <c r="CD441" i="48"/>
  <c r="CF441" i="48" s="1"/>
  <c r="CE444" i="48"/>
  <c r="CE445" i="48"/>
  <c r="CE448" i="48"/>
  <c r="AK448" i="48" s="1"/>
  <c r="CD449" i="48"/>
  <c r="CF449" i="48" s="1"/>
  <c r="CD454" i="48"/>
  <c r="CF454" i="48" s="1"/>
  <c r="CD455" i="48"/>
  <c r="CF455" i="48" s="1"/>
  <c r="BA455" i="48" s="1"/>
  <c r="CE456" i="48"/>
  <c r="CE459" i="48"/>
  <c r="AK459" i="48" s="1"/>
  <c r="CD460" i="48"/>
  <c r="CF460" i="48" s="1"/>
  <c r="CE463" i="48"/>
  <c r="CE464" i="48"/>
  <c r="AJ464" i="48" s="1"/>
  <c r="CE467" i="48"/>
  <c r="CD470" i="48"/>
  <c r="CF470" i="48" s="1"/>
  <c r="CD471" i="48"/>
  <c r="CF471" i="48" s="1"/>
  <c r="CE473" i="48"/>
  <c r="CE474" i="48"/>
  <c r="AJ474" i="48" s="1"/>
  <c r="AV2" i="48"/>
  <c r="BE4" i="48"/>
  <c r="AT4" i="48"/>
  <c r="BC4" i="48"/>
  <c r="AW4" i="48"/>
  <c r="AZ4" i="48"/>
  <c r="BD4" i="48"/>
  <c r="AM10" i="48"/>
  <c r="AG10" i="48"/>
  <c r="AC10" i="48"/>
  <c r="AL10" i="48"/>
  <c r="AH10" i="48"/>
  <c r="AD10" i="48"/>
  <c r="AK10" i="48"/>
  <c r="BB18" i="48"/>
  <c r="AU18" i="48"/>
  <c r="BD18" i="48"/>
  <c r="AV18" i="48"/>
  <c r="BA18" i="48"/>
  <c r="BE18" i="48"/>
  <c r="BG20" i="48"/>
  <c r="BG25" i="48"/>
  <c r="BE43" i="48"/>
  <c r="AV49" i="48"/>
  <c r="BG49" i="48"/>
  <c r="AU49" i="48"/>
  <c r="BA49" i="48"/>
  <c r="BE55" i="48"/>
  <c r="BG57" i="48"/>
  <c r="AU57" i="48"/>
  <c r="BG61" i="48"/>
  <c r="BA61" i="48"/>
  <c r="BE67" i="48"/>
  <c r="AU67" i="48"/>
  <c r="BE71" i="48"/>
  <c r="AU71" i="48"/>
  <c r="BA73" i="48"/>
  <c r="BG85" i="48"/>
  <c r="BA85" i="48"/>
  <c r="BE91" i="48"/>
  <c r="AU91" i="48"/>
  <c r="BG95" i="48"/>
  <c r="BA95" i="48"/>
  <c r="BG105" i="48"/>
  <c r="BA105" i="48"/>
  <c r="BG119" i="48"/>
  <c r="AW119" i="48"/>
  <c r="BE121" i="48"/>
  <c r="BG127" i="48"/>
  <c r="AW127" i="48"/>
  <c r="AT133" i="48"/>
  <c r="AU133" i="48"/>
  <c r="BE141" i="48"/>
  <c r="BG141" i="48"/>
  <c r="BE196" i="48"/>
  <c r="AV222" i="48"/>
  <c r="BG222" i="48"/>
  <c r="AU222" i="48"/>
  <c r="BE222" i="48"/>
  <c r="AL2" i="48"/>
  <c r="AO3" i="48"/>
  <c r="AK3" i="48"/>
  <c r="AG3" i="48"/>
  <c r="AC3" i="48"/>
  <c r="AL3" i="48"/>
  <c r="AH3" i="48"/>
  <c r="AD3" i="48"/>
  <c r="CG4" i="48"/>
  <c r="AI4" i="48"/>
  <c r="AL4" i="48"/>
  <c r="AI5" i="48"/>
  <c r="AN5" i="48"/>
  <c r="AJ5" i="48"/>
  <c r="AF5" i="48"/>
  <c r="AO5" i="48"/>
  <c r="AG5" i="48"/>
  <c r="AM6" i="48"/>
  <c r="AZ7" i="48"/>
  <c r="AT7" i="48"/>
  <c r="AU7" i="48"/>
  <c r="BB7" i="48"/>
  <c r="BC7" i="48"/>
  <c r="BG7" i="48"/>
  <c r="AN8" i="48"/>
  <c r="AO8" i="48"/>
  <c r="AG8" i="48"/>
  <c r="AH8" i="48"/>
  <c r="BA9" i="48"/>
  <c r="AV9" i="48"/>
  <c r="BG9" i="48"/>
  <c r="AU9" i="48"/>
  <c r="BB9" i="48"/>
  <c r="BF9" i="48"/>
  <c r="AT11" i="48"/>
  <c r="AH12" i="48"/>
  <c r="AO12" i="48"/>
  <c r="AK12" i="48"/>
  <c r="AG12" i="48"/>
  <c r="AC12" i="48"/>
  <c r="AJ12" i="48"/>
  <c r="AW13" i="48"/>
  <c r="AV13" i="48"/>
  <c r="BE13" i="48"/>
  <c r="AO15" i="48"/>
  <c r="AE15" i="48"/>
  <c r="AL15" i="48"/>
  <c r="AH15" i="48"/>
  <c r="AD15" i="48"/>
  <c r="AI15" i="48"/>
  <c r="AG15" i="48"/>
  <c r="AC15" i="48"/>
  <c r="AG16" i="48"/>
  <c r="BF17" i="48"/>
  <c r="BB17" i="48"/>
  <c r="AT17" i="48"/>
  <c r="AW17" i="48"/>
  <c r="AU17" i="48"/>
  <c r="BD17" i="48"/>
  <c r="AZ17" i="48"/>
  <c r="AV17" i="48"/>
  <c r="BA17" i="48"/>
  <c r="BC17" i="48"/>
  <c r="BE17" i="48"/>
  <c r="BG17" i="48"/>
  <c r="BB19" i="48"/>
  <c r="AU19" i="48"/>
  <c r="BC19" i="48"/>
  <c r="AL20" i="48"/>
  <c r="AF20" i="48"/>
  <c r="AO20" i="48"/>
  <c r="AM20" i="48"/>
  <c r="AK20" i="48"/>
  <c r="AI20" i="48"/>
  <c r="AG20" i="48"/>
  <c r="AE20" i="48"/>
  <c r="AC20" i="48"/>
  <c r="AN20" i="48"/>
  <c r="AJ20" i="48"/>
  <c r="AH20" i="48"/>
  <c r="AD20" i="48"/>
  <c r="BC21" i="48"/>
  <c r="AV27" i="48"/>
  <c r="AT27" i="48"/>
  <c r="AU27" i="48"/>
  <c r="BE27" i="48"/>
  <c r="BA27" i="48"/>
  <c r="BG27" i="48"/>
  <c r="BC27" i="48"/>
  <c r="AW27" i="48"/>
  <c r="AV29" i="48"/>
  <c r="AW29" i="48"/>
  <c r="AV35" i="48"/>
  <c r="AT35" i="48"/>
  <c r="BG35" i="48"/>
  <c r="BE35" i="48"/>
  <c r="BA35" i="48"/>
  <c r="BC35" i="48"/>
  <c r="AU35" i="48"/>
  <c r="AW35" i="48"/>
  <c r="AV47" i="48"/>
  <c r="BG47" i="48"/>
  <c r="AU47" i="48"/>
  <c r="BA47" i="48"/>
  <c r="AV51" i="48"/>
  <c r="BE51" i="48"/>
  <c r="BG51" i="48"/>
  <c r="AU51" i="48"/>
  <c r="AV53" i="48"/>
  <c r="BG53" i="48"/>
  <c r="AU53" i="48"/>
  <c r="BA53" i="48"/>
  <c r="AV63" i="48"/>
  <c r="BG63" i="48"/>
  <c r="BA63" i="48"/>
  <c r="AU63" i="48"/>
  <c r="AV65" i="48"/>
  <c r="BE65" i="48"/>
  <c r="AW65" i="48"/>
  <c r="BC65" i="48"/>
  <c r="BC69" i="48"/>
  <c r="AW69" i="48"/>
  <c r="BA75" i="48"/>
  <c r="AW75" i="48"/>
  <c r="AV77" i="48"/>
  <c r="BG77" i="48"/>
  <c r="AV79" i="48"/>
  <c r="BG79" i="48"/>
  <c r="BC81" i="48"/>
  <c r="AW81" i="48"/>
  <c r="AV87" i="48"/>
  <c r="BG87" i="48"/>
  <c r="AT89" i="48"/>
  <c r="BE89" i="48"/>
  <c r="AV93" i="48"/>
  <c r="AT93" i="48"/>
  <c r="BG93" i="48"/>
  <c r="BC93" i="48"/>
  <c r="AU93" i="48"/>
  <c r="BE93" i="48"/>
  <c r="BA93" i="48"/>
  <c r="AW93" i="48"/>
  <c r="AV97" i="48"/>
  <c r="AT97" i="48"/>
  <c r="BE97" i="48"/>
  <c r="BA97" i="48"/>
  <c r="BG97" i="48"/>
  <c r="BC97" i="48"/>
  <c r="AU97" i="48"/>
  <c r="AW97" i="48"/>
  <c r="AV99" i="48"/>
  <c r="BG99" i="48"/>
  <c r="BC101" i="48"/>
  <c r="AW101" i="48"/>
  <c r="AV111" i="48"/>
  <c r="AT111" i="48"/>
  <c r="BG111" i="48"/>
  <c r="BC111" i="48"/>
  <c r="AU111" i="48"/>
  <c r="BE111" i="48"/>
  <c r="AW111" i="48"/>
  <c r="BA111" i="48"/>
  <c r="BC115" i="48"/>
  <c r="AW115" i="48"/>
  <c r="BA117" i="48"/>
  <c r="AV123" i="48"/>
  <c r="AT123" i="48"/>
  <c r="BG123" i="48"/>
  <c r="BC123" i="48"/>
  <c r="AU123" i="48"/>
  <c r="BE123" i="48"/>
  <c r="AW123" i="48"/>
  <c r="BA123" i="48"/>
  <c r="AV125" i="48"/>
  <c r="BC125" i="48"/>
  <c r="AV135" i="48"/>
  <c r="AT135" i="48"/>
  <c r="BG135" i="48"/>
  <c r="BC135" i="48"/>
  <c r="AU135" i="48"/>
  <c r="BE135" i="48"/>
  <c r="AW135" i="48"/>
  <c r="BA135" i="48"/>
  <c r="AT137" i="48"/>
  <c r="AU137" i="48"/>
  <c r="BC143" i="48"/>
  <c r="BA143" i="48"/>
  <c r="AV145" i="48"/>
  <c r="AT145" i="48"/>
  <c r="BE145" i="48"/>
  <c r="BA145" i="48"/>
  <c r="BC145" i="48"/>
  <c r="AU145" i="48"/>
  <c r="BG145" i="48"/>
  <c r="CE7" i="48"/>
  <c r="CE11" i="48"/>
  <c r="CE13" i="48"/>
  <c r="CE17" i="48"/>
  <c r="CE18" i="48"/>
  <c r="CE19" i="48"/>
  <c r="CE21" i="48"/>
  <c r="BA22" i="48"/>
  <c r="BE22" i="48"/>
  <c r="BA26" i="48"/>
  <c r="BE26" i="48"/>
  <c r="AZ27" i="48"/>
  <c r="BD27" i="48"/>
  <c r="AN28" i="48"/>
  <c r="AL28" i="48"/>
  <c r="AJ28" i="48"/>
  <c r="AH28" i="48"/>
  <c r="AF28" i="48"/>
  <c r="AD28" i="48"/>
  <c r="AM29" i="48"/>
  <c r="AE29" i="48"/>
  <c r="AJ32" i="48"/>
  <c r="BC34" i="48"/>
  <c r="AZ35" i="48"/>
  <c r="BD35" i="48"/>
  <c r="AN37" i="48"/>
  <c r="BD38" i="48"/>
  <c r="BC38" i="48"/>
  <c r="BG38" i="48"/>
  <c r="AN41" i="48"/>
  <c r="BE42" i="48"/>
  <c r="BD46" i="48"/>
  <c r="BA46" i="48"/>
  <c r="BE46" i="48"/>
  <c r="BB47" i="48"/>
  <c r="BF47" i="48"/>
  <c r="BE50" i="48"/>
  <c r="BB51" i="48"/>
  <c r="BF51" i="48"/>
  <c r="BC54" i="48"/>
  <c r="BG54" i="48"/>
  <c r="BC56" i="48"/>
  <c r="BG56" i="48"/>
  <c r="AW58" i="48"/>
  <c r="AU58" i="48"/>
  <c r="BC58" i="48"/>
  <c r="BG58" i="48"/>
  <c r="BB63" i="48"/>
  <c r="BD63" i="48"/>
  <c r="BB67" i="48"/>
  <c r="BF67" i="48"/>
  <c r="AD68" i="48"/>
  <c r="AW70" i="48"/>
  <c r="AU70" i="48"/>
  <c r="BA70" i="48"/>
  <c r="BC70" i="48"/>
  <c r="BE70" i="48"/>
  <c r="BG70" i="48"/>
  <c r="BB71" i="48"/>
  <c r="BF71" i="48"/>
  <c r="AH72" i="48"/>
  <c r="AO73" i="48"/>
  <c r="AM73" i="48"/>
  <c r="AK73" i="48"/>
  <c r="AI73" i="48"/>
  <c r="AG73" i="48"/>
  <c r="AE73" i="48"/>
  <c r="AC73" i="48"/>
  <c r="AU74" i="48"/>
  <c r="BC74" i="48"/>
  <c r="BG74" i="48"/>
  <c r="BD75" i="48"/>
  <c r="BD77" i="48"/>
  <c r="AW78" i="48"/>
  <c r="BA78" i="48"/>
  <c r="BE78" i="48"/>
  <c r="BF79" i="48"/>
  <c r="AN80" i="48"/>
  <c r="AL80" i="48"/>
  <c r="AJ80" i="48"/>
  <c r="AH80" i="48"/>
  <c r="AF80" i="48"/>
  <c r="AD80" i="48"/>
  <c r="AM81" i="48"/>
  <c r="AI81" i="48"/>
  <c r="AE81" i="48"/>
  <c r="BA82" i="48"/>
  <c r="AZ83" i="48"/>
  <c r="BC86" i="48"/>
  <c r="BF87" i="48"/>
  <c r="AN88" i="48"/>
  <c r="AL88" i="48"/>
  <c r="AJ88" i="48"/>
  <c r="AH88" i="48"/>
  <c r="AF88" i="48"/>
  <c r="AD88" i="48"/>
  <c r="AW90" i="48"/>
  <c r="AU90" i="48"/>
  <c r="BA90" i="48"/>
  <c r="BC90" i="48"/>
  <c r="BE90" i="48"/>
  <c r="BG90" i="48"/>
  <c r="BB91" i="48"/>
  <c r="BF91" i="48"/>
  <c r="AG93" i="48"/>
  <c r="AM95" i="48"/>
  <c r="AE95" i="48"/>
  <c r="AZ97" i="48"/>
  <c r="BB97" i="48"/>
  <c r="BD97" i="48"/>
  <c r="BF97" i="48"/>
  <c r="AU98" i="48"/>
  <c r="BC98" i="48"/>
  <c r="BG98" i="48"/>
  <c r="BD99" i="48"/>
  <c r="AN100" i="48"/>
  <c r="AL100" i="48"/>
  <c r="AJ100" i="48"/>
  <c r="AH100" i="48"/>
  <c r="AF100" i="48"/>
  <c r="AD100" i="48"/>
  <c r="AO101" i="48"/>
  <c r="AK101" i="48"/>
  <c r="AG101" i="48"/>
  <c r="AC101" i="48"/>
  <c r="BC102" i="48"/>
  <c r="AL104" i="48"/>
  <c r="AH104" i="48"/>
  <c r="AD104" i="48"/>
  <c r="AO105" i="48"/>
  <c r="AM105" i="48"/>
  <c r="AK105" i="48"/>
  <c r="AI105" i="48"/>
  <c r="AG105" i="48"/>
  <c r="AE105" i="48"/>
  <c r="AC105" i="48"/>
  <c r="AM107" i="48"/>
  <c r="AI107" i="48"/>
  <c r="AL107" i="48"/>
  <c r="AE107" i="48"/>
  <c r="CD109" i="48"/>
  <c r="CF109" i="48" s="1"/>
  <c r="BB109" i="48" s="1"/>
  <c r="AN110" i="48"/>
  <c r="AF110" i="48"/>
  <c r="AE110" i="48"/>
  <c r="AO111" i="48"/>
  <c r="AK111" i="48"/>
  <c r="AG111" i="48"/>
  <c r="AC111" i="48"/>
  <c r="AH111" i="48"/>
  <c r="CD113" i="48"/>
  <c r="CF113" i="48" s="1"/>
  <c r="BD113" i="48" s="1"/>
  <c r="AH114" i="48"/>
  <c r="AM114" i="48"/>
  <c r="CD3" i="48"/>
  <c r="CF3" i="48" s="1"/>
  <c r="CG3" i="48" s="1"/>
  <c r="CD5" i="48"/>
  <c r="CF5" i="48" s="1"/>
  <c r="CD10" i="48"/>
  <c r="CF10" i="48" s="1"/>
  <c r="CG10" i="48" s="1"/>
  <c r="CD14" i="48"/>
  <c r="CF14" i="48" s="1"/>
  <c r="CD15" i="48"/>
  <c r="CF15" i="48" s="1"/>
  <c r="BA15" i="48" s="1"/>
  <c r="AT22" i="48"/>
  <c r="BB22" i="48"/>
  <c r="CE22" i="48"/>
  <c r="AK22" i="48" s="1"/>
  <c r="CE23" i="48"/>
  <c r="AF23" i="48" s="1"/>
  <c r="AE24" i="48"/>
  <c r="AI24" i="48"/>
  <c r="AM24" i="48"/>
  <c r="AW24" i="48"/>
  <c r="AU24" i="48"/>
  <c r="BA24" i="48"/>
  <c r="BC24" i="48"/>
  <c r="BK24" i="48" s="1"/>
  <c r="BE24" i="48"/>
  <c r="BG24" i="48"/>
  <c r="AH25" i="48"/>
  <c r="AT26" i="48"/>
  <c r="BB26" i="48"/>
  <c r="CE26" i="48"/>
  <c r="AG26" i="48" s="1"/>
  <c r="CE27" i="48"/>
  <c r="AE28" i="48"/>
  <c r="AI28" i="48"/>
  <c r="AM28" i="48"/>
  <c r="BE28" i="48"/>
  <c r="AL29" i="48"/>
  <c r="AZ29" i="48"/>
  <c r="BF29" i="48"/>
  <c r="CE30" i="48"/>
  <c r="AO30" i="48" s="1"/>
  <c r="CE31" i="48"/>
  <c r="AN31" i="48" s="1"/>
  <c r="AE32" i="48"/>
  <c r="AW32" i="48"/>
  <c r="AU32" i="48"/>
  <c r="BE32" i="48"/>
  <c r="BG32" i="48"/>
  <c r="AD33" i="48"/>
  <c r="AH33" i="48"/>
  <c r="BB34" i="48"/>
  <c r="CE34" i="48"/>
  <c r="AG34" i="48" s="1"/>
  <c r="CE35" i="48"/>
  <c r="AN35" i="48" s="1"/>
  <c r="AM36" i="48"/>
  <c r="AD37" i="48"/>
  <c r="AH37" i="48"/>
  <c r="BB37" i="48"/>
  <c r="AT38" i="48"/>
  <c r="BB38" i="48"/>
  <c r="CE38" i="48"/>
  <c r="AG38" i="48" s="1"/>
  <c r="CE39" i="48"/>
  <c r="AF39" i="48" s="1"/>
  <c r="AW40" i="48"/>
  <c r="AU40" i="48"/>
  <c r="BA40" i="48"/>
  <c r="BC40" i="48"/>
  <c r="BE40" i="48"/>
  <c r="BG40" i="48"/>
  <c r="AT42" i="48"/>
  <c r="CE42" i="48"/>
  <c r="AK42" i="48" s="1"/>
  <c r="CE43" i="48"/>
  <c r="AJ43" i="48" s="1"/>
  <c r="CE44" i="48"/>
  <c r="AG44" i="48" s="1"/>
  <c r="CE45" i="48"/>
  <c r="AF45" i="48" s="1"/>
  <c r="AT46" i="48"/>
  <c r="BB46" i="48"/>
  <c r="CE46" i="48"/>
  <c r="AK46" i="48" s="1"/>
  <c r="CE47" i="48"/>
  <c r="AF47" i="48" s="1"/>
  <c r="AE48" i="48"/>
  <c r="AQ48" i="48" s="1"/>
  <c r="AI48" i="48"/>
  <c r="AM48" i="48"/>
  <c r="BB49" i="48"/>
  <c r="BF49" i="48"/>
  <c r="AT50" i="48"/>
  <c r="CE50" i="48"/>
  <c r="AG50" i="48" s="1"/>
  <c r="CE51" i="48"/>
  <c r="AN51" i="48" s="1"/>
  <c r="AW52" i="48"/>
  <c r="BA52" i="48"/>
  <c r="BE52" i="48"/>
  <c r="AZ53" i="48"/>
  <c r="BB53" i="48"/>
  <c r="BD53" i="48"/>
  <c r="BF53" i="48"/>
  <c r="AT54" i="48"/>
  <c r="BB54" i="48"/>
  <c r="CE54" i="48"/>
  <c r="AG54" i="48" s="1"/>
  <c r="CE55" i="48"/>
  <c r="AN55" i="48" s="1"/>
  <c r="AT56" i="48"/>
  <c r="BB56" i="48"/>
  <c r="CE56" i="48"/>
  <c r="AO56" i="48" s="1"/>
  <c r="CE57" i="48"/>
  <c r="AN57" i="48" s="1"/>
  <c r="AT58" i="48"/>
  <c r="BB58" i="48"/>
  <c r="BF58" i="48"/>
  <c r="CE58" i="48"/>
  <c r="AC58" i="48" s="1"/>
  <c r="CE59" i="48"/>
  <c r="AJ59" i="48" s="1"/>
  <c r="AE60" i="48"/>
  <c r="AI60" i="48"/>
  <c r="AM60" i="48"/>
  <c r="AD61" i="48"/>
  <c r="AH61" i="48"/>
  <c r="AZ61" i="48"/>
  <c r="BD61" i="48"/>
  <c r="BB62" i="48"/>
  <c r="CE62" i="48"/>
  <c r="AK62" i="48" s="1"/>
  <c r="CE63" i="48"/>
  <c r="AW64" i="48"/>
  <c r="BA64" i="48"/>
  <c r="BE64" i="48"/>
  <c r="AZ65" i="48"/>
  <c r="BB65" i="48"/>
  <c r="BD65" i="48"/>
  <c r="BF65" i="48"/>
  <c r="AT66" i="48"/>
  <c r="BB66" i="48"/>
  <c r="CE66" i="48"/>
  <c r="AK66" i="48" s="1"/>
  <c r="CE67" i="48"/>
  <c r="AF67" i="48" s="1"/>
  <c r="AM68" i="48"/>
  <c r="AW68" i="48"/>
  <c r="BA68" i="48"/>
  <c r="BE68" i="48"/>
  <c r="CG68" i="48"/>
  <c r="BD69" i="48"/>
  <c r="AT70" i="48"/>
  <c r="BB70" i="48"/>
  <c r="BF70" i="48"/>
  <c r="CE70" i="48"/>
  <c r="AK70" i="48" s="1"/>
  <c r="CE71" i="48"/>
  <c r="AN71" i="48" s="1"/>
  <c r="AI72" i="48"/>
  <c r="AW72" i="48"/>
  <c r="AD73" i="48"/>
  <c r="AH73" i="48"/>
  <c r="AL73" i="48"/>
  <c r="AT74" i="48"/>
  <c r="BF74" i="48"/>
  <c r="CE74" i="48"/>
  <c r="AC74" i="48" s="1"/>
  <c r="CE75" i="48"/>
  <c r="AF75" i="48" s="1"/>
  <c r="CE76" i="48"/>
  <c r="AC76" i="48" s="1"/>
  <c r="CE77" i="48"/>
  <c r="AF77" i="48" s="1"/>
  <c r="AT78" i="48"/>
  <c r="BF78" i="48"/>
  <c r="CE78" i="48"/>
  <c r="AC78" i="48" s="1"/>
  <c r="CE79" i="48"/>
  <c r="AF79" i="48" s="1"/>
  <c r="AE80" i="48"/>
  <c r="AI80" i="48"/>
  <c r="AM80" i="48"/>
  <c r="BG80" i="48"/>
  <c r="AD81" i="48"/>
  <c r="AL81" i="48"/>
  <c r="BB81" i="48"/>
  <c r="AT82" i="48"/>
  <c r="CE82" i="48"/>
  <c r="AC82" i="48" s="1"/>
  <c r="CE83" i="48"/>
  <c r="AW84" i="48"/>
  <c r="BA84" i="48"/>
  <c r="BE84" i="48"/>
  <c r="AZ85" i="48"/>
  <c r="BD85" i="48"/>
  <c r="BB86" i="48"/>
  <c r="CE86" i="48"/>
  <c r="AC86" i="48" s="1"/>
  <c r="CE87" i="48"/>
  <c r="AF87" i="48" s="1"/>
  <c r="AE88" i="48"/>
  <c r="AI88" i="48"/>
  <c r="AM88" i="48"/>
  <c r="AW88" i="48"/>
  <c r="BA88" i="48"/>
  <c r="BE88" i="48"/>
  <c r="CG88" i="48"/>
  <c r="AH89" i="48"/>
  <c r="BB89" i="48"/>
  <c r="BF89" i="48"/>
  <c r="AT90" i="48"/>
  <c r="BB90" i="48"/>
  <c r="BF90" i="48"/>
  <c r="CE90" i="48"/>
  <c r="AK90" i="48" s="1"/>
  <c r="CE91" i="48"/>
  <c r="AZ93" i="48"/>
  <c r="BB93" i="48"/>
  <c r="BD93" i="48"/>
  <c r="BF93" i="48"/>
  <c r="AM94" i="48"/>
  <c r="AW94" i="48"/>
  <c r="AU94" i="48"/>
  <c r="BA94" i="48"/>
  <c r="BC94" i="48"/>
  <c r="BE94" i="48"/>
  <c r="BG94" i="48"/>
  <c r="AH95" i="48"/>
  <c r="BB95" i="48"/>
  <c r="BF95" i="48"/>
  <c r="AT96" i="48"/>
  <c r="CE96" i="48"/>
  <c r="CE97" i="48"/>
  <c r="BB98" i="48"/>
  <c r="CE98" i="48"/>
  <c r="AC98" i="48" s="1"/>
  <c r="CE99" i="48"/>
  <c r="AE100" i="48"/>
  <c r="AI100" i="48"/>
  <c r="AM100" i="48"/>
  <c r="AU100" i="48"/>
  <c r="AH101" i="48"/>
  <c r="BB101" i="48"/>
  <c r="BF101" i="48"/>
  <c r="BF102" i="48"/>
  <c r="CE102" i="48"/>
  <c r="AC102" i="48" s="1"/>
  <c r="CE103" i="48"/>
  <c r="AF103" i="48" s="1"/>
  <c r="AI104" i="48"/>
  <c r="AD105" i="48"/>
  <c r="AH105" i="48"/>
  <c r="AL105" i="48"/>
  <c r="AZ105" i="48"/>
  <c r="BD105" i="48"/>
  <c r="AT106" i="48"/>
  <c r="CE106" i="48"/>
  <c r="AF107" i="48"/>
  <c r="CD108" i="48"/>
  <c r="CF108" i="48" s="1"/>
  <c r="AT108" i="48" s="1"/>
  <c r="CE108" i="48"/>
  <c r="AG108" i="48" s="1"/>
  <c r="AG110" i="48"/>
  <c r="AO110" i="48"/>
  <c r="AN111" i="48"/>
  <c r="CD112" i="48"/>
  <c r="CF112" i="48" s="1"/>
  <c r="CE112" i="48"/>
  <c r="AO114" i="48"/>
  <c r="AM115" i="48"/>
  <c r="AI115" i="48"/>
  <c r="AE115" i="48"/>
  <c r="AD115" i="48"/>
  <c r="BD117" i="48"/>
  <c r="CG119" i="48"/>
  <c r="AI119" i="48"/>
  <c r="AL119" i="48"/>
  <c r="AN122" i="48"/>
  <c r="AL122" i="48"/>
  <c r="AJ122" i="48"/>
  <c r="AH122" i="48"/>
  <c r="AF122" i="48"/>
  <c r="AD122" i="48"/>
  <c r="CG122" i="48"/>
  <c r="AM122" i="48"/>
  <c r="AI122" i="48"/>
  <c r="AE122" i="48"/>
  <c r="AO123" i="48"/>
  <c r="AK123" i="48"/>
  <c r="AG123" i="48"/>
  <c r="AH123" i="48"/>
  <c r="AW125" i="48"/>
  <c r="AZ125" i="48"/>
  <c r="BD125" i="48"/>
  <c r="BF125" i="48"/>
  <c r="AN126" i="48"/>
  <c r="AL126" i="48"/>
  <c r="AJ126" i="48"/>
  <c r="AH126" i="48"/>
  <c r="AF126" i="48"/>
  <c r="AD126" i="48"/>
  <c r="AM126" i="48"/>
  <c r="AI126" i="48"/>
  <c r="AE126" i="48"/>
  <c r="AQ126" i="48" s="1"/>
  <c r="AK127" i="48"/>
  <c r="AC127" i="48"/>
  <c r="AZ129" i="48"/>
  <c r="AN130" i="48"/>
  <c r="AL130" i="48"/>
  <c r="AJ130" i="48"/>
  <c r="AH130" i="48"/>
  <c r="AF130" i="48"/>
  <c r="AD130" i="48"/>
  <c r="AM130" i="48"/>
  <c r="AI130" i="48"/>
  <c r="AE130" i="48"/>
  <c r="AM131" i="48"/>
  <c r="AE131" i="48"/>
  <c r="AL131" i="48"/>
  <c r="AD131" i="48"/>
  <c r="AZ133" i="48"/>
  <c r="BF133" i="48"/>
  <c r="AN134" i="48"/>
  <c r="AL134" i="48"/>
  <c r="AJ134" i="48"/>
  <c r="AH134" i="48"/>
  <c r="AF134" i="48"/>
  <c r="AD134" i="48"/>
  <c r="AM134" i="48"/>
  <c r="AI134" i="48"/>
  <c r="AE134" i="48"/>
  <c r="AQ134" i="48" s="1"/>
  <c r="CG135" i="48"/>
  <c r="AM135" i="48"/>
  <c r="AI135" i="48"/>
  <c r="AE135" i="48"/>
  <c r="AL135" i="48"/>
  <c r="AD135" i="48"/>
  <c r="AW137" i="48"/>
  <c r="AZ137" i="48"/>
  <c r="BB137" i="48"/>
  <c r="BF137" i="48"/>
  <c r="AN138" i="48"/>
  <c r="AF138" i="48"/>
  <c r="AE138" i="48"/>
  <c r="AO139" i="48"/>
  <c r="AM139" i="48"/>
  <c r="AK139" i="48"/>
  <c r="AI139" i="48"/>
  <c r="AG139" i="48"/>
  <c r="AE139" i="48"/>
  <c r="AC139" i="48"/>
  <c r="AL139" i="48"/>
  <c r="AH139" i="48"/>
  <c r="AD139" i="48"/>
  <c r="AZ141" i="48"/>
  <c r="BD141" i="48"/>
  <c r="AH142" i="48"/>
  <c r="AM142" i="48"/>
  <c r="CG143" i="48"/>
  <c r="AM143" i="48"/>
  <c r="AI143" i="48"/>
  <c r="AE143" i="48"/>
  <c r="AL143" i="48"/>
  <c r="AD143" i="48"/>
  <c r="AW145" i="48"/>
  <c r="AZ145" i="48"/>
  <c r="BB145" i="48"/>
  <c r="BD145" i="48"/>
  <c r="BF145" i="48"/>
  <c r="AN146" i="48"/>
  <c r="AL146" i="48"/>
  <c r="AJ146" i="48"/>
  <c r="AH146" i="48"/>
  <c r="AF146" i="48"/>
  <c r="AD146" i="48"/>
  <c r="CG146" i="48"/>
  <c r="AM146" i="48"/>
  <c r="AI146" i="48"/>
  <c r="AE146" i="48"/>
  <c r="CG147" i="48"/>
  <c r="AO147" i="48"/>
  <c r="AM147" i="48"/>
  <c r="AK147" i="48"/>
  <c r="AI147" i="48"/>
  <c r="AG147" i="48"/>
  <c r="AE147" i="48"/>
  <c r="AC147" i="48"/>
  <c r="AL147" i="48"/>
  <c r="AH147" i="48"/>
  <c r="AD147" i="48"/>
  <c r="AN149" i="48"/>
  <c r="AJ149" i="48"/>
  <c r="AF149" i="48"/>
  <c r="AD149" i="48"/>
  <c r="AI149" i="48"/>
  <c r="AE149" i="48"/>
  <c r="AO149" i="48"/>
  <c r="AT150" i="48"/>
  <c r="BC150" i="48"/>
  <c r="BE150" i="48"/>
  <c r="CD152" i="48"/>
  <c r="CF152" i="48" s="1"/>
  <c r="AU152" i="48" s="1"/>
  <c r="CG154" i="48"/>
  <c r="AO154" i="48"/>
  <c r="AM154" i="48"/>
  <c r="AI154" i="48"/>
  <c r="AG154" i="48"/>
  <c r="AE154" i="48"/>
  <c r="AL154" i="48"/>
  <c r="AH154" i="48"/>
  <c r="AD154" i="48"/>
  <c r="AF154" i="48"/>
  <c r="AN157" i="48"/>
  <c r="AL157" i="48"/>
  <c r="AF157" i="48"/>
  <c r="AD157" i="48"/>
  <c r="AM157" i="48"/>
  <c r="AE157" i="48"/>
  <c r="AG157" i="48"/>
  <c r="AT162" i="48"/>
  <c r="BC162" i="48"/>
  <c r="BE162" i="48"/>
  <c r="BA162" i="48"/>
  <c r="AV178" i="48"/>
  <c r="AT178" i="48"/>
  <c r="BG178" i="48"/>
  <c r="BC178" i="48"/>
  <c r="AU178" i="48"/>
  <c r="BE178" i="48"/>
  <c r="AW178" i="48"/>
  <c r="BA178" i="48"/>
  <c r="CD185" i="48"/>
  <c r="CF185" i="48" s="1"/>
  <c r="CE185" i="48"/>
  <c r="AK185" i="48" s="1"/>
  <c r="CD201" i="48"/>
  <c r="CF201" i="48" s="1"/>
  <c r="BC201" i="48" s="1"/>
  <c r="CE201" i="48"/>
  <c r="AE201" i="48" s="1"/>
  <c r="AT210" i="48"/>
  <c r="BG210" i="48"/>
  <c r="BC210" i="48"/>
  <c r="BA210" i="48"/>
  <c r="AW210" i="48"/>
  <c r="BA218" i="48"/>
  <c r="AV234" i="48"/>
  <c r="AT234" i="48"/>
  <c r="BG234" i="48"/>
  <c r="BC234" i="48"/>
  <c r="AU234" i="48"/>
  <c r="BA234" i="48"/>
  <c r="AW234" i="48"/>
  <c r="BC22" i="48"/>
  <c r="BG22" i="48"/>
  <c r="AZ23" i="48"/>
  <c r="AN24" i="48"/>
  <c r="AL24" i="48"/>
  <c r="AJ24" i="48"/>
  <c r="AH24" i="48"/>
  <c r="AF24" i="48"/>
  <c r="AD24" i="48"/>
  <c r="AK25" i="48"/>
  <c r="AE25" i="48"/>
  <c r="AW26" i="48"/>
  <c r="AU26" i="48"/>
  <c r="BC26" i="48"/>
  <c r="BG26" i="48"/>
  <c r="BB27" i="48"/>
  <c r="BF27" i="48"/>
  <c r="BN28" i="48"/>
  <c r="AO33" i="48"/>
  <c r="AM33" i="48"/>
  <c r="AK33" i="48"/>
  <c r="BN33" i="48" s="1"/>
  <c r="AI33" i="48"/>
  <c r="AG33" i="48"/>
  <c r="AE33" i="48"/>
  <c r="AC33" i="48"/>
  <c r="AW34" i="48"/>
  <c r="AU34" i="48"/>
  <c r="BA34" i="48"/>
  <c r="BE34" i="48"/>
  <c r="BB35" i="48"/>
  <c r="BF35" i="48"/>
  <c r="AL36" i="48"/>
  <c r="AH36" i="48"/>
  <c r="AD36" i="48"/>
  <c r="AO37" i="48"/>
  <c r="AM37" i="48"/>
  <c r="AK37" i="48"/>
  <c r="AI37" i="48"/>
  <c r="AG37" i="48"/>
  <c r="AE37" i="48"/>
  <c r="AC37" i="48"/>
  <c r="AW38" i="48"/>
  <c r="AU38" i="48"/>
  <c r="BA38" i="48"/>
  <c r="BE38" i="48"/>
  <c r="AL40" i="48"/>
  <c r="AD40" i="48"/>
  <c r="AK41" i="48"/>
  <c r="BC42" i="48"/>
  <c r="BG42" i="48"/>
  <c r="AU44" i="48"/>
  <c r="BE44" i="48"/>
  <c r="BB45" i="48"/>
  <c r="BF45" i="48"/>
  <c r="AW46" i="48"/>
  <c r="AU46" i="48"/>
  <c r="BC46" i="48"/>
  <c r="BG46" i="48"/>
  <c r="AZ47" i="48"/>
  <c r="BD47" i="48"/>
  <c r="AN48" i="48"/>
  <c r="AL48" i="48"/>
  <c r="AJ48" i="48"/>
  <c r="AH48" i="48"/>
  <c r="AF48" i="48"/>
  <c r="AD48" i="48"/>
  <c r="BA50" i="48"/>
  <c r="BG50" i="48"/>
  <c r="AZ51" i="48"/>
  <c r="BD51" i="48"/>
  <c r="AL52" i="48"/>
  <c r="AH52" i="48"/>
  <c r="AD52" i="48"/>
  <c r="AO53" i="48"/>
  <c r="AW54" i="48"/>
  <c r="AU54" i="48"/>
  <c r="BA54" i="48"/>
  <c r="BE54" i="48"/>
  <c r="BB55" i="48"/>
  <c r="BF55" i="48"/>
  <c r="AW56" i="48"/>
  <c r="AU56" i="48"/>
  <c r="BA56" i="48"/>
  <c r="BE56" i="48"/>
  <c r="BD57" i="48"/>
  <c r="BA58" i="48"/>
  <c r="BE58" i="48"/>
  <c r="BB59" i="48"/>
  <c r="BF59" i="48"/>
  <c r="AN60" i="48"/>
  <c r="AL60" i="48"/>
  <c r="AJ60" i="48"/>
  <c r="AH60" i="48"/>
  <c r="AF60" i="48"/>
  <c r="AD60" i="48"/>
  <c r="CG61" i="48"/>
  <c r="AO61" i="48"/>
  <c r="AM61" i="48"/>
  <c r="AK61" i="48"/>
  <c r="AI61" i="48"/>
  <c r="AG61" i="48"/>
  <c r="AE61" i="48"/>
  <c r="AC61" i="48"/>
  <c r="BC62" i="48"/>
  <c r="AZ63" i="48"/>
  <c r="BF63" i="48"/>
  <c r="AN64" i="48"/>
  <c r="AJ64" i="48"/>
  <c r="AF64" i="48"/>
  <c r="CG65" i="48"/>
  <c r="AO65" i="48"/>
  <c r="AM65" i="48"/>
  <c r="AK65" i="48"/>
  <c r="AI65" i="48"/>
  <c r="AG65" i="48"/>
  <c r="AE65" i="48"/>
  <c r="AC65" i="48"/>
  <c r="AW66" i="48"/>
  <c r="AU66" i="48"/>
  <c r="BA66" i="48"/>
  <c r="BC66" i="48"/>
  <c r="BE66" i="48"/>
  <c r="CD116" i="48"/>
  <c r="CF116" i="48" s="1"/>
  <c r="BG116" i="48" s="1"/>
  <c r="CE116" i="48"/>
  <c r="BC116" i="48"/>
  <c r="CD120" i="48"/>
  <c r="CF120" i="48" s="1"/>
  <c r="CE120" i="48"/>
  <c r="AO120" i="48" s="1"/>
  <c r="CD124" i="48"/>
  <c r="CF124" i="48" s="1"/>
  <c r="BG124" i="48" s="1"/>
  <c r="CE124" i="48"/>
  <c r="AO124" i="48" s="1"/>
  <c r="CD128" i="48"/>
  <c r="CF128" i="48" s="1"/>
  <c r="CE128" i="48"/>
  <c r="AO128" i="48" s="1"/>
  <c r="AT128" i="48"/>
  <c r="CD132" i="48"/>
  <c r="CF132" i="48" s="1"/>
  <c r="BG132" i="48" s="1"/>
  <c r="CE132" i="48"/>
  <c r="CD136" i="48"/>
  <c r="CF136" i="48" s="1"/>
  <c r="BG136" i="48" s="1"/>
  <c r="CE136" i="48"/>
  <c r="AO136" i="48" s="1"/>
  <c r="CD140" i="48"/>
  <c r="CF140" i="48" s="1"/>
  <c r="CE140" i="48"/>
  <c r="AO140" i="48" s="1"/>
  <c r="BC140" i="48"/>
  <c r="CD144" i="48"/>
  <c r="CF144" i="48" s="1"/>
  <c r="BG144" i="48" s="1"/>
  <c r="CE144" i="48"/>
  <c r="CD148" i="48"/>
  <c r="CF148" i="48" s="1"/>
  <c r="AU148" i="48" s="1"/>
  <c r="AO150" i="48"/>
  <c r="AM150" i="48"/>
  <c r="AK150" i="48"/>
  <c r="AI150" i="48"/>
  <c r="AG150" i="48"/>
  <c r="AE150" i="48"/>
  <c r="AC150" i="48"/>
  <c r="AL150" i="48"/>
  <c r="AH150" i="48"/>
  <c r="AD150" i="48"/>
  <c r="AN150" i="48"/>
  <c r="AF150" i="48"/>
  <c r="AN153" i="48"/>
  <c r="AL153" i="48"/>
  <c r="AJ153" i="48"/>
  <c r="AH153" i="48"/>
  <c r="AF153" i="48"/>
  <c r="AD153" i="48"/>
  <c r="CG153" i="48"/>
  <c r="AM153" i="48"/>
  <c r="AI153" i="48"/>
  <c r="AE153" i="48"/>
  <c r="AQ153" i="48" s="1"/>
  <c r="AO153" i="48"/>
  <c r="AG153" i="48"/>
  <c r="AT154" i="48"/>
  <c r="BC154" i="48"/>
  <c r="BE154" i="48"/>
  <c r="CD156" i="48"/>
  <c r="CF156" i="48" s="1"/>
  <c r="AU156" i="48" s="1"/>
  <c r="CG158" i="48"/>
  <c r="AO158" i="48"/>
  <c r="AM158" i="48"/>
  <c r="AK158" i="48"/>
  <c r="AI158" i="48"/>
  <c r="AG158" i="48"/>
  <c r="AE158" i="48"/>
  <c r="AC158" i="48"/>
  <c r="AL158" i="48"/>
  <c r="AH158" i="48"/>
  <c r="AD158" i="48"/>
  <c r="AN158" i="48"/>
  <c r="AF158" i="48"/>
  <c r="AN161" i="48"/>
  <c r="AL161" i="48"/>
  <c r="AJ161" i="48"/>
  <c r="AH161" i="48"/>
  <c r="AF161" i="48"/>
  <c r="AD161" i="48"/>
  <c r="CG161" i="48"/>
  <c r="AM161" i="48"/>
  <c r="AI161" i="48"/>
  <c r="AE161" i="48"/>
  <c r="AO161" i="48"/>
  <c r="AG161" i="48"/>
  <c r="AC161" i="48"/>
  <c r="CD164" i="48"/>
  <c r="CF164" i="48" s="1"/>
  <c r="AW164" i="48" s="1"/>
  <c r="CG166" i="48"/>
  <c r="AO166" i="48"/>
  <c r="AM166" i="48"/>
  <c r="AK166" i="48"/>
  <c r="AI166" i="48"/>
  <c r="AG166" i="48"/>
  <c r="AE166" i="48"/>
  <c r="AC166" i="48"/>
  <c r="AL166" i="48"/>
  <c r="AH166" i="48"/>
  <c r="AD166" i="48"/>
  <c r="AN166" i="48"/>
  <c r="AF166" i="48"/>
  <c r="AN169" i="48"/>
  <c r="AL169" i="48"/>
  <c r="AJ169" i="48"/>
  <c r="AH169" i="48"/>
  <c r="AF169" i="48"/>
  <c r="AD169" i="48"/>
  <c r="CG169" i="48"/>
  <c r="AM169" i="48"/>
  <c r="AI169" i="48"/>
  <c r="AE169" i="48"/>
  <c r="AO169" i="48"/>
  <c r="AG169" i="48"/>
  <c r="AC169" i="48"/>
  <c r="CD172" i="48"/>
  <c r="CF172" i="48" s="1"/>
  <c r="AW172" i="48" s="1"/>
  <c r="AO174" i="48"/>
  <c r="AM174" i="48"/>
  <c r="AK174" i="48"/>
  <c r="AI174" i="48"/>
  <c r="AG174" i="48"/>
  <c r="AE174" i="48"/>
  <c r="AC174" i="48"/>
  <c r="AL174" i="48"/>
  <c r="AH174" i="48"/>
  <c r="AD174" i="48"/>
  <c r="AN174" i="48"/>
  <c r="AF174" i="48"/>
  <c r="AN177" i="48"/>
  <c r="AJ177" i="48"/>
  <c r="AF177" i="48"/>
  <c r="AI177" i="48"/>
  <c r="AO177" i="48"/>
  <c r="AC177" i="48"/>
  <c r="CD180" i="48"/>
  <c r="CF180" i="48" s="1"/>
  <c r="AW180" i="48" s="1"/>
  <c r="CG182" i="48"/>
  <c r="AO182" i="48"/>
  <c r="AM182" i="48"/>
  <c r="AI182" i="48"/>
  <c r="AG182" i="48"/>
  <c r="AE182" i="48"/>
  <c r="AL182" i="48"/>
  <c r="AH182" i="48"/>
  <c r="AD182" i="48"/>
  <c r="AF182" i="48"/>
  <c r="AV186" i="48"/>
  <c r="AT186" i="48"/>
  <c r="BE186" i="48"/>
  <c r="BA186" i="48"/>
  <c r="BG186" i="48"/>
  <c r="BC186" i="48"/>
  <c r="AU186" i="48"/>
  <c r="AV188" i="48"/>
  <c r="AU188" i="48"/>
  <c r="BE188" i="48"/>
  <c r="AV192" i="48"/>
  <c r="AT192" i="48"/>
  <c r="BG192" i="48"/>
  <c r="BC192" i="48"/>
  <c r="AU192" i="48"/>
  <c r="BA192" i="48"/>
  <c r="AW192" i="48"/>
  <c r="AT202" i="48"/>
  <c r="BA202" i="48"/>
  <c r="BC202" i="48"/>
  <c r="BG204" i="48"/>
  <c r="BE204" i="48"/>
  <c r="AV208" i="48"/>
  <c r="AT208" i="48"/>
  <c r="BG208" i="48"/>
  <c r="BC208" i="48"/>
  <c r="AU208" i="48"/>
  <c r="BA208" i="48"/>
  <c r="AW208" i="48"/>
  <c r="AV228" i="48"/>
  <c r="AT228" i="48"/>
  <c r="BE228" i="48"/>
  <c r="BA228" i="48"/>
  <c r="BG228" i="48"/>
  <c r="BC228" i="48"/>
  <c r="AU228" i="48"/>
  <c r="AV230" i="48"/>
  <c r="AT230" i="48"/>
  <c r="BG230" i="48"/>
  <c r="BC230" i="48"/>
  <c r="AU230" i="48"/>
  <c r="BA230" i="48"/>
  <c r="BE230" i="48"/>
  <c r="CD237" i="48"/>
  <c r="CF237" i="48" s="1"/>
  <c r="BE237" i="48" s="1"/>
  <c r="CE237" i="48"/>
  <c r="BA237" i="48"/>
  <c r="AV240" i="48"/>
  <c r="AU240" i="48"/>
  <c r="AV244" i="48"/>
  <c r="AT244" i="48"/>
  <c r="BG244" i="48"/>
  <c r="BC244" i="48"/>
  <c r="AU244" i="48"/>
  <c r="BA244" i="48"/>
  <c r="BE244" i="48"/>
  <c r="AW244" i="48"/>
  <c r="CE109" i="48"/>
  <c r="AN109" i="48" s="1"/>
  <c r="AW110" i="48"/>
  <c r="AU110" i="48"/>
  <c r="BC110" i="48"/>
  <c r="BE110" i="48"/>
  <c r="BG110" i="48"/>
  <c r="AZ111" i="48"/>
  <c r="BB111" i="48"/>
  <c r="BD111" i="48"/>
  <c r="BF111" i="48"/>
  <c r="CE113" i="48"/>
  <c r="AJ113" i="48" s="1"/>
  <c r="BA114" i="48"/>
  <c r="AZ115" i="48"/>
  <c r="BB115" i="48"/>
  <c r="BD115" i="48"/>
  <c r="BF115" i="48"/>
  <c r="CE117" i="48"/>
  <c r="AJ117" i="48" s="1"/>
  <c r="AW118" i="48"/>
  <c r="AU118" i="48"/>
  <c r="BA118" i="48"/>
  <c r="BC118" i="48"/>
  <c r="BE118" i="48"/>
  <c r="BG118" i="48"/>
  <c r="AZ119" i="48"/>
  <c r="BD119" i="48"/>
  <c r="CE121" i="48"/>
  <c r="AF121" i="48" s="1"/>
  <c r="AU122" i="48"/>
  <c r="BC122" i="48"/>
  <c r="BG122" i="48"/>
  <c r="AZ123" i="48"/>
  <c r="BB123" i="48"/>
  <c r="BD123" i="48"/>
  <c r="BF123" i="48"/>
  <c r="CE125" i="48"/>
  <c r="AJ125" i="48" s="1"/>
  <c r="AZ127" i="48"/>
  <c r="BD127" i="48"/>
  <c r="CE129" i="48"/>
  <c r="AF129" i="48" s="1"/>
  <c r="AU130" i="48"/>
  <c r="BC130" i="48"/>
  <c r="BG130" i="48"/>
  <c r="CE133" i="48"/>
  <c r="AJ133" i="48" s="1"/>
  <c r="AW134" i="48"/>
  <c r="AU134" i="48"/>
  <c r="BA134" i="48"/>
  <c r="BC134" i="48"/>
  <c r="BE134" i="48"/>
  <c r="BG134" i="48"/>
  <c r="AZ135" i="48"/>
  <c r="BB135" i="48"/>
  <c r="BD135" i="48"/>
  <c r="BF135" i="48"/>
  <c r="CE137" i="48"/>
  <c r="AF137" i="48" s="1"/>
  <c r="AU138" i="48"/>
  <c r="BG138" i="48"/>
  <c r="AZ139" i="48"/>
  <c r="BB139" i="48"/>
  <c r="BD139" i="48"/>
  <c r="BF139" i="48"/>
  <c r="CE141" i="48"/>
  <c r="AJ141" i="48" s="1"/>
  <c r="AW142" i="48"/>
  <c r="AU142" i="48"/>
  <c r="BA142" i="48"/>
  <c r="BC142" i="48"/>
  <c r="BE142" i="48"/>
  <c r="BG142" i="48"/>
  <c r="AZ143" i="48"/>
  <c r="BB143" i="48"/>
  <c r="BD143" i="48"/>
  <c r="BF143" i="48"/>
  <c r="CE145" i="48"/>
  <c r="AF145" i="48" s="1"/>
  <c r="AW146" i="48"/>
  <c r="AU146" i="48"/>
  <c r="BA146" i="48"/>
  <c r="BC146" i="48"/>
  <c r="BE146" i="48"/>
  <c r="BG146" i="48"/>
  <c r="AZ147" i="48"/>
  <c r="BB147" i="48"/>
  <c r="BD147" i="48"/>
  <c r="BF147" i="48"/>
  <c r="CD151" i="48"/>
  <c r="CF151" i="48" s="1"/>
  <c r="BC151" i="48" s="1"/>
  <c r="CE151" i="48"/>
  <c r="AC151" i="48" s="1"/>
  <c r="CD155" i="48"/>
  <c r="CF155" i="48" s="1"/>
  <c r="AT155" i="48" s="1"/>
  <c r="CE155" i="48"/>
  <c r="AO155" i="48" s="1"/>
  <c r="AV158" i="48"/>
  <c r="BG158" i="48"/>
  <c r="AU158" i="48"/>
  <c r="CD160" i="48"/>
  <c r="CF160" i="48" s="1"/>
  <c r="AU160" i="48" s="1"/>
  <c r="CG162" i="48"/>
  <c r="AO162" i="48"/>
  <c r="AM162" i="48"/>
  <c r="AK162" i="48"/>
  <c r="AI162" i="48"/>
  <c r="AG162" i="48"/>
  <c r="AE162" i="48"/>
  <c r="AC162" i="48"/>
  <c r="AL162" i="48"/>
  <c r="AH162" i="48"/>
  <c r="AD162" i="48"/>
  <c r="AN162" i="48"/>
  <c r="AF162" i="48"/>
  <c r="AN165" i="48"/>
  <c r="AL165" i="48"/>
  <c r="AJ165" i="48"/>
  <c r="AH165" i="48"/>
  <c r="AF165" i="48"/>
  <c r="AD165" i="48"/>
  <c r="AM165" i="48"/>
  <c r="AI165" i="48"/>
  <c r="AE165" i="48"/>
  <c r="AQ165" i="48" s="1"/>
  <c r="AO165" i="48"/>
  <c r="AG165" i="48"/>
  <c r="AV166" i="48"/>
  <c r="AT166" i="48"/>
  <c r="BG166" i="48"/>
  <c r="BC166" i="48"/>
  <c r="AU166" i="48"/>
  <c r="BE166" i="48"/>
  <c r="AW166" i="48"/>
  <c r="CD168" i="48"/>
  <c r="CF168" i="48" s="1"/>
  <c r="AU168" i="48" s="1"/>
  <c r="AO170" i="48"/>
  <c r="AM170" i="48"/>
  <c r="AK170" i="48"/>
  <c r="AI170" i="48"/>
  <c r="AG170" i="48"/>
  <c r="AE170" i="48"/>
  <c r="AC170" i="48"/>
  <c r="AL170" i="48"/>
  <c r="AH170" i="48"/>
  <c r="AD170" i="48"/>
  <c r="AN170" i="48"/>
  <c r="AF170" i="48"/>
  <c r="AN173" i="48"/>
  <c r="AL173" i="48"/>
  <c r="AJ173" i="48"/>
  <c r="AH173" i="48"/>
  <c r="AF173" i="48"/>
  <c r="AD173" i="48"/>
  <c r="CG173" i="48"/>
  <c r="AM173" i="48"/>
  <c r="AI173" i="48"/>
  <c r="AE173" i="48"/>
  <c r="AO173" i="48"/>
  <c r="AG173" i="48"/>
  <c r="AV174" i="48"/>
  <c r="AT174" i="48"/>
  <c r="BG174" i="48"/>
  <c r="BC174" i="48"/>
  <c r="AU174" i="48"/>
  <c r="BE174" i="48"/>
  <c r="AW174" i="48"/>
  <c r="CD176" i="48"/>
  <c r="CF176" i="48" s="1"/>
  <c r="AU176" i="48" s="1"/>
  <c r="CG178" i="48"/>
  <c r="AO178" i="48"/>
  <c r="AM178" i="48"/>
  <c r="AK178" i="48"/>
  <c r="AI178" i="48"/>
  <c r="AG178" i="48"/>
  <c r="AE178" i="48"/>
  <c r="AC178" i="48"/>
  <c r="AL178" i="48"/>
  <c r="AH178" i="48"/>
  <c r="AD178" i="48"/>
  <c r="AN178" i="48"/>
  <c r="AF178" i="48"/>
  <c r="AL181" i="48"/>
  <c r="AH181" i="48"/>
  <c r="AD181" i="48"/>
  <c r="AM181" i="48"/>
  <c r="AE181" i="48"/>
  <c r="AG181" i="48"/>
  <c r="AV184" i="48"/>
  <c r="AT184" i="48"/>
  <c r="BG184" i="48"/>
  <c r="BC184" i="48"/>
  <c r="AU184" i="48"/>
  <c r="BA184" i="48"/>
  <c r="AW184" i="48"/>
  <c r="CD193" i="48"/>
  <c r="CF193" i="48" s="1"/>
  <c r="CE193" i="48"/>
  <c r="AC193" i="48" s="1"/>
  <c r="AM193" i="48"/>
  <c r="AV194" i="48"/>
  <c r="AT194" i="48"/>
  <c r="BE194" i="48"/>
  <c r="BA194" i="48"/>
  <c r="BG194" i="48"/>
  <c r="BC194" i="48"/>
  <c r="AV200" i="48"/>
  <c r="AT200" i="48"/>
  <c r="BG200" i="48"/>
  <c r="BC200" i="48"/>
  <c r="AU200" i="48"/>
  <c r="BA200" i="48"/>
  <c r="AW200" i="48"/>
  <c r="CD211" i="48"/>
  <c r="CF211" i="48" s="1"/>
  <c r="BC211" i="48" s="1"/>
  <c r="CE211" i="48"/>
  <c r="AE211" i="48" s="1"/>
  <c r="AV214" i="48"/>
  <c r="AT214" i="48"/>
  <c r="BG214" i="48"/>
  <c r="BC214" i="48"/>
  <c r="AU214" i="48"/>
  <c r="BA214" i="48"/>
  <c r="AW214" i="48"/>
  <c r="CD227" i="48"/>
  <c r="CF227" i="48" s="1"/>
  <c r="BA227" i="48" s="1"/>
  <c r="CE227" i="48"/>
  <c r="AE227" i="48" s="1"/>
  <c r="AV250" i="48"/>
  <c r="AT250" i="48"/>
  <c r="BE250" i="48"/>
  <c r="BA250" i="48"/>
  <c r="BG250" i="48"/>
  <c r="BC250" i="48"/>
  <c r="AU250" i="48"/>
  <c r="AV252" i="48"/>
  <c r="AT252" i="48"/>
  <c r="BG252" i="48"/>
  <c r="BC252" i="48"/>
  <c r="AU252" i="48"/>
  <c r="BA252" i="48"/>
  <c r="BE252" i="48"/>
  <c r="AT261" i="48"/>
  <c r="BC261" i="48"/>
  <c r="BA261" i="48"/>
  <c r="AV321" i="48"/>
  <c r="AT321" i="48"/>
  <c r="BG321" i="48"/>
  <c r="BC321" i="48"/>
  <c r="AU321" i="48"/>
  <c r="BA321" i="48"/>
  <c r="BE321" i="48"/>
  <c r="AW321" i="48"/>
  <c r="AU256" i="48"/>
  <c r="AV267" i="48"/>
  <c r="AT267" i="48"/>
  <c r="BG267" i="48"/>
  <c r="BC267" i="48"/>
  <c r="AU267" i="48"/>
  <c r="BA267" i="48"/>
  <c r="BE267" i="48"/>
  <c r="AW267" i="48"/>
  <c r="CD272" i="48"/>
  <c r="CF272" i="48" s="1"/>
  <c r="CE272" i="48"/>
  <c r="AE272" i="48" s="1"/>
  <c r="CD288" i="48"/>
  <c r="CF288" i="48" s="1"/>
  <c r="AT288" i="48" s="1"/>
  <c r="CE288" i="48"/>
  <c r="AM288" i="48" s="1"/>
  <c r="AV299" i="48"/>
  <c r="AT299" i="48"/>
  <c r="BG299" i="48"/>
  <c r="BC299" i="48"/>
  <c r="AU299" i="48"/>
  <c r="BA299" i="48"/>
  <c r="BE299" i="48"/>
  <c r="AW299" i="48"/>
  <c r="CD304" i="48"/>
  <c r="CF304" i="48" s="1"/>
  <c r="BE304" i="48" s="1"/>
  <c r="CE304" i="48"/>
  <c r="AE304" i="48" s="1"/>
  <c r="AV317" i="48"/>
  <c r="BG317" i="48"/>
  <c r="AU317" i="48"/>
  <c r="BE317" i="48"/>
  <c r="AM325" i="48"/>
  <c r="AD325" i="48"/>
  <c r="CD339" i="48"/>
  <c r="CF339" i="48" s="1"/>
  <c r="AO341" i="48"/>
  <c r="AG341" i="48"/>
  <c r="AH341" i="48"/>
  <c r="AV369" i="48"/>
  <c r="AT369" i="48"/>
  <c r="BG369" i="48"/>
  <c r="BC369" i="48"/>
  <c r="AU369" i="48"/>
  <c r="BA369" i="48"/>
  <c r="BE369" i="48"/>
  <c r="AW369" i="48"/>
  <c r="AV381" i="48"/>
  <c r="AT381" i="48"/>
  <c r="BG381" i="48"/>
  <c r="BC381" i="48"/>
  <c r="AU381" i="48"/>
  <c r="BA381" i="48"/>
  <c r="AW381" i="48"/>
  <c r="BE381" i="48"/>
  <c r="AV385" i="48"/>
  <c r="AT385" i="48"/>
  <c r="BG385" i="48"/>
  <c r="BC385" i="48"/>
  <c r="AU385" i="48"/>
  <c r="BA385" i="48"/>
  <c r="BE385" i="48"/>
  <c r="AW385" i="48"/>
  <c r="CE148" i="48"/>
  <c r="AH148" i="48" s="1"/>
  <c r="AW149" i="48"/>
  <c r="AU149" i="48"/>
  <c r="BA149" i="48"/>
  <c r="BC149" i="48"/>
  <c r="BE149" i="48"/>
  <c r="BG149" i="48"/>
  <c r="BB150" i="48"/>
  <c r="BF150" i="48"/>
  <c r="CE152" i="48"/>
  <c r="AD152" i="48" s="1"/>
  <c r="AW153" i="48"/>
  <c r="AU153" i="48"/>
  <c r="BA153" i="48"/>
  <c r="BC153" i="48"/>
  <c r="BE153" i="48"/>
  <c r="BG153" i="48"/>
  <c r="AZ154" i="48"/>
  <c r="BB154" i="48"/>
  <c r="BD154" i="48"/>
  <c r="BF154" i="48"/>
  <c r="CE156" i="48"/>
  <c r="AF156" i="48" s="1"/>
  <c r="AW157" i="48"/>
  <c r="AU157" i="48"/>
  <c r="BA157" i="48"/>
  <c r="BC157" i="48"/>
  <c r="BE157" i="48"/>
  <c r="BG157" i="48"/>
  <c r="BB158" i="48"/>
  <c r="BF158" i="48"/>
  <c r="CD159" i="48"/>
  <c r="CF159" i="48" s="1"/>
  <c r="BC159" i="48" s="1"/>
  <c r="CE159" i="48"/>
  <c r="AC159" i="48" s="1"/>
  <c r="CD163" i="48"/>
  <c r="CF163" i="48" s="1"/>
  <c r="AT163" i="48" s="1"/>
  <c r="CE163" i="48"/>
  <c r="AK163" i="48" s="1"/>
  <c r="CD167" i="48"/>
  <c r="CF167" i="48" s="1"/>
  <c r="BA167" i="48" s="1"/>
  <c r="CE167" i="48"/>
  <c r="AC167" i="48" s="1"/>
  <c r="CD171" i="48"/>
  <c r="CF171" i="48" s="1"/>
  <c r="AT171" i="48" s="1"/>
  <c r="CE171" i="48"/>
  <c r="AC171" i="48" s="1"/>
  <c r="CD175" i="48"/>
  <c r="CF175" i="48" s="1"/>
  <c r="BC175" i="48" s="1"/>
  <c r="CE175" i="48"/>
  <c r="AC175" i="48" s="1"/>
  <c r="CD179" i="48"/>
  <c r="CF179" i="48" s="1"/>
  <c r="AT179" i="48" s="1"/>
  <c r="CE179" i="48"/>
  <c r="AK179" i="48" s="1"/>
  <c r="AV182" i="48"/>
  <c r="AT182" i="48"/>
  <c r="BG182" i="48"/>
  <c r="BC182" i="48"/>
  <c r="AU182" i="48"/>
  <c r="CD189" i="48"/>
  <c r="CF189" i="48" s="1"/>
  <c r="AV189" i="48" s="1"/>
  <c r="CE189" i="48"/>
  <c r="AK189" i="48" s="1"/>
  <c r="AV190" i="48"/>
  <c r="AT190" i="48"/>
  <c r="BE190" i="48"/>
  <c r="BA190" i="48"/>
  <c r="BG190" i="48"/>
  <c r="CD197" i="48"/>
  <c r="CF197" i="48" s="1"/>
  <c r="BC197" i="48" s="1"/>
  <c r="CE197" i="48"/>
  <c r="AG197" i="48" s="1"/>
  <c r="AV198" i="48"/>
  <c r="AT198" i="48"/>
  <c r="BE198" i="48"/>
  <c r="BA198" i="48"/>
  <c r="BG198" i="48"/>
  <c r="CD205" i="48"/>
  <c r="CF205" i="48" s="1"/>
  <c r="AV205" i="48" s="1"/>
  <c r="CE205" i="48"/>
  <c r="AG205" i="48" s="1"/>
  <c r="AV206" i="48"/>
  <c r="AT206" i="48"/>
  <c r="BE206" i="48"/>
  <c r="BA206" i="48"/>
  <c r="BG206" i="48"/>
  <c r="AV212" i="48"/>
  <c r="AT212" i="48"/>
  <c r="BE212" i="48"/>
  <c r="BA212" i="48"/>
  <c r="BG212" i="48"/>
  <c r="CD219" i="48"/>
  <c r="CF219" i="48" s="1"/>
  <c r="BE219" i="48" s="1"/>
  <c r="CE219" i="48"/>
  <c r="AV220" i="48"/>
  <c r="AT220" i="48"/>
  <c r="BE220" i="48"/>
  <c r="BA220" i="48"/>
  <c r="BG220" i="48"/>
  <c r="BC220" i="48"/>
  <c r="AV226" i="48"/>
  <c r="CD235" i="48"/>
  <c r="CF235" i="48" s="1"/>
  <c r="BA235" i="48" s="1"/>
  <c r="CE235" i="48"/>
  <c r="AC235" i="48" s="1"/>
  <c r="CD249" i="48"/>
  <c r="CF249" i="48" s="1"/>
  <c r="AT249" i="48" s="1"/>
  <c r="CE249" i="48"/>
  <c r="AT273" i="48"/>
  <c r="BA273" i="48"/>
  <c r="BC273" i="48"/>
  <c r="AV275" i="48"/>
  <c r="BG275" i="48"/>
  <c r="AU275" i="48"/>
  <c r="BE275" i="48"/>
  <c r="AV279" i="48"/>
  <c r="AT279" i="48"/>
  <c r="BG279" i="48"/>
  <c r="BC279" i="48"/>
  <c r="AU279" i="48"/>
  <c r="BA279" i="48"/>
  <c r="AW279" i="48"/>
  <c r="AV289" i="48"/>
  <c r="BE289" i="48"/>
  <c r="BG289" i="48"/>
  <c r="AU289" i="48"/>
  <c r="AT291" i="48"/>
  <c r="BC291" i="48"/>
  <c r="BA291" i="48"/>
  <c r="AV295" i="48"/>
  <c r="AT295" i="48"/>
  <c r="BG295" i="48"/>
  <c r="BC295" i="48"/>
  <c r="AU295" i="48"/>
  <c r="BA295" i="48"/>
  <c r="AW295" i="48"/>
  <c r="AT305" i="48"/>
  <c r="BA305" i="48"/>
  <c r="BC305" i="48"/>
  <c r="AV307" i="48"/>
  <c r="BG307" i="48"/>
  <c r="AU307" i="48"/>
  <c r="BE307" i="48"/>
  <c r="AV311" i="48"/>
  <c r="AT311" i="48"/>
  <c r="BG311" i="48"/>
  <c r="BC311" i="48"/>
  <c r="AU311" i="48"/>
  <c r="BA311" i="48"/>
  <c r="AW311" i="48"/>
  <c r="CD331" i="48"/>
  <c r="CF331" i="48" s="1"/>
  <c r="AO333" i="48"/>
  <c r="AK333" i="48"/>
  <c r="AG333" i="48"/>
  <c r="AC333" i="48"/>
  <c r="AH333" i="48"/>
  <c r="AN333" i="48"/>
  <c r="CE160" i="48"/>
  <c r="AJ160" i="48" s="1"/>
  <c r="AW161" i="48"/>
  <c r="AU161" i="48"/>
  <c r="BA161" i="48"/>
  <c r="BC161" i="48"/>
  <c r="BE161" i="48"/>
  <c r="BG161" i="48"/>
  <c r="BB162" i="48"/>
  <c r="BF162" i="48"/>
  <c r="CE164" i="48"/>
  <c r="AJ164" i="48" s="1"/>
  <c r="AW165" i="48"/>
  <c r="BA165" i="48"/>
  <c r="BE165" i="48"/>
  <c r="AZ166" i="48"/>
  <c r="BB166" i="48"/>
  <c r="BD166" i="48"/>
  <c r="BF166" i="48"/>
  <c r="CE168" i="48"/>
  <c r="AD168" i="48" s="1"/>
  <c r="AW169" i="48"/>
  <c r="AU169" i="48"/>
  <c r="BA169" i="48"/>
  <c r="BC169" i="48"/>
  <c r="BE169" i="48"/>
  <c r="BG169" i="48"/>
  <c r="CE172" i="48"/>
  <c r="AJ172" i="48" s="1"/>
  <c r="AW173" i="48"/>
  <c r="AU173" i="48"/>
  <c r="BA173" i="48"/>
  <c r="BC173" i="48"/>
  <c r="BE173" i="48"/>
  <c r="BG173" i="48"/>
  <c r="AZ174" i="48"/>
  <c r="BB174" i="48"/>
  <c r="BD174" i="48"/>
  <c r="BF174" i="48"/>
  <c r="CE176" i="48"/>
  <c r="AJ176" i="48" s="1"/>
  <c r="AW177" i="48"/>
  <c r="AU177" i="48"/>
  <c r="BA177" i="48"/>
  <c r="BC177" i="48"/>
  <c r="BE177" i="48"/>
  <c r="BG177" i="48"/>
  <c r="AZ178" i="48"/>
  <c r="BB178" i="48"/>
  <c r="BD178" i="48"/>
  <c r="BF178" i="48"/>
  <c r="CE180" i="48"/>
  <c r="AJ180" i="48" s="1"/>
  <c r="AW181" i="48"/>
  <c r="AU181" i="48"/>
  <c r="BA181" i="48"/>
  <c r="BC181" i="48"/>
  <c r="BE181" i="48"/>
  <c r="BG181" i="48"/>
  <c r="AZ182" i="48"/>
  <c r="BB182" i="48"/>
  <c r="BD182" i="48"/>
  <c r="BF182" i="48"/>
  <c r="AN183" i="48"/>
  <c r="AL183" i="48"/>
  <c r="AJ183" i="48"/>
  <c r="AH183" i="48"/>
  <c r="AF183" i="48"/>
  <c r="AD183" i="48"/>
  <c r="CG183" i="48"/>
  <c r="AM183" i="48"/>
  <c r="AI183" i="48"/>
  <c r="AE183" i="48"/>
  <c r="CG184" i="48"/>
  <c r="AM184" i="48"/>
  <c r="AI184" i="48"/>
  <c r="AE184" i="48"/>
  <c r="AL184" i="48"/>
  <c r="AD184" i="48"/>
  <c r="AW186" i="48"/>
  <c r="AZ186" i="48"/>
  <c r="BB186" i="48"/>
  <c r="BD186" i="48"/>
  <c r="BF186" i="48"/>
  <c r="CG188" i="48"/>
  <c r="AO188" i="48"/>
  <c r="AM188" i="48"/>
  <c r="AK188" i="48"/>
  <c r="AI188" i="48"/>
  <c r="AG188" i="48"/>
  <c r="AE188" i="48"/>
  <c r="AC188" i="48"/>
  <c r="AL188" i="48"/>
  <c r="AH188" i="48"/>
  <c r="AD188" i="48"/>
  <c r="AW190" i="48"/>
  <c r="AZ190" i="48"/>
  <c r="BB190" i="48"/>
  <c r="BD190" i="48"/>
  <c r="BF190" i="48"/>
  <c r="AN191" i="48"/>
  <c r="AL191" i="48"/>
  <c r="AJ191" i="48"/>
  <c r="AH191" i="48"/>
  <c r="AF191" i="48"/>
  <c r="AD191" i="48"/>
  <c r="CG191" i="48"/>
  <c r="AM191" i="48"/>
  <c r="AI191" i="48"/>
  <c r="AE191" i="48"/>
  <c r="AQ191" i="48" s="1"/>
  <c r="CG192" i="48"/>
  <c r="AM192" i="48"/>
  <c r="AI192" i="48"/>
  <c r="AE192" i="48"/>
  <c r="AL192" i="48"/>
  <c r="AD192" i="48"/>
  <c r="AW194" i="48"/>
  <c r="AZ194" i="48"/>
  <c r="BB194" i="48"/>
  <c r="BD194" i="48"/>
  <c r="BF194" i="48"/>
  <c r="AN195" i="48"/>
  <c r="AJ195" i="48"/>
  <c r="AF195" i="48"/>
  <c r="AD195" i="48"/>
  <c r="CG195" i="48"/>
  <c r="AM195" i="48"/>
  <c r="AI195" i="48"/>
  <c r="AE195" i="48"/>
  <c r="CG196" i="48"/>
  <c r="AO196" i="48"/>
  <c r="AM196" i="48"/>
  <c r="AK196" i="48"/>
  <c r="AI196" i="48"/>
  <c r="AG196" i="48"/>
  <c r="AE196" i="48"/>
  <c r="AC196" i="48"/>
  <c r="AL196" i="48"/>
  <c r="AH196" i="48"/>
  <c r="AD196" i="48"/>
  <c r="AW198" i="48"/>
  <c r="AZ198" i="48"/>
  <c r="BB198" i="48"/>
  <c r="BD198" i="48"/>
  <c r="BF198" i="48"/>
  <c r="AN199" i="48"/>
  <c r="AL199" i="48"/>
  <c r="AJ199" i="48"/>
  <c r="AH199" i="48"/>
  <c r="AF199" i="48"/>
  <c r="AD199" i="48"/>
  <c r="CG199" i="48"/>
  <c r="AM199" i="48"/>
  <c r="AI199" i="48"/>
  <c r="AE199" i="48"/>
  <c r="CG200" i="48"/>
  <c r="AO200" i="48"/>
  <c r="AM200" i="48"/>
  <c r="AK200" i="48"/>
  <c r="AI200" i="48"/>
  <c r="AG200" i="48"/>
  <c r="AE200" i="48"/>
  <c r="AC200" i="48"/>
  <c r="AL200" i="48"/>
  <c r="AH200" i="48"/>
  <c r="AD200" i="48"/>
  <c r="AW202" i="48"/>
  <c r="AZ202" i="48"/>
  <c r="BB202" i="48"/>
  <c r="BD202" i="48"/>
  <c r="BF202" i="48"/>
  <c r="AN203" i="48"/>
  <c r="AL203" i="48"/>
  <c r="AJ203" i="48"/>
  <c r="AH203" i="48"/>
  <c r="AF203" i="48"/>
  <c r="AD203" i="48"/>
  <c r="CG203" i="48"/>
  <c r="AM203" i="48"/>
  <c r="AI203" i="48"/>
  <c r="AE203" i="48"/>
  <c r="CG204" i="48"/>
  <c r="AO204" i="48"/>
  <c r="AM204" i="48"/>
  <c r="AK204" i="48"/>
  <c r="AI204" i="48"/>
  <c r="AG204" i="48"/>
  <c r="AE204" i="48"/>
  <c r="AC204" i="48"/>
  <c r="AL204" i="48"/>
  <c r="AH204" i="48"/>
  <c r="AD204" i="48"/>
  <c r="AW206" i="48"/>
  <c r="AZ206" i="48"/>
  <c r="BB206" i="48"/>
  <c r="BD206" i="48"/>
  <c r="BF206" i="48"/>
  <c r="AN207" i="48"/>
  <c r="AL207" i="48"/>
  <c r="AJ207" i="48"/>
  <c r="AH207" i="48"/>
  <c r="AF207" i="48"/>
  <c r="AD207" i="48"/>
  <c r="CG207" i="48"/>
  <c r="AM207" i="48"/>
  <c r="AI207" i="48"/>
  <c r="AE207" i="48"/>
  <c r="CG208" i="48"/>
  <c r="AO208" i="48"/>
  <c r="AM208" i="48"/>
  <c r="AK208" i="48"/>
  <c r="AI208" i="48"/>
  <c r="AG208" i="48"/>
  <c r="AE208" i="48"/>
  <c r="AC208" i="48"/>
  <c r="AL208" i="48"/>
  <c r="AH208" i="48"/>
  <c r="AD208" i="48"/>
  <c r="AN209" i="48"/>
  <c r="AL209" i="48"/>
  <c r="AJ209" i="48"/>
  <c r="AH209" i="48"/>
  <c r="AF209" i="48"/>
  <c r="AD209" i="48"/>
  <c r="CG209" i="48"/>
  <c r="AM209" i="48"/>
  <c r="AI209" i="48"/>
  <c r="AE209" i="48"/>
  <c r="AQ209" i="48" s="1"/>
  <c r="CG210" i="48"/>
  <c r="AO210" i="48"/>
  <c r="AM210" i="48"/>
  <c r="AK210" i="48"/>
  <c r="AI210" i="48"/>
  <c r="AG210" i="48"/>
  <c r="AE210" i="48"/>
  <c r="AC210" i="48"/>
  <c r="AL210" i="48"/>
  <c r="AH210" i="48"/>
  <c r="AD210" i="48"/>
  <c r="AW212" i="48"/>
  <c r="AZ212" i="48"/>
  <c r="BB212" i="48"/>
  <c r="BD212" i="48"/>
  <c r="BF212" i="48"/>
  <c r="AN213" i="48"/>
  <c r="AL213" i="48"/>
  <c r="AJ213" i="48"/>
  <c r="AH213" i="48"/>
  <c r="AF213" i="48"/>
  <c r="AD213" i="48"/>
  <c r="CG213" i="48"/>
  <c r="AM213" i="48"/>
  <c r="AI213" i="48"/>
  <c r="AE213" i="48"/>
  <c r="CD215" i="48"/>
  <c r="CF215" i="48" s="1"/>
  <c r="BG215" i="48" s="1"/>
  <c r="CE215" i="48"/>
  <c r="AK215" i="48" s="1"/>
  <c r="AV216" i="48"/>
  <c r="AT216" i="48"/>
  <c r="BE216" i="48"/>
  <c r="BA216" i="48"/>
  <c r="BG216" i="48"/>
  <c r="CD223" i="48"/>
  <c r="CF223" i="48" s="1"/>
  <c r="CE223" i="48"/>
  <c r="AC223" i="48" s="1"/>
  <c r="AT224" i="48"/>
  <c r="CD231" i="48"/>
  <c r="CF231" i="48" s="1"/>
  <c r="BC231" i="48" s="1"/>
  <c r="CE231" i="48"/>
  <c r="AE231" i="48" s="1"/>
  <c r="BE232" i="48"/>
  <c r="CD241" i="48"/>
  <c r="CF241" i="48" s="1"/>
  <c r="BC241" i="48" s="1"/>
  <c r="CE241" i="48"/>
  <c r="AV242" i="48"/>
  <c r="AT242" i="48"/>
  <c r="BE242" i="48"/>
  <c r="BA242" i="48"/>
  <c r="BG242" i="48"/>
  <c r="BC242" i="48"/>
  <c r="AV248" i="48"/>
  <c r="BG248" i="48"/>
  <c r="AU248" i="48"/>
  <c r="AW248" i="48"/>
  <c r="CD257" i="48"/>
  <c r="CF257" i="48" s="1"/>
  <c r="BC257" i="48" s="1"/>
  <c r="CE257" i="48"/>
  <c r="AV258" i="48"/>
  <c r="AT258" i="48"/>
  <c r="BE258" i="48"/>
  <c r="BA258" i="48"/>
  <c r="BG258" i="48"/>
  <c r="BC258" i="48"/>
  <c r="CD264" i="48"/>
  <c r="CF264" i="48" s="1"/>
  <c r="CE264" i="48"/>
  <c r="AE264" i="48" s="1"/>
  <c r="AV265" i="48"/>
  <c r="AT265" i="48"/>
  <c r="BE265" i="48"/>
  <c r="BA265" i="48"/>
  <c r="BG265" i="48"/>
  <c r="BC265" i="48"/>
  <c r="AV271" i="48"/>
  <c r="AT271" i="48"/>
  <c r="BG271" i="48"/>
  <c r="BC271" i="48"/>
  <c r="AU271" i="48"/>
  <c r="BA271" i="48"/>
  <c r="AW271" i="48"/>
  <c r="CD280" i="48"/>
  <c r="CF280" i="48" s="1"/>
  <c r="BC280" i="48" s="1"/>
  <c r="CE280" i="48"/>
  <c r="AE280" i="48" s="1"/>
  <c r="AV281" i="48"/>
  <c r="AT281" i="48"/>
  <c r="BE281" i="48"/>
  <c r="BA281" i="48"/>
  <c r="BG281" i="48"/>
  <c r="BC281" i="48"/>
  <c r="AV287" i="48"/>
  <c r="AT287" i="48"/>
  <c r="BG287" i="48"/>
  <c r="BC287" i="48"/>
  <c r="AU287" i="48"/>
  <c r="BA287" i="48"/>
  <c r="AW287" i="48"/>
  <c r="CD296" i="48"/>
  <c r="CF296" i="48" s="1"/>
  <c r="BC296" i="48" s="1"/>
  <c r="CE296" i="48"/>
  <c r="BA296" i="48"/>
  <c r="BE297" i="48"/>
  <c r="AV303" i="48"/>
  <c r="AT303" i="48"/>
  <c r="BG303" i="48"/>
  <c r="BC303" i="48"/>
  <c r="AU303" i="48"/>
  <c r="BA303" i="48"/>
  <c r="AW303" i="48"/>
  <c r="CD312" i="48"/>
  <c r="CF312" i="48" s="1"/>
  <c r="BC312" i="48" s="1"/>
  <c r="CE312" i="48"/>
  <c r="AE312" i="48" s="1"/>
  <c r="AV313" i="48"/>
  <c r="AT313" i="48"/>
  <c r="BE313" i="48"/>
  <c r="BA313" i="48"/>
  <c r="BG313" i="48"/>
  <c r="BC313" i="48"/>
  <c r="AN328" i="48"/>
  <c r="AL328" i="48"/>
  <c r="AJ328" i="48"/>
  <c r="AH328" i="48"/>
  <c r="AF328" i="48"/>
  <c r="AD328" i="48"/>
  <c r="CG328" i="48"/>
  <c r="AM328" i="48"/>
  <c r="AI328" i="48"/>
  <c r="AE328" i="48"/>
  <c r="AO328" i="48"/>
  <c r="AG328" i="48"/>
  <c r="AC328" i="48"/>
  <c r="AK328" i="48"/>
  <c r="AN336" i="48"/>
  <c r="AL336" i="48"/>
  <c r="AJ336" i="48"/>
  <c r="AH336" i="48"/>
  <c r="AF336" i="48"/>
  <c r="AD336" i="48"/>
  <c r="CG336" i="48"/>
  <c r="AM336" i="48"/>
  <c r="AI336" i="48"/>
  <c r="AE336" i="48"/>
  <c r="AO336" i="48"/>
  <c r="AG336" i="48"/>
  <c r="AC336" i="48"/>
  <c r="AK336" i="48"/>
  <c r="AW216" i="48"/>
  <c r="AZ216" i="48"/>
  <c r="BB216" i="48"/>
  <c r="BD216" i="48"/>
  <c r="BF216" i="48"/>
  <c r="AN217" i="48"/>
  <c r="AL217" i="48"/>
  <c r="AJ217" i="48"/>
  <c r="AH217" i="48"/>
  <c r="AF217" i="48"/>
  <c r="AD217" i="48"/>
  <c r="CG217" i="48"/>
  <c r="AM217" i="48"/>
  <c r="AI217" i="48"/>
  <c r="AE217" i="48"/>
  <c r="AQ217" i="48" s="1"/>
  <c r="CG218" i="48"/>
  <c r="AO218" i="48"/>
  <c r="AM218" i="48"/>
  <c r="AK218" i="48"/>
  <c r="AI218" i="48"/>
  <c r="AG218" i="48"/>
  <c r="AE218" i="48"/>
  <c r="AC218" i="48"/>
  <c r="AL218" i="48"/>
  <c r="AH218" i="48"/>
  <c r="AD218" i="48"/>
  <c r="AW220" i="48"/>
  <c r="AZ220" i="48"/>
  <c r="BB220" i="48"/>
  <c r="BD220" i="48"/>
  <c r="BF220" i="48"/>
  <c r="AN221" i="48"/>
  <c r="AL221" i="48"/>
  <c r="AJ221" i="48"/>
  <c r="AH221" i="48"/>
  <c r="AF221" i="48"/>
  <c r="AD221" i="48"/>
  <c r="AM221" i="48"/>
  <c r="AI221" i="48"/>
  <c r="AE221" i="48"/>
  <c r="CG222" i="48"/>
  <c r="AO222" i="48"/>
  <c r="AM222" i="48"/>
  <c r="AK222" i="48"/>
  <c r="AI222" i="48"/>
  <c r="AG222" i="48"/>
  <c r="AE222" i="48"/>
  <c r="AC222" i="48"/>
  <c r="AL222" i="48"/>
  <c r="AH222" i="48"/>
  <c r="AD222" i="48"/>
  <c r="AW224" i="48"/>
  <c r="BF224" i="48"/>
  <c r="AN225" i="48"/>
  <c r="AL225" i="48"/>
  <c r="AJ225" i="48"/>
  <c r="AH225" i="48"/>
  <c r="AF225" i="48"/>
  <c r="AD225" i="48"/>
  <c r="CG225" i="48"/>
  <c r="AM225" i="48"/>
  <c r="AI225" i="48"/>
  <c r="AE225" i="48"/>
  <c r="AO226" i="48"/>
  <c r="AM226" i="48"/>
  <c r="AK226" i="48"/>
  <c r="AI226" i="48"/>
  <c r="AG226" i="48"/>
  <c r="AE226" i="48"/>
  <c r="AC226" i="48"/>
  <c r="AL226" i="48"/>
  <c r="AH226" i="48"/>
  <c r="AD226" i="48"/>
  <c r="AW228" i="48"/>
  <c r="AZ228" i="48"/>
  <c r="BB228" i="48"/>
  <c r="BD228" i="48"/>
  <c r="BF228" i="48"/>
  <c r="CG230" i="48"/>
  <c r="AO230" i="48"/>
  <c r="AM230" i="48"/>
  <c r="AK230" i="48"/>
  <c r="AI230" i="48"/>
  <c r="AG230" i="48"/>
  <c r="AE230" i="48"/>
  <c r="AC230" i="48"/>
  <c r="AL230" i="48"/>
  <c r="AH230" i="48"/>
  <c r="AD230" i="48"/>
  <c r="AZ232" i="48"/>
  <c r="AN233" i="48"/>
  <c r="AF233" i="48"/>
  <c r="AI233" i="48"/>
  <c r="CG234" i="48"/>
  <c r="AM234" i="48"/>
  <c r="AI234" i="48"/>
  <c r="AE234" i="48"/>
  <c r="AL234" i="48"/>
  <c r="AD234" i="48"/>
  <c r="AV236" i="48"/>
  <c r="AT236" i="48"/>
  <c r="BE236" i="48"/>
  <c r="BA236" i="48"/>
  <c r="AT238" i="48"/>
  <c r="CD245" i="48"/>
  <c r="CF245" i="48" s="1"/>
  <c r="BC245" i="48" s="1"/>
  <c r="CE245" i="48"/>
  <c r="AK245" i="48" s="1"/>
  <c r="BE246" i="48"/>
  <c r="CD253" i="48"/>
  <c r="CF253" i="48" s="1"/>
  <c r="BC253" i="48" s="1"/>
  <c r="CE253" i="48"/>
  <c r="AG253" i="48" s="1"/>
  <c r="AT253" i="48"/>
  <c r="AT254" i="48"/>
  <c r="BA254" i="48"/>
  <c r="CD262" i="48"/>
  <c r="CF262" i="48" s="1"/>
  <c r="AV262" i="48" s="1"/>
  <c r="CE262" i="48"/>
  <c r="AG262" i="48" s="1"/>
  <c r="AV263" i="48"/>
  <c r="AT263" i="48"/>
  <c r="BE263" i="48"/>
  <c r="BA263" i="48"/>
  <c r="BG263" i="48"/>
  <c r="CD268" i="48"/>
  <c r="CF268" i="48" s="1"/>
  <c r="BC268" i="48" s="1"/>
  <c r="CE268" i="48"/>
  <c r="AV268" i="48"/>
  <c r="AV269" i="48"/>
  <c r="AT269" i="48"/>
  <c r="BE269" i="48"/>
  <c r="BA269" i="48"/>
  <c r="BG269" i="48"/>
  <c r="CD276" i="48"/>
  <c r="CF276" i="48" s="1"/>
  <c r="BC276" i="48" s="1"/>
  <c r="CE276" i="48"/>
  <c r="AV277" i="48"/>
  <c r="AT277" i="48"/>
  <c r="BE277" i="48"/>
  <c r="BA277" i="48"/>
  <c r="BG277" i="48"/>
  <c r="CD284" i="48"/>
  <c r="CF284" i="48" s="1"/>
  <c r="BC284" i="48" s="1"/>
  <c r="CE284" i="48"/>
  <c r="AV285" i="48"/>
  <c r="AT285" i="48"/>
  <c r="BE285" i="48"/>
  <c r="BA285" i="48"/>
  <c r="BG285" i="48"/>
  <c r="CD292" i="48"/>
  <c r="CF292" i="48" s="1"/>
  <c r="BC292" i="48" s="1"/>
  <c r="CE292" i="48"/>
  <c r="AG292" i="48" s="1"/>
  <c r="CD300" i="48"/>
  <c r="CF300" i="48" s="1"/>
  <c r="BC300" i="48" s="1"/>
  <c r="CE300" i="48"/>
  <c r="AV301" i="48"/>
  <c r="AT301" i="48"/>
  <c r="BE301" i="48"/>
  <c r="BA301" i="48"/>
  <c r="BG301" i="48"/>
  <c r="CD308" i="48"/>
  <c r="CF308" i="48" s="1"/>
  <c r="BC308" i="48" s="1"/>
  <c r="CE308" i="48"/>
  <c r="AG308" i="48" s="1"/>
  <c r="AV309" i="48"/>
  <c r="AT309" i="48"/>
  <c r="BE309" i="48"/>
  <c r="BA309" i="48"/>
  <c r="BG309" i="48"/>
  <c r="AV315" i="48"/>
  <c r="BG315" i="48"/>
  <c r="AV319" i="48"/>
  <c r="AT319" i="48"/>
  <c r="BE319" i="48"/>
  <c r="BA319" i="48"/>
  <c r="BG319" i="48"/>
  <c r="BC319" i="48"/>
  <c r="AV329" i="48"/>
  <c r="AT329" i="48"/>
  <c r="BG329" i="48"/>
  <c r="BC329" i="48"/>
  <c r="AU329" i="48"/>
  <c r="BE329" i="48"/>
  <c r="AW329" i="48"/>
  <c r="BA329" i="48"/>
  <c r="AV337" i="48"/>
  <c r="AT337" i="48"/>
  <c r="BG337" i="48"/>
  <c r="BC337" i="48"/>
  <c r="AU337" i="48"/>
  <c r="BE337" i="48"/>
  <c r="AW337" i="48"/>
  <c r="BA337" i="48"/>
  <c r="AU373" i="48"/>
  <c r="BG377" i="48"/>
  <c r="BE377" i="48"/>
  <c r="AU389" i="48"/>
  <c r="AN344" i="48"/>
  <c r="AL344" i="48"/>
  <c r="AJ344" i="48"/>
  <c r="AH344" i="48"/>
  <c r="AF344" i="48"/>
  <c r="AD344" i="48"/>
  <c r="CG344" i="48"/>
  <c r="AM344" i="48"/>
  <c r="AI344" i="48"/>
  <c r="AE344" i="48"/>
  <c r="AO344" i="48"/>
  <c r="AG344" i="48"/>
  <c r="AV345" i="48"/>
  <c r="AT345" i="48"/>
  <c r="BG345" i="48"/>
  <c r="BC345" i="48"/>
  <c r="AU345" i="48"/>
  <c r="BE345" i="48"/>
  <c r="AW345" i="48"/>
  <c r="CD347" i="48"/>
  <c r="CF347" i="48" s="1"/>
  <c r="AW347" i="48" s="1"/>
  <c r="CG349" i="48"/>
  <c r="AO349" i="48"/>
  <c r="AM349" i="48"/>
  <c r="AK349" i="48"/>
  <c r="AI349" i="48"/>
  <c r="AG349" i="48"/>
  <c r="AE349" i="48"/>
  <c r="AC349" i="48"/>
  <c r="AL349" i="48"/>
  <c r="AH349" i="48"/>
  <c r="AD349" i="48"/>
  <c r="AN349" i="48"/>
  <c r="AF349" i="48"/>
  <c r="AN352" i="48"/>
  <c r="AL352" i="48"/>
  <c r="AJ352" i="48"/>
  <c r="AH352" i="48"/>
  <c r="AF352" i="48"/>
  <c r="AD352" i="48"/>
  <c r="CG352" i="48"/>
  <c r="AM352" i="48"/>
  <c r="AI352" i="48"/>
  <c r="AE352" i="48"/>
  <c r="AO352" i="48"/>
  <c r="AG352" i="48"/>
  <c r="AV353" i="48"/>
  <c r="AT353" i="48"/>
  <c r="BG353" i="48"/>
  <c r="BC353" i="48"/>
  <c r="AU353" i="48"/>
  <c r="BE353" i="48"/>
  <c r="AW353" i="48"/>
  <c r="CD355" i="48"/>
  <c r="CF355" i="48" s="1"/>
  <c r="AU355" i="48" s="1"/>
  <c r="AC357" i="48"/>
  <c r="AN360" i="48"/>
  <c r="AL360" i="48"/>
  <c r="AJ360" i="48"/>
  <c r="AH360" i="48"/>
  <c r="AF360" i="48"/>
  <c r="AD360" i="48"/>
  <c r="CG360" i="48"/>
  <c r="AM360" i="48"/>
  <c r="AI360" i="48"/>
  <c r="AE360" i="48"/>
  <c r="AO360" i="48"/>
  <c r="AG360" i="48"/>
  <c r="AV361" i="48"/>
  <c r="AT361" i="48"/>
  <c r="BG361" i="48"/>
  <c r="BC361" i="48"/>
  <c r="AU361" i="48"/>
  <c r="BE361" i="48"/>
  <c r="AW361" i="48"/>
  <c r="CD363" i="48"/>
  <c r="CF363" i="48" s="1"/>
  <c r="AU363" i="48" s="1"/>
  <c r="CG365" i="48"/>
  <c r="AO365" i="48"/>
  <c r="AM365" i="48"/>
  <c r="AK365" i="48"/>
  <c r="AI365" i="48"/>
  <c r="AG365" i="48"/>
  <c r="AE365" i="48"/>
  <c r="AC365" i="48"/>
  <c r="AL365" i="48"/>
  <c r="AH365" i="48"/>
  <c r="AD365" i="48"/>
  <c r="AN365" i="48"/>
  <c r="AF365" i="48"/>
  <c r="CG367" i="48"/>
  <c r="AO367" i="48"/>
  <c r="AM367" i="48"/>
  <c r="AK367" i="48"/>
  <c r="AI367" i="48"/>
  <c r="AG367" i="48"/>
  <c r="AE367" i="48"/>
  <c r="AC367" i="48"/>
  <c r="AL367" i="48"/>
  <c r="AH367" i="48"/>
  <c r="AD367" i="48"/>
  <c r="AN367" i="48"/>
  <c r="AF367" i="48"/>
  <c r="AN368" i="48"/>
  <c r="AL368" i="48"/>
  <c r="AJ368" i="48"/>
  <c r="AH368" i="48"/>
  <c r="AF368" i="48"/>
  <c r="AD368" i="48"/>
  <c r="CG368" i="48"/>
  <c r="AM368" i="48"/>
  <c r="AI368" i="48"/>
  <c r="AE368" i="48"/>
  <c r="AO368" i="48"/>
  <c r="AG368" i="48"/>
  <c r="CD374" i="48"/>
  <c r="CF374" i="48" s="1"/>
  <c r="BC374" i="48" s="1"/>
  <c r="CE374" i="48"/>
  <c r="AG374" i="48" s="1"/>
  <c r="AV375" i="48"/>
  <c r="AT375" i="48"/>
  <c r="BE375" i="48"/>
  <c r="BA375" i="48"/>
  <c r="BG375" i="48"/>
  <c r="CD382" i="48"/>
  <c r="CF382" i="48" s="1"/>
  <c r="BC382" i="48" s="1"/>
  <c r="CE382" i="48"/>
  <c r="BE383" i="48"/>
  <c r="CD390" i="48"/>
  <c r="CF390" i="48" s="1"/>
  <c r="BC390" i="48" s="1"/>
  <c r="CE390" i="48"/>
  <c r="AV391" i="48"/>
  <c r="AT391" i="48"/>
  <c r="BE391" i="48"/>
  <c r="BA391" i="48"/>
  <c r="BG391" i="48"/>
  <c r="AV397" i="48"/>
  <c r="AT397" i="48"/>
  <c r="BG397" i="48"/>
  <c r="BC397" i="48"/>
  <c r="AU397" i="48"/>
  <c r="BE397" i="48"/>
  <c r="AW397" i="48"/>
  <c r="BA397" i="48"/>
  <c r="BA407" i="48"/>
  <c r="AV415" i="48"/>
  <c r="AT415" i="48"/>
  <c r="BG415" i="48"/>
  <c r="BC415" i="48"/>
  <c r="AU415" i="48"/>
  <c r="BA415" i="48"/>
  <c r="AW415" i="48"/>
  <c r="BE415" i="48"/>
  <c r="AV419" i="48"/>
  <c r="AT419" i="48"/>
  <c r="BG419" i="48"/>
  <c r="BC419" i="48"/>
  <c r="AU419" i="48"/>
  <c r="BA419" i="48"/>
  <c r="BE419" i="48"/>
  <c r="AW419" i="48"/>
  <c r="AW236" i="48"/>
  <c r="AZ236" i="48"/>
  <c r="BB236" i="48"/>
  <c r="BD236" i="48"/>
  <c r="BF236" i="48"/>
  <c r="BB238" i="48"/>
  <c r="AN239" i="48"/>
  <c r="AL239" i="48"/>
  <c r="AJ239" i="48"/>
  <c r="AH239" i="48"/>
  <c r="AF239" i="48"/>
  <c r="AD239" i="48"/>
  <c r="CG239" i="48"/>
  <c r="AM239" i="48"/>
  <c r="AI239" i="48"/>
  <c r="AE239" i="48"/>
  <c r="AO240" i="48"/>
  <c r="AM240" i="48"/>
  <c r="AK240" i="48"/>
  <c r="AI240" i="48"/>
  <c r="AG240" i="48"/>
  <c r="AE240" i="48"/>
  <c r="AC240" i="48"/>
  <c r="AL240" i="48"/>
  <c r="AH240" i="48"/>
  <c r="AD240" i="48"/>
  <c r="AW242" i="48"/>
  <c r="AZ242" i="48"/>
  <c r="BB242" i="48"/>
  <c r="BD242" i="48"/>
  <c r="BF242" i="48"/>
  <c r="AN243" i="48"/>
  <c r="AL243" i="48"/>
  <c r="AJ243" i="48"/>
  <c r="AH243" i="48"/>
  <c r="AF243" i="48"/>
  <c r="AD243" i="48"/>
  <c r="CG243" i="48"/>
  <c r="AM243" i="48"/>
  <c r="AI243" i="48"/>
  <c r="AE243" i="48"/>
  <c r="CG244" i="48"/>
  <c r="AO244" i="48"/>
  <c r="AM244" i="48"/>
  <c r="AK244" i="48"/>
  <c r="AI244" i="48"/>
  <c r="AG244" i="48"/>
  <c r="AE244" i="48"/>
  <c r="AC244" i="48"/>
  <c r="AL244" i="48"/>
  <c r="AH244" i="48"/>
  <c r="AD244" i="48"/>
  <c r="AW246" i="48"/>
  <c r="AN247" i="48"/>
  <c r="AL247" i="48"/>
  <c r="AJ247" i="48"/>
  <c r="AH247" i="48"/>
  <c r="AF247" i="48"/>
  <c r="AD247" i="48"/>
  <c r="CG247" i="48"/>
  <c r="AM247" i="48"/>
  <c r="AI247" i="48"/>
  <c r="AE247" i="48"/>
  <c r="AQ247" i="48" s="1"/>
  <c r="AO248" i="48"/>
  <c r="AM248" i="48"/>
  <c r="AK248" i="48"/>
  <c r="AI248" i="48"/>
  <c r="AG248" i="48"/>
  <c r="AE248" i="48"/>
  <c r="AC248" i="48"/>
  <c r="AL248" i="48"/>
  <c r="AH248" i="48"/>
  <c r="AD248" i="48"/>
  <c r="AW250" i="48"/>
  <c r="AZ250" i="48"/>
  <c r="BB250" i="48"/>
  <c r="BD250" i="48"/>
  <c r="BF250" i="48"/>
  <c r="AN251" i="48"/>
  <c r="AL251" i="48"/>
  <c r="AJ251" i="48"/>
  <c r="AH251" i="48"/>
  <c r="AF251" i="48"/>
  <c r="AD251" i="48"/>
  <c r="AM251" i="48"/>
  <c r="AI251" i="48"/>
  <c r="AE251" i="48"/>
  <c r="AQ251" i="48" s="1"/>
  <c r="CG252" i="48"/>
  <c r="AO252" i="48"/>
  <c r="AM252" i="48"/>
  <c r="AK252" i="48"/>
  <c r="AI252" i="48"/>
  <c r="AG252" i="48"/>
  <c r="AE252" i="48"/>
  <c r="AC252" i="48"/>
  <c r="AL252" i="48"/>
  <c r="AH252" i="48"/>
  <c r="AD252" i="48"/>
  <c r="AW254" i="48"/>
  <c r="BB254" i="48"/>
  <c r="BF254" i="48"/>
  <c r="AN255" i="48"/>
  <c r="AL255" i="48"/>
  <c r="AJ255" i="48"/>
  <c r="AH255" i="48"/>
  <c r="AF255" i="48"/>
  <c r="AD255" i="48"/>
  <c r="CG255" i="48"/>
  <c r="AM255" i="48"/>
  <c r="AI255" i="48"/>
  <c r="AE255" i="48"/>
  <c r="AO256" i="48"/>
  <c r="AM256" i="48"/>
  <c r="AK256" i="48"/>
  <c r="AI256" i="48"/>
  <c r="AG256" i="48"/>
  <c r="AE256" i="48"/>
  <c r="AC256" i="48"/>
  <c r="AL256" i="48"/>
  <c r="AH256" i="48"/>
  <c r="AD256" i="48"/>
  <c r="AW258" i="48"/>
  <c r="AZ258" i="48"/>
  <c r="BB258" i="48"/>
  <c r="BD258" i="48"/>
  <c r="BF258" i="48"/>
  <c r="AN259" i="48"/>
  <c r="AL259" i="48"/>
  <c r="AJ259" i="48"/>
  <c r="AH259" i="48"/>
  <c r="AF259" i="48"/>
  <c r="AD259" i="48"/>
  <c r="CG259" i="48"/>
  <c r="AM259" i="48"/>
  <c r="AI259" i="48"/>
  <c r="AE259" i="48"/>
  <c r="AQ259" i="48" s="1"/>
  <c r="AN260" i="48"/>
  <c r="AL260" i="48"/>
  <c r="AJ260" i="48"/>
  <c r="AH260" i="48"/>
  <c r="AF260" i="48"/>
  <c r="AD260" i="48"/>
  <c r="AM260" i="48"/>
  <c r="AI260" i="48"/>
  <c r="AE260" i="48"/>
  <c r="CG261" i="48"/>
  <c r="AO261" i="48"/>
  <c r="AM261" i="48"/>
  <c r="AK261" i="48"/>
  <c r="AI261" i="48"/>
  <c r="AG261" i="48"/>
  <c r="AE261" i="48"/>
  <c r="AC261" i="48"/>
  <c r="AL261" i="48"/>
  <c r="AH261" i="48"/>
  <c r="AD261" i="48"/>
  <c r="AW263" i="48"/>
  <c r="AZ263" i="48"/>
  <c r="BB263" i="48"/>
  <c r="BD263" i="48"/>
  <c r="BF263" i="48"/>
  <c r="AW265" i="48"/>
  <c r="AZ265" i="48"/>
  <c r="BB265" i="48"/>
  <c r="BD265" i="48"/>
  <c r="BF265" i="48"/>
  <c r="AN266" i="48"/>
  <c r="AL266" i="48"/>
  <c r="AJ266" i="48"/>
  <c r="AH266" i="48"/>
  <c r="AF266" i="48"/>
  <c r="AD266" i="48"/>
  <c r="AM266" i="48"/>
  <c r="AI266" i="48"/>
  <c r="AE266" i="48"/>
  <c r="AQ266" i="48" s="1"/>
  <c r="CG267" i="48"/>
  <c r="AO267" i="48"/>
  <c r="AM267" i="48"/>
  <c r="AK267" i="48"/>
  <c r="AI267" i="48"/>
  <c r="AG267" i="48"/>
  <c r="AE267" i="48"/>
  <c r="AC267" i="48"/>
  <c r="AL267" i="48"/>
  <c r="AH267" i="48"/>
  <c r="AD267" i="48"/>
  <c r="AW269" i="48"/>
  <c r="AZ269" i="48"/>
  <c r="BB269" i="48"/>
  <c r="BD269" i="48"/>
  <c r="BF269" i="48"/>
  <c r="AN270" i="48"/>
  <c r="AL270" i="48"/>
  <c r="AJ270" i="48"/>
  <c r="AH270" i="48"/>
  <c r="AF270" i="48"/>
  <c r="AD270" i="48"/>
  <c r="CG270" i="48"/>
  <c r="AM270" i="48"/>
  <c r="AI270" i="48"/>
  <c r="AE270" i="48"/>
  <c r="CG271" i="48"/>
  <c r="AO271" i="48"/>
  <c r="AM271" i="48"/>
  <c r="AK271" i="48"/>
  <c r="AI271" i="48"/>
  <c r="AG271" i="48"/>
  <c r="AE271" i="48"/>
  <c r="AC271" i="48"/>
  <c r="AL271" i="48"/>
  <c r="AH271" i="48"/>
  <c r="AD271" i="48"/>
  <c r="AW273" i="48"/>
  <c r="AZ273" i="48"/>
  <c r="BB273" i="48"/>
  <c r="BD273" i="48"/>
  <c r="BF273" i="48"/>
  <c r="AN274" i="48"/>
  <c r="AL274" i="48"/>
  <c r="AJ274" i="48"/>
  <c r="AH274" i="48"/>
  <c r="AF274" i="48"/>
  <c r="AD274" i="48"/>
  <c r="CG274" i="48"/>
  <c r="AM274" i="48"/>
  <c r="AI274" i="48"/>
  <c r="AE274" i="48"/>
  <c r="AQ274" i="48" s="1"/>
  <c r="CG275" i="48"/>
  <c r="AO275" i="48"/>
  <c r="AM275" i="48"/>
  <c r="AK275" i="48"/>
  <c r="AI275" i="48"/>
  <c r="AG275" i="48"/>
  <c r="AE275" i="48"/>
  <c r="AC275" i="48"/>
  <c r="AL275" i="48"/>
  <c r="AH275" i="48"/>
  <c r="AD275" i="48"/>
  <c r="AW277" i="48"/>
  <c r="AZ277" i="48"/>
  <c r="BB277" i="48"/>
  <c r="BD277" i="48"/>
  <c r="BF277" i="48"/>
  <c r="AN278" i="48"/>
  <c r="AL278" i="48"/>
  <c r="AJ278" i="48"/>
  <c r="AH278" i="48"/>
  <c r="AF278" i="48"/>
  <c r="AD278" i="48"/>
  <c r="CG278" i="48"/>
  <c r="AM278" i="48"/>
  <c r="AI278" i="48"/>
  <c r="AE278" i="48"/>
  <c r="CG279" i="48"/>
  <c r="AO279" i="48"/>
  <c r="AM279" i="48"/>
  <c r="AK279" i="48"/>
  <c r="AI279" i="48"/>
  <c r="AG279" i="48"/>
  <c r="AE279" i="48"/>
  <c r="AC279" i="48"/>
  <c r="AL279" i="48"/>
  <c r="AH279" i="48"/>
  <c r="AD279" i="48"/>
  <c r="AW281" i="48"/>
  <c r="AZ281" i="48"/>
  <c r="BB281" i="48"/>
  <c r="BD281" i="48"/>
  <c r="BF281" i="48"/>
  <c r="AN282" i="48"/>
  <c r="AL282" i="48"/>
  <c r="AJ282" i="48"/>
  <c r="AH282" i="48"/>
  <c r="AF282" i="48"/>
  <c r="AD282" i="48"/>
  <c r="CG282" i="48"/>
  <c r="AM282" i="48"/>
  <c r="AI282" i="48"/>
  <c r="AE282" i="48"/>
  <c r="AQ282" i="48" s="1"/>
  <c r="AO283" i="48"/>
  <c r="AM283" i="48"/>
  <c r="AK283" i="48"/>
  <c r="AI283" i="48"/>
  <c r="AG283" i="48"/>
  <c r="AE283" i="48"/>
  <c r="AC283" i="48"/>
  <c r="AL283" i="48"/>
  <c r="AH283" i="48"/>
  <c r="AD283" i="48"/>
  <c r="AW285" i="48"/>
  <c r="AZ285" i="48"/>
  <c r="BB285" i="48"/>
  <c r="BD285" i="48"/>
  <c r="BF285" i="48"/>
  <c r="AL286" i="48"/>
  <c r="AD286" i="48"/>
  <c r="AE286" i="48"/>
  <c r="CG287" i="48"/>
  <c r="AO287" i="48"/>
  <c r="AM287" i="48"/>
  <c r="AK287" i="48"/>
  <c r="AI287" i="48"/>
  <c r="AG287" i="48"/>
  <c r="AE287" i="48"/>
  <c r="AC287" i="48"/>
  <c r="AL287" i="48"/>
  <c r="AH287" i="48"/>
  <c r="AD287" i="48"/>
  <c r="AW289" i="48"/>
  <c r="AZ289" i="48"/>
  <c r="BB289" i="48"/>
  <c r="BD289" i="48"/>
  <c r="BF289" i="48"/>
  <c r="AN290" i="48"/>
  <c r="AL290" i="48"/>
  <c r="AJ290" i="48"/>
  <c r="AH290" i="48"/>
  <c r="AF290" i="48"/>
  <c r="AD290" i="48"/>
  <c r="CG290" i="48"/>
  <c r="AM290" i="48"/>
  <c r="AI290" i="48"/>
  <c r="AE290" i="48"/>
  <c r="AQ290" i="48" s="1"/>
  <c r="CG291" i="48"/>
  <c r="AO291" i="48"/>
  <c r="AM291" i="48"/>
  <c r="AK291" i="48"/>
  <c r="AI291" i="48"/>
  <c r="AG291" i="48"/>
  <c r="AE291" i="48"/>
  <c r="AC291" i="48"/>
  <c r="AL291" i="48"/>
  <c r="AH291" i="48"/>
  <c r="AD291" i="48"/>
  <c r="AN294" i="48"/>
  <c r="AL294" i="48"/>
  <c r="AJ294" i="48"/>
  <c r="AH294" i="48"/>
  <c r="AF294" i="48"/>
  <c r="AD294" i="48"/>
  <c r="CG294" i="48"/>
  <c r="AM294" i="48"/>
  <c r="AI294" i="48"/>
  <c r="AE294" i="48"/>
  <c r="CG295" i="48"/>
  <c r="AO295" i="48"/>
  <c r="AM295" i="48"/>
  <c r="AK295" i="48"/>
  <c r="AI295" i="48"/>
  <c r="AG295" i="48"/>
  <c r="AE295" i="48"/>
  <c r="AC295" i="48"/>
  <c r="AL295" i="48"/>
  <c r="AH295" i="48"/>
  <c r="AD295" i="48"/>
  <c r="AW297" i="48"/>
  <c r="BF297" i="48"/>
  <c r="CG299" i="48"/>
  <c r="AO299" i="48"/>
  <c r="AM299" i="48"/>
  <c r="AK299" i="48"/>
  <c r="AI299" i="48"/>
  <c r="AG299" i="48"/>
  <c r="AE299" i="48"/>
  <c r="AC299" i="48"/>
  <c r="AL299" i="48"/>
  <c r="AH299" i="48"/>
  <c r="AD299" i="48"/>
  <c r="AW301" i="48"/>
  <c r="AZ301" i="48"/>
  <c r="BB301" i="48"/>
  <c r="BD301" i="48"/>
  <c r="BF301" i="48"/>
  <c r="AL302" i="48"/>
  <c r="AD302" i="48"/>
  <c r="AE302" i="48"/>
  <c r="CG303" i="48"/>
  <c r="AO303" i="48"/>
  <c r="AM303" i="48"/>
  <c r="AK303" i="48"/>
  <c r="AI303" i="48"/>
  <c r="AG303" i="48"/>
  <c r="AE303" i="48"/>
  <c r="AC303" i="48"/>
  <c r="AL303" i="48"/>
  <c r="AH303" i="48"/>
  <c r="AD303" i="48"/>
  <c r="AW305" i="48"/>
  <c r="AZ305" i="48"/>
  <c r="BB305" i="48"/>
  <c r="BD305" i="48"/>
  <c r="BF305" i="48"/>
  <c r="AN306" i="48"/>
  <c r="AL306" i="48"/>
  <c r="AJ306" i="48"/>
  <c r="AH306" i="48"/>
  <c r="AF306" i="48"/>
  <c r="AD306" i="48"/>
  <c r="CG306" i="48"/>
  <c r="AM306" i="48"/>
  <c r="AI306" i="48"/>
  <c r="AE306" i="48"/>
  <c r="AQ306" i="48" s="1"/>
  <c r="AO307" i="48"/>
  <c r="AM307" i="48"/>
  <c r="AG307" i="48"/>
  <c r="AE307" i="48"/>
  <c r="AC307" i="48"/>
  <c r="AL307" i="48"/>
  <c r="AH307" i="48"/>
  <c r="AD307" i="48"/>
  <c r="AW309" i="48"/>
  <c r="AZ309" i="48"/>
  <c r="BB309" i="48"/>
  <c r="BD309" i="48"/>
  <c r="BF309" i="48"/>
  <c r="AN310" i="48"/>
  <c r="AL310" i="48"/>
  <c r="AJ310" i="48"/>
  <c r="AH310" i="48"/>
  <c r="AF310" i="48"/>
  <c r="AD310" i="48"/>
  <c r="CG310" i="48"/>
  <c r="AM310" i="48"/>
  <c r="AI310" i="48"/>
  <c r="AE310" i="48"/>
  <c r="CG311" i="48"/>
  <c r="AO311" i="48"/>
  <c r="AM311" i="48"/>
  <c r="AK311" i="48"/>
  <c r="AI311" i="48"/>
  <c r="AG311" i="48"/>
  <c r="AE311" i="48"/>
  <c r="AC311" i="48"/>
  <c r="AL311" i="48"/>
  <c r="AH311" i="48"/>
  <c r="AD311" i="48"/>
  <c r="AW313" i="48"/>
  <c r="AZ313" i="48"/>
  <c r="BB313" i="48"/>
  <c r="BD313" i="48"/>
  <c r="BF313" i="48"/>
  <c r="AN314" i="48"/>
  <c r="AL314" i="48"/>
  <c r="AJ314" i="48"/>
  <c r="AH314" i="48"/>
  <c r="AF314" i="48"/>
  <c r="AD314" i="48"/>
  <c r="CG314" i="48"/>
  <c r="AM314" i="48"/>
  <c r="AI314" i="48"/>
  <c r="AE314" i="48"/>
  <c r="AQ314" i="48" s="1"/>
  <c r="CD318" i="48"/>
  <c r="CF318" i="48" s="1"/>
  <c r="BA318" i="48" s="1"/>
  <c r="CE318" i="48"/>
  <c r="AK318" i="48" s="1"/>
  <c r="CD322" i="48"/>
  <c r="CF322" i="48" s="1"/>
  <c r="BC322" i="48" s="1"/>
  <c r="CE322" i="48"/>
  <c r="AV323" i="48"/>
  <c r="AT323" i="48"/>
  <c r="BE323" i="48"/>
  <c r="BA323" i="48"/>
  <c r="BG323" i="48"/>
  <c r="AV325" i="48"/>
  <c r="AT325" i="48"/>
  <c r="BG325" i="48"/>
  <c r="BC325" i="48"/>
  <c r="AU325" i="48"/>
  <c r="BE325" i="48"/>
  <c r="AW325" i="48"/>
  <c r="CD327" i="48"/>
  <c r="CF327" i="48" s="1"/>
  <c r="AW327" i="48" s="1"/>
  <c r="CG329" i="48"/>
  <c r="AO329" i="48"/>
  <c r="AM329" i="48"/>
  <c r="AK329" i="48"/>
  <c r="AI329" i="48"/>
  <c r="AG329" i="48"/>
  <c r="AE329" i="48"/>
  <c r="AC329" i="48"/>
  <c r="AL329" i="48"/>
  <c r="AH329" i="48"/>
  <c r="AD329" i="48"/>
  <c r="AN329" i="48"/>
  <c r="AF329" i="48"/>
  <c r="AN332" i="48"/>
  <c r="AL332" i="48"/>
  <c r="AJ332" i="48"/>
  <c r="AH332" i="48"/>
  <c r="AF332" i="48"/>
  <c r="AD332" i="48"/>
  <c r="CG332" i="48"/>
  <c r="AM332" i="48"/>
  <c r="AI332" i="48"/>
  <c r="AE332" i="48"/>
  <c r="AO332" i="48"/>
  <c r="AG332" i="48"/>
  <c r="AV333" i="48"/>
  <c r="AT333" i="48"/>
  <c r="BG333" i="48"/>
  <c r="BC333" i="48"/>
  <c r="AU333" i="48"/>
  <c r="BE333" i="48"/>
  <c r="AW333" i="48"/>
  <c r="CD335" i="48"/>
  <c r="CF335" i="48" s="1"/>
  <c r="CG337" i="48"/>
  <c r="AO337" i="48"/>
  <c r="AM337" i="48"/>
  <c r="AK337" i="48"/>
  <c r="AI337" i="48"/>
  <c r="AG337" i="48"/>
  <c r="AE337" i="48"/>
  <c r="AC337" i="48"/>
  <c r="AL337" i="48"/>
  <c r="AH337" i="48"/>
  <c r="AD337" i="48"/>
  <c r="AN337" i="48"/>
  <c r="AF337" i="48"/>
  <c r="AN340" i="48"/>
  <c r="AL340" i="48"/>
  <c r="AJ340" i="48"/>
  <c r="AH340" i="48"/>
  <c r="AF340" i="48"/>
  <c r="AD340" i="48"/>
  <c r="CG340" i="48"/>
  <c r="AM340" i="48"/>
  <c r="AI340" i="48"/>
  <c r="AE340" i="48"/>
  <c r="AQ340" i="48" s="1"/>
  <c r="AO340" i="48"/>
  <c r="AG340" i="48"/>
  <c r="AV341" i="48"/>
  <c r="AT341" i="48"/>
  <c r="BG341" i="48"/>
  <c r="BC341" i="48"/>
  <c r="AU341" i="48"/>
  <c r="BE341" i="48"/>
  <c r="AW341" i="48"/>
  <c r="CD343" i="48"/>
  <c r="CF343" i="48" s="1"/>
  <c r="AW343" i="48" s="1"/>
  <c r="AC344" i="48"/>
  <c r="BA345" i="48"/>
  <c r="CG345" i="48"/>
  <c r="AO345" i="48"/>
  <c r="AM345" i="48"/>
  <c r="AK345" i="48"/>
  <c r="AI345" i="48"/>
  <c r="AG345" i="48"/>
  <c r="AE345" i="48"/>
  <c r="AC345" i="48"/>
  <c r="AL345" i="48"/>
  <c r="AH345" i="48"/>
  <c r="AD345" i="48"/>
  <c r="AN345" i="48"/>
  <c r="AF345" i="48"/>
  <c r="AN348" i="48"/>
  <c r="AL348" i="48"/>
  <c r="AJ348" i="48"/>
  <c r="AH348" i="48"/>
  <c r="AF348" i="48"/>
  <c r="AD348" i="48"/>
  <c r="CG348" i="48"/>
  <c r="AM348" i="48"/>
  <c r="AI348" i="48"/>
  <c r="AE348" i="48"/>
  <c r="AQ348" i="48" s="1"/>
  <c r="AO348" i="48"/>
  <c r="AG348" i="48"/>
  <c r="AV349" i="48"/>
  <c r="AT349" i="48"/>
  <c r="BG349" i="48"/>
  <c r="BC349" i="48"/>
  <c r="AU349" i="48"/>
  <c r="BE349" i="48"/>
  <c r="AW349" i="48"/>
  <c r="CD351" i="48"/>
  <c r="CF351" i="48" s="1"/>
  <c r="AW351" i="48" s="1"/>
  <c r="AC352" i="48"/>
  <c r="BA353" i="48"/>
  <c r="CG353" i="48"/>
  <c r="AO353" i="48"/>
  <c r="AM353" i="48"/>
  <c r="AK353" i="48"/>
  <c r="AI353" i="48"/>
  <c r="AG353" i="48"/>
  <c r="AE353" i="48"/>
  <c r="AC353" i="48"/>
  <c r="AL353" i="48"/>
  <c r="AH353" i="48"/>
  <c r="AD353" i="48"/>
  <c r="AN353" i="48"/>
  <c r="AF353" i="48"/>
  <c r="AN356" i="48"/>
  <c r="AL356" i="48"/>
  <c r="AJ356" i="48"/>
  <c r="AH356" i="48"/>
  <c r="AF356" i="48"/>
  <c r="AD356" i="48"/>
  <c r="CG356" i="48"/>
  <c r="AM356" i="48"/>
  <c r="AI356" i="48"/>
  <c r="AE356" i="48"/>
  <c r="AO356" i="48"/>
  <c r="AG356" i="48"/>
  <c r="AV357" i="48"/>
  <c r="AT357" i="48"/>
  <c r="BG357" i="48"/>
  <c r="BC357" i="48"/>
  <c r="AU357" i="48"/>
  <c r="BE357" i="48"/>
  <c r="AW357" i="48"/>
  <c r="CD359" i="48"/>
  <c r="CF359" i="48" s="1"/>
  <c r="AW359" i="48" s="1"/>
  <c r="AC360" i="48"/>
  <c r="BA361" i="48"/>
  <c r="CG361" i="48"/>
  <c r="AO361" i="48"/>
  <c r="AM361" i="48"/>
  <c r="AK361" i="48"/>
  <c r="AI361" i="48"/>
  <c r="AG361" i="48"/>
  <c r="AE361" i="48"/>
  <c r="AC361" i="48"/>
  <c r="AL361" i="48"/>
  <c r="AH361" i="48"/>
  <c r="AD361" i="48"/>
  <c r="AN361" i="48"/>
  <c r="AF361" i="48"/>
  <c r="AN364" i="48"/>
  <c r="AL364" i="48"/>
  <c r="AJ364" i="48"/>
  <c r="AH364" i="48"/>
  <c r="AF364" i="48"/>
  <c r="AD364" i="48"/>
  <c r="CG364" i="48"/>
  <c r="AM364" i="48"/>
  <c r="AI364" i="48"/>
  <c r="AE364" i="48"/>
  <c r="AQ364" i="48" s="1"/>
  <c r="AO364" i="48"/>
  <c r="AG364" i="48"/>
  <c r="AV365" i="48"/>
  <c r="AT365" i="48"/>
  <c r="BG365" i="48"/>
  <c r="BC365" i="48"/>
  <c r="AU365" i="48"/>
  <c r="BE365" i="48"/>
  <c r="AW365" i="48"/>
  <c r="AV367" i="48"/>
  <c r="AT367" i="48"/>
  <c r="BG367" i="48"/>
  <c r="BC367" i="48"/>
  <c r="AU367" i="48"/>
  <c r="BE367" i="48"/>
  <c r="AW367" i="48"/>
  <c r="AC368" i="48"/>
  <c r="CD370" i="48"/>
  <c r="CF370" i="48" s="1"/>
  <c r="BC370" i="48" s="1"/>
  <c r="CE370" i="48"/>
  <c r="AG370" i="48" s="1"/>
  <c r="AV371" i="48"/>
  <c r="AT371" i="48"/>
  <c r="BE371" i="48"/>
  <c r="BA371" i="48"/>
  <c r="BG371" i="48"/>
  <c r="BC375" i="48"/>
  <c r="CD378" i="48"/>
  <c r="CF378" i="48" s="1"/>
  <c r="BA378" i="48" s="1"/>
  <c r="CE378" i="48"/>
  <c r="AG378" i="48" s="1"/>
  <c r="AV379" i="48"/>
  <c r="AT379" i="48"/>
  <c r="BE379" i="48"/>
  <c r="BA379" i="48"/>
  <c r="BG379" i="48"/>
  <c r="CD386" i="48"/>
  <c r="CF386" i="48" s="1"/>
  <c r="CE386" i="48"/>
  <c r="AG386" i="48" s="1"/>
  <c r="AV387" i="48"/>
  <c r="AT387" i="48"/>
  <c r="BE387" i="48"/>
  <c r="BA387" i="48"/>
  <c r="BG387" i="48"/>
  <c r="BC391" i="48"/>
  <c r="AO393" i="48"/>
  <c r="AG393" i="48"/>
  <c r="AH393" i="48"/>
  <c r="AN396" i="48"/>
  <c r="AL396" i="48"/>
  <c r="AJ396" i="48"/>
  <c r="AH396" i="48"/>
  <c r="AF396" i="48"/>
  <c r="AD396" i="48"/>
  <c r="CG396" i="48"/>
  <c r="AM396" i="48"/>
  <c r="AI396" i="48"/>
  <c r="AE396" i="48"/>
  <c r="AO396" i="48"/>
  <c r="AG396" i="48"/>
  <c r="AC396" i="48"/>
  <c r="CD399" i="48"/>
  <c r="CF399" i="48" s="1"/>
  <c r="AW399" i="48" s="1"/>
  <c r="CG401" i="48"/>
  <c r="AO401" i="48"/>
  <c r="AM401" i="48"/>
  <c r="AK401" i="48"/>
  <c r="AI401" i="48"/>
  <c r="AG401" i="48"/>
  <c r="AE401" i="48"/>
  <c r="AC401" i="48"/>
  <c r="AL401" i="48"/>
  <c r="AH401" i="48"/>
  <c r="AD401" i="48"/>
  <c r="AN401" i="48"/>
  <c r="AF401" i="48"/>
  <c r="AN404" i="48"/>
  <c r="AL404" i="48"/>
  <c r="AJ404" i="48"/>
  <c r="AH404" i="48"/>
  <c r="AF404" i="48"/>
  <c r="AD404" i="48"/>
  <c r="AM404" i="48"/>
  <c r="AI404" i="48"/>
  <c r="AE404" i="48"/>
  <c r="AO404" i="48"/>
  <c r="AG404" i="48"/>
  <c r="AC404" i="48"/>
  <c r="CD408" i="48"/>
  <c r="CF408" i="48" s="1"/>
  <c r="BA408" i="48" s="1"/>
  <c r="CE408" i="48"/>
  <c r="AC408" i="48" s="1"/>
  <c r="AO408" i="48"/>
  <c r="AV411" i="48"/>
  <c r="AT411" i="48"/>
  <c r="BG411" i="48"/>
  <c r="BC411" i="48"/>
  <c r="AU411" i="48"/>
  <c r="BA411" i="48"/>
  <c r="BE411" i="48"/>
  <c r="AW411" i="48"/>
  <c r="AV409" i="48"/>
  <c r="AT409" i="48"/>
  <c r="BE409" i="48"/>
  <c r="BA409" i="48"/>
  <c r="BG409" i="48"/>
  <c r="CD416" i="48"/>
  <c r="CF416" i="48" s="1"/>
  <c r="BA416" i="48" s="1"/>
  <c r="CE416" i="48"/>
  <c r="AG416" i="48" s="1"/>
  <c r="AV417" i="48"/>
  <c r="AT417" i="48"/>
  <c r="BE417" i="48"/>
  <c r="BA417" i="48"/>
  <c r="BG417" i="48"/>
  <c r="CD424" i="48"/>
  <c r="CF424" i="48" s="1"/>
  <c r="BA424" i="48" s="1"/>
  <c r="CE424" i="48"/>
  <c r="AK424" i="48" s="1"/>
  <c r="AV425" i="48"/>
  <c r="AT425" i="48"/>
  <c r="BE425" i="48"/>
  <c r="BA425" i="48"/>
  <c r="BG425" i="48"/>
  <c r="BG427" i="48"/>
  <c r="AW427" i="48"/>
  <c r="AM429" i="48"/>
  <c r="AE429" i="48"/>
  <c r="AD429" i="48"/>
  <c r="AN432" i="48"/>
  <c r="AL432" i="48"/>
  <c r="AJ432" i="48"/>
  <c r="AH432" i="48"/>
  <c r="AF432" i="48"/>
  <c r="AD432" i="48"/>
  <c r="CG432" i="48"/>
  <c r="AM432" i="48"/>
  <c r="AI432" i="48"/>
  <c r="AE432" i="48"/>
  <c r="AO432" i="48"/>
  <c r="AG432" i="48"/>
  <c r="BG433" i="48"/>
  <c r="AW433" i="48"/>
  <c r="AV441" i="48"/>
  <c r="AT441" i="48"/>
  <c r="BG441" i="48"/>
  <c r="BC441" i="48"/>
  <c r="AU441" i="48"/>
  <c r="BE441" i="48"/>
  <c r="AW441" i="48"/>
  <c r="BA441" i="48"/>
  <c r="AV449" i="48"/>
  <c r="AT449" i="48"/>
  <c r="BG449" i="48"/>
  <c r="BC449" i="48"/>
  <c r="AU449" i="48"/>
  <c r="BE449" i="48"/>
  <c r="AW449" i="48"/>
  <c r="BA449" i="48"/>
  <c r="CD469" i="48"/>
  <c r="CF469" i="48" s="1"/>
  <c r="AO471" i="48"/>
  <c r="AM471" i="48"/>
  <c r="AK471" i="48"/>
  <c r="AI471" i="48"/>
  <c r="AG471" i="48"/>
  <c r="AE471" i="48"/>
  <c r="AC471" i="48"/>
  <c r="AL471" i="48"/>
  <c r="AH471" i="48"/>
  <c r="AD471" i="48"/>
  <c r="AN471" i="48"/>
  <c r="AF471" i="48"/>
  <c r="AW183" i="48"/>
  <c r="AU183" i="48"/>
  <c r="BA183" i="48"/>
  <c r="BC183" i="48"/>
  <c r="BE183" i="48"/>
  <c r="BG183" i="48"/>
  <c r="AZ184" i="48"/>
  <c r="BB184" i="48"/>
  <c r="BD184" i="48"/>
  <c r="BF184" i="48"/>
  <c r="CE186" i="48"/>
  <c r="AJ186" i="48" s="1"/>
  <c r="AW187" i="48"/>
  <c r="AU187" i="48"/>
  <c r="BA187" i="48"/>
  <c r="BC187" i="48"/>
  <c r="BE187" i="48"/>
  <c r="BG187" i="48"/>
  <c r="AZ188" i="48"/>
  <c r="BB188" i="48"/>
  <c r="BD188" i="48"/>
  <c r="BF188" i="48"/>
  <c r="CE190" i="48"/>
  <c r="AW191" i="48"/>
  <c r="AU191" i="48"/>
  <c r="BA191" i="48"/>
  <c r="BC191" i="48"/>
  <c r="BE191" i="48"/>
  <c r="BG191" i="48"/>
  <c r="AZ192" i="48"/>
  <c r="BB192" i="48"/>
  <c r="BD192" i="48"/>
  <c r="BF192" i="48"/>
  <c r="CE194" i="48"/>
  <c r="AJ194" i="48" s="1"/>
  <c r="AW195" i="48"/>
  <c r="AU195" i="48"/>
  <c r="BA195" i="48"/>
  <c r="BC195" i="48"/>
  <c r="BE195" i="48"/>
  <c r="BG195" i="48"/>
  <c r="AZ196" i="48"/>
  <c r="BB196" i="48"/>
  <c r="BD196" i="48"/>
  <c r="BF196" i="48"/>
  <c r="CE198" i="48"/>
  <c r="AW199" i="48"/>
  <c r="AU199" i="48"/>
  <c r="BA199" i="48"/>
  <c r="BC199" i="48"/>
  <c r="BE199" i="48"/>
  <c r="BG199" i="48"/>
  <c r="AZ200" i="48"/>
  <c r="BB200" i="48"/>
  <c r="BD200" i="48"/>
  <c r="BF200" i="48"/>
  <c r="CE202" i="48"/>
  <c r="AJ202" i="48" s="1"/>
  <c r="AW203" i="48"/>
  <c r="AU203" i="48"/>
  <c r="BA203" i="48"/>
  <c r="BC203" i="48"/>
  <c r="BE203" i="48"/>
  <c r="BG203" i="48"/>
  <c r="AZ204" i="48"/>
  <c r="BB204" i="48"/>
  <c r="BD204" i="48"/>
  <c r="BF204" i="48"/>
  <c r="CE206" i="48"/>
  <c r="AW207" i="48"/>
  <c r="AU207" i="48"/>
  <c r="BA207" i="48"/>
  <c r="BC207" i="48"/>
  <c r="BE207" i="48"/>
  <c r="BG207" i="48"/>
  <c r="AZ208" i="48"/>
  <c r="BB208" i="48"/>
  <c r="BD208" i="48"/>
  <c r="BF208" i="48"/>
  <c r="AW209" i="48"/>
  <c r="AU209" i="48"/>
  <c r="BA209" i="48"/>
  <c r="BC209" i="48"/>
  <c r="BK209" i="48" s="1"/>
  <c r="BE209" i="48"/>
  <c r="BG209" i="48"/>
  <c r="AZ210" i="48"/>
  <c r="BB210" i="48"/>
  <c r="BD210" i="48"/>
  <c r="BF210" i="48"/>
  <c r="CE212" i="48"/>
  <c r="AF212" i="48" s="1"/>
  <c r="AW213" i="48"/>
  <c r="AU213" i="48"/>
  <c r="BA213" i="48"/>
  <c r="BC213" i="48"/>
  <c r="BE213" i="48"/>
  <c r="BG213" i="48"/>
  <c r="AZ214" i="48"/>
  <c r="BB214" i="48"/>
  <c r="BD214" i="48"/>
  <c r="BF214" i="48"/>
  <c r="CE216" i="48"/>
  <c r="AW217" i="48"/>
  <c r="AU217" i="48"/>
  <c r="BA217" i="48"/>
  <c r="BC217" i="48"/>
  <c r="BE217" i="48"/>
  <c r="BG217" i="48"/>
  <c r="AZ218" i="48"/>
  <c r="BB218" i="48"/>
  <c r="BD218" i="48"/>
  <c r="BF218" i="48"/>
  <c r="CE220" i="48"/>
  <c r="AF220" i="48" s="1"/>
  <c r="AZ222" i="48"/>
  <c r="BB222" i="48"/>
  <c r="BD222" i="48"/>
  <c r="BF222" i="48"/>
  <c r="CE224" i="48"/>
  <c r="AW225" i="48"/>
  <c r="AU225" i="48"/>
  <c r="BA225" i="48"/>
  <c r="BC225" i="48"/>
  <c r="BE225" i="48"/>
  <c r="BG225" i="48"/>
  <c r="AZ226" i="48"/>
  <c r="BB226" i="48"/>
  <c r="BD226" i="48"/>
  <c r="BF226" i="48"/>
  <c r="CE228" i="48"/>
  <c r="AF228" i="48" s="1"/>
  <c r="AU229" i="48"/>
  <c r="BG229" i="48"/>
  <c r="AZ230" i="48"/>
  <c r="BB230" i="48"/>
  <c r="BD230" i="48"/>
  <c r="BF230" i="48"/>
  <c r="CE232" i="48"/>
  <c r="AW233" i="48"/>
  <c r="AU233" i="48"/>
  <c r="BA233" i="48"/>
  <c r="BC233" i="48"/>
  <c r="BE233" i="48"/>
  <c r="BG233" i="48"/>
  <c r="AZ234" i="48"/>
  <c r="BB234" i="48"/>
  <c r="BD234" i="48"/>
  <c r="BF234" i="48"/>
  <c r="CE236" i="48"/>
  <c r="AJ236" i="48" s="1"/>
  <c r="CE238" i="48"/>
  <c r="AW239" i="48"/>
  <c r="AU239" i="48"/>
  <c r="BA239" i="48"/>
  <c r="BC239" i="48"/>
  <c r="BE239" i="48"/>
  <c r="BG239" i="48"/>
  <c r="BB240" i="48"/>
  <c r="BF240" i="48"/>
  <c r="CE242" i="48"/>
  <c r="AF242" i="48" s="1"/>
  <c r="AW243" i="48"/>
  <c r="AU243" i="48"/>
  <c r="BA243" i="48"/>
  <c r="BC243" i="48"/>
  <c r="BE243" i="48"/>
  <c r="BG243" i="48"/>
  <c r="AZ244" i="48"/>
  <c r="BB244" i="48"/>
  <c r="BD244" i="48"/>
  <c r="BF244" i="48"/>
  <c r="CE246" i="48"/>
  <c r="AW247" i="48"/>
  <c r="AU247" i="48"/>
  <c r="BA247" i="48"/>
  <c r="BC247" i="48"/>
  <c r="BE247" i="48"/>
  <c r="BG247" i="48"/>
  <c r="BB248" i="48"/>
  <c r="BF248" i="48"/>
  <c r="CE250" i="48"/>
  <c r="AF250" i="48" s="1"/>
  <c r="BA251" i="48"/>
  <c r="AZ252" i="48"/>
  <c r="BB252" i="48"/>
  <c r="BD252" i="48"/>
  <c r="BF252" i="48"/>
  <c r="CE254" i="48"/>
  <c r="AW255" i="48"/>
  <c r="AU255" i="48"/>
  <c r="BA255" i="48"/>
  <c r="BC255" i="48"/>
  <c r="BE255" i="48"/>
  <c r="BG255" i="48"/>
  <c r="CE258" i="48"/>
  <c r="AF258" i="48" s="1"/>
  <c r="AW259" i="48"/>
  <c r="AU259" i="48"/>
  <c r="BA259" i="48"/>
  <c r="BC259" i="48"/>
  <c r="BE259" i="48"/>
  <c r="BG259" i="48"/>
  <c r="BA260" i="48"/>
  <c r="AZ261" i="48"/>
  <c r="BB261" i="48"/>
  <c r="BD261" i="48"/>
  <c r="BF261" i="48"/>
  <c r="CE263" i="48"/>
  <c r="CE265" i="48"/>
  <c r="AJ265" i="48" s="1"/>
  <c r="BA266" i="48"/>
  <c r="AZ267" i="48"/>
  <c r="BB267" i="48"/>
  <c r="BD267" i="48"/>
  <c r="BF267" i="48"/>
  <c r="CE269" i="48"/>
  <c r="AW270" i="48"/>
  <c r="AU270" i="48"/>
  <c r="BA270" i="48"/>
  <c r="BC270" i="48"/>
  <c r="BE270" i="48"/>
  <c r="BG270" i="48"/>
  <c r="AZ271" i="48"/>
  <c r="BB271" i="48"/>
  <c r="BD271" i="48"/>
  <c r="BF271" i="48"/>
  <c r="CE273" i="48"/>
  <c r="AJ273" i="48" s="1"/>
  <c r="AW274" i="48"/>
  <c r="AU274" i="48"/>
  <c r="BA274" i="48"/>
  <c r="BC274" i="48"/>
  <c r="BE274" i="48"/>
  <c r="BG274" i="48"/>
  <c r="AZ275" i="48"/>
  <c r="BB275" i="48"/>
  <c r="BD275" i="48"/>
  <c r="BF275" i="48"/>
  <c r="CE277" i="48"/>
  <c r="AW278" i="48"/>
  <c r="AU278" i="48"/>
  <c r="BA278" i="48"/>
  <c r="BC278" i="48"/>
  <c r="BK278" i="48" s="1"/>
  <c r="BE278" i="48"/>
  <c r="BG278" i="48"/>
  <c r="AZ279" i="48"/>
  <c r="BB279" i="48"/>
  <c r="BD279" i="48"/>
  <c r="BF279" i="48"/>
  <c r="CE281" i="48"/>
  <c r="AJ281" i="48" s="1"/>
  <c r="AW282" i="48"/>
  <c r="AU282" i="48"/>
  <c r="BA282" i="48"/>
  <c r="BC282" i="48"/>
  <c r="BE282" i="48"/>
  <c r="BG282" i="48"/>
  <c r="CE285" i="48"/>
  <c r="AW286" i="48"/>
  <c r="AU286" i="48"/>
  <c r="BA286" i="48"/>
  <c r="BC286" i="48"/>
  <c r="BE286" i="48"/>
  <c r="BG286" i="48"/>
  <c r="AZ287" i="48"/>
  <c r="BB287" i="48"/>
  <c r="BD287" i="48"/>
  <c r="BF287" i="48"/>
  <c r="CE289" i="48"/>
  <c r="AJ289" i="48" s="1"/>
  <c r="AW290" i="48"/>
  <c r="AU290" i="48"/>
  <c r="BA290" i="48"/>
  <c r="BC290" i="48"/>
  <c r="BE290" i="48"/>
  <c r="BG290" i="48"/>
  <c r="AZ291" i="48"/>
  <c r="BB291" i="48"/>
  <c r="BD291" i="48"/>
  <c r="BF291" i="48"/>
  <c r="CE293" i="48"/>
  <c r="AW294" i="48"/>
  <c r="AU294" i="48"/>
  <c r="BA294" i="48"/>
  <c r="BC294" i="48"/>
  <c r="BK294" i="48" s="1"/>
  <c r="BE294" i="48"/>
  <c r="BG294" i="48"/>
  <c r="AZ295" i="48"/>
  <c r="BB295" i="48"/>
  <c r="BD295" i="48"/>
  <c r="BF295" i="48"/>
  <c r="CE297" i="48"/>
  <c r="AJ297" i="48" s="1"/>
  <c r="AW298" i="48"/>
  <c r="AU298" i="48"/>
  <c r="BA298" i="48"/>
  <c r="BC298" i="48"/>
  <c r="BE298" i="48"/>
  <c r="BG298" i="48"/>
  <c r="AZ299" i="48"/>
  <c r="BB299" i="48"/>
  <c r="BD299" i="48"/>
  <c r="BF299" i="48"/>
  <c r="CE301" i="48"/>
  <c r="AW302" i="48"/>
  <c r="AU302" i="48"/>
  <c r="BA302" i="48"/>
  <c r="BC302" i="48"/>
  <c r="BE302" i="48"/>
  <c r="BG302" i="48"/>
  <c r="AZ303" i="48"/>
  <c r="BB303" i="48"/>
  <c r="BD303" i="48"/>
  <c r="BF303" i="48"/>
  <c r="CE305" i="48"/>
  <c r="AJ305" i="48" s="1"/>
  <c r="AW306" i="48"/>
  <c r="AU306" i="48"/>
  <c r="BA306" i="48"/>
  <c r="BC306" i="48"/>
  <c r="BE306" i="48"/>
  <c r="BG306" i="48"/>
  <c r="AZ307" i="48"/>
  <c r="BB307" i="48"/>
  <c r="BD307" i="48"/>
  <c r="BF307" i="48"/>
  <c r="CE309" i="48"/>
  <c r="AW310" i="48"/>
  <c r="AU310" i="48"/>
  <c r="BA310" i="48"/>
  <c r="BC310" i="48"/>
  <c r="BK310" i="48" s="1"/>
  <c r="BE310" i="48"/>
  <c r="BG310" i="48"/>
  <c r="AZ311" i="48"/>
  <c r="BB311" i="48"/>
  <c r="BD311" i="48"/>
  <c r="BF311" i="48"/>
  <c r="CE313" i="48"/>
  <c r="AJ313" i="48" s="1"/>
  <c r="AW314" i="48"/>
  <c r="AU314" i="48"/>
  <c r="BA314" i="48"/>
  <c r="BC314" i="48"/>
  <c r="BE314" i="48"/>
  <c r="BG314" i="48"/>
  <c r="AW315" i="48"/>
  <c r="AZ315" i="48"/>
  <c r="BB315" i="48"/>
  <c r="BD315" i="48"/>
  <c r="BF315" i="48"/>
  <c r="AN316" i="48"/>
  <c r="AL316" i="48"/>
  <c r="AJ316" i="48"/>
  <c r="AH316" i="48"/>
  <c r="AF316" i="48"/>
  <c r="AD316" i="48"/>
  <c r="CG316" i="48"/>
  <c r="AM316" i="48"/>
  <c r="AI316" i="48"/>
  <c r="AE316" i="48"/>
  <c r="CG317" i="48"/>
  <c r="AO317" i="48"/>
  <c r="AM317" i="48"/>
  <c r="AK317" i="48"/>
  <c r="AI317" i="48"/>
  <c r="AG317" i="48"/>
  <c r="AE317" i="48"/>
  <c r="AC317" i="48"/>
  <c r="AL317" i="48"/>
  <c r="AH317" i="48"/>
  <c r="AD317" i="48"/>
  <c r="AW319" i="48"/>
  <c r="AZ319" i="48"/>
  <c r="BB319" i="48"/>
  <c r="BD319" i="48"/>
  <c r="BF319" i="48"/>
  <c r="AN320" i="48"/>
  <c r="AL320" i="48"/>
  <c r="AJ320" i="48"/>
  <c r="AH320" i="48"/>
  <c r="AF320" i="48"/>
  <c r="AD320" i="48"/>
  <c r="CG320" i="48"/>
  <c r="AM320" i="48"/>
  <c r="AI320" i="48"/>
  <c r="AE320" i="48"/>
  <c r="AQ320" i="48" s="1"/>
  <c r="CG321" i="48"/>
  <c r="AO321" i="48"/>
  <c r="AM321" i="48"/>
  <c r="AK321" i="48"/>
  <c r="AI321" i="48"/>
  <c r="AG321" i="48"/>
  <c r="AE321" i="48"/>
  <c r="AC321" i="48"/>
  <c r="AL321" i="48"/>
  <c r="AH321" i="48"/>
  <c r="AD321" i="48"/>
  <c r="AW323" i="48"/>
  <c r="AZ323" i="48"/>
  <c r="BB323" i="48"/>
  <c r="BD323" i="48"/>
  <c r="BF323" i="48"/>
  <c r="AN324" i="48"/>
  <c r="AL324" i="48"/>
  <c r="AJ324" i="48"/>
  <c r="AH324" i="48"/>
  <c r="AF324" i="48"/>
  <c r="AD324" i="48"/>
  <c r="CG324" i="48"/>
  <c r="AM324" i="48"/>
  <c r="AI324" i="48"/>
  <c r="AE324" i="48"/>
  <c r="CD326" i="48"/>
  <c r="CF326" i="48" s="1"/>
  <c r="BG326" i="48" s="1"/>
  <c r="CE326" i="48"/>
  <c r="AG326" i="48" s="1"/>
  <c r="CD330" i="48"/>
  <c r="CF330" i="48" s="1"/>
  <c r="BA330" i="48" s="1"/>
  <c r="CE330" i="48"/>
  <c r="AC330" i="48" s="1"/>
  <c r="CD334" i="48"/>
  <c r="CF334" i="48" s="1"/>
  <c r="BG334" i="48" s="1"/>
  <c r="CE334" i="48"/>
  <c r="AG334" i="48" s="1"/>
  <c r="CD338" i="48"/>
  <c r="CF338" i="48" s="1"/>
  <c r="BA338" i="48" s="1"/>
  <c r="CE338" i="48"/>
  <c r="AK338" i="48" s="1"/>
  <c r="CD342" i="48"/>
  <c r="CF342" i="48" s="1"/>
  <c r="BG342" i="48" s="1"/>
  <c r="CE342" i="48"/>
  <c r="AG342" i="48" s="1"/>
  <c r="CD346" i="48"/>
  <c r="CF346" i="48" s="1"/>
  <c r="BA346" i="48" s="1"/>
  <c r="CE346" i="48"/>
  <c r="AG346" i="48" s="1"/>
  <c r="CD350" i="48"/>
  <c r="CF350" i="48" s="1"/>
  <c r="BG350" i="48" s="1"/>
  <c r="CE350" i="48"/>
  <c r="AG350" i="48" s="1"/>
  <c r="CD354" i="48"/>
  <c r="CF354" i="48" s="1"/>
  <c r="BA354" i="48" s="1"/>
  <c r="CE354" i="48"/>
  <c r="AC354" i="48" s="1"/>
  <c r="CD358" i="48"/>
  <c r="CF358" i="48" s="1"/>
  <c r="BG358" i="48" s="1"/>
  <c r="CE358" i="48"/>
  <c r="AG358" i="48" s="1"/>
  <c r="CD362" i="48"/>
  <c r="CF362" i="48" s="1"/>
  <c r="CE362" i="48"/>
  <c r="AC362" i="48" s="1"/>
  <c r="CD366" i="48"/>
  <c r="CF366" i="48" s="1"/>
  <c r="BG366" i="48" s="1"/>
  <c r="CE366" i="48"/>
  <c r="AG366" i="48" s="1"/>
  <c r="CG369" i="48"/>
  <c r="AO369" i="48"/>
  <c r="AM369" i="48"/>
  <c r="AK369" i="48"/>
  <c r="AI369" i="48"/>
  <c r="AG369" i="48"/>
  <c r="AE369" i="48"/>
  <c r="AC369" i="48"/>
  <c r="AL369" i="48"/>
  <c r="AH369" i="48"/>
  <c r="AD369" i="48"/>
  <c r="AW371" i="48"/>
  <c r="AZ371" i="48"/>
  <c r="BB371" i="48"/>
  <c r="BD371" i="48"/>
  <c r="BF371" i="48"/>
  <c r="AN372" i="48"/>
  <c r="AL372" i="48"/>
  <c r="AJ372" i="48"/>
  <c r="AH372" i="48"/>
  <c r="AF372" i="48"/>
  <c r="AD372" i="48"/>
  <c r="CG372" i="48"/>
  <c r="AM372" i="48"/>
  <c r="AI372" i="48"/>
  <c r="AE372" i="48"/>
  <c r="CG373" i="48"/>
  <c r="AO373" i="48"/>
  <c r="AM373" i="48"/>
  <c r="AK373" i="48"/>
  <c r="AI373" i="48"/>
  <c r="AG373" i="48"/>
  <c r="AE373" i="48"/>
  <c r="AC373" i="48"/>
  <c r="AL373" i="48"/>
  <c r="AH373" i="48"/>
  <c r="AD373" i="48"/>
  <c r="AW375" i="48"/>
  <c r="AZ375" i="48"/>
  <c r="BB375" i="48"/>
  <c r="BD375" i="48"/>
  <c r="BF375" i="48"/>
  <c r="AN376" i="48"/>
  <c r="AL376" i="48"/>
  <c r="AJ376" i="48"/>
  <c r="AH376" i="48"/>
  <c r="AF376" i="48"/>
  <c r="AD376" i="48"/>
  <c r="CG376" i="48"/>
  <c r="AM376" i="48"/>
  <c r="AI376" i="48"/>
  <c r="AE376" i="48"/>
  <c r="AO377" i="48"/>
  <c r="AM377" i="48"/>
  <c r="AK377" i="48"/>
  <c r="AI377" i="48"/>
  <c r="AG377" i="48"/>
  <c r="AE377" i="48"/>
  <c r="AC377" i="48"/>
  <c r="AL377" i="48"/>
  <c r="AH377" i="48"/>
  <c r="AD377" i="48"/>
  <c r="AW379" i="48"/>
  <c r="AZ379" i="48"/>
  <c r="BB379" i="48"/>
  <c r="BD379" i="48"/>
  <c r="BF379" i="48"/>
  <c r="AN380" i="48"/>
  <c r="AL380" i="48"/>
  <c r="AJ380" i="48"/>
  <c r="AH380" i="48"/>
  <c r="AF380" i="48"/>
  <c r="AD380" i="48"/>
  <c r="CG380" i="48"/>
  <c r="AM380" i="48"/>
  <c r="AI380" i="48"/>
  <c r="AE380" i="48"/>
  <c r="AO381" i="48"/>
  <c r="AG381" i="48"/>
  <c r="AH381" i="48"/>
  <c r="AZ383" i="48"/>
  <c r="AN384" i="48"/>
  <c r="AL384" i="48"/>
  <c r="AJ384" i="48"/>
  <c r="AH384" i="48"/>
  <c r="AF384" i="48"/>
  <c r="AD384" i="48"/>
  <c r="CG384" i="48"/>
  <c r="AM384" i="48"/>
  <c r="AI384" i="48"/>
  <c r="AE384" i="48"/>
  <c r="AQ384" i="48" s="1"/>
  <c r="CG385" i="48"/>
  <c r="AO385" i="48"/>
  <c r="AM385" i="48"/>
  <c r="AK385" i="48"/>
  <c r="AI385" i="48"/>
  <c r="AG385" i="48"/>
  <c r="AE385" i="48"/>
  <c r="AC385" i="48"/>
  <c r="AL385" i="48"/>
  <c r="AH385" i="48"/>
  <c r="AD385" i="48"/>
  <c r="AW387" i="48"/>
  <c r="AZ387" i="48"/>
  <c r="BB387" i="48"/>
  <c r="BD387" i="48"/>
  <c r="BF387" i="48"/>
  <c r="AN388" i="48"/>
  <c r="AL388" i="48"/>
  <c r="AJ388" i="48"/>
  <c r="AH388" i="48"/>
  <c r="AF388" i="48"/>
  <c r="AD388" i="48"/>
  <c r="CG388" i="48"/>
  <c r="AM388" i="48"/>
  <c r="AI388" i="48"/>
  <c r="AE388" i="48"/>
  <c r="AQ388" i="48" s="1"/>
  <c r="AW391" i="48"/>
  <c r="AZ391" i="48"/>
  <c r="BB391" i="48"/>
  <c r="BD391" i="48"/>
  <c r="BF391" i="48"/>
  <c r="AN392" i="48"/>
  <c r="AL392" i="48"/>
  <c r="AJ392" i="48"/>
  <c r="AH392" i="48"/>
  <c r="AF392" i="48"/>
  <c r="CG392" i="48"/>
  <c r="AM392" i="48"/>
  <c r="AI392" i="48"/>
  <c r="AE392" i="48"/>
  <c r="AC392" i="48"/>
  <c r="AO392" i="48"/>
  <c r="AG392" i="48"/>
  <c r="AV393" i="48"/>
  <c r="AT393" i="48"/>
  <c r="BG393" i="48"/>
  <c r="BC393" i="48"/>
  <c r="AU393" i="48"/>
  <c r="BE393" i="48"/>
  <c r="AW393" i="48"/>
  <c r="CD395" i="48"/>
  <c r="CF395" i="48" s="1"/>
  <c r="AU395" i="48" s="1"/>
  <c r="CG397" i="48"/>
  <c r="AO397" i="48"/>
  <c r="AM397" i="48"/>
  <c r="AK397" i="48"/>
  <c r="AI397" i="48"/>
  <c r="AG397" i="48"/>
  <c r="AE397" i="48"/>
  <c r="AC397" i="48"/>
  <c r="AL397" i="48"/>
  <c r="AH397" i="48"/>
  <c r="AD397" i="48"/>
  <c r="AN397" i="48"/>
  <c r="AF397" i="48"/>
  <c r="AN400" i="48"/>
  <c r="AL400" i="48"/>
  <c r="AJ400" i="48"/>
  <c r="AH400" i="48"/>
  <c r="AF400" i="48"/>
  <c r="AD400" i="48"/>
  <c r="CG400" i="48"/>
  <c r="AM400" i="48"/>
  <c r="AI400" i="48"/>
  <c r="AE400" i="48"/>
  <c r="AQ400" i="48" s="1"/>
  <c r="AO400" i="48"/>
  <c r="AG400" i="48"/>
  <c r="AV401" i="48"/>
  <c r="AT401" i="48"/>
  <c r="BG401" i="48"/>
  <c r="BC401" i="48"/>
  <c r="AU401" i="48"/>
  <c r="BE401" i="48"/>
  <c r="AW401" i="48"/>
  <c r="CD403" i="48"/>
  <c r="CF403" i="48" s="1"/>
  <c r="AO405" i="48"/>
  <c r="AM405" i="48"/>
  <c r="AK405" i="48"/>
  <c r="AI405" i="48"/>
  <c r="AG405" i="48"/>
  <c r="AE405" i="48"/>
  <c r="AC405" i="48"/>
  <c r="AL405" i="48"/>
  <c r="AH405" i="48"/>
  <c r="AD405" i="48"/>
  <c r="AN405" i="48"/>
  <c r="AF405" i="48"/>
  <c r="AN406" i="48"/>
  <c r="AL406" i="48"/>
  <c r="AJ406" i="48"/>
  <c r="AH406" i="48"/>
  <c r="AF406" i="48"/>
  <c r="AD406" i="48"/>
  <c r="CG406" i="48"/>
  <c r="AM406" i="48"/>
  <c r="AI406" i="48"/>
  <c r="AE406" i="48"/>
  <c r="AQ406" i="48" s="1"/>
  <c r="AO406" i="48"/>
  <c r="AG406" i="48"/>
  <c r="BC409" i="48"/>
  <c r="CD412" i="48"/>
  <c r="CF412" i="48" s="1"/>
  <c r="BC412" i="48" s="1"/>
  <c r="CE412" i="48"/>
  <c r="AG412" i="48" s="1"/>
  <c r="AV413" i="48"/>
  <c r="AT413" i="48"/>
  <c r="BE413" i="48"/>
  <c r="BA413" i="48"/>
  <c r="BG413" i="48"/>
  <c r="BC417" i="48"/>
  <c r="CD420" i="48"/>
  <c r="CF420" i="48" s="1"/>
  <c r="BA420" i="48" s="1"/>
  <c r="CE420" i="48"/>
  <c r="AG420" i="48" s="1"/>
  <c r="BA421" i="48"/>
  <c r="BC425" i="48"/>
  <c r="BA427" i="48"/>
  <c r="CG427" i="48"/>
  <c r="AO427" i="48"/>
  <c r="AM427" i="48"/>
  <c r="AK427" i="48"/>
  <c r="AI427" i="48"/>
  <c r="AG427" i="48"/>
  <c r="AE427" i="48"/>
  <c r="AC427" i="48"/>
  <c r="AL427" i="48"/>
  <c r="AH427" i="48"/>
  <c r="AD427" i="48"/>
  <c r="AN427" i="48"/>
  <c r="AF427" i="48"/>
  <c r="AN428" i="48"/>
  <c r="AL428" i="48"/>
  <c r="AJ428" i="48"/>
  <c r="AH428" i="48"/>
  <c r="AF428" i="48"/>
  <c r="AD428" i="48"/>
  <c r="CG428" i="48"/>
  <c r="AM428" i="48"/>
  <c r="AI428" i="48"/>
  <c r="AE428" i="48"/>
  <c r="AO428" i="48"/>
  <c r="AG428" i="48"/>
  <c r="AV429" i="48"/>
  <c r="AT429" i="48"/>
  <c r="BG429" i="48"/>
  <c r="BC429" i="48"/>
  <c r="AU429" i="48"/>
  <c r="BE429" i="48"/>
  <c r="AW429" i="48"/>
  <c r="CD431" i="48"/>
  <c r="CF431" i="48" s="1"/>
  <c r="AU431" i="48" s="1"/>
  <c r="AC432" i="48"/>
  <c r="CG433" i="48"/>
  <c r="AO433" i="48"/>
  <c r="AM433" i="48"/>
  <c r="AK433" i="48"/>
  <c r="AI433" i="48"/>
  <c r="AG433" i="48"/>
  <c r="AE433" i="48"/>
  <c r="AC433" i="48"/>
  <c r="AL433" i="48"/>
  <c r="AH433" i="48"/>
  <c r="AD433" i="48"/>
  <c r="AN433" i="48"/>
  <c r="AF433" i="48"/>
  <c r="AO437" i="48"/>
  <c r="AG437" i="48"/>
  <c r="AH437" i="48"/>
  <c r="AN440" i="48"/>
  <c r="AJ440" i="48"/>
  <c r="AH440" i="48"/>
  <c r="AF440" i="48"/>
  <c r="CG440" i="48"/>
  <c r="AM440" i="48"/>
  <c r="AI440" i="48"/>
  <c r="AO440" i="48"/>
  <c r="AG440" i="48"/>
  <c r="AC440" i="48"/>
  <c r="CD443" i="48"/>
  <c r="CF443" i="48" s="1"/>
  <c r="AU443" i="48" s="1"/>
  <c r="CG445" i="48"/>
  <c r="AO445" i="48"/>
  <c r="AM445" i="48"/>
  <c r="AI445" i="48"/>
  <c r="AG445" i="48"/>
  <c r="AE445" i="48"/>
  <c r="AL445" i="48"/>
  <c r="AH445" i="48"/>
  <c r="AD445" i="48"/>
  <c r="AF445" i="48"/>
  <c r="AN448" i="48"/>
  <c r="AL448" i="48"/>
  <c r="AJ448" i="48"/>
  <c r="AH448" i="48"/>
  <c r="AF448" i="48"/>
  <c r="AD448" i="48"/>
  <c r="CG448" i="48"/>
  <c r="AM448" i="48"/>
  <c r="AI448" i="48"/>
  <c r="AE448" i="48"/>
  <c r="AO448" i="48"/>
  <c r="AG448" i="48"/>
  <c r="AC448" i="48"/>
  <c r="CD451" i="48"/>
  <c r="CF451" i="48" s="1"/>
  <c r="AU451" i="48" s="1"/>
  <c r="CD453" i="48"/>
  <c r="CF453" i="48" s="1"/>
  <c r="AW453" i="48" s="1"/>
  <c r="CG455" i="48"/>
  <c r="AO455" i="48"/>
  <c r="AM455" i="48"/>
  <c r="AK455" i="48"/>
  <c r="AI455" i="48"/>
  <c r="AG455" i="48"/>
  <c r="AE455" i="48"/>
  <c r="AC455" i="48"/>
  <c r="AL455" i="48"/>
  <c r="AH455" i="48"/>
  <c r="AD455" i="48"/>
  <c r="AN455" i="48"/>
  <c r="AF455" i="48"/>
  <c r="AV460" i="48"/>
  <c r="AT460" i="48"/>
  <c r="BG460" i="48"/>
  <c r="BC460" i="48"/>
  <c r="AU460" i="48"/>
  <c r="BE460" i="48"/>
  <c r="AW460" i="48"/>
  <c r="BA460" i="48"/>
  <c r="CE315" i="48"/>
  <c r="AW316" i="48"/>
  <c r="AU316" i="48"/>
  <c r="BA316" i="48"/>
  <c r="BC316" i="48"/>
  <c r="BE316" i="48"/>
  <c r="BG316" i="48"/>
  <c r="AZ317" i="48"/>
  <c r="BB317" i="48"/>
  <c r="BD317" i="48"/>
  <c r="BF317" i="48"/>
  <c r="CE319" i="48"/>
  <c r="AF319" i="48" s="1"/>
  <c r="AW320" i="48"/>
  <c r="AU320" i="48"/>
  <c r="BA320" i="48"/>
  <c r="BC320" i="48"/>
  <c r="BE320" i="48"/>
  <c r="BG320" i="48"/>
  <c r="AZ321" i="48"/>
  <c r="BB321" i="48"/>
  <c r="BD321" i="48"/>
  <c r="BF321" i="48"/>
  <c r="CE323" i="48"/>
  <c r="AW324" i="48"/>
  <c r="AU324" i="48"/>
  <c r="BA324" i="48"/>
  <c r="BC324" i="48"/>
  <c r="BE324" i="48"/>
  <c r="BG324" i="48"/>
  <c r="AZ325" i="48"/>
  <c r="BB325" i="48"/>
  <c r="BD325" i="48"/>
  <c r="BF325" i="48"/>
  <c r="CE327" i="48"/>
  <c r="AJ327" i="48" s="1"/>
  <c r="AW328" i="48"/>
  <c r="AU328" i="48"/>
  <c r="BA328" i="48"/>
  <c r="BC328" i="48"/>
  <c r="BE328" i="48"/>
  <c r="BG328" i="48"/>
  <c r="AZ329" i="48"/>
  <c r="BB329" i="48"/>
  <c r="BD329" i="48"/>
  <c r="BF329" i="48"/>
  <c r="CE331" i="48"/>
  <c r="AW332" i="48"/>
  <c r="AU332" i="48"/>
  <c r="BA332" i="48"/>
  <c r="BC332" i="48"/>
  <c r="BE332" i="48"/>
  <c r="BG332" i="48"/>
  <c r="AZ333" i="48"/>
  <c r="BB333" i="48"/>
  <c r="BD333" i="48"/>
  <c r="BF333" i="48"/>
  <c r="CE335" i="48"/>
  <c r="AD335" i="48" s="1"/>
  <c r="AW336" i="48"/>
  <c r="AU336" i="48"/>
  <c r="BA336" i="48"/>
  <c r="BC336" i="48"/>
  <c r="BE336" i="48"/>
  <c r="BG336" i="48"/>
  <c r="AZ337" i="48"/>
  <c r="BB337" i="48"/>
  <c r="BD337" i="48"/>
  <c r="BF337" i="48"/>
  <c r="CE339" i="48"/>
  <c r="AW340" i="48"/>
  <c r="AU340" i="48"/>
  <c r="BA340" i="48"/>
  <c r="BC340" i="48"/>
  <c r="BE340" i="48"/>
  <c r="BG340" i="48"/>
  <c r="AZ341" i="48"/>
  <c r="BB341" i="48"/>
  <c r="BD341" i="48"/>
  <c r="BF341" i="48"/>
  <c r="CE343" i="48"/>
  <c r="AJ343" i="48" s="1"/>
  <c r="AW344" i="48"/>
  <c r="AU344" i="48"/>
  <c r="BA344" i="48"/>
  <c r="BC344" i="48"/>
  <c r="BE344" i="48"/>
  <c r="BG344" i="48"/>
  <c r="AZ345" i="48"/>
  <c r="BB345" i="48"/>
  <c r="BD345" i="48"/>
  <c r="BF345" i="48"/>
  <c r="CE347" i="48"/>
  <c r="AW348" i="48"/>
  <c r="AU348" i="48"/>
  <c r="BA348" i="48"/>
  <c r="BC348" i="48"/>
  <c r="BE348" i="48"/>
  <c r="BG348" i="48"/>
  <c r="AZ349" i="48"/>
  <c r="BB349" i="48"/>
  <c r="BD349" i="48"/>
  <c r="BF349" i="48"/>
  <c r="CE351" i="48"/>
  <c r="AJ351" i="48" s="1"/>
  <c r="AW352" i="48"/>
  <c r="AU352" i="48"/>
  <c r="BA352" i="48"/>
  <c r="BC352" i="48"/>
  <c r="BE352" i="48"/>
  <c r="BG352" i="48"/>
  <c r="AZ353" i="48"/>
  <c r="BB353" i="48"/>
  <c r="BD353" i="48"/>
  <c r="BF353" i="48"/>
  <c r="CE355" i="48"/>
  <c r="AW356" i="48"/>
  <c r="AU356" i="48"/>
  <c r="BA356" i="48"/>
  <c r="BC356" i="48"/>
  <c r="BE356" i="48"/>
  <c r="BG356" i="48"/>
  <c r="AZ357" i="48"/>
  <c r="BB357" i="48"/>
  <c r="BD357" i="48"/>
  <c r="BF357" i="48"/>
  <c r="CE359" i="48"/>
  <c r="AJ359" i="48" s="1"/>
  <c r="AW360" i="48"/>
  <c r="AU360" i="48"/>
  <c r="BA360" i="48"/>
  <c r="BC360" i="48"/>
  <c r="BE360" i="48"/>
  <c r="BG360" i="48"/>
  <c r="AZ361" i="48"/>
  <c r="BB361" i="48"/>
  <c r="BD361" i="48"/>
  <c r="BF361" i="48"/>
  <c r="CE363" i="48"/>
  <c r="AW364" i="48"/>
  <c r="AU364" i="48"/>
  <c r="BA364" i="48"/>
  <c r="BC364" i="48"/>
  <c r="BE364" i="48"/>
  <c r="BG364" i="48"/>
  <c r="AZ365" i="48"/>
  <c r="BB365" i="48"/>
  <c r="BD365" i="48"/>
  <c r="BF365" i="48"/>
  <c r="AZ367" i="48"/>
  <c r="BB367" i="48"/>
  <c r="BD367" i="48"/>
  <c r="BF367" i="48"/>
  <c r="AW368" i="48"/>
  <c r="AU368" i="48"/>
  <c r="BA368" i="48"/>
  <c r="BC368" i="48"/>
  <c r="BE368" i="48"/>
  <c r="BG368" i="48"/>
  <c r="AZ369" i="48"/>
  <c r="BB369" i="48"/>
  <c r="BD369" i="48"/>
  <c r="BF369" i="48"/>
  <c r="CE371" i="48"/>
  <c r="AN371" i="48" s="1"/>
  <c r="AW372" i="48"/>
  <c r="AU372" i="48"/>
  <c r="BA372" i="48"/>
  <c r="BC372" i="48"/>
  <c r="BE372" i="48"/>
  <c r="BG372" i="48"/>
  <c r="BF373" i="48"/>
  <c r="CE375" i="48"/>
  <c r="AW376" i="48"/>
  <c r="AU376" i="48"/>
  <c r="BA376" i="48"/>
  <c r="BC376" i="48"/>
  <c r="BE376" i="48"/>
  <c r="BG376" i="48"/>
  <c r="AZ377" i="48"/>
  <c r="BB377" i="48"/>
  <c r="BD377" i="48"/>
  <c r="BF377" i="48"/>
  <c r="CE379" i="48"/>
  <c r="AF379" i="48" s="1"/>
  <c r="AW380" i="48"/>
  <c r="AU380" i="48"/>
  <c r="BA380" i="48"/>
  <c r="BC380" i="48"/>
  <c r="BE380" i="48"/>
  <c r="BG380" i="48"/>
  <c r="AZ381" i="48"/>
  <c r="BB381" i="48"/>
  <c r="BD381" i="48"/>
  <c r="BF381" i="48"/>
  <c r="CE383" i="48"/>
  <c r="AW384" i="48"/>
  <c r="AU384" i="48"/>
  <c r="BA384" i="48"/>
  <c r="BC384" i="48"/>
  <c r="BE384" i="48"/>
  <c r="BG384" i="48"/>
  <c r="AZ385" i="48"/>
  <c r="BB385" i="48"/>
  <c r="BD385" i="48"/>
  <c r="BF385" i="48"/>
  <c r="CE387" i="48"/>
  <c r="AN387" i="48" s="1"/>
  <c r="AW388" i="48"/>
  <c r="AU388" i="48"/>
  <c r="BA388" i="48"/>
  <c r="BC388" i="48"/>
  <c r="BE388" i="48"/>
  <c r="BG388" i="48"/>
  <c r="BF389" i="48"/>
  <c r="CE391" i="48"/>
  <c r="CD394" i="48"/>
  <c r="CF394" i="48" s="1"/>
  <c r="BC394" i="48" s="1"/>
  <c r="CE394" i="48"/>
  <c r="AO394" i="48" s="1"/>
  <c r="CD398" i="48"/>
  <c r="CF398" i="48" s="1"/>
  <c r="BA398" i="48" s="1"/>
  <c r="CE398" i="48"/>
  <c r="AO398" i="48" s="1"/>
  <c r="CD402" i="48"/>
  <c r="CF402" i="48" s="1"/>
  <c r="BA402" i="48" s="1"/>
  <c r="CE402" i="48"/>
  <c r="AO402" i="48" s="1"/>
  <c r="AO407" i="48"/>
  <c r="AM407" i="48"/>
  <c r="AK407" i="48"/>
  <c r="AI407" i="48"/>
  <c r="AG407" i="48"/>
  <c r="AE407" i="48"/>
  <c r="AC407" i="48"/>
  <c r="AL407" i="48"/>
  <c r="AH407" i="48"/>
  <c r="AD407" i="48"/>
  <c r="AW409" i="48"/>
  <c r="AZ409" i="48"/>
  <c r="BB409" i="48"/>
  <c r="BD409" i="48"/>
  <c r="BF409" i="48"/>
  <c r="AN410" i="48"/>
  <c r="AL410" i="48"/>
  <c r="AJ410" i="48"/>
  <c r="AH410" i="48"/>
  <c r="AF410" i="48"/>
  <c r="AD410" i="48"/>
  <c r="AM410" i="48"/>
  <c r="AI410" i="48"/>
  <c r="AE410" i="48"/>
  <c r="CG411" i="48"/>
  <c r="AO411" i="48"/>
  <c r="AM411" i="48"/>
  <c r="AK411" i="48"/>
  <c r="AI411" i="48"/>
  <c r="AG411" i="48"/>
  <c r="AE411" i="48"/>
  <c r="AC411" i="48"/>
  <c r="AL411" i="48"/>
  <c r="AH411" i="48"/>
  <c r="AD411" i="48"/>
  <c r="AW413" i="48"/>
  <c r="AZ413" i="48"/>
  <c r="BB413" i="48"/>
  <c r="BD413" i="48"/>
  <c r="BF413" i="48"/>
  <c r="AN414" i="48"/>
  <c r="AL414" i="48"/>
  <c r="AJ414" i="48"/>
  <c r="AH414" i="48"/>
  <c r="AF414" i="48"/>
  <c r="AD414" i="48"/>
  <c r="CG414" i="48"/>
  <c r="AM414" i="48"/>
  <c r="AI414" i="48"/>
  <c r="AE414" i="48"/>
  <c r="CG415" i="48"/>
  <c r="AO415" i="48"/>
  <c r="AM415" i="48"/>
  <c r="AK415" i="48"/>
  <c r="AI415" i="48"/>
  <c r="AG415" i="48"/>
  <c r="AE415" i="48"/>
  <c r="AC415" i="48"/>
  <c r="AL415" i="48"/>
  <c r="AH415" i="48"/>
  <c r="AD415" i="48"/>
  <c r="AW417" i="48"/>
  <c r="AZ417" i="48"/>
  <c r="BB417" i="48"/>
  <c r="BD417" i="48"/>
  <c r="BF417" i="48"/>
  <c r="AN418" i="48"/>
  <c r="AL418" i="48"/>
  <c r="AJ418" i="48"/>
  <c r="AH418" i="48"/>
  <c r="AF418" i="48"/>
  <c r="AD418" i="48"/>
  <c r="CG418" i="48"/>
  <c r="AM418" i="48"/>
  <c r="AI418" i="48"/>
  <c r="AE418" i="48"/>
  <c r="AQ418" i="48" s="1"/>
  <c r="CG419" i="48"/>
  <c r="AO419" i="48"/>
  <c r="AM419" i="48"/>
  <c r="AK419" i="48"/>
  <c r="AI419" i="48"/>
  <c r="AG419" i="48"/>
  <c r="AE419" i="48"/>
  <c r="AC419" i="48"/>
  <c r="AL419" i="48"/>
  <c r="AH419" i="48"/>
  <c r="AD419" i="48"/>
  <c r="AW421" i="48"/>
  <c r="BF421" i="48"/>
  <c r="AN422" i="48"/>
  <c r="AL422" i="48"/>
  <c r="AJ422" i="48"/>
  <c r="AH422" i="48"/>
  <c r="AF422" i="48"/>
  <c r="AD422" i="48"/>
  <c r="CG422" i="48"/>
  <c r="AM422" i="48"/>
  <c r="AI422" i="48"/>
  <c r="AE422" i="48"/>
  <c r="AQ422" i="48" s="1"/>
  <c r="AO423" i="48"/>
  <c r="AM423" i="48"/>
  <c r="AK423" i="48"/>
  <c r="AI423" i="48"/>
  <c r="AG423" i="48"/>
  <c r="AE423" i="48"/>
  <c r="AC423" i="48"/>
  <c r="AL423" i="48"/>
  <c r="AH423" i="48"/>
  <c r="AD423" i="48"/>
  <c r="AW425" i="48"/>
  <c r="AZ425" i="48"/>
  <c r="BB425" i="48"/>
  <c r="BD425" i="48"/>
  <c r="BF425" i="48"/>
  <c r="AN426" i="48"/>
  <c r="AL426" i="48"/>
  <c r="AJ426" i="48"/>
  <c r="AH426" i="48"/>
  <c r="AF426" i="48"/>
  <c r="AD426" i="48"/>
  <c r="CG426" i="48"/>
  <c r="AM426" i="48"/>
  <c r="AI426" i="48"/>
  <c r="AE426" i="48"/>
  <c r="CD430" i="48"/>
  <c r="CF430" i="48" s="1"/>
  <c r="AT430" i="48" s="1"/>
  <c r="CE430" i="48"/>
  <c r="AC430" i="48" s="1"/>
  <c r="CD434" i="48"/>
  <c r="CF434" i="48" s="1"/>
  <c r="BA434" i="48" s="1"/>
  <c r="CE434" i="48"/>
  <c r="AC434" i="48" s="1"/>
  <c r="AV435" i="48"/>
  <c r="AT435" i="48"/>
  <c r="BE435" i="48"/>
  <c r="BA435" i="48"/>
  <c r="BG435" i="48"/>
  <c r="AV437" i="48"/>
  <c r="AT437" i="48"/>
  <c r="BG437" i="48"/>
  <c r="BC437" i="48"/>
  <c r="AU437" i="48"/>
  <c r="BE437" i="48"/>
  <c r="AW437" i="48"/>
  <c r="CD439" i="48"/>
  <c r="CF439" i="48" s="1"/>
  <c r="AW439" i="48" s="1"/>
  <c r="CG441" i="48"/>
  <c r="AO441" i="48"/>
  <c r="AM441" i="48"/>
  <c r="AK441" i="48"/>
  <c r="AI441" i="48"/>
  <c r="AG441" i="48"/>
  <c r="AE441" i="48"/>
  <c r="AC441" i="48"/>
  <c r="AL441" i="48"/>
  <c r="AH441" i="48"/>
  <c r="AD441" i="48"/>
  <c r="AN441" i="48"/>
  <c r="AF441" i="48"/>
  <c r="AN444" i="48"/>
  <c r="AL444" i="48"/>
  <c r="AJ444" i="48"/>
  <c r="AH444" i="48"/>
  <c r="AF444" i="48"/>
  <c r="AD444" i="48"/>
  <c r="CG444" i="48"/>
  <c r="AM444" i="48"/>
  <c r="AI444" i="48"/>
  <c r="AE444" i="48"/>
  <c r="AO444" i="48"/>
  <c r="AG444" i="48"/>
  <c r="AT445" i="48"/>
  <c r="BE445" i="48"/>
  <c r="CD447" i="48"/>
  <c r="CF447" i="48" s="1"/>
  <c r="BB447" i="48" s="1"/>
  <c r="CG449" i="48"/>
  <c r="AO449" i="48"/>
  <c r="AM449" i="48"/>
  <c r="AK449" i="48"/>
  <c r="AI449" i="48"/>
  <c r="AG449" i="48"/>
  <c r="AE449" i="48"/>
  <c r="AC449" i="48"/>
  <c r="AL449" i="48"/>
  <c r="AH449" i="48"/>
  <c r="AD449" i="48"/>
  <c r="AN449" i="48"/>
  <c r="AF449" i="48"/>
  <c r="AJ454" i="48"/>
  <c r="AV455" i="48"/>
  <c r="AT455" i="48"/>
  <c r="BG455" i="48"/>
  <c r="BC455" i="48"/>
  <c r="AU455" i="48"/>
  <c r="BE455" i="48"/>
  <c r="AW455" i="48"/>
  <c r="CG456" i="48"/>
  <c r="AN456" i="48"/>
  <c r="AL456" i="48"/>
  <c r="AJ456" i="48"/>
  <c r="AH456" i="48"/>
  <c r="AF456" i="48"/>
  <c r="AD456" i="48"/>
  <c r="AO456" i="48"/>
  <c r="AK456" i="48"/>
  <c r="AG456" i="48"/>
  <c r="AC456" i="48"/>
  <c r="AI456" i="48"/>
  <c r="AN459" i="48"/>
  <c r="AL459" i="48"/>
  <c r="AJ459" i="48"/>
  <c r="AH459" i="48"/>
  <c r="AF459" i="48"/>
  <c r="AD459" i="48"/>
  <c r="CG459" i="48"/>
  <c r="AM459" i="48"/>
  <c r="AI459" i="48"/>
  <c r="AE459" i="48"/>
  <c r="AO459" i="48"/>
  <c r="AG459" i="48"/>
  <c r="AC459" i="48"/>
  <c r="CD462" i="48"/>
  <c r="CF462" i="48" s="1"/>
  <c r="CG464" i="48"/>
  <c r="AO464" i="48"/>
  <c r="AM464" i="48"/>
  <c r="AK464" i="48"/>
  <c r="AI464" i="48"/>
  <c r="AG464" i="48"/>
  <c r="AE464" i="48"/>
  <c r="AC464" i="48"/>
  <c r="AL464" i="48"/>
  <c r="AH464" i="48"/>
  <c r="AD464" i="48"/>
  <c r="AN464" i="48"/>
  <c r="AF464" i="48"/>
  <c r="AW392" i="48"/>
  <c r="AU392" i="48"/>
  <c r="BA392" i="48"/>
  <c r="BC392" i="48"/>
  <c r="BE392" i="48"/>
  <c r="BG392" i="48"/>
  <c r="AZ393" i="48"/>
  <c r="BB393" i="48"/>
  <c r="BD393" i="48"/>
  <c r="BF393" i="48"/>
  <c r="CE395" i="48"/>
  <c r="AL395" i="48" s="1"/>
  <c r="AW396" i="48"/>
  <c r="AU396" i="48"/>
  <c r="BA396" i="48"/>
  <c r="BC396" i="48"/>
  <c r="BE396" i="48"/>
  <c r="BG396" i="48"/>
  <c r="AZ397" i="48"/>
  <c r="BB397" i="48"/>
  <c r="BD397" i="48"/>
  <c r="BF397" i="48"/>
  <c r="CE399" i="48"/>
  <c r="AW400" i="48"/>
  <c r="AU400" i="48"/>
  <c r="BA400" i="48"/>
  <c r="BC400" i="48"/>
  <c r="BE400" i="48"/>
  <c r="BG400" i="48"/>
  <c r="AZ401" i="48"/>
  <c r="BB401" i="48"/>
  <c r="BD401" i="48"/>
  <c r="BF401" i="48"/>
  <c r="CE403" i="48"/>
  <c r="AD403" i="48" s="1"/>
  <c r="AW404" i="48"/>
  <c r="AU404" i="48"/>
  <c r="BA404" i="48"/>
  <c r="BC404" i="48"/>
  <c r="BE404" i="48"/>
  <c r="BG404" i="48"/>
  <c r="AZ405" i="48"/>
  <c r="AW406" i="48"/>
  <c r="AU406" i="48"/>
  <c r="BA406" i="48"/>
  <c r="BC406" i="48"/>
  <c r="BE406" i="48"/>
  <c r="BG406" i="48"/>
  <c r="BD407" i="48"/>
  <c r="CE409" i="48"/>
  <c r="AW410" i="48"/>
  <c r="BE410" i="48"/>
  <c r="AZ411" i="48"/>
  <c r="BB411" i="48"/>
  <c r="BD411" i="48"/>
  <c r="BF411" i="48"/>
  <c r="CE413" i="48"/>
  <c r="AN413" i="48" s="1"/>
  <c r="AW414" i="48"/>
  <c r="AU414" i="48"/>
  <c r="BA414" i="48"/>
  <c r="BC414" i="48"/>
  <c r="BE414" i="48"/>
  <c r="BG414" i="48"/>
  <c r="AZ415" i="48"/>
  <c r="BB415" i="48"/>
  <c r="BD415" i="48"/>
  <c r="BF415" i="48"/>
  <c r="CE417" i="48"/>
  <c r="AW418" i="48"/>
  <c r="BA418" i="48"/>
  <c r="BE418" i="48"/>
  <c r="AZ419" i="48"/>
  <c r="BB419" i="48"/>
  <c r="BD419" i="48"/>
  <c r="BF419" i="48"/>
  <c r="CE421" i="48"/>
  <c r="AF421" i="48" s="1"/>
  <c r="AW422" i="48"/>
  <c r="AU422" i="48"/>
  <c r="BA422" i="48"/>
  <c r="BC422" i="48"/>
  <c r="BE422" i="48"/>
  <c r="BG422" i="48"/>
  <c r="BB423" i="48"/>
  <c r="CE425" i="48"/>
  <c r="BA426" i="48"/>
  <c r="AZ427" i="48"/>
  <c r="BB427" i="48"/>
  <c r="BD427" i="48"/>
  <c r="BF427" i="48"/>
  <c r="AW428" i="48"/>
  <c r="AU428" i="48"/>
  <c r="BA428" i="48"/>
  <c r="BC428" i="48"/>
  <c r="BE428" i="48"/>
  <c r="BG428" i="48"/>
  <c r="AZ429" i="48"/>
  <c r="BB429" i="48"/>
  <c r="BD429" i="48"/>
  <c r="BF429" i="48"/>
  <c r="CE431" i="48"/>
  <c r="AL431" i="48" s="1"/>
  <c r="AW432" i="48"/>
  <c r="AU432" i="48"/>
  <c r="BA432" i="48"/>
  <c r="BC432" i="48"/>
  <c r="BE432" i="48"/>
  <c r="BG432" i="48"/>
  <c r="AZ433" i="48"/>
  <c r="BB433" i="48"/>
  <c r="BD433" i="48"/>
  <c r="BF433" i="48"/>
  <c r="AW435" i="48"/>
  <c r="AZ435" i="48"/>
  <c r="BB435" i="48"/>
  <c r="BD435" i="48"/>
  <c r="BF435" i="48"/>
  <c r="AN436" i="48"/>
  <c r="AL436" i="48"/>
  <c r="AJ436" i="48"/>
  <c r="AH436" i="48"/>
  <c r="AF436" i="48"/>
  <c r="AD436" i="48"/>
  <c r="CG436" i="48"/>
  <c r="AM436" i="48"/>
  <c r="AI436" i="48"/>
  <c r="AE436" i="48"/>
  <c r="CD438" i="48"/>
  <c r="CF438" i="48" s="1"/>
  <c r="AT438" i="48" s="1"/>
  <c r="CE438" i="48"/>
  <c r="AC438" i="48" s="1"/>
  <c r="CD442" i="48"/>
  <c r="CF442" i="48" s="1"/>
  <c r="AT442" i="48" s="1"/>
  <c r="CE442" i="48"/>
  <c r="AC442" i="48" s="1"/>
  <c r="CD446" i="48"/>
  <c r="CF446" i="48" s="1"/>
  <c r="BA446" i="48" s="1"/>
  <c r="CE446" i="48"/>
  <c r="AG446" i="48" s="1"/>
  <c r="CD450" i="48"/>
  <c r="CF450" i="48" s="1"/>
  <c r="BA450" i="48" s="1"/>
  <c r="CE450" i="48"/>
  <c r="AG450" i="48" s="1"/>
  <c r="AT450" i="48"/>
  <c r="CD452" i="48"/>
  <c r="CF452" i="48" s="1"/>
  <c r="CE452" i="48"/>
  <c r="BG456" i="48"/>
  <c r="BE456" i="48"/>
  <c r="BC456" i="48"/>
  <c r="BA456" i="48"/>
  <c r="AW456" i="48"/>
  <c r="AU456" i="48"/>
  <c r="BF456" i="48"/>
  <c r="BB456" i="48"/>
  <c r="AT456" i="48"/>
  <c r="CD458" i="48"/>
  <c r="CF458" i="48" s="1"/>
  <c r="AU458" i="48" s="1"/>
  <c r="CG460" i="48"/>
  <c r="AO460" i="48"/>
  <c r="AM460" i="48"/>
  <c r="AK460" i="48"/>
  <c r="AI460" i="48"/>
  <c r="AG460" i="48"/>
  <c r="AE460" i="48"/>
  <c r="AC460" i="48"/>
  <c r="AL460" i="48"/>
  <c r="AH460" i="48"/>
  <c r="AD460" i="48"/>
  <c r="AN460" i="48"/>
  <c r="AF460" i="48"/>
  <c r="AN463" i="48"/>
  <c r="AL463" i="48"/>
  <c r="AJ463" i="48"/>
  <c r="AH463" i="48"/>
  <c r="AF463" i="48"/>
  <c r="AD463" i="48"/>
  <c r="CG463" i="48"/>
  <c r="AM463" i="48"/>
  <c r="AI463" i="48"/>
  <c r="AE463" i="48"/>
  <c r="AO463" i="48"/>
  <c r="AG463" i="48"/>
  <c r="AV464" i="48"/>
  <c r="AT464" i="48"/>
  <c r="BG464" i="48"/>
  <c r="BC464" i="48"/>
  <c r="AU464" i="48"/>
  <c r="BE464" i="48"/>
  <c r="AW464" i="48"/>
  <c r="CD466" i="48"/>
  <c r="CF466" i="48" s="1"/>
  <c r="BG467" i="48"/>
  <c r="BE467" i="48"/>
  <c r="BC467" i="48"/>
  <c r="BA467" i="48"/>
  <c r="AW467" i="48"/>
  <c r="AU467" i="48"/>
  <c r="BD467" i="48"/>
  <c r="AZ467" i="48"/>
  <c r="AV467" i="48"/>
  <c r="BF467" i="48"/>
  <c r="CD475" i="48"/>
  <c r="CF475" i="48" s="1"/>
  <c r="BA475" i="48" s="1"/>
  <c r="CE475" i="48"/>
  <c r="AC475" i="48" s="1"/>
  <c r="CE435" i="48"/>
  <c r="AJ435" i="48" s="1"/>
  <c r="AW436" i="48"/>
  <c r="AU436" i="48"/>
  <c r="BA436" i="48"/>
  <c r="BC436" i="48"/>
  <c r="BE436" i="48"/>
  <c r="BG436" i="48"/>
  <c r="AZ437" i="48"/>
  <c r="BB437" i="48"/>
  <c r="BD437" i="48"/>
  <c r="BF437" i="48"/>
  <c r="CE439" i="48"/>
  <c r="AL439" i="48" s="1"/>
  <c r="AW440" i="48"/>
  <c r="AU440" i="48"/>
  <c r="BA440" i="48"/>
  <c r="BC440" i="48"/>
  <c r="BE440" i="48"/>
  <c r="BG440" i="48"/>
  <c r="AZ441" i="48"/>
  <c r="BB441" i="48"/>
  <c r="BD441" i="48"/>
  <c r="BF441" i="48"/>
  <c r="CE443" i="48"/>
  <c r="AL443" i="48" s="1"/>
  <c r="AW444" i="48"/>
  <c r="AU444" i="48"/>
  <c r="BA444" i="48"/>
  <c r="BC444" i="48"/>
  <c r="BE444" i="48"/>
  <c r="BG444" i="48"/>
  <c r="BB445" i="48"/>
  <c r="CE447" i="48"/>
  <c r="AF447" i="48" s="1"/>
  <c r="AW448" i="48"/>
  <c r="AU448" i="48"/>
  <c r="BA448" i="48"/>
  <c r="BC448" i="48"/>
  <c r="BE448" i="48"/>
  <c r="BG448" i="48"/>
  <c r="AZ449" i="48"/>
  <c r="BB449" i="48"/>
  <c r="BD449" i="48"/>
  <c r="BF449" i="48"/>
  <c r="CE451" i="48"/>
  <c r="AL451" i="48" s="1"/>
  <c r="CE453" i="48"/>
  <c r="AW454" i="48"/>
  <c r="AU454" i="48"/>
  <c r="BA454" i="48"/>
  <c r="BC454" i="48"/>
  <c r="BE454" i="48"/>
  <c r="BG454" i="48"/>
  <c r="AZ455" i="48"/>
  <c r="BB455" i="48"/>
  <c r="BD455" i="48"/>
  <c r="BF455" i="48"/>
  <c r="CD457" i="48"/>
  <c r="CF457" i="48" s="1"/>
  <c r="BA457" i="48" s="1"/>
  <c r="CE457" i="48"/>
  <c r="AC457" i="48" s="1"/>
  <c r="CD461" i="48"/>
  <c r="CF461" i="48" s="1"/>
  <c r="CE461" i="48"/>
  <c r="AC461" i="48" s="1"/>
  <c r="CD465" i="48"/>
  <c r="CF465" i="48" s="1"/>
  <c r="BA465" i="48" s="1"/>
  <c r="CE465" i="48"/>
  <c r="AC465" i="48" s="1"/>
  <c r="CG467" i="48"/>
  <c r="AN467" i="48"/>
  <c r="AL467" i="48"/>
  <c r="AJ467" i="48"/>
  <c r="AH467" i="48"/>
  <c r="AF467" i="48"/>
  <c r="AD467" i="48"/>
  <c r="AM467" i="48"/>
  <c r="AI467" i="48"/>
  <c r="AE467" i="48"/>
  <c r="AN470" i="48"/>
  <c r="AL470" i="48"/>
  <c r="AJ470" i="48"/>
  <c r="AH470" i="48"/>
  <c r="AF470" i="48"/>
  <c r="AD470" i="48"/>
  <c r="CG470" i="48"/>
  <c r="AM470" i="48"/>
  <c r="AI470" i="48"/>
  <c r="AE470" i="48"/>
  <c r="AQ470" i="48" s="1"/>
  <c r="AO470" i="48"/>
  <c r="AG470" i="48"/>
  <c r="AV471" i="48"/>
  <c r="AT471" i="48"/>
  <c r="BG471" i="48"/>
  <c r="BC471" i="48"/>
  <c r="AU471" i="48"/>
  <c r="BE471" i="48"/>
  <c r="AW471" i="48"/>
  <c r="AV474" i="48"/>
  <c r="AT474" i="48"/>
  <c r="BG474" i="48"/>
  <c r="BC474" i="48"/>
  <c r="AU474" i="48"/>
  <c r="BA474" i="48"/>
  <c r="AW474" i="48"/>
  <c r="CE458" i="48"/>
  <c r="AL458" i="48" s="1"/>
  <c r="AW459" i="48"/>
  <c r="AU459" i="48"/>
  <c r="BA459" i="48"/>
  <c r="BC459" i="48"/>
  <c r="BE459" i="48"/>
  <c r="BG459" i="48"/>
  <c r="AZ460" i="48"/>
  <c r="BB460" i="48"/>
  <c r="BD460" i="48"/>
  <c r="BF460" i="48"/>
  <c r="CE462" i="48"/>
  <c r="AF462" i="48" s="1"/>
  <c r="AW463" i="48"/>
  <c r="AU463" i="48"/>
  <c r="BA463" i="48"/>
  <c r="BC463" i="48"/>
  <c r="BE463" i="48"/>
  <c r="BG463" i="48"/>
  <c r="AZ464" i="48"/>
  <c r="BB464" i="48"/>
  <c r="BD464" i="48"/>
  <c r="BF464" i="48"/>
  <c r="CE466" i="48"/>
  <c r="CD468" i="48"/>
  <c r="CF468" i="48" s="1"/>
  <c r="BA468" i="48" s="1"/>
  <c r="CE468" i="48"/>
  <c r="AO468" i="48" s="1"/>
  <c r="CD472" i="48"/>
  <c r="CF472" i="48" s="1"/>
  <c r="BC472" i="48" s="1"/>
  <c r="CE472" i="48"/>
  <c r="AG472" i="48" s="1"/>
  <c r="CE469" i="48"/>
  <c r="AD469" i="48" s="1"/>
  <c r="AW470" i="48"/>
  <c r="AU470" i="48"/>
  <c r="BA470" i="48"/>
  <c r="BC470" i="48"/>
  <c r="BE470" i="48"/>
  <c r="BG470" i="48"/>
  <c r="AZ471" i="48"/>
  <c r="BB471" i="48"/>
  <c r="BD471" i="48"/>
  <c r="BF471" i="48"/>
  <c r="AN473" i="48"/>
  <c r="AL473" i="48"/>
  <c r="AJ473" i="48"/>
  <c r="CG473" i="48"/>
  <c r="AM473" i="48"/>
  <c r="AI473" i="48"/>
  <c r="AG473" i="48"/>
  <c r="AE473" i="48"/>
  <c r="AC473" i="48"/>
  <c r="CG474" i="48"/>
  <c r="AO474" i="48"/>
  <c r="AM474" i="48"/>
  <c r="AK474" i="48"/>
  <c r="AI474" i="48"/>
  <c r="AG474" i="48"/>
  <c r="AE474" i="48"/>
  <c r="AC474" i="48"/>
  <c r="AL474" i="48"/>
  <c r="AH474" i="48"/>
  <c r="AD474" i="48"/>
  <c r="AW473" i="48"/>
  <c r="AU473" i="48"/>
  <c r="BA473" i="48"/>
  <c r="BC473" i="48"/>
  <c r="BE473" i="48"/>
  <c r="BG473" i="48"/>
  <c r="AZ474" i="48"/>
  <c r="BB474" i="48"/>
  <c r="BD474" i="48"/>
  <c r="BF474" i="48"/>
  <c r="CE476" i="48"/>
  <c r="AN11" i="47"/>
  <c r="AN205" i="47"/>
  <c r="DC135" i="47"/>
  <c r="AM135" i="47" s="1"/>
  <c r="DC103" i="47"/>
  <c r="AI103" i="47" s="1"/>
  <c r="BW103" i="47" s="1"/>
  <c r="DC174" i="47"/>
  <c r="AI174" i="47" s="1"/>
  <c r="BW174" i="47" s="1"/>
  <c r="DC176" i="47"/>
  <c r="AK176" i="47" s="1"/>
  <c r="DC180" i="47"/>
  <c r="AI180" i="47" s="1"/>
  <c r="BW180" i="47" s="1"/>
  <c r="DC181" i="47"/>
  <c r="AK181" i="47" s="1"/>
  <c r="DC183" i="47"/>
  <c r="AQ183" i="47" s="1"/>
  <c r="DC185" i="47"/>
  <c r="AK185" i="47" s="1"/>
  <c r="AR72" i="47"/>
  <c r="AH77" i="47"/>
  <c r="AR77" i="47"/>
  <c r="AN103" i="47"/>
  <c r="DC105" i="47"/>
  <c r="AF105" i="47" s="1"/>
  <c r="DC111" i="47"/>
  <c r="AF111" i="47" s="1"/>
  <c r="DC113" i="47"/>
  <c r="AK113" i="47" s="1"/>
  <c r="DC115" i="47"/>
  <c r="AL115" i="47" s="1"/>
  <c r="DC23" i="47"/>
  <c r="DC25" i="47"/>
  <c r="AF25" i="47" s="1"/>
  <c r="DC209" i="47"/>
  <c r="DC138" i="47"/>
  <c r="AJ138" i="47" s="1"/>
  <c r="DC148" i="47"/>
  <c r="AI148" i="47" s="1"/>
  <c r="BW148" i="47" s="1"/>
  <c r="DC95" i="47"/>
  <c r="AR95" i="47" s="1"/>
  <c r="DC97" i="47"/>
  <c r="AJ97" i="47" s="1"/>
  <c r="AR97" i="47"/>
  <c r="DC99" i="47"/>
  <c r="AH99" i="47" s="1"/>
  <c r="DC101" i="47"/>
  <c r="AG101" i="47" s="1"/>
  <c r="DC29" i="47"/>
  <c r="AR29" i="47" s="1"/>
  <c r="DC42" i="47"/>
  <c r="AN42" i="47" s="1"/>
  <c r="DC44" i="47"/>
  <c r="AR44" i="47" s="1"/>
  <c r="DC159" i="47"/>
  <c r="AF159" i="47" s="1"/>
  <c r="DC171" i="47"/>
  <c r="DC187" i="47"/>
  <c r="AI187" i="47" s="1"/>
  <c r="BW187" i="47" s="1"/>
  <c r="CI62" i="50"/>
  <c r="CK62" i="50" s="1"/>
  <c r="AW62" i="50" s="1"/>
  <c r="CI68" i="50"/>
  <c r="CK68" i="50" s="1"/>
  <c r="AZ68" i="50" s="1"/>
  <c r="CJ6" i="50"/>
  <c r="CJ100" i="50"/>
  <c r="CI105" i="50"/>
  <c r="CK105" i="50" s="1"/>
  <c r="BG105" i="50" s="1"/>
  <c r="CJ108" i="50"/>
  <c r="CJ91" i="50"/>
  <c r="CJ43" i="50"/>
  <c r="CI27" i="50"/>
  <c r="CK27" i="50" s="1"/>
  <c r="BD27" i="50" s="1"/>
  <c r="AY71" i="50"/>
  <c r="BC71" i="50"/>
  <c r="CI54" i="50"/>
  <c r="CK54" i="50" s="1"/>
  <c r="CI57" i="50"/>
  <c r="CK57" i="50" s="1"/>
  <c r="CJ58" i="50"/>
  <c r="AL58" i="50" s="1"/>
  <c r="CI59" i="50"/>
  <c r="CK59" i="50" s="1"/>
  <c r="BC59" i="50" s="1"/>
  <c r="CI60" i="50"/>
  <c r="CK60" i="50" s="1"/>
  <c r="CJ63" i="50"/>
  <c r="AN63" i="50" s="1"/>
  <c r="CI70" i="50"/>
  <c r="CK70" i="50" s="1"/>
  <c r="CI8" i="50"/>
  <c r="CK8" i="50" s="1"/>
  <c r="CJ9" i="50"/>
  <c r="CI10" i="50"/>
  <c r="CK10" i="50" s="1"/>
  <c r="BH10" i="50" s="1"/>
  <c r="CI11" i="50"/>
  <c r="CK11" i="50" s="1"/>
  <c r="CJ14" i="50"/>
  <c r="CJ72" i="50"/>
  <c r="CI73" i="50"/>
  <c r="CK73" i="50" s="1"/>
  <c r="AY73" i="50" s="1"/>
  <c r="CJ74" i="50"/>
  <c r="CI75" i="50"/>
  <c r="CK75" i="50" s="1"/>
  <c r="CI76" i="50"/>
  <c r="CK76" i="50" s="1"/>
  <c r="AY76" i="50" s="1"/>
  <c r="CJ77" i="50"/>
  <c r="AH77" i="50" s="1"/>
  <c r="CI78" i="50"/>
  <c r="CK78" i="50" s="1"/>
  <c r="CJ79" i="50"/>
  <c r="CI80" i="50"/>
  <c r="CK80" i="50" s="1"/>
  <c r="CJ81" i="50"/>
  <c r="AP81" i="50" s="1"/>
  <c r="CI82" i="50"/>
  <c r="CK82" i="50" s="1"/>
  <c r="CJ83" i="50"/>
  <c r="CI102" i="50"/>
  <c r="CK102" i="50" s="1"/>
  <c r="CJ103" i="50"/>
  <c r="CI104" i="50"/>
  <c r="CK104" i="50" s="1"/>
  <c r="CI110" i="50"/>
  <c r="CK110" i="50" s="1"/>
  <c r="CJ86" i="50"/>
  <c r="CI87" i="50"/>
  <c r="CK87" i="50" s="1"/>
  <c r="CI88" i="50"/>
  <c r="CK88" i="50" s="1"/>
  <c r="CI93" i="50"/>
  <c r="CK93" i="50" s="1"/>
  <c r="CJ94" i="50"/>
  <c r="CI95" i="50"/>
  <c r="CK95" i="50" s="1"/>
  <c r="AZ95" i="50" s="1"/>
  <c r="CI35" i="50"/>
  <c r="CK35" i="50" s="1"/>
  <c r="CJ36" i="50"/>
  <c r="AL36" i="50" s="1"/>
  <c r="CJ46" i="50"/>
  <c r="CI47" i="50"/>
  <c r="CK47" i="50" s="1"/>
  <c r="CJ48" i="50"/>
  <c r="AM48" i="50" s="1"/>
  <c r="CJ22" i="50"/>
  <c r="CI26" i="50"/>
  <c r="CK26" i="50" s="1"/>
  <c r="CJ28" i="50"/>
  <c r="AM28" i="50" s="1"/>
  <c r="AN66" i="50"/>
  <c r="AF66" i="50"/>
  <c r="AN98" i="50"/>
  <c r="AF98" i="50"/>
  <c r="AR98" i="50"/>
  <c r="AJ98" i="50"/>
  <c r="AR51" i="50"/>
  <c r="AJ51" i="50"/>
  <c r="AN86" i="50"/>
  <c r="AF86" i="50"/>
  <c r="AR86" i="50"/>
  <c r="AJ86" i="50"/>
  <c r="AR46" i="50"/>
  <c r="AJ46" i="50"/>
  <c r="AF46" i="50"/>
  <c r="AN46" i="50"/>
  <c r="AY105" i="50"/>
  <c r="CI90" i="50"/>
  <c r="CK90" i="50" s="1"/>
  <c r="AY90" i="50" s="1"/>
  <c r="CJ90" i="50"/>
  <c r="CI42" i="50"/>
  <c r="CK42" i="50" s="1"/>
  <c r="CJ42" i="50"/>
  <c r="AR42" i="50" s="1"/>
  <c r="CI96" i="50"/>
  <c r="CK96" i="50" s="1"/>
  <c r="CI52" i="50"/>
  <c r="CK52" i="50" s="1"/>
  <c r="CI53" i="50"/>
  <c r="CK53" i="50" s="1"/>
  <c r="BH53" i="50" s="1"/>
  <c r="CJ54" i="50"/>
  <c r="AI55" i="50"/>
  <c r="CI55" i="50"/>
  <c r="CK55" i="50" s="1"/>
  <c r="CI56" i="50"/>
  <c r="CK56" i="50" s="1"/>
  <c r="CI58" i="50"/>
  <c r="CK58" i="50" s="1"/>
  <c r="CJ59" i="50"/>
  <c r="AK59" i="50" s="1"/>
  <c r="CI61" i="50"/>
  <c r="CK61" i="50" s="1"/>
  <c r="BJ61" i="50" s="1"/>
  <c r="BE62" i="50"/>
  <c r="CJ62" i="50"/>
  <c r="CI63" i="50"/>
  <c r="CK63" i="50" s="1"/>
  <c r="CI64" i="50"/>
  <c r="CK64" i="50" s="1"/>
  <c r="BI64" i="50" s="1"/>
  <c r="CI66" i="50"/>
  <c r="CK66" i="50" s="1"/>
  <c r="CJ67" i="50"/>
  <c r="CI69" i="50"/>
  <c r="CK69" i="50" s="1"/>
  <c r="CJ70" i="50"/>
  <c r="CL70" i="50" s="1"/>
  <c r="CI6" i="50"/>
  <c r="CK6" i="50" s="1"/>
  <c r="CI7" i="50"/>
  <c r="CK7" i="50" s="1"/>
  <c r="CI9" i="50"/>
  <c r="CK9" i="50" s="1"/>
  <c r="BF9" i="50" s="1"/>
  <c r="CJ10" i="50"/>
  <c r="AO10" i="50" s="1"/>
  <c r="CI12" i="50"/>
  <c r="CK12" i="50" s="1"/>
  <c r="CI13" i="50"/>
  <c r="CK13" i="50" s="1"/>
  <c r="AY13" i="50" s="1"/>
  <c r="CJ13" i="50"/>
  <c r="AI100" i="50"/>
  <c r="BC105" i="50"/>
  <c r="CI107" i="50"/>
  <c r="CK107" i="50" s="1"/>
  <c r="CJ107" i="50"/>
  <c r="AM108" i="50"/>
  <c r="AW90" i="50"/>
  <c r="AN21" i="50"/>
  <c r="CI14" i="50"/>
  <c r="CK14" i="50" s="1"/>
  <c r="CI15" i="50"/>
  <c r="CK15" i="50" s="1"/>
  <c r="CI18" i="50"/>
  <c r="CK18" i="50" s="1"/>
  <c r="CI72" i="50"/>
  <c r="CK72" i="50" s="1"/>
  <c r="BD72" i="50" s="1"/>
  <c r="CI74" i="50"/>
  <c r="CK74" i="50" s="1"/>
  <c r="CI77" i="50"/>
  <c r="CK77" i="50" s="1"/>
  <c r="CI79" i="50"/>
  <c r="CK79" i="50" s="1"/>
  <c r="AZ79" i="50" s="1"/>
  <c r="CI81" i="50"/>
  <c r="CK81" i="50" s="1"/>
  <c r="BD81" i="50" s="1"/>
  <c r="CI83" i="50"/>
  <c r="CK83" i="50" s="1"/>
  <c r="CI84" i="50"/>
  <c r="CK84" i="50" s="1"/>
  <c r="CI98" i="50"/>
  <c r="CK98" i="50" s="1"/>
  <c r="CJ99" i="50"/>
  <c r="CI100" i="50"/>
  <c r="CK100" i="50" s="1"/>
  <c r="CI101" i="50"/>
  <c r="CK101" i="50" s="1"/>
  <c r="CI103" i="50"/>
  <c r="CK103" i="50" s="1"/>
  <c r="CJ104" i="50"/>
  <c r="CI106" i="50"/>
  <c r="CK106" i="50" s="1"/>
  <c r="CI108" i="50"/>
  <c r="CK108" i="50" s="1"/>
  <c r="CI109" i="50"/>
  <c r="CK109" i="50" s="1"/>
  <c r="CI86" i="50"/>
  <c r="CK86" i="50" s="1"/>
  <c r="AZ86" i="50" s="1"/>
  <c r="CJ87" i="50"/>
  <c r="CI89" i="50"/>
  <c r="CK89" i="50" s="1"/>
  <c r="CI91" i="50"/>
  <c r="CK91" i="50" s="1"/>
  <c r="CI92" i="50"/>
  <c r="CK92" i="50" s="1"/>
  <c r="BD92" i="50" s="1"/>
  <c r="CI94" i="50"/>
  <c r="CK94" i="50" s="1"/>
  <c r="BG94" i="50" s="1"/>
  <c r="CJ95" i="50"/>
  <c r="AI48" i="50"/>
  <c r="CI31" i="50"/>
  <c r="CK31" i="50" s="1"/>
  <c r="CJ31" i="50"/>
  <c r="AN31" i="50" s="1"/>
  <c r="CJ35" i="50"/>
  <c r="CI36" i="50"/>
  <c r="CK36" i="50" s="1"/>
  <c r="CJ37" i="50"/>
  <c r="CI43" i="50"/>
  <c r="CK43" i="50" s="1"/>
  <c r="CI45" i="50"/>
  <c r="CK45" i="50" s="1"/>
  <c r="CI46" i="50"/>
  <c r="CK46" i="50" s="1"/>
  <c r="CJ47" i="50"/>
  <c r="CI48" i="50"/>
  <c r="CK48" i="50" s="1"/>
  <c r="CI50" i="50"/>
  <c r="CK50" i="50" s="1"/>
  <c r="AW50" i="50" s="1"/>
  <c r="CI51" i="50"/>
  <c r="CK51" i="50" s="1"/>
  <c r="BJ51" i="50" s="1"/>
  <c r="CI2" i="50"/>
  <c r="CK2" i="50" s="1"/>
  <c r="CI4" i="50"/>
  <c r="CK4" i="50" s="1"/>
  <c r="CJ5" i="50"/>
  <c r="AM5" i="50" s="1"/>
  <c r="CI21" i="50"/>
  <c r="CK21" i="50" s="1"/>
  <c r="CL21" i="50" s="1"/>
  <c r="CI22" i="50"/>
  <c r="CK22" i="50" s="1"/>
  <c r="AX22" i="50" s="1"/>
  <c r="CJ26" i="50"/>
  <c r="CJ27" i="50"/>
  <c r="CI28" i="50"/>
  <c r="CK28" i="50" s="1"/>
  <c r="CI29" i="50"/>
  <c r="CK29" i="50" s="1"/>
  <c r="BD29" i="50" s="1"/>
  <c r="CJ32" i="50"/>
  <c r="AM32" i="50" s="1"/>
  <c r="AY65" i="50"/>
  <c r="BD65" i="50"/>
  <c r="AY67" i="50"/>
  <c r="AW67" i="50"/>
  <c r="BJ67" i="50"/>
  <c r="BF67" i="50"/>
  <c r="AX67" i="50"/>
  <c r="BH67" i="50"/>
  <c r="BD67" i="50"/>
  <c r="AZ67" i="50"/>
  <c r="AY16" i="50"/>
  <c r="BD16" i="50"/>
  <c r="AY17" i="50"/>
  <c r="BD17" i="50"/>
  <c r="AW52" i="50"/>
  <c r="AZ52" i="50"/>
  <c r="AX53" i="50"/>
  <c r="AX6" i="50"/>
  <c r="BJ12" i="50"/>
  <c r="AW14" i="50"/>
  <c r="BF14" i="50"/>
  <c r="BH14" i="50"/>
  <c r="AZ14" i="50"/>
  <c r="BD71" i="50"/>
  <c r="BI52" i="50"/>
  <c r="BC53" i="50"/>
  <c r="AO54" i="50"/>
  <c r="AN55" i="50"/>
  <c r="BH56" i="50"/>
  <c r="AZ60" i="50"/>
  <c r="BD60" i="50"/>
  <c r="BH60" i="50"/>
  <c r="AG62" i="50"/>
  <c r="AF63" i="50"/>
  <c r="BD64" i="50"/>
  <c r="BI65" i="50"/>
  <c r="AM66" i="50"/>
  <c r="AR67" i="50"/>
  <c r="AN67" i="50"/>
  <c r="AJ67" i="50"/>
  <c r="AF67" i="50"/>
  <c r="AI70" i="50"/>
  <c r="BH7" i="50"/>
  <c r="AQ9" i="50"/>
  <c r="AZ11" i="50"/>
  <c r="BF11" i="50"/>
  <c r="BE12" i="50"/>
  <c r="AO13" i="50"/>
  <c r="AG13" i="50"/>
  <c r="BG17" i="50"/>
  <c r="BI17" i="50"/>
  <c r="CL18" i="50"/>
  <c r="AR72" i="50"/>
  <c r="AP72" i="50"/>
  <c r="AN72" i="50"/>
  <c r="AL72" i="50"/>
  <c r="AJ72" i="50"/>
  <c r="AH72" i="50"/>
  <c r="AF72" i="50"/>
  <c r="AQ72" i="50"/>
  <c r="AO72" i="50"/>
  <c r="AM72" i="50"/>
  <c r="AK72" i="50"/>
  <c r="AI72" i="50"/>
  <c r="AG72" i="50"/>
  <c r="AH74" i="50"/>
  <c r="AF74" i="50"/>
  <c r="BC76" i="50"/>
  <c r="AZ78" i="50"/>
  <c r="AW78" i="50"/>
  <c r="BD78" i="50"/>
  <c r="AZ80" i="50"/>
  <c r="AX80" i="50"/>
  <c r="BI80" i="50"/>
  <c r="BG80" i="50"/>
  <c r="BE80" i="50"/>
  <c r="BC80" i="50"/>
  <c r="AY80" i="50"/>
  <c r="AW80" i="50"/>
  <c r="BD80" i="50"/>
  <c r="BF80" i="50"/>
  <c r="BH80" i="50"/>
  <c r="BJ80" i="50"/>
  <c r="BG82" i="50"/>
  <c r="BE82" i="50"/>
  <c r="BJ82" i="50"/>
  <c r="AY85" i="50"/>
  <c r="AZ85" i="50"/>
  <c r="AY97" i="50"/>
  <c r="AW97" i="50"/>
  <c r="BH97" i="50"/>
  <c r="BD97" i="50"/>
  <c r="BJ97" i="50"/>
  <c r="BF97" i="50"/>
  <c r="AX97" i="50"/>
  <c r="AZ97" i="50"/>
  <c r="AY99" i="50"/>
  <c r="AW99" i="50"/>
  <c r="BJ99" i="50"/>
  <c r="BF99" i="50"/>
  <c r="AX99" i="50"/>
  <c r="BH99" i="50"/>
  <c r="BD99" i="50"/>
  <c r="AZ99" i="50"/>
  <c r="BJ102" i="50"/>
  <c r="BF102" i="50"/>
  <c r="BJ104" i="50"/>
  <c r="BH104" i="50"/>
  <c r="BJ37" i="50"/>
  <c r="BH37" i="50"/>
  <c r="BF37" i="50"/>
  <c r="BD37" i="50"/>
  <c r="AZ37" i="50"/>
  <c r="AX37" i="50"/>
  <c r="BI37" i="50"/>
  <c r="BE37" i="50"/>
  <c r="AW37" i="50"/>
  <c r="BG37" i="50"/>
  <c r="BC37" i="50"/>
  <c r="AY37" i="50"/>
  <c r="AW41" i="50"/>
  <c r="BJ41" i="50"/>
  <c r="AY47" i="50"/>
  <c r="BE96" i="50"/>
  <c r="CJ96" i="50"/>
  <c r="AJ96" i="50" s="1"/>
  <c r="CJ71" i="50"/>
  <c r="AJ71" i="50" s="1"/>
  <c r="CJ52" i="50"/>
  <c r="AM52" i="50" s="1"/>
  <c r="CJ53" i="50"/>
  <c r="AM53" i="50" s="1"/>
  <c r="AW56" i="50"/>
  <c r="BI56" i="50"/>
  <c r="CJ56" i="50"/>
  <c r="AN56" i="50" s="1"/>
  <c r="CJ57" i="50"/>
  <c r="AI57" i="50" s="1"/>
  <c r="AP58" i="50"/>
  <c r="AX58" i="50"/>
  <c r="BJ58" i="50"/>
  <c r="AW60" i="50"/>
  <c r="BE60" i="50"/>
  <c r="BI60" i="50"/>
  <c r="CJ60" i="50"/>
  <c r="CJ61" i="50"/>
  <c r="AP62" i="50"/>
  <c r="AZ62" i="50"/>
  <c r="AX62" i="50"/>
  <c r="BD62" i="50"/>
  <c r="BF62" i="50"/>
  <c r="BH62" i="50"/>
  <c r="BJ62" i="50"/>
  <c r="AG63" i="50"/>
  <c r="AO63" i="50"/>
  <c r="CJ64" i="50"/>
  <c r="AN64" i="50" s="1"/>
  <c r="CJ65" i="50"/>
  <c r="AI65" i="50" s="1"/>
  <c r="AZ66" i="50"/>
  <c r="BD66" i="50"/>
  <c r="BH66" i="50"/>
  <c r="AG67" i="50"/>
  <c r="AK67" i="50"/>
  <c r="AO67" i="50"/>
  <c r="BC67" i="50"/>
  <c r="BE67" i="50"/>
  <c r="BG67" i="50"/>
  <c r="BI67" i="50"/>
  <c r="CJ68" i="50"/>
  <c r="AJ68" i="50" s="1"/>
  <c r="CJ69" i="50"/>
  <c r="AM69" i="50" s="1"/>
  <c r="AL70" i="50"/>
  <c r="BH70" i="50"/>
  <c r="BC6" i="50"/>
  <c r="CJ7" i="50"/>
  <c r="AN7" i="50" s="1"/>
  <c r="CJ8" i="50"/>
  <c r="AI8" i="50" s="1"/>
  <c r="BI10" i="50"/>
  <c r="AW11" i="50"/>
  <c r="BE11" i="50"/>
  <c r="CJ11" i="50"/>
  <c r="CJ12" i="50"/>
  <c r="AH13" i="50"/>
  <c r="AX13" i="50"/>
  <c r="BF13" i="50"/>
  <c r="BJ13" i="50"/>
  <c r="BC14" i="50"/>
  <c r="BE14" i="50"/>
  <c r="BG14" i="50"/>
  <c r="BI14" i="50"/>
  <c r="AW15" i="50"/>
  <c r="CJ15" i="50"/>
  <c r="AN15" i="50" s="1"/>
  <c r="CJ16" i="50"/>
  <c r="AI16" i="50" s="1"/>
  <c r="CJ17" i="50"/>
  <c r="AH18" i="50"/>
  <c r="AZ18" i="50"/>
  <c r="AX18" i="50"/>
  <c r="BH18" i="50"/>
  <c r="BJ18" i="50"/>
  <c r="AY74" i="50"/>
  <c r="AW74" i="50"/>
  <c r="BJ74" i="50"/>
  <c r="BH74" i="50"/>
  <c r="BF74" i="50"/>
  <c r="BD74" i="50"/>
  <c r="AZ74" i="50"/>
  <c r="AX74" i="50"/>
  <c r="BC74" i="50"/>
  <c r="BE74" i="50"/>
  <c r="BG74" i="50"/>
  <c r="BI74" i="50"/>
  <c r="AW77" i="50"/>
  <c r="BE77" i="50"/>
  <c r="BD79" i="50"/>
  <c r="AY83" i="50"/>
  <c r="AW83" i="50"/>
  <c r="BJ83" i="50"/>
  <c r="BH83" i="50"/>
  <c r="BF83" i="50"/>
  <c r="BD83" i="50"/>
  <c r="AZ83" i="50"/>
  <c r="AX83" i="50"/>
  <c r="BC83" i="50"/>
  <c r="BE83" i="50"/>
  <c r="BG83" i="50"/>
  <c r="BI83" i="50"/>
  <c r="AY100" i="50"/>
  <c r="AW100" i="50"/>
  <c r="BJ100" i="50"/>
  <c r="BF100" i="50"/>
  <c r="AX100" i="50"/>
  <c r="BH100" i="50"/>
  <c r="BD100" i="50"/>
  <c r="AZ100" i="50"/>
  <c r="AY106" i="50"/>
  <c r="AW106" i="50"/>
  <c r="BH106" i="50"/>
  <c r="BD106" i="50"/>
  <c r="BJ106" i="50"/>
  <c r="BF106" i="50"/>
  <c r="AX106" i="50"/>
  <c r="AZ106" i="50"/>
  <c r="AW108" i="50"/>
  <c r="AW89" i="50"/>
  <c r="BH91" i="50"/>
  <c r="AY43" i="50"/>
  <c r="AX43" i="50"/>
  <c r="BH45" i="50"/>
  <c r="BJ45" i="50"/>
  <c r="AY48" i="50"/>
  <c r="AX48" i="50"/>
  <c r="AY2" i="50"/>
  <c r="BH2" i="50"/>
  <c r="BJ2" i="50"/>
  <c r="AX2" i="50"/>
  <c r="CJ73" i="50"/>
  <c r="CJ75" i="50"/>
  <c r="CJ76" i="50"/>
  <c r="CJ78" i="50"/>
  <c r="CJ80" i="50"/>
  <c r="CJ82" i="50"/>
  <c r="BF84" i="50"/>
  <c r="BC85" i="50"/>
  <c r="BE85" i="50"/>
  <c r="BC97" i="50"/>
  <c r="BE97" i="50"/>
  <c r="BG97" i="50"/>
  <c r="BI97" i="50"/>
  <c r="AQ98" i="50"/>
  <c r="AO98" i="50"/>
  <c r="AM98" i="50"/>
  <c r="AK98" i="50"/>
  <c r="AI98" i="50"/>
  <c r="AG98" i="50"/>
  <c r="CL100" i="50"/>
  <c r="AR100" i="50"/>
  <c r="AP100" i="50"/>
  <c r="AN100" i="50"/>
  <c r="AL100" i="50"/>
  <c r="AJ100" i="50"/>
  <c r="AH100" i="50"/>
  <c r="AF100" i="50"/>
  <c r="AX101" i="50"/>
  <c r="BJ101" i="50"/>
  <c r="AZ105" i="50"/>
  <c r="AX105" i="50"/>
  <c r="BD105" i="50"/>
  <c r="BF105" i="50"/>
  <c r="BH105" i="50"/>
  <c r="BJ105" i="50"/>
  <c r="BC106" i="50"/>
  <c r="BE106" i="50"/>
  <c r="BG106" i="50"/>
  <c r="BI106" i="50"/>
  <c r="AP108" i="50"/>
  <c r="AN108" i="50"/>
  <c r="BD109" i="50"/>
  <c r="BF109" i="50"/>
  <c r="AQ86" i="50"/>
  <c r="AO86" i="50"/>
  <c r="AM86" i="50"/>
  <c r="AK86" i="50"/>
  <c r="AI86" i="50"/>
  <c r="AG86" i="50"/>
  <c r="AR87" i="50"/>
  <c r="AP87" i="50"/>
  <c r="AN87" i="50"/>
  <c r="AL87" i="50"/>
  <c r="AJ87" i="50"/>
  <c r="AH87" i="50"/>
  <c r="AF87" i="50"/>
  <c r="BF88" i="50"/>
  <c r="BH88" i="50"/>
  <c r="BG89" i="50"/>
  <c r="AK90" i="50"/>
  <c r="AR91" i="50"/>
  <c r="AH91" i="50"/>
  <c r="BI93" i="50"/>
  <c r="AG94" i="50"/>
  <c r="AL95" i="50"/>
  <c r="CI38" i="50"/>
  <c r="CK38" i="50" s="1"/>
  <c r="BD38" i="50" s="1"/>
  <c r="CJ38" i="50"/>
  <c r="CI39" i="50"/>
  <c r="CK39" i="50" s="1"/>
  <c r="BD39" i="50" s="1"/>
  <c r="CJ39" i="50"/>
  <c r="AF39" i="50" s="1"/>
  <c r="CI40" i="50"/>
  <c r="CK40" i="50" s="1"/>
  <c r="CJ40" i="50"/>
  <c r="CI44" i="50"/>
  <c r="CK44" i="50" s="1"/>
  <c r="BD44" i="50" s="1"/>
  <c r="CJ44" i="50"/>
  <c r="CI49" i="50"/>
  <c r="CK49" i="50" s="1"/>
  <c r="BD49" i="50" s="1"/>
  <c r="CJ49" i="50"/>
  <c r="AJ49" i="50" s="1"/>
  <c r="AQ4" i="50"/>
  <c r="AO4" i="50"/>
  <c r="AM4" i="50"/>
  <c r="AK4" i="50"/>
  <c r="AI4" i="50"/>
  <c r="AG4" i="50"/>
  <c r="AP4" i="50"/>
  <c r="AL4" i="50"/>
  <c r="AH4" i="50"/>
  <c r="AR4" i="50"/>
  <c r="AJ4" i="50"/>
  <c r="AY5" i="50"/>
  <c r="AW5" i="50"/>
  <c r="BJ5" i="50"/>
  <c r="BF5" i="50"/>
  <c r="AX5" i="50"/>
  <c r="BH5" i="50"/>
  <c r="AZ5" i="50"/>
  <c r="CI20" i="50"/>
  <c r="CK20" i="50" s="1"/>
  <c r="AX20" i="50" s="1"/>
  <c r="AN22" i="50"/>
  <c r="AH22" i="50"/>
  <c r="AQ22" i="50"/>
  <c r="CI25" i="50"/>
  <c r="CK25" i="50" s="1"/>
  <c r="BI25" i="50" s="1"/>
  <c r="BF26" i="50"/>
  <c r="AN27" i="50"/>
  <c r="AL27" i="50"/>
  <c r="AQ27" i="50"/>
  <c r="AI27" i="50"/>
  <c r="BF28" i="50"/>
  <c r="BD28" i="50"/>
  <c r="CL29" i="50"/>
  <c r="AR29" i="50"/>
  <c r="AP29" i="50"/>
  <c r="AN29" i="50"/>
  <c r="AL29" i="50"/>
  <c r="AJ29" i="50"/>
  <c r="AH29" i="50"/>
  <c r="AF29" i="50"/>
  <c r="AO29" i="50"/>
  <c r="AK29" i="50"/>
  <c r="AG29" i="50"/>
  <c r="AQ29" i="50"/>
  <c r="AI29" i="50"/>
  <c r="AY34" i="50"/>
  <c r="CJ84" i="50"/>
  <c r="AN84" i="50" s="1"/>
  <c r="CJ85" i="50"/>
  <c r="AQ85" i="50" s="1"/>
  <c r="CJ97" i="50"/>
  <c r="AI97" i="50" s="1"/>
  <c r="AH98" i="50"/>
  <c r="AL98" i="50"/>
  <c r="BP98" i="50" s="1"/>
  <c r="AP98" i="50"/>
  <c r="BD98" i="50"/>
  <c r="BF98" i="50"/>
  <c r="CL98" i="50"/>
  <c r="AG99" i="50"/>
  <c r="BC99" i="50"/>
  <c r="BE99" i="50"/>
  <c r="BG99" i="50"/>
  <c r="BI99" i="50"/>
  <c r="AG100" i="50"/>
  <c r="AK100" i="50"/>
  <c r="AO100" i="50"/>
  <c r="BC100" i="50"/>
  <c r="BE100" i="50"/>
  <c r="BG100" i="50"/>
  <c r="BI100" i="50"/>
  <c r="BI101" i="50"/>
  <c r="CJ101" i="50"/>
  <c r="AN101" i="50" s="1"/>
  <c r="CJ102" i="50"/>
  <c r="AQ102" i="50" s="1"/>
  <c r="BJ103" i="50"/>
  <c r="AK104" i="50"/>
  <c r="AW105" i="50"/>
  <c r="BE105" i="50"/>
  <c r="BI105" i="50"/>
  <c r="CJ105" i="50"/>
  <c r="AJ105" i="50" s="1"/>
  <c r="CJ106" i="50"/>
  <c r="AM106" i="50" s="1"/>
  <c r="AG108" i="50"/>
  <c r="BC108" i="50"/>
  <c r="AW109" i="50"/>
  <c r="BE109" i="50"/>
  <c r="CJ109" i="50"/>
  <c r="AF109" i="50" s="1"/>
  <c r="CJ110" i="50"/>
  <c r="AI110" i="50" s="1"/>
  <c r="AH86" i="50"/>
  <c r="AL86" i="50"/>
  <c r="AP86" i="50"/>
  <c r="BH86" i="50"/>
  <c r="AG87" i="50"/>
  <c r="AK87" i="50"/>
  <c r="AO87" i="50"/>
  <c r="AW88" i="50"/>
  <c r="CJ88" i="50"/>
  <c r="AJ88" i="50" s="1"/>
  <c r="CJ89" i="50"/>
  <c r="AM89" i="50" s="1"/>
  <c r="AZ90" i="50"/>
  <c r="AX90" i="50"/>
  <c r="BD90" i="50"/>
  <c r="BF90" i="50"/>
  <c r="BH90" i="50"/>
  <c r="BJ90" i="50"/>
  <c r="AO91" i="50"/>
  <c r="BC91" i="50"/>
  <c r="CJ92" i="50"/>
  <c r="AN92" i="50" s="1"/>
  <c r="CJ93" i="50"/>
  <c r="AQ93" i="50" s="1"/>
  <c r="AP94" i="50"/>
  <c r="AZ94" i="50"/>
  <c r="AX94" i="50"/>
  <c r="BD94" i="50"/>
  <c r="BF94" i="50"/>
  <c r="BH94" i="50"/>
  <c r="BJ94" i="50"/>
  <c r="AG95" i="50"/>
  <c r="BI95" i="50"/>
  <c r="BG36" i="50"/>
  <c r="CL37" i="50"/>
  <c r="AQ37" i="50"/>
  <c r="AO37" i="50"/>
  <c r="AM37" i="50"/>
  <c r="AK37" i="50"/>
  <c r="AI37" i="50"/>
  <c r="AG37" i="50"/>
  <c r="AH39" i="50"/>
  <c r="BC41" i="50"/>
  <c r="BI41" i="50"/>
  <c r="AQ42" i="50"/>
  <c r="AO42" i="50"/>
  <c r="AM42" i="50"/>
  <c r="AK42" i="50"/>
  <c r="AI42" i="50"/>
  <c r="AG42" i="50"/>
  <c r="CL42" i="50"/>
  <c r="AP42" i="50"/>
  <c r="AL42" i="50"/>
  <c r="AH42" i="50"/>
  <c r="AR43" i="50"/>
  <c r="AP43" i="50"/>
  <c r="AF43" i="50"/>
  <c r="AO43" i="50"/>
  <c r="AK43" i="50"/>
  <c r="AG43" i="50"/>
  <c r="AZ45" i="50"/>
  <c r="BC45" i="50"/>
  <c r="BE45" i="50"/>
  <c r="BG45" i="50"/>
  <c r="BI45" i="50"/>
  <c r="AQ46" i="50"/>
  <c r="AO46" i="50"/>
  <c r="AM46" i="50"/>
  <c r="AK46" i="50"/>
  <c r="AI46" i="50"/>
  <c r="AG46" i="50"/>
  <c r="AP46" i="50"/>
  <c r="AL46" i="50"/>
  <c r="AH46" i="50"/>
  <c r="AT46" i="50" s="1"/>
  <c r="AR47" i="50"/>
  <c r="AP47" i="50"/>
  <c r="AN47" i="50"/>
  <c r="AL47" i="50"/>
  <c r="AJ47" i="50"/>
  <c r="AH47" i="50"/>
  <c r="AF47" i="50"/>
  <c r="AO47" i="50"/>
  <c r="AK47" i="50"/>
  <c r="AG47" i="50"/>
  <c r="CL48" i="50"/>
  <c r="AN48" i="50"/>
  <c r="AL48" i="50"/>
  <c r="AF48" i="50"/>
  <c r="AO48" i="50"/>
  <c r="BC50" i="50"/>
  <c r="BI50" i="50"/>
  <c r="AM51" i="50"/>
  <c r="AK51" i="50"/>
  <c r="CL51" i="50"/>
  <c r="AP51" i="50"/>
  <c r="AZ2" i="50"/>
  <c r="BC2" i="50"/>
  <c r="BE2" i="50"/>
  <c r="BG2" i="50"/>
  <c r="BI2" i="50"/>
  <c r="CI3" i="50"/>
  <c r="CK3" i="50" s="1"/>
  <c r="AX3" i="50" s="1"/>
  <c r="AF4" i="50"/>
  <c r="BD5" i="50"/>
  <c r="AR5" i="50"/>
  <c r="AP5" i="50"/>
  <c r="AJ5" i="50"/>
  <c r="AH5" i="50"/>
  <c r="AK5" i="50"/>
  <c r="AG5" i="50"/>
  <c r="AQ21" i="50"/>
  <c r="AO21" i="50"/>
  <c r="AM21" i="50"/>
  <c r="AK21" i="50"/>
  <c r="AI21" i="50"/>
  <c r="AG21" i="50"/>
  <c r="AP21" i="50"/>
  <c r="AL21" i="50"/>
  <c r="AH21" i="50"/>
  <c r="AT21" i="50" s="1"/>
  <c r="AR21" i="50"/>
  <c r="AJ21" i="50"/>
  <c r="AY22" i="50"/>
  <c r="AW22" i="50"/>
  <c r="BJ22" i="50"/>
  <c r="BF22" i="50"/>
  <c r="BH22" i="50"/>
  <c r="AZ22" i="50"/>
  <c r="CI24" i="50"/>
  <c r="CK24" i="50" s="1"/>
  <c r="AZ24" i="50" s="1"/>
  <c r="CI33" i="50"/>
  <c r="CK33" i="50" s="1"/>
  <c r="AY33" i="50" s="1"/>
  <c r="CJ33" i="50"/>
  <c r="AN33" i="50" s="1"/>
  <c r="CJ41" i="50"/>
  <c r="AM41" i="50" s="1"/>
  <c r="AZ42" i="50"/>
  <c r="AX42" i="50"/>
  <c r="BD42" i="50"/>
  <c r="BF42" i="50"/>
  <c r="BH42" i="50"/>
  <c r="BJ42" i="50"/>
  <c r="BE43" i="50"/>
  <c r="CJ45" i="50"/>
  <c r="AQ45" i="50" s="1"/>
  <c r="BD46" i="50"/>
  <c r="BC47" i="50"/>
  <c r="BG48" i="50"/>
  <c r="CJ50" i="50"/>
  <c r="AI50" i="50" s="1"/>
  <c r="AX51" i="50"/>
  <c r="CJ2" i="50"/>
  <c r="AQ2" i="50" s="1"/>
  <c r="CI19" i="50"/>
  <c r="CK19" i="50" s="1"/>
  <c r="BD19" i="50" s="1"/>
  <c r="CJ19" i="50"/>
  <c r="AN19" i="50" s="1"/>
  <c r="CI23" i="50"/>
  <c r="CK23" i="50" s="1"/>
  <c r="BD23" i="50" s="1"/>
  <c r="CJ23" i="50"/>
  <c r="AN23" i="50" s="1"/>
  <c r="AM26" i="50"/>
  <c r="AP26" i="50"/>
  <c r="AH26" i="50"/>
  <c r="AY27" i="50"/>
  <c r="AW27" i="50"/>
  <c r="BJ27" i="50"/>
  <c r="BF27" i="50"/>
  <c r="AX27" i="50"/>
  <c r="BH27" i="50"/>
  <c r="AZ27" i="50"/>
  <c r="CL28" i="50"/>
  <c r="AR28" i="50"/>
  <c r="AP28" i="50"/>
  <c r="AN28" i="50"/>
  <c r="AL28" i="50"/>
  <c r="AJ28" i="50"/>
  <c r="AH28" i="50"/>
  <c r="AF28" i="50"/>
  <c r="AO28" i="50"/>
  <c r="AK28" i="50"/>
  <c r="AG28" i="50"/>
  <c r="AQ28" i="50"/>
  <c r="AI28" i="50"/>
  <c r="AY29" i="50"/>
  <c r="AW29" i="50"/>
  <c r="BJ29" i="50"/>
  <c r="BF29" i="50"/>
  <c r="AX29" i="50"/>
  <c r="BH29" i="50"/>
  <c r="AZ29" i="50"/>
  <c r="AY32" i="50"/>
  <c r="AW32" i="50"/>
  <c r="BJ32" i="50"/>
  <c r="BF32" i="50"/>
  <c r="AX32" i="50"/>
  <c r="BD32" i="50"/>
  <c r="AZ32" i="50"/>
  <c r="CJ3" i="50"/>
  <c r="AI3" i="50" s="1"/>
  <c r="AZ4" i="50"/>
  <c r="BD4" i="50"/>
  <c r="BH4" i="50"/>
  <c r="BC5" i="50"/>
  <c r="BE5" i="50"/>
  <c r="BG5" i="50"/>
  <c r="BI5" i="50"/>
  <c r="CJ20" i="50"/>
  <c r="AO20" i="50" s="1"/>
  <c r="AX21" i="50"/>
  <c r="BF21" i="50"/>
  <c r="BJ21" i="50"/>
  <c r="BC22" i="50"/>
  <c r="BE22" i="50"/>
  <c r="BG22" i="50"/>
  <c r="BI22" i="50"/>
  <c r="CJ24" i="50"/>
  <c r="AG24" i="50" s="1"/>
  <c r="CJ25" i="50"/>
  <c r="AG25" i="50" s="1"/>
  <c r="CI30" i="50"/>
  <c r="CK30" i="50" s="1"/>
  <c r="BF30" i="50" s="1"/>
  <c r="CJ30" i="50"/>
  <c r="AJ30" i="50" s="1"/>
  <c r="BC27" i="50"/>
  <c r="BE27" i="50"/>
  <c r="BG27" i="50"/>
  <c r="BI27" i="50"/>
  <c r="BC28" i="50"/>
  <c r="BG28" i="50"/>
  <c r="BC29" i="50"/>
  <c r="BE29" i="50"/>
  <c r="BG29" i="50"/>
  <c r="BI29" i="50"/>
  <c r="AQ31" i="50"/>
  <c r="AO31" i="50"/>
  <c r="AM31" i="50"/>
  <c r="AP31" i="50"/>
  <c r="AL31" i="50"/>
  <c r="AJ31" i="50"/>
  <c r="AH31" i="50"/>
  <c r="AF31" i="50"/>
  <c r="AR32" i="50"/>
  <c r="AN32" i="50"/>
  <c r="AJ32" i="50"/>
  <c r="AF32" i="50"/>
  <c r="AK32" i="50"/>
  <c r="AZ34" i="50"/>
  <c r="BC34" i="50"/>
  <c r="BE34" i="50"/>
  <c r="BG34" i="50"/>
  <c r="BI34" i="50"/>
  <c r="AX31" i="50"/>
  <c r="BF31" i="50"/>
  <c r="BJ31" i="50"/>
  <c r="BC32" i="50"/>
  <c r="BE32" i="50"/>
  <c r="BG32" i="50"/>
  <c r="BI32" i="50"/>
  <c r="CJ34" i="50"/>
  <c r="AI34" i="50" s="1"/>
  <c r="AK19" i="49"/>
  <c r="CC16" i="49"/>
  <c r="AK16" i="49" s="1"/>
  <c r="AO27" i="49"/>
  <c r="AS19" i="49"/>
  <c r="AS55" i="49"/>
  <c r="AK27" i="49"/>
  <c r="AS27" i="49"/>
  <c r="CC54" i="49"/>
  <c r="AR54" i="49" s="1"/>
  <c r="CC12" i="49"/>
  <c r="AG12" i="49" s="1"/>
  <c r="CC14" i="49"/>
  <c r="AK14" i="49" s="1"/>
  <c r="CC57" i="49"/>
  <c r="AK57" i="49" s="1"/>
  <c r="CC59" i="49"/>
  <c r="CC61" i="49"/>
  <c r="AK61" i="49" s="1"/>
  <c r="CC23" i="49"/>
  <c r="AN23" i="49" s="1"/>
  <c r="CC29" i="49"/>
  <c r="AK29" i="49" s="1"/>
  <c r="CC31" i="49"/>
  <c r="CC39" i="49"/>
  <c r="AG39" i="49" s="1"/>
  <c r="AF81" i="47"/>
  <c r="AF154" i="47"/>
  <c r="AJ25" i="47"/>
  <c r="AR25" i="47"/>
  <c r="DC119" i="47"/>
  <c r="AO119" i="47" s="1"/>
  <c r="AG120" i="47"/>
  <c r="DC121" i="47"/>
  <c r="AO121" i="47" s="1"/>
  <c r="DC49" i="47"/>
  <c r="AO49" i="47" s="1"/>
  <c r="AG62" i="47"/>
  <c r="DB2" i="47"/>
  <c r="DD2" i="47" s="1"/>
  <c r="BC2" i="47" s="1"/>
  <c r="DB5" i="47"/>
  <c r="DD5" i="47" s="1"/>
  <c r="BI5" i="47" s="1"/>
  <c r="DB6" i="47"/>
  <c r="DD6" i="47" s="1"/>
  <c r="DB125" i="47"/>
  <c r="DD125" i="47" s="1"/>
  <c r="DB126" i="47"/>
  <c r="DD126" i="47" s="1"/>
  <c r="BF126" i="47" s="1"/>
  <c r="DB128" i="47"/>
  <c r="DD128" i="47" s="1"/>
  <c r="BF128" i="47" s="1"/>
  <c r="DB129" i="47"/>
  <c r="DD129" i="47" s="1"/>
  <c r="BC129" i="47" s="1"/>
  <c r="DB130" i="47"/>
  <c r="DD130" i="47" s="1"/>
  <c r="AY130" i="47" s="1"/>
  <c r="DC150" i="47"/>
  <c r="AP150" i="47" s="1"/>
  <c r="DC152" i="47"/>
  <c r="AQ152" i="47" s="1"/>
  <c r="DC156" i="47"/>
  <c r="AP156" i="47" s="1"/>
  <c r="DC158" i="47"/>
  <c r="AQ158" i="47" s="1"/>
  <c r="DC74" i="47"/>
  <c r="AL74" i="47" s="1"/>
  <c r="DC76" i="47"/>
  <c r="AL76" i="47" s="1"/>
  <c r="DC87" i="47"/>
  <c r="AH87" i="47" s="1"/>
  <c r="DC89" i="47"/>
  <c r="AF89" i="47" s="1"/>
  <c r="DC91" i="47"/>
  <c r="AP91" i="47" s="1"/>
  <c r="AN111" i="47"/>
  <c r="AJ11" i="47"/>
  <c r="AR205" i="47"/>
  <c r="AN209" i="47"/>
  <c r="DC172" i="47"/>
  <c r="AL172" i="47" s="1"/>
  <c r="DC178" i="47"/>
  <c r="AO178" i="47" s="1"/>
  <c r="DB188" i="47"/>
  <c r="DD188" i="47" s="1"/>
  <c r="BF188" i="47" s="1"/>
  <c r="DC188" i="47"/>
  <c r="AR188" i="47" s="1"/>
  <c r="DC192" i="47"/>
  <c r="AO192" i="47" s="1"/>
  <c r="DC198" i="47"/>
  <c r="AO198" i="47" s="1"/>
  <c r="DC109" i="47"/>
  <c r="AP109" i="47" s="1"/>
  <c r="DC9" i="47"/>
  <c r="DC13" i="47"/>
  <c r="AP13" i="47" s="1"/>
  <c r="DC15" i="47"/>
  <c r="DC69" i="47"/>
  <c r="DC21" i="47"/>
  <c r="AI21" i="47" s="1"/>
  <c r="BW21" i="47" s="1"/>
  <c r="DC27" i="47"/>
  <c r="AP27" i="47" s="1"/>
  <c r="DC133" i="47"/>
  <c r="AQ133" i="47" s="1"/>
  <c r="DC203" i="47"/>
  <c r="AP203" i="47" s="1"/>
  <c r="DC211" i="47"/>
  <c r="AP211" i="47" s="1"/>
  <c r="DC140" i="47"/>
  <c r="AP140" i="47" s="1"/>
  <c r="DC144" i="47"/>
  <c r="AH144" i="47" s="1"/>
  <c r="DC196" i="47"/>
  <c r="AM196" i="47" s="1"/>
  <c r="DB30" i="47"/>
  <c r="DD30" i="47" s="1"/>
  <c r="BD30" i="47" s="1"/>
  <c r="DC32" i="47"/>
  <c r="AP32" i="47" s="1"/>
  <c r="DC34" i="47"/>
  <c r="AR34" i="47" s="1"/>
  <c r="DC36" i="47"/>
  <c r="AL36" i="47" s="1"/>
  <c r="DC38" i="47"/>
  <c r="AL38" i="47" s="1"/>
  <c r="DC40" i="47"/>
  <c r="AL40" i="47" s="1"/>
  <c r="DC161" i="47"/>
  <c r="AL161" i="47" s="1"/>
  <c r="DC163" i="47"/>
  <c r="AP163" i="47" s="1"/>
  <c r="DC165" i="47"/>
  <c r="AP165" i="47" s="1"/>
  <c r="DC167" i="47"/>
  <c r="AP167" i="47" s="1"/>
  <c r="DB172" i="47"/>
  <c r="DD172" i="47" s="1"/>
  <c r="DB196" i="47"/>
  <c r="DD196" i="47" s="1"/>
  <c r="BG196" i="47" s="1"/>
  <c r="DC201" i="47"/>
  <c r="AN201" i="47" s="1"/>
  <c r="BG3" i="47"/>
  <c r="BC3" i="47"/>
  <c r="BH3" i="47"/>
  <c r="BD3" i="47"/>
  <c r="AX3" i="47"/>
  <c r="BG7" i="47"/>
  <c r="BC7" i="47"/>
  <c r="BH7" i="47"/>
  <c r="BD7" i="47"/>
  <c r="AX7" i="47"/>
  <c r="BH8" i="47"/>
  <c r="BG122" i="47"/>
  <c r="BC122" i="47"/>
  <c r="BH122" i="47"/>
  <c r="BD122" i="47"/>
  <c r="AX122" i="47"/>
  <c r="BH123" i="47"/>
  <c r="BE124" i="47"/>
  <c r="BF124" i="47"/>
  <c r="AY124" i="47"/>
  <c r="BI127" i="47"/>
  <c r="BE127" i="47"/>
  <c r="BJ127" i="47"/>
  <c r="BF127" i="47"/>
  <c r="AZ127" i="47"/>
  <c r="CE127" i="47" s="1"/>
  <c r="AY127" i="47"/>
  <c r="BJ6" i="47"/>
  <c r="BI130" i="47"/>
  <c r="DC2" i="47"/>
  <c r="AF2" i="47" s="1"/>
  <c r="DC3" i="47"/>
  <c r="DC4" i="47"/>
  <c r="DC5" i="47"/>
  <c r="DC6" i="47"/>
  <c r="DC7" i="47"/>
  <c r="DC8" i="47"/>
  <c r="DC122" i="47"/>
  <c r="DC123" i="47"/>
  <c r="DC124" i="47"/>
  <c r="DC125" i="47"/>
  <c r="AF125" i="47" s="1"/>
  <c r="DC126" i="47"/>
  <c r="DC127" i="47"/>
  <c r="AJ127" i="47" s="1"/>
  <c r="DC128" i="47"/>
  <c r="DC129" i="47"/>
  <c r="AF129" i="47" s="1"/>
  <c r="DB149" i="47"/>
  <c r="DD149" i="47" s="1"/>
  <c r="DB151" i="47"/>
  <c r="DD151" i="47" s="1"/>
  <c r="DB153" i="47"/>
  <c r="DD153" i="47" s="1"/>
  <c r="DB155" i="47"/>
  <c r="DD155" i="47" s="1"/>
  <c r="DB157" i="47"/>
  <c r="DD157" i="47" s="1"/>
  <c r="BE157" i="47" s="1"/>
  <c r="DB71" i="47"/>
  <c r="DD71" i="47" s="1"/>
  <c r="DB73" i="47"/>
  <c r="DD73" i="47" s="1"/>
  <c r="BE73" i="47" s="1"/>
  <c r="DB75" i="47"/>
  <c r="DD75" i="47" s="1"/>
  <c r="DB78" i="47"/>
  <c r="DD78" i="47" s="1"/>
  <c r="BI78" i="47" s="1"/>
  <c r="DB82" i="47"/>
  <c r="DD82" i="47" s="1"/>
  <c r="BI82" i="47" s="1"/>
  <c r="DB86" i="47"/>
  <c r="DD86" i="47" s="1"/>
  <c r="AX86" i="47" s="1"/>
  <c r="DB104" i="47"/>
  <c r="DD104" i="47" s="1"/>
  <c r="AX104" i="47" s="1"/>
  <c r="DB106" i="47"/>
  <c r="DD106" i="47" s="1"/>
  <c r="AZ106" i="47" s="1"/>
  <c r="CE106" i="47" s="1"/>
  <c r="DB108" i="47"/>
  <c r="DD108" i="47" s="1"/>
  <c r="AX108" i="47" s="1"/>
  <c r="DB110" i="47"/>
  <c r="DD110" i="47" s="1"/>
  <c r="AX110" i="47" s="1"/>
  <c r="AH17" i="47"/>
  <c r="DB64" i="47"/>
  <c r="DD64" i="47" s="1"/>
  <c r="AX64" i="47" s="1"/>
  <c r="DB66" i="47"/>
  <c r="DD66" i="47" s="1"/>
  <c r="AZ66" i="47" s="1"/>
  <c r="CE66" i="47" s="1"/>
  <c r="DB68" i="47"/>
  <c r="DD68" i="47" s="1"/>
  <c r="AX68" i="47" s="1"/>
  <c r="DB26" i="47"/>
  <c r="DD26" i="47" s="1"/>
  <c r="AZ26" i="47" s="1"/>
  <c r="CE26" i="47" s="1"/>
  <c r="DB132" i="47"/>
  <c r="DD132" i="47" s="1"/>
  <c r="AX132" i="47" s="1"/>
  <c r="DB134" i="47"/>
  <c r="DD134" i="47" s="1"/>
  <c r="AX134" i="47" s="1"/>
  <c r="AW3" i="47"/>
  <c r="AW127" i="47"/>
  <c r="DC130" i="47"/>
  <c r="AP131" i="47"/>
  <c r="DB131" i="47"/>
  <c r="DD131" i="47" s="1"/>
  <c r="DC149" i="47"/>
  <c r="AK149" i="47" s="1"/>
  <c r="DB150" i="47"/>
  <c r="DD150" i="47" s="1"/>
  <c r="DC151" i="47"/>
  <c r="AG151" i="47" s="1"/>
  <c r="DB152" i="47"/>
  <c r="DD152" i="47" s="1"/>
  <c r="DC153" i="47"/>
  <c r="AK153" i="47" s="1"/>
  <c r="AH154" i="47"/>
  <c r="AP154" i="47"/>
  <c r="AI154" i="47"/>
  <c r="BW154" i="47" s="1"/>
  <c r="AM154" i="47"/>
  <c r="AQ154" i="47"/>
  <c r="DB154" i="47"/>
  <c r="DD154" i="47" s="1"/>
  <c r="DC155" i="47"/>
  <c r="AG155" i="47" s="1"/>
  <c r="AM156" i="47"/>
  <c r="DB156" i="47"/>
  <c r="DD156" i="47" s="1"/>
  <c r="DC157" i="47"/>
  <c r="AK157" i="47" s="1"/>
  <c r="DB158" i="47"/>
  <c r="DD158" i="47" s="1"/>
  <c r="DC71" i="47"/>
  <c r="AG71" i="47" s="1"/>
  <c r="AH72" i="47"/>
  <c r="AI72" i="47"/>
  <c r="BW72" i="47" s="1"/>
  <c r="AQ72" i="47"/>
  <c r="DB72" i="47"/>
  <c r="DD72" i="47" s="1"/>
  <c r="DC73" i="47"/>
  <c r="AK73" i="47" s="1"/>
  <c r="DB74" i="47"/>
  <c r="DD74" i="47" s="1"/>
  <c r="DC75" i="47"/>
  <c r="AG75" i="47" s="1"/>
  <c r="DB76" i="47"/>
  <c r="DD76" i="47" s="1"/>
  <c r="DB80" i="47"/>
  <c r="DD80" i="47" s="1"/>
  <c r="BI80" i="47" s="1"/>
  <c r="AL81" i="47"/>
  <c r="AR83" i="47"/>
  <c r="AP111" i="47"/>
  <c r="AL111" i="47"/>
  <c r="AJ111" i="47"/>
  <c r="DB114" i="47"/>
  <c r="DD114" i="47" s="1"/>
  <c r="AX114" i="47" s="1"/>
  <c r="DB116" i="47"/>
  <c r="DD116" i="47" s="1"/>
  <c r="AX116" i="47" s="1"/>
  <c r="DB12" i="47"/>
  <c r="DD12" i="47" s="1"/>
  <c r="AZ12" i="47" s="1"/>
  <c r="CE12" i="47" s="1"/>
  <c r="DB14" i="47"/>
  <c r="DD14" i="47" s="1"/>
  <c r="AX14" i="47" s="1"/>
  <c r="DB22" i="47"/>
  <c r="DD22" i="47" s="1"/>
  <c r="AZ22" i="47" s="1"/>
  <c r="CE22" i="47" s="1"/>
  <c r="AI77" i="47"/>
  <c r="BW77" i="47" s="1"/>
  <c r="AM77" i="47"/>
  <c r="AQ77" i="47"/>
  <c r="DB77" i="47"/>
  <c r="DD77" i="47" s="1"/>
  <c r="DC78" i="47"/>
  <c r="AG78" i="47" s="1"/>
  <c r="DB79" i="47"/>
  <c r="DD79" i="47" s="1"/>
  <c r="DC80" i="47"/>
  <c r="AK80" i="47" s="1"/>
  <c r="AI81" i="47"/>
  <c r="BW81" i="47" s="1"/>
  <c r="AM81" i="47"/>
  <c r="AO81" i="47"/>
  <c r="AQ81" i="47"/>
  <c r="DB81" i="47"/>
  <c r="DD81" i="47" s="1"/>
  <c r="DE81" i="47" s="1"/>
  <c r="DC82" i="47"/>
  <c r="AG82" i="47" s="1"/>
  <c r="DB83" i="47"/>
  <c r="DD83" i="47" s="1"/>
  <c r="AZ83" i="47" s="1"/>
  <c r="CE83" i="47" s="1"/>
  <c r="AM83" i="47"/>
  <c r="DB84" i="47"/>
  <c r="DD84" i="47" s="1"/>
  <c r="BI84" i="47" s="1"/>
  <c r="AP85" i="47"/>
  <c r="AL85" i="47"/>
  <c r="AH85" i="47"/>
  <c r="DB88" i="47"/>
  <c r="DD88" i="47" s="1"/>
  <c r="BI88" i="47" s="1"/>
  <c r="DB90" i="47"/>
  <c r="DD90" i="47" s="1"/>
  <c r="BI90" i="47" s="1"/>
  <c r="AL105" i="47"/>
  <c r="AL109" i="47"/>
  <c r="DB112" i="47"/>
  <c r="DD112" i="47" s="1"/>
  <c r="BI112" i="47" s="1"/>
  <c r="AP115" i="47"/>
  <c r="DB10" i="47"/>
  <c r="DD10" i="47" s="1"/>
  <c r="BI10" i="47" s="1"/>
  <c r="AH11" i="47"/>
  <c r="DB16" i="47"/>
  <c r="DD16" i="47" s="1"/>
  <c r="BI16" i="47" s="1"/>
  <c r="DB18" i="47"/>
  <c r="DD18" i="47" s="1"/>
  <c r="BI18" i="47" s="1"/>
  <c r="DB70" i="47"/>
  <c r="DD70" i="47" s="1"/>
  <c r="BI70" i="47" s="1"/>
  <c r="DB24" i="47"/>
  <c r="DD24" i="47" s="1"/>
  <c r="BI24" i="47" s="1"/>
  <c r="AL25" i="47"/>
  <c r="AH25" i="47"/>
  <c r="AT25" i="47" s="1"/>
  <c r="DB136" i="47"/>
  <c r="DD136" i="47" s="1"/>
  <c r="BI136" i="47" s="1"/>
  <c r="DB206" i="47"/>
  <c r="DD206" i="47" s="1"/>
  <c r="BE206" i="47" s="1"/>
  <c r="AL209" i="47"/>
  <c r="AP142" i="47"/>
  <c r="AL142" i="47"/>
  <c r="AH142" i="47"/>
  <c r="AR142" i="47"/>
  <c r="AJ142" i="47"/>
  <c r="AP207" i="47"/>
  <c r="AJ207" i="47"/>
  <c r="DB137" i="47"/>
  <c r="DD137" i="47" s="1"/>
  <c r="AX137" i="47" s="1"/>
  <c r="DB139" i="47"/>
  <c r="DD139" i="47" s="1"/>
  <c r="AX139" i="47" s="1"/>
  <c r="DB141" i="47"/>
  <c r="DD141" i="47" s="1"/>
  <c r="AX141" i="47" s="1"/>
  <c r="AF142" i="47"/>
  <c r="DB145" i="47"/>
  <c r="DD145" i="47" s="1"/>
  <c r="AX145" i="47" s="1"/>
  <c r="DB147" i="47"/>
  <c r="DD147" i="47" s="1"/>
  <c r="BE147" i="47" s="1"/>
  <c r="DB118" i="47"/>
  <c r="DD118" i="47" s="1"/>
  <c r="BH118" i="47" s="1"/>
  <c r="DC118" i="47"/>
  <c r="AL118" i="47" s="1"/>
  <c r="DB47" i="47"/>
  <c r="DD47" i="47" s="1"/>
  <c r="DC47" i="47"/>
  <c r="AN47" i="47" s="1"/>
  <c r="AQ51" i="47"/>
  <c r="AG51" i="47"/>
  <c r="DB57" i="47"/>
  <c r="DD57" i="47" s="1"/>
  <c r="BH57" i="47" s="1"/>
  <c r="DC57" i="47"/>
  <c r="DB59" i="47"/>
  <c r="DD59" i="47" s="1"/>
  <c r="DC59" i="47"/>
  <c r="DB61" i="47"/>
  <c r="DD61" i="47" s="1"/>
  <c r="BJ61" i="47" s="1"/>
  <c r="DC61" i="47"/>
  <c r="AH61" i="47" s="1"/>
  <c r="DB96" i="47"/>
  <c r="DD96" i="47" s="1"/>
  <c r="AX96" i="47" s="1"/>
  <c r="DB100" i="47"/>
  <c r="DD100" i="47" s="1"/>
  <c r="DB28" i="47"/>
  <c r="DD28" i="47" s="1"/>
  <c r="DB45" i="47"/>
  <c r="DD45" i="47" s="1"/>
  <c r="AX45" i="47" s="1"/>
  <c r="DC84" i="47"/>
  <c r="AG84" i="47" s="1"/>
  <c r="AG85" i="47"/>
  <c r="AI85" i="47"/>
  <c r="BW85" i="47" s="1"/>
  <c r="AK85" i="47"/>
  <c r="AM85" i="47"/>
  <c r="AO85" i="47"/>
  <c r="AQ85" i="47"/>
  <c r="DB85" i="47"/>
  <c r="DD85" i="47" s="1"/>
  <c r="DC86" i="47"/>
  <c r="AG86" i="47" s="1"/>
  <c r="AG87" i="47"/>
  <c r="AK87" i="47"/>
  <c r="DB87" i="47"/>
  <c r="DD87" i="47" s="1"/>
  <c r="DC88" i="47"/>
  <c r="AK88" i="47" s="1"/>
  <c r="DB89" i="47"/>
  <c r="DD89" i="47" s="1"/>
  <c r="DC90" i="47"/>
  <c r="AG90" i="47" s="1"/>
  <c r="DB91" i="47"/>
  <c r="DD91" i="47" s="1"/>
  <c r="DC104" i="47"/>
  <c r="AK104" i="47" s="1"/>
  <c r="AG105" i="47"/>
  <c r="AK105" i="47"/>
  <c r="AO105" i="47"/>
  <c r="DB105" i="47"/>
  <c r="DD105" i="47" s="1"/>
  <c r="DC106" i="47"/>
  <c r="AG106" i="47" s="1"/>
  <c r="AK107" i="47"/>
  <c r="DB107" i="47"/>
  <c r="DD107" i="47" s="1"/>
  <c r="DC108" i="47"/>
  <c r="AK108" i="47" s="1"/>
  <c r="AG109" i="47"/>
  <c r="AO109" i="47"/>
  <c r="DB109" i="47"/>
  <c r="DD109" i="47" s="1"/>
  <c r="DC110" i="47"/>
  <c r="AG110" i="47" s="1"/>
  <c r="AG111" i="47"/>
  <c r="AM111" i="47"/>
  <c r="AO111" i="47"/>
  <c r="DB111" i="47"/>
  <c r="DD111" i="47" s="1"/>
  <c r="DC112" i="47"/>
  <c r="AK112" i="47" s="1"/>
  <c r="DB113" i="47"/>
  <c r="DD113" i="47" s="1"/>
  <c r="DC114" i="47"/>
  <c r="AK114" i="47" s="1"/>
  <c r="AI115" i="47"/>
  <c r="BW115" i="47" s="1"/>
  <c r="AQ115" i="47"/>
  <c r="DB115" i="47"/>
  <c r="DD115" i="47" s="1"/>
  <c r="DC116" i="47"/>
  <c r="AG116" i="47" s="1"/>
  <c r="DB9" i="47"/>
  <c r="DD9" i="47" s="1"/>
  <c r="DC10" i="47"/>
  <c r="AG10" i="47" s="1"/>
  <c r="AG11" i="47"/>
  <c r="AK11" i="47"/>
  <c r="AO11" i="47"/>
  <c r="DB11" i="47"/>
  <c r="DD11" i="47" s="1"/>
  <c r="DC12" i="47"/>
  <c r="AG12" i="47" s="1"/>
  <c r="DB13" i="47"/>
  <c r="DD13" i="47" s="1"/>
  <c r="DC14" i="47"/>
  <c r="AK14" i="47" s="1"/>
  <c r="DB15" i="47"/>
  <c r="DD15" i="47" s="1"/>
  <c r="DC16" i="47"/>
  <c r="AK16" i="47" s="1"/>
  <c r="AG17" i="47"/>
  <c r="AK17" i="47"/>
  <c r="AO17" i="47"/>
  <c r="DB17" i="47"/>
  <c r="DD17" i="47" s="1"/>
  <c r="DE17" i="47" s="1"/>
  <c r="DC18" i="47"/>
  <c r="AG18" i="47" s="1"/>
  <c r="AI63" i="47"/>
  <c r="BW63" i="47" s="1"/>
  <c r="AM63" i="47"/>
  <c r="AQ63" i="47"/>
  <c r="DB63" i="47"/>
  <c r="DD63" i="47" s="1"/>
  <c r="DC64" i="47"/>
  <c r="AK64" i="47" s="1"/>
  <c r="AG65" i="47"/>
  <c r="DB65" i="47"/>
  <c r="DD65" i="47" s="1"/>
  <c r="DC66" i="47"/>
  <c r="AG66" i="47" s="1"/>
  <c r="AG67" i="47"/>
  <c r="AK67" i="47"/>
  <c r="AO67" i="47"/>
  <c r="DB67" i="47"/>
  <c r="DD67" i="47" s="1"/>
  <c r="DC68" i="47"/>
  <c r="AK68" i="47" s="1"/>
  <c r="AI69" i="47"/>
  <c r="BW69" i="47" s="1"/>
  <c r="AM69" i="47"/>
  <c r="AQ69" i="47"/>
  <c r="DB69" i="47"/>
  <c r="DD69" i="47" s="1"/>
  <c r="DC70" i="47"/>
  <c r="AK70" i="47" s="1"/>
  <c r="DB21" i="47"/>
  <c r="DD21" i="47" s="1"/>
  <c r="DC22" i="47"/>
  <c r="AG22" i="47" s="1"/>
  <c r="AM23" i="47"/>
  <c r="DB23" i="47"/>
  <c r="DD23" i="47" s="1"/>
  <c r="DC24" i="47"/>
  <c r="AG24" i="47" s="1"/>
  <c r="AG25" i="47"/>
  <c r="AI25" i="47"/>
  <c r="BW25" i="47" s="1"/>
  <c r="AO25" i="47"/>
  <c r="AQ25" i="47"/>
  <c r="DB25" i="47"/>
  <c r="DD25" i="47" s="1"/>
  <c r="DC26" i="47"/>
  <c r="AG26" i="47" s="1"/>
  <c r="AI27" i="47"/>
  <c r="BW27" i="47" s="1"/>
  <c r="AM27" i="47"/>
  <c r="DB27" i="47"/>
  <c r="DD27" i="47" s="1"/>
  <c r="DC132" i="47"/>
  <c r="AK132" i="47" s="1"/>
  <c r="DB133" i="47"/>
  <c r="DD133" i="47" s="1"/>
  <c r="DC134" i="47"/>
  <c r="AG134" i="47" s="1"/>
  <c r="DB135" i="47"/>
  <c r="DD135" i="47" s="1"/>
  <c r="DC136" i="47"/>
  <c r="AK136" i="47" s="1"/>
  <c r="AG203" i="47"/>
  <c r="DB203" i="47"/>
  <c r="DD203" i="47" s="1"/>
  <c r="AZ203" i="47" s="1"/>
  <c r="CE203" i="47" s="1"/>
  <c r="AI203" i="47"/>
  <c r="BW203" i="47" s="1"/>
  <c r="AM203" i="47"/>
  <c r="DB204" i="47"/>
  <c r="DD204" i="47" s="1"/>
  <c r="BI204" i="47" s="1"/>
  <c r="AP205" i="47"/>
  <c r="AL205" i="47"/>
  <c r="AH205" i="47"/>
  <c r="DB208" i="47"/>
  <c r="DD208" i="47" s="1"/>
  <c r="BI208" i="47" s="1"/>
  <c r="DB210" i="47"/>
  <c r="DD210" i="47" s="1"/>
  <c r="BI210" i="47" s="1"/>
  <c r="DB143" i="47"/>
  <c r="DD143" i="47" s="1"/>
  <c r="BI143" i="47" s="1"/>
  <c r="AQ117" i="47"/>
  <c r="AI117" i="47"/>
  <c r="BW117" i="47" s="1"/>
  <c r="AG117" i="47"/>
  <c r="DB52" i="47"/>
  <c r="DD52" i="47" s="1"/>
  <c r="DC52" i="47"/>
  <c r="AN52" i="47" s="1"/>
  <c r="DB54" i="47"/>
  <c r="DD54" i="47" s="1"/>
  <c r="BF54" i="47" s="1"/>
  <c r="DC54" i="47"/>
  <c r="AM56" i="47"/>
  <c r="AO56" i="47"/>
  <c r="AQ93" i="47"/>
  <c r="AI93" i="47"/>
  <c r="BW93" i="47" s="1"/>
  <c r="AG93" i="47"/>
  <c r="DB98" i="47"/>
  <c r="DD98" i="47" s="1"/>
  <c r="BE98" i="47" s="1"/>
  <c r="DB102" i="47"/>
  <c r="DD102" i="47" s="1"/>
  <c r="AX102" i="47" s="1"/>
  <c r="DB94" i="47"/>
  <c r="DD94" i="47" s="1"/>
  <c r="BF94" i="47" s="1"/>
  <c r="DC94" i="47"/>
  <c r="AH94" i="47" s="1"/>
  <c r="AR103" i="47"/>
  <c r="AO30" i="47"/>
  <c r="AG30" i="47"/>
  <c r="AF30" i="47"/>
  <c r="DB162" i="47"/>
  <c r="DD162" i="47" s="1"/>
  <c r="AX162" i="47" s="1"/>
  <c r="DB164" i="47"/>
  <c r="DD164" i="47" s="1"/>
  <c r="AL169" i="47"/>
  <c r="AR169" i="47"/>
  <c r="AO172" i="47"/>
  <c r="DB197" i="47"/>
  <c r="DD197" i="47" s="1"/>
  <c r="BH197" i="47" s="1"/>
  <c r="DC197" i="47"/>
  <c r="DC204" i="47"/>
  <c r="AK204" i="47" s="1"/>
  <c r="AG205" i="47"/>
  <c r="AI205" i="47"/>
  <c r="BW205" i="47" s="1"/>
  <c r="AK205" i="47"/>
  <c r="AM205" i="47"/>
  <c r="AO205" i="47"/>
  <c r="AQ205" i="47"/>
  <c r="DB205" i="47"/>
  <c r="DD205" i="47" s="1"/>
  <c r="DE205" i="47" s="1"/>
  <c r="DC206" i="47"/>
  <c r="AG206" i="47" s="1"/>
  <c r="AG207" i="47"/>
  <c r="AK207" i="47"/>
  <c r="AO207" i="47"/>
  <c r="DB207" i="47"/>
  <c r="DD207" i="47" s="1"/>
  <c r="DC208" i="47"/>
  <c r="AG208" i="47" s="1"/>
  <c r="AG209" i="47"/>
  <c r="AI209" i="47"/>
  <c r="BW209" i="47" s="1"/>
  <c r="AK209" i="47"/>
  <c r="AM209" i="47"/>
  <c r="AO209" i="47"/>
  <c r="AQ209" i="47"/>
  <c r="DB209" i="47"/>
  <c r="DD209" i="47" s="1"/>
  <c r="DE209" i="47" s="1"/>
  <c r="DC210" i="47"/>
  <c r="AK210" i="47" s="1"/>
  <c r="AK211" i="47"/>
  <c r="DB211" i="47"/>
  <c r="DD211" i="47" s="1"/>
  <c r="DC137" i="47"/>
  <c r="AK137" i="47" s="1"/>
  <c r="DB138" i="47"/>
  <c r="DD138" i="47" s="1"/>
  <c r="DE138" i="47" s="1"/>
  <c r="DC139" i="47"/>
  <c r="AG139" i="47" s="1"/>
  <c r="DB140" i="47"/>
  <c r="DD140" i="47" s="1"/>
  <c r="DC141" i="47"/>
  <c r="AK141" i="47" s="1"/>
  <c r="AG142" i="47"/>
  <c r="AI142" i="47"/>
  <c r="BW142" i="47" s="1"/>
  <c r="AK142" i="47"/>
  <c r="AM142" i="47"/>
  <c r="AO142" i="47"/>
  <c r="AQ142" i="47"/>
  <c r="DB142" i="47"/>
  <c r="DD142" i="47" s="1"/>
  <c r="DE142" i="47" s="1"/>
  <c r="DC143" i="47"/>
  <c r="AG143" i="47" s="1"/>
  <c r="AO144" i="47"/>
  <c r="DB144" i="47"/>
  <c r="DD144" i="47" s="1"/>
  <c r="DC145" i="47"/>
  <c r="AK145" i="47" s="1"/>
  <c r="AK146" i="47"/>
  <c r="DB146" i="47"/>
  <c r="DD146" i="47" s="1"/>
  <c r="DC147" i="47"/>
  <c r="AG147" i="47" s="1"/>
  <c r="AG148" i="47"/>
  <c r="AM148" i="47"/>
  <c r="AO148" i="47"/>
  <c r="DB148" i="47"/>
  <c r="DD148" i="47" s="1"/>
  <c r="AQ119" i="47"/>
  <c r="AM119" i="47"/>
  <c r="AI119" i="47"/>
  <c r="BW119" i="47" s="1"/>
  <c r="AQ120" i="47"/>
  <c r="AM120" i="47"/>
  <c r="AI120" i="47"/>
  <c r="BW120" i="47" s="1"/>
  <c r="DB46" i="47"/>
  <c r="DD46" i="47" s="1"/>
  <c r="DC46" i="47"/>
  <c r="AQ48" i="47"/>
  <c r="AI48" i="47"/>
  <c r="BW48" i="47" s="1"/>
  <c r="AI49" i="47"/>
  <c r="BW49" i="47" s="1"/>
  <c r="DB50" i="47"/>
  <c r="DD50" i="47" s="1"/>
  <c r="DC50" i="47"/>
  <c r="AJ50" i="47" s="1"/>
  <c r="DB53" i="47"/>
  <c r="DD53" i="47" s="1"/>
  <c r="DC53" i="47"/>
  <c r="DB55" i="47"/>
  <c r="DD55" i="47" s="1"/>
  <c r="DC55" i="47"/>
  <c r="AJ55" i="47" s="1"/>
  <c r="DB58" i="47"/>
  <c r="DD58" i="47" s="1"/>
  <c r="DC58" i="47"/>
  <c r="DB60" i="47"/>
  <c r="DD60" i="47" s="1"/>
  <c r="DC60" i="47"/>
  <c r="AJ60" i="47" s="1"/>
  <c r="AQ62" i="47"/>
  <c r="AM62" i="47"/>
  <c r="AI62" i="47"/>
  <c r="BW62" i="47" s="1"/>
  <c r="DB92" i="47"/>
  <c r="DD92" i="47" s="1"/>
  <c r="AW92" i="47" s="1"/>
  <c r="DC92" i="47"/>
  <c r="AJ92" i="47" s="1"/>
  <c r="AL95" i="47"/>
  <c r="AP97" i="47"/>
  <c r="AL97" i="47"/>
  <c r="AH97" i="47"/>
  <c r="DB19" i="47"/>
  <c r="DD19" i="47" s="1"/>
  <c r="AP20" i="47"/>
  <c r="AL20" i="47"/>
  <c r="AH20" i="47"/>
  <c r="AP29" i="47"/>
  <c r="AL29" i="47"/>
  <c r="AH29" i="47"/>
  <c r="AL32" i="47"/>
  <c r="AR32" i="47"/>
  <c r="AJ36" i="47"/>
  <c r="DB41" i="47"/>
  <c r="DD41" i="47" s="1"/>
  <c r="AR159" i="47"/>
  <c r="AH165" i="47"/>
  <c r="DB168" i="47"/>
  <c r="DD168" i="47" s="1"/>
  <c r="DB177" i="47"/>
  <c r="DD177" i="47" s="1"/>
  <c r="AY177" i="47" s="1"/>
  <c r="DC177" i="47"/>
  <c r="AF177" i="47" s="1"/>
  <c r="DB182" i="47"/>
  <c r="DD182" i="47" s="1"/>
  <c r="AW182" i="47" s="1"/>
  <c r="DC182" i="47"/>
  <c r="AJ182" i="47" s="1"/>
  <c r="AG185" i="47"/>
  <c r="AQ190" i="47"/>
  <c r="AM190" i="47"/>
  <c r="AI190" i="47"/>
  <c r="BW190" i="47" s="1"/>
  <c r="AO190" i="47"/>
  <c r="AG190" i="47"/>
  <c r="AK190" i="47"/>
  <c r="DB117" i="47"/>
  <c r="DD117" i="47" s="1"/>
  <c r="AW117" i="47" s="1"/>
  <c r="AH117" i="47"/>
  <c r="AL117" i="47"/>
  <c r="AP117" i="47"/>
  <c r="DB119" i="47"/>
  <c r="DD119" i="47" s="1"/>
  <c r="AF119" i="47"/>
  <c r="AH119" i="47"/>
  <c r="AJ119" i="47"/>
  <c r="AL119" i="47"/>
  <c r="AN119" i="47"/>
  <c r="AP119" i="47"/>
  <c r="AR119" i="47"/>
  <c r="DB120" i="47"/>
  <c r="DD120" i="47" s="1"/>
  <c r="AW120" i="47" s="1"/>
  <c r="AF120" i="47"/>
  <c r="AH120" i="47"/>
  <c r="AJ120" i="47"/>
  <c r="AL120" i="47"/>
  <c r="AN120" i="47"/>
  <c r="AP120" i="47"/>
  <c r="AR120" i="47"/>
  <c r="DB121" i="47"/>
  <c r="DD121" i="47" s="1"/>
  <c r="AH121" i="47"/>
  <c r="AL121" i="47"/>
  <c r="DB48" i="47"/>
  <c r="DD48" i="47" s="1"/>
  <c r="AW48" i="47" s="1"/>
  <c r="AH48" i="47"/>
  <c r="AL48" i="47"/>
  <c r="AP48" i="47"/>
  <c r="DB49" i="47"/>
  <c r="DD49" i="47" s="1"/>
  <c r="AL49" i="47"/>
  <c r="DB51" i="47"/>
  <c r="DD51" i="47" s="1"/>
  <c r="DE51" i="47" s="1"/>
  <c r="AL51" i="47"/>
  <c r="DB56" i="47"/>
  <c r="DD56" i="47" s="1"/>
  <c r="AH56" i="47"/>
  <c r="AL56" i="47"/>
  <c r="AP56" i="47"/>
  <c r="DB62" i="47"/>
  <c r="DD62" i="47" s="1"/>
  <c r="AW62" i="47" s="1"/>
  <c r="AF62" i="47"/>
  <c r="AH62" i="47"/>
  <c r="AJ62" i="47"/>
  <c r="AL62" i="47"/>
  <c r="AN62" i="47"/>
  <c r="AP62" i="47"/>
  <c r="AR62" i="47"/>
  <c r="DB93" i="47"/>
  <c r="DD93" i="47" s="1"/>
  <c r="AH93" i="47"/>
  <c r="AL93" i="47"/>
  <c r="AP93" i="47"/>
  <c r="AI95" i="47"/>
  <c r="BW95" i="47" s="1"/>
  <c r="AM95" i="47"/>
  <c r="AQ95" i="47"/>
  <c r="DB95" i="47"/>
  <c r="DD95" i="47" s="1"/>
  <c r="DC96" i="47"/>
  <c r="AG97" i="47"/>
  <c r="AI97" i="47"/>
  <c r="BW97" i="47" s="1"/>
  <c r="AK97" i="47"/>
  <c r="AM97" i="47"/>
  <c r="AO97" i="47"/>
  <c r="AQ97" i="47"/>
  <c r="DB97" i="47"/>
  <c r="DD97" i="47" s="1"/>
  <c r="DE97" i="47" s="1"/>
  <c r="DC98" i="47"/>
  <c r="AI99" i="47"/>
  <c r="BW99" i="47" s="1"/>
  <c r="DB99" i="47"/>
  <c r="DD99" i="47" s="1"/>
  <c r="DC100" i="47"/>
  <c r="DB101" i="47"/>
  <c r="DD101" i="47" s="1"/>
  <c r="DE101" i="47" s="1"/>
  <c r="DC102" i="47"/>
  <c r="AM103" i="47"/>
  <c r="DB103" i="47"/>
  <c r="DD103" i="47" s="1"/>
  <c r="DC19" i="47"/>
  <c r="AG20" i="47"/>
  <c r="AI20" i="47"/>
  <c r="BW20" i="47" s="1"/>
  <c r="AK20" i="47"/>
  <c r="AM20" i="47"/>
  <c r="AO20" i="47"/>
  <c r="AQ20" i="47"/>
  <c r="DB20" i="47"/>
  <c r="DD20" i="47" s="1"/>
  <c r="DC28" i="47"/>
  <c r="AK28" i="47" s="1"/>
  <c r="AG29" i="47"/>
  <c r="AI29" i="47"/>
  <c r="BW29" i="47" s="1"/>
  <c r="AK29" i="47"/>
  <c r="AM29" i="47"/>
  <c r="AO29" i="47"/>
  <c r="AQ29" i="47"/>
  <c r="DB29" i="47"/>
  <c r="DD29" i="47" s="1"/>
  <c r="DB31" i="47"/>
  <c r="DD31" i="47" s="1"/>
  <c r="BI31" i="47" s="1"/>
  <c r="DB33" i="47"/>
  <c r="DD33" i="47" s="1"/>
  <c r="AX33" i="47" s="1"/>
  <c r="DB35" i="47"/>
  <c r="DD35" i="47" s="1"/>
  <c r="BI35" i="47" s="1"/>
  <c r="DB37" i="47"/>
  <c r="DD37" i="47" s="1"/>
  <c r="AX37" i="47" s="1"/>
  <c r="DB39" i="47"/>
  <c r="DD39" i="47" s="1"/>
  <c r="BI39" i="47" s="1"/>
  <c r="AP40" i="47"/>
  <c r="AH40" i="47"/>
  <c r="DB43" i="47"/>
  <c r="DD43" i="47" s="1"/>
  <c r="AX43" i="47" s="1"/>
  <c r="AL44" i="47"/>
  <c r="AH44" i="47"/>
  <c r="DB160" i="47"/>
  <c r="DD160" i="47" s="1"/>
  <c r="BI160" i="47" s="1"/>
  <c r="AP161" i="47"/>
  <c r="AH161" i="47"/>
  <c r="AL163" i="47"/>
  <c r="DB166" i="47"/>
  <c r="DD166" i="47" s="1"/>
  <c r="AX166" i="47" s="1"/>
  <c r="AL167" i="47"/>
  <c r="DB170" i="47"/>
  <c r="DD170" i="47" s="1"/>
  <c r="BI170" i="47" s="1"/>
  <c r="AP171" i="47"/>
  <c r="AL171" i="47"/>
  <c r="AH171" i="47"/>
  <c r="DB173" i="47"/>
  <c r="DD173" i="47" s="1"/>
  <c r="AY173" i="47" s="1"/>
  <c r="DC173" i="47"/>
  <c r="AN173" i="47" s="1"/>
  <c r="AQ181" i="47"/>
  <c r="AM181" i="47"/>
  <c r="AI181" i="47"/>
  <c r="BW181" i="47" s="1"/>
  <c r="AO181" i="47"/>
  <c r="AG181" i="47"/>
  <c r="DB186" i="47"/>
  <c r="DD186" i="47" s="1"/>
  <c r="AW186" i="47" s="1"/>
  <c r="DC186" i="47"/>
  <c r="AJ186" i="47" s="1"/>
  <c r="AM195" i="47"/>
  <c r="DC31" i="47"/>
  <c r="AG31" i="47" s="1"/>
  <c r="AI32" i="47"/>
  <c r="BW32" i="47" s="1"/>
  <c r="AM32" i="47"/>
  <c r="AQ32" i="47"/>
  <c r="DB32" i="47"/>
  <c r="DD32" i="47" s="1"/>
  <c r="DC33" i="47"/>
  <c r="AQ33" i="47" s="1"/>
  <c r="AI34" i="47"/>
  <c r="BW34" i="47" s="1"/>
  <c r="DB34" i="47"/>
  <c r="DD34" i="47" s="1"/>
  <c r="DC35" i="47"/>
  <c r="AG35" i="47" s="1"/>
  <c r="AI36" i="47"/>
  <c r="BW36" i="47" s="1"/>
  <c r="DB36" i="47"/>
  <c r="DD36" i="47" s="1"/>
  <c r="DC37" i="47"/>
  <c r="AQ37" i="47" s="1"/>
  <c r="AO38" i="47"/>
  <c r="DB38" i="47"/>
  <c r="DD38" i="47" s="1"/>
  <c r="DC39" i="47"/>
  <c r="AG39" i="47" s="1"/>
  <c r="AI40" i="47"/>
  <c r="BW40" i="47" s="1"/>
  <c r="AM40" i="47"/>
  <c r="AQ40" i="47"/>
  <c r="DB40" i="47"/>
  <c r="DD40" i="47" s="1"/>
  <c r="DC41" i="47"/>
  <c r="AI42" i="47"/>
  <c r="BW42" i="47" s="1"/>
  <c r="DB42" i="47"/>
  <c r="DD42" i="47" s="1"/>
  <c r="DC43" i="47"/>
  <c r="AQ43" i="47" s="1"/>
  <c r="AG44" i="47"/>
  <c r="AM44" i="47"/>
  <c r="AO44" i="47"/>
  <c r="DB44" i="47"/>
  <c r="DD44" i="47" s="1"/>
  <c r="DC45" i="47"/>
  <c r="AI159" i="47"/>
  <c r="BW159" i="47" s="1"/>
  <c r="AM159" i="47"/>
  <c r="AQ159" i="47"/>
  <c r="DB159" i="47"/>
  <c r="DD159" i="47" s="1"/>
  <c r="DC160" i="47"/>
  <c r="AO160" i="47" s="1"/>
  <c r="AI161" i="47"/>
  <c r="BW161" i="47" s="1"/>
  <c r="AM161" i="47"/>
  <c r="AQ161" i="47"/>
  <c r="DB161" i="47"/>
  <c r="DD161" i="47" s="1"/>
  <c r="DC162" i="47"/>
  <c r="AM163" i="47"/>
  <c r="AQ163" i="47"/>
  <c r="DB163" i="47"/>
  <c r="DD163" i="47" s="1"/>
  <c r="DC164" i="47"/>
  <c r="AK165" i="47"/>
  <c r="DB165" i="47"/>
  <c r="DD165" i="47" s="1"/>
  <c r="DC166" i="47"/>
  <c r="AI167" i="47"/>
  <c r="BW167" i="47" s="1"/>
  <c r="AM167" i="47"/>
  <c r="AQ167" i="47"/>
  <c r="DB167" i="47"/>
  <c r="DD167" i="47" s="1"/>
  <c r="DC168" i="47"/>
  <c r="AG169" i="47"/>
  <c r="AK169" i="47"/>
  <c r="AO169" i="47"/>
  <c r="DB169" i="47"/>
  <c r="DD169" i="47" s="1"/>
  <c r="DE169" i="47" s="1"/>
  <c r="DC170" i="47"/>
  <c r="AM170" i="47" s="1"/>
  <c r="AG171" i="47"/>
  <c r="AI171" i="47"/>
  <c r="BW171" i="47" s="1"/>
  <c r="AK171" i="47"/>
  <c r="AM171" i="47"/>
  <c r="AO171" i="47"/>
  <c r="AQ171" i="47"/>
  <c r="DB171" i="47"/>
  <c r="DD171" i="47" s="1"/>
  <c r="DE171" i="47" s="1"/>
  <c r="DB175" i="47"/>
  <c r="DD175" i="47" s="1"/>
  <c r="AW175" i="47" s="1"/>
  <c r="DC175" i="47"/>
  <c r="AJ175" i="47" s="1"/>
  <c r="AQ178" i="47"/>
  <c r="DB179" i="47"/>
  <c r="DD179" i="47" s="1"/>
  <c r="AW179" i="47" s="1"/>
  <c r="DC179" i="47"/>
  <c r="AJ179" i="47" s="1"/>
  <c r="AI183" i="47"/>
  <c r="BW183" i="47" s="1"/>
  <c r="DB184" i="47"/>
  <c r="DD184" i="47" s="1"/>
  <c r="BJ184" i="47" s="1"/>
  <c r="DC184" i="47"/>
  <c r="AH184" i="47" s="1"/>
  <c r="AQ187" i="47"/>
  <c r="DB191" i="47"/>
  <c r="DD191" i="47" s="1"/>
  <c r="DC191" i="47"/>
  <c r="AJ191" i="47" s="1"/>
  <c r="AM194" i="47"/>
  <c r="AO194" i="47"/>
  <c r="DB174" i="47"/>
  <c r="DD174" i="47" s="1"/>
  <c r="DB176" i="47"/>
  <c r="DD176" i="47" s="1"/>
  <c r="AW176" i="47" s="1"/>
  <c r="AF176" i="47"/>
  <c r="AN176" i="47"/>
  <c r="DB178" i="47"/>
  <c r="DD178" i="47" s="1"/>
  <c r="DB180" i="47"/>
  <c r="DD180" i="47" s="1"/>
  <c r="AW180" i="47" s="1"/>
  <c r="AP180" i="47"/>
  <c r="DB181" i="47"/>
  <c r="DD181" i="47" s="1"/>
  <c r="AF181" i="47"/>
  <c r="AH181" i="47"/>
  <c r="AJ181" i="47"/>
  <c r="AL181" i="47"/>
  <c r="AN181" i="47"/>
  <c r="AP181" i="47"/>
  <c r="AR181" i="47"/>
  <c r="DB183" i="47"/>
  <c r="DD183" i="47" s="1"/>
  <c r="AW183" i="47" s="1"/>
  <c r="AF183" i="47"/>
  <c r="DB185" i="47"/>
  <c r="DD185" i="47" s="1"/>
  <c r="AL185" i="47"/>
  <c r="DB187" i="47"/>
  <c r="DD187" i="47" s="1"/>
  <c r="AW187" i="47" s="1"/>
  <c r="AP187" i="47"/>
  <c r="AP188" i="47"/>
  <c r="AL188" i="47"/>
  <c r="AH188" i="47"/>
  <c r="DB189" i="47"/>
  <c r="DD189" i="47" s="1"/>
  <c r="AY189" i="47" s="1"/>
  <c r="DC189" i="47"/>
  <c r="AF189" i="47" s="1"/>
  <c r="AM192" i="47"/>
  <c r="DB193" i="47"/>
  <c r="DD193" i="47" s="1"/>
  <c r="AY193" i="47" s="1"/>
  <c r="DC193" i="47"/>
  <c r="AJ193" i="47" s="1"/>
  <c r="AR196" i="47"/>
  <c r="AN196" i="47"/>
  <c r="AJ196" i="47"/>
  <c r="AF196" i="47"/>
  <c r="AK196" i="47"/>
  <c r="DB190" i="47"/>
  <c r="DD190" i="47" s="1"/>
  <c r="AF190" i="47"/>
  <c r="AH190" i="47"/>
  <c r="AJ190" i="47"/>
  <c r="AL190" i="47"/>
  <c r="AN190" i="47"/>
  <c r="AP190" i="47"/>
  <c r="AR190" i="47"/>
  <c r="DB192" i="47"/>
  <c r="DD192" i="47" s="1"/>
  <c r="AW192" i="47" s="1"/>
  <c r="AP192" i="47"/>
  <c r="DB194" i="47"/>
  <c r="DD194" i="47" s="1"/>
  <c r="AF194" i="47"/>
  <c r="AJ194" i="47"/>
  <c r="AN194" i="47"/>
  <c r="AR194" i="47"/>
  <c r="DB195" i="47"/>
  <c r="DD195" i="47" s="1"/>
  <c r="AF195" i="47"/>
  <c r="AN195" i="47"/>
  <c r="AM198" i="47"/>
  <c r="DB199" i="47"/>
  <c r="DD199" i="47" s="1"/>
  <c r="AY199" i="47" s="1"/>
  <c r="DC199" i="47"/>
  <c r="AF199" i="47" s="1"/>
  <c r="DB200" i="47"/>
  <c r="DD200" i="47" s="1"/>
  <c r="BI200" i="47" s="1"/>
  <c r="BE196" i="47"/>
  <c r="AY196" i="47"/>
  <c r="DB198" i="47"/>
  <c r="DD198" i="47" s="1"/>
  <c r="AH198" i="47"/>
  <c r="AP198" i="47"/>
  <c r="DB202" i="47"/>
  <c r="DD202" i="47" s="1"/>
  <c r="AX202" i="47" s="1"/>
  <c r="DC200" i="47"/>
  <c r="AM200" i="47" s="1"/>
  <c r="AQ201" i="47"/>
  <c r="DB201" i="47"/>
  <c r="DD201" i="47" s="1"/>
  <c r="DC202" i="47"/>
  <c r="AK202" i="47" s="1"/>
  <c r="AP5" i="49"/>
  <c r="AH5" i="49"/>
  <c r="CC3" i="49"/>
  <c r="AI3" i="49" s="1"/>
  <c r="AL5" i="49"/>
  <c r="AP49" i="49"/>
  <c r="AH49" i="49"/>
  <c r="AL49" i="49"/>
  <c r="AP51" i="49"/>
  <c r="AH51" i="49"/>
  <c r="AL51" i="49"/>
  <c r="AP44" i="49"/>
  <c r="AL44" i="49"/>
  <c r="CC7" i="49"/>
  <c r="AM7" i="49" s="1"/>
  <c r="CC9" i="49"/>
  <c r="AP9" i="49" s="1"/>
  <c r="CC45" i="49"/>
  <c r="AM45" i="49" s="1"/>
  <c r="CC47" i="49"/>
  <c r="AQ47" i="49" s="1"/>
  <c r="CC53" i="49"/>
  <c r="AH53" i="49" s="1"/>
  <c r="AG54" i="49"/>
  <c r="CB54" i="49"/>
  <c r="CD54" i="49" s="1"/>
  <c r="BI54" i="49" s="1"/>
  <c r="CC35" i="49"/>
  <c r="AL35" i="49" s="1"/>
  <c r="CC37" i="49"/>
  <c r="AN37" i="49" s="1"/>
  <c r="CB2" i="49"/>
  <c r="CD2" i="49" s="1"/>
  <c r="BD2" i="49" s="1"/>
  <c r="CB4" i="49"/>
  <c r="CD4" i="49" s="1"/>
  <c r="AV4" i="49" s="1"/>
  <c r="CB6" i="49"/>
  <c r="CD6" i="49" s="1"/>
  <c r="BH6" i="49" s="1"/>
  <c r="CB8" i="49"/>
  <c r="CD8" i="49" s="1"/>
  <c r="CB10" i="49"/>
  <c r="CD10" i="49" s="1"/>
  <c r="BH10" i="49" s="1"/>
  <c r="CB46" i="49"/>
  <c r="CD46" i="49" s="1"/>
  <c r="BD46" i="49" s="1"/>
  <c r="CB48" i="49"/>
  <c r="CD48" i="49" s="1"/>
  <c r="BH48" i="49" s="1"/>
  <c r="CB50" i="49"/>
  <c r="CD50" i="49" s="1"/>
  <c r="CB52" i="49"/>
  <c r="CD52" i="49" s="1"/>
  <c r="BE52" i="49" s="1"/>
  <c r="AQ19" i="49"/>
  <c r="AM19" i="49"/>
  <c r="AI19" i="49"/>
  <c r="CB20" i="49"/>
  <c r="CD20" i="49" s="1"/>
  <c r="BH20" i="49" s="1"/>
  <c r="CB13" i="49"/>
  <c r="CD13" i="49" s="1"/>
  <c r="BB13" i="49" s="1"/>
  <c r="AQ16" i="49"/>
  <c r="AI16" i="49"/>
  <c r="CB17" i="49"/>
  <c r="CD17" i="49" s="1"/>
  <c r="BH17" i="49" s="1"/>
  <c r="AM57" i="49"/>
  <c r="BM57" i="49" s="1"/>
  <c r="CB58" i="49"/>
  <c r="CD58" i="49" s="1"/>
  <c r="BB58" i="49" s="1"/>
  <c r="BH2" i="49"/>
  <c r="CC2" i="49"/>
  <c r="AL2" i="49" s="1"/>
  <c r="CB3" i="49"/>
  <c r="CD3" i="49" s="1"/>
  <c r="AV3" i="49" s="1"/>
  <c r="AQ3" i="49"/>
  <c r="CC4" i="49"/>
  <c r="AJ5" i="49"/>
  <c r="AN5" i="49"/>
  <c r="AR5" i="49"/>
  <c r="CB5" i="49"/>
  <c r="CD5" i="49" s="1"/>
  <c r="AG5" i="49"/>
  <c r="AI5" i="49"/>
  <c r="AK5" i="49"/>
  <c r="AM5" i="49"/>
  <c r="AO5" i="49"/>
  <c r="AQ5" i="49"/>
  <c r="AS5" i="49"/>
  <c r="CC6" i="49"/>
  <c r="AL6" i="49" s="1"/>
  <c r="AH7" i="49"/>
  <c r="AP7" i="49"/>
  <c r="CB7" i="49"/>
  <c r="CD7" i="49" s="1"/>
  <c r="CC8" i="49"/>
  <c r="AH8" i="49" s="1"/>
  <c r="AH9" i="49"/>
  <c r="CB9" i="49"/>
  <c r="CD9" i="49" s="1"/>
  <c r="BD10" i="49"/>
  <c r="CC10" i="49"/>
  <c r="AL10" i="49" s="1"/>
  <c r="AP45" i="49"/>
  <c r="CB45" i="49"/>
  <c r="CD45" i="49" s="1"/>
  <c r="CC46" i="49"/>
  <c r="AH46" i="49" s="1"/>
  <c r="CB47" i="49"/>
  <c r="CD47" i="49" s="1"/>
  <c r="CC48" i="49"/>
  <c r="AL48" i="49" s="1"/>
  <c r="AJ49" i="49"/>
  <c r="AN49" i="49"/>
  <c r="AR49" i="49"/>
  <c r="CB49" i="49"/>
  <c r="CD49" i="49" s="1"/>
  <c r="AV49" i="49" s="1"/>
  <c r="AG49" i="49"/>
  <c r="AI49" i="49"/>
  <c r="AK49" i="49"/>
  <c r="AM49" i="49"/>
  <c r="AO49" i="49"/>
  <c r="AQ49" i="49"/>
  <c r="AS49" i="49"/>
  <c r="CC50" i="49"/>
  <c r="AJ51" i="49"/>
  <c r="AN51" i="49"/>
  <c r="AR51" i="49"/>
  <c r="CB51" i="49"/>
  <c r="CD51" i="49" s="1"/>
  <c r="AG51" i="49"/>
  <c r="AI51" i="49"/>
  <c r="AK51" i="49"/>
  <c r="AM51" i="49"/>
  <c r="AO51" i="49"/>
  <c r="AQ51" i="49"/>
  <c r="AS51" i="49"/>
  <c r="BI52" i="49"/>
  <c r="CC52" i="49"/>
  <c r="AG52" i="49" s="1"/>
  <c r="AM53" i="49"/>
  <c r="AL53" i="49"/>
  <c r="CB53" i="49"/>
  <c r="CD53" i="49" s="1"/>
  <c r="AN54" i="49"/>
  <c r="CB18" i="49"/>
  <c r="CD18" i="49" s="1"/>
  <c r="BH18" i="49" s="1"/>
  <c r="AG19" i="49"/>
  <c r="AO19" i="49"/>
  <c r="AI21" i="49"/>
  <c r="CB11" i="49"/>
  <c r="CD11" i="49" s="1"/>
  <c r="BH11" i="49" s="1"/>
  <c r="AQ14" i="49"/>
  <c r="AI14" i="49"/>
  <c r="CB15" i="49"/>
  <c r="CD15" i="49" s="1"/>
  <c r="BH15" i="49" s="1"/>
  <c r="AG16" i="49"/>
  <c r="AQ55" i="49"/>
  <c r="CB56" i="49"/>
  <c r="CD56" i="49" s="1"/>
  <c r="BH56" i="49" s="1"/>
  <c r="AO57" i="49"/>
  <c r="CB60" i="49"/>
  <c r="CD60" i="49" s="1"/>
  <c r="CB22" i="49"/>
  <c r="CD22" i="49" s="1"/>
  <c r="BB22" i="49" s="1"/>
  <c r="AM25" i="49"/>
  <c r="CB26" i="49"/>
  <c r="CD26" i="49" s="1"/>
  <c r="BH26" i="49" s="1"/>
  <c r="AQ29" i="49"/>
  <c r="AI29" i="49"/>
  <c r="CB30" i="49"/>
  <c r="CD30" i="49" s="1"/>
  <c r="BB30" i="49" s="1"/>
  <c r="AM35" i="49"/>
  <c r="CB36" i="49"/>
  <c r="CD36" i="49" s="1"/>
  <c r="BF36" i="49" s="1"/>
  <c r="CC18" i="49"/>
  <c r="AH18" i="49" s="1"/>
  <c r="AH19" i="49"/>
  <c r="AJ19" i="49"/>
  <c r="AL19" i="49"/>
  <c r="AN19" i="49"/>
  <c r="AP19" i="49"/>
  <c r="AR19" i="49"/>
  <c r="CB19" i="49"/>
  <c r="CD19" i="49" s="1"/>
  <c r="CC20" i="49"/>
  <c r="AH20" i="49" s="1"/>
  <c r="AP21" i="49"/>
  <c r="CB21" i="49"/>
  <c r="CD21" i="49" s="1"/>
  <c r="CC11" i="49"/>
  <c r="AH11" i="49" s="1"/>
  <c r="CB12" i="49"/>
  <c r="CD12" i="49" s="1"/>
  <c r="CC13" i="49"/>
  <c r="AL13" i="49" s="1"/>
  <c r="AH14" i="49"/>
  <c r="AL14" i="49"/>
  <c r="AP14" i="49"/>
  <c r="CB14" i="49"/>
  <c r="CD14" i="49" s="1"/>
  <c r="CC15" i="49"/>
  <c r="AH15" i="49" s="1"/>
  <c r="AH16" i="49"/>
  <c r="AL16" i="49"/>
  <c r="AP16" i="49"/>
  <c r="CB16" i="49"/>
  <c r="CD16" i="49" s="1"/>
  <c r="CC17" i="49"/>
  <c r="AH17" i="49" s="1"/>
  <c r="AL55" i="49"/>
  <c r="CB55" i="49"/>
  <c r="CD55" i="49" s="1"/>
  <c r="CC56" i="49"/>
  <c r="AH56" i="49" s="1"/>
  <c r="AH57" i="49"/>
  <c r="AP57" i="49"/>
  <c r="CB57" i="49"/>
  <c r="CD57" i="49" s="1"/>
  <c r="CC58" i="49"/>
  <c r="AL58" i="49" s="1"/>
  <c r="AN59" i="49"/>
  <c r="CB59" i="49"/>
  <c r="CD59" i="49" s="1"/>
  <c r="CC60" i="49"/>
  <c r="AN61" i="49"/>
  <c r="CB61" i="49"/>
  <c r="CD61" i="49" s="1"/>
  <c r="CB24" i="49"/>
  <c r="CD24" i="49" s="1"/>
  <c r="AQ27" i="49"/>
  <c r="AM27" i="49"/>
  <c r="BM27" i="49" s="1"/>
  <c r="AI27" i="49"/>
  <c r="CB28" i="49"/>
  <c r="CD28" i="49" s="1"/>
  <c r="AG29" i="49"/>
  <c r="CB32" i="49"/>
  <c r="CD32" i="49" s="1"/>
  <c r="CC22" i="49"/>
  <c r="AL22" i="49" s="1"/>
  <c r="CB23" i="49"/>
  <c r="CD23" i="49" s="1"/>
  <c r="CC24" i="49"/>
  <c r="AL24" i="49" s="1"/>
  <c r="CB25" i="49"/>
  <c r="CD25" i="49" s="1"/>
  <c r="CC26" i="49"/>
  <c r="AH26" i="49" s="1"/>
  <c r="AH27" i="49"/>
  <c r="AJ27" i="49"/>
  <c r="AL27" i="49"/>
  <c r="AN27" i="49"/>
  <c r="AP27" i="49"/>
  <c r="AR27" i="49"/>
  <c r="CB27" i="49"/>
  <c r="CD27" i="49" s="1"/>
  <c r="CC28" i="49"/>
  <c r="AL28" i="49" s="1"/>
  <c r="AH29" i="49"/>
  <c r="AL29" i="49"/>
  <c r="AP29" i="49"/>
  <c r="CB29" i="49"/>
  <c r="CD29" i="49" s="1"/>
  <c r="CC30" i="49"/>
  <c r="AL30" i="49" s="1"/>
  <c r="AH31" i="49"/>
  <c r="AP31" i="49"/>
  <c r="CB31" i="49"/>
  <c r="CD31" i="49" s="1"/>
  <c r="CC32" i="49"/>
  <c r="AL32" i="49" s="1"/>
  <c r="AN33" i="49"/>
  <c r="CB34" i="49"/>
  <c r="CD34" i="49" s="1"/>
  <c r="BH34" i="49" s="1"/>
  <c r="AM37" i="49"/>
  <c r="CB38" i="49"/>
  <c r="CD38" i="49" s="1"/>
  <c r="BH38" i="49" s="1"/>
  <c r="AR39" i="49"/>
  <c r="AI39" i="49"/>
  <c r="CB33" i="49"/>
  <c r="CD33" i="49" s="1"/>
  <c r="AY33" i="49" s="1"/>
  <c r="CC34" i="49"/>
  <c r="CB35" i="49"/>
  <c r="CD35" i="49" s="1"/>
  <c r="CC36" i="49"/>
  <c r="AJ37" i="49"/>
  <c r="AR37" i="49"/>
  <c r="CB37" i="49"/>
  <c r="CD37" i="49" s="1"/>
  <c r="CC38" i="49"/>
  <c r="CB40" i="49"/>
  <c r="CD40" i="49" s="1"/>
  <c r="CC40" i="49"/>
  <c r="AI40" i="49" s="1"/>
  <c r="BE40" i="49"/>
  <c r="CB41" i="49"/>
  <c r="CD41" i="49" s="1"/>
  <c r="BI41" i="49" s="1"/>
  <c r="CC41" i="49"/>
  <c r="AI41" i="49" s="1"/>
  <c r="AL42" i="49"/>
  <c r="CB39" i="49"/>
  <c r="CD39" i="49" s="1"/>
  <c r="AV39" i="49" s="1"/>
  <c r="CB43" i="49"/>
  <c r="CD43" i="49" s="1"/>
  <c r="AV43" i="49" s="1"/>
  <c r="CC43" i="49"/>
  <c r="AG43" i="49" s="1"/>
  <c r="AR44" i="49"/>
  <c r="AJ44" i="49"/>
  <c r="CB42" i="49"/>
  <c r="CD42" i="49" s="1"/>
  <c r="AM42" i="49"/>
  <c r="CB44" i="49"/>
  <c r="CD44" i="49" s="1"/>
  <c r="AV44" i="49" s="1"/>
  <c r="AG44" i="49"/>
  <c r="AK44" i="49"/>
  <c r="AO44" i="49"/>
  <c r="AS44" i="49"/>
  <c r="CE253" i="52"/>
  <c r="CE255" i="52"/>
  <c r="AG255" i="52" s="1"/>
  <c r="CE257" i="52"/>
  <c r="CE259" i="52"/>
  <c r="AG259" i="52" s="1"/>
  <c r="CE2" i="52"/>
  <c r="CE3" i="52"/>
  <c r="AG3" i="52" s="1"/>
  <c r="CE4" i="52"/>
  <c r="CE5" i="52"/>
  <c r="CE6" i="52"/>
  <c r="CE7" i="52"/>
  <c r="AQ7" i="52" s="1"/>
  <c r="CE8" i="52"/>
  <c r="AH8" i="52" s="1"/>
  <c r="CE191" i="52"/>
  <c r="AL191" i="52" s="1"/>
  <c r="CE192" i="52"/>
  <c r="AJ192" i="52" s="1"/>
  <c r="CE193" i="52"/>
  <c r="AG193" i="52" s="1"/>
  <c r="CE111" i="52"/>
  <c r="AK111" i="52" s="1"/>
  <c r="CE112" i="52"/>
  <c r="AG112" i="52" s="1"/>
  <c r="CE113" i="52"/>
  <c r="CE114" i="52"/>
  <c r="AR114" i="52" s="1"/>
  <c r="CE115" i="52"/>
  <c r="AK115" i="52" s="1"/>
  <c r="CE9" i="52"/>
  <c r="AJ9" i="52" s="1"/>
  <c r="CE10" i="52"/>
  <c r="AJ10" i="52" s="1"/>
  <c r="CE11" i="52"/>
  <c r="AH11" i="52" s="1"/>
  <c r="CE12" i="52"/>
  <c r="CE13" i="52"/>
  <c r="AJ13" i="52" s="1"/>
  <c r="CE14" i="52"/>
  <c r="AH14" i="52" s="1"/>
  <c r="CE15" i="52"/>
  <c r="AH15" i="52" s="1"/>
  <c r="CE16" i="52"/>
  <c r="AH16" i="52" s="1"/>
  <c r="CE102" i="52"/>
  <c r="AJ102" i="52" s="1"/>
  <c r="CE103" i="52"/>
  <c r="AJ103" i="52" s="1"/>
  <c r="CE104" i="52"/>
  <c r="CE105" i="52"/>
  <c r="AJ105" i="52" s="1"/>
  <c r="CE106" i="52"/>
  <c r="AJ106" i="52" s="1"/>
  <c r="CE107" i="52"/>
  <c r="AN107" i="52" s="1"/>
  <c r="CE108" i="52"/>
  <c r="AN108" i="52" s="1"/>
  <c r="CE109" i="52"/>
  <c r="AJ109" i="52" s="1"/>
  <c r="CE110" i="52"/>
  <c r="AH110" i="52" s="1"/>
  <c r="CE32" i="52"/>
  <c r="CE33" i="52"/>
  <c r="AH33" i="52" s="1"/>
  <c r="CE34" i="52"/>
  <c r="AJ34" i="52" s="1"/>
  <c r="CE35" i="52"/>
  <c r="AJ35" i="52" s="1"/>
  <c r="CE36" i="52"/>
  <c r="CE37" i="52"/>
  <c r="AJ37" i="52" s="1"/>
  <c r="CE38" i="52"/>
  <c r="AJ38" i="52" s="1"/>
  <c r="CE39" i="52"/>
  <c r="AJ39" i="52" s="1"/>
  <c r="CE40" i="52"/>
  <c r="CE41" i="52"/>
  <c r="AM41" i="52" s="1"/>
  <c r="CE42" i="52"/>
  <c r="AO42" i="52" s="1"/>
  <c r="CE43" i="52"/>
  <c r="AI43" i="52" s="1"/>
  <c r="CE44" i="52"/>
  <c r="AL44" i="52" s="1"/>
  <c r="CE45" i="52"/>
  <c r="AO45" i="52" s="1"/>
  <c r="CE46" i="52"/>
  <c r="CE47" i="52"/>
  <c r="CE48" i="52"/>
  <c r="AO48" i="52" s="1"/>
  <c r="CE49" i="52"/>
  <c r="CE50" i="52"/>
  <c r="CE209" i="52"/>
  <c r="CE268" i="52"/>
  <c r="AJ268" i="52" s="1"/>
  <c r="CE278" i="52"/>
  <c r="AL278" i="52" s="1"/>
  <c r="CE279" i="52"/>
  <c r="AJ279" i="52" s="1"/>
  <c r="CE280" i="52"/>
  <c r="CE281" i="52"/>
  <c r="AN281" i="52" s="1"/>
  <c r="CE216" i="52"/>
  <c r="AH216" i="52" s="1"/>
  <c r="CE217" i="52"/>
  <c r="AJ217" i="52" s="1"/>
  <c r="CE230" i="52"/>
  <c r="AH230" i="52" s="1"/>
  <c r="CE231" i="52"/>
  <c r="AM231" i="52" s="1"/>
  <c r="CE232" i="52"/>
  <c r="AL232" i="52" s="1"/>
  <c r="CE233" i="52"/>
  <c r="AR233" i="52" s="1"/>
  <c r="CE234" i="52"/>
  <c r="AH234" i="52" s="1"/>
  <c r="CE235" i="52"/>
  <c r="AR235" i="52" s="1"/>
  <c r="CE156" i="52"/>
  <c r="AO156" i="52" s="1"/>
  <c r="CE157" i="52"/>
  <c r="AN157" i="52" s="1"/>
  <c r="CE158" i="52"/>
  <c r="AJ158" i="52" s="1"/>
  <c r="CE159" i="52"/>
  <c r="AR159" i="52" s="1"/>
  <c r="CE160" i="52"/>
  <c r="AM160" i="52" s="1"/>
  <c r="CE161" i="52"/>
  <c r="AR161" i="52" s="1"/>
  <c r="CE162" i="52"/>
  <c r="AJ162" i="52" s="1"/>
  <c r="CE163" i="52"/>
  <c r="AR163" i="52" s="1"/>
  <c r="CE164" i="52"/>
  <c r="AN164" i="52" s="1"/>
  <c r="CE165" i="52"/>
  <c r="AR165" i="52" s="1"/>
  <c r="CE166" i="52"/>
  <c r="AI166" i="52" s="1"/>
  <c r="CE167" i="52"/>
  <c r="AR167" i="52" s="1"/>
  <c r="CE168" i="52"/>
  <c r="AM168" i="52" s="1"/>
  <c r="CE169" i="52"/>
  <c r="AR169" i="52" s="1"/>
  <c r="CE170" i="52"/>
  <c r="AN170" i="52" s="1"/>
  <c r="CE171" i="52"/>
  <c r="AM171" i="52" s="1"/>
  <c r="CE172" i="52"/>
  <c r="AR172" i="52" s="1"/>
  <c r="CE173" i="52"/>
  <c r="AJ173" i="52" s="1"/>
  <c r="CE174" i="52"/>
  <c r="AM174" i="52" s="1"/>
  <c r="CE175" i="52"/>
  <c r="AN175" i="52" s="1"/>
  <c r="CE176" i="52"/>
  <c r="AJ176" i="52" s="1"/>
  <c r="CE177" i="52"/>
  <c r="AR177" i="52" s="1"/>
  <c r="CE178" i="52"/>
  <c r="AN178" i="52" s="1"/>
  <c r="CE179" i="52"/>
  <c r="AM179" i="52" s="1"/>
  <c r="CE189" i="52"/>
  <c r="CE190" i="52"/>
  <c r="AI190" i="52" s="1"/>
  <c r="CE74" i="52"/>
  <c r="AO74" i="52" s="1"/>
  <c r="CE75" i="52"/>
  <c r="CE76" i="52"/>
  <c r="AI76" i="52" s="1"/>
  <c r="CE77" i="52"/>
  <c r="CE78" i="52"/>
  <c r="CE79" i="52"/>
  <c r="AG79" i="52" s="1"/>
  <c r="CE80" i="52"/>
  <c r="AI80" i="52" s="1"/>
  <c r="CE81" i="52"/>
  <c r="CE82" i="52"/>
  <c r="AO82" i="52" s="1"/>
  <c r="CE83" i="52"/>
  <c r="AO83" i="52" s="1"/>
  <c r="CE125" i="52"/>
  <c r="CE126" i="52"/>
  <c r="AO126" i="52" s="1"/>
  <c r="CE127" i="52"/>
  <c r="AG127" i="52" s="1"/>
  <c r="CE128" i="52"/>
  <c r="AM128" i="52" s="1"/>
  <c r="CE129" i="52"/>
  <c r="AG129" i="52" s="1"/>
  <c r="CE130" i="52"/>
  <c r="CE131" i="52"/>
  <c r="CE132" i="52"/>
  <c r="AM132" i="52" s="1"/>
  <c r="CE133" i="52"/>
  <c r="AG133" i="52" s="1"/>
  <c r="CE134" i="52"/>
  <c r="AM134" i="52" s="1"/>
  <c r="CE135" i="52"/>
  <c r="CE19" i="52"/>
  <c r="AM19" i="52" s="1"/>
  <c r="CE20" i="52"/>
  <c r="AG20" i="52" s="1"/>
  <c r="CE21" i="52"/>
  <c r="AM21" i="52" s="1"/>
  <c r="CE22" i="52"/>
  <c r="CE23" i="52"/>
  <c r="AM23" i="52" s="1"/>
  <c r="CE24" i="52"/>
  <c r="CE25" i="52"/>
  <c r="AO25" i="52" s="1"/>
  <c r="CE26" i="52"/>
  <c r="AG26" i="52" s="1"/>
  <c r="CE27" i="52"/>
  <c r="AG27" i="52" s="1"/>
  <c r="CE28" i="52"/>
  <c r="AG28" i="52" s="1"/>
  <c r="CE29" i="52"/>
  <c r="AM29" i="52" s="1"/>
  <c r="CE30" i="52"/>
  <c r="CE31" i="52"/>
  <c r="AG31" i="52" s="1"/>
  <c r="CE52" i="52"/>
  <c r="CE53" i="52"/>
  <c r="AQ53" i="52" s="1"/>
  <c r="CE54" i="52"/>
  <c r="CE55" i="52"/>
  <c r="AS55" i="52" s="1"/>
  <c r="CE56" i="52"/>
  <c r="CE57" i="52"/>
  <c r="AQ57" i="52" s="1"/>
  <c r="CE58" i="52"/>
  <c r="CE59" i="52"/>
  <c r="AO59" i="52" s="1"/>
  <c r="CE60" i="52"/>
  <c r="AS60" i="52" s="1"/>
  <c r="CE61" i="52"/>
  <c r="AS61" i="52" s="1"/>
  <c r="CE62" i="52"/>
  <c r="AO62" i="52" s="1"/>
  <c r="CE63" i="52"/>
  <c r="AO63" i="52" s="1"/>
  <c r="CE64" i="52"/>
  <c r="AS64" i="52" s="1"/>
  <c r="CE65" i="52"/>
  <c r="AO65" i="52" s="1"/>
  <c r="CE66" i="52"/>
  <c r="AS66" i="52" s="1"/>
  <c r="CE67" i="52"/>
  <c r="CE68" i="52"/>
  <c r="AM68" i="52" s="1"/>
  <c r="CE69" i="52"/>
  <c r="CE70" i="52"/>
  <c r="AO70" i="52" s="1"/>
  <c r="CE71" i="52"/>
  <c r="CE72" i="52"/>
  <c r="AM72" i="52" s="1"/>
  <c r="CE73" i="52"/>
  <c r="CE248" i="52"/>
  <c r="AS248" i="52" s="1"/>
  <c r="CE260" i="52"/>
  <c r="AS260" i="52" s="1"/>
  <c r="CE261" i="52"/>
  <c r="AH261" i="52" s="1"/>
  <c r="CE262" i="52"/>
  <c r="AG262" i="52" s="1"/>
  <c r="CE51" i="52"/>
  <c r="CE236" i="52"/>
  <c r="CE237" i="52"/>
  <c r="AI237" i="52" s="1"/>
  <c r="CE238" i="52"/>
  <c r="AG238" i="52" s="1"/>
  <c r="CE239" i="52"/>
  <c r="AG239" i="52" s="1"/>
  <c r="CE240" i="52"/>
  <c r="CE241" i="52"/>
  <c r="AI241" i="52" s="1"/>
  <c r="CE242" i="52"/>
  <c r="CE243" i="52"/>
  <c r="AH243" i="52" s="1"/>
  <c r="CE244" i="52"/>
  <c r="AJ244" i="52" s="1"/>
  <c r="CE245" i="52"/>
  <c r="AJ245" i="52" s="1"/>
  <c r="CE246" i="52"/>
  <c r="CE247" i="52"/>
  <c r="AJ247" i="52" s="1"/>
  <c r="CE116" i="52"/>
  <c r="AG116" i="52" s="1"/>
  <c r="CE117" i="52"/>
  <c r="AJ117" i="52" s="1"/>
  <c r="CE118" i="52"/>
  <c r="AM118" i="52" s="1"/>
  <c r="CE119" i="52"/>
  <c r="AH119" i="52" s="1"/>
  <c r="CE120" i="52"/>
  <c r="CE121" i="52"/>
  <c r="AJ121" i="52" s="1"/>
  <c r="CE122" i="52"/>
  <c r="AJ122" i="52" s="1"/>
  <c r="CE123" i="52"/>
  <c r="CE124" i="52"/>
  <c r="AJ124" i="52" s="1"/>
  <c r="CE136" i="52"/>
  <c r="AJ136" i="52" s="1"/>
  <c r="CE137" i="52"/>
  <c r="AH137" i="52" s="1"/>
  <c r="CE138" i="52"/>
  <c r="CE139" i="52"/>
  <c r="AH139" i="52" s="1"/>
  <c r="CE140" i="52"/>
  <c r="CE141" i="52"/>
  <c r="AK141" i="52" s="1"/>
  <c r="CE142" i="52"/>
  <c r="AJ142" i="52" s="1"/>
  <c r="CE143" i="52"/>
  <c r="AG143" i="52" s="1"/>
  <c r="CE144" i="52"/>
  <c r="AN144" i="52" s="1"/>
  <c r="CE145" i="52"/>
  <c r="AS145" i="52" s="1"/>
  <c r="CE146" i="52"/>
  <c r="AR146" i="52" s="1"/>
  <c r="CE147" i="52"/>
  <c r="CE148" i="52"/>
  <c r="AM148" i="52" s="1"/>
  <c r="CE149" i="52"/>
  <c r="CE150" i="52"/>
  <c r="AJ150" i="52" s="1"/>
  <c r="CE151" i="52"/>
  <c r="AG151" i="52" s="1"/>
  <c r="CE152" i="52"/>
  <c r="AN152" i="52" s="1"/>
  <c r="CE153" i="52"/>
  <c r="AI153" i="52" s="1"/>
  <c r="CE154" i="52"/>
  <c r="AQ154" i="52" s="1"/>
  <c r="CE155" i="52"/>
  <c r="AI155" i="52" s="1"/>
  <c r="CE17" i="52"/>
  <c r="CE18" i="52"/>
  <c r="AI18" i="52" s="1"/>
  <c r="CE194" i="52"/>
  <c r="AM194" i="52" s="1"/>
  <c r="CE195" i="52"/>
  <c r="AI195" i="52" s="1"/>
  <c r="CE196" i="52"/>
  <c r="AM196" i="52" s="1"/>
  <c r="CE197" i="52"/>
  <c r="AO197" i="52" s="1"/>
  <c r="CE198" i="52"/>
  <c r="AR198" i="52" s="1"/>
  <c r="CE199" i="52"/>
  <c r="AL199" i="52" s="1"/>
  <c r="CE200" i="52"/>
  <c r="AR200" i="52" s="1"/>
  <c r="CE201" i="52"/>
  <c r="AK201" i="52" s="1"/>
  <c r="CE202" i="52"/>
  <c r="AM202" i="52" s="1"/>
  <c r="CE203" i="52"/>
  <c r="AG203" i="52" s="1"/>
  <c r="CE204" i="52"/>
  <c r="AM204" i="52" s="1"/>
  <c r="CE205" i="52"/>
  <c r="AO205" i="52" s="1"/>
  <c r="CE206" i="52"/>
  <c r="CE207" i="52"/>
  <c r="AM207" i="52" s="1"/>
  <c r="CE208" i="52"/>
  <c r="AJ208" i="52" s="1"/>
  <c r="CE210" i="52"/>
  <c r="AO210" i="52" s="1"/>
  <c r="CE211" i="52"/>
  <c r="AG211" i="52" s="1"/>
  <c r="CE212" i="52"/>
  <c r="AG212" i="52" s="1"/>
  <c r="CE213" i="52"/>
  <c r="AO213" i="52" s="1"/>
  <c r="CE214" i="52"/>
  <c r="AG214" i="52" s="1"/>
  <c r="CE263" i="52"/>
  <c r="AR263" i="52" s="1"/>
  <c r="CE264" i="52"/>
  <c r="AG264" i="52" s="1"/>
  <c r="CE265" i="52"/>
  <c r="AH265" i="52" s="1"/>
  <c r="CE266" i="52"/>
  <c r="AR266" i="52" s="1"/>
  <c r="CE267" i="52"/>
  <c r="CE269" i="52"/>
  <c r="AJ269" i="52" s="1"/>
  <c r="CE270" i="52"/>
  <c r="AN270" i="52" s="1"/>
  <c r="CE271" i="52"/>
  <c r="AJ271" i="52" s="1"/>
  <c r="CE272" i="52"/>
  <c r="AN272" i="52" s="1"/>
  <c r="CE273" i="52"/>
  <c r="AJ273" i="52" s="1"/>
  <c r="CE274" i="52"/>
  <c r="CE275" i="52"/>
  <c r="AN275" i="52" s="1"/>
  <c r="CE276" i="52"/>
  <c r="AM276" i="52" s="1"/>
  <c r="CE277" i="52"/>
  <c r="AM277" i="52" s="1"/>
  <c r="CE215" i="52"/>
  <c r="CE218" i="52"/>
  <c r="AR218" i="52" s="1"/>
  <c r="CE219" i="52"/>
  <c r="AJ219" i="52" s="1"/>
  <c r="CE220" i="52"/>
  <c r="AM220" i="52" s="1"/>
  <c r="CE221" i="52"/>
  <c r="AN221" i="52" s="1"/>
  <c r="CE222" i="52"/>
  <c r="AJ222" i="52" s="1"/>
  <c r="CE223" i="52"/>
  <c r="AJ223" i="52" s="1"/>
  <c r="CE224" i="52"/>
  <c r="AN224" i="52" s="1"/>
  <c r="CE225" i="52"/>
  <c r="AM225" i="52" s="1"/>
  <c r="CE226" i="52"/>
  <c r="AR226" i="52" s="1"/>
  <c r="CE227" i="52"/>
  <c r="AJ227" i="52" s="1"/>
  <c r="CE228" i="52"/>
  <c r="AR228" i="52" s="1"/>
  <c r="CE229" i="52"/>
  <c r="AJ229" i="52" s="1"/>
  <c r="CE180" i="52"/>
  <c r="AR180" i="52" s="1"/>
  <c r="CE181" i="52"/>
  <c r="CE182" i="52"/>
  <c r="CE183" i="52"/>
  <c r="CE184" i="52"/>
  <c r="CE185" i="52"/>
  <c r="CE186" i="52"/>
  <c r="CE187" i="52"/>
  <c r="CE188" i="52"/>
  <c r="CE84" i="52"/>
  <c r="AI84" i="52" s="1"/>
  <c r="CE85" i="52"/>
  <c r="AG85" i="52" s="1"/>
  <c r="CE86" i="52"/>
  <c r="CE87" i="52"/>
  <c r="CE88" i="52"/>
  <c r="AG88" i="52" s="1"/>
  <c r="CE89" i="52"/>
  <c r="CE90" i="52"/>
  <c r="AG90" i="52" s="1"/>
  <c r="CE91" i="52"/>
  <c r="AM91" i="52" s="1"/>
  <c r="CE92" i="52"/>
  <c r="AO92" i="52" s="1"/>
  <c r="CE93" i="52"/>
  <c r="AI93" i="52" s="1"/>
  <c r="CE94" i="52"/>
  <c r="CE95" i="52"/>
  <c r="AM95" i="52" s="1"/>
  <c r="CE96" i="52"/>
  <c r="CE97" i="52"/>
  <c r="AI97" i="52" s="1"/>
  <c r="CE98" i="52"/>
  <c r="AG98" i="52" s="1"/>
  <c r="CE99" i="52"/>
  <c r="AM99" i="52" s="1"/>
  <c r="CE100" i="52"/>
  <c r="CE101" i="52"/>
  <c r="AI101" i="52" s="1"/>
  <c r="CE249" i="52"/>
  <c r="CE250" i="52"/>
  <c r="AG250" i="52" s="1"/>
  <c r="CE251" i="52"/>
  <c r="AM251" i="52" s="1"/>
  <c r="CE252" i="52"/>
  <c r="AG252" i="52" s="1"/>
  <c r="CE254" i="52"/>
  <c r="CE256" i="52"/>
  <c r="AG256" i="52" s="1"/>
  <c r="CE258" i="52"/>
  <c r="CD7" i="52"/>
  <c r="CF7" i="52" s="1"/>
  <c r="CD41" i="52"/>
  <c r="CF41" i="52" s="1"/>
  <c r="BJ41" i="52" s="1"/>
  <c r="CD48" i="52"/>
  <c r="CF48" i="52" s="1"/>
  <c r="BK48" i="52" s="1"/>
  <c r="CD50" i="52"/>
  <c r="CF50" i="52" s="1"/>
  <c r="CD206" i="52"/>
  <c r="CF206" i="52" s="1"/>
  <c r="BI206" i="52" s="1"/>
  <c r="CD270" i="52"/>
  <c r="CF270" i="52" s="1"/>
  <c r="CD272" i="52"/>
  <c r="CF272" i="52" s="1"/>
  <c r="AY272" i="52" s="1"/>
  <c r="CD274" i="52"/>
  <c r="CF274" i="52" s="1"/>
  <c r="BJ274" i="52" s="1"/>
  <c r="CD4" i="52"/>
  <c r="CF4" i="52" s="1"/>
  <c r="BJ4" i="52" s="1"/>
  <c r="CD117" i="52"/>
  <c r="CF117" i="52" s="1"/>
  <c r="CD124" i="52"/>
  <c r="CF124" i="52" s="1"/>
  <c r="BJ124" i="52" s="1"/>
  <c r="CD137" i="52"/>
  <c r="CF137" i="52" s="1"/>
  <c r="AX137" i="52" s="1"/>
  <c r="CD139" i="52"/>
  <c r="CF139" i="52" s="1"/>
  <c r="AZ139" i="52" s="1"/>
  <c r="CD140" i="52"/>
  <c r="CF140" i="52" s="1"/>
  <c r="BH140" i="52" s="1"/>
  <c r="CD10" i="52"/>
  <c r="CF10" i="52" s="1"/>
  <c r="BF10" i="52" s="1"/>
  <c r="CD12" i="52"/>
  <c r="CF12" i="52" s="1"/>
  <c r="BI12" i="52" s="1"/>
  <c r="CD14" i="52"/>
  <c r="CF14" i="52" s="1"/>
  <c r="BG14" i="52" s="1"/>
  <c r="CD102" i="52"/>
  <c r="CF102" i="52" s="1"/>
  <c r="BG102" i="52" s="1"/>
  <c r="CD104" i="52"/>
  <c r="CF104" i="52" s="1"/>
  <c r="BJ104" i="52" s="1"/>
  <c r="CD106" i="52"/>
  <c r="CF106" i="52" s="1"/>
  <c r="BF106" i="52" s="1"/>
  <c r="CD43" i="52"/>
  <c r="CF43" i="52" s="1"/>
  <c r="AX43" i="52" s="1"/>
  <c r="CD215" i="52"/>
  <c r="CF215" i="52" s="1"/>
  <c r="BG215" i="52" s="1"/>
  <c r="CD217" i="52"/>
  <c r="CF217" i="52" s="1"/>
  <c r="BF217" i="52" s="1"/>
  <c r="CD59" i="52"/>
  <c r="CF59" i="52" s="1"/>
  <c r="BH59" i="52" s="1"/>
  <c r="CD61" i="52"/>
  <c r="CF61" i="52" s="1"/>
  <c r="BJ61" i="52" s="1"/>
  <c r="CD63" i="52"/>
  <c r="CF63" i="52" s="1"/>
  <c r="BH63" i="52" s="1"/>
  <c r="CD65" i="52"/>
  <c r="CF65" i="52" s="1"/>
  <c r="BJ65" i="52" s="1"/>
  <c r="CD260" i="52"/>
  <c r="CF260" i="52" s="1"/>
  <c r="BF260" i="52" s="1"/>
  <c r="CD119" i="52"/>
  <c r="CF119" i="52" s="1"/>
  <c r="CD121" i="52"/>
  <c r="CF121" i="52" s="1"/>
  <c r="CD123" i="52"/>
  <c r="CF123" i="52" s="1"/>
  <c r="CD136" i="52"/>
  <c r="CF136" i="52" s="1"/>
  <c r="BG136" i="52" s="1"/>
  <c r="CD138" i="52"/>
  <c r="CF138" i="52" s="1"/>
  <c r="BD138" i="52" s="1"/>
  <c r="CD9" i="52"/>
  <c r="CF9" i="52" s="1"/>
  <c r="CD11" i="52"/>
  <c r="CF11" i="52" s="1"/>
  <c r="BJ11" i="52" s="1"/>
  <c r="CD13" i="52"/>
  <c r="CF13" i="52" s="1"/>
  <c r="BD13" i="52" s="1"/>
  <c r="CD103" i="52"/>
  <c r="CF103" i="52" s="1"/>
  <c r="BF103" i="52" s="1"/>
  <c r="CD105" i="52"/>
  <c r="CF105" i="52" s="1"/>
  <c r="AZ105" i="52" s="1"/>
  <c r="CD42" i="52"/>
  <c r="CF42" i="52" s="1"/>
  <c r="BD42" i="52" s="1"/>
  <c r="CD44" i="52"/>
  <c r="CF44" i="52" s="1"/>
  <c r="BF44" i="52" s="1"/>
  <c r="CD45" i="52"/>
  <c r="CF45" i="52" s="1"/>
  <c r="BE45" i="52" s="1"/>
  <c r="CD269" i="52"/>
  <c r="CF269" i="52" s="1"/>
  <c r="BH269" i="52" s="1"/>
  <c r="CD271" i="52"/>
  <c r="CF271" i="52" s="1"/>
  <c r="BF271" i="52" s="1"/>
  <c r="CD273" i="52"/>
  <c r="CF273" i="52" s="1"/>
  <c r="BJ273" i="52" s="1"/>
  <c r="CD216" i="52"/>
  <c r="CF216" i="52" s="1"/>
  <c r="CD53" i="52"/>
  <c r="CF53" i="52" s="1"/>
  <c r="BK53" i="52" s="1"/>
  <c r="CD55" i="52"/>
  <c r="CF55" i="52" s="1"/>
  <c r="BA55" i="52" s="1"/>
  <c r="CD57" i="52"/>
  <c r="CF57" i="52" s="1"/>
  <c r="BK57" i="52" s="1"/>
  <c r="CD60" i="52"/>
  <c r="CF60" i="52" s="1"/>
  <c r="BH60" i="52" s="1"/>
  <c r="CD62" i="52"/>
  <c r="CF62" i="52" s="1"/>
  <c r="BH62" i="52" s="1"/>
  <c r="CD64" i="52"/>
  <c r="CF64" i="52" s="1"/>
  <c r="BJ64" i="52" s="1"/>
  <c r="CD66" i="52"/>
  <c r="CF66" i="52" s="1"/>
  <c r="BH66" i="52" s="1"/>
  <c r="CD67" i="52"/>
  <c r="CF67" i="52" s="1"/>
  <c r="BI67" i="52" s="1"/>
  <c r="CD69" i="52"/>
  <c r="CF69" i="52" s="1"/>
  <c r="BK69" i="52" s="1"/>
  <c r="CD71" i="52"/>
  <c r="CF71" i="52" s="1"/>
  <c r="BI71" i="52" s="1"/>
  <c r="CD73" i="52"/>
  <c r="CF73" i="52" s="1"/>
  <c r="BK73" i="52" s="1"/>
  <c r="CD122" i="52"/>
  <c r="CF122" i="52" s="1"/>
  <c r="BH122" i="52" s="1"/>
  <c r="CD6" i="52"/>
  <c r="CF6" i="52" s="1"/>
  <c r="CD192" i="52"/>
  <c r="CF192" i="52" s="1"/>
  <c r="CD243" i="52"/>
  <c r="CF243" i="52" s="1"/>
  <c r="BE243" i="52" s="1"/>
  <c r="CD244" i="52"/>
  <c r="CF244" i="52" s="1"/>
  <c r="BA244" i="52" s="1"/>
  <c r="CD245" i="52"/>
  <c r="CF245" i="52" s="1"/>
  <c r="BI245" i="52" s="1"/>
  <c r="CD246" i="52"/>
  <c r="CF246" i="52" s="1"/>
  <c r="CD247" i="52"/>
  <c r="CF247" i="52" s="1"/>
  <c r="BI247" i="52" s="1"/>
  <c r="CD120" i="52"/>
  <c r="CF120" i="52" s="1"/>
  <c r="CD15" i="52"/>
  <c r="CF15" i="52" s="1"/>
  <c r="CD16" i="52"/>
  <c r="CF16" i="52" s="1"/>
  <c r="BI16" i="52" s="1"/>
  <c r="CD17" i="52"/>
  <c r="CF17" i="52" s="1"/>
  <c r="BJ17" i="52" s="1"/>
  <c r="CD109" i="52"/>
  <c r="CF109" i="52" s="1"/>
  <c r="BK109" i="52" s="1"/>
  <c r="CD110" i="52"/>
  <c r="CF110" i="52" s="1"/>
  <c r="BD110" i="52" s="1"/>
  <c r="CD32" i="52"/>
  <c r="CF32" i="52" s="1"/>
  <c r="BI32" i="52" s="1"/>
  <c r="CD33" i="52"/>
  <c r="CF33" i="52" s="1"/>
  <c r="CD34" i="52"/>
  <c r="CF34" i="52" s="1"/>
  <c r="BE34" i="52" s="1"/>
  <c r="CD35" i="52"/>
  <c r="CF35" i="52" s="1"/>
  <c r="BE35" i="52" s="1"/>
  <c r="CD36" i="52"/>
  <c r="CF36" i="52" s="1"/>
  <c r="BK36" i="52" s="1"/>
  <c r="CD37" i="52"/>
  <c r="CF37" i="52" s="1"/>
  <c r="AX37" i="52" s="1"/>
  <c r="CD38" i="52"/>
  <c r="CF38" i="52" s="1"/>
  <c r="BH38" i="52" s="1"/>
  <c r="CD39" i="52"/>
  <c r="CF39" i="52" s="1"/>
  <c r="AY39" i="52" s="1"/>
  <c r="CD40" i="52"/>
  <c r="CF40" i="52" s="1"/>
  <c r="BD40" i="52" s="1"/>
  <c r="CD46" i="52"/>
  <c r="CF46" i="52" s="1"/>
  <c r="BE46" i="52" s="1"/>
  <c r="CD47" i="52"/>
  <c r="CF47" i="52" s="1"/>
  <c r="BK47" i="52" s="1"/>
  <c r="CD49" i="52"/>
  <c r="CF49" i="52" s="1"/>
  <c r="BE49" i="52" s="1"/>
  <c r="CD51" i="52"/>
  <c r="CF51" i="52" s="1"/>
  <c r="AZ51" i="52" s="1"/>
  <c r="CD194" i="52"/>
  <c r="CF194" i="52" s="1"/>
  <c r="BI194" i="52" s="1"/>
  <c r="CD195" i="52"/>
  <c r="CF195" i="52" s="1"/>
  <c r="CD196" i="52"/>
  <c r="CF196" i="52" s="1"/>
  <c r="BI196" i="52" s="1"/>
  <c r="CD197" i="52"/>
  <c r="CF197" i="52" s="1"/>
  <c r="AX197" i="52" s="1"/>
  <c r="CD198" i="52"/>
  <c r="CF198" i="52" s="1"/>
  <c r="BF198" i="52" s="1"/>
  <c r="CD199" i="52"/>
  <c r="CF199" i="52" s="1"/>
  <c r="BG199" i="52" s="1"/>
  <c r="CD200" i="52"/>
  <c r="CF200" i="52" s="1"/>
  <c r="BD200" i="52" s="1"/>
  <c r="CD201" i="52"/>
  <c r="CF201" i="52" s="1"/>
  <c r="BK201" i="52" s="1"/>
  <c r="CD263" i="52"/>
  <c r="CF263" i="52" s="1"/>
  <c r="AX263" i="52" s="1"/>
  <c r="CD265" i="52"/>
  <c r="CF265" i="52" s="1"/>
  <c r="BG265" i="52" s="1"/>
  <c r="CD267" i="52"/>
  <c r="CF267" i="52" s="1"/>
  <c r="BK267" i="52" s="1"/>
  <c r="CD202" i="52"/>
  <c r="CF202" i="52" s="1"/>
  <c r="BF202" i="52" s="1"/>
  <c r="CD203" i="52"/>
  <c r="CF203" i="52" s="1"/>
  <c r="BG203" i="52" s="1"/>
  <c r="CD204" i="52"/>
  <c r="CF204" i="52" s="1"/>
  <c r="BK204" i="52" s="1"/>
  <c r="CD205" i="52"/>
  <c r="CF205" i="52" s="1"/>
  <c r="AX205" i="52" s="1"/>
  <c r="CD207" i="52"/>
  <c r="CF207" i="52" s="1"/>
  <c r="BA207" i="52" s="1"/>
  <c r="CD208" i="52"/>
  <c r="CF208" i="52" s="1"/>
  <c r="BK208" i="52" s="1"/>
  <c r="CD209" i="52"/>
  <c r="CF209" i="52" s="1"/>
  <c r="AZ209" i="52" s="1"/>
  <c r="CD214" i="52"/>
  <c r="CF214" i="52" s="1"/>
  <c r="AZ214" i="52" s="1"/>
  <c r="CD264" i="52"/>
  <c r="CF264" i="52" s="1"/>
  <c r="AY264" i="52" s="1"/>
  <c r="CD266" i="52"/>
  <c r="CF266" i="52" s="1"/>
  <c r="BF266" i="52" s="1"/>
  <c r="CD229" i="52"/>
  <c r="CF229" i="52" s="1"/>
  <c r="BA229" i="52" s="1"/>
  <c r="CD26" i="52"/>
  <c r="CF26" i="52" s="1"/>
  <c r="BK26" i="52" s="1"/>
  <c r="CD52" i="52"/>
  <c r="CF52" i="52" s="1"/>
  <c r="AY52" i="52" s="1"/>
  <c r="CD54" i="52"/>
  <c r="CF54" i="52" s="1"/>
  <c r="BI54" i="52" s="1"/>
  <c r="CD56" i="52"/>
  <c r="CF56" i="52" s="1"/>
  <c r="CD58" i="52"/>
  <c r="CF58" i="52" s="1"/>
  <c r="BI58" i="52" s="1"/>
  <c r="CD68" i="52"/>
  <c r="CF68" i="52" s="1"/>
  <c r="BH68" i="52" s="1"/>
  <c r="CD70" i="52"/>
  <c r="CF70" i="52" s="1"/>
  <c r="BI70" i="52" s="1"/>
  <c r="CD72" i="52"/>
  <c r="CF72" i="52" s="1"/>
  <c r="CD248" i="52"/>
  <c r="CF248" i="52" s="1"/>
  <c r="BI248" i="52" s="1"/>
  <c r="CD261" i="52"/>
  <c r="CF261" i="52" s="1"/>
  <c r="BI261" i="52" s="1"/>
  <c r="CD3" i="52"/>
  <c r="CF3" i="52" s="1"/>
  <c r="AX3" i="52" s="1"/>
  <c r="CD236" i="52"/>
  <c r="CF236" i="52" s="1"/>
  <c r="CD238" i="52"/>
  <c r="CF238" i="52" s="1"/>
  <c r="BG238" i="52" s="1"/>
  <c r="CD240" i="52"/>
  <c r="CF240" i="52" s="1"/>
  <c r="BK240" i="52" s="1"/>
  <c r="CD242" i="52"/>
  <c r="CF242" i="52" s="1"/>
  <c r="BK242" i="52" s="1"/>
  <c r="AX34" i="52"/>
  <c r="CD2" i="52"/>
  <c r="CF2" i="52" s="1"/>
  <c r="AX2" i="52" s="1"/>
  <c r="CD5" i="52"/>
  <c r="CF5" i="52" s="1"/>
  <c r="AP6" i="52"/>
  <c r="CD8" i="52"/>
  <c r="CF8" i="52" s="1"/>
  <c r="CD191" i="52"/>
  <c r="CF191" i="52" s="1"/>
  <c r="AO192" i="52"/>
  <c r="CD193" i="52"/>
  <c r="CF193" i="52" s="1"/>
  <c r="CD237" i="52"/>
  <c r="CF237" i="52" s="1"/>
  <c r="CD239" i="52"/>
  <c r="CF239" i="52" s="1"/>
  <c r="CD241" i="52"/>
  <c r="CF241" i="52" s="1"/>
  <c r="AR113" i="52"/>
  <c r="BE9" i="52"/>
  <c r="BA109" i="52"/>
  <c r="AY38" i="52"/>
  <c r="CD111" i="52"/>
  <c r="CF111" i="52" s="1"/>
  <c r="AX111" i="52" s="1"/>
  <c r="CD112" i="52"/>
  <c r="CF112" i="52" s="1"/>
  <c r="AX112" i="52" s="1"/>
  <c r="CD113" i="52"/>
  <c r="CF113" i="52" s="1"/>
  <c r="AX113" i="52" s="1"/>
  <c r="CD114" i="52"/>
  <c r="CF114" i="52" s="1"/>
  <c r="AX114" i="52" s="1"/>
  <c r="CD115" i="52"/>
  <c r="CF115" i="52" s="1"/>
  <c r="AX115" i="52" s="1"/>
  <c r="CD116" i="52"/>
  <c r="CF116" i="52" s="1"/>
  <c r="AX116" i="52" s="1"/>
  <c r="CD118" i="52"/>
  <c r="CF118" i="52" s="1"/>
  <c r="AX118" i="52" s="1"/>
  <c r="CD141" i="52"/>
  <c r="CF141" i="52" s="1"/>
  <c r="CD142" i="52"/>
  <c r="CF142" i="52" s="1"/>
  <c r="AX142" i="52" s="1"/>
  <c r="CD143" i="52"/>
  <c r="CF143" i="52" s="1"/>
  <c r="CD144" i="52"/>
  <c r="CF144" i="52" s="1"/>
  <c r="AX144" i="52" s="1"/>
  <c r="CD145" i="52"/>
  <c r="CF145" i="52" s="1"/>
  <c r="CD146" i="52"/>
  <c r="CF146" i="52" s="1"/>
  <c r="AX146" i="52" s="1"/>
  <c r="CD147" i="52"/>
  <c r="CF147" i="52" s="1"/>
  <c r="CD148" i="52"/>
  <c r="CF148" i="52" s="1"/>
  <c r="AX148" i="52" s="1"/>
  <c r="CD149" i="52"/>
  <c r="CF149" i="52" s="1"/>
  <c r="CD150" i="52"/>
  <c r="CF150" i="52" s="1"/>
  <c r="AX150" i="52" s="1"/>
  <c r="CD151" i="52"/>
  <c r="CF151" i="52" s="1"/>
  <c r="CD152" i="52"/>
  <c r="CF152" i="52" s="1"/>
  <c r="AX152" i="52" s="1"/>
  <c r="CD153" i="52"/>
  <c r="CF153" i="52" s="1"/>
  <c r="CD154" i="52"/>
  <c r="CF154" i="52" s="1"/>
  <c r="AX154" i="52" s="1"/>
  <c r="CD155" i="52"/>
  <c r="CF155" i="52" s="1"/>
  <c r="CD18" i="52"/>
  <c r="CF18" i="52" s="1"/>
  <c r="AX18" i="52" s="1"/>
  <c r="CD107" i="52"/>
  <c r="CF107" i="52" s="1"/>
  <c r="AX107" i="52" s="1"/>
  <c r="CD108" i="52"/>
  <c r="CF108" i="52" s="1"/>
  <c r="AX108" i="52" s="1"/>
  <c r="AM50" i="52"/>
  <c r="CD211" i="52"/>
  <c r="CF211" i="52" s="1"/>
  <c r="CD213" i="52"/>
  <c r="CF213" i="52" s="1"/>
  <c r="AZ265" i="52"/>
  <c r="AO278" i="52"/>
  <c r="AM157" i="52"/>
  <c r="AR173" i="52"/>
  <c r="AQ173" i="52"/>
  <c r="AJ177" i="52"/>
  <c r="AG107" i="52"/>
  <c r="AG108" i="52"/>
  <c r="CD210" i="52"/>
  <c r="CF210" i="52" s="1"/>
  <c r="BG210" i="52" s="1"/>
  <c r="CD212" i="52"/>
  <c r="CF212" i="52" s="1"/>
  <c r="BG212" i="52" s="1"/>
  <c r="AR268" i="52"/>
  <c r="AM281" i="52"/>
  <c r="BK229" i="52"/>
  <c r="BI229" i="52"/>
  <c r="BG229" i="52"/>
  <c r="BE229" i="52"/>
  <c r="BJ229" i="52"/>
  <c r="BH229" i="52"/>
  <c r="BF229" i="52"/>
  <c r="BD229" i="52"/>
  <c r="AZ229" i="52"/>
  <c r="AX229" i="52"/>
  <c r="AN231" i="52"/>
  <c r="AL233" i="52"/>
  <c r="AO233" i="52"/>
  <c r="AP235" i="52"/>
  <c r="AP159" i="52"/>
  <c r="AL161" i="52"/>
  <c r="AP163" i="52"/>
  <c r="AL165" i="52"/>
  <c r="AO165" i="52"/>
  <c r="CD268" i="52"/>
  <c r="CF268" i="52" s="1"/>
  <c r="AX268" i="52" s="1"/>
  <c r="CD275" i="52"/>
  <c r="CF275" i="52" s="1"/>
  <c r="CD276" i="52"/>
  <c r="CF276" i="52" s="1"/>
  <c r="AX276" i="52" s="1"/>
  <c r="CD277" i="52"/>
  <c r="CF277" i="52" s="1"/>
  <c r="AX277" i="52" s="1"/>
  <c r="CD278" i="52"/>
  <c r="CF278" i="52" s="1"/>
  <c r="CD279" i="52"/>
  <c r="CF279" i="52" s="1"/>
  <c r="AX279" i="52" s="1"/>
  <c r="CD280" i="52"/>
  <c r="CF280" i="52" s="1"/>
  <c r="CD281" i="52"/>
  <c r="CF281" i="52" s="1"/>
  <c r="AX281" i="52" s="1"/>
  <c r="CD218" i="52"/>
  <c r="CF218" i="52" s="1"/>
  <c r="CD219" i="52"/>
  <c r="CF219" i="52" s="1"/>
  <c r="AX219" i="52" s="1"/>
  <c r="CD220" i="52"/>
  <c r="CF220" i="52" s="1"/>
  <c r="CD221" i="52"/>
  <c r="CF221" i="52" s="1"/>
  <c r="AX221" i="52" s="1"/>
  <c r="CD222" i="52"/>
  <c r="CF222" i="52" s="1"/>
  <c r="CD223" i="52"/>
  <c r="CF223" i="52" s="1"/>
  <c r="AX223" i="52" s="1"/>
  <c r="CD224" i="52"/>
  <c r="CF224" i="52" s="1"/>
  <c r="CD225" i="52"/>
  <c r="CF225" i="52" s="1"/>
  <c r="AX225" i="52" s="1"/>
  <c r="CD226" i="52"/>
  <c r="CF226" i="52" s="1"/>
  <c r="CD227" i="52"/>
  <c r="CF227" i="52" s="1"/>
  <c r="AX227" i="52" s="1"/>
  <c r="CD228" i="52"/>
  <c r="CF228" i="52" s="1"/>
  <c r="CD230" i="52"/>
  <c r="CF230" i="52" s="1"/>
  <c r="CD231" i="52"/>
  <c r="CF231" i="52" s="1"/>
  <c r="AX231" i="52" s="1"/>
  <c r="CD232" i="52"/>
  <c r="CF232" i="52" s="1"/>
  <c r="CD233" i="52"/>
  <c r="CF233" i="52" s="1"/>
  <c r="AX233" i="52" s="1"/>
  <c r="CD234" i="52"/>
  <c r="CF234" i="52" s="1"/>
  <c r="AX234" i="52" s="1"/>
  <c r="CD235" i="52"/>
  <c r="CF235" i="52" s="1"/>
  <c r="AX235" i="52" s="1"/>
  <c r="CD156" i="52"/>
  <c r="CF156" i="52" s="1"/>
  <c r="AX156" i="52" s="1"/>
  <c r="CD157" i="52"/>
  <c r="CF157" i="52" s="1"/>
  <c r="AX157" i="52" s="1"/>
  <c r="CD158" i="52"/>
  <c r="CF158" i="52" s="1"/>
  <c r="AX158" i="52" s="1"/>
  <c r="CD159" i="52"/>
  <c r="CF159" i="52" s="1"/>
  <c r="AX159" i="52" s="1"/>
  <c r="CD160" i="52"/>
  <c r="CF160" i="52" s="1"/>
  <c r="AX160" i="52" s="1"/>
  <c r="CD161" i="52"/>
  <c r="CF161" i="52" s="1"/>
  <c r="AX161" i="52" s="1"/>
  <c r="CD162" i="52"/>
  <c r="CF162" i="52" s="1"/>
  <c r="AX162" i="52" s="1"/>
  <c r="CD163" i="52"/>
  <c r="CF163" i="52" s="1"/>
  <c r="AX163" i="52" s="1"/>
  <c r="CD164" i="52"/>
  <c r="CF164" i="52" s="1"/>
  <c r="AX164" i="52" s="1"/>
  <c r="CD165" i="52"/>
  <c r="CF165" i="52" s="1"/>
  <c r="AX165" i="52" s="1"/>
  <c r="CD166" i="52"/>
  <c r="CF166" i="52" s="1"/>
  <c r="AX166" i="52" s="1"/>
  <c r="CD167" i="52"/>
  <c r="CF167" i="52" s="1"/>
  <c r="AX167" i="52" s="1"/>
  <c r="CD168" i="52"/>
  <c r="CF168" i="52" s="1"/>
  <c r="AX168" i="52" s="1"/>
  <c r="CD169" i="52"/>
  <c r="CF169" i="52" s="1"/>
  <c r="AX169" i="52" s="1"/>
  <c r="CD170" i="52"/>
  <c r="CF170" i="52" s="1"/>
  <c r="AX170" i="52" s="1"/>
  <c r="CD171" i="52"/>
  <c r="CF171" i="52" s="1"/>
  <c r="AX171" i="52" s="1"/>
  <c r="CD172" i="52"/>
  <c r="CF172" i="52" s="1"/>
  <c r="AX172" i="52" s="1"/>
  <c r="CD173" i="52"/>
  <c r="CF173" i="52" s="1"/>
  <c r="AX173" i="52" s="1"/>
  <c r="CD174" i="52"/>
  <c r="CF174" i="52" s="1"/>
  <c r="AX174" i="52" s="1"/>
  <c r="CD175" i="52"/>
  <c r="CF175" i="52" s="1"/>
  <c r="AX175" i="52" s="1"/>
  <c r="CD176" i="52"/>
  <c r="CF176" i="52" s="1"/>
  <c r="AX176" i="52" s="1"/>
  <c r="CD177" i="52"/>
  <c r="CF177" i="52" s="1"/>
  <c r="AX177" i="52" s="1"/>
  <c r="CD178" i="52"/>
  <c r="CF178" i="52" s="1"/>
  <c r="AX178" i="52" s="1"/>
  <c r="CD179" i="52"/>
  <c r="CF179" i="52" s="1"/>
  <c r="AX179" i="52" s="1"/>
  <c r="CD180" i="52"/>
  <c r="CF180" i="52" s="1"/>
  <c r="AX180" i="52" s="1"/>
  <c r="CD189" i="52"/>
  <c r="CF189" i="52" s="1"/>
  <c r="BG189" i="52" s="1"/>
  <c r="CD75" i="52"/>
  <c r="CF75" i="52" s="1"/>
  <c r="BG75" i="52" s="1"/>
  <c r="CD77" i="52"/>
  <c r="CF77" i="52" s="1"/>
  <c r="BG77" i="52" s="1"/>
  <c r="CD79" i="52"/>
  <c r="CF79" i="52" s="1"/>
  <c r="BG79" i="52" s="1"/>
  <c r="CD81" i="52"/>
  <c r="CF81" i="52" s="1"/>
  <c r="BK81" i="52" s="1"/>
  <c r="CD83" i="52"/>
  <c r="CF83" i="52" s="1"/>
  <c r="BG83" i="52" s="1"/>
  <c r="CD85" i="52"/>
  <c r="CF85" i="52" s="1"/>
  <c r="BG85" i="52" s="1"/>
  <c r="CD86" i="52"/>
  <c r="CF86" i="52" s="1"/>
  <c r="BK86" i="52" s="1"/>
  <c r="CD88" i="52"/>
  <c r="CF88" i="52" s="1"/>
  <c r="BK88" i="52" s="1"/>
  <c r="CD90" i="52"/>
  <c r="CF90" i="52" s="1"/>
  <c r="BK90" i="52" s="1"/>
  <c r="CD92" i="52"/>
  <c r="CF92" i="52" s="1"/>
  <c r="BG92" i="52" s="1"/>
  <c r="CD94" i="52"/>
  <c r="CF94" i="52" s="1"/>
  <c r="BK94" i="52" s="1"/>
  <c r="CD96" i="52"/>
  <c r="CF96" i="52" s="1"/>
  <c r="BK96" i="52" s="1"/>
  <c r="CD98" i="52"/>
  <c r="CF98" i="52" s="1"/>
  <c r="BK98" i="52" s="1"/>
  <c r="CD100" i="52"/>
  <c r="CF100" i="52" s="1"/>
  <c r="BG100" i="52" s="1"/>
  <c r="AK281" i="52"/>
  <c r="AG233" i="52"/>
  <c r="CD181" i="52"/>
  <c r="CF181" i="52" s="1"/>
  <c r="BJ181" i="52" s="1"/>
  <c r="CD182" i="52"/>
  <c r="CF182" i="52" s="1"/>
  <c r="AY182" i="52" s="1"/>
  <c r="CD183" i="52"/>
  <c r="CF183" i="52" s="1"/>
  <c r="BJ183" i="52" s="1"/>
  <c r="CD184" i="52"/>
  <c r="CF184" i="52" s="1"/>
  <c r="AY184" i="52" s="1"/>
  <c r="CD185" i="52"/>
  <c r="CF185" i="52" s="1"/>
  <c r="BJ185" i="52" s="1"/>
  <c r="CD186" i="52"/>
  <c r="CF186" i="52" s="1"/>
  <c r="AY186" i="52" s="1"/>
  <c r="CD187" i="52"/>
  <c r="CF187" i="52" s="1"/>
  <c r="BJ187" i="52" s="1"/>
  <c r="CD188" i="52"/>
  <c r="CF188" i="52" s="1"/>
  <c r="AY188" i="52" s="1"/>
  <c r="CD190" i="52"/>
  <c r="CF190" i="52" s="1"/>
  <c r="CD74" i="52"/>
  <c r="CF74" i="52" s="1"/>
  <c r="CD76" i="52"/>
  <c r="CF76" i="52" s="1"/>
  <c r="CD78" i="52"/>
  <c r="CF78" i="52" s="1"/>
  <c r="CD80" i="52"/>
  <c r="CF80" i="52" s="1"/>
  <c r="CD82" i="52"/>
  <c r="CF82" i="52" s="1"/>
  <c r="CD84" i="52"/>
  <c r="CF84" i="52" s="1"/>
  <c r="CD87" i="52"/>
  <c r="CF87" i="52" s="1"/>
  <c r="CD89" i="52"/>
  <c r="CF89" i="52" s="1"/>
  <c r="CD91" i="52"/>
  <c r="CF91" i="52" s="1"/>
  <c r="CD93" i="52"/>
  <c r="CF93" i="52" s="1"/>
  <c r="CD95" i="52"/>
  <c r="CF95" i="52" s="1"/>
  <c r="CD97" i="52"/>
  <c r="CF97" i="52" s="1"/>
  <c r="CD99" i="52"/>
  <c r="CF99" i="52" s="1"/>
  <c r="CD101" i="52"/>
  <c r="CF101" i="52" s="1"/>
  <c r="CD126" i="52"/>
  <c r="CF126" i="52" s="1"/>
  <c r="BK126" i="52" s="1"/>
  <c r="CD28" i="52"/>
  <c r="CF28" i="52" s="1"/>
  <c r="BK28" i="52" s="1"/>
  <c r="CD30" i="52"/>
  <c r="CF30" i="52" s="1"/>
  <c r="BK30" i="52" s="1"/>
  <c r="CD128" i="52"/>
  <c r="CF128" i="52" s="1"/>
  <c r="CD130" i="52"/>
  <c r="CF130" i="52" s="1"/>
  <c r="CD132" i="52"/>
  <c r="CF132" i="52" s="1"/>
  <c r="CD134" i="52"/>
  <c r="CF134" i="52" s="1"/>
  <c r="CD20" i="52"/>
  <c r="CF20" i="52" s="1"/>
  <c r="CD22" i="52"/>
  <c r="CF22" i="52" s="1"/>
  <c r="CD24" i="52"/>
  <c r="CF24" i="52" s="1"/>
  <c r="BF67" i="52"/>
  <c r="CD125" i="52"/>
  <c r="CF125" i="52" s="1"/>
  <c r="CD127" i="52"/>
  <c r="CF127" i="52" s="1"/>
  <c r="CD129" i="52"/>
  <c r="CF129" i="52" s="1"/>
  <c r="CD131" i="52"/>
  <c r="CF131" i="52" s="1"/>
  <c r="CD133" i="52"/>
  <c r="CF133" i="52" s="1"/>
  <c r="CD135" i="52"/>
  <c r="CF135" i="52" s="1"/>
  <c r="CD19" i="52"/>
  <c r="CF19" i="52" s="1"/>
  <c r="CD21" i="52"/>
  <c r="CF21" i="52" s="1"/>
  <c r="CD23" i="52"/>
  <c r="CF23" i="52" s="1"/>
  <c r="CD25" i="52"/>
  <c r="CF25" i="52" s="1"/>
  <c r="CD27" i="52"/>
  <c r="CF27" i="52" s="1"/>
  <c r="CD29" i="52"/>
  <c r="CF29" i="52" s="1"/>
  <c r="CD31" i="52"/>
  <c r="CF31" i="52" s="1"/>
  <c r="BK56" i="52"/>
  <c r="BI56" i="52"/>
  <c r="BG56" i="52"/>
  <c r="BE56" i="52"/>
  <c r="BA56" i="52"/>
  <c r="AY56" i="52"/>
  <c r="BJ56" i="52"/>
  <c r="BH56" i="52"/>
  <c r="BF56" i="52"/>
  <c r="BD56" i="52"/>
  <c r="AZ56" i="52"/>
  <c r="CG64" i="52"/>
  <c r="AS65" i="52"/>
  <c r="AN66" i="52"/>
  <c r="BK72" i="52"/>
  <c r="BI72" i="52"/>
  <c r="BG72" i="52"/>
  <c r="BE72" i="52"/>
  <c r="BA72" i="52"/>
  <c r="AY72" i="52"/>
  <c r="BJ72" i="52"/>
  <c r="BH72" i="52"/>
  <c r="BF72" i="52"/>
  <c r="BD72" i="52"/>
  <c r="AZ72" i="52"/>
  <c r="AX56" i="52"/>
  <c r="AX67" i="52"/>
  <c r="AX72" i="52"/>
  <c r="CD252" i="52"/>
  <c r="CF252" i="52" s="1"/>
  <c r="BE252" i="52" s="1"/>
  <c r="CD254" i="52"/>
  <c r="CF254" i="52" s="1"/>
  <c r="CD256" i="52"/>
  <c r="CF256" i="52" s="1"/>
  <c r="BE256" i="52" s="1"/>
  <c r="CD258" i="52"/>
  <c r="CF258" i="52" s="1"/>
  <c r="BE258" i="52" s="1"/>
  <c r="CD250" i="52"/>
  <c r="CF250" i="52" s="1"/>
  <c r="BK250" i="52" s="1"/>
  <c r="CD249" i="52"/>
  <c r="CF249" i="52" s="1"/>
  <c r="CD251" i="52"/>
  <c r="CF251" i="52" s="1"/>
  <c r="CD253" i="52"/>
  <c r="CF253" i="52" s="1"/>
  <c r="CD255" i="52"/>
  <c r="CF255" i="52" s="1"/>
  <c r="AX255" i="52" s="1"/>
  <c r="CD257" i="52"/>
  <c r="CF257" i="52" s="1"/>
  <c r="CD259" i="52"/>
  <c r="CF259" i="52" s="1"/>
  <c r="CD262" i="52"/>
  <c r="CF262" i="52" s="1"/>
  <c r="AI162" i="52" l="1"/>
  <c r="AM170" i="52"/>
  <c r="BH198" i="52"/>
  <c r="BA194" i="52"/>
  <c r="AM261" i="52"/>
  <c r="AZ71" i="52"/>
  <c r="BA261" i="52"/>
  <c r="AR261" i="52"/>
  <c r="BG217" i="52"/>
  <c r="BK245" i="52"/>
  <c r="BE65" i="52"/>
  <c r="BG54" i="52"/>
  <c r="CG226" i="52"/>
  <c r="CG222" i="52"/>
  <c r="CG218" i="52"/>
  <c r="AZ70" i="52"/>
  <c r="AZ63" i="52"/>
  <c r="BG263" i="52"/>
  <c r="AJ218" i="52"/>
  <c r="AY263" i="52"/>
  <c r="BE198" i="52"/>
  <c r="BF243" i="52"/>
  <c r="AN248" i="52"/>
  <c r="AI66" i="52"/>
  <c r="BG52" i="52"/>
  <c r="BK55" i="52"/>
  <c r="AG248" i="52"/>
  <c r="AQ66" i="52"/>
  <c r="BG264" i="52"/>
  <c r="BK202" i="52"/>
  <c r="AY16" i="52"/>
  <c r="BI40" i="52"/>
  <c r="BJ68" i="52"/>
  <c r="BD64" i="52"/>
  <c r="BF36" i="52"/>
  <c r="AI118" i="52"/>
  <c r="BA206" i="52"/>
  <c r="AG61" i="52"/>
  <c r="AJ172" i="52"/>
  <c r="BH248" i="52"/>
  <c r="BD4" i="52"/>
  <c r="AK59" i="52"/>
  <c r="BG66" i="52"/>
  <c r="BI264" i="52"/>
  <c r="BI263" i="52"/>
  <c r="AS230" i="52"/>
  <c r="AM275" i="52"/>
  <c r="BH264" i="52"/>
  <c r="BH263" i="52"/>
  <c r="AY194" i="52"/>
  <c r="BJ203" i="52"/>
  <c r="BH48" i="52"/>
  <c r="BA247" i="52"/>
  <c r="BG198" i="52"/>
  <c r="BO198" i="52" s="1"/>
  <c r="BJ198" i="52"/>
  <c r="BD46" i="52"/>
  <c r="AK214" i="52"/>
  <c r="AY73" i="52"/>
  <c r="AI178" i="52"/>
  <c r="AK230" i="52"/>
  <c r="AM178" i="52"/>
  <c r="BK264" i="52"/>
  <c r="BK263" i="52"/>
  <c r="BG272" i="52"/>
  <c r="BD264" i="52"/>
  <c r="AZ263" i="52"/>
  <c r="BN263" i="52" s="1"/>
  <c r="BH45" i="52"/>
  <c r="AX198" i="52"/>
  <c r="AX194" i="52"/>
  <c r="BH46" i="52"/>
  <c r="AQ260" i="52"/>
  <c r="AK266" i="52"/>
  <c r="AS63" i="52"/>
  <c r="AI170" i="52"/>
  <c r="BE264" i="52"/>
  <c r="BE263" i="52"/>
  <c r="AH37" i="52"/>
  <c r="AR162" i="52"/>
  <c r="BF215" i="52"/>
  <c r="BA263" i="52"/>
  <c r="AX46" i="52"/>
  <c r="AM198" i="52"/>
  <c r="AR154" i="52"/>
  <c r="AZ198" i="52"/>
  <c r="BD194" i="52"/>
  <c r="BI46" i="52"/>
  <c r="BA264" i="52"/>
  <c r="AZ264" i="52"/>
  <c r="BD263" i="52"/>
  <c r="AY198" i="52"/>
  <c r="BA198" i="52"/>
  <c r="BI198" i="52"/>
  <c r="BD198" i="52"/>
  <c r="BE194" i="52"/>
  <c r="BH194" i="52"/>
  <c r="AY46" i="52"/>
  <c r="BE38" i="52"/>
  <c r="BI34" i="52"/>
  <c r="BK198" i="52"/>
  <c r="BF247" i="52"/>
  <c r="BA260" i="52"/>
  <c r="BD261" i="52"/>
  <c r="AY68" i="52"/>
  <c r="AO61" i="52"/>
  <c r="BK62" i="52"/>
  <c r="BD53" i="52"/>
  <c r="AI160" i="52"/>
  <c r="AM224" i="52"/>
  <c r="AN277" i="52"/>
  <c r="AN168" i="52"/>
  <c r="AR208" i="52"/>
  <c r="AY110" i="52"/>
  <c r="BE200" i="52"/>
  <c r="AK264" i="52"/>
  <c r="AZ68" i="52"/>
  <c r="BG68" i="52"/>
  <c r="AY69" i="52"/>
  <c r="BF62" i="52"/>
  <c r="AN220" i="52"/>
  <c r="AG152" i="52"/>
  <c r="BA214" i="52"/>
  <c r="BK139" i="52"/>
  <c r="BK200" i="52"/>
  <c r="BD68" i="52"/>
  <c r="BI68" i="52"/>
  <c r="AK65" i="52"/>
  <c r="AL61" i="52"/>
  <c r="AZ52" i="52"/>
  <c r="BI69" i="52"/>
  <c r="BJ59" i="52"/>
  <c r="AJ137" i="52"/>
  <c r="AZ206" i="52"/>
  <c r="BD49" i="52"/>
  <c r="AJ261" i="52"/>
  <c r="AS261" i="52"/>
  <c r="BA248" i="52"/>
  <c r="AH60" i="52"/>
  <c r="AL60" i="52"/>
  <c r="BA58" i="52"/>
  <c r="BA67" i="52"/>
  <c r="AX65" i="52"/>
  <c r="AI168" i="52"/>
  <c r="AI156" i="52"/>
  <c r="BI266" i="52"/>
  <c r="AM164" i="52"/>
  <c r="AR227" i="52"/>
  <c r="BI269" i="52"/>
  <c r="BK205" i="52"/>
  <c r="BA34" i="52"/>
  <c r="AY109" i="52"/>
  <c r="BF200" i="52"/>
  <c r="BD196" i="52"/>
  <c r="BI49" i="52"/>
  <c r="AX38" i="52"/>
  <c r="BI38" i="52"/>
  <c r="BD34" i="52"/>
  <c r="AZ109" i="52"/>
  <c r="AZ245" i="52"/>
  <c r="AG251" i="52"/>
  <c r="AR64" i="52"/>
  <c r="AK60" i="52"/>
  <c r="BK67" i="52"/>
  <c r="BH65" i="52"/>
  <c r="BE26" i="52"/>
  <c r="AI176" i="52"/>
  <c r="AI164" i="52"/>
  <c r="AK276" i="52"/>
  <c r="AQ176" i="52"/>
  <c r="BH266" i="52"/>
  <c r="AX49" i="52"/>
  <c r="AY34" i="52"/>
  <c r="BH200" i="52"/>
  <c r="BD38" i="52"/>
  <c r="BH34" i="52"/>
  <c r="BJ109" i="52"/>
  <c r="BG245" i="52"/>
  <c r="CG248" i="52"/>
  <c r="AM64" i="52"/>
  <c r="AX60" i="52"/>
  <c r="AG134" i="52"/>
  <c r="AI172" i="52"/>
  <c r="AR176" i="52"/>
  <c r="AL156" i="52"/>
  <c r="AN276" i="52"/>
  <c r="AQ219" i="52"/>
  <c r="BA38" i="52"/>
  <c r="BI137" i="52"/>
  <c r="AP260" i="52"/>
  <c r="AY63" i="52"/>
  <c r="BJ70" i="52"/>
  <c r="AS59" i="52"/>
  <c r="BI73" i="52"/>
  <c r="AZ66" i="52"/>
  <c r="BJ63" i="52"/>
  <c r="AK279" i="52"/>
  <c r="AS167" i="52"/>
  <c r="AQ222" i="52"/>
  <c r="AN179" i="52"/>
  <c r="AZ272" i="52"/>
  <c r="BK272" i="52"/>
  <c r="AG266" i="52"/>
  <c r="AY48" i="52"/>
  <c r="BA243" i="52"/>
  <c r="BJ247" i="52"/>
  <c r="BJ243" i="52"/>
  <c r="BG70" i="52"/>
  <c r="BA66" i="52"/>
  <c r="AL63" i="52"/>
  <c r="AZ54" i="52"/>
  <c r="BJ66" i="52"/>
  <c r="BH57" i="52"/>
  <c r="AG180" i="52"/>
  <c r="AG231" i="52"/>
  <c r="AO180" i="52"/>
  <c r="AH167" i="52"/>
  <c r="AS163" i="52"/>
  <c r="AS159" i="52"/>
  <c r="AS235" i="52"/>
  <c r="AR222" i="52"/>
  <c r="AQ279" i="52"/>
  <c r="AN171" i="52"/>
  <c r="BF272" i="52"/>
  <c r="AX48" i="52"/>
  <c r="CG194" i="52"/>
  <c r="BE48" i="52"/>
  <c r="AQ146" i="52"/>
  <c r="AZ17" i="52"/>
  <c r="BG247" i="52"/>
  <c r="BI243" i="52"/>
  <c r="AK260" i="52"/>
  <c r="AH59" i="52"/>
  <c r="AK63" i="52"/>
  <c r="AL59" i="52"/>
  <c r="BJ54" i="52"/>
  <c r="BD73" i="52"/>
  <c r="BG63" i="52"/>
  <c r="BE57" i="52"/>
  <c r="AG275" i="52"/>
  <c r="CG275" i="52"/>
  <c r="AL180" i="52"/>
  <c r="AP167" i="52"/>
  <c r="AH163" i="52"/>
  <c r="AH159" i="52"/>
  <c r="AH235" i="52"/>
  <c r="AS231" i="52"/>
  <c r="AJ226" i="52"/>
  <c r="AR279" i="52"/>
  <c r="AI154" i="52"/>
  <c r="AM175" i="52"/>
  <c r="BJ272" i="52"/>
  <c r="BD48" i="52"/>
  <c r="BI48" i="52"/>
  <c r="AZ247" i="52"/>
  <c r="BK247" i="52"/>
  <c r="AZ243" i="52"/>
  <c r="CG200" i="52"/>
  <c r="AU72" i="48"/>
  <c r="BG72" i="48"/>
  <c r="AV72" i="48"/>
  <c r="BA72" i="48"/>
  <c r="CG72" i="48"/>
  <c r="BC72" i="48"/>
  <c r="AM41" i="48"/>
  <c r="AE41" i="48"/>
  <c r="AD41" i="48"/>
  <c r="AH41" i="48"/>
  <c r="AI41" i="48"/>
  <c r="AT33" i="48"/>
  <c r="BG33" i="48"/>
  <c r="AU33" i="48"/>
  <c r="AV33" i="48"/>
  <c r="BJ33" i="48" s="1"/>
  <c r="BB33" i="48"/>
  <c r="CG33" i="48"/>
  <c r="BC426" i="48"/>
  <c r="BG410" i="48"/>
  <c r="AU410" i="48"/>
  <c r="BB405" i="48"/>
  <c r="AZ421" i="48"/>
  <c r="CG410" i="48"/>
  <c r="AZ389" i="48"/>
  <c r="AZ373" i="48"/>
  <c r="AD437" i="48"/>
  <c r="AE437" i="48"/>
  <c r="AQ437" i="48" s="1"/>
  <c r="AM437" i="48"/>
  <c r="BG421" i="48"/>
  <c r="AV421" i="48"/>
  <c r="CG405" i="48"/>
  <c r="AD381" i="48"/>
  <c r="AE381" i="48"/>
  <c r="AM381" i="48"/>
  <c r="BA366" i="48"/>
  <c r="AN429" i="48"/>
  <c r="AC429" i="48"/>
  <c r="AK429" i="48"/>
  <c r="AT378" i="48"/>
  <c r="AT296" i="48"/>
  <c r="AT257" i="48"/>
  <c r="AV249" i="48"/>
  <c r="AT205" i="48"/>
  <c r="BJ205" i="48" s="1"/>
  <c r="AT167" i="48"/>
  <c r="BE227" i="48"/>
  <c r="AC116" i="48"/>
  <c r="AO116" i="48"/>
  <c r="AK53" i="48"/>
  <c r="AG41" i="48"/>
  <c r="BD31" i="48"/>
  <c r="BE72" i="48"/>
  <c r="AV204" i="48"/>
  <c r="AU204" i="48"/>
  <c r="AW188" i="48"/>
  <c r="AT188" i="48"/>
  <c r="BJ188" i="48" s="1"/>
  <c r="BA188" i="48"/>
  <c r="BC188" i="48"/>
  <c r="AZ177" i="48"/>
  <c r="CG177" i="48"/>
  <c r="BA154" i="48"/>
  <c r="AV154" i="48"/>
  <c r="AU154" i="48"/>
  <c r="BG154" i="48"/>
  <c r="AW154" i="48"/>
  <c r="AT147" i="48"/>
  <c r="BE147" i="48"/>
  <c r="AV129" i="48"/>
  <c r="BJ129" i="48" s="1"/>
  <c r="BD129" i="48"/>
  <c r="AT121" i="48"/>
  <c r="BG121" i="48"/>
  <c r="BF121" i="48"/>
  <c r="AW121" i="48"/>
  <c r="AT103" i="48"/>
  <c r="BE103" i="48"/>
  <c r="AU103" i="48"/>
  <c r="BF103" i="48"/>
  <c r="AW96" i="48"/>
  <c r="BF96" i="48"/>
  <c r="BA96" i="48"/>
  <c r="AN89" i="48"/>
  <c r="CG89" i="48"/>
  <c r="AT83" i="48"/>
  <c r="BE83" i="48"/>
  <c r="AU83" i="48"/>
  <c r="BC76" i="48"/>
  <c r="AU76" i="48"/>
  <c r="BB76" i="48"/>
  <c r="BG76" i="48"/>
  <c r="AN69" i="48"/>
  <c r="AM69" i="48"/>
  <c r="AE69" i="48"/>
  <c r="AQ69" i="48" s="1"/>
  <c r="AU62" i="48"/>
  <c r="BE62" i="48"/>
  <c r="BG62" i="48"/>
  <c r="BD23" i="48"/>
  <c r="BK23" i="48" s="1"/>
  <c r="AT23" i="48"/>
  <c r="AN14" i="48"/>
  <c r="AG14" i="48"/>
  <c r="BK473" i="48"/>
  <c r="BA241" i="48"/>
  <c r="AU60" i="48"/>
  <c r="BC60" i="48"/>
  <c r="BG48" i="48"/>
  <c r="AU48" i="48"/>
  <c r="AT25" i="48"/>
  <c r="AU25" i="48"/>
  <c r="BB25" i="48"/>
  <c r="BA25" i="48"/>
  <c r="BF25" i="48"/>
  <c r="AV25" i="48"/>
  <c r="BG426" i="48"/>
  <c r="AU426" i="48"/>
  <c r="BC410" i="48"/>
  <c r="BF405" i="48"/>
  <c r="BD421" i="48"/>
  <c r="BD389" i="48"/>
  <c r="BD373" i="48"/>
  <c r="AF437" i="48"/>
  <c r="AL437" i="48"/>
  <c r="AI437" i="48"/>
  <c r="CG437" i="48"/>
  <c r="BE421" i="48"/>
  <c r="AL381" i="48"/>
  <c r="AI381" i="48"/>
  <c r="CG381" i="48"/>
  <c r="AH429" i="48"/>
  <c r="AG429" i="48"/>
  <c r="AO429" i="48"/>
  <c r="BA405" i="48"/>
  <c r="AV389" i="48"/>
  <c r="AV373" i="48"/>
  <c r="AV245" i="48"/>
  <c r="AV241" i="48"/>
  <c r="BA304" i="48"/>
  <c r="BC155" i="48"/>
  <c r="BG188" i="48"/>
  <c r="BG128" i="48"/>
  <c r="BC128" i="48"/>
  <c r="AO41" i="48"/>
  <c r="CG25" i="48"/>
  <c r="BB121" i="48"/>
  <c r="BF33" i="48"/>
  <c r="AI89" i="48"/>
  <c r="BA129" i="48"/>
  <c r="AF118" i="48"/>
  <c r="AN118" i="48"/>
  <c r="AE118" i="48"/>
  <c r="CG53" i="48"/>
  <c r="AI53" i="48"/>
  <c r="AM53" i="48"/>
  <c r="AE53" i="48"/>
  <c r="BC31" i="48"/>
  <c r="BB31" i="48"/>
  <c r="AW31" i="48"/>
  <c r="AZ31" i="48"/>
  <c r="AT31" i="48"/>
  <c r="BF31" i="48"/>
  <c r="AO457" i="48"/>
  <c r="AK438" i="48"/>
  <c r="BE426" i="48"/>
  <c r="BD405" i="48"/>
  <c r="BB421" i="48"/>
  <c r="AN437" i="48"/>
  <c r="AC437" i="48"/>
  <c r="AK437" i="48"/>
  <c r="AT421" i="48"/>
  <c r="AC381" i="48"/>
  <c r="AF429" i="48"/>
  <c r="AL429" i="48"/>
  <c r="AI429" i="48"/>
  <c r="CG429" i="48"/>
  <c r="AG424" i="48"/>
  <c r="AT245" i="48"/>
  <c r="AV296" i="48"/>
  <c r="BJ296" i="48" s="1"/>
  <c r="AC264" i="48"/>
  <c r="AT241" i="48"/>
  <c r="AT189" i="48"/>
  <c r="AC179" i="48"/>
  <c r="AV304" i="48"/>
  <c r="AC155" i="48"/>
  <c r="AG53" i="48"/>
  <c r="AC41" i="48"/>
  <c r="AQ41" i="48" s="1"/>
  <c r="BE33" i="48"/>
  <c r="AC138" i="48"/>
  <c r="AL138" i="48"/>
  <c r="AD138" i="48"/>
  <c r="AJ138" i="48"/>
  <c r="AM138" i="48"/>
  <c r="AH138" i="48"/>
  <c r="AI138" i="48"/>
  <c r="AH84" i="48"/>
  <c r="AL84" i="48"/>
  <c r="AE84" i="48"/>
  <c r="AD84" i="48"/>
  <c r="AI84" i="48"/>
  <c r="AM84" i="48"/>
  <c r="CG84" i="48"/>
  <c r="AN68" i="48"/>
  <c r="AL68" i="48"/>
  <c r="AE68" i="48"/>
  <c r="AH68" i="48"/>
  <c r="AI68" i="48"/>
  <c r="AP68" i="48" s="1"/>
  <c r="AY68" i="48" s="1"/>
  <c r="AX68" i="48" s="1"/>
  <c r="AN182" i="48"/>
  <c r="AC182" i="48"/>
  <c r="AK182" i="48"/>
  <c r="CG174" i="48"/>
  <c r="BC144" i="48"/>
  <c r="AT116" i="48"/>
  <c r="AD64" i="48"/>
  <c r="AL64" i="48"/>
  <c r="BO64" i="48" s="1"/>
  <c r="AF52" i="48"/>
  <c r="AN52" i="48"/>
  <c r="BA44" i="48"/>
  <c r="AJ36" i="48"/>
  <c r="AI25" i="48"/>
  <c r="AU210" i="48"/>
  <c r="AV210" i="48"/>
  <c r="CG142" i="48"/>
  <c r="AJ142" i="48"/>
  <c r="AD127" i="48"/>
  <c r="AE127" i="48"/>
  <c r="AM127" i="48"/>
  <c r="AC119" i="48"/>
  <c r="AK119" i="48"/>
  <c r="BB117" i="48"/>
  <c r="BB102" i="48"/>
  <c r="AQ100" i="48"/>
  <c r="AD95" i="48"/>
  <c r="BA102" i="48"/>
  <c r="AG95" i="48"/>
  <c r="AO95" i="48"/>
  <c r="BG82" i="48"/>
  <c r="AU82" i="48"/>
  <c r="BB75" i="48"/>
  <c r="BA42" i="48"/>
  <c r="BG117" i="48"/>
  <c r="BE117" i="48"/>
  <c r="AU75" i="48"/>
  <c r="BE75" i="48"/>
  <c r="AZ21" i="48"/>
  <c r="AO16" i="48"/>
  <c r="AU11" i="48"/>
  <c r="AN6" i="48"/>
  <c r="AZ473" i="48"/>
  <c r="BB444" i="48"/>
  <c r="AC426" i="48"/>
  <c r="AC410" i="48"/>
  <c r="AQ410" i="48" s="1"/>
  <c r="AF25" i="48"/>
  <c r="AN119" i="48"/>
  <c r="BD473" i="48"/>
  <c r="AZ42" i="48"/>
  <c r="AV42" i="48"/>
  <c r="AE142" i="48"/>
  <c r="AD142" i="48"/>
  <c r="AL142" i="48"/>
  <c r="AH127" i="48"/>
  <c r="AG127" i="48"/>
  <c r="AO127" i="48"/>
  <c r="AD119" i="48"/>
  <c r="AE119" i="48"/>
  <c r="AM119" i="48"/>
  <c r="AZ117" i="48"/>
  <c r="AT102" i="48"/>
  <c r="BF82" i="48"/>
  <c r="BF42" i="48"/>
  <c r="BG102" i="48"/>
  <c r="AU102" i="48"/>
  <c r="AI95" i="48"/>
  <c r="CG95" i="48"/>
  <c r="BE82" i="48"/>
  <c r="AW82" i="48"/>
  <c r="AZ75" i="48"/>
  <c r="AU42" i="48"/>
  <c r="AU117" i="48"/>
  <c r="AT117" i="48"/>
  <c r="BC75" i="48"/>
  <c r="AT75" i="48"/>
  <c r="AF6" i="48"/>
  <c r="AI2" i="48"/>
  <c r="AT473" i="48"/>
  <c r="AU309" i="48"/>
  <c r="AG426" i="48"/>
  <c r="AK410" i="48"/>
  <c r="AO142" i="48"/>
  <c r="AJ119" i="48"/>
  <c r="AH64" i="48"/>
  <c r="BN61" i="48"/>
  <c r="AW44" i="48"/>
  <c r="AF36" i="48"/>
  <c r="AC25" i="48"/>
  <c r="AQ25" i="48" s="1"/>
  <c r="AI142" i="48"/>
  <c r="AF142" i="48"/>
  <c r="AL127" i="48"/>
  <c r="AI127" i="48"/>
  <c r="CG127" i="48"/>
  <c r="AH119" i="48"/>
  <c r="AG119" i="48"/>
  <c r="BF117" i="48"/>
  <c r="AW117" i="48"/>
  <c r="AL95" i="48"/>
  <c r="BB82" i="48"/>
  <c r="BB42" i="48"/>
  <c r="BE102" i="48"/>
  <c r="AW102" i="48"/>
  <c r="AC95" i="48"/>
  <c r="AK95" i="48"/>
  <c r="BO95" i="48" s="1"/>
  <c r="BC82" i="48"/>
  <c r="BF75" i="48"/>
  <c r="AW42" i="48"/>
  <c r="BC117" i="48"/>
  <c r="BK117" i="48" s="1"/>
  <c r="BG75" i="48"/>
  <c r="BB473" i="48"/>
  <c r="AT444" i="48"/>
  <c r="CG229" i="48"/>
  <c r="CG454" i="48"/>
  <c r="BE386" i="48"/>
  <c r="AV386" i="48"/>
  <c r="AG92" i="48"/>
  <c r="AH92" i="48"/>
  <c r="AI92" i="48"/>
  <c r="AN92" i="48"/>
  <c r="AF92" i="48"/>
  <c r="AL92" i="48"/>
  <c r="AD92" i="48"/>
  <c r="CG92" i="48"/>
  <c r="AE92" i="48"/>
  <c r="AM92" i="48"/>
  <c r="AJ92" i="48"/>
  <c r="AW126" i="48"/>
  <c r="BE126" i="48"/>
  <c r="BE407" i="48"/>
  <c r="BG407" i="48"/>
  <c r="AW407" i="48"/>
  <c r="BC407" i="48"/>
  <c r="BK407" i="48" s="1"/>
  <c r="AV407" i="48"/>
  <c r="AU407" i="48"/>
  <c r="BA293" i="48"/>
  <c r="AZ293" i="48"/>
  <c r="AV293" i="48"/>
  <c r="BG293" i="48"/>
  <c r="BB293" i="48"/>
  <c r="AT293" i="48"/>
  <c r="BJ293" i="48" s="1"/>
  <c r="BD293" i="48"/>
  <c r="AO187" i="48"/>
  <c r="AK187" i="48"/>
  <c r="AN187" i="48"/>
  <c r="AF187" i="48"/>
  <c r="AI187" i="48"/>
  <c r="AL187" i="48"/>
  <c r="AD187" i="48"/>
  <c r="AE187" i="48"/>
  <c r="AJ187" i="48"/>
  <c r="CG187" i="48"/>
  <c r="AV41" i="48"/>
  <c r="AU41" i="48"/>
  <c r="BD41" i="48"/>
  <c r="AT41" i="48"/>
  <c r="BE41" i="48"/>
  <c r="BF41" i="48"/>
  <c r="BG41" i="48"/>
  <c r="BA41" i="48"/>
  <c r="AZ41" i="48"/>
  <c r="BC41" i="48"/>
  <c r="BB41" i="48"/>
  <c r="BG468" i="48"/>
  <c r="AZ445" i="48"/>
  <c r="AZ423" i="48"/>
  <c r="BB407" i="48"/>
  <c r="AU445" i="48"/>
  <c r="AV445" i="48"/>
  <c r="BJ445" i="48" s="1"/>
  <c r="AL389" i="48"/>
  <c r="BA362" i="48"/>
  <c r="AT362" i="48"/>
  <c r="BF283" i="48"/>
  <c r="AT407" i="48"/>
  <c r="AG390" i="48"/>
  <c r="AM390" i="48"/>
  <c r="AK300" i="48"/>
  <c r="AC300" i="48"/>
  <c r="AE300" i="48"/>
  <c r="AC296" i="48"/>
  <c r="AE296" i="48"/>
  <c r="AC237" i="48"/>
  <c r="AE237" i="48"/>
  <c r="CG41" i="48"/>
  <c r="BA471" i="48"/>
  <c r="CG471" i="48"/>
  <c r="AJ445" i="48"/>
  <c r="AK445" i="48"/>
  <c r="AC445" i="48"/>
  <c r="AP445" i="48" s="1"/>
  <c r="AY445" i="48" s="1"/>
  <c r="AN445" i="48"/>
  <c r="AK440" i="48"/>
  <c r="AL440" i="48"/>
  <c r="AD440" i="48"/>
  <c r="AP440" i="48" s="1"/>
  <c r="AY440" i="48" s="1"/>
  <c r="AE440" i="48"/>
  <c r="BC433" i="48"/>
  <c r="AV433" i="48"/>
  <c r="AU433" i="48"/>
  <c r="BA433" i="48"/>
  <c r="AT433" i="48"/>
  <c r="BE433" i="48"/>
  <c r="BC427" i="48"/>
  <c r="BK427" i="48" s="1"/>
  <c r="AV427" i="48"/>
  <c r="AU427" i="48"/>
  <c r="AT427" i="48"/>
  <c r="BE427" i="48"/>
  <c r="AJ393" i="48"/>
  <c r="AM393" i="48"/>
  <c r="AE393" i="48"/>
  <c r="AD393" i="48"/>
  <c r="AK393" i="48"/>
  <c r="AC393" i="48"/>
  <c r="AN393" i="48"/>
  <c r="CG393" i="48"/>
  <c r="AI393" i="48"/>
  <c r="AL393" i="48"/>
  <c r="AF393" i="48"/>
  <c r="AU383" i="48"/>
  <c r="BA383" i="48"/>
  <c r="BB383" i="48"/>
  <c r="AV383" i="48"/>
  <c r="BG383" i="48"/>
  <c r="BD383" i="48"/>
  <c r="AT383" i="48"/>
  <c r="BC383" i="48"/>
  <c r="AW383" i="48"/>
  <c r="BF383" i="48"/>
  <c r="BC377" i="48"/>
  <c r="AW377" i="48"/>
  <c r="AV377" i="48"/>
  <c r="AU377" i="48"/>
  <c r="CG377" i="48"/>
  <c r="AT377" i="48"/>
  <c r="BA377" i="48"/>
  <c r="AV404" i="48"/>
  <c r="CG404" i="48"/>
  <c r="CG266" i="48"/>
  <c r="BC266" i="48"/>
  <c r="AW266" i="48"/>
  <c r="BE266" i="48"/>
  <c r="AU266" i="48"/>
  <c r="BG266" i="48"/>
  <c r="BC260" i="48"/>
  <c r="CG260" i="48"/>
  <c r="AW260" i="48"/>
  <c r="BE260" i="48"/>
  <c r="AU260" i="48"/>
  <c r="BG260" i="48"/>
  <c r="BB256" i="48"/>
  <c r="BF256" i="48"/>
  <c r="AV256" i="48"/>
  <c r="BB251" i="48"/>
  <c r="BE251" i="48"/>
  <c r="AW251" i="48"/>
  <c r="AU246" i="48"/>
  <c r="BG246" i="48"/>
  <c r="BB246" i="48"/>
  <c r="BF246" i="48"/>
  <c r="AV246" i="48"/>
  <c r="BA238" i="48"/>
  <c r="BF238" i="48"/>
  <c r="AW238" i="48"/>
  <c r="AL233" i="48"/>
  <c r="AD233" i="48"/>
  <c r="AE233" i="48"/>
  <c r="AJ233" i="48"/>
  <c r="CG233" i="48"/>
  <c r="AH233" i="48"/>
  <c r="AM233" i="48"/>
  <c r="BA229" i="48"/>
  <c r="BC229" i="48"/>
  <c r="AW229" i="48"/>
  <c r="BE229" i="48"/>
  <c r="AU224" i="48"/>
  <c r="BE224" i="48"/>
  <c r="AZ224" i="48"/>
  <c r="BA224" i="48"/>
  <c r="BB224" i="48"/>
  <c r="AV224" i="48"/>
  <c r="BG224" i="48"/>
  <c r="BD224" i="48"/>
  <c r="AG322" i="48"/>
  <c r="AE322" i="48"/>
  <c r="AV114" i="48"/>
  <c r="BC114" i="48"/>
  <c r="AW114" i="48"/>
  <c r="BE114" i="48"/>
  <c r="AU114" i="48"/>
  <c r="BG114" i="48"/>
  <c r="AV423" i="48"/>
  <c r="BJ423" i="48" s="1"/>
  <c r="AU423" i="48"/>
  <c r="AT423" i="48"/>
  <c r="BA423" i="48"/>
  <c r="BG423" i="48"/>
  <c r="AW423" i="48"/>
  <c r="AJ357" i="48"/>
  <c r="CG357" i="48"/>
  <c r="AI357" i="48"/>
  <c r="AL357" i="48"/>
  <c r="AF357" i="48"/>
  <c r="AO357" i="48"/>
  <c r="AG357" i="48"/>
  <c r="AH357" i="48"/>
  <c r="AM357" i="48"/>
  <c r="AE357" i="48"/>
  <c r="AD357" i="48"/>
  <c r="AP357" i="48" s="1"/>
  <c r="AY357" i="48" s="1"/>
  <c r="AN214" i="48"/>
  <c r="CG214" i="48"/>
  <c r="AI214" i="48"/>
  <c r="AL214" i="48"/>
  <c r="AR214" i="48" s="1"/>
  <c r="AO214" i="48"/>
  <c r="AG214" i="48"/>
  <c r="AH214" i="48"/>
  <c r="AM214" i="48"/>
  <c r="AE214" i="48"/>
  <c r="AD214" i="48"/>
  <c r="BG131" i="48"/>
  <c r="AW131" i="48"/>
  <c r="BC131" i="48"/>
  <c r="BA131" i="48"/>
  <c r="AV131" i="48"/>
  <c r="AU131" i="48"/>
  <c r="BE131" i="48"/>
  <c r="CG131" i="48"/>
  <c r="BF131" i="48"/>
  <c r="AZ131" i="48"/>
  <c r="BB131" i="48"/>
  <c r="AZ476" i="48"/>
  <c r="BA472" i="48"/>
  <c r="AT468" i="48"/>
  <c r="BF445" i="48"/>
  <c r="BF423" i="48"/>
  <c r="AZ407" i="48"/>
  <c r="AO454" i="48"/>
  <c r="BC445" i="48"/>
  <c r="AO430" i="48"/>
  <c r="CG423" i="48"/>
  <c r="CG407" i="48"/>
  <c r="BC423" i="48"/>
  <c r="BA386" i="48"/>
  <c r="BF293" i="48"/>
  <c r="AG276" i="48"/>
  <c r="AC276" i="48"/>
  <c r="AC214" i="48"/>
  <c r="AM187" i="48"/>
  <c r="AK249" i="48"/>
  <c r="AE249" i="48"/>
  <c r="AO249" i="48"/>
  <c r="BG140" i="48"/>
  <c r="AT140" i="48"/>
  <c r="AK382" i="48"/>
  <c r="AC382" i="48"/>
  <c r="AT104" i="48"/>
  <c r="BA104" i="48"/>
  <c r="CG104" i="48"/>
  <c r="AW104" i="48"/>
  <c r="BE104" i="48"/>
  <c r="BG104" i="48"/>
  <c r="AU104" i="48"/>
  <c r="AN389" i="48"/>
  <c r="AF389" i="48"/>
  <c r="AJ389" i="48"/>
  <c r="AO389" i="48"/>
  <c r="AG389" i="48"/>
  <c r="AH389" i="48"/>
  <c r="AM389" i="48"/>
  <c r="AE389" i="48"/>
  <c r="AD389" i="48"/>
  <c r="AK389" i="48"/>
  <c r="AC389" i="48"/>
  <c r="AO229" i="48"/>
  <c r="AK229" i="48"/>
  <c r="AH229" i="48"/>
  <c r="AM229" i="48"/>
  <c r="AN229" i="48"/>
  <c r="AF229" i="48"/>
  <c r="AI229" i="48"/>
  <c r="AL229" i="48"/>
  <c r="AD229" i="48"/>
  <c r="AE229" i="48"/>
  <c r="AF85" i="48"/>
  <c r="AO85" i="48"/>
  <c r="AG85" i="48"/>
  <c r="AL85" i="48"/>
  <c r="AM85" i="48"/>
  <c r="AE85" i="48"/>
  <c r="AK85" i="48"/>
  <c r="AC85" i="48"/>
  <c r="AD85" i="48"/>
  <c r="CG85" i="48"/>
  <c r="BA476" i="48"/>
  <c r="BE476" i="48"/>
  <c r="BD445" i="48"/>
  <c r="BD423" i="48"/>
  <c r="BK423" i="48" s="1"/>
  <c r="BF407" i="48"/>
  <c r="AW445" i="48"/>
  <c r="BG445" i="48"/>
  <c r="AT402" i="48"/>
  <c r="CG389" i="48"/>
  <c r="AW293" i="48"/>
  <c r="AN357" i="48"/>
  <c r="BE293" i="48"/>
  <c r="AK284" i="48"/>
  <c r="AC284" i="48"/>
  <c r="AE284" i="48"/>
  <c r="AJ229" i="48"/>
  <c r="AP229" i="48" s="1"/>
  <c r="AY229" i="48" s="1"/>
  <c r="AX229" i="48" s="1"/>
  <c r="AK214" i="48"/>
  <c r="AH187" i="48"/>
  <c r="BD131" i="48"/>
  <c r="AK106" i="48"/>
  <c r="AC106" i="48"/>
  <c r="AH85" i="48"/>
  <c r="AT131" i="48"/>
  <c r="AW41" i="48"/>
  <c r="AC358" i="48"/>
  <c r="AT354" i="48"/>
  <c r="AC334" i="48"/>
  <c r="AV424" i="48"/>
  <c r="BJ424" i="48" s="1"/>
  <c r="AE408" i="48"/>
  <c r="AE386" i="48"/>
  <c r="AT370" i="48"/>
  <c r="AQ239" i="48"/>
  <c r="BG159" i="48"/>
  <c r="AC304" i="48"/>
  <c r="AE193" i="48"/>
  <c r="AC140" i="48"/>
  <c r="AT136" i="48"/>
  <c r="AI157" i="48"/>
  <c r="CG149" i="48"/>
  <c r="AC338" i="48"/>
  <c r="AV318" i="48"/>
  <c r="BA390" i="48"/>
  <c r="AV300" i="48"/>
  <c r="AE223" i="48"/>
  <c r="AC215" i="48"/>
  <c r="AC201" i="48"/>
  <c r="AT185" i="48"/>
  <c r="AV185" i="48"/>
  <c r="AN123" i="48"/>
  <c r="AC123" i="48"/>
  <c r="CG115" i="48"/>
  <c r="AL115" i="48"/>
  <c r="BC100" i="48"/>
  <c r="BG100" i="48"/>
  <c r="AE52" i="48"/>
  <c r="AI52" i="48"/>
  <c r="AP52" i="48" s="1"/>
  <c r="AY52" i="48" s="1"/>
  <c r="AG36" i="48"/>
  <c r="AI36" i="48"/>
  <c r="AN25" i="48"/>
  <c r="AD25" i="48"/>
  <c r="AO25" i="48"/>
  <c r="AG25" i="48"/>
  <c r="AU21" i="48"/>
  <c r="AV21" i="48"/>
  <c r="BE21" i="48"/>
  <c r="BF21" i="48"/>
  <c r="AT21" i="48"/>
  <c r="BG21" i="48"/>
  <c r="BD21" i="48"/>
  <c r="BB21" i="48"/>
  <c r="BA21" i="48"/>
  <c r="AM16" i="48"/>
  <c r="AE16" i="48"/>
  <c r="AH16" i="48"/>
  <c r="AL16" i="48"/>
  <c r="AK16" i="48"/>
  <c r="AC16" i="48"/>
  <c r="AD16" i="48"/>
  <c r="AF16" i="48"/>
  <c r="AI16" i="48"/>
  <c r="AN16" i="48"/>
  <c r="BF11" i="48"/>
  <c r="BD11" i="48"/>
  <c r="BA11" i="48"/>
  <c r="BB11" i="48"/>
  <c r="AZ11" i="48"/>
  <c r="BC11" i="48"/>
  <c r="AW11" i="48"/>
  <c r="AV11" i="48"/>
  <c r="BE11" i="48"/>
  <c r="AH6" i="48"/>
  <c r="AK6" i="48"/>
  <c r="AC6" i="48"/>
  <c r="AD6" i="48"/>
  <c r="AI6" i="48"/>
  <c r="AL6" i="48"/>
  <c r="AO6" i="48"/>
  <c r="AG6" i="48"/>
  <c r="AJ6" i="48"/>
  <c r="AJ2" i="48"/>
  <c r="AO2" i="48"/>
  <c r="AG2" i="48"/>
  <c r="AH2" i="48"/>
  <c r="AM2" i="48"/>
  <c r="AE2" i="48"/>
  <c r="AN2" i="48"/>
  <c r="AF2" i="48"/>
  <c r="AK2" i="48"/>
  <c r="BN2" i="48" s="1"/>
  <c r="AC2" i="48"/>
  <c r="BO429" i="48"/>
  <c r="AV378" i="48"/>
  <c r="AT318" i="48"/>
  <c r="BJ318" i="48" s="1"/>
  <c r="AV390" i="48"/>
  <c r="BA268" i="48"/>
  <c r="AC245" i="48"/>
  <c r="AT280" i="48"/>
  <c r="AO112" i="48"/>
  <c r="AC112" i="48"/>
  <c r="AJ157" i="48"/>
  <c r="CG157" i="48"/>
  <c r="AO157" i="48"/>
  <c r="AH149" i="48"/>
  <c r="AM149" i="48"/>
  <c r="AG149" i="48"/>
  <c r="BC55" i="48"/>
  <c r="AZ55" i="48"/>
  <c r="AW55" i="48"/>
  <c r="BD55" i="48"/>
  <c r="BK55" i="48" s="1"/>
  <c r="AT55" i="48"/>
  <c r="AZ50" i="48"/>
  <c r="AW50" i="48"/>
  <c r="BB50" i="48"/>
  <c r="AU50" i="48"/>
  <c r="BF50" i="48"/>
  <c r="BC50" i="48"/>
  <c r="AT45" i="48"/>
  <c r="BJ45" i="48" s="1"/>
  <c r="BG45" i="48"/>
  <c r="AU45" i="48"/>
  <c r="AV45" i="48"/>
  <c r="BD45" i="48"/>
  <c r="AU36" i="48"/>
  <c r="BC36" i="48"/>
  <c r="BG36" i="48"/>
  <c r="CG28" i="48"/>
  <c r="AW28" i="48"/>
  <c r="BA28" i="48"/>
  <c r="AV348" i="48"/>
  <c r="BB348" i="48"/>
  <c r="AJ154" i="48"/>
  <c r="AK154" i="48"/>
  <c r="AC154" i="48"/>
  <c r="AN154" i="48"/>
  <c r="BE137" i="48"/>
  <c r="BG137" i="48"/>
  <c r="BA137" i="48"/>
  <c r="AV137" i="48"/>
  <c r="BC137" i="48"/>
  <c r="BD137" i="48"/>
  <c r="AT125" i="48"/>
  <c r="AU125" i="48"/>
  <c r="BE125" i="48"/>
  <c r="BG125" i="48"/>
  <c r="BA125" i="48"/>
  <c r="BB125" i="48"/>
  <c r="BK125" i="48" s="1"/>
  <c r="AV115" i="48"/>
  <c r="AU115" i="48"/>
  <c r="AT115" i="48"/>
  <c r="BA115" i="48"/>
  <c r="BG115" i="48"/>
  <c r="BE115" i="48"/>
  <c r="AV101" i="48"/>
  <c r="AU101" i="48"/>
  <c r="AZ101" i="48"/>
  <c r="AT101" i="48"/>
  <c r="BE101" i="48"/>
  <c r="BG101" i="48"/>
  <c r="BA101" i="48"/>
  <c r="BD101" i="48"/>
  <c r="BG89" i="48"/>
  <c r="BA89" i="48"/>
  <c r="BD89" i="48"/>
  <c r="BC89" i="48"/>
  <c r="AW89" i="48"/>
  <c r="AV89" i="48"/>
  <c r="AU89" i="48"/>
  <c r="AZ89" i="48"/>
  <c r="AV81" i="48"/>
  <c r="AU81" i="48"/>
  <c r="BD81" i="48"/>
  <c r="AT81" i="48"/>
  <c r="BE81" i="48"/>
  <c r="BF81" i="48"/>
  <c r="BG81" i="48"/>
  <c r="BA81" i="48"/>
  <c r="CG81" i="48"/>
  <c r="AZ81" i="48"/>
  <c r="AV69" i="48"/>
  <c r="AU69" i="48"/>
  <c r="BF69" i="48"/>
  <c r="AT69" i="48"/>
  <c r="BE69" i="48"/>
  <c r="AZ69" i="48"/>
  <c r="BG69" i="48"/>
  <c r="BA69" i="48"/>
  <c r="BB69" i="48"/>
  <c r="AC108" i="48"/>
  <c r="AK400" i="48"/>
  <c r="BA412" i="48"/>
  <c r="BC272" i="48"/>
  <c r="AT272" i="48"/>
  <c r="AC454" i="48"/>
  <c r="AK454" i="48"/>
  <c r="AK298" i="48"/>
  <c r="AC298" i="48"/>
  <c r="AO298" i="48"/>
  <c r="AN298" i="48"/>
  <c r="AF298" i="48"/>
  <c r="AI298" i="48"/>
  <c r="AL298" i="48"/>
  <c r="AD298" i="48"/>
  <c r="AP298" i="48" s="1"/>
  <c r="AY298" i="48" s="1"/>
  <c r="AX298" i="48" s="1"/>
  <c r="AE298" i="48"/>
  <c r="AQ298" i="48" s="1"/>
  <c r="AJ298" i="48"/>
  <c r="CG298" i="48"/>
  <c r="BF221" i="48"/>
  <c r="AT221" i="48"/>
  <c r="AV221" i="48"/>
  <c r="BB221" i="48"/>
  <c r="AZ221" i="48"/>
  <c r="BD221" i="48"/>
  <c r="BG170" i="48"/>
  <c r="AW170" i="48"/>
  <c r="CG170" i="48"/>
  <c r="BD170" i="48"/>
  <c r="BC170" i="48"/>
  <c r="BA170" i="48"/>
  <c r="BF170" i="48"/>
  <c r="AV170" i="48"/>
  <c r="AU170" i="48"/>
  <c r="AZ170" i="48"/>
  <c r="BF30" i="48"/>
  <c r="AV30" i="48"/>
  <c r="BD30" i="48"/>
  <c r="BC30" i="48"/>
  <c r="BB30" i="48"/>
  <c r="AZ30" i="48"/>
  <c r="BG30" i="48"/>
  <c r="AW30" i="48"/>
  <c r="AU30" i="48"/>
  <c r="AT30" i="48"/>
  <c r="BA30" i="48"/>
  <c r="AL49" i="48"/>
  <c r="AN49" i="48"/>
  <c r="AF49" i="48"/>
  <c r="AD49" i="48"/>
  <c r="AO49" i="48"/>
  <c r="AG49" i="48"/>
  <c r="AM49" i="48"/>
  <c r="AE49" i="48"/>
  <c r="AJ49" i="48"/>
  <c r="AK49" i="48"/>
  <c r="AC49" i="48"/>
  <c r="BF476" i="48"/>
  <c r="AW476" i="48"/>
  <c r="AO472" i="48"/>
  <c r="BG465" i="48"/>
  <c r="AO461" i="48"/>
  <c r="BG457" i="48"/>
  <c r="BG442" i="48"/>
  <c r="AG438" i="48"/>
  <c r="AE454" i="48"/>
  <c r="AD454" i="48"/>
  <c r="AL454" i="48"/>
  <c r="BO454" i="48" s="1"/>
  <c r="AK430" i="48"/>
  <c r="AG394" i="48"/>
  <c r="AE412" i="48"/>
  <c r="AC366" i="48"/>
  <c r="AC346" i="48"/>
  <c r="AT338" i="48"/>
  <c r="AT334" i="48"/>
  <c r="AT330" i="48"/>
  <c r="AC326" i="48"/>
  <c r="BD283" i="48"/>
  <c r="BG221" i="48"/>
  <c r="AU221" i="48"/>
  <c r="BC476" i="48"/>
  <c r="AT476" i="48"/>
  <c r="AO424" i="48"/>
  <c r="AC424" i="48"/>
  <c r="AT416" i="48"/>
  <c r="AC322" i="48"/>
  <c r="AH298" i="48"/>
  <c r="CG221" i="48"/>
  <c r="BC264" i="48"/>
  <c r="BA264" i="48"/>
  <c r="AV264" i="48"/>
  <c r="BC235" i="48"/>
  <c r="BE235" i="48"/>
  <c r="AV235" i="48"/>
  <c r="AC219" i="48"/>
  <c r="AE219" i="48"/>
  <c r="AU283" i="48"/>
  <c r="BC193" i="48"/>
  <c r="BA193" i="48"/>
  <c r="AV193" i="48"/>
  <c r="AC132" i="48"/>
  <c r="AO132" i="48"/>
  <c r="BE170" i="48"/>
  <c r="AV126" i="48"/>
  <c r="AT126" i="48"/>
  <c r="CG126" i="48"/>
  <c r="AU126" i="48"/>
  <c r="BG126" i="48"/>
  <c r="BA126" i="48"/>
  <c r="BC126" i="48"/>
  <c r="AE257" i="48"/>
  <c r="AC257" i="48"/>
  <c r="BC223" i="48"/>
  <c r="AT223" i="48"/>
  <c r="BA223" i="48"/>
  <c r="BD476" i="48"/>
  <c r="BK476" i="48" s="1"/>
  <c r="AT465" i="48"/>
  <c r="AT457" i="48"/>
  <c r="AC450" i="48"/>
  <c r="AI454" i="48"/>
  <c r="AF454" i="48"/>
  <c r="AN454" i="48"/>
  <c r="AT394" i="48"/>
  <c r="AV412" i="48"/>
  <c r="BJ412" i="48" s="1"/>
  <c r="AT346" i="48"/>
  <c r="AT326" i="48"/>
  <c r="BB283" i="48"/>
  <c r="BE221" i="48"/>
  <c r="AW221" i="48"/>
  <c r="BG476" i="48"/>
  <c r="AV476" i="48"/>
  <c r="AC378" i="48"/>
  <c r="AQ378" i="48" s="1"/>
  <c r="BA322" i="48"/>
  <c r="AT322" i="48"/>
  <c r="AC318" i="48"/>
  <c r="AK268" i="48"/>
  <c r="AE268" i="48"/>
  <c r="AV223" i="48"/>
  <c r="BB170" i="48"/>
  <c r="AK197" i="48"/>
  <c r="AC197" i="48"/>
  <c r="AE197" i="48"/>
  <c r="AV288" i="48"/>
  <c r="AO144" i="48"/>
  <c r="AC144" i="48"/>
  <c r="BG120" i="48"/>
  <c r="BC120" i="48"/>
  <c r="AI49" i="48"/>
  <c r="AT170" i="48"/>
  <c r="BC112" i="48"/>
  <c r="AT112" i="48"/>
  <c r="BE112" i="48"/>
  <c r="BG112" i="48"/>
  <c r="AV405" i="48"/>
  <c r="AU405" i="48"/>
  <c r="AT405" i="48"/>
  <c r="BE405" i="48"/>
  <c r="BG405" i="48"/>
  <c r="AW405" i="48"/>
  <c r="AT389" i="48"/>
  <c r="BJ389" i="48" s="1"/>
  <c r="BA389" i="48"/>
  <c r="BG389" i="48"/>
  <c r="AW389" i="48"/>
  <c r="BC389" i="48"/>
  <c r="BK389" i="48" s="1"/>
  <c r="BE389" i="48"/>
  <c r="AT373" i="48"/>
  <c r="BA373" i="48"/>
  <c r="BG373" i="48"/>
  <c r="AW373" i="48"/>
  <c r="BC373" i="48"/>
  <c r="BE373" i="48"/>
  <c r="AJ341" i="48"/>
  <c r="AM341" i="48"/>
  <c r="AE341" i="48"/>
  <c r="AD341" i="48"/>
  <c r="AK341" i="48"/>
  <c r="AC341" i="48"/>
  <c r="AN341" i="48"/>
  <c r="CG341" i="48"/>
  <c r="AI341" i="48"/>
  <c r="AL341" i="48"/>
  <c r="AF341" i="48"/>
  <c r="AI325" i="48"/>
  <c r="AF325" i="48"/>
  <c r="AE325" i="48"/>
  <c r="CG325" i="48"/>
  <c r="AL325" i="48"/>
  <c r="AU315" i="48"/>
  <c r="AT315" i="48"/>
  <c r="BC315" i="48"/>
  <c r="BE315" i="48"/>
  <c r="BA315" i="48"/>
  <c r="AJ307" i="48"/>
  <c r="AK307" i="48"/>
  <c r="CG307" i="48"/>
  <c r="AI307" i="48"/>
  <c r="AJ302" i="48"/>
  <c r="CG302" i="48"/>
  <c r="AH302" i="48"/>
  <c r="AM302" i="48"/>
  <c r="AN302" i="48"/>
  <c r="AF302" i="48"/>
  <c r="AI302" i="48"/>
  <c r="AU297" i="48"/>
  <c r="BA297" i="48"/>
  <c r="AZ297" i="48"/>
  <c r="AV297" i="48"/>
  <c r="BG297" i="48"/>
  <c r="BB297" i="48"/>
  <c r="AT297" i="48"/>
  <c r="BC297" i="48"/>
  <c r="BD297" i="48"/>
  <c r="AJ286" i="48"/>
  <c r="CG286" i="48"/>
  <c r="AH286" i="48"/>
  <c r="AM286" i="48"/>
  <c r="AN286" i="48"/>
  <c r="AF286" i="48"/>
  <c r="AI286" i="48"/>
  <c r="AU232" i="48"/>
  <c r="BA232" i="48"/>
  <c r="BB232" i="48"/>
  <c r="AV232" i="48"/>
  <c r="BG232" i="48"/>
  <c r="BD232" i="48"/>
  <c r="AT232" i="48"/>
  <c r="AW232" i="48"/>
  <c r="BF232" i="48"/>
  <c r="BG226" i="48"/>
  <c r="AU226" i="48"/>
  <c r="CG226" i="48"/>
  <c r="AW226" i="48"/>
  <c r="AG298" i="48"/>
  <c r="AK118" i="48"/>
  <c r="AC118" i="48"/>
  <c r="AQ118" i="48" s="1"/>
  <c r="AL118" i="48"/>
  <c r="AD118" i="48"/>
  <c r="AJ118" i="48"/>
  <c r="AM118" i="48"/>
  <c r="AH118" i="48"/>
  <c r="AI118" i="48"/>
  <c r="AT107" i="48"/>
  <c r="BG107" i="48"/>
  <c r="AU107" i="48"/>
  <c r="CG107" i="48"/>
  <c r="AW107" i="48"/>
  <c r="BB107" i="48"/>
  <c r="AV107" i="48"/>
  <c r="BJ107" i="48" s="1"/>
  <c r="BD107" i="48"/>
  <c r="BF107" i="48"/>
  <c r="AV92" i="48"/>
  <c r="AW92" i="48"/>
  <c r="BA92" i="48"/>
  <c r="BE92" i="48"/>
  <c r="BA394" i="48"/>
  <c r="BA326" i="48"/>
  <c r="AV322" i="48"/>
  <c r="AT283" i="48"/>
  <c r="BA283" i="48"/>
  <c r="BG283" i="48"/>
  <c r="BE283" i="48"/>
  <c r="BC283" i="48"/>
  <c r="AW283" i="48"/>
  <c r="CG283" i="48"/>
  <c r="BB476" i="48"/>
  <c r="AG454" i="48"/>
  <c r="AM454" i="48"/>
  <c r="AH454" i="48"/>
  <c r="BE412" i="48"/>
  <c r="BA358" i="48"/>
  <c r="AZ283" i="48"/>
  <c r="BC221" i="48"/>
  <c r="AE424" i="48"/>
  <c r="AV408" i="48"/>
  <c r="BO356" i="48"/>
  <c r="BC262" i="48"/>
  <c r="BA262" i="48"/>
  <c r="AT262" i="48"/>
  <c r="AE241" i="48"/>
  <c r="AC241" i="48"/>
  <c r="AT151" i="48"/>
  <c r="BE151" i="48"/>
  <c r="BA151" i="48"/>
  <c r="CG49" i="48"/>
  <c r="BE30" i="48"/>
  <c r="AC185" i="48"/>
  <c r="AO185" i="48"/>
  <c r="AE185" i="48"/>
  <c r="BA112" i="48"/>
  <c r="AT382" i="48"/>
  <c r="AM374" i="48"/>
  <c r="BO367" i="48"/>
  <c r="BN349" i="48"/>
  <c r="BA300" i="48"/>
  <c r="AT300" i="48"/>
  <c r="AT292" i="48"/>
  <c r="BA284" i="48"/>
  <c r="AT276" i="48"/>
  <c r="AC262" i="48"/>
  <c r="BA245" i="48"/>
  <c r="AE235" i="48"/>
  <c r="AO171" i="48"/>
  <c r="BA159" i="48"/>
  <c r="AT304" i="48"/>
  <c r="AC288" i="48"/>
  <c r="AC272" i="48"/>
  <c r="AT227" i="48"/>
  <c r="BE155" i="48"/>
  <c r="BK115" i="48"/>
  <c r="AV237" i="48"/>
  <c r="BA201" i="48"/>
  <c r="AV60" i="48"/>
  <c r="BG60" i="48"/>
  <c r="AJ53" i="48"/>
  <c r="AD53" i="48"/>
  <c r="AH53" i="48"/>
  <c r="BG34" i="48"/>
  <c r="AT34" i="48"/>
  <c r="AO32" i="48"/>
  <c r="AH32" i="48"/>
  <c r="AN32" i="48"/>
  <c r="AF32" i="48"/>
  <c r="AI32" i="48"/>
  <c r="CG32" i="48"/>
  <c r="AL32" i="48"/>
  <c r="AD32" i="48"/>
  <c r="AM32" i="48"/>
  <c r="AZ440" i="48"/>
  <c r="BB440" i="48"/>
  <c r="AV143" i="48"/>
  <c r="AU143" i="48"/>
  <c r="AT143" i="48"/>
  <c r="BE143" i="48"/>
  <c r="BG143" i="48"/>
  <c r="AW143" i="48"/>
  <c r="AK134" i="48"/>
  <c r="AO134" i="48"/>
  <c r="AG134" i="48"/>
  <c r="AC122" i="48"/>
  <c r="AO122" i="48"/>
  <c r="AG122" i="48"/>
  <c r="AK110" i="48"/>
  <c r="AL110" i="48"/>
  <c r="AD110" i="48"/>
  <c r="AJ110" i="48"/>
  <c r="AM110" i="48"/>
  <c r="AH110" i="48"/>
  <c r="AI110" i="48"/>
  <c r="AT99" i="48"/>
  <c r="BC99" i="48"/>
  <c r="BF99" i="48"/>
  <c r="BE99" i="48"/>
  <c r="AU99" i="48"/>
  <c r="AZ99" i="48"/>
  <c r="BA99" i="48"/>
  <c r="AW99" i="48"/>
  <c r="BB99" i="48"/>
  <c r="AT87" i="48"/>
  <c r="BC87" i="48"/>
  <c r="AZ87" i="48"/>
  <c r="BE87" i="48"/>
  <c r="AU87" i="48"/>
  <c r="BB87" i="48"/>
  <c r="BA87" i="48"/>
  <c r="AW87" i="48"/>
  <c r="BD87" i="48"/>
  <c r="AT79" i="48"/>
  <c r="BC79" i="48"/>
  <c r="AZ79" i="48"/>
  <c r="BE79" i="48"/>
  <c r="AU79" i="48"/>
  <c r="BB79" i="48"/>
  <c r="BK79" i="48" s="1"/>
  <c r="BA79" i="48"/>
  <c r="AW79" i="48"/>
  <c r="BD79" i="48"/>
  <c r="AV19" i="48"/>
  <c r="BJ19" i="48" s="1"/>
  <c r="BD19" i="48"/>
  <c r="BE19" i="48"/>
  <c r="AT19" i="48"/>
  <c r="AZ19" i="48"/>
  <c r="BG19" i="48"/>
  <c r="BF19" i="48"/>
  <c r="AW19" i="48"/>
  <c r="BA19" i="48"/>
  <c r="AU13" i="48"/>
  <c r="AT13" i="48"/>
  <c r="BG13" i="48"/>
  <c r="BF13" i="48"/>
  <c r="BD13" i="48"/>
  <c r="BA13" i="48"/>
  <c r="BB13" i="48"/>
  <c r="AZ13" i="48"/>
  <c r="BC13" i="48"/>
  <c r="AJ8" i="48"/>
  <c r="AM8" i="48"/>
  <c r="AE8" i="48"/>
  <c r="AF8" i="48"/>
  <c r="AD8" i="48"/>
  <c r="AK8" i="48"/>
  <c r="AC8" i="48"/>
  <c r="CG8" i="48"/>
  <c r="AI8" i="48"/>
  <c r="AL8" i="48"/>
  <c r="AN4" i="48"/>
  <c r="AO4" i="48"/>
  <c r="AG4" i="48"/>
  <c r="AH4" i="48"/>
  <c r="AJ4" i="48"/>
  <c r="AM4" i="48"/>
  <c r="AE4" i="48"/>
  <c r="AF4" i="48"/>
  <c r="AD4" i="48"/>
  <c r="AK4" i="48"/>
  <c r="AC4" i="48"/>
  <c r="AC428" i="48"/>
  <c r="AK428" i="48"/>
  <c r="AO422" i="48"/>
  <c r="AG422" i="48"/>
  <c r="AK422" i="48"/>
  <c r="AN377" i="48"/>
  <c r="AP377" i="48" s="1"/>
  <c r="AY377" i="48" s="1"/>
  <c r="AF377" i="48"/>
  <c r="AJ377" i="48"/>
  <c r="AC255" i="48"/>
  <c r="AO255" i="48"/>
  <c r="AG255" i="48"/>
  <c r="AG225" i="48"/>
  <c r="AK225" i="48"/>
  <c r="AC225" i="48"/>
  <c r="AQ225" i="48" s="1"/>
  <c r="AJ208" i="48"/>
  <c r="BO208" i="48" s="1"/>
  <c r="AF208" i="48"/>
  <c r="AK183" i="48"/>
  <c r="AC183" i="48"/>
  <c r="AO183" i="48"/>
  <c r="AO130" i="48"/>
  <c r="AG130" i="48"/>
  <c r="AC130" i="48"/>
  <c r="AT77" i="48"/>
  <c r="BC77" i="48"/>
  <c r="BF77" i="48"/>
  <c r="BE77" i="48"/>
  <c r="AU77" i="48"/>
  <c r="AZ77" i="48"/>
  <c r="BA77" i="48"/>
  <c r="AW77" i="48"/>
  <c r="BB77" i="48"/>
  <c r="AT29" i="48"/>
  <c r="BG29" i="48"/>
  <c r="BE29" i="48"/>
  <c r="BC29" i="48"/>
  <c r="BB29" i="48"/>
  <c r="BA29" i="48"/>
  <c r="AU29" i="48"/>
  <c r="BD29" i="48"/>
  <c r="AQ255" i="48"/>
  <c r="AQ243" i="48"/>
  <c r="AE374" i="48"/>
  <c r="AV197" i="48"/>
  <c r="AK171" i="48"/>
  <c r="AQ110" i="48"/>
  <c r="AV139" i="48"/>
  <c r="AT139" i="48"/>
  <c r="BE139" i="48"/>
  <c r="AW106" i="48"/>
  <c r="BA106" i="48"/>
  <c r="AK93" i="48"/>
  <c r="AO93" i="48"/>
  <c r="AH93" i="48"/>
  <c r="AU80" i="48"/>
  <c r="BC80" i="48"/>
  <c r="AT73" i="48"/>
  <c r="BG73" i="48"/>
  <c r="AZ73" i="48"/>
  <c r="AZ59" i="48"/>
  <c r="BG59" i="48"/>
  <c r="AV32" i="48"/>
  <c r="BA32" i="48"/>
  <c r="BB32" i="48"/>
  <c r="BC32" i="48"/>
  <c r="AE390" i="48"/>
  <c r="AV284" i="48"/>
  <c r="BA155" i="48"/>
  <c r="BK131" i="48"/>
  <c r="AC128" i="48"/>
  <c r="AT124" i="48"/>
  <c r="AV201" i="48"/>
  <c r="BJ201" i="48" s="1"/>
  <c r="AK414" i="48"/>
  <c r="AC414" i="48"/>
  <c r="AQ414" i="48" s="1"/>
  <c r="AJ29" i="48"/>
  <c r="AK29" i="48"/>
  <c r="BM29" i="48" s="1"/>
  <c r="AC29" i="48"/>
  <c r="CG29" i="48"/>
  <c r="AI29" i="48"/>
  <c r="AD29" i="48"/>
  <c r="AP29" i="48" s="1"/>
  <c r="AY29" i="48" s="1"/>
  <c r="AO29" i="48"/>
  <c r="AG29" i="48"/>
  <c r="AH29" i="48"/>
  <c r="BA23" i="48"/>
  <c r="BB23" i="48"/>
  <c r="BC23" i="48"/>
  <c r="BF23" i="48"/>
  <c r="AW23" i="48"/>
  <c r="AJ14" i="48"/>
  <c r="AF14" i="48"/>
  <c r="AI14" i="48"/>
  <c r="AO14" i="48"/>
  <c r="BC8" i="48"/>
  <c r="BE8" i="48"/>
  <c r="AZ8" i="48"/>
  <c r="AW8" i="48"/>
  <c r="BD8" i="48"/>
  <c r="AK64" i="48"/>
  <c r="AE64" i="48"/>
  <c r="AI64" i="48"/>
  <c r="AK52" i="48"/>
  <c r="AM52" i="48"/>
  <c r="BC44" i="48"/>
  <c r="BG44" i="48"/>
  <c r="BB44" i="48"/>
  <c r="AK36" i="48"/>
  <c r="AC36" i="48"/>
  <c r="AO36" i="48"/>
  <c r="AE36" i="48"/>
  <c r="AQ36" i="48" s="1"/>
  <c r="BJ473" i="48"/>
  <c r="AT418" i="48"/>
  <c r="AG60" i="48"/>
  <c r="BJ444" i="48"/>
  <c r="AV38" i="48"/>
  <c r="BJ310" i="48"/>
  <c r="AK138" i="48"/>
  <c r="BO138" i="48" s="1"/>
  <c r="AK392" i="48"/>
  <c r="AG72" i="48"/>
  <c r="AX55" i="50"/>
  <c r="BG55" i="50"/>
  <c r="BD52" i="50"/>
  <c r="BF52" i="50"/>
  <c r="AQ90" i="50"/>
  <c r="AG90" i="50"/>
  <c r="AH90" i="50"/>
  <c r="AP90" i="50"/>
  <c r="AM22" i="50"/>
  <c r="AL22" i="50"/>
  <c r="AO22" i="50"/>
  <c r="AI22" i="50"/>
  <c r="AR22" i="50"/>
  <c r="AJ22" i="50"/>
  <c r="AK22" i="50"/>
  <c r="AN91" i="50"/>
  <c r="AF91" i="50"/>
  <c r="AG91" i="50"/>
  <c r="CL91" i="50"/>
  <c r="AL91" i="50"/>
  <c r="AK91" i="50"/>
  <c r="AJ55" i="50"/>
  <c r="AF55" i="50"/>
  <c r="AW17" i="50"/>
  <c r="BF17" i="50"/>
  <c r="BC17" i="50"/>
  <c r="BH17" i="50"/>
  <c r="AX17" i="50"/>
  <c r="BE17" i="50"/>
  <c r="AW85" i="50"/>
  <c r="BF85" i="50"/>
  <c r="BG85" i="50"/>
  <c r="BH85" i="50"/>
  <c r="AX85" i="50"/>
  <c r="BI85" i="50"/>
  <c r="AR18" i="50"/>
  <c r="AQ18" i="50"/>
  <c r="AI18" i="50"/>
  <c r="AL18" i="50"/>
  <c r="AJ18" i="50"/>
  <c r="AO18" i="50"/>
  <c r="AG18" i="50"/>
  <c r="AP18" i="50"/>
  <c r="AF51" i="50"/>
  <c r="AN51" i="50"/>
  <c r="AM27" i="50"/>
  <c r="AR27" i="50"/>
  <c r="AJ27" i="50"/>
  <c r="AK27" i="50"/>
  <c r="AP27" i="50"/>
  <c r="AH27" i="50"/>
  <c r="AG27" i="50"/>
  <c r="AP104" i="50"/>
  <c r="AH104" i="50"/>
  <c r="AR99" i="50"/>
  <c r="AJ99" i="50"/>
  <c r="AQ107" i="50"/>
  <c r="AM107" i="50"/>
  <c r="AL107" i="50"/>
  <c r="BH69" i="50"/>
  <c r="AX69" i="50"/>
  <c r="BH35" i="50"/>
  <c r="AX35" i="50"/>
  <c r="AY88" i="50"/>
  <c r="AX88" i="50"/>
  <c r="BJ88" i="50"/>
  <c r="BE88" i="50"/>
  <c r="BD88" i="50"/>
  <c r="BI88" i="50"/>
  <c r="BF104" i="50"/>
  <c r="AZ104" i="50"/>
  <c r="BC104" i="50"/>
  <c r="AY104" i="50"/>
  <c r="AX104" i="50"/>
  <c r="BE104" i="50"/>
  <c r="AX82" i="50"/>
  <c r="BC82" i="50"/>
  <c r="BF82" i="50"/>
  <c r="BI82" i="50"/>
  <c r="AY82" i="50"/>
  <c r="BH82" i="50"/>
  <c r="AX78" i="50"/>
  <c r="BC78" i="50"/>
  <c r="BF78" i="50"/>
  <c r="BI78" i="50"/>
  <c r="AY78" i="50"/>
  <c r="BH78" i="50"/>
  <c r="CL74" i="50"/>
  <c r="AL74" i="50"/>
  <c r="AQ74" i="50"/>
  <c r="AI74" i="50"/>
  <c r="AR74" i="50"/>
  <c r="AJ74" i="50"/>
  <c r="AO74" i="50"/>
  <c r="AG74" i="50"/>
  <c r="AX11" i="50"/>
  <c r="BJ11" i="50"/>
  <c r="BI11" i="50"/>
  <c r="BD11" i="50"/>
  <c r="AZ70" i="50"/>
  <c r="BD70" i="50"/>
  <c r="AI108" i="50"/>
  <c r="AQ108" i="50"/>
  <c r="AL108" i="50"/>
  <c r="AO108" i="50"/>
  <c r="AR108" i="50"/>
  <c r="AJ108" i="50"/>
  <c r="AW34" i="50"/>
  <c r="BF34" i="50"/>
  <c r="BH34" i="50"/>
  <c r="AX34" i="50"/>
  <c r="BG71" i="50"/>
  <c r="AZ71" i="50"/>
  <c r="BH71" i="50"/>
  <c r="AW71" i="50"/>
  <c r="AX71" i="50"/>
  <c r="BJ71" i="50"/>
  <c r="BE71" i="50"/>
  <c r="AW65" i="50"/>
  <c r="BF65" i="50"/>
  <c r="BC65" i="50"/>
  <c r="BH65" i="50"/>
  <c r="AX65" i="50"/>
  <c r="BE65" i="50"/>
  <c r="BH41" i="50"/>
  <c r="AX41" i="50"/>
  <c r="BD41" i="50"/>
  <c r="AZ41" i="50"/>
  <c r="AR66" i="50"/>
  <c r="AQ66" i="50"/>
  <c r="AI66" i="50"/>
  <c r="AL66" i="50"/>
  <c r="AJ66" i="50"/>
  <c r="AO66" i="50"/>
  <c r="AG66" i="50"/>
  <c r="AP66" i="50"/>
  <c r="CL66" i="50"/>
  <c r="AW16" i="50"/>
  <c r="BF16" i="50"/>
  <c r="BC16" i="50"/>
  <c r="BH16" i="50"/>
  <c r="AX16" i="50"/>
  <c r="BE16" i="50"/>
  <c r="AI5" i="50"/>
  <c r="AO5" i="50"/>
  <c r="AL5" i="50"/>
  <c r="CL5" i="50"/>
  <c r="AH51" i="50"/>
  <c r="AG51" i="50"/>
  <c r="AO51" i="50"/>
  <c r="AG48" i="50"/>
  <c r="AH48" i="50"/>
  <c r="AP48" i="50"/>
  <c r="BG41" i="50"/>
  <c r="AG36" i="50"/>
  <c r="BI104" i="50"/>
  <c r="BJ34" i="50"/>
  <c r="AO27" i="50"/>
  <c r="CL27" i="50"/>
  <c r="AG22" i="50"/>
  <c r="AP22" i="50"/>
  <c r="AJ91" i="50"/>
  <c r="AO90" i="50"/>
  <c r="AZ88" i="50"/>
  <c r="AF108" i="50"/>
  <c r="AH66" i="50"/>
  <c r="AT66" i="50" s="1"/>
  <c r="AO55" i="50"/>
  <c r="AY41" i="50"/>
  <c r="AW104" i="50"/>
  <c r="BJ85" i="50"/>
  <c r="BD82" i="50"/>
  <c r="AZ82" i="50"/>
  <c r="BE78" i="50"/>
  <c r="AK74" i="50"/>
  <c r="AN74" i="50"/>
  <c r="AK18" i="50"/>
  <c r="BI16" i="50"/>
  <c r="AN10" i="50"/>
  <c r="BC69" i="50"/>
  <c r="BG65" i="50"/>
  <c r="AR55" i="50"/>
  <c r="BE52" i="50"/>
  <c r="AZ17" i="50"/>
  <c r="AZ16" i="50"/>
  <c r="AZ65" i="50"/>
  <c r="AX45" i="50"/>
  <c r="AY45" i="50"/>
  <c r="AL35" i="50"/>
  <c r="AG35" i="50"/>
  <c r="AH35" i="50"/>
  <c r="AK35" i="50"/>
  <c r="AQ48" i="50"/>
  <c r="AZ91" i="50"/>
  <c r="BE91" i="50"/>
  <c r="BC109" i="50"/>
  <c r="AZ109" i="50"/>
  <c r="BH109" i="50"/>
  <c r="BI109" i="50"/>
  <c r="AX109" i="50"/>
  <c r="BJ109" i="50"/>
  <c r="AZ98" i="50"/>
  <c r="BH98" i="50"/>
  <c r="AX98" i="50"/>
  <c r="BJ98" i="50"/>
  <c r="BD18" i="50"/>
  <c r="BF18" i="50"/>
  <c r="AQ91" i="50"/>
  <c r="AF18" i="50"/>
  <c r="AT18" i="50" s="1"/>
  <c r="AQ5" i="50"/>
  <c r="AF5" i="50"/>
  <c r="AN5" i="50"/>
  <c r="AL51" i="50"/>
  <c r="BP51" i="50" s="1"/>
  <c r="AI51" i="50"/>
  <c r="AQ51" i="50"/>
  <c r="AK48" i="50"/>
  <c r="AJ48" i="50"/>
  <c r="AR48" i="50"/>
  <c r="BE41" i="50"/>
  <c r="BI35" i="50"/>
  <c r="AK108" i="50"/>
  <c r="BG104" i="50"/>
  <c r="BD34" i="50"/>
  <c r="AF27" i="50"/>
  <c r="AF22" i="50"/>
  <c r="AP91" i="50"/>
  <c r="AH108" i="50"/>
  <c r="AG10" i="50"/>
  <c r="AG55" i="50"/>
  <c r="BI71" i="50"/>
  <c r="BF41" i="50"/>
  <c r="BD104" i="50"/>
  <c r="BD85" i="50"/>
  <c r="AW82" i="50"/>
  <c r="BJ78" i="50"/>
  <c r="BG78" i="50"/>
  <c r="AM74" i="50"/>
  <c r="AP74" i="50"/>
  <c r="AM18" i="50"/>
  <c r="BG16" i="50"/>
  <c r="BH11" i="50"/>
  <c r="AK66" i="50"/>
  <c r="BH64" i="50"/>
  <c r="BG61" i="50"/>
  <c r="AJ59" i="50"/>
  <c r="BF71" i="50"/>
  <c r="BJ17" i="50"/>
  <c r="BJ16" i="50"/>
  <c r="BJ65" i="50"/>
  <c r="AY42" i="50"/>
  <c r="AW42" i="50"/>
  <c r="AN58" i="50"/>
  <c r="AN18" i="50"/>
  <c r="AT98" i="50"/>
  <c r="BP86" i="50"/>
  <c r="AX54" i="49"/>
  <c r="AS16" i="49"/>
  <c r="AW188" i="47"/>
  <c r="BQ188" i="47" s="1"/>
  <c r="AR115" i="47"/>
  <c r="AF205" i="47"/>
  <c r="BJ94" i="47"/>
  <c r="AF19" i="50"/>
  <c r="AW49" i="50"/>
  <c r="AM201" i="47"/>
  <c r="AL195" i="47"/>
  <c r="DE195" i="47"/>
  <c r="AJ201" i="47"/>
  <c r="AL187" i="47"/>
  <c r="AR185" i="47"/>
  <c r="AJ185" i="47"/>
  <c r="AL176" i="47"/>
  <c r="AG165" i="47"/>
  <c r="AG195" i="47"/>
  <c r="AQ195" i="47"/>
  <c r="AO176" i="47"/>
  <c r="AR51" i="47"/>
  <c r="AJ51" i="47"/>
  <c r="AM185" i="47"/>
  <c r="AG146" i="47"/>
  <c r="AK138" i="47"/>
  <c r="AJ42" i="47"/>
  <c r="AJ30" i="47"/>
  <c r="BP30" i="47" s="1"/>
  <c r="AI30" i="47"/>
  <c r="BW30" i="47" s="1"/>
  <c r="AQ30" i="47"/>
  <c r="AH146" i="47"/>
  <c r="AT146" i="47" s="1"/>
  <c r="AO115" i="47"/>
  <c r="AG115" i="47"/>
  <c r="AG107" i="47"/>
  <c r="AQ91" i="47"/>
  <c r="AO51" i="47"/>
  <c r="AL65" i="47"/>
  <c r="AO79" i="47"/>
  <c r="BG123" i="47"/>
  <c r="BG8" i="47"/>
  <c r="AJ115" i="47"/>
  <c r="BP115" i="47" s="1"/>
  <c r="AN146" i="47"/>
  <c r="AT77" i="47"/>
  <c r="BF199" i="47"/>
  <c r="AR195" i="47"/>
  <c r="AJ195" i="47"/>
  <c r="AH187" i="47"/>
  <c r="AP185" i="47"/>
  <c r="AH185" i="47"/>
  <c r="AR176" i="47"/>
  <c r="AJ176" i="47"/>
  <c r="AO195" i="47"/>
  <c r="AI176" i="47"/>
  <c r="BW176" i="47" s="1"/>
  <c r="AP51" i="47"/>
  <c r="AH51" i="47"/>
  <c r="AQ185" i="47"/>
  <c r="AF172" i="47"/>
  <c r="AH30" i="47"/>
  <c r="AN30" i="47"/>
  <c r="AK30" i="47"/>
  <c r="AP146" i="47"/>
  <c r="AO65" i="47"/>
  <c r="AM115" i="47"/>
  <c r="AM91" i="47"/>
  <c r="AI51" i="47"/>
  <c r="BW51" i="47" s="1"/>
  <c r="AH115" i="47"/>
  <c r="AG79" i="47"/>
  <c r="AP195" i="47"/>
  <c r="AH195" i="47"/>
  <c r="AT195" i="47" s="1"/>
  <c r="AN193" i="47"/>
  <c r="AF187" i="47"/>
  <c r="AN185" i="47"/>
  <c r="AF185" i="47"/>
  <c r="AT185" i="47" s="1"/>
  <c r="AP176" i="47"/>
  <c r="AH176" i="47"/>
  <c r="AM42" i="47"/>
  <c r="AI195" i="47"/>
  <c r="BW195" i="47" s="1"/>
  <c r="AN51" i="47"/>
  <c r="AF51" i="47"/>
  <c r="AR38" i="47"/>
  <c r="AO146" i="47"/>
  <c r="BD197" i="47"/>
  <c r="AN172" i="47"/>
  <c r="AP30" i="47"/>
  <c r="AR30" i="47"/>
  <c r="AM30" i="47"/>
  <c r="AK65" i="47"/>
  <c r="DE115" i="47"/>
  <c r="AK115" i="47"/>
  <c r="AO107" i="47"/>
  <c r="AM51" i="47"/>
  <c r="AL107" i="47"/>
  <c r="AK74" i="47"/>
  <c r="AM131" i="47"/>
  <c r="AT11" i="47"/>
  <c r="AN25" i="47"/>
  <c r="AI201" i="47"/>
  <c r="BW201" i="47" s="1"/>
  <c r="BI196" i="47"/>
  <c r="AL192" i="47"/>
  <c r="AH201" i="47"/>
  <c r="DE165" i="47"/>
  <c r="AI163" i="47"/>
  <c r="BW163" i="47" s="1"/>
  <c r="AK44" i="47"/>
  <c r="AK38" i="47"/>
  <c r="AQ36" i="47"/>
  <c r="AM176" i="47"/>
  <c r="AP44" i="47"/>
  <c r="AQ99" i="47"/>
  <c r="AO185" i="47"/>
  <c r="AP182" i="47"/>
  <c r="AH36" i="47"/>
  <c r="AX30" i="47"/>
  <c r="AI121" i="47"/>
  <c r="BW121" i="47" s="1"/>
  <c r="DE148" i="47"/>
  <c r="AK148" i="47"/>
  <c r="AG172" i="47"/>
  <c r="AP42" i="47"/>
  <c r="AM25" i="47"/>
  <c r="DE111" i="47"/>
  <c r="AK111" i="47"/>
  <c r="BF57" i="47"/>
  <c r="AR148" i="47"/>
  <c r="AP25" i="47"/>
  <c r="AR111" i="47"/>
  <c r="AN169" i="47"/>
  <c r="AH192" i="47"/>
  <c r="AP201" i="47"/>
  <c r="AO165" i="47"/>
  <c r="AQ44" i="47"/>
  <c r="AI44" i="47"/>
  <c r="BW44" i="47" s="1"/>
  <c r="AQ42" i="47"/>
  <c r="AG38" i="47"/>
  <c r="AM36" i="47"/>
  <c r="BF186" i="47"/>
  <c r="AG176" i="47"/>
  <c r="AQ176" i="47"/>
  <c r="AM99" i="47"/>
  <c r="AP121" i="47"/>
  <c r="AI185" i="47"/>
  <c r="BW185" i="47" s="1"/>
  <c r="AN182" i="47"/>
  <c r="AP36" i="47"/>
  <c r="BH30" i="47"/>
  <c r="AQ121" i="47"/>
  <c r="AQ148" i="47"/>
  <c r="AG140" i="47"/>
  <c r="AH172" i="47"/>
  <c r="AK172" i="47"/>
  <c r="BJ54" i="47"/>
  <c r="AQ27" i="47"/>
  <c r="AK25" i="47"/>
  <c r="AQ111" i="47"/>
  <c r="AI111" i="47"/>
  <c r="BW111" i="47" s="1"/>
  <c r="AO87" i="47"/>
  <c r="AL27" i="47"/>
  <c r="AH111" i="47"/>
  <c r="AT111" i="47" s="1"/>
  <c r="BD129" i="47"/>
  <c r="AS42" i="49"/>
  <c r="AI42" i="49"/>
  <c r="AN42" i="49"/>
  <c r="AM40" i="49"/>
  <c r="AQ39" i="49"/>
  <c r="AJ61" i="49"/>
  <c r="AR55" i="49"/>
  <c r="AJ55" i="49"/>
  <c r="AK55" i="49"/>
  <c r="AQ42" i="49"/>
  <c r="CE42" i="49"/>
  <c r="AJ39" i="49"/>
  <c r="AQ61" i="49"/>
  <c r="AP55" i="49"/>
  <c r="AH55" i="49"/>
  <c r="AI55" i="49"/>
  <c r="AN3" i="49"/>
  <c r="AW54" i="49"/>
  <c r="AP42" i="49"/>
  <c r="AS39" i="49"/>
  <c r="AO55" i="49"/>
  <c r="AN39" i="49"/>
  <c r="AR61" i="49"/>
  <c r="AI61" i="49"/>
  <c r="AN55" i="49"/>
  <c r="AM55" i="49"/>
  <c r="BB20" i="49"/>
  <c r="AN47" i="49"/>
  <c r="AO39" i="49"/>
  <c r="AN39" i="50"/>
  <c r="BM90" i="50"/>
  <c r="AQ8" i="50"/>
  <c r="CL31" i="50"/>
  <c r="AF42" i="50"/>
  <c r="AT42" i="50" s="1"/>
  <c r="BD30" i="50"/>
  <c r="AJ90" i="50"/>
  <c r="BI214" i="52"/>
  <c r="BK196" i="52"/>
  <c r="BJ261" i="52"/>
  <c r="BK248" i="52"/>
  <c r="BA68" i="52"/>
  <c r="BA61" i="52"/>
  <c r="BA52" i="52"/>
  <c r="AP26" i="52"/>
  <c r="BE61" i="52"/>
  <c r="AK277" i="52"/>
  <c r="BE266" i="52"/>
  <c r="BK214" i="52"/>
  <c r="AK114" i="52"/>
  <c r="AJ169" i="52"/>
  <c r="BA266" i="52"/>
  <c r="BF205" i="52"/>
  <c r="BA200" i="52"/>
  <c r="BE43" i="52"/>
  <c r="BA32" i="52"/>
  <c r="BF206" i="52"/>
  <c r="BG200" i="52"/>
  <c r="BJ200" i="52"/>
  <c r="AX196" i="52"/>
  <c r="AY40" i="52"/>
  <c r="AS40" i="49"/>
  <c r="AQ12" i="49"/>
  <c r="BC54" i="49"/>
  <c r="AN189" i="47"/>
  <c r="AL178" i="47"/>
  <c r="AQ34" i="47"/>
  <c r="AH182" i="47"/>
  <c r="AL34" i="47"/>
  <c r="AH101" i="47"/>
  <c r="AO140" i="47"/>
  <c r="AI91" i="47"/>
  <c r="BW91" i="47" s="1"/>
  <c r="AW23" i="50"/>
  <c r="AW19" i="50"/>
  <c r="BG50" i="50"/>
  <c r="AW7" i="50"/>
  <c r="BI7" i="50"/>
  <c r="AN105" i="47"/>
  <c r="AR105" i="47"/>
  <c r="AC446" i="48"/>
  <c r="AK446" i="48"/>
  <c r="AO446" i="48"/>
  <c r="BG452" i="48"/>
  <c r="BA452" i="48"/>
  <c r="AT452" i="48"/>
  <c r="BK261" i="52"/>
  <c r="AJ62" i="52"/>
  <c r="AY196" i="52"/>
  <c r="CG196" i="52"/>
  <c r="BH40" i="52"/>
  <c r="AZ261" i="52"/>
  <c r="BE68" i="52"/>
  <c r="AL65" i="52"/>
  <c r="BF58" i="52"/>
  <c r="BE52" i="52"/>
  <c r="AH26" i="52"/>
  <c r="BI64" i="52"/>
  <c r="AX61" i="52"/>
  <c r="BF55" i="52"/>
  <c r="CG26" i="52"/>
  <c r="CG224" i="52"/>
  <c r="AO161" i="52"/>
  <c r="BG266" i="52"/>
  <c r="AY266" i="52"/>
  <c r="BA209" i="52"/>
  <c r="BA205" i="52"/>
  <c r="AM200" i="52"/>
  <c r="BH43" i="52"/>
  <c r="AY32" i="52"/>
  <c r="AY4" i="52"/>
  <c r="BJ206" i="52"/>
  <c r="BI200" i="52"/>
  <c r="AZ196" i="52"/>
  <c r="BE40" i="52"/>
  <c r="AZ36" i="52"/>
  <c r="CG198" i="52"/>
  <c r="AH178" i="47"/>
  <c r="AI178" i="47"/>
  <c r="BW178" i="47" s="1"/>
  <c r="AM34" i="47"/>
  <c r="AP101" i="47"/>
  <c r="AK140" i="47"/>
  <c r="BD2" i="47"/>
  <c r="BE50" i="50"/>
  <c r="BD40" i="50"/>
  <c r="BJ40" i="50"/>
  <c r="AW40" i="50"/>
  <c r="AQ43" i="50"/>
  <c r="AJ43" i="50"/>
  <c r="AH43" i="50"/>
  <c r="AN43" i="50"/>
  <c r="AL43" i="50"/>
  <c r="AO6" i="50"/>
  <c r="AP6" i="50"/>
  <c r="AI6" i="50"/>
  <c r="AL6" i="50"/>
  <c r="AH6" i="50"/>
  <c r="AG6" i="50"/>
  <c r="AK6" i="50"/>
  <c r="AG452" i="48"/>
  <c r="AC452" i="48"/>
  <c r="AI174" i="52"/>
  <c r="AH45" i="49"/>
  <c r="AM3" i="49"/>
  <c r="AO101" i="47"/>
  <c r="BF177" i="47"/>
  <c r="AR94" i="47"/>
  <c r="AL140" i="47"/>
  <c r="AO13" i="47"/>
  <c r="AM150" i="47"/>
  <c r="AF30" i="50"/>
  <c r="BJ19" i="50"/>
  <c r="BH33" i="50"/>
  <c r="AQ58" i="50"/>
  <c r="AM58" i="50"/>
  <c r="AI58" i="50"/>
  <c r="AH58" i="50"/>
  <c r="AR58" i="50"/>
  <c r="AX260" i="52"/>
  <c r="AX52" i="52"/>
  <c r="AL62" i="52"/>
  <c r="BD52" i="52"/>
  <c r="BI52" i="52"/>
  <c r="BJ71" i="52"/>
  <c r="AI158" i="52"/>
  <c r="BK266" i="52"/>
  <c r="BG271" i="52"/>
  <c r="AS208" i="52"/>
  <c r="BG206" i="52"/>
  <c r="BH49" i="52"/>
  <c r="AY261" i="52"/>
  <c r="BE261" i="52"/>
  <c r="BH260" i="52"/>
  <c r="AX68" i="52"/>
  <c r="BF68" i="52"/>
  <c r="BK68" i="52"/>
  <c r="BA62" i="52"/>
  <c r="BF52" i="52"/>
  <c r="BK52" i="52"/>
  <c r="BG71" i="52"/>
  <c r="BG59" i="52"/>
  <c r="AY53" i="52"/>
  <c r="AI224" i="52"/>
  <c r="BK209" i="52"/>
  <c r="AG144" i="52"/>
  <c r="AZ266" i="52"/>
  <c r="BH214" i="52"/>
  <c r="BA36" i="52"/>
  <c r="BG4" i="52"/>
  <c r="BK206" i="52"/>
  <c r="AZ200" i="52"/>
  <c r="BE196" i="52"/>
  <c r="AY49" i="52"/>
  <c r="BG36" i="52"/>
  <c r="AX32" i="52"/>
  <c r="AP153" i="52"/>
  <c r="BF245" i="52"/>
  <c r="AQ41" i="49"/>
  <c r="BB26" i="49"/>
  <c r="AL12" i="49"/>
  <c r="AK101" i="47"/>
  <c r="AL177" i="47"/>
  <c r="BH94" i="47"/>
  <c r="AG13" i="47"/>
  <c r="BJ118" i="47"/>
  <c r="AW30" i="50"/>
  <c r="BH19" i="50"/>
  <c r="BD33" i="50"/>
  <c r="AW68" i="50"/>
  <c r="AY91" i="50"/>
  <c r="AW91" i="50"/>
  <c r="BF91" i="50"/>
  <c r="BG91" i="50"/>
  <c r="BI91" i="50"/>
  <c r="BG103" i="50"/>
  <c r="AX103" i="50"/>
  <c r="BD103" i="50"/>
  <c r="BF103" i="50"/>
  <c r="BH103" i="50"/>
  <c r="AZ103" i="50"/>
  <c r="AW79" i="50"/>
  <c r="BE79" i="50"/>
  <c r="BJ79" i="50"/>
  <c r="BG79" i="50"/>
  <c r="BH79" i="50"/>
  <c r="BI79" i="50"/>
  <c r="BF79" i="50"/>
  <c r="AX79" i="50"/>
  <c r="AY79" i="50"/>
  <c r="BC79" i="50"/>
  <c r="AN103" i="50"/>
  <c r="AQ103" i="50"/>
  <c r="BA461" i="48"/>
  <c r="BG461" i="48"/>
  <c r="AT461" i="48"/>
  <c r="BH261" i="52"/>
  <c r="BK58" i="52"/>
  <c r="AI228" i="52"/>
  <c r="AJ228" i="52"/>
  <c r="BD266" i="52"/>
  <c r="AY214" i="52"/>
  <c r="BA204" i="52"/>
  <c r="AX200" i="52"/>
  <c r="BH196" i="52"/>
  <c r="BJ36" i="52"/>
  <c r="BG261" i="52"/>
  <c r="BK260" i="52"/>
  <c r="BA64" i="52"/>
  <c r="AG62" i="52"/>
  <c r="BH52" i="52"/>
  <c r="BD69" i="52"/>
  <c r="AZ59" i="52"/>
  <c r="BI53" i="52"/>
  <c r="AI220" i="52"/>
  <c r="CG228" i="52"/>
  <c r="CG220" i="52"/>
  <c r="AQ268" i="52"/>
  <c r="BE214" i="52"/>
  <c r="BA267" i="52"/>
  <c r="BD214" i="52"/>
  <c r="AY200" i="52"/>
  <c r="AY42" i="52"/>
  <c r="AR197" i="52"/>
  <c r="AY36" i="52"/>
  <c r="BA245" i="52"/>
  <c r="BK4" i="52"/>
  <c r="BG196" i="52"/>
  <c r="BH32" i="52"/>
  <c r="BJ245" i="52"/>
  <c r="BE43" i="49"/>
  <c r="AM41" i="49"/>
  <c r="BD48" i="49"/>
  <c r="BD6" i="49"/>
  <c r="AR182" i="47"/>
  <c r="AH177" i="47"/>
  <c r="AP94" i="47"/>
  <c r="BF61" i="47"/>
  <c r="BF118" i="47"/>
  <c r="BF19" i="50"/>
  <c r="AW33" i="50"/>
  <c r="BD50" i="50"/>
  <c r="BD68" i="50"/>
  <c r="AY35" i="50"/>
  <c r="BE35" i="50"/>
  <c r="AW35" i="50"/>
  <c r="BG35" i="50"/>
  <c r="BJ35" i="50"/>
  <c r="BF35" i="50"/>
  <c r="BD35" i="50"/>
  <c r="AZ35" i="50"/>
  <c r="BC35" i="50"/>
  <c r="AJ94" i="50"/>
  <c r="AO94" i="50"/>
  <c r="AR94" i="50"/>
  <c r="AM94" i="50"/>
  <c r="AK94" i="50"/>
  <c r="AH94" i="50"/>
  <c r="AI94" i="50"/>
  <c r="AL94" i="50"/>
  <c r="CL94" i="50"/>
  <c r="AN94" i="50"/>
  <c r="AF94" i="50"/>
  <c r="AQ94" i="50"/>
  <c r="AY102" i="50"/>
  <c r="BE102" i="50"/>
  <c r="AW102" i="50"/>
  <c r="BG102" i="50"/>
  <c r="BH102" i="50"/>
  <c r="BI102" i="50"/>
  <c r="BD102" i="50"/>
  <c r="AZ102" i="50"/>
  <c r="AX102" i="50"/>
  <c r="BC102" i="50"/>
  <c r="AX76" i="50"/>
  <c r="BF76" i="50"/>
  <c r="BI76" i="50"/>
  <c r="BH76" i="50"/>
  <c r="BG76" i="50"/>
  <c r="BJ76" i="50"/>
  <c r="BE76" i="50"/>
  <c r="AW76" i="50"/>
  <c r="AZ76" i="50"/>
  <c r="BD76" i="50"/>
  <c r="AR9" i="50"/>
  <c r="AK9" i="50"/>
  <c r="AL9" i="50"/>
  <c r="AI9" i="50"/>
  <c r="AP9" i="50"/>
  <c r="AG9" i="50"/>
  <c r="AO9" i="50"/>
  <c r="AN9" i="50"/>
  <c r="AM9" i="50"/>
  <c r="AH9" i="50"/>
  <c r="BJ52" i="52"/>
  <c r="AN174" i="52"/>
  <c r="BG214" i="52"/>
  <c r="AY267" i="52"/>
  <c r="AX40" i="52"/>
  <c r="BA196" i="52"/>
  <c r="AR191" i="47"/>
  <c r="BJ23" i="50"/>
  <c r="AQ97" i="50"/>
  <c r="AY36" i="50"/>
  <c r="AX36" i="50"/>
  <c r="AW64" i="50"/>
  <c r="AZ64" i="50"/>
  <c r="BE64" i="50"/>
  <c r="BH61" i="52"/>
  <c r="AY68" i="50"/>
  <c r="BC68" i="50"/>
  <c r="BH68" i="50"/>
  <c r="BI68" i="50"/>
  <c r="AP178" i="47"/>
  <c r="DE140" i="47"/>
  <c r="BF23" i="50"/>
  <c r="BD22" i="50"/>
  <c r="CL22" i="50"/>
  <c r="AZ50" i="50"/>
  <c r="BF50" i="50"/>
  <c r="CL35" i="50"/>
  <c r="AP35" i="50"/>
  <c r="AO35" i="50"/>
  <c r="BD107" i="50"/>
  <c r="CL107" i="50"/>
  <c r="AY107" i="50"/>
  <c r="BC63" i="50"/>
  <c r="BG63" i="50"/>
  <c r="BD63" i="50"/>
  <c r="AJ42" i="50"/>
  <c r="BP42" i="50" s="1"/>
  <c r="BG434" i="48"/>
  <c r="AC420" i="48"/>
  <c r="AT350" i="48"/>
  <c r="AC342" i="48"/>
  <c r="AM424" i="48"/>
  <c r="AV416" i="48"/>
  <c r="BG378" i="48"/>
  <c r="AV370" i="48"/>
  <c r="AO318" i="48"/>
  <c r="AE382" i="48"/>
  <c r="AT374" i="48"/>
  <c r="AC308" i="48"/>
  <c r="AV292" i="48"/>
  <c r="AE276" i="48"/>
  <c r="AQ276" i="48" s="1"/>
  <c r="AV253" i="48"/>
  <c r="AC312" i="48"/>
  <c r="AV280" i="48"/>
  <c r="AC231" i="48"/>
  <c r="AT219" i="48"/>
  <c r="AC163" i="48"/>
  <c r="BN341" i="48"/>
  <c r="AI288" i="48"/>
  <c r="AV227" i="48"/>
  <c r="AC211" i="48"/>
  <c r="BC136" i="48"/>
  <c r="AT132" i="48"/>
  <c r="BC124" i="48"/>
  <c r="AK372" i="48"/>
  <c r="BJ49" i="50"/>
  <c r="AO465" i="48"/>
  <c r="AO438" i="48"/>
  <c r="AT420" i="48"/>
  <c r="AT342" i="48"/>
  <c r="BA334" i="48"/>
  <c r="AC416" i="48"/>
  <c r="AE378" i="48"/>
  <c r="AC370" i="48"/>
  <c r="AQ370" i="48" s="1"/>
  <c r="AE318" i="48"/>
  <c r="AV382" i="48"/>
  <c r="AR365" i="48"/>
  <c r="AT308" i="48"/>
  <c r="BJ308" i="48" s="1"/>
  <c r="AC292" i="48"/>
  <c r="AV276" i="48"/>
  <c r="AE262" i="48"/>
  <c r="AC253" i="48"/>
  <c r="AQ253" i="48" s="1"/>
  <c r="AE245" i="48"/>
  <c r="AT312" i="48"/>
  <c r="AC280" i="48"/>
  <c r="AV257" i="48"/>
  <c r="BJ257" i="48" s="1"/>
  <c r="AT231" i="48"/>
  <c r="AC205" i="48"/>
  <c r="AC189" i="48"/>
  <c r="AT175" i="48"/>
  <c r="AE288" i="48"/>
  <c r="AV272" i="48"/>
  <c r="AC227" i="48"/>
  <c r="AT211" i="48"/>
  <c r="BJ211" i="48" s="1"/>
  <c r="BG155" i="48"/>
  <c r="BG151" i="48"/>
  <c r="AC136" i="48"/>
  <c r="AC124" i="48"/>
  <c r="AC376" i="48"/>
  <c r="AQ376" i="48" s="1"/>
  <c r="AC372" i="48"/>
  <c r="BA374" i="48"/>
  <c r="AM308" i="48"/>
  <c r="BE312" i="48"/>
  <c r="AM231" i="48"/>
  <c r="BA219" i="48"/>
  <c r="AM211" i="48"/>
  <c r="AQ138" i="48"/>
  <c r="AV40" i="48"/>
  <c r="BC420" i="48"/>
  <c r="BE370" i="48"/>
  <c r="AR357" i="48"/>
  <c r="BA308" i="48"/>
  <c r="AM292" i="48"/>
  <c r="AM253" i="48"/>
  <c r="BA312" i="48"/>
  <c r="BE280" i="48"/>
  <c r="BA231" i="48"/>
  <c r="AO205" i="48"/>
  <c r="BA211" i="48"/>
  <c r="AO92" i="48"/>
  <c r="AN208" i="48"/>
  <c r="AW38" i="50"/>
  <c r="AQ57" i="50"/>
  <c r="AW31" i="50"/>
  <c r="BA442" i="48"/>
  <c r="AG430" i="48"/>
  <c r="AE420" i="48"/>
  <c r="AC412" i="48"/>
  <c r="AQ372" i="48"/>
  <c r="AT366" i="48"/>
  <c r="BA350" i="48"/>
  <c r="AT424" i="48"/>
  <c r="BG416" i="48"/>
  <c r="AT408" i="48"/>
  <c r="BJ408" i="48" s="1"/>
  <c r="AC386" i="48"/>
  <c r="BA370" i="48"/>
  <c r="AR349" i="48"/>
  <c r="AC390" i="48"/>
  <c r="AQ390" i="48" s="1"/>
  <c r="AV374" i="48"/>
  <c r="AE308" i="48"/>
  <c r="BA292" i="48"/>
  <c r="AT284" i="48"/>
  <c r="BJ284" i="48" s="1"/>
  <c r="AM276" i="48"/>
  <c r="AC268" i="48"/>
  <c r="BA253" i="48"/>
  <c r="BA280" i="48"/>
  <c r="AT264" i="48"/>
  <c r="BE257" i="48"/>
  <c r="AT215" i="48"/>
  <c r="AC249" i="48"/>
  <c r="AQ249" i="48" s="1"/>
  <c r="AV219" i="48"/>
  <c r="AK205" i="48"/>
  <c r="AT197" i="48"/>
  <c r="AO189" i="48"/>
  <c r="BG175" i="48"/>
  <c r="AG171" i="48"/>
  <c r="AT193" i="48"/>
  <c r="AT144" i="48"/>
  <c r="BC132" i="48"/>
  <c r="AC120" i="48"/>
  <c r="AT201" i="48"/>
  <c r="AT432" i="48"/>
  <c r="BJ432" i="48" s="1"/>
  <c r="AK114" i="48"/>
  <c r="BP18" i="50"/>
  <c r="AJ107" i="50"/>
  <c r="BP107" i="50" s="1"/>
  <c r="AT472" i="48"/>
  <c r="AT398" i="48"/>
  <c r="AV420" i="48"/>
  <c r="BJ420" i="48" s="1"/>
  <c r="AT412" i="48"/>
  <c r="AT358" i="48"/>
  <c r="AC350" i="48"/>
  <c r="BA342" i="48"/>
  <c r="AE416" i="48"/>
  <c r="AT386" i="48"/>
  <c r="BJ386" i="48" s="1"/>
  <c r="AE370" i="48"/>
  <c r="AT390" i="48"/>
  <c r="BA382" i="48"/>
  <c r="AC374" i="48"/>
  <c r="AQ374" i="48" s="1"/>
  <c r="AV308" i="48"/>
  <c r="AE292" i="48"/>
  <c r="BA276" i="48"/>
  <c r="AT268" i="48"/>
  <c r="BJ268" i="48" s="1"/>
  <c r="AM262" i="48"/>
  <c r="AE253" i="48"/>
  <c r="AV312" i="48"/>
  <c r="BA257" i="48"/>
  <c r="AV231" i="48"/>
  <c r="AT235" i="48"/>
  <c r="AE205" i="48"/>
  <c r="AQ205" i="48" s="1"/>
  <c r="AE189" i="48"/>
  <c r="AQ189" i="48" s="1"/>
  <c r="BA175" i="48"/>
  <c r="AT159" i="48"/>
  <c r="BA272" i="48"/>
  <c r="AV211" i="48"/>
  <c r="AT237" i="48"/>
  <c r="AT120" i="48"/>
  <c r="AQ44" i="49"/>
  <c r="AM44" i="49"/>
  <c r="BM44" i="49" s="1"/>
  <c r="AI44" i="49"/>
  <c r="AN44" i="49"/>
  <c r="AO41" i="49"/>
  <c r="AP33" i="49"/>
  <c r="AM39" i="49"/>
  <c r="AH39" i="49"/>
  <c r="AL39" i="49"/>
  <c r="AP39" i="49"/>
  <c r="AR29" i="49"/>
  <c r="AN29" i="49"/>
  <c r="AJ29" i="49"/>
  <c r="AO29" i="49"/>
  <c r="CE61" i="49"/>
  <c r="AP61" i="49"/>
  <c r="AL61" i="49"/>
  <c r="AH61" i="49"/>
  <c r="AM61" i="49"/>
  <c r="BM61" i="49" s="1"/>
  <c r="AL57" i="49"/>
  <c r="AR16" i="49"/>
  <c r="AN16" i="49"/>
  <c r="AJ16" i="49"/>
  <c r="AR14" i="49"/>
  <c r="AN14" i="49"/>
  <c r="AJ14" i="49"/>
  <c r="AH21" i="49"/>
  <c r="AM29" i="49"/>
  <c r="BM29" i="49" s="1"/>
  <c r="AO16" i="49"/>
  <c r="AM14" i="49"/>
  <c r="AJ54" i="49"/>
  <c r="AM16" i="49"/>
  <c r="BM16" i="49" s="1"/>
  <c r="AK39" i="49"/>
  <c r="AS61" i="49"/>
  <c r="AS14" i="49"/>
  <c r="AV41" i="49"/>
  <c r="AX41" i="49"/>
  <c r="BC41" i="49"/>
  <c r="BE41" i="49"/>
  <c r="AV40" i="49"/>
  <c r="AX40" i="49"/>
  <c r="BI40" i="49"/>
  <c r="AV50" i="49"/>
  <c r="BE50" i="49"/>
  <c r="BD8" i="49"/>
  <c r="BH8" i="49"/>
  <c r="AK35" i="49"/>
  <c r="BM35" i="49" s="1"/>
  <c r="AQ35" i="49"/>
  <c r="AI35" i="49"/>
  <c r="AG35" i="49"/>
  <c r="AS35" i="49"/>
  <c r="AJ35" i="49"/>
  <c r="AN35" i="49"/>
  <c r="AR35" i="49"/>
  <c r="AM47" i="49"/>
  <c r="AH47" i="49"/>
  <c r="AL47" i="49"/>
  <c r="AP47" i="49"/>
  <c r="AI9" i="49"/>
  <c r="AQ9" i="49"/>
  <c r="AJ9" i="49"/>
  <c r="AN9" i="49"/>
  <c r="AR9" i="49"/>
  <c r="AK31" i="49"/>
  <c r="AS31" i="49"/>
  <c r="AQ31" i="49"/>
  <c r="AI31" i="49"/>
  <c r="AJ31" i="49"/>
  <c r="AN31" i="49"/>
  <c r="AR31" i="49"/>
  <c r="AS23" i="49"/>
  <c r="AQ23" i="49"/>
  <c r="AJ23" i="49"/>
  <c r="AR23" i="49"/>
  <c r="AS59" i="49"/>
  <c r="AI59" i="49"/>
  <c r="AJ59" i="49"/>
  <c r="AR59" i="49"/>
  <c r="AK12" i="49"/>
  <c r="AM12" i="49"/>
  <c r="BM12" i="49" s="1"/>
  <c r="AO12" i="49"/>
  <c r="AJ12" i="49"/>
  <c r="AN12" i="49"/>
  <c r="AR12" i="49"/>
  <c r="AK33" i="49"/>
  <c r="BM33" i="49" s="1"/>
  <c r="AO33" i="49"/>
  <c r="AI33" i="49"/>
  <c r="AS33" i="49"/>
  <c r="AQ33" i="49"/>
  <c r="AL33" i="49"/>
  <c r="AH33" i="49"/>
  <c r="AR33" i="49"/>
  <c r="AQ25" i="49"/>
  <c r="AI25" i="49"/>
  <c r="AO25" i="49"/>
  <c r="AJ25" i="49"/>
  <c r="AN25" i="49"/>
  <c r="AR25" i="49"/>
  <c r="AG21" i="49"/>
  <c r="AK21" i="49"/>
  <c r="AM21" i="49"/>
  <c r="AJ21" i="49"/>
  <c r="AN21" i="49"/>
  <c r="AR21" i="49"/>
  <c r="AG41" i="49"/>
  <c r="AK41" i="49"/>
  <c r="AS41" i="49"/>
  <c r="AG40" i="49"/>
  <c r="AK40" i="49"/>
  <c r="AO40" i="49"/>
  <c r="AQ40" i="49"/>
  <c r="AP35" i="49"/>
  <c r="AH35" i="49"/>
  <c r="AJ33" i="49"/>
  <c r="AL31" i="49"/>
  <c r="AP25" i="49"/>
  <c r="AH25" i="49"/>
  <c r="AT25" i="49" s="1"/>
  <c r="BA25" i="49" s="1"/>
  <c r="AM31" i="49"/>
  <c r="AG25" i="49"/>
  <c r="AI23" i="49"/>
  <c r="AQ59" i="49"/>
  <c r="AP12" i="49"/>
  <c r="AH12" i="49"/>
  <c r="AL21" i="49"/>
  <c r="AO35" i="49"/>
  <c r="BH60" i="49"/>
  <c r="BD60" i="49"/>
  <c r="AQ21" i="49"/>
  <c r="AR47" i="49"/>
  <c r="AJ47" i="49"/>
  <c r="AI47" i="49"/>
  <c r="BH46" i="49"/>
  <c r="AL9" i="49"/>
  <c r="AM9" i="49"/>
  <c r="AI12" i="49"/>
  <c r="AP3" i="49"/>
  <c r="AJ3" i="49"/>
  <c r="AR3" i="49"/>
  <c r="AG3" i="49"/>
  <c r="AK3" i="49"/>
  <c r="AO3" i="49"/>
  <c r="AS3" i="49"/>
  <c r="AG33" i="49"/>
  <c r="AK54" i="49"/>
  <c r="AO54" i="49"/>
  <c r="AP54" i="49"/>
  <c r="AL54" i="49"/>
  <c r="AH54" i="49"/>
  <c r="AS25" i="49"/>
  <c r="AS21" i="49"/>
  <c r="AK25" i="49"/>
  <c r="BM25" i="49" s="1"/>
  <c r="AH42" i="49"/>
  <c r="AR42" i="49"/>
  <c r="AJ42" i="49"/>
  <c r="AG42" i="49"/>
  <c r="AK42" i="49"/>
  <c r="BM42" i="49" s="1"/>
  <c r="BM49" i="49"/>
  <c r="BM19" i="49"/>
  <c r="BC465" i="48"/>
  <c r="BC461" i="48"/>
  <c r="BC457" i="48"/>
  <c r="AK450" i="48"/>
  <c r="BG446" i="48"/>
  <c r="AO442" i="48"/>
  <c r="AK442" i="48"/>
  <c r="AG442" i="48"/>
  <c r="BG438" i="48"/>
  <c r="BA438" i="48"/>
  <c r="BN464" i="48"/>
  <c r="AO434" i="48"/>
  <c r="AK434" i="48"/>
  <c r="AG434" i="48"/>
  <c r="BG430" i="48"/>
  <c r="BA430" i="48"/>
  <c r="BG398" i="48"/>
  <c r="BE394" i="48"/>
  <c r="BG420" i="48"/>
  <c r="BG412" i="48"/>
  <c r="BO400" i="48"/>
  <c r="AG362" i="48"/>
  <c r="AK362" i="48"/>
  <c r="AG338" i="48"/>
  <c r="AO338" i="48"/>
  <c r="AG408" i="48"/>
  <c r="AK408" i="48"/>
  <c r="AG354" i="48"/>
  <c r="AK354" i="48"/>
  <c r="AG330" i="48"/>
  <c r="AK330" i="48"/>
  <c r="BC386" i="48"/>
  <c r="BG386" i="48"/>
  <c r="AG318" i="48"/>
  <c r="AM318" i="48"/>
  <c r="AT59" i="48"/>
  <c r="BJ59" i="48" s="1"/>
  <c r="AV59" i="48"/>
  <c r="AO243" i="48"/>
  <c r="AG243" i="48"/>
  <c r="AK243" i="48"/>
  <c r="AR243" i="48" s="1"/>
  <c r="BO380" i="48"/>
  <c r="BO307" i="48"/>
  <c r="BO291" i="48"/>
  <c r="BO275" i="48"/>
  <c r="BN261" i="48"/>
  <c r="BO260" i="48"/>
  <c r="BE245" i="48"/>
  <c r="BE296" i="48"/>
  <c r="BE264" i="48"/>
  <c r="AO215" i="48"/>
  <c r="BO200" i="48"/>
  <c r="BK178" i="48"/>
  <c r="BK170" i="48"/>
  <c r="BE272" i="48"/>
  <c r="BE201" i="48"/>
  <c r="AK108" i="48"/>
  <c r="BD73" i="48"/>
  <c r="AH69" i="48"/>
  <c r="AE114" i="48"/>
  <c r="AQ114" i="48" s="1"/>
  <c r="AD114" i="48"/>
  <c r="AL114" i="48"/>
  <c r="BE106" i="48"/>
  <c r="BB103" i="48"/>
  <c r="BE96" i="48"/>
  <c r="AC93" i="48"/>
  <c r="AE89" i="48"/>
  <c r="AM89" i="48"/>
  <c r="BG86" i="48"/>
  <c r="BD83" i="48"/>
  <c r="AD72" i="48"/>
  <c r="AI69" i="48"/>
  <c r="CG69" i="48"/>
  <c r="AF68" i="48"/>
  <c r="AJ68" i="48"/>
  <c r="BA107" i="48"/>
  <c r="BE107" i="48"/>
  <c r="BC107" i="48"/>
  <c r="BK107" i="48" s="1"/>
  <c r="BA139" i="48"/>
  <c r="BC139" i="48"/>
  <c r="BK139" i="48" s="1"/>
  <c r="AU129" i="48"/>
  <c r="AT129" i="48"/>
  <c r="BC121" i="48"/>
  <c r="AV121" i="48"/>
  <c r="BG103" i="48"/>
  <c r="AV103" i="48"/>
  <c r="BJ103" i="48" s="1"/>
  <c r="BG83" i="48"/>
  <c r="AV83" i="48"/>
  <c r="AU73" i="48"/>
  <c r="AV73" i="48"/>
  <c r="AU59" i="48"/>
  <c r="AV55" i="48"/>
  <c r="BG55" i="48"/>
  <c r="BA55" i="48"/>
  <c r="AU55" i="48"/>
  <c r="AV31" i="48"/>
  <c r="BG31" i="48"/>
  <c r="BA31" i="48"/>
  <c r="AU31" i="48"/>
  <c r="AV23" i="48"/>
  <c r="BE23" i="48"/>
  <c r="BG23" i="48"/>
  <c r="AU23" i="48"/>
  <c r="AW18" i="48"/>
  <c r="BF18" i="48"/>
  <c r="AZ18" i="48"/>
  <c r="AT18" i="48"/>
  <c r="BC18" i="48"/>
  <c r="BG18" i="48"/>
  <c r="AM14" i="48"/>
  <c r="AE14" i="48"/>
  <c r="AL14" i="48"/>
  <c r="AH14" i="48"/>
  <c r="AP14" i="48" s="1"/>
  <c r="AY14" i="48" s="1"/>
  <c r="AD14" i="48"/>
  <c r="AK14" i="48"/>
  <c r="AC14" i="48"/>
  <c r="AI10" i="48"/>
  <c r="AE10" i="48"/>
  <c r="AN10" i="48"/>
  <c r="AJ10" i="48"/>
  <c r="BN10" i="48" s="1"/>
  <c r="AF10" i="48"/>
  <c r="AO10" i="48"/>
  <c r="BA8" i="48"/>
  <c r="AV8" i="48"/>
  <c r="BG8" i="48"/>
  <c r="AU8" i="48"/>
  <c r="BB8" i="48"/>
  <c r="BF8" i="48"/>
  <c r="AV4" i="48"/>
  <c r="BJ4" i="48" s="1"/>
  <c r="BG4" i="48"/>
  <c r="BA4" i="48"/>
  <c r="AU4" i="48"/>
  <c r="BB4" i="48"/>
  <c r="BK4" i="48" s="1"/>
  <c r="BF4" i="48"/>
  <c r="AO436" i="48"/>
  <c r="AC436" i="48"/>
  <c r="AQ436" i="48" s="1"/>
  <c r="AJ419" i="48"/>
  <c r="AP419" i="48" s="1"/>
  <c r="AY419" i="48" s="1"/>
  <c r="AN419" i="48"/>
  <c r="AO384" i="48"/>
  <c r="AK384" i="48"/>
  <c r="AO380" i="48"/>
  <c r="AC380" i="48"/>
  <c r="AQ380" i="48" s="1"/>
  <c r="AJ373" i="48"/>
  <c r="AF373" i="48"/>
  <c r="BB463" i="48"/>
  <c r="BB352" i="48"/>
  <c r="AT278" i="48"/>
  <c r="BJ278" i="48" s="1"/>
  <c r="AC356" i="48"/>
  <c r="AQ356" i="48" s="1"/>
  <c r="AV66" i="48"/>
  <c r="BJ66" i="48" s="1"/>
  <c r="AC80" i="48"/>
  <c r="AQ80" i="48" s="1"/>
  <c r="AV352" i="48"/>
  <c r="BJ352" i="48" s="1"/>
  <c r="BF278" i="48"/>
  <c r="AF44" i="50"/>
  <c r="AR44" i="50"/>
  <c r="AJ40" i="50"/>
  <c r="AH40" i="50"/>
  <c r="AJ38" i="50"/>
  <c r="AH38" i="50"/>
  <c r="AY28" i="50"/>
  <c r="BJ28" i="50"/>
  <c r="AX28" i="50"/>
  <c r="AZ28" i="50"/>
  <c r="AO26" i="50"/>
  <c r="AK26" i="50"/>
  <c r="AG26" i="50"/>
  <c r="BC4" i="50"/>
  <c r="CL4" i="50"/>
  <c r="AZ51" i="50"/>
  <c r="BD51" i="50"/>
  <c r="BH51" i="50"/>
  <c r="AW48" i="50"/>
  <c r="BM48" i="50" s="1"/>
  <c r="BF48" i="50"/>
  <c r="BD48" i="50"/>
  <c r="AZ48" i="50"/>
  <c r="BE48" i="50"/>
  <c r="BI48" i="50"/>
  <c r="CL46" i="50"/>
  <c r="AX46" i="50"/>
  <c r="BF46" i="50"/>
  <c r="BJ46" i="50"/>
  <c r="AW43" i="50"/>
  <c r="BF43" i="50"/>
  <c r="BD43" i="50"/>
  <c r="AZ43" i="50"/>
  <c r="CL43" i="50"/>
  <c r="BC43" i="50"/>
  <c r="BG43" i="50"/>
  <c r="AW36" i="50"/>
  <c r="BF36" i="50"/>
  <c r="BH36" i="50"/>
  <c r="AZ36" i="50"/>
  <c r="BE36" i="50"/>
  <c r="BI36" i="50"/>
  <c r="AQ95" i="50"/>
  <c r="AR95" i="50"/>
  <c r="AN95" i="50"/>
  <c r="AJ95" i="50"/>
  <c r="AF95" i="50"/>
  <c r="AK95" i="50"/>
  <c r="AX92" i="50"/>
  <c r="BF92" i="50"/>
  <c r="BJ92" i="50"/>
  <c r="AW92" i="50"/>
  <c r="BI92" i="50"/>
  <c r="AY89" i="50"/>
  <c r="BH89" i="50"/>
  <c r="BJ89" i="50"/>
  <c r="AX89" i="50"/>
  <c r="BD89" i="50"/>
  <c r="AZ89" i="50"/>
  <c r="BE89" i="50"/>
  <c r="BI89" i="50"/>
  <c r="AX86" i="50"/>
  <c r="BF86" i="50"/>
  <c r="BJ86" i="50"/>
  <c r="AY108" i="50"/>
  <c r="BJ108" i="50"/>
  <c r="AX108" i="50"/>
  <c r="BD108" i="50"/>
  <c r="BF108" i="50"/>
  <c r="AZ108" i="50"/>
  <c r="CL108" i="50"/>
  <c r="BE108" i="50"/>
  <c r="BI108" i="50"/>
  <c r="AQ104" i="50"/>
  <c r="AR104" i="50"/>
  <c r="AN104" i="50"/>
  <c r="AJ104" i="50"/>
  <c r="AF104" i="50"/>
  <c r="AG104" i="50"/>
  <c r="AO104" i="50"/>
  <c r="AZ101" i="50"/>
  <c r="BD101" i="50"/>
  <c r="BH101" i="50"/>
  <c r="BE101" i="50"/>
  <c r="AM99" i="50"/>
  <c r="CL99" i="50"/>
  <c r="AP99" i="50"/>
  <c r="AL99" i="50"/>
  <c r="AH99" i="50"/>
  <c r="AK99" i="50"/>
  <c r="AZ84" i="50"/>
  <c r="BD84" i="50"/>
  <c r="BH84" i="50"/>
  <c r="AW84" i="50"/>
  <c r="BI84" i="50"/>
  <c r="AY81" i="50"/>
  <c r="BJ81" i="50"/>
  <c r="BF81" i="50"/>
  <c r="AZ81" i="50"/>
  <c r="BC81" i="50"/>
  <c r="BG81" i="50"/>
  <c r="BH81" i="50"/>
  <c r="AX81" i="50"/>
  <c r="BI81" i="50"/>
  <c r="AY77" i="50"/>
  <c r="BJ77" i="50"/>
  <c r="BF77" i="50"/>
  <c r="AZ77" i="50"/>
  <c r="BC77" i="50"/>
  <c r="BG77" i="50"/>
  <c r="BH77" i="50"/>
  <c r="AX77" i="50"/>
  <c r="BI77" i="50"/>
  <c r="CL72" i="50"/>
  <c r="AY72" i="50"/>
  <c r="BJ72" i="50"/>
  <c r="BF72" i="50"/>
  <c r="AZ72" i="50"/>
  <c r="BC72" i="50"/>
  <c r="BG72" i="50"/>
  <c r="BH72" i="50"/>
  <c r="AX72" i="50"/>
  <c r="BI72" i="50"/>
  <c r="BD15" i="50"/>
  <c r="BE15" i="50"/>
  <c r="AZ15" i="50"/>
  <c r="BI15" i="50"/>
  <c r="AX107" i="50"/>
  <c r="BF107" i="50"/>
  <c r="BJ107" i="50"/>
  <c r="AW26" i="50"/>
  <c r="BJ26" i="50"/>
  <c r="AZ26" i="50"/>
  <c r="AY26" i="50"/>
  <c r="BJ47" i="50"/>
  <c r="AX47" i="50"/>
  <c r="CL47" i="50"/>
  <c r="BG47" i="50"/>
  <c r="AQ36" i="50"/>
  <c r="CL36" i="50"/>
  <c r="AO36" i="50"/>
  <c r="AW95" i="50"/>
  <c r="BF95" i="50"/>
  <c r="BE95" i="50"/>
  <c r="AW93" i="50"/>
  <c r="BD93" i="50"/>
  <c r="AZ93" i="50"/>
  <c r="BF87" i="50"/>
  <c r="AW87" i="50"/>
  <c r="BG87" i="50"/>
  <c r="AW110" i="50"/>
  <c r="BC110" i="50"/>
  <c r="AM103" i="50"/>
  <c r="AI103" i="50"/>
  <c r="AL103" i="50"/>
  <c r="AL83" i="50"/>
  <c r="AI83" i="50"/>
  <c r="CL79" i="50"/>
  <c r="AQ79" i="50"/>
  <c r="BH75" i="50"/>
  <c r="BI75" i="50"/>
  <c r="AR14" i="50"/>
  <c r="AO14" i="50"/>
  <c r="AW10" i="50"/>
  <c r="BE10" i="50"/>
  <c r="AW8" i="50"/>
  <c r="BI8" i="50"/>
  <c r="BF8" i="50"/>
  <c r="AW59" i="50"/>
  <c r="BG59" i="50"/>
  <c r="AW57" i="50"/>
  <c r="BE57" i="50"/>
  <c r="BF57" i="50"/>
  <c r="BH31" i="50"/>
  <c r="BD31" i="50"/>
  <c r="AZ31" i="50"/>
  <c r="AG32" i="50"/>
  <c r="AO32" i="50"/>
  <c r="AH32" i="50"/>
  <c r="AL32" i="50"/>
  <c r="AP32" i="50"/>
  <c r="CL32" i="50"/>
  <c r="BI28" i="50"/>
  <c r="BE28" i="50"/>
  <c r="BH21" i="50"/>
  <c r="BD21" i="50"/>
  <c r="AZ21" i="50"/>
  <c r="BJ4" i="50"/>
  <c r="BF4" i="50"/>
  <c r="AX4" i="50"/>
  <c r="AL26" i="50"/>
  <c r="AI26" i="50"/>
  <c r="AQ26" i="50"/>
  <c r="BF51" i="50"/>
  <c r="BC48" i="50"/>
  <c r="BH46" i="50"/>
  <c r="AZ46" i="50"/>
  <c r="BI43" i="50"/>
  <c r="BE26" i="50"/>
  <c r="BC36" i="50"/>
  <c r="AO95" i="50"/>
  <c r="BE92" i="50"/>
  <c r="BC87" i="50"/>
  <c r="CL86" i="50"/>
  <c r="BD86" i="50"/>
  <c r="BG108" i="50"/>
  <c r="BN108" i="50" s="1"/>
  <c r="BH107" i="50"/>
  <c r="AZ107" i="50"/>
  <c r="CL103" i="50"/>
  <c r="AW101" i="50"/>
  <c r="AO99" i="50"/>
  <c r="BE84" i="50"/>
  <c r="BH28" i="50"/>
  <c r="AW28" i="50"/>
  <c r="BM28" i="50" s="1"/>
  <c r="BG26" i="50"/>
  <c r="AH95" i="50"/>
  <c r="AP95" i="50"/>
  <c r="BH92" i="50"/>
  <c r="AZ92" i="50"/>
  <c r="BC89" i="50"/>
  <c r="CL87" i="50"/>
  <c r="AL104" i="50"/>
  <c r="CL104" i="50"/>
  <c r="BF101" i="50"/>
  <c r="AF99" i="50"/>
  <c r="AN99" i="50"/>
  <c r="BJ84" i="50"/>
  <c r="AX84" i="50"/>
  <c r="BH48" i="50"/>
  <c r="BJ48" i="50"/>
  <c r="BH43" i="50"/>
  <c r="BJ43" i="50"/>
  <c r="BD36" i="50"/>
  <c r="BJ36" i="50"/>
  <c r="BF89" i="50"/>
  <c r="BH108" i="50"/>
  <c r="BE81" i="50"/>
  <c r="AW81" i="50"/>
  <c r="BD77" i="50"/>
  <c r="BE72" i="50"/>
  <c r="AW72" i="50"/>
  <c r="AZ87" i="50"/>
  <c r="AM81" i="50"/>
  <c r="BH15" i="50"/>
  <c r="BH59" i="50"/>
  <c r="AT51" i="50"/>
  <c r="BP46" i="50"/>
  <c r="BP43" i="50"/>
  <c r="BP4" i="50"/>
  <c r="AU4" i="50"/>
  <c r="AZ13" i="50"/>
  <c r="BD13" i="50"/>
  <c r="BH13" i="50"/>
  <c r="AF10" i="50"/>
  <c r="AK10" i="50"/>
  <c r="BD7" i="50"/>
  <c r="AZ7" i="50"/>
  <c r="BE7" i="50"/>
  <c r="AX66" i="50"/>
  <c r="BF66" i="50"/>
  <c r="BJ66" i="50"/>
  <c r="BJ63" i="50"/>
  <c r="BE63" i="50"/>
  <c r="BI63" i="50"/>
  <c r="AR59" i="50"/>
  <c r="AG59" i="50"/>
  <c r="AO59" i="50"/>
  <c r="BD56" i="50"/>
  <c r="AZ56" i="50"/>
  <c r="BE56" i="50"/>
  <c r="BD96" i="50"/>
  <c r="AW96" i="50"/>
  <c r="BI96" i="50"/>
  <c r="AZ54" i="50"/>
  <c r="BD54" i="50"/>
  <c r="AM100" i="50"/>
  <c r="AQ100" i="50"/>
  <c r="BG68" i="50"/>
  <c r="AX68" i="50"/>
  <c r="BF68" i="50"/>
  <c r="BJ68" i="50"/>
  <c r="BE68" i="50"/>
  <c r="AQ55" i="50"/>
  <c r="AM55" i="50"/>
  <c r="AP55" i="50"/>
  <c r="AL55" i="50"/>
  <c r="AH55" i="50"/>
  <c r="AK55" i="50"/>
  <c r="BI4" i="47"/>
  <c r="BE4" i="47"/>
  <c r="BJ4" i="47"/>
  <c r="BF4" i="47"/>
  <c r="AZ4" i="47"/>
  <c r="CE4" i="47" s="1"/>
  <c r="AY4" i="47"/>
  <c r="BM4" i="47" s="1"/>
  <c r="AW4" i="47"/>
  <c r="BE153" i="47"/>
  <c r="BI153" i="47"/>
  <c r="AX4" i="47"/>
  <c r="BH4" i="47"/>
  <c r="BG4" i="47"/>
  <c r="BC125" i="47"/>
  <c r="AW125" i="47"/>
  <c r="BQ125" i="47" s="1"/>
  <c r="AZ5" i="47"/>
  <c r="CE5" i="47" s="1"/>
  <c r="AW5" i="47"/>
  <c r="BQ5" i="47" s="1"/>
  <c r="AJ101" i="47"/>
  <c r="AR101" i="47"/>
  <c r="AF67" i="47"/>
  <c r="AN67" i="47"/>
  <c r="AJ67" i="47"/>
  <c r="AP67" i="47"/>
  <c r="AH67" i="47"/>
  <c r="AF63" i="47"/>
  <c r="AJ63" i="47"/>
  <c r="AP63" i="47"/>
  <c r="AH63" i="47"/>
  <c r="AR11" i="47"/>
  <c r="AL11" i="47"/>
  <c r="AN207" i="47"/>
  <c r="AF207" i="47"/>
  <c r="AL207" i="47"/>
  <c r="AR207" i="47"/>
  <c r="AJ107" i="47"/>
  <c r="BP107" i="47" s="1"/>
  <c r="AN107" i="47"/>
  <c r="AR107" i="47"/>
  <c r="AP107" i="47"/>
  <c r="AH107" i="47"/>
  <c r="AF83" i="47"/>
  <c r="AN83" i="47"/>
  <c r="AP83" i="47"/>
  <c r="AH83" i="47"/>
  <c r="AJ83" i="47"/>
  <c r="AK83" i="47"/>
  <c r="AO83" i="47"/>
  <c r="AF79" i="47"/>
  <c r="AN79" i="47"/>
  <c r="AP79" i="47"/>
  <c r="AH79" i="47"/>
  <c r="AR79" i="47"/>
  <c r="AI79" i="47"/>
  <c r="BW79" i="47" s="1"/>
  <c r="AM79" i="47"/>
  <c r="AQ79" i="47"/>
  <c r="AN72" i="47"/>
  <c r="AJ72" i="47"/>
  <c r="AF72" i="47"/>
  <c r="AT72" i="47" s="1"/>
  <c r="AL72" i="47"/>
  <c r="BP72" i="47" s="1"/>
  <c r="AG72" i="47"/>
  <c r="AK72" i="47"/>
  <c r="AO72" i="47"/>
  <c r="AN131" i="47"/>
  <c r="AU131" i="47" s="1"/>
  <c r="AR131" i="47"/>
  <c r="AF131" i="47"/>
  <c r="AL131" i="47"/>
  <c r="AG131" i="47"/>
  <c r="AK131" i="47"/>
  <c r="AO131" i="47"/>
  <c r="BG124" i="47"/>
  <c r="BC124" i="47"/>
  <c r="BH124" i="47"/>
  <c r="BD124" i="47"/>
  <c r="AX124" i="47"/>
  <c r="AW124" i="47"/>
  <c r="BM124" i="47" s="1"/>
  <c r="BI8" i="47"/>
  <c r="BE8" i="47"/>
  <c r="BJ8" i="47"/>
  <c r="BF8" i="47"/>
  <c r="BN8" i="47" s="1"/>
  <c r="AZ8" i="47"/>
  <c r="CE8" i="47" s="1"/>
  <c r="AY8" i="47"/>
  <c r="AP194" i="47"/>
  <c r="AL194" i="47"/>
  <c r="BP194" i="47" s="1"/>
  <c r="AH194" i="47"/>
  <c r="AT194" i="47" s="1"/>
  <c r="DE194" i="47"/>
  <c r="AL183" i="47"/>
  <c r="AH180" i="47"/>
  <c r="AL174" i="47"/>
  <c r="AG194" i="47"/>
  <c r="AI194" i="47"/>
  <c r="BW194" i="47" s="1"/>
  <c r="AQ194" i="47"/>
  <c r="AQ174" i="47"/>
  <c r="AQ169" i="47"/>
  <c r="AM169" i="47"/>
  <c r="AI169" i="47"/>
  <c r="BW169" i="47" s="1"/>
  <c r="AQ101" i="47"/>
  <c r="AM101" i="47"/>
  <c r="AI101" i="47"/>
  <c r="BW101" i="47" s="1"/>
  <c r="DE95" i="47"/>
  <c r="AO95" i="47"/>
  <c r="AK95" i="47"/>
  <c r="AG95" i="47"/>
  <c r="AR93" i="47"/>
  <c r="AN93" i="47"/>
  <c r="AJ93" i="47"/>
  <c r="AF93" i="47"/>
  <c r="AT93" i="47" s="1"/>
  <c r="AR56" i="47"/>
  <c r="AN56" i="47"/>
  <c r="AU56" i="47" s="1"/>
  <c r="AJ56" i="47"/>
  <c r="AF56" i="47"/>
  <c r="AT56" i="47" s="1"/>
  <c r="AP49" i="47"/>
  <c r="AH49" i="47"/>
  <c r="AR48" i="47"/>
  <c r="AN48" i="47"/>
  <c r="AJ48" i="47"/>
  <c r="AF48" i="47"/>
  <c r="AR117" i="47"/>
  <c r="AN117" i="47"/>
  <c r="AJ117" i="47"/>
  <c r="AF117" i="47"/>
  <c r="BJ177" i="47"/>
  <c r="AF169" i="47"/>
  <c r="AT169" i="47" s="1"/>
  <c r="AL101" i="47"/>
  <c r="AH95" i="47"/>
  <c r="AP95" i="47"/>
  <c r="AQ49" i="47"/>
  <c r="AM48" i="47"/>
  <c r="AQ146" i="47"/>
  <c r="AM146" i="47"/>
  <c r="AI146" i="47"/>
  <c r="BW146" i="47" s="1"/>
  <c r="AO138" i="47"/>
  <c r="AG138" i="47"/>
  <c r="AQ207" i="47"/>
  <c r="AM207" i="47"/>
  <c r="AU207" i="47" s="1"/>
  <c r="AI207" i="47"/>
  <c r="BW207" i="47" s="1"/>
  <c r="AJ169" i="47"/>
  <c r="AH169" i="47"/>
  <c r="AL94" i="47"/>
  <c r="AO93" i="47"/>
  <c r="AM93" i="47"/>
  <c r="AG56" i="47"/>
  <c r="AI56" i="47"/>
  <c r="BW56" i="47" s="1"/>
  <c r="AQ56" i="47"/>
  <c r="AR52" i="47"/>
  <c r="AO117" i="47"/>
  <c r="AM117" i="47"/>
  <c r="AL146" i="47"/>
  <c r="AL138" i="47"/>
  <c r="BP138" i="47" s="1"/>
  <c r="AQ67" i="47"/>
  <c r="AM67" i="47"/>
  <c r="AI67" i="47"/>
  <c r="BW67" i="47" s="1"/>
  <c r="AO63" i="47"/>
  <c r="AK63" i="47"/>
  <c r="AG63" i="47"/>
  <c r="AQ11" i="47"/>
  <c r="AM11" i="47"/>
  <c r="AI11" i="47"/>
  <c r="BW11" i="47" s="1"/>
  <c r="AQ107" i="47"/>
  <c r="AM107" i="47"/>
  <c r="AI107" i="47"/>
  <c r="BW107" i="47" s="1"/>
  <c r="AO89" i="47"/>
  <c r="AR47" i="47"/>
  <c r="AH207" i="47"/>
  <c r="AT207" i="47" s="1"/>
  <c r="AL67" i="47"/>
  <c r="AL63" i="47"/>
  <c r="AP11" i="47"/>
  <c r="AQ83" i="47"/>
  <c r="AI83" i="47"/>
  <c r="BW83" i="47" s="1"/>
  <c r="AG83" i="47"/>
  <c r="AK79" i="47"/>
  <c r="BG82" i="47"/>
  <c r="AM72" i="47"/>
  <c r="AP72" i="47"/>
  <c r="AH158" i="47"/>
  <c r="BI157" i="47"/>
  <c r="AH152" i="47"/>
  <c r="AQ131" i="47"/>
  <c r="AI131" i="47"/>
  <c r="BW131" i="47" s="1"/>
  <c r="AH131" i="47"/>
  <c r="AW8" i="47"/>
  <c r="AL83" i="47"/>
  <c r="BP83" i="47" s="1"/>
  <c r="AL79" i="47"/>
  <c r="AZ124" i="47"/>
  <c r="CE124" i="47" s="1"/>
  <c r="BJ124" i="47"/>
  <c r="BI124" i="47"/>
  <c r="BD8" i="47"/>
  <c r="BC8" i="47"/>
  <c r="BD4" i="47"/>
  <c r="BC4" i="47"/>
  <c r="AM15" i="47"/>
  <c r="AF15" i="47"/>
  <c r="AK48" i="47"/>
  <c r="AO48" i="47"/>
  <c r="AJ146" i="47"/>
  <c r="AR146" i="47"/>
  <c r="AR63" i="47"/>
  <c r="AF171" i="47"/>
  <c r="AT171" i="47" s="1"/>
  <c r="AJ171" i="47"/>
  <c r="BP171" i="47" s="1"/>
  <c r="AN63" i="47"/>
  <c r="AU63" i="47" s="1"/>
  <c r="BP25" i="47"/>
  <c r="DE76" i="47"/>
  <c r="DE72" i="47"/>
  <c r="AT154" i="47"/>
  <c r="DE131" i="47"/>
  <c r="AL69" i="47"/>
  <c r="AP69" i="47"/>
  <c r="AJ69" i="47"/>
  <c r="BP69" i="47" s="1"/>
  <c r="AN23" i="47"/>
  <c r="AJ23" i="47"/>
  <c r="AO201" i="47"/>
  <c r="AK201" i="47"/>
  <c r="AG201" i="47"/>
  <c r="AR199" i="47"/>
  <c r="AL199" i="47"/>
  <c r="AR192" i="47"/>
  <c r="AN192" i="47"/>
  <c r="AJ192" i="47"/>
  <c r="AF192" i="47"/>
  <c r="AF201" i="47"/>
  <c r="AT201" i="47" s="1"/>
  <c r="AR201" i="47"/>
  <c r="AL201" i="47"/>
  <c r="AG196" i="47"/>
  <c r="AO196" i="47"/>
  <c r="AU196" i="47" s="1"/>
  <c r="AH196" i="47"/>
  <c r="AL196" i="47"/>
  <c r="BP196" i="47" s="1"/>
  <c r="AP196" i="47"/>
  <c r="DE196" i="47"/>
  <c r="AI192" i="47"/>
  <c r="BW192" i="47" s="1"/>
  <c r="AQ192" i="47"/>
  <c r="AF188" i="47"/>
  <c r="AJ188" i="47"/>
  <c r="BP188" i="47" s="1"/>
  <c r="AN188" i="47"/>
  <c r="AP183" i="47"/>
  <c r="AH183" i="47"/>
  <c r="AL180" i="47"/>
  <c r="AF180" i="47"/>
  <c r="AR178" i="47"/>
  <c r="AN178" i="47"/>
  <c r="AJ178" i="47"/>
  <c r="AF178" i="47"/>
  <c r="AP174" i="47"/>
  <c r="AH174" i="47"/>
  <c r="AM178" i="47"/>
  <c r="AU178" i="47" s="1"/>
  <c r="AQ165" i="47"/>
  <c r="AM165" i="47"/>
  <c r="AI165" i="47"/>
  <c r="BW165" i="47" s="1"/>
  <c r="DE161" i="47"/>
  <c r="AO161" i="47"/>
  <c r="AK161" i="47"/>
  <c r="AG161" i="47"/>
  <c r="AQ38" i="47"/>
  <c r="AM38" i="47"/>
  <c r="AI38" i="47"/>
  <c r="BW38" i="47" s="1"/>
  <c r="AO34" i="47"/>
  <c r="AK34" i="47"/>
  <c r="AG34" i="47"/>
  <c r="BJ186" i="47"/>
  <c r="AR49" i="47"/>
  <c r="AN49" i="47"/>
  <c r="AJ49" i="47"/>
  <c r="AF49" i="47"/>
  <c r="AT49" i="47" s="1"/>
  <c r="BH177" i="47"/>
  <c r="AJ165" i="47"/>
  <c r="BE30" i="47"/>
  <c r="AN92" i="47"/>
  <c r="AN55" i="47"/>
  <c r="AM49" i="47"/>
  <c r="AQ140" i="47"/>
  <c r="AM140" i="47"/>
  <c r="AI140" i="47"/>
  <c r="BW140" i="47" s="1"/>
  <c r="AQ138" i="47"/>
  <c r="AM138" i="47"/>
  <c r="AI138" i="47"/>
  <c r="BW138" i="47" s="1"/>
  <c r="AQ203" i="47"/>
  <c r="AH140" i="47"/>
  <c r="AT205" i="47"/>
  <c r="AO203" i="47"/>
  <c r="AK203" i="47"/>
  <c r="AO27" i="47"/>
  <c r="AK27" i="47"/>
  <c r="AG27" i="47"/>
  <c r="AO69" i="47"/>
  <c r="AK69" i="47"/>
  <c r="AG69" i="47"/>
  <c r="AK13" i="47"/>
  <c r="AK109" i="47"/>
  <c r="BJ57" i="47"/>
  <c r="AL203" i="47"/>
  <c r="AL13" i="47"/>
  <c r="AH69" i="47"/>
  <c r="BE149" i="47"/>
  <c r="BI149" i="47"/>
  <c r="BE126" i="47"/>
  <c r="AY126" i="47"/>
  <c r="BI6" i="47"/>
  <c r="AZ6" i="47"/>
  <c r="CE6" i="47" s="1"/>
  <c r="AN17" i="47"/>
  <c r="AP17" i="47"/>
  <c r="AJ17" i="47"/>
  <c r="BC123" i="47"/>
  <c r="BD123" i="47"/>
  <c r="AO62" i="47"/>
  <c r="AK62" i="47"/>
  <c r="AO120" i="47"/>
  <c r="AK120" i="47"/>
  <c r="AN85" i="47"/>
  <c r="AU85" i="47" s="1"/>
  <c r="AJ85" i="47"/>
  <c r="BP85" i="47" s="1"/>
  <c r="AF85" i="47"/>
  <c r="AT85" i="47" s="1"/>
  <c r="AN81" i="47"/>
  <c r="AU81" i="47" s="1"/>
  <c r="AR81" i="47"/>
  <c r="AP81" i="47"/>
  <c r="AH81" i="47"/>
  <c r="AG81" i="47"/>
  <c r="AK81" i="47"/>
  <c r="AN77" i="47"/>
  <c r="AL77" i="47"/>
  <c r="AJ77" i="47"/>
  <c r="AP77" i="47"/>
  <c r="AG77" i="47"/>
  <c r="AK77" i="47"/>
  <c r="AO77" i="47"/>
  <c r="AN154" i="47"/>
  <c r="AR154" i="47"/>
  <c r="AL154" i="47"/>
  <c r="AG154" i="47"/>
  <c r="AK154" i="47"/>
  <c r="AO154" i="47"/>
  <c r="BG127" i="47"/>
  <c r="BC127" i="47"/>
  <c r="BH127" i="47"/>
  <c r="BD127" i="47"/>
  <c r="AX127" i="47"/>
  <c r="BI122" i="47"/>
  <c r="BE122" i="47"/>
  <c r="BJ122" i="47"/>
  <c r="BF122" i="47"/>
  <c r="AZ122" i="47"/>
  <c r="CE122" i="47" s="1"/>
  <c r="AY122" i="47"/>
  <c r="AW122" i="47"/>
  <c r="BI7" i="47"/>
  <c r="BE7" i="47"/>
  <c r="BJ7" i="47"/>
  <c r="BF7" i="47"/>
  <c r="AZ7" i="47"/>
  <c r="CE7" i="47" s="1"/>
  <c r="AY7" i="47"/>
  <c r="AW7" i="47"/>
  <c r="BQ7" i="47" s="1"/>
  <c r="BR7" i="47" s="1"/>
  <c r="BI3" i="47"/>
  <c r="BE3" i="47"/>
  <c r="BJ3" i="47"/>
  <c r="BF3" i="47"/>
  <c r="BN3" i="47" s="1"/>
  <c r="AZ3" i="47"/>
  <c r="CE3" i="47" s="1"/>
  <c r="AY3" i="47"/>
  <c r="DE77" i="47"/>
  <c r="AH54" i="47"/>
  <c r="AL54" i="47"/>
  <c r="AL128" i="47"/>
  <c r="AJ128" i="47"/>
  <c r="AP126" i="47"/>
  <c r="AH126" i="47"/>
  <c r="AP124" i="47"/>
  <c r="AJ124" i="47"/>
  <c r="AP122" i="47"/>
  <c r="AH122" i="47"/>
  <c r="AP7" i="47"/>
  <c r="AF7" i="47"/>
  <c r="AL5" i="47"/>
  <c r="AH5" i="47"/>
  <c r="AP3" i="47"/>
  <c r="AF3" i="47"/>
  <c r="AH133" i="47"/>
  <c r="AI133" i="47"/>
  <c r="BW133" i="47" s="1"/>
  <c r="AP21" i="47"/>
  <c r="AQ21" i="47"/>
  <c r="AJ9" i="47"/>
  <c r="AK9" i="47"/>
  <c r="AN89" i="47"/>
  <c r="AL89" i="47"/>
  <c r="AK89" i="47"/>
  <c r="AH76" i="47"/>
  <c r="AG76" i="47"/>
  <c r="AO76" i="47"/>
  <c r="AL158" i="47"/>
  <c r="AP158" i="47"/>
  <c r="AM158" i="47"/>
  <c r="AL152" i="47"/>
  <c r="AP152" i="47"/>
  <c r="AM152" i="47"/>
  <c r="BJ130" i="47"/>
  <c r="BH130" i="47"/>
  <c r="BG130" i="47"/>
  <c r="BC130" i="47"/>
  <c r="BG128" i="47"/>
  <c r="BI128" i="47"/>
  <c r="BJ128" i="47"/>
  <c r="AZ128" i="47"/>
  <c r="CE128" i="47" s="1"/>
  <c r="BI125" i="47"/>
  <c r="BG125" i="47"/>
  <c r="BH125" i="47"/>
  <c r="AX125" i="47"/>
  <c r="BG5" i="47"/>
  <c r="BE5" i="47"/>
  <c r="BF5" i="47"/>
  <c r="AY5" i="47"/>
  <c r="AL198" i="47"/>
  <c r="BC196" i="47"/>
  <c r="AH199" i="47"/>
  <c r="AT199" i="47" s="1"/>
  <c r="AR193" i="47"/>
  <c r="AR189" i="47"/>
  <c r="AJ189" i="47"/>
  <c r="DE188" i="47"/>
  <c r="AN191" i="47"/>
  <c r="AN179" i="47"/>
  <c r="AO167" i="47"/>
  <c r="AK167" i="47"/>
  <c r="AG167" i="47"/>
  <c r="DE163" i="47"/>
  <c r="AO163" i="47"/>
  <c r="AK163" i="47"/>
  <c r="AG163" i="47"/>
  <c r="DE40" i="47"/>
  <c r="AO40" i="47"/>
  <c r="AK40" i="47"/>
  <c r="AG40" i="47"/>
  <c r="AO36" i="47"/>
  <c r="AK36" i="47"/>
  <c r="AG36" i="47"/>
  <c r="AO32" i="47"/>
  <c r="AK32" i="47"/>
  <c r="AG32" i="47"/>
  <c r="BH186" i="47"/>
  <c r="AH167" i="47"/>
  <c r="AH163" i="47"/>
  <c r="AQ103" i="47"/>
  <c r="AY51" i="47"/>
  <c r="AW51" i="47"/>
  <c r="BQ51" i="47" s="1"/>
  <c r="AY48" i="47"/>
  <c r="AR121" i="47"/>
  <c r="AN121" i="47"/>
  <c r="AJ121" i="47"/>
  <c r="BP121" i="47" s="1"/>
  <c r="AF121" i="47"/>
  <c r="AT121" i="47" s="1"/>
  <c r="AY120" i="47"/>
  <c r="BM120" i="47" s="1"/>
  <c r="AY117" i="47"/>
  <c r="BJ182" i="47"/>
  <c r="BH182" i="47"/>
  <c r="BF182" i="47"/>
  <c r="AY182" i="47"/>
  <c r="AR177" i="47"/>
  <c r="AP177" i="47"/>
  <c r="AN177" i="47"/>
  <c r="AJ177" i="47"/>
  <c r="AR36" i="47"/>
  <c r="AJ32" i="47"/>
  <c r="AH32" i="47"/>
  <c r="AP92" i="47"/>
  <c r="AH92" i="47"/>
  <c r="AN60" i="47"/>
  <c r="AN50" i="47"/>
  <c r="AM121" i="47"/>
  <c r="AG144" i="47"/>
  <c r="DE211" i="47"/>
  <c r="AP172" i="47"/>
  <c r="AJ172" i="47"/>
  <c r="BP172" i="47" s="1"/>
  <c r="AR172" i="47"/>
  <c r="AI172" i="47"/>
  <c r="BW172" i="47" s="1"/>
  <c r="AM172" i="47"/>
  <c r="AQ172" i="47"/>
  <c r="BP205" i="47"/>
  <c r="DE9" i="47"/>
  <c r="AG89" i="47"/>
  <c r="AX28" i="47"/>
  <c r="BG28" i="47"/>
  <c r="AH57" i="47"/>
  <c r="AL57" i="47"/>
  <c r="AT107" i="47"/>
  <c r="AP135" i="47"/>
  <c r="AK76" i="47"/>
  <c r="AI158" i="47"/>
  <c r="BW158" i="47" s="1"/>
  <c r="AI152" i="47"/>
  <c r="BW152" i="47" s="1"/>
  <c r="AF128" i="47"/>
  <c r="AF124" i="47"/>
  <c r="AJ7" i="47"/>
  <c r="AJ3" i="47"/>
  <c r="AR89" i="47"/>
  <c r="AZ130" i="47"/>
  <c r="CE130" i="47" s="1"/>
  <c r="AY128" i="47"/>
  <c r="BE128" i="47"/>
  <c r="BN128" i="47" s="1"/>
  <c r="BD125" i="47"/>
  <c r="BJ5" i="47"/>
  <c r="AR138" i="47"/>
  <c r="AP138" i="47"/>
  <c r="AH138" i="47"/>
  <c r="AN20" i="47"/>
  <c r="AF20" i="47"/>
  <c r="AT20" i="47" s="1"/>
  <c r="AJ20" i="47"/>
  <c r="BP20" i="47" s="1"/>
  <c r="AF65" i="47"/>
  <c r="AN65" i="47"/>
  <c r="AJ65" i="47"/>
  <c r="AP65" i="47"/>
  <c r="AH65" i="47"/>
  <c r="AI65" i="47"/>
  <c r="BW65" i="47" s="1"/>
  <c r="AM65" i="47"/>
  <c r="AQ65" i="47"/>
  <c r="AL17" i="47"/>
  <c r="BP17" i="47" s="1"/>
  <c r="AR17" i="47"/>
  <c r="AF17" i="47"/>
  <c r="AI17" i="47"/>
  <c r="BW17" i="47" s="1"/>
  <c r="AM17" i="47"/>
  <c r="AQ17" i="47"/>
  <c r="BI123" i="47"/>
  <c r="BE123" i="47"/>
  <c r="BN123" i="47" s="1"/>
  <c r="BJ123" i="47"/>
  <c r="BF123" i="47"/>
  <c r="AZ123" i="47"/>
  <c r="CE123" i="47" s="1"/>
  <c r="AY123" i="47"/>
  <c r="AW123" i="47"/>
  <c r="BQ123" i="47" s="1"/>
  <c r="DE89" i="47"/>
  <c r="BP67" i="47"/>
  <c r="FI67" i="47" s="1"/>
  <c r="DE172" i="47"/>
  <c r="AL260" i="52"/>
  <c r="AY260" i="52"/>
  <c r="AM260" i="52"/>
  <c r="AZ260" i="52"/>
  <c r="BG260" i="52"/>
  <c r="BO260" i="52" s="1"/>
  <c r="AY248" i="52"/>
  <c r="AZ248" i="52"/>
  <c r="BG248" i="52"/>
  <c r="AX70" i="52"/>
  <c r="AH65" i="52"/>
  <c r="AH63" i="52"/>
  <c r="AH61" i="52"/>
  <c r="AY59" i="52"/>
  <c r="BF70" i="52"/>
  <c r="BA70" i="52"/>
  <c r="BK70" i="52"/>
  <c r="AP65" i="52"/>
  <c r="AG65" i="52"/>
  <c r="AP63" i="52"/>
  <c r="AG63" i="52"/>
  <c r="AP61" i="52"/>
  <c r="AK61" i="52"/>
  <c r="AP59" i="52"/>
  <c r="AG59" i="52"/>
  <c r="AZ58" i="52"/>
  <c r="BJ58" i="52"/>
  <c r="BG58" i="52"/>
  <c r="BF54" i="52"/>
  <c r="BA54" i="52"/>
  <c r="BK54" i="52"/>
  <c r="BH73" i="52"/>
  <c r="BE73" i="52"/>
  <c r="BH69" i="52"/>
  <c r="BE69" i="52"/>
  <c r="BK66" i="52"/>
  <c r="BF66" i="52"/>
  <c r="BK63" i="52"/>
  <c r="BF63" i="52"/>
  <c r="BG62" i="52"/>
  <c r="AZ62" i="52"/>
  <c r="BJ62" i="52"/>
  <c r="BK59" i="52"/>
  <c r="BF59" i="52"/>
  <c r="BD57" i="52"/>
  <c r="AY57" i="52"/>
  <c r="BI57" i="52"/>
  <c r="BH53" i="52"/>
  <c r="BE53" i="52"/>
  <c r="BD26" i="52"/>
  <c r="BI26" i="52"/>
  <c r="AK180" i="52"/>
  <c r="AI179" i="52"/>
  <c r="AI177" i="52"/>
  <c r="AI175" i="52"/>
  <c r="AI173" i="52"/>
  <c r="AI171" i="52"/>
  <c r="AI169" i="52"/>
  <c r="AI167" i="52"/>
  <c r="AI165" i="52"/>
  <c r="AI163" i="52"/>
  <c r="AI161" i="52"/>
  <c r="AI159" i="52"/>
  <c r="AI157" i="52"/>
  <c r="AI235" i="52"/>
  <c r="AK233" i="52"/>
  <c r="AK231" i="52"/>
  <c r="AI226" i="52"/>
  <c r="AI222" i="52"/>
  <c r="AI218" i="52"/>
  <c r="AG281" i="52"/>
  <c r="AG279" i="52"/>
  <c r="AG277" i="52"/>
  <c r="AK275" i="52"/>
  <c r="AI268" i="52"/>
  <c r="AS180" i="52"/>
  <c r="AH180" i="52"/>
  <c r="AP180" i="52"/>
  <c r="AO167" i="52"/>
  <c r="AL167" i="52"/>
  <c r="AS165" i="52"/>
  <c r="AH165" i="52"/>
  <c r="AP165" i="52"/>
  <c r="AO163" i="52"/>
  <c r="AL163" i="52"/>
  <c r="AS161" i="52"/>
  <c r="AH161" i="52"/>
  <c r="AP161" i="52"/>
  <c r="AO159" i="52"/>
  <c r="AL159" i="52"/>
  <c r="AO235" i="52"/>
  <c r="AL235" i="52"/>
  <c r="AS233" i="52"/>
  <c r="AH233" i="52"/>
  <c r="AP233" i="52"/>
  <c r="AQ226" i="52"/>
  <c r="AQ218" i="52"/>
  <c r="AJ110" i="52"/>
  <c r="AK148" i="52"/>
  <c r="AI146" i="52"/>
  <c r="AH124" i="52"/>
  <c r="AQ177" i="52"/>
  <c r="AQ169" i="52"/>
  <c r="AQ228" i="52"/>
  <c r="AX272" i="52"/>
  <c r="BD272" i="52"/>
  <c r="BH272" i="52"/>
  <c r="BE272" i="52"/>
  <c r="BI272" i="52"/>
  <c r="AR264" i="52"/>
  <c r="AR214" i="52"/>
  <c r="AX206" i="52"/>
  <c r="AY202" i="52"/>
  <c r="BF204" i="52"/>
  <c r="AR196" i="52"/>
  <c r="AR194" i="52"/>
  <c r="AZ48" i="52"/>
  <c r="BF48" i="52"/>
  <c r="BJ48" i="52"/>
  <c r="BA48" i="52"/>
  <c r="BG48" i="52"/>
  <c r="BA17" i="52"/>
  <c r="AY247" i="52"/>
  <c r="AY245" i="52"/>
  <c r="AY243" i="52"/>
  <c r="BG240" i="52"/>
  <c r="BA4" i="52"/>
  <c r="BH4" i="52"/>
  <c r="AZ4" i="52"/>
  <c r="BE4" i="52"/>
  <c r="BI4" i="52"/>
  <c r="BD206" i="52"/>
  <c r="BH206" i="52"/>
  <c r="AY206" i="52"/>
  <c r="BE206" i="52"/>
  <c r="BK17" i="52"/>
  <c r="AX247" i="52"/>
  <c r="BN247" i="52" s="1"/>
  <c r="BD247" i="52"/>
  <c r="BH247" i="52"/>
  <c r="BE247" i="52"/>
  <c r="AX245" i="52"/>
  <c r="BD245" i="52"/>
  <c r="BH245" i="52"/>
  <c r="BE245" i="52"/>
  <c r="AX243" i="52"/>
  <c r="BD243" i="52"/>
  <c r="BH243" i="52"/>
  <c r="CG261" i="52"/>
  <c r="CG62" i="52"/>
  <c r="BK273" i="52"/>
  <c r="AZ273" i="52"/>
  <c r="BA123" i="52"/>
  <c r="BE123" i="52"/>
  <c r="AR223" i="52"/>
  <c r="AQ223" i="52"/>
  <c r="AO267" i="52"/>
  <c r="AH267" i="52"/>
  <c r="AJ267" i="52"/>
  <c r="AG265" i="52"/>
  <c r="AP265" i="52"/>
  <c r="AJ140" i="52"/>
  <c r="AH140" i="52"/>
  <c r="CG60" i="52"/>
  <c r="AR166" i="52"/>
  <c r="AQ166" i="52"/>
  <c r="AR158" i="52"/>
  <c r="AQ158" i="52"/>
  <c r="AP234" i="52"/>
  <c r="AS234" i="52"/>
  <c r="AP280" i="52"/>
  <c r="AS280" i="52"/>
  <c r="AQ113" i="52"/>
  <c r="AG113" i="52"/>
  <c r="AN261" i="52"/>
  <c r="AK261" i="52"/>
  <c r="AR248" i="52"/>
  <c r="AJ248" i="52"/>
  <c r="AH248" i="52"/>
  <c r="AO248" i="52"/>
  <c r="AH66" i="52"/>
  <c r="AJ64" i="52"/>
  <c r="AY61" i="52"/>
  <c r="AY60" i="52"/>
  <c r="AR66" i="52"/>
  <c r="AM66" i="52"/>
  <c r="CG66" i="52"/>
  <c r="AN64" i="52"/>
  <c r="AI64" i="52"/>
  <c r="AQ64" i="52"/>
  <c r="AP62" i="52"/>
  <c r="AK62" i="52"/>
  <c r="AS62" i="52"/>
  <c r="AP60" i="52"/>
  <c r="AG60" i="52"/>
  <c r="AO60" i="52"/>
  <c r="AL26" i="52"/>
  <c r="BF71" i="52"/>
  <c r="BA71" i="52"/>
  <c r="BK71" i="52"/>
  <c r="AZ67" i="52"/>
  <c r="BN67" i="52" s="1"/>
  <c r="BJ67" i="52"/>
  <c r="BG67" i="52"/>
  <c r="BI65" i="52"/>
  <c r="BD65" i="52"/>
  <c r="BE64" i="52"/>
  <c r="AX64" i="52"/>
  <c r="BH64" i="52"/>
  <c r="BI61" i="52"/>
  <c r="BD61" i="52"/>
  <c r="BE60" i="52"/>
  <c r="BG98" i="52"/>
  <c r="AO190" i="52"/>
  <c r="AG234" i="52"/>
  <c r="AG280" i="52"/>
  <c r="AJ272" i="52"/>
  <c r="AQ172" i="52"/>
  <c r="AJ14" i="52"/>
  <c r="AK145" i="52"/>
  <c r="AH247" i="52"/>
  <c r="AJ166" i="52"/>
  <c r="AQ162" i="52"/>
  <c r="AN160" i="52"/>
  <c r="AO232" i="52"/>
  <c r="AP230" i="52"/>
  <c r="AQ227" i="52"/>
  <c r="AN225" i="52"/>
  <c r="AM221" i="52"/>
  <c r="AR219" i="52"/>
  <c r="AH280" i="52"/>
  <c r="AZ274" i="52"/>
  <c r="AX269" i="52"/>
  <c r="BK105" i="52"/>
  <c r="AX12" i="52"/>
  <c r="AM115" i="52"/>
  <c r="BK236" i="52"/>
  <c r="BG236" i="52"/>
  <c r="BF209" i="52"/>
  <c r="BH209" i="52"/>
  <c r="BG209" i="52"/>
  <c r="BI207" i="52"/>
  <c r="BK207" i="52"/>
  <c r="BD207" i="52"/>
  <c r="BI204" i="52"/>
  <c r="BG204" i="52"/>
  <c r="BJ204" i="52"/>
  <c r="AZ204" i="52"/>
  <c r="BA202" i="52"/>
  <c r="BJ202" i="52"/>
  <c r="AZ202" i="52"/>
  <c r="BG202" i="52"/>
  <c r="AX265" i="52"/>
  <c r="BN265" i="52" s="1"/>
  <c r="BH265" i="52"/>
  <c r="BK265" i="52"/>
  <c r="CG155" i="52"/>
  <c r="CG153" i="52"/>
  <c r="CG151" i="52"/>
  <c r="CG149" i="52"/>
  <c r="CG147" i="52"/>
  <c r="CG145" i="52"/>
  <c r="CG143" i="52"/>
  <c r="CG141" i="52"/>
  <c r="BI117" i="52"/>
  <c r="BE117" i="52"/>
  <c r="BH117" i="52"/>
  <c r="BD117" i="52"/>
  <c r="AX117" i="52"/>
  <c r="BG117" i="52"/>
  <c r="BF117" i="52"/>
  <c r="BJ117" i="52"/>
  <c r="BA246" i="52"/>
  <c r="AY246" i="52"/>
  <c r="BG192" i="52"/>
  <c r="BD192" i="52"/>
  <c r="AY192" i="52"/>
  <c r="BA192" i="52"/>
  <c r="AZ192" i="52"/>
  <c r="AY122" i="52"/>
  <c r="BK122" i="52"/>
  <c r="BG122" i="52"/>
  <c r="BJ122" i="52"/>
  <c r="BF122" i="52"/>
  <c r="AZ122" i="52"/>
  <c r="BE122" i="52"/>
  <c r="BD122" i="52"/>
  <c r="BJ60" i="52"/>
  <c r="BF60" i="52"/>
  <c r="AZ60" i="52"/>
  <c r="BK60" i="52"/>
  <c r="BG60" i="52"/>
  <c r="BI55" i="52"/>
  <c r="BE55" i="52"/>
  <c r="AY55" i="52"/>
  <c r="BH55" i="52"/>
  <c r="BD55" i="52"/>
  <c r="BI273" i="52"/>
  <c r="BE273" i="52"/>
  <c r="BH273" i="52"/>
  <c r="BD273" i="52"/>
  <c r="AX273" i="52"/>
  <c r="BN273" i="52" s="1"/>
  <c r="AY269" i="52"/>
  <c r="BK269" i="52"/>
  <c r="BG269" i="52"/>
  <c r="BJ269" i="52"/>
  <c r="BF269" i="52"/>
  <c r="AZ269" i="52"/>
  <c r="BA44" i="52"/>
  <c r="BH44" i="52"/>
  <c r="BD44" i="52"/>
  <c r="AX44" i="52"/>
  <c r="BI44" i="52"/>
  <c r="BE44" i="52"/>
  <c r="AY44" i="52"/>
  <c r="BJ44" i="52"/>
  <c r="AZ44" i="52"/>
  <c r="BG44" i="52"/>
  <c r="BO44" i="52" s="1"/>
  <c r="AY105" i="52"/>
  <c r="BI105" i="52"/>
  <c r="BE105" i="52"/>
  <c r="BH105" i="52"/>
  <c r="BD105" i="52"/>
  <c r="AX105" i="52"/>
  <c r="BN105" i="52" s="1"/>
  <c r="BG105" i="52"/>
  <c r="BF105" i="52"/>
  <c r="AY13" i="52"/>
  <c r="BK13" i="52"/>
  <c r="BG13" i="52"/>
  <c r="BJ13" i="52"/>
  <c r="BF13" i="52"/>
  <c r="AZ13" i="52"/>
  <c r="BI13" i="52"/>
  <c r="BH13" i="52"/>
  <c r="AX13" i="52"/>
  <c r="BK9" i="52"/>
  <c r="BG9" i="52"/>
  <c r="BJ9" i="52"/>
  <c r="BF9" i="52"/>
  <c r="AZ9" i="52"/>
  <c r="BI9" i="52"/>
  <c r="BH9" i="52"/>
  <c r="AX9" i="52"/>
  <c r="BK138" i="52"/>
  <c r="BG138" i="52"/>
  <c r="BJ138" i="52"/>
  <c r="BF138" i="52"/>
  <c r="AZ138" i="52"/>
  <c r="BI138" i="52"/>
  <c r="BH138" i="52"/>
  <c r="AX138" i="52"/>
  <c r="AY123" i="52"/>
  <c r="BK123" i="52"/>
  <c r="BG123" i="52"/>
  <c r="BJ123" i="52"/>
  <c r="BF123" i="52"/>
  <c r="AZ123" i="52"/>
  <c r="BI123" i="52"/>
  <c r="BH123" i="52"/>
  <c r="AX123" i="52"/>
  <c r="AY217" i="52"/>
  <c r="BI217" i="52"/>
  <c r="BE217" i="52"/>
  <c r="BH217" i="52"/>
  <c r="BO217" i="52" s="1"/>
  <c r="BD217" i="52"/>
  <c r="AX217" i="52"/>
  <c r="BI106" i="52"/>
  <c r="BE106" i="52"/>
  <c r="BH106" i="52"/>
  <c r="BD106" i="52"/>
  <c r="AX106" i="52"/>
  <c r="BK106" i="52"/>
  <c r="BJ106" i="52"/>
  <c r="AZ106" i="52"/>
  <c r="BA102" i="52"/>
  <c r="BI102" i="52"/>
  <c r="BE102" i="52"/>
  <c r="BH102" i="52"/>
  <c r="BD102" i="52"/>
  <c r="AX102" i="52"/>
  <c r="BK102" i="52"/>
  <c r="BJ102" i="52"/>
  <c r="AZ102" i="52"/>
  <c r="BK12" i="52"/>
  <c r="BG12" i="52"/>
  <c r="BJ12" i="52"/>
  <c r="BF12" i="52"/>
  <c r="AZ12" i="52"/>
  <c r="BE12" i="52"/>
  <c r="BD12" i="52"/>
  <c r="AY140" i="52"/>
  <c r="BA140" i="52"/>
  <c r="BK140" i="52"/>
  <c r="BG140" i="52"/>
  <c r="BJ140" i="52"/>
  <c r="BF140" i="52"/>
  <c r="AZ140" i="52"/>
  <c r="BE140" i="52"/>
  <c r="BD140" i="52"/>
  <c r="BA137" i="52"/>
  <c r="BK137" i="52"/>
  <c r="BG137" i="52"/>
  <c r="BJ137" i="52"/>
  <c r="BF137" i="52"/>
  <c r="AZ137" i="52"/>
  <c r="BN137" i="52" s="1"/>
  <c r="BE137" i="52"/>
  <c r="BD137" i="52"/>
  <c r="BK270" i="52"/>
  <c r="AZ270" i="52"/>
  <c r="BE50" i="52"/>
  <c r="BH50" i="52"/>
  <c r="AP227" i="52"/>
  <c r="AL227" i="52"/>
  <c r="AH227" i="52"/>
  <c r="AO227" i="52"/>
  <c r="AS227" i="52"/>
  <c r="AG227" i="52"/>
  <c r="AK227" i="52"/>
  <c r="AP225" i="52"/>
  <c r="AL225" i="52"/>
  <c r="AH225" i="52"/>
  <c r="AO225" i="52"/>
  <c r="AS225" i="52"/>
  <c r="AG225" i="52"/>
  <c r="AK225" i="52"/>
  <c r="AP223" i="52"/>
  <c r="AL223" i="52"/>
  <c r="AH223" i="52"/>
  <c r="AO223" i="52"/>
  <c r="AS223" i="52"/>
  <c r="AG223" i="52"/>
  <c r="AK223" i="52"/>
  <c r="AP221" i="52"/>
  <c r="AL221" i="52"/>
  <c r="AH221" i="52"/>
  <c r="AO221" i="52"/>
  <c r="AS221" i="52"/>
  <c r="AG221" i="52"/>
  <c r="AK221" i="52"/>
  <c r="AP219" i="52"/>
  <c r="AL219" i="52"/>
  <c r="AH219" i="52"/>
  <c r="AO219" i="52"/>
  <c r="AS219" i="52"/>
  <c r="AG219" i="52"/>
  <c r="AK219" i="52"/>
  <c r="AN215" i="52"/>
  <c r="AJ215" i="52"/>
  <c r="AP276" i="52"/>
  <c r="AL276" i="52"/>
  <c r="AH276" i="52"/>
  <c r="AO276" i="52"/>
  <c r="AS276" i="52"/>
  <c r="AI276" i="52"/>
  <c r="AN274" i="52"/>
  <c r="AH274" i="52"/>
  <c r="AK267" i="52"/>
  <c r="AG267" i="52"/>
  <c r="AN267" i="52"/>
  <c r="AK265" i="52"/>
  <c r="AS265" i="52"/>
  <c r="AJ265" i="52"/>
  <c r="AN265" i="52"/>
  <c r="AR265" i="52"/>
  <c r="AK263" i="52"/>
  <c r="AG263" i="52"/>
  <c r="AH263" i="52"/>
  <c r="AN263" i="52"/>
  <c r="AQ203" i="52"/>
  <c r="AM203" i="52"/>
  <c r="AI203" i="52"/>
  <c r="AU203" i="52" s="1"/>
  <c r="AL203" i="52"/>
  <c r="AP203" i="52"/>
  <c r="AJ203" i="52"/>
  <c r="AS203" i="52"/>
  <c r="AK203" i="52"/>
  <c r="AN203" i="52"/>
  <c r="AQ201" i="52"/>
  <c r="AM201" i="52"/>
  <c r="AI201" i="52"/>
  <c r="AL201" i="52"/>
  <c r="AP201" i="52"/>
  <c r="AH201" i="52"/>
  <c r="AO201" i="52"/>
  <c r="AG201" i="52"/>
  <c r="AR201" i="52"/>
  <c r="AS199" i="52"/>
  <c r="AO199" i="52"/>
  <c r="AK199" i="52"/>
  <c r="AG199" i="52"/>
  <c r="AN199" i="52"/>
  <c r="AR199" i="52"/>
  <c r="AJ199" i="52"/>
  <c r="AQ199" i="52"/>
  <c r="AI199" i="52"/>
  <c r="AP199" i="52"/>
  <c r="AQ197" i="52"/>
  <c r="AM197" i="52"/>
  <c r="AI197" i="52"/>
  <c r="AL197" i="52"/>
  <c r="AP197" i="52"/>
  <c r="AH197" i="52"/>
  <c r="AS197" i="52"/>
  <c r="AK197" i="52"/>
  <c r="AN197" i="52"/>
  <c r="AS195" i="52"/>
  <c r="AO195" i="52"/>
  <c r="AK195" i="52"/>
  <c r="AG195" i="52"/>
  <c r="AN195" i="52"/>
  <c r="AR195" i="52"/>
  <c r="AJ195" i="52"/>
  <c r="AM195" i="52"/>
  <c r="AL195" i="52"/>
  <c r="AN18" i="52"/>
  <c r="AM18" i="52"/>
  <c r="AR18" i="52"/>
  <c r="AQ18" i="52"/>
  <c r="AJ18" i="52"/>
  <c r="AG18" i="52"/>
  <c r="AU18" i="52" s="1"/>
  <c r="AK18" i="52"/>
  <c r="AP155" i="52"/>
  <c r="AH155" i="52"/>
  <c r="AS155" i="52"/>
  <c r="AL155" i="52"/>
  <c r="AG155" i="52"/>
  <c r="AU155" i="52" s="1"/>
  <c r="AK155" i="52"/>
  <c r="AL153" i="52"/>
  <c r="AO153" i="52"/>
  <c r="AH153" i="52"/>
  <c r="AS153" i="52"/>
  <c r="AG153" i="52"/>
  <c r="AU153" i="52" s="1"/>
  <c r="AK153" i="52"/>
  <c r="AP151" i="52"/>
  <c r="AH151" i="52"/>
  <c r="AS151" i="52"/>
  <c r="AO151" i="52"/>
  <c r="AL151" i="52"/>
  <c r="AI151" i="52"/>
  <c r="AU151" i="52" s="1"/>
  <c r="AL149" i="52"/>
  <c r="AO149" i="52"/>
  <c r="AP149" i="52"/>
  <c r="AS149" i="52"/>
  <c r="AG149" i="52"/>
  <c r="AK149" i="52"/>
  <c r="AP147" i="52"/>
  <c r="AH147" i="52"/>
  <c r="AS147" i="52"/>
  <c r="AL147" i="52"/>
  <c r="AO147" i="52"/>
  <c r="AG147" i="52"/>
  <c r="AK147" i="52"/>
  <c r="AL145" i="52"/>
  <c r="AO145" i="52"/>
  <c r="AH145" i="52"/>
  <c r="AP145" i="52"/>
  <c r="AI145" i="52"/>
  <c r="AP143" i="52"/>
  <c r="AH143" i="52"/>
  <c r="AS143" i="52"/>
  <c r="AO143" i="52"/>
  <c r="AI143" i="52"/>
  <c r="AU143" i="52" s="1"/>
  <c r="AL141" i="52"/>
  <c r="AO141" i="52"/>
  <c r="AP141" i="52"/>
  <c r="AS141" i="52"/>
  <c r="AH141" i="52"/>
  <c r="AI141" i="52"/>
  <c r="AS26" i="52"/>
  <c r="AK26" i="52"/>
  <c r="AP178" i="52"/>
  <c r="AL178" i="52"/>
  <c r="AH178" i="52"/>
  <c r="AO178" i="52"/>
  <c r="AS178" i="52"/>
  <c r="AG178" i="52"/>
  <c r="AK178" i="52"/>
  <c r="AP176" i="52"/>
  <c r="AL176" i="52"/>
  <c r="AH176" i="52"/>
  <c r="AO176" i="52"/>
  <c r="AS176" i="52"/>
  <c r="AG176" i="52"/>
  <c r="AK176" i="52"/>
  <c r="AP174" i="52"/>
  <c r="AL174" i="52"/>
  <c r="AH174" i="52"/>
  <c r="AO174" i="52"/>
  <c r="AS174" i="52"/>
  <c r="AG174" i="52"/>
  <c r="AK174" i="52"/>
  <c r="AP172" i="52"/>
  <c r="AL172" i="52"/>
  <c r="AH172" i="52"/>
  <c r="AO172" i="52"/>
  <c r="AS172" i="52"/>
  <c r="AG172" i="52"/>
  <c r="AK172" i="52"/>
  <c r="AP170" i="52"/>
  <c r="AL170" i="52"/>
  <c r="AH170" i="52"/>
  <c r="AO170" i="52"/>
  <c r="AS170" i="52"/>
  <c r="AG170" i="52"/>
  <c r="AK170" i="52"/>
  <c r="AP168" i="52"/>
  <c r="AL168" i="52"/>
  <c r="AH168" i="52"/>
  <c r="AO168" i="52"/>
  <c r="AS168" i="52"/>
  <c r="AG168" i="52"/>
  <c r="AU168" i="52" s="1"/>
  <c r="AK168" i="52"/>
  <c r="AP166" i="52"/>
  <c r="AL166" i="52"/>
  <c r="AH166" i="52"/>
  <c r="AO166" i="52"/>
  <c r="AS166" i="52"/>
  <c r="AG166" i="52"/>
  <c r="AU166" i="52" s="1"/>
  <c r="AK166" i="52"/>
  <c r="AP164" i="52"/>
  <c r="AL164" i="52"/>
  <c r="AH164" i="52"/>
  <c r="AO164" i="52"/>
  <c r="AS164" i="52"/>
  <c r="AG164" i="52"/>
  <c r="AK164" i="52"/>
  <c r="AP162" i="52"/>
  <c r="AL162" i="52"/>
  <c r="AH162" i="52"/>
  <c r="AO162" i="52"/>
  <c r="AS162" i="52"/>
  <c r="AG162" i="52"/>
  <c r="AU162" i="52" s="1"/>
  <c r="AK162" i="52"/>
  <c r="AP160" i="52"/>
  <c r="AL160" i="52"/>
  <c r="AH160" i="52"/>
  <c r="AO160" i="52"/>
  <c r="AS160" i="52"/>
  <c r="AG160" i="52"/>
  <c r="AK160" i="52"/>
  <c r="AP158" i="52"/>
  <c r="AL158" i="52"/>
  <c r="AH158" i="52"/>
  <c r="AO158" i="52"/>
  <c r="AS158" i="52"/>
  <c r="AG158" i="52"/>
  <c r="AK158" i="52"/>
  <c r="AR156" i="52"/>
  <c r="AN156" i="52"/>
  <c r="AJ156" i="52"/>
  <c r="AM156" i="52"/>
  <c r="AQ156" i="52"/>
  <c r="AG156" i="52"/>
  <c r="AK156" i="52"/>
  <c r="AR234" i="52"/>
  <c r="AN234" i="52"/>
  <c r="AJ234" i="52"/>
  <c r="AM234" i="52"/>
  <c r="AQ234" i="52"/>
  <c r="AI234" i="52"/>
  <c r="AR232" i="52"/>
  <c r="AN232" i="52"/>
  <c r="AJ232" i="52"/>
  <c r="AM232" i="52"/>
  <c r="AQ232" i="52"/>
  <c r="AG232" i="52"/>
  <c r="AK232" i="52"/>
  <c r="AR230" i="52"/>
  <c r="AN230" i="52"/>
  <c r="AJ230" i="52"/>
  <c r="AM230" i="52"/>
  <c r="AQ230" i="52"/>
  <c r="AI230" i="52"/>
  <c r="AR280" i="52"/>
  <c r="AN280" i="52"/>
  <c r="AJ280" i="52"/>
  <c r="AM280" i="52"/>
  <c r="AQ280" i="52"/>
  <c r="AI280" i="52"/>
  <c r="AR278" i="52"/>
  <c r="AN278" i="52"/>
  <c r="AJ278" i="52"/>
  <c r="AM278" i="52"/>
  <c r="AQ278" i="52"/>
  <c r="AG278" i="52"/>
  <c r="AK278" i="52"/>
  <c r="AG209" i="52"/>
  <c r="AK209" i="52"/>
  <c r="AP209" i="52"/>
  <c r="AS44" i="52"/>
  <c r="AO44" i="52"/>
  <c r="AV44" i="52" s="1"/>
  <c r="AK44" i="52"/>
  <c r="AG44" i="52"/>
  <c r="AN44" i="52"/>
  <c r="AR44" i="52"/>
  <c r="AQ44" i="52"/>
  <c r="AI44" i="52"/>
  <c r="AP44" i="52"/>
  <c r="AH44" i="52"/>
  <c r="AM44" i="52"/>
  <c r="AJ44" i="52"/>
  <c r="AQ42" i="52"/>
  <c r="AM42" i="52"/>
  <c r="AI42" i="52"/>
  <c r="AL42" i="52"/>
  <c r="AP42" i="52"/>
  <c r="AS42" i="52"/>
  <c r="AK42" i="52"/>
  <c r="AN42" i="52"/>
  <c r="AJ42" i="52"/>
  <c r="AG42" i="52"/>
  <c r="AH42" i="52"/>
  <c r="AR107" i="52"/>
  <c r="AJ107" i="52"/>
  <c r="AQ107" i="52"/>
  <c r="AM107" i="52"/>
  <c r="AI107" i="52"/>
  <c r="AU107" i="52" s="1"/>
  <c r="AP115" i="52"/>
  <c r="AL115" i="52"/>
  <c r="AH115" i="52"/>
  <c r="AO115" i="52"/>
  <c r="AS115" i="52"/>
  <c r="AR115" i="52"/>
  <c r="AJ115" i="52"/>
  <c r="AQ115" i="52"/>
  <c r="AI115" i="52"/>
  <c r="AP113" i="52"/>
  <c r="AL113" i="52"/>
  <c r="AH113" i="52"/>
  <c r="AO113" i="52"/>
  <c r="AS113" i="52"/>
  <c r="AN113" i="52"/>
  <c r="AM113" i="52"/>
  <c r="AI113" i="52"/>
  <c r="AN111" i="52"/>
  <c r="AM111" i="52"/>
  <c r="AR111" i="52"/>
  <c r="AQ111" i="52"/>
  <c r="AJ111" i="52"/>
  <c r="AI111" i="52"/>
  <c r="AK192" i="52"/>
  <c r="AS192" i="52"/>
  <c r="AL192" i="52"/>
  <c r="AP192" i="52"/>
  <c r="AG192" i="52"/>
  <c r="AH192" i="52"/>
  <c r="AN192" i="52"/>
  <c r="AI6" i="52"/>
  <c r="AQ6" i="52"/>
  <c r="AJ6" i="52"/>
  <c r="AN6" i="52"/>
  <c r="AR6" i="52"/>
  <c r="AM6" i="52"/>
  <c r="AL6" i="52"/>
  <c r="AG4" i="52"/>
  <c r="AO4" i="52"/>
  <c r="AH4" i="52"/>
  <c r="AJ4" i="52"/>
  <c r="AN4" i="52"/>
  <c r="AR4" i="52"/>
  <c r="AK4" i="52"/>
  <c r="AP4" i="52"/>
  <c r="AJ2" i="52"/>
  <c r="AM2" i="52"/>
  <c r="AR2" i="52"/>
  <c r="AQ2" i="52"/>
  <c r="AG2" i="52"/>
  <c r="AK2" i="52"/>
  <c r="AP2" i="52"/>
  <c r="AI2" i="52"/>
  <c r="AP261" i="52"/>
  <c r="AL261" i="52"/>
  <c r="AG261" i="52"/>
  <c r="AO261" i="52"/>
  <c r="AP248" i="52"/>
  <c r="AL248" i="52"/>
  <c r="AM248" i="52"/>
  <c r="AK248" i="52"/>
  <c r="AX71" i="52"/>
  <c r="BN71" i="52" s="1"/>
  <c r="AJ66" i="52"/>
  <c r="AY65" i="52"/>
  <c r="AY64" i="52"/>
  <c r="AH64" i="52"/>
  <c r="AH62" i="52"/>
  <c r="AJ60" i="52"/>
  <c r="AX55" i="52"/>
  <c r="AP66" i="52"/>
  <c r="AL66" i="52"/>
  <c r="AG66" i="52"/>
  <c r="AK66" i="52"/>
  <c r="AO66" i="52"/>
  <c r="AV66" i="52" s="1"/>
  <c r="BA65" i="52"/>
  <c r="AP64" i="52"/>
  <c r="AL64" i="52"/>
  <c r="AG64" i="52"/>
  <c r="AK64" i="52"/>
  <c r="AO64" i="52"/>
  <c r="AR62" i="52"/>
  <c r="AN62" i="52"/>
  <c r="AI62" i="52"/>
  <c r="AM62" i="52"/>
  <c r="AQ62" i="52"/>
  <c r="AR60" i="52"/>
  <c r="AN60" i="52"/>
  <c r="BA60" i="52"/>
  <c r="AI60" i="52"/>
  <c r="AM60" i="52"/>
  <c r="AQ60" i="52"/>
  <c r="AR26" i="52"/>
  <c r="AN26" i="52"/>
  <c r="AJ26" i="52"/>
  <c r="BD71" i="52"/>
  <c r="BH71" i="52"/>
  <c r="AY71" i="52"/>
  <c r="BE71" i="52"/>
  <c r="BD67" i="52"/>
  <c r="BH67" i="52"/>
  <c r="AY67" i="52"/>
  <c r="BE67" i="52"/>
  <c r="BG65" i="52"/>
  <c r="BK65" i="52"/>
  <c r="AZ65" i="52"/>
  <c r="BF65" i="52"/>
  <c r="BG64" i="52"/>
  <c r="BK64" i="52"/>
  <c r="AZ64" i="52"/>
  <c r="BF64" i="52"/>
  <c r="BG61" i="52"/>
  <c r="BK61" i="52"/>
  <c r="AZ61" i="52"/>
  <c r="BF61" i="52"/>
  <c r="BI60" i="52"/>
  <c r="BD60" i="52"/>
  <c r="AZ55" i="52"/>
  <c r="BJ55" i="52"/>
  <c r="BG55" i="52"/>
  <c r="AO28" i="52"/>
  <c r="AO26" i="52"/>
  <c r="AG190" i="52"/>
  <c r="AU190" i="52" s="1"/>
  <c r="AK234" i="52"/>
  <c r="AI232" i="52"/>
  <c r="AG230" i="52"/>
  <c r="AI227" i="52"/>
  <c r="AI225" i="52"/>
  <c r="AI223" i="52"/>
  <c r="AI221" i="52"/>
  <c r="AI219" i="52"/>
  <c r="AK280" i="52"/>
  <c r="AI278" i="52"/>
  <c r="AG276" i="52"/>
  <c r="AU276" i="52" s="1"/>
  <c r="AN229" i="52"/>
  <c r="AQ178" i="52"/>
  <c r="AJ178" i="52"/>
  <c r="AR178" i="52"/>
  <c r="AM176" i="52"/>
  <c r="AN176" i="52"/>
  <c r="AQ174" i="52"/>
  <c r="AJ174" i="52"/>
  <c r="AR174" i="52"/>
  <c r="AM172" i="52"/>
  <c r="AN172" i="52"/>
  <c r="AQ170" i="52"/>
  <c r="AJ170" i="52"/>
  <c r="AR170" i="52"/>
  <c r="AS156" i="52"/>
  <c r="AH156" i="52"/>
  <c r="AP156" i="52"/>
  <c r="AQ276" i="52"/>
  <c r="AJ276" i="52"/>
  <c r="AR276" i="52"/>
  <c r="AK107" i="52"/>
  <c r="AH103" i="52"/>
  <c r="AJ16" i="52"/>
  <c r="AK151" i="52"/>
  <c r="AI149" i="52"/>
  <c r="AI147" i="52"/>
  <c r="AG145" i="52"/>
  <c r="AU145" i="52" s="1"/>
  <c r="AK143" i="52"/>
  <c r="AG141" i="52"/>
  <c r="AG115" i="52"/>
  <c r="AU115" i="52" s="1"/>
  <c r="AK113" i="52"/>
  <c r="AG111" i="52"/>
  <c r="AH245" i="52"/>
  <c r="AJ243" i="52"/>
  <c r="AQ168" i="52"/>
  <c r="AJ168" i="52"/>
  <c r="AR168" i="52"/>
  <c r="AM166" i="52"/>
  <c r="AN166" i="52"/>
  <c r="AQ164" i="52"/>
  <c r="AJ164" i="52"/>
  <c r="AR164" i="52"/>
  <c r="AM162" i="52"/>
  <c r="AN162" i="52"/>
  <c r="AQ160" i="52"/>
  <c r="AJ160" i="52"/>
  <c r="AR160" i="52"/>
  <c r="AM158" i="52"/>
  <c r="AN158" i="52"/>
  <c r="AO234" i="52"/>
  <c r="AL234" i="52"/>
  <c r="AS232" i="52"/>
  <c r="AH232" i="52"/>
  <c r="AP232" i="52"/>
  <c r="AO230" i="52"/>
  <c r="AL230" i="52"/>
  <c r="AM227" i="52"/>
  <c r="AN227" i="52"/>
  <c r="AQ225" i="52"/>
  <c r="AJ225" i="52"/>
  <c r="AR225" i="52"/>
  <c r="AM223" i="52"/>
  <c r="AN223" i="52"/>
  <c r="AQ221" i="52"/>
  <c r="AJ221" i="52"/>
  <c r="AR221" i="52"/>
  <c r="AM219" i="52"/>
  <c r="AN219" i="52"/>
  <c r="AZ217" i="52"/>
  <c r="BJ217" i="52"/>
  <c r="BK217" i="52"/>
  <c r="AO280" i="52"/>
  <c r="AL280" i="52"/>
  <c r="AS278" i="52"/>
  <c r="AH278" i="52"/>
  <c r="AP278" i="52"/>
  <c r="BK274" i="52"/>
  <c r="BF273" i="52"/>
  <c r="BG273" i="52"/>
  <c r="BJ270" i="52"/>
  <c r="BD269" i="52"/>
  <c r="BE269" i="52"/>
  <c r="AR267" i="52"/>
  <c r="AL265" i="52"/>
  <c r="AO265" i="52"/>
  <c r="AJ263" i="52"/>
  <c r="AO263" i="52"/>
  <c r="AL209" i="52"/>
  <c r="AS209" i="52"/>
  <c r="AH203" i="52"/>
  <c r="AJ201" i="52"/>
  <c r="AH199" i="52"/>
  <c r="AJ197" i="52"/>
  <c r="AH195" i="52"/>
  <c r="AN201" i="52"/>
  <c r="AS201" i="52"/>
  <c r="AM199" i="52"/>
  <c r="AG197" i="52"/>
  <c r="AP195" i="52"/>
  <c r="AQ195" i="52"/>
  <c r="BK44" i="52"/>
  <c r="BG106" i="52"/>
  <c r="BJ105" i="52"/>
  <c r="BF102" i="52"/>
  <c r="BE13" i="52"/>
  <c r="BH12" i="52"/>
  <c r="BD9" i="52"/>
  <c r="AX140" i="52"/>
  <c r="BI140" i="52"/>
  <c r="BE138" i="52"/>
  <c r="BH137" i="52"/>
  <c r="BD123" i="52"/>
  <c r="AX122" i="52"/>
  <c r="BI122" i="52"/>
  <c r="AZ117" i="52"/>
  <c r="BK117" i="52"/>
  <c r="AN115" i="52"/>
  <c r="AJ113" i="52"/>
  <c r="AY244" i="52"/>
  <c r="AR192" i="52"/>
  <c r="BH192" i="52"/>
  <c r="AH6" i="52"/>
  <c r="AL4" i="52"/>
  <c r="AS4" i="52"/>
  <c r="AR203" i="52"/>
  <c r="AO203" i="52"/>
  <c r="CG44" i="52"/>
  <c r="AR42" i="52"/>
  <c r="AO155" i="52"/>
  <c r="AH149" i="52"/>
  <c r="AL143" i="52"/>
  <c r="CG234" i="52"/>
  <c r="CG232" i="52"/>
  <c r="CG230" i="52"/>
  <c r="CG280" i="52"/>
  <c r="CG278" i="52"/>
  <c r="BJ196" i="52"/>
  <c r="BF196" i="52"/>
  <c r="BJ194" i="52"/>
  <c r="BF194" i="52"/>
  <c r="AZ194" i="52"/>
  <c r="BN194" i="52" s="1"/>
  <c r="BK194" i="52"/>
  <c r="BG194" i="52"/>
  <c r="BK49" i="52"/>
  <c r="BG49" i="52"/>
  <c r="BA49" i="52"/>
  <c r="BJ49" i="52"/>
  <c r="BF49" i="52"/>
  <c r="AZ49" i="52"/>
  <c r="BK46" i="52"/>
  <c r="BG46" i="52"/>
  <c r="BA46" i="52"/>
  <c r="BJ46" i="52"/>
  <c r="BF46" i="52"/>
  <c r="AZ46" i="52"/>
  <c r="BN46" i="52" s="1"/>
  <c r="BK40" i="52"/>
  <c r="BG40" i="52"/>
  <c r="BA40" i="52"/>
  <c r="BJ40" i="52"/>
  <c r="BF40" i="52"/>
  <c r="AZ40" i="52"/>
  <c r="BN40" i="52" s="1"/>
  <c r="BK38" i="52"/>
  <c r="BG38" i="52"/>
  <c r="BJ38" i="52"/>
  <c r="BF38" i="52"/>
  <c r="AZ38" i="52"/>
  <c r="BI36" i="52"/>
  <c r="BE36" i="52"/>
  <c r="BH36" i="52"/>
  <c r="BD36" i="52"/>
  <c r="AX36" i="52"/>
  <c r="BK34" i="52"/>
  <c r="BG34" i="52"/>
  <c r="BJ34" i="52"/>
  <c r="BF34" i="52"/>
  <c r="AZ34" i="52"/>
  <c r="BN34" i="52" s="1"/>
  <c r="BE32" i="52"/>
  <c r="BD32" i="52"/>
  <c r="BG109" i="52"/>
  <c r="BF109" i="52"/>
  <c r="BN474" i="48"/>
  <c r="BE465" i="48"/>
  <c r="BE461" i="48"/>
  <c r="BE457" i="48"/>
  <c r="BK455" i="48"/>
  <c r="BK449" i="48"/>
  <c r="BK441" i="48"/>
  <c r="AO475" i="48"/>
  <c r="AE475" i="48"/>
  <c r="AO450" i="48"/>
  <c r="BN426" i="48"/>
  <c r="BN410" i="48"/>
  <c r="BG402" i="48"/>
  <c r="BO455" i="48"/>
  <c r="BO448" i="48"/>
  <c r="BO445" i="48"/>
  <c r="BO440" i="48"/>
  <c r="BO437" i="48"/>
  <c r="AO354" i="48"/>
  <c r="AK346" i="48"/>
  <c r="BN404" i="48"/>
  <c r="BO396" i="48"/>
  <c r="BO393" i="48"/>
  <c r="BO364" i="48"/>
  <c r="BE322" i="48"/>
  <c r="BE382" i="48"/>
  <c r="AZ347" i="48"/>
  <c r="BE300" i="48"/>
  <c r="BE284" i="48"/>
  <c r="BE268" i="48"/>
  <c r="BG312" i="48"/>
  <c r="BG280" i="48"/>
  <c r="BG257" i="48"/>
  <c r="BE241" i="48"/>
  <c r="BE223" i="48"/>
  <c r="AG215" i="48"/>
  <c r="BN210" i="48"/>
  <c r="AJ303" i="48"/>
  <c r="AN303" i="48"/>
  <c r="AK278" i="48"/>
  <c r="AC278" i="48"/>
  <c r="AQ278" i="48" s="1"/>
  <c r="AF411" i="48"/>
  <c r="BC147" i="48"/>
  <c r="BK147" i="48" s="1"/>
  <c r="BA147" i="48"/>
  <c r="AV94" i="48"/>
  <c r="AT94" i="48"/>
  <c r="AV459" i="48"/>
  <c r="BB459" i="48"/>
  <c r="AZ340" i="48"/>
  <c r="AV340" i="48"/>
  <c r="BB340" i="48"/>
  <c r="AG324" i="48"/>
  <c r="AC324" i="48"/>
  <c r="AQ324" i="48" s="1"/>
  <c r="AO324" i="48"/>
  <c r="AG316" i="48"/>
  <c r="AP316" i="48" s="1"/>
  <c r="AY316" i="48" s="1"/>
  <c r="AX316" i="48" s="1"/>
  <c r="AC316" i="48"/>
  <c r="AQ316" i="48" s="1"/>
  <c r="AO316" i="48"/>
  <c r="AV157" i="48"/>
  <c r="BB157" i="48"/>
  <c r="AN321" i="48"/>
  <c r="AJ321" i="48"/>
  <c r="BN321" i="48" s="1"/>
  <c r="BC293" i="48"/>
  <c r="AU293" i="48"/>
  <c r="AK475" i="48"/>
  <c r="BG235" i="48"/>
  <c r="AM205" i="48"/>
  <c r="BG197" i="48"/>
  <c r="BG272" i="48"/>
  <c r="BO162" i="48"/>
  <c r="BK123" i="48"/>
  <c r="AL172" i="48"/>
  <c r="AL164" i="48"/>
  <c r="BO161" i="48"/>
  <c r="BO158" i="48"/>
  <c r="BG201" i="48"/>
  <c r="AO108" i="48"/>
  <c r="AG56" i="48"/>
  <c r="AF51" i="48"/>
  <c r="AO44" i="48"/>
  <c r="AG30" i="48"/>
  <c r="AF109" i="48"/>
  <c r="AO418" i="48"/>
  <c r="AK418" i="48"/>
  <c r="AR418" i="48" s="1"/>
  <c r="AK310" i="48"/>
  <c r="AC310" i="48"/>
  <c r="AQ310" i="48" s="1"/>
  <c r="AN271" i="48"/>
  <c r="AK84" i="48"/>
  <c r="BM84" i="48" s="1"/>
  <c r="AO84" i="48"/>
  <c r="AO68" i="48"/>
  <c r="AC68" i="48"/>
  <c r="BC301" i="48"/>
  <c r="BK301" i="48" s="1"/>
  <c r="AU301" i="48"/>
  <c r="BB290" i="48"/>
  <c r="AT290" i="48"/>
  <c r="BC285" i="48"/>
  <c r="AU285" i="48"/>
  <c r="BB274" i="48"/>
  <c r="AZ274" i="48"/>
  <c r="BC269" i="48"/>
  <c r="BK269" i="48" s="1"/>
  <c r="AU269" i="48"/>
  <c r="AJ244" i="48"/>
  <c r="AN244" i="48"/>
  <c r="AO217" i="48"/>
  <c r="AK217" i="48"/>
  <c r="AG217" i="48"/>
  <c r="AG207" i="48"/>
  <c r="AC207" i="48"/>
  <c r="AK207" i="48"/>
  <c r="AG199" i="48"/>
  <c r="AC199" i="48"/>
  <c r="AQ199" i="48" s="1"/>
  <c r="AK199" i="48"/>
  <c r="BO199" i="48" s="1"/>
  <c r="AV153" i="48"/>
  <c r="BB153" i="48"/>
  <c r="AZ149" i="48"/>
  <c r="BB149" i="48"/>
  <c r="AO88" i="48"/>
  <c r="AC88" i="48"/>
  <c r="AQ88" i="48" s="1"/>
  <c r="AC64" i="48"/>
  <c r="AQ64" i="48" s="1"/>
  <c r="AG64" i="48"/>
  <c r="AP64" i="48" s="1"/>
  <c r="AY64" i="48" s="1"/>
  <c r="AX64" i="48" s="1"/>
  <c r="AO64" i="48"/>
  <c r="AV56" i="48"/>
  <c r="BD56" i="48"/>
  <c r="AZ56" i="48"/>
  <c r="BF56" i="48"/>
  <c r="AC52" i="48"/>
  <c r="AQ52" i="48" s="1"/>
  <c r="AG52" i="48"/>
  <c r="AO52" i="48"/>
  <c r="AK48" i="48"/>
  <c r="AO48" i="48"/>
  <c r="AG48" i="48"/>
  <c r="AU22" i="48"/>
  <c r="BD22" i="48"/>
  <c r="AK15" i="48"/>
  <c r="AN15" i="48"/>
  <c r="AJ15" i="48"/>
  <c r="BO15" i="48" s="1"/>
  <c r="AF15" i="48"/>
  <c r="AM15" i="48"/>
  <c r="AL12" i="48"/>
  <c r="AD12" i="48"/>
  <c r="AM12" i="48"/>
  <c r="AI12" i="48"/>
  <c r="AE12" i="48"/>
  <c r="AN12" i="48"/>
  <c r="AF12" i="48"/>
  <c r="BE9" i="48"/>
  <c r="AW9" i="48"/>
  <c r="AT9" i="48"/>
  <c r="BJ9" i="48" s="1"/>
  <c r="BC9" i="48"/>
  <c r="AZ9" i="48"/>
  <c r="BD9" i="48"/>
  <c r="BD7" i="48"/>
  <c r="BK7" i="48" s="1"/>
  <c r="AV7" i="48"/>
  <c r="BJ7" i="48" s="1"/>
  <c r="AW7" i="48"/>
  <c r="BF7" i="48"/>
  <c r="BA7" i="48"/>
  <c r="BE7" i="48"/>
  <c r="AM5" i="48"/>
  <c r="AE5" i="48"/>
  <c r="AL5" i="48"/>
  <c r="AH5" i="48"/>
  <c r="AD5" i="48"/>
  <c r="AK5" i="48"/>
  <c r="AC5" i="48"/>
  <c r="AQ5" i="48" s="1"/>
  <c r="AM3" i="48"/>
  <c r="AI3" i="48"/>
  <c r="AE3" i="48"/>
  <c r="AN3" i="48"/>
  <c r="AJ3" i="48"/>
  <c r="AF3" i="48"/>
  <c r="BN8" i="48"/>
  <c r="BD456" i="48"/>
  <c r="BK456" i="48" s="1"/>
  <c r="AZ456" i="48"/>
  <c r="AO266" i="48"/>
  <c r="AK266" i="48"/>
  <c r="AO251" i="48"/>
  <c r="AK251" i="48"/>
  <c r="AG229" i="48"/>
  <c r="AC229" i="48"/>
  <c r="AQ229" i="48" s="1"/>
  <c r="AF214" i="48"/>
  <c r="AP214" i="48" s="1"/>
  <c r="AY214" i="48" s="1"/>
  <c r="AJ214" i="48"/>
  <c r="AF204" i="48"/>
  <c r="AJ204" i="48"/>
  <c r="AG187" i="48"/>
  <c r="AP187" i="48" s="1"/>
  <c r="AY187" i="48" s="1"/>
  <c r="AX187" i="48" s="1"/>
  <c r="AC187" i="48"/>
  <c r="AQ187" i="48" s="1"/>
  <c r="AJ147" i="48"/>
  <c r="BO147" i="48" s="1"/>
  <c r="AF147" i="48"/>
  <c r="AJ85" i="48"/>
  <c r="AN85" i="48"/>
  <c r="AN73" i="48"/>
  <c r="AJ73" i="48"/>
  <c r="AR73" i="48" s="1"/>
  <c r="AC28" i="48"/>
  <c r="AG28" i="48"/>
  <c r="BI17" i="52"/>
  <c r="BE17" i="52"/>
  <c r="BH17" i="52"/>
  <c r="BD17" i="52"/>
  <c r="AX17" i="52"/>
  <c r="BN17" i="52" s="1"/>
  <c r="BE265" i="52"/>
  <c r="BI265" i="52"/>
  <c r="BE209" i="52"/>
  <c r="BI209" i="52"/>
  <c r="BA265" i="52"/>
  <c r="AY265" i="52"/>
  <c r="BD265" i="52"/>
  <c r="AY209" i="52"/>
  <c r="BD209" i="52"/>
  <c r="AX207" i="52"/>
  <c r="AX204" i="52"/>
  <c r="BN204" i="52" s="1"/>
  <c r="BH207" i="52"/>
  <c r="BG207" i="52"/>
  <c r="BD204" i="52"/>
  <c r="BH204" i="52"/>
  <c r="AY204" i="52"/>
  <c r="BE204" i="52"/>
  <c r="BE202" i="52"/>
  <c r="BI202" i="52"/>
  <c r="AX202" i="52"/>
  <c r="BD202" i="52"/>
  <c r="BH202" i="52"/>
  <c r="AY17" i="52"/>
  <c r="BG242" i="52"/>
  <c r="BK238" i="52"/>
  <c r="BF17" i="52"/>
  <c r="BG17" i="52"/>
  <c r="BK32" i="52"/>
  <c r="BG32" i="52"/>
  <c r="BJ32" i="52"/>
  <c r="BF32" i="52"/>
  <c r="AZ32" i="52"/>
  <c r="BI109" i="52"/>
  <c r="BE109" i="52"/>
  <c r="BH109" i="52"/>
  <c r="BD109" i="52"/>
  <c r="AX109" i="52"/>
  <c r="BN109" i="52" s="1"/>
  <c r="BF246" i="52"/>
  <c r="BE246" i="52"/>
  <c r="BA138" i="52"/>
  <c r="AY138" i="52"/>
  <c r="AY106" i="52"/>
  <c r="BA106" i="52"/>
  <c r="AP18" i="52"/>
  <c r="AL18" i="52"/>
  <c r="AH18" i="52"/>
  <c r="AO18" i="52"/>
  <c r="AS18" i="52"/>
  <c r="AR155" i="52"/>
  <c r="AN155" i="52"/>
  <c r="AJ155" i="52"/>
  <c r="AM155" i="52"/>
  <c r="AQ155" i="52"/>
  <c r="AR153" i="52"/>
  <c r="AN153" i="52"/>
  <c r="AJ153" i="52"/>
  <c r="AM153" i="52"/>
  <c r="AQ153" i="52"/>
  <c r="AR151" i="52"/>
  <c r="AN151" i="52"/>
  <c r="AJ151" i="52"/>
  <c r="AM151" i="52"/>
  <c r="AQ151" i="52"/>
  <c r="AR149" i="52"/>
  <c r="AN149" i="52"/>
  <c r="AJ149" i="52"/>
  <c r="AM149" i="52"/>
  <c r="AQ149" i="52"/>
  <c r="AR147" i="52"/>
  <c r="AN147" i="52"/>
  <c r="AJ147" i="52"/>
  <c r="AM147" i="52"/>
  <c r="AQ147" i="52"/>
  <c r="AR145" i="52"/>
  <c r="AN145" i="52"/>
  <c r="AJ145" i="52"/>
  <c r="AM145" i="52"/>
  <c r="AQ145" i="52"/>
  <c r="AR143" i="52"/>
  <c r="AN143" i="52"/>
  <c r="AJ143" i="52"/>
  <c r="AM143" i="52"/>
  <c r="AQ143" i="52"/>
  <c r="AR141" i="52"/>
  <c r="AN141" i="52"/>
  <c r="AJ141" i="52"/>
  <c r="AM141" i="52"/>
  <c r="AQ141" i="52"/>
  <c r="AP107" i="52"/>
  <c r="AL107" i="52"/>
  <c r="AH107" i="52"/>
  <c r="AO107" i="52"/>
  <c r="AS107" i="52"/>
  <c r="AP111" i="52"/>
  <c r="AL111" i="52"/>
  <c r="AH111" i="52"/>
  <c r="AO111" i="52"/>
  <c r="AS111" i="52"/>
  <c r="AN2" i="52"/>
  <c r="AH2" i="52"/>
  <c r="AL2" i="52"/>
  <c r="AO2" i="52"/>
  <c r="AS2" i="52"/>
  <c r="CG260" i="52"/>
  <c r="CG65" i="52"/>
  <c r="CG63" i="52"/>
  <c r="CG61" i="52"/>
  <c r="CG59" i="52"/>
  <c r="BD208" i="52"/>
  <c r="AZ208" i="52"/>
  <c r="BI208" i="52"/>
  <c r="BE208" i="52"/>
  <c r="BI205" i="52"/>
  <c r="BE205" i="52"/>
  <c r="AY205" i="52"/>
  <c r="BH205" i="52"/>
  <c r="BD205" i="52"/>
  <c r="BA203" i="52"/>
  <c r="BF203" i="52"/>
  <c r="BK203" i="52"/>
  <c r="AY203" i="52"/>
  <c r="AX267" i="52"/>
  <c r="AZ267" i="52"/>
  <c r="BH267" i="52"/>
  <c r="BI267" i="52"/>
  <c r="BE267" i="52"/>
  <c r="BH201" i="52"/>
  <c r="BD201" i="52"/>
  <c r="AX201" i="52"/>
  <c r="BI201" i="52"/>
  <c r="BE201" i="52"/>
  <c r="BJ201" i="52"/>
  <c r="AZ201" i="52"/>
  <c r="BG201" i="52"/>
  <c r="CG201" i="52"/>
  <c r="BA201" i="52"/>
  <c r="AY201" i="52"/>
  <c r="BJ199" i="52"/>
  <c r="BF199" i="52"/>
  <c r="AZ199" i="52"/>
  <c r="BH199" i="52"/>
  <c r="AX199" i="52"/>
  <c r="BI199" i="52"/>
  <c r="BE199" i="52"/>
  <c r="BK199" i="52"/>
  <c r="CG199" i="52"/>
  <c r="BA199" i="52"/>
  <c r="AY199" i="52"/>
  <c r="BJ197" i="52"/>
  <c r="BF197" i="52"/>
  <c r="AZ197" i="52"/>
  <c r="BN197" i="52" s="1"/>
  <c r="BK197" i="52"/>
  <c r="BG197" i="52"/>
  <c r="BD197" i="52"/>
  <c r="BI197" i="52"/>
  <c r="BH197" i="52"/>
  <c r="BE197" i="52"/>
  <c r="CG197" i="52"/>
  <c r="BA197" i="52"/>
  <c r="AY197" i="52"/>
  <c r="BJ195" i="52"/>
  <c r="BF195" i="52"/>
  <c r="AZ195" i="52"/>
  <c r="BK195" i="52"/>
  <c r="BG195" i="52"/>
  <c r="BH195" i="52"/>
  <c r="AX195" i="52"/>
  <c r="BN195" i="52" s="1"/>
  <c r="BE195" i="52"/>
  <c r="BD195" i="52"/>
  <c r="CG195" i="52"/>
  <c r="BA195" i="52"/>
  <c r="AY195" i="52"/>
  <c r="BI51" i="52"/>
  <c r="BE51" i="52"/>
  <c r="AY51" i="52"/>
  <c r="BH51" i="52"/>
  <c r="BD51" i="52"/>
  <c r="BK51" i="52"/>
  <c r="BA51" i="52"/>
  <c r="BF51" i="52"/>
  <c r="BJ51" i="52"/>
  <c r="AX51" i="52"/>
  <c r="BN51" i="52" s="1"/>
  <c r="BI47" i="52"/>
  <c r="BE47" i="52"/>
  <c r="AY47" i="52"/>
  <c r="BH47" i="52"/>
  <c r="BD47" i="52"/>
  <c r="BG47" i="52"/>
  <c r="BJ47" i="52"/>
  <c r="AZ47" i="52"/>
  <c r="BA47" i="52"/>
  <c r="AX47" i="52"/>
  <c r="BK39" i="52"/>
  <c r="BG39" i="52"/>
  <c r="BJ39" i="52"/>
  <c r="BF39" i="52"/>
  <c r="AZ39" i="52"/>
  <c r="BI39" i="52"/>
  <c r="BH39" i="52"/>
  <c r="AX39" i="52"/>
  <c r="BA39" i="52"/>
  <c r="BE39" i="52"/>
  <c r="BK37" i="52"/>
  <c r="BG37" i="52"/>
  <c r="BJ37" i="52"/>
  <c r="BF37" i="52"/>
  <c r="AZ37" i="52"/>
  <c r="BE37" i="52"/>
  <c r="BD37" i="52"/>
  <c r="BA37" i="52"/>
  <c r="BH37" i="52"/>
  <c r="AY37" i="52"/>
  <c r="BK35" i="52"/>
  <c r="BG35" i="52"/>
  <c r="BJ35" i="52"/>
  <c r="BF35" i="52"/>
  <c r="AZ35" i="52"/>
  <c r="BI35" i="52"/>
  <c r="BH35" i="52"/>
  <c r="AX35" i="52"/>
  <c r="BA35" i="52"/>
  <c r="BD35" i="52"/>
  <c r="BK33" i="52"/>
  <c r="BG33" i="52"/>
  <c r="BJ33" i="52"/>
  <c r="BF33" i="52"/>
  <c r="AZ33" i="52"/>
  <c r="BE33" i="52"/>
  <c r="BD33" i="52"/>
  <c r="BA33" i="52"/>
  <c r="BI33" i="52"/>
  <c r="AX33" i="52"/>
  <c r="AY33" i="52"/>
  <c r="BK110" i="52"/>
  <c r="BG110" i="52"/>
  <c r="BJ110" i="52"/>
  <c r="BF110" i="52"/>
  <c r="AZ110" i="52"/>
  <c r="BI110" i="52"/>
  <c r="BH110" i="52"/>
  <c r="AX110" i="52"/>
  <c r="BA110" i="52"/>
  <c r="BE110" i="52"/>
  <c r="BK16" i="52"/>
  <c r="BG16" i="52"/>
  <c r="BJ16" i="52"/>
  <c r="BF16" i="52"/>
  <c r="AZ16" i="52"/>
  <c r="BE16" i="52"/>
  <c r="BD16" i="52"/>
  <c r="BA16" i="52"/>
  <c r="BH16" i="52"/>
  <c r="BI271" i="52"/>
  <c r="BE271" i="52"/>
  <c r="BH271" i="52"/>
  <c r="BO271" i="52" s="1"/>
  <c r="BD271" i="52"/>
  <c r="AX271" i="52"/>
  <c r="BK45" i="52"/>
  <c r="BG45" i="52"/>
  <c r="BA45" i="52"/>
  <c r="BJ45" i="52"/>
  <c r="BF45" i="52"/>
  <c r="AZ45" i="52"/>
  <c r="BA42" i="52"/>
  <c r="CG42" i="52"/>
  <c r="BJ42" i="52"/>
  <c r="BF42" i="52"/>
  <c r="AZ42" i="52"/>
  <c r="BK42" i="52"/>
  <c r="BG42" i="52"/>
  <c r="BH42" i="52"/>
  <c r="AX42" i="52"/>
  <c r="BE42" i="52"/>
  <c r="AY103" i="52"/>
  <c r="BI103" i="52"/>
  <c r="BE103" i="52"/>
  <c r="BH103" i="52"/>
  <c r="BD103" i="52"/>
  <c r="AX103" i="52"/>
  <c r="BK103" i="52"/>
  <c r="BJ103" i="52"/>
  <c r="AZ103" i="52"/>
  <c r="BA11" i="52"/>
  <c r="BI11" i="52"/>
  <c r="BE11" i="52"/>
  <c r="BH11" i="52"/>
  <c r="BD11" i="52"/>
  <c r="AX11" i="52"/>
  <c r="BG11" i="52"/>
  <c r="BF11" i="52"/>
  <c r="BA136" i="52"/>
  <c r="BI136" i="52"/>
  <c r="BE136" i="52"/>
  <c r="BH136" i="52"/>
  <c r="BD136" i="52"/>
  <c r="AX136" i="52"/>
  <c r="BK136" i="52"/>
  <c r="BJ136" i="52"/>
  <c r="AZ136" i="52"/>
  <c r="AY215" i="52"/>
  <c r="BI215" i="52"/>
  <c r="BE215" i="52"/>
  <c r="BH215" i="52"/>
  <c r="BD215" i="52"/>
  <c r="AX215" i="52"/>
  <c r="BA43" i="52"/>
  <c r="BJ43" i="52"/>
  <c r="BF43" i="52"/>
  <c r="AZ43" i="52"/>
  <c r="BN43" i="52" s="1"/>
  <c r="BK43" i="52"/>
  <c r="BG43" i="52"/>
  <c r="AY43" i="52"/>
  <c r="BA104" i="52"/>
  <c r="BI104" i="52"/>
  <c r="BE104" i="52"/>
  <c r="BH104" i="52"/>
  <c r="BD104" i="52"/>
  <c r="AX104" i="52"/>
  <c r="BG104" i="52"/>
  <c r="BF104" i="52"/>
  <c r="AY14" i="52"/>
  <c r="BA14" i="52"/>
  <c r="BI14" i="52"/>
  <c r="BE14" i="52"/>
  <c r="BH14" i="52"/>
  <c r="BD14" i="52"/>
  <c r="AX14" i="52"/>
  <c r="BK14" i="52"/>
  <c r="BJ14" i="52"/>
  <c r="AZ14" i="52"/>
  <c r="BA10" i="52"/>
  <c r="BI10" i="52"/>
  <c r="BE10" i="52"/>
  <c r="BH10" i="52"/>
  <c r="BD10" i="52"/>
  <c r="AX10" i="52"/>
  <c r="BK10" i="52"/>
  <c r="BJ10" i="52"/>
  <c r="AZ10" i="52"/>
  <c r="BA139" i="52"/>
  <c r="AY139" i="52"/>
  <c r="BI139" i="52"/>
  <c r="BE139" i="52"/>
  <c r="BH139" i="52"/>
  <c r="BD139" i="52"/>
  <c r="AX139" i="52"/>
  <c r="BN139" i="52" s="1"/>
  <c r="BG139" i="52"/>
  <c r="BF139" i="52"/>
  <c r="BA124" i="52"/>
  <c r="AY124" i="52"/>
  <c r="BI124" i="52"/>
  <c r="BE124" i="52"/>
  <c r="BH124" i="52"/>
  <c r="BD124" i="52"/>
  <c r="AX124" i="52"/>
  <c r="BG124" i="52"/>
  <c r="BF124" i="52"/>
  <c r="AY274" i="52"/>
  <c r="BI274" i="52"/>
  <c r="BE274" i="52"/>
  <c r="BH274" i="52"/>
  <c r="BD274" i="52"/>
  <c r="AX274" i="52"/>
  <c r="BI270" i="52"/>
  <c r="BE270" i="52"/>
  <c r="BH270" i="52"/>
  <c r="BD270" i="52"/>
  <c r="AX270" i="52"/>
  <c r="BK50" i="52"/>
  <c r="BG50" i="52"/>
  <c r="BA50" i="52"/>
  <c r="BJ50" i="52"/>
  <c r="BF50" i="52"/>
  <c r="AZ50" i="52"/>
  <c r="AX50" i="52"/>
  <c r="BI41" i="52"/>
  <c r="BE41" i="52"/>
  <c r="AY41" i="52"/>
  <c r="BH41" i="52"/>
  <c r="BD41" i="52"/>
  <c r="BK41" i="52"/>
  <c r="BA41" i="52"/>
  <c r="BF41" i="52"/>
  <c r="AP228" i="52"/>
  <c r="AL228" i="52"/>
  <c r="AH228" i="52"/>
  <c r="AO228" i="52"/>
  <c r="AS228" i="52"/>
  <c r="AP226" i="52"/>
  <c r="AL226" i="52"/>
  <c r="AH226" i="52"/>
  <c r="AO226" i="52"/>
  <c r="AS226" i="52"/>
  <c r="AP224" i="52"/>
  <c r="AL224" i="52"/>
  <c r="AH224" i="52"/>
  <c r="AO224" i="52"/>
  <c r="AS224" i="52"/>
  <c r="AP222" i="52"/>
  <c r="AL222" i="52"/>
  <c r="AH222" i="52"/>
  <c r="AO222" i="52"/>
  <c r="AS222" i="52"/>
  <c r="AP220" i="52"/>
  <c r="AL220" i="52"/>
  <c r="AH220" i="52"/>
  <c r="AO220" i="52"/>
  <c r="AS220" i="52"/>
  <c r="AP218" i="52"/>
  <c r="AL218" i="52"/>
  <c r="AH218" i="52"/>
  <c r="AO218" i="52"/>
  <c r="AS218" i="52"/>
  <c r="AP277" i="52"/>
  <c r="AL277" i="52"/>
  <c r="AH277" i="52"/>
  <c r="AO277" i="52"/>
  <c r="AS277" i="52"/>
  <c r="AP275" i="52"/>
  <c r="AL275" i="52"/>
  <c r="AH275" i="52"/>
  <c r="AO275" i="52"/>
  <c r="AS275" i="52"/>
  <c r="AO266" i="52"/>
  <c r="AN266" i="52"/>
  <c r="AO264" i="52"/>
  <c r="AN264" i="52"/>
  <c r="AO214" i="52"/>
  <c r="AN214" i="52"/>
  <c r="AG208" i="52"/>
  <c r="AO208" i="52"/>
  <c r="AH208" i="52"/>
  <c r="AL208" i="52"/>
  <c r="AP208" i="52"/>
  <c r="AS202" i="52"/>
  <c r="AO202" i="52"/>
  <c r="AK202" i="52"/>
  <c r="AG202" i="52"/>
  <c r="AN202" i="52"/>
  <c r="AR202" i="52"/>
  <c r="AQ202" i="52"/>
  <c r="AI202" i="52"/>
  <c r="AP202" i="52"/>
  <c r="AJ202" i="52"/>
  <c r="AS200" i="52"/>
  <c r="AO200" i="52"/>
  <c r="AK200" i="52"/>
  <c r="AG200" i="52"/>
  <c r="AL200" i="52"/>
  <c r="AP200" i="52"/>
  <c r="AJ200" i="52"/>
  <c r="AS198" i="52"/>
  <c r="AO198" i="52"/>
  <c r="AK198" i="52"/>
  <c r="AG198" i="52"/>
  <c r="AL198" i="52"/>
  <c r="AP198" i="52"/>
  <c r="AJ198" i="52"/>
  <c r="AS196" i="52"/>
  <c r="AO196" i="52"/>
  <c r="AK196" i="52"/>
  <c r="AG196" i="52"/>
  <c r="AL196" i="52"/>
  <c r="AP196" i="52"/>
  <c r="AJ196" i="52"/>
  <c r="AS194" i="52"/>
  <c r="AO194" i="52"/>
  <c r="AK194" i="52"/>
  <c r="AG194" i="52"/>
  <c r="AL194" i="52"/>
  <c r="AP194" i="52"/>
  <c r="AJ194" i="52"/>
  <c r="AP154" i="52"/>
  <c r="AL154" i="52"/>
  <c r="AH154" i="52"/>
  <c r="AO154" i="52"/>
  <c r="AS154" i="52"/>
  <c r="AN154" i="52"/>
  <c r="AM154" i="52"/>
  <c r="AG154" i="52"/>
  <c r="AK154" i="52"/>
  <c r="AP152" i="52"/>
  <c r="AL152" i="52"/>
  <c r="AH152" i="52"/>
  <c r="AO152" i="52"/>
  <c r="AS152" i="52"/>
  <c r="AR152" i="52"/>
  <c r="AJ152" i="52"/>
  <c r="AQ152" i="52"/>
  <c r="AI152" i="52"/>
  <c r="AP150" i="52"/>
  <c r="AL150" i="52"/>
  <c r="AH150" i="52"/>
  <c r="AO150" i="52"/>
  <c r="AS150" i="52"/>
  <c r="AN150" i="52"/>
  <c r="AM150" i="52"/>
  <c r="AG150" i="52"/>
  <c r="AK150" i="52"/>
  <c r="AP148" i="52"/>
  <c r="AL148" i="52"/>
  <c r="AH148" i="52"/>
  <c r="AO148" i="52"/>
  <c r="AS148" i="52"/>
  <c r="AR148" i="52"/>
  <c r="AJ148" i="52"/>
  <c r="AQ148" i="52"/>
  <c r="AI148" i="52"/>
  <c r="AP146" i="52"/>
  <c r="AL146" i="52"/>
  <c r="AH146" i="52"/>
  <c r="AO146" i="52"/>
  <c r="AS146" i="52"/>
  <c r="AN146" i="52"/>
  <c r="AM146" i="52"/>
  <c r="AG146" i="52"/>
  <c r="AK146" i="52"/>
  <c r="AP144" i="52"/>
  <c r="AL144" i="52"/>
  <c r="AH144" i="52"/>
  <c r="AO144" i="52"/>
  <c r="AS144" i="52"/>
  <c r="AR144" i="52"/>
  <c r="AJ144" i="52"/>
  <c r="AQ144" i="52"/>
  <c r="AI144" i="52"/>
  <c r="AP142" i="52"/>
  <c r="AL142" i="52"/>
  <c r="AH142" i="52"/>
  <c r="AO142" i="52"/>
  <c r="AS142" i="52"/>
  <c r="AN142" i="52"/>
  <c r="AM142" i="52"/>
  <c r="AG142" i="52"/>
  <c r="AK142" i="52"/>
  <c r="AP118" i="52"/>
  <c r="AL118" i="52"/>
  <c r="AH118" i="52"/>
  <c r="AO118" i="52"/>
  <c r="AS118" i="52"/>
  <c r="AR118" i="52"/>
  <c r="AJ118" i="52"/>
  <c r="AQ118" i="52"/>
  <c r="AG118" i="52"/>
  <c r="AK118" i="52"/>
  <c r="AN116" i="52"/>
  <c r="AM116" i="52"/>
  <c r="AR116" i="52"/>
  <c r="AQ116" i="52"/>
  <c r="AJ116" i="52"/>
  <c r="AI116" i="52"/>
  <c r="AU116" i="52" s="1"/>
  <c r="AP179" i="52"/>
  <c r="AL179" i="52"/>
  <c r="AH179" i="52"/>
  <c r="AO179" i="52"/>
  <c r="AS179" i="52"/>
  <c r="AP177" i="52"/>
  <c r="AL177" i="52"/>
  <c r="AH177" i="52"/>
  <c r="AO177" i="52"/>
  <c r="AS177" i="52"/>
  <c r="AP175" i="52"/>
  <c r="AL175" i="52"/>
  <c r="AH175" i="52"/>
  <c r="AO175" i="52"/>
  <c r="AS175" i="52"/>
  <c r="AP173" i="52"/>
  <c r="AL173" i="52"/>
  <c r="AH173" i="52"/>
  <c r="AO173" i="52"/>
  <c r="AS173" i="52"/>
  <c r="AP171" i="52"/>
  <c r="AL171" i="52"/>
  <c r="AH171" i="52"/>
  <c r="AO171" i="52"/>
  <c r="AS171" i="52"/>
  <c r="AP169" i="52"/>
  <c r="AL169" i="52"/>
  <c r="AH169" i="52"/>
  <c r="AO169" i="52"/>
  <c r="AS169" i="52"/>
  <c r="AP157" i="52"/>
  <c r="AL157" i="52"/>
  <c r="AH157" i="52"/>
  <c r="AO157" i="52"/>
  <c r="AS157" i="52"/>
  <c r="AP231" i="52"/>
  <c r="AL231" i="52"/>
  <c r="AH231" i="52"/>
  <c r="AO231" i="52"/>
  <c r="AP281" i="52"/>
  <c r="AL281" i="52"/>
  <c r="AH281" i="52"/>
  <c r="AO281" i="52"/>
  <c r="AS281" i="52"/>
  <c r="AP279" i="52"/>
  <c r="AL279" i="52"/>
  <c r="AH279" i="52"/>
  <c r="AO279" i="52"/>
  <c r="AS279" i="52"/>
  <c r="AP268" i="52"/>
  <c r="AL268" i="52"/>
  <c r="AH268" i="52"/>
  <c r="AO268" i="52"/>
  <c r="AS268" i="52"/>
  <c r="AS43" i="52"/>
  <c r="AO43" i="52"/>
  <c r="AK43" i="52"/>
  <c r="AG43" i="52"/>
  <c r="AU43" i="52" s="1"/>
  <c r="AN43" i="52"/>
  <c r="AR43" i="52"/>
  <c r="CG43" i="52"/>
  <c r="AM43" i="52"/>
  <c r="AL43" i="52"/>
  <c r="AQ43" i="52"/>
  <c r="AP43" i="52"/>
  <c r="AH43" i="52"/>
  <c r="AP108" i="52"/>
  <c r="AL108" i="52"/>
  <c r="AH108" i="52"/>
  <c r="AO108" i="52"/>
  <c r="AS108" i="52"/>
  <c r="AR108" i="52"/>
  <c r="AJ108" i="52"/>
  <c r="AQ108" i="52"/>
  <c r="AI108" i="52"/>
  <c r="AU108" i="52" s="1"/>
  <c r="AP114" i="52"/>
  <c r="AL114" i="52"/>
  <c r="AH114" i="52"/>
  <c r="AO114" i="52"/>
  <c r="AS114" i="52"/>
  <c r="AN114" i="52"/>
  <c r="AM114" i="52"/>
  <c r="AJ114" i="52"/>
  <c r="AI114" i="52"/>
  <c r="AR112" i="52"/>
  <c r="AJ112" i="52"/>
  <c r="AQ112" i="52"/>
  <c r="AM112" i="52"/>
  <c r="AN112" i="52"/>
  <c r="AI112" i="52"/>
  <c r="AS7" i="52"/>
  <c r="AM7" i="52"/>
  <c r="AH7" i="52"/>
  <c r="AL7" i="52"/>
  <c r="AP7" i="52"/>
  <c r="AI7" i="52"/>
  <c r="AJ7" i="52"/>
  <c r="AR7" i="52"/>
  <c r="AO3" i="52"/>
  <c r="AR3" i="52"/>
  <c r="AJ3" i="52"/>
  <c r="AP3" i="52"/>
  <c r="AM3" i="52"/>
  <c r="AQ3" i="52"/>
  <c r="AH3" i="52"/>
  <c r="AS3" i="52"/>
  <c r="AI3" i="52"/>
  <c r="AU3" i="52" s="1"/>
  <c r="AN3" i="52"/>
  <c r="AK3" i="52"/>
  <c r="AR260" i="52"/>
  <c r="AN260" i="52"/>
  <c r="AJ260" i="52"/>
  <c r="AH260" i="52"/>
  <c r="AI260" i="52"/>
  <c r="AG260" i="52"/>
  <c r="AO260" i="52"/>
  <c r="BJ260" i="52"/>
  <c r="BD260" i="52"/>
  <c r="BE260" i="52"/>
  <c r="BI260" i="52"/>
  <c r="BJ248" i="52"/>
  <c r="BD248" i="52"/>
  <c r="BE248" i="52"/>
  <c r="AX73" i="52"/>
  <c r="AX69" i="52"/>
  <c r="AY66" i="52"/>
  <c r="AJ65" i="52"/>
  <c r="AJ63" i="52"/>
  <c r="AY62" i="52"/>
  <c r="AJ61" i="52"/>
  <c r="AJ59" i="52"/>
  <c r="AX58" i="52"/>
  <c r="AX57" i="52"/>
  <c r="AX54" i="52"/>
  <c r="AX53" i="52"/>
  <c r="BD70" i="52"/>
  <c r="BH70" i="52"/>
  <c r="AY70" i="52"/>
  <c r="BE70" i="52"/>
  <c r="AR65" i="52"/>
  <c r="AN65" i="52"/>
  <c r="AI65" i="52"/>
  <c r="AM65" i="52"/>
  <c r="AQ65" i="52"/>
  <c r="AR63" i="52"/>
  <c r="AN63" i="52"/>
  <c r="BA63" i="52"/>
  <c r="AI63" i="52"/>
  <c r="AM63" i="52"/>
  <c r="AQ63" i="52"/>
  <c r="AR61" i="52"/>
  <c r="AN61" i="52"/>
  <c r="AI61" i="52"/>
  <c r="AM61" i="52"/>
  <c r="AQ61" i="52"/>
  <c r="AR59" i="52"/>
  <c r="AN59" i="52"/>
  <c r="BA59" i="52"/>
  <c r="AI59" i="52"/>
  <c r="AM59" i="52"/>
  <c r="AQ59" i="52"/>
  <c r="BD58" i="52"/>
  <c r="BH58" i="52"/>
  <c r="BO58" i="52" s="1"/>
  <c r="AY58" i="52"/>
  <c r="BE58" i="52"/>
  <c r="BD54" i="52"/>
  <c r="BH54" i="52"/>
  <c r="AY54" i="52"/>
  <c r="BE54" i="52"/>
  <c r="BA26" i="52"/>
  <c r="AY26" i="52"/>
  <c r="AZ73" i="52"/>
  <c r="BF73" i="52"/>
  <c r="BJ73" i="52"/>
  <c r="BA73" i="52"/>
  <c r="BG73" i="52"/>
  <c r="AZ69" i="52"/>
  <c r="BF69" i="52"/>
  <c r="BJ69" i="52"/>
  <c r="BA69" i="52"/>
  <c r="BG69" i="52"/>
  <c r="BE66" i="52"/>
  <c r="BI66" i="52"/>
  <c r="AX66" i="52"/>
  <c r="BD66" i="52"/>
  <c r="BE63" i="52"/>
  <c r="BI63" i="52"/>
  <c r="AX63" i="52"/>
  <c r="BN63" i="52" s="1"/>
  <c r="BD63" i="52"/>
  <c r="BE62" i="52"/>
  <c r="BI62" i="52"/>
  <c r="AX62" i="52"/>
  <c r="BD62" i="52"/>
  <c r="BE59" i="52"/>
  <c r="BI59" i="52"/>
  <c r="AX59" i="52"/>
  <c r="BD59" i="52"/>
  <c r="AZ57" i="52"/>
  <c r="BF57" i="52"/>
  <c r="BJ57" i="52"/>
  <c r="BA57" i="52"/>
  <c r="BG57" i="52"/>
  <c r="AZ53" i="52"/>
  <c r="BF53" i="52"/>
  <c r="BJ53" i="52"/>
  <c r="BA53" i="52"/>
  <c r="BG53" i="52"/>
  <c r="AZ26" i="52"/>
  <c r="BH26" i="52"/>
  <c r="BG26" i="52"/>
  <c r="AI180" i="52"/>
  <c r="AK179" i="52"/>
  <c r="AG179" i="52"/>
  <c r="AK177" i="52"/>
  <c r="AG177" i="52"/>
  <c r="AK175" i="52"/>
  <c r="AG175" i="52"/>
  <c r="AK173" i="52"/>
  <c r="AG173" i="52"/>
  <c r="AU173" i="52" s="1"/>
  <c r="AK171" i="52"/>
  <c r="AG171" i="52"/>
  <c r="AK169" i="52"/>
  <c r="AG169" i="52"/>
  <c r="AK167" i="52"/>
  <c r="AG167" i="52"/>
  <c r="AK165" i="52"/>
  <c r="AG165" i="52"/>
  <c r="AU165" i="52" s="1"/>
  <c r="AK163" i="52"/>
  <c r="AG163" i="52"/>
  <c r="AK161" i="52"/>
  <c r="AG161" i="52"/>
  <c r="AK159" i="52"/>
  <c r="AG159" i="52"/>
  <c r="AK157" i="52"/>
  <c r="AG157" i="52"/>
  <c r="AU157" i="52" s="1"/>
  <c r="AK235" i="52"/>
  <c r="AG235" i="52"/>
  <c r="AI233" i="52"/>
  <c r="AU233" i="52" s="1"/>
  <c r="AI231" i="52"/>
  <c r="AK228" i="52"/>
  <c r="AG228" i="52"/>
  <c r="AK226" i="52"/>
  <c r="AG226" i="52"/>
  <c r="AU226" i="52" s="1"/>
  <c r="AK224" i="52"/>
  <c r="AG224" i="52"/>
  <c r="AK222" i="52"/>
  <c r="AG222" i="52"/>
  <c r="AK220" i="52"/>
  <c r="AG220" i="52"/>
  <c r="AK218" i="52"/>
  <c r="AG218" i="52"/>
  <c r="AI281" i="52"/>
  <c r="AI279" i="52"/>
  <c r="AI277" i="52"/>
  <c r="AI275" i="52"/>
  <c r="AK268" i="52"/>
  <c r="AG268" i="52"/>
  <c r="AQ180" i="52"/>
  <c r="AM180" i="52"/>
  <c r="AJ180" i="52"/>
  <c r="AN180" i="52"/>
  <c r="AQ167" i="52"/>
  <c r="AM167" i="52"/>
  <c r="AJ167" i="52"/>
  <c r="AN167" i="52"/>
  <c r="AQ165" i="52"/>
  <c r="AM165" i="52"/>
  <c r="AJ165" i="52"/>
  <c r="AN165" i="52"/>
  <c r="AQ163" i="52"/>
  <c r="AM163" i="52"/>
  <c r="AJ163" i="52"/>
  <c r="AN163" i="52"/>
  <c r="AQ161" i="52"/>
  <c r="AM161" i="52"/>
  <c r="AJ161" i="52"/>
  <c r="AN161" i="52"/>
  <c r="AQ159" i="52"/>
  <c r="AM159" i="52"/>
  <c r="AJ159" i="52"/>
  <c r="AN159" i="52"/>
  <c r="AQ235" i="52"/>
  <c r="AM235" i="52"/>
  <c r="AJ235" i="52"/>
  <c r="AN235" i="52"/>
  <c r="AQ233" i="52"/>
  <c r="AM233" i="52"/>
  <c r="AJ233" i="52"/>
  <c r="AN233" i="52"/>
  <c r="AQ231" i="52"/>
  <c r="AJ231" i="52"/>
  <c r="AR231" i="52"/>
  <c r="AM226" i="52"/>
  <c r="AN226" i="52"/>
  <c r="AQ224" i="52"/>
  <c r="AJ224" i="52"/>
  <c r="AR224" i="52"/>
  <c r="AM222" i="52"/>
  <c r="AN222" i="52"/>
  <c r="AQ220" i="52"/>
  <c r="AJ220" i="52"/>
  <c r="AR220" i="52"/>
  <c r="AM218" i="52"/>
  <c r="AN218" i="52"/>
  <c r="AQ281" i="52"/>
  <c r="AJ281" i="52"/>
  <c r="AR281" i="52"/>
  <c r="AM279" i="52"/>
  <c r="AN279" i="52"/>
  <c r="AQ277" i="52"/>
  <c r="AJ277" i="52"/>
  <c r="AR277" i="52"/>
  <c r="AM268" i="52"/>
  <c r="AN268" i="52"/>
  <c r="BG267" i="52"/>
  <c r="BG208" i="52"/>
  <c r="AH39" i="52"/>
  <c r="AH35" i="52"/>
  <c r="AJ33" i="52"/>
  <c r="AK108" i="52"/>
  <c r="AH106" i="52"/>
  <c r="AJ11" i="52"/>
  <c r="AH9" i="52"/>
  <c r="AK152" i="52"/>
  <c r="AI150" i="52"/>
  <c r="AG148" i="52"/>
  <c r="AK144" i="52"/>
  <c r="AI142" i="52"/>
  <c r="AJ139" i="52"/>
  <c r="AH122" i="52"/>
  <c r="AK116" i="52"/>
  <c r="AG114" i="52"/>
  <c r="AK112" i="52"/>
  <c r="AQ179" i="52"/>
  <c r="AJ179" i="52"/>
  <c r="AR179" i="52"/>
  <c r="AM177" i="52"/>
  <c r="AN177" i="52"/>
  <c r="AQ175" i="52"/>
  <c r="AJ175" i="52"/>
  <c r="AR175" i="52"/>
  <c r="AM173" i="52"/>
  <c r="AN173" i="52"/>
  <c r="AQ171" i="52"/>
  <c r="AJ171" i="52"/>
  <c r="AR171" i="52"/>
  <c r="AM169" i="52"/>
  <c r="AN169" i="52"/>
  <c r="AQ157" i="52"/>
  <c r="AJ157" i="52"/>
  <c r="AR157" i="52"/>
  <c r="AM228" i="52"/>
  <c r="AN228" i="52"/>
  <c r="AZ215" i="52"/>
  <c r="BJ215" i="52"/>
  <c r="BK215" i="52"/>
  <c r="AQ275" i="52"/>
  <c r="AJ275" i="52"/>
  <c r="AR275" i="52"/>
  <c r="BF274" i="52"/>
  <c r="BG274" i="52"/>
  <c r="AZ271" i="52"/>
  <c r="BJ271" i="52"/>
  <c r="BK271" i="52"/>
  <c r="BF270" i="52"/>
  <c r="BG270" i="52"/>
  <c r="BD267" i="52"/>
  <c r="AJ266" i="52"/>
  <c r="AH266" i="52"/>
  <c r="AJ264" i="52"/>
  <c r="AH264" i="52"/>
  <c r="AJ214" i="52"/>
  <c r="AH214" i="52"/>
  <c r="AN208" i="52"/>
  <c r="BH208" i="52"/>
  <c r="AK208" i="52"/>
  <c r="AH202" i="52"/>
  <c r="AH200" i="52"/>
  <c r="AH198" i="52"/>
  <c r="AH196" i="52"/>
  <c r="AH194" i="52"/>
  <c r="AX45" i="52"/>
  <c r="AJ43" i="52"/>
  <c r="AX41" i="52"/>
  <c r="AZ205" i="52"/>
  <c r="BN205" i="52" s="1"/>
  <c r="BJ205" i="52"/>
  <c r="BG205" i="52"/>
  <c r="AZ203" i="52"/>
  <c r="AN200" i="52"/>
  <c r="AI200" i="52"/>
  <c r="AQ200" i="52"/>
  <c r="AN198" i="52"/>
  <c r="AI198" i="52"/>
  <c r="AQ198" i="52"/>
  <c r="AN196" i="52"/>
  <c r="AI196" i="52"/>
  <c r="AQ196" i="52"/>
  <c r="AN194" i="52"/>
  <c r="AV194" i="52" s="1"/>
  <c r="AI194" i="52"/>
  <c r="AQ194" i="52"/>
  <c r="BD50" i="52"/>
  <c r="AY50" i="52"/>
  <c r="BI50" i="52"/>
  <c r="BD45" i="52"/>
  <c r="AY45" i="52"/>
  <c r="BI45" i="52"/>
  <c r="BI43" i="52"/>
  <c r="BD43" i="52"/>
  <c r="BI42" i="52"/>
  <c r="AZ41" i="52"/>
  <c r="BG41" i="52"/>
  <c r="AY35" i="52"/>
  <c r="AM108" i="52"/>
  <c r="AZ104" i="52"/>
  <c r="BK104" i="52"/>
  <c r="BG103" i="52"/>
  <c r="BF14" i="52"/>
  <c r="AZ11" i="52"/>
  <c r="BK11" i="52"/>
  <c r="BG10" i="52"/>
  <c r="AJ154" i="52"/>
  <c r="AM152" i="52"/>
  <c r="AQ150" i="52"/>
  <c r="AR150" i="52"/>
  <c r="AN148" i="52"/>
  <c r="AJ146" i="52"/>
  <c r="AM144" i="52"/>
  <c r="AQ142" i="52"/>
  <c r="AR142" i="52"/>
  <c r="BJ139" i="52"/>
  <c r="BF136" i="52"/>
  <c r="AZ124" i="52"/>
  <c r="BK124" i="52"/>
  <c r="AN118" i="52"/>
  <c r="AN7" i="52"/>
  <c r="AL202" i="52"/>
  <c r="CG202" i="52"/>
  <c r="BF201" i="52"/>
  <c r="BD199" i="52"/>
  <c r="BI195" i="52"/>
  <c r="BG51" i="52"/>
  <c r="BO51" i="52" s="1"/>
  <c r="BF47" i="52"/>
  <c r="BD39" i="52"/>
  <c r="BI37" i="52"/>
  <c r="BH33" i="52"/>
  <c r="AX16" i="52"/>
  <c r="AQ114" i="52"/>
  <c r="AL3" i="52"/>
  <c r="BI244" i="52"/>
  <c r="BJ244" i="52"/>
  <c r="BA217" i="52"/>
  <c r="BA215" i="52"/>
  <c r="BA272" i="52"/>
  <c r="AY104" i="52"/>
  <c r="AX155" i="52"/>
  <c r="AX153" i="52"/>
  <c r="AX151" i="52"/>
  <c r="AX149" i="52"/>
  <c r="AX147" i="52"/>
  <c r="AX145" i="52"/>
  <c r="AX143" i="52"/>
  <c r="AX141" i="52"/>
  <c r="AU439" i="48"/>
  <c r="AU399" i="48"/>
  <c r="AU327" i="48"/>
  <c r="AT256" i="48"/>
  <c r="BC256" i="48"/>
  <c r="BA256" i="48"/>
  <c r="BE240" i="48"/>
  <c r="AT240" i="48"/>
  <c r="BC240" i="48"/>
  <c r="BA240" i="48"/>
  <c r="AU238" i="48"/>
  <c r="BC238" i="48"/>
  <c r="AN234" i="48"/>
  <c r="AJ234" i="48"/>
  <c r="AF234" i="48"/>
  <c r="AW138" i="48"/>
  <c r="BA138" i="48"/>
  <c r="BE138" i="48"/>
  <c r="AT43" i="48"/>
  <c r="BG43" i="48"/>
  <c r="BC43" i="48"/>
  <c r="AV43" i="48"/>
  <c r="BD43" i="48"/>
  <c r="BB43" i="48"/>
  <c r="AN40" i="48"/>
  <c r="AJ40" i="48"/>
  <c r="AF40" i="48"/>
  <c r="AT39" i="48"/>
  <c r="BE39" i="48"/>
  <c r="AU39" i="48"/>
  <c r="AV39" i="48"/>
  <c r="AZ39" i="48"/>
  <c r="AT37" i="48"/>
  <c r="BG37" i="48"/>
  <c r="BA37" i="48"/>
  <c r="AV37" i="48"/>
  <c r="BF37" i="48"/>
  <c r="BC20" i="48"/>
  <c r="AV20" i="48"/>
  <c r="AW20" i="48"/>
  <c r="BD20" i="48"/>
  <c r="BE20" i="48"/>
  <c r="BC16" i="48"/>
  <c r="AV16" i="48"/>
  <c r="AW16" i="48"/>
  <c r="BD16" i="48"/>
  <c r="BG16" i="48"/>
  <c r="AZ16" i="48"/>
  <c r="BE12" i="48"/>
  <c r="BA12" i="48"/>
  <c r="AT12" i="48"/>
  <c r="BB12" i="48"/>
  <c r="AU12" i="48"/>
  <c r="BF12" i="48"/>
  <c r="AJ9" i="48"/>
  <c r="AN9" i="48"/>
  <c r="AO9" i="48"/>
  <c r="AG9" i="48"/>
  <c r="AH9" i="48"/>
  <c r="AF9" i="48"/>
  <c r="AC9" i="48"/>
  <c r="BC6" i="48"/>
  <c r="BG6" i="48"/>
  <c r="AV6" i="48"/>
  <c r="AZ6" i="48"/>
  <c r="BE6" i="48"/>
  <c r="BE2" i="48"/>
  <c r="BG2" i="48"/>
  <c r="AW2" i="48"/>
  <c r="AZ2" i="48"/>
  <c r="CG2" i="48"/>
  <c r="BC2" i="48"/>
  <c r="BD2" i="48"/>
  <c r="BE472" i="48"/>
  <c r="BC468" i="48"/>
  <c r="AM475" i="48"/>
  <c r="AG475" i="48"/>
  <c r="BK429" i="48"/>
  <c r="BK419" i="48"/>
  <c r="BG418" i="48"/>
  <c r="BC418" i="48"/>
  <c r="BK411" i="48"/>
  <c r="BK401" i="48"/>
  <c r="BK393" i="48"/>
  <c r="AZ439" i="48"/>
  <c r="BN415" i="48"/>
  <c r="BO414" i="48"/>
  <c r="BC402" i="48"/>
  <c r="BC398" i="48"/>
  <c r="BG394" i="48"/>
  <c r="BK385" i="48"/>
  <c r="BK377" i="48"/>
  <c r="BK369" i="48"/>
  <c r="BK367" i="48"/>
  <c r="BK365" i="48"/>
  <c r="BK357" i="48"/>
  <c r="BK349" i="48"/>
  <c r="BK341" i="48"/>
  <c r="BK333" i="48"/>
  <c r="BK325" i="48"/>
  <c r="AQ428" i="48"/>
  <c r="BO377" i="48"/>
  <c r="AO362" i="48"/>
  <c r="AO346" i="48"/>
  <c r="AO330" i="48"/>
  <c r="BO317" i="48"/>
  <c r="BD256" i="48"/>
  <c r="AZ256" i="48"/>
  <c r="BG251" i="48"/>
  <c r="BC251" i="48"/>
  <c r="AU251" i="48"/>
  <c r="BD248" i="48"/>
  <c r="AZ248" i="48"/>
  <c r="BD240" i="48"/>
  <c r="AZ240" i="48"/>
  <c r="BO471" i="48"/>
  <c r="BC416" i="48"/>
  <c r="AM408" i="48"/>
  <c r="AZ399" i="48"/>
  <c r="BC378" i="48"/>
  <c r="BG370" i="48"/>
  <c r="AR367" i="48"/>
  <c r="AQ332" i="48"/>
  <c r="AZ327" i="48"/>
  <c r="BG322" i="48"/>
  <c r="CG256" i="48"/>
  <c r="BD254" i="48"/>
  <c r="AZ254" i="48"/>
  <c r="CG251" i="48"/>
  <c r="CG248" i="48"/>
  <c r="BD246" i="48"/>
  <c r="BK246" i="48" s="1"/>
  <c r="AZ246" i="48"/>
  <c r="BO244" i="48"/>
  <c r="CG240" i="48"/>
  <c r="BD238" i="48"/>
  <c r="BK238" i="48" s="1"/>
  <c r="AZ238" i="48"/>
  <c r="BG382" i="48"/>
  <c r="BN360" i="48"/>
  <c r="AU347" i="48"/>
  <c r="BG300" i="48"/>
  <c r="BG284" i="48"/>
  <c r="BG268" i="48"/>
  <c r="BG254" i="48"/>
  <c r="BE254" i="48"/>
  <c r="AV254" i="48"/>
  <c r="BA246" i="48"/>
  <c r="AT246" i="48"/>
  <c r="BG245" i="48"/>
  <c r="BG238" i="48"/>
  <c r="BE238" i="48"/>
  <c r="AV238" i="48"/>
  <c r="BJ238" i="48" s="1"/>
  <c r="AH234" i="48"/>
  <c r="AC234" i="48"/>
  <c r="AG234" i="48"/>
  <c r="AK234" i="48"/>
  <c r="BO234" i="48" s="1"/>
  <c r="AO234" i="48"/>
  <c r="BO225" i="48"/>
  <c r="BN218" i="48"/>
  <c r="BG296" i="48"/>
  <c r="BG264" i="48"/>
  <c r="BA248" i="48"/>
  <c r="BC248" i="48"/>
  <c r="BK248" i="48" s="1"/>
  <c r="AT248" i="48"/>
  <c r="BJ248" i="48" s="1"/>
  <c r="BG241" i="48"/>
  <c r="BG223" i="48"/>
  <c r="AG249" i="48"/>
  <c r="AM249" i="48"/>
  <c r="AG189" i="48"/>
  <c r="AM189" i="48"/>
  <c r="AG179" i="48"/>
  <c r="AO179" i="48"/>
  <c r="AG288" i="48"/>
  <c r="AK288" i="48"/>
  <c r="AO288" i="48"/>
  <c r="AW256" i="48"/>
  <c r="BG256" i="48"/>
  <c r="BC227" i="48"/>
  <c r="BG227" i="48"/>
  <c r="AW168" i="48"/>
  <c r="AZ168" i="48"/>
  <c r="BC138" i="48"/>
  <c r="AW240" i="48"/>
  <c r="BG240" i="48"/>
  <c r="AM140" i="48"/>
  <c r="AG140" i="48"/>
  <c r="AE132" i="48"/>
  <c r="AG132" i="48"/>
  <c r="AM124" i="48"/>
  <c r="AG124" i="48"/>
  <c r="AE116" i="48"/>
  <c r="AG116" i="48"/>
  <c r="BF43" i="48"/>
  <c r="AH40" i="48"/>
  <c r="BD39" i="48"/>
  <c r="CG37" i="48"/>
  <c r="BK35" i="48"/>
  <c r="AG185" i="48"/>
  <c r="AM185" i="48"/>
  <c r="AF99" i="48"/>
  <c r="AN99" i="48"/>
  <c r="AK96" i="48"/>
  <c r="AC96" i="48"/>
  <c r="AC90" i="48"/>
  <c r="AQ90" i="48" s="1"/>
  <c r="AF83" i="48"/>
  <c r="AN83" i="48"/>
  <c r="AI40" i="48"/>
  <c r="BF39" i="48"/>
  <c r="BG39" i="48"/>
  <c r="AZ20" i="48"/>
  <c r="BE16" i="48"/>
  <c r="BC12" i="48"/>
  <c r="BK12" i="48" s="1"/>
  <c r="AK9" i="48"/>
  <c r="AW6" i="48"/>
  <c r="AC463" i="48"/>
  <c r="AQ463" i="48" s="1"/>
  <c r="AK463" i="48"/>
  <c r="AC444" i="48"/>
  <c r="AQ444" i="48" s="1"/>
  <c r="AK444" i="48"/>
  <c r="AN474" i="48"/>
  <c r="AJ325" i="48"/>
  <c r="AO325" i="48"/>
  <c r="AK325" i="48"/>
  <c r="AG325" i="48"/>
  <c r="AC325" i="48"/>
  <c r="AQ325" i="48" s="1"/>
  <c r="AH325" i="48"/>
  <c r="AN325" i="48"/>
  <c r="AK294" i="48"/>
  <c r="BO294" i="48" s="1"/>
  <c r="AC294" i="48"/>
  <c r="AQ294" i="48" s="1"/>
  <c r="AJ287" i="48"/>
  <c r="BO287" i="48" s="1"/>
  <c r="AN287" i="48"/>
  <c r="AW261" i="48"/>
  <c r="AV261" i="48"/>
  <c r="BJ261" i="48" s="1"/>
  <c r="BG261" i="48"/>
  <c r="AU261" i="48"/>
  <c r="BE261" i="48"/>
  <c r="BE256" i="48"/>
  <c r="BE226" i="48"/>
  <c r="AT226" i="48"/>
  <c r="BC226" i="48"/>
  <c r="BA226" i="48"/>
  <c r="BE218" i="48"/>
  <c r="BC218" i="48"/>
  <c r="BK218" i="48" s="1"/>
  <c r="AW204" i="48"/>
  <c r="AT204" i="48"/>
  <c r="BJ204" i="48" s="1"/>
  <c r="BC204" i="48"/>
  <c r="BA204" i="48"/>
  <c r="AV202" i="48"/>
  <c r="BE202" i="48"/>
  <c r="BG202" i="48"/>
  <c r="AU202" i="48"/>
  <c r="AT196" i="48"/>
  <c r="AV196" i="48"/>
  <c r="AU196" i="48"/>
  <c r="BG196" i="48"/>
  <c r="AL195" i="48"/>
  <c r="AH195" i="48"/>
  <c r="AJ143" i="48"/>
  <c r="AO143" i="48"/>
  <c r="AK143" i="48"/>
  <c r="AG143" i="48"/>
  <c r="AC143" i="48"/>
  <c r="AH143" i="48"/>
  <c r="AT141" i="48"/>
  <c r="BA141" i="48"/>
  <c r="AU141" i="48"/>
  <c r="AV141" i="48"/>
  <c r="BC141" i="48"/>
  <c r="AW141" i="48"/>
  <c r="BB141" i="48"/>
  <c r="BF141" i="48"/>
  <c r="AO135" i="48"/>
  <c r="AK135" i="48"/>
  <c r="BN135" i="48" s="1"/>
  <c r="AG135" i="48"/>
  <c r="AC135" i="48"/>
  <c r="AH135" i="48"/>
  <c r="AV133" i="48"/>
  <c r="BJ133" i="48" s="1"/>
  <c r="BE133" i="48"/>
  <c r="BC133" i="48"/>
  <c r="BG133" i="48"/>
  <c r="BA133" i="48"/>
  <c r="AW133" i="48"/>
  <c r="BB133" i="48"/>
  <c r="BD133" i="48"/>
  <c r="BF130" i="48"/>
  <c r="CG130" i="48"/>
  <c r="AW130" i="48"/>
  <c r="BA130" i="48"/>
  <c r="BE130" i="48"/>
  <c r="AT127" i="48"/>
  <c r="BC127" i="48"/>
  <c r="BE127" i="48"/>
  <c r="BA127" i="48"/>
  <c r="AV127" i="48"/>
  <c r="AU127" i="48"/>
  <c r="BB127" i="48"/>
  <c r="BF127" i="48"/>
  <c r="BB122" i="48"/>
  <c r="AW122" i="48"/>
  <c r="BA122" i="48"/>
  <c r="BE122" i="48"/>
  <c r="AT119" i="48"/>
  <c r="BC119" i="48"/>
  <c r="BE119" i="48"/>
  <c r="BA119" i="48"/>
  <c r="AV119" i="48"/>
  <c r="AU119" i="48"/>
  <c r="BB119" i="48"/>
  <c r="BF119" i="48"/>
  <c r="AJ111" i="48"/>
  <c r="CG111" i="48"/>
  <c r="AM111" i="48"/>
  <c r="AI111" i="48"/>
  <c r="AE111" i="48"/>
  <c r="AL111" i="48"/>
  <c r="AD111" i="48"/>
  <c r="AF111" i="48"/>
  <c r="AP111" i="48" s="1"/>
  <c r="AY111" i="48" s="1"/>
  <c r="AJ107" i="48"/>
  <c r="AD107" i="48"/>
  <c r="AO107" i="48"/>
  <c r="AK107" i="48"/>
  <c r="AG107" i="48"/>
  <c r="AH107" i="48"/>
  <c r="AC107" i="48"/>
  <c r="AQ107" i="48" s="1"/>
  <c r="AN107" i="48"/>
  <c r="AT105" i="48"/>
  <c r="BC105" i="48"/>
  <c r="BE105" i="48"/>
  <c r="AW105" i="48"/>
  <c r="AV105" i="48"/>
  <c r="AU105" i="48"/>
  <c r="CG105" i="48"/>
  <c r="BB105" i="48"/>
  <c r="BF105" i="48"/>
  <c r="CG101" i="48"/>
  <c r="AM101" i="48"/>
  <c r="AI101" i="48"/>
  <c r="AE101" i="48"/>
  <c r="AD101" i="48"/>
  <c r="AL101" i="48"/>
  <c r="AZ98" i="48"/>
  <c r="AW98" i="48"/>
  <c r="BA98" i="48"/>
  <c r="BE98" i="48"/>
  <c r="AT98" i="48"/>
  <c r="BJ98" i="48" s="1"/>
  <c r="BF98" i="48"/>
  <c r="AT95" i="48"/>
  <c r="BC95" i="48"/>
  <c r="BE95" i="48"/>
  <c r="AW95" i="48"/>
  <c r="AV95" i="48"/>
  <c r="AU95" i="48"/>
  <c r="AZ95" i="48"/>
  <c r="BD95" i="48"/>
  <c r="AT91" i="48"/>
  <c r="BA91" i="48"/>
  <c r="BC91" i="48"/>
  <c r="BK91" i="48" s="1"/>
  <c r="AW91" i="48"/>
  <c r="AV91" i="48"/>
  <c r="BG91" i="48"/>
  <c r="AZ91" i="48"/>
  <c r="BD91" i="48"/>
  <c r="BD88" i="48"/>
  <c r="AU88" i="48"/>
  <c r="BC88" i="48"/>
  <c r="BG88" i="48"/>
  <c r="AT85" i="48"/>
  <c r="BC85" i="48"/>
  <c r="BE85" i="48"/>
  <c r="AW85" i="48"/>
  <c r="AV85" i="48"/>
  <c r="AU85" i="48"/>
  <c r="BB85" i="48"/>
  <c r="BF85" i="48"/>
  <c r="AO81" i="48"/>
  <c r="AK81" i="48"/>
  <c r="AG81" i="48"/>
  <c r="AC81" i="48"/>
  <c r="AH81" i="48"/>
  <c r="AZ78" i="48"/>
  <c r="AU78" i="48"/>
  <c r="BC78" i="48"/>
  <c r="BG78" i="48"/>
  <c r="BB78" i="48"/>
  <c r="AW74" i="48"/>
  <c r="BA74" i="48"/>
  <c r="BE74" i="48"/>
  <c r="BB74" i="48"/>
  <c r="AT71" i="48"/>
  <c r="BJ71" i="48" s="1"/>
  <c r="BA71" i="48"/>
  <c r="BC71" i="48"/>
  <c r="AW71" i="48"/>
  <c r="AV71" i="48"/>
  <c r="BG71" i="48"/>
  <c r="AZ71" i="48"/>
  <c r="BD71" i="48"/>
  <c r="AT67" i="48"/>
  <c r="BA67" i="48"/>
  <c r="BC67" i="48"/>
  <c r="AW67" i="48"/>
  <c r="AV67" i="48"/>
  <c r="BG67" i="48"/>
  <c r="AZ67" i="48"/>
  <c r="BD67" i="48"/>
  <c r="AZ64" i="48"/>
  <c r="AU64" i="48"/>
  <c r="BC64" i="48"/>
  <c r="BG64" i="48"/>
  <c r="AT61" i="48"/>
  <c r="BC61" i="48"/>
  <c r="BE61" i="48"/>
  <c r="AW61" i="48"/>
  <c r="AV61" i="48"/>
  <c r="AU61" i="48"/>
  <c r="BB61" i="48"/>
  <c r="BF61" i="48"/>
  <c r="AT57" i="48"/>
  <c r="BE57" i="48"/>
  <c r="BC57" i="48"/>
  <c r="AW57" i="48"/>
  <c r="AV57" i="48"/>
  <c r="BA57" i="48"/>
  <c r="BB57" i="48"/>
  <c r="BK57" i="48" s="1"/>
  <c r="AZ57" i="48"/>
  <c r="BF57" i="48"/>
  <c r="AK104" i="48"/>
  <c r="AG104" i="48"/>
  <c r="AC104" i="48"/>
  <c r="AO104" i="48"/>
  <c r="AN104" i="48"/>
  <c r="AJ104" i="48"/>
  <c r="AF104" i="48"/>
  <c r="AE104" i="48"/>
  <c r="AM104" i="48"/>
  <c r="AK94" i="48"/>
  <c r="AC94" i="48"/>
  <c r="AN94" i="48"/>
  <c r="AF94" i="48"/>
  <c r="AE94" i="48"/>
  <c r="CG94" i="48"/>
  <c r="AV84" i="48"/>
  <c r="AT84" i="48"/>
  <c r="AU84" i="48"/>
  <c r="BC84" i="48"/>
  <c r="BG84" i="48"/>
  <c r="BB64" i="48"/>
  <c r="BD130" i="48"/>
  <c r="AT467" i="48"/>
  <c r="BJ467" i="48" s="1"/>
  <c r="BB467" i="48"/>
  <c r="BK467" i="48" s="1"/>
  <c r="BF344" i="48"/>
  <c r="BD344" i="48"/>
  <c r="AT344" i="48"/>
  <c r="AZ344" i="48"/>
  <c r="AV344" i="48"/>
  <c r="BB344" i="48"/>
  <c r="BK344" i="48" s="1"/>
  <c r="AJ333" i="48"/>
  <c r="CG333" i="48"/>
  <c r="AM333" i="48"/>
  <c r="AI333" i="48"/>
  <c r="AE333" i="48"/>
  <c r="AQ333" i="48" s="1"/>
  <c r="AL333" i="48"/>
  <c r="AD333" i="48"/>
  <c r="AF333" i="48"/>
  <c r="BD320" i="48"/>
  <c r="AV320" i="48"/>
  <c r="BF320" i="48"/>
  <c r="BB320" i="48"/>
  <c r="AT320" i="48"/>
  <c r="AT317" i="48"/>
  <c r="BJ317" i="48" s="1"/>
  <c r="BC317" i="48"/>
  <c r="BA317" i="48"/>
  <c r="AW317" i="48"/>
  <c r="AW307" i="48"/>
  <c r="AT307" i="48"/>
  <c r="BC307" i="48"/>
  <c r="BK307" i="48" s="1"/>
  <c r="BA307" i="48"/>
  <c r="AV305" i="48"/>
  <c r="BJ305" i="48" s="1"/>
  <c r="BE305" i="48"/>
  <c r="BG305" i="48"/>
  <c r="AU305" i="48"/>
  <c r="BD302" i="48"/>
  <c r="AV302" i="48"/>
  <c r="BJ302" i="48" s="1"/>
  <c r="BF302" i="48"/>
  <c r="BB302" i="48"/>
  <c r="AZ302" i="48"/>
  <c r="AW291" i="48"/>
  <c r="AV291" i="48"/>
  <c r="BG291" i="48"/>
  <c r="AU291" i="48"/>
  <c r="BE291" i="48"/>
  <c r="AT289" i="48"/>
  <c r="BJ289" i="48" s="1"/>
  <c r="BA289" i="48"/>
  <c r="BC289" i="48"/>
  <c r="BK289" i="48" s="1"/>
  <c r="BD286" i="48"/>
  <c r="BF286" i="48"/>
  <c r="AV286" i="48"/>
  <c r="BB286" i="48"/>
  <c r="AT286" i="48"/>
  <c r="BJ286" i="48" s="1"/>
  <c r="AW275" i="48"/>
  <c r="AT275" i="48"/>
  <c r="BJ275" i="48" s="1"/>
  <c r="BC275" i="48"/>
  <c r="BA275" i="48"/>
  <c r="AV273" i="48"/>
  <c r="BJ273" i="48" s="1"/>
  <c r="BE273" i="48"/>
  <c r="BG273" i="48"/>
  <c r="AU273" i="48"/>
  <c r="BD270" i="48"/>
  <c r="AV270" i="48"/>
  <c r="BJ270" i="48" s="1"/>
  <c r="BF270" i="48"/>
  <c r="BB270" i="48"/>
  <c r="AZ270" i="48"/>
  <c r="AG260" i="48"/>
  <c r="AC260" i="48"/>
  <c r="AQ260" i="48" s="1"/>
  <c r="AO260" i="48"/>
  <c r="BD259" i="48"/>
  <c r="BF259" i="48"/>
  <c r="AV259" i="48"/>
  <c r="AZ259" i="48"/>
  <c r="AT259" i="48"/>
  <c r="AJ256" i="48"/>
  <c r="BO256" i="48" s="1"/>
  <c r="AN256" i="48"/>
  <c r="AP256" i="48" s="1"/>
  <c r="AY256" i="48" s="1"/>
  <c r="AF256" i="48"/>
  <c r="AJ248" i="48"/>
  <c r="BO248" i="48" s="1"/>
  <c r="AN248" i="48"/>
  <c r="AF248" i="48"/>
  <c r="AG239" i="48"/>
  <c r="AK239" i="48"/>
  <c r="AO239" i="48"/>
  <c r="AJ230" i="48"/>
  <c r="AN230" i="48"/>
  <c r="AF230" i="48"/>
  <c r="AN222" i="48"/>
  <c r="AJ222" i="48"/>
  <c r="AO213" i="48"/>
  <c r="AK213" i="48"/>
  <c r="AC213" i="48"/>
  <c r="AQ213" i="48" s="1"/>
  <c r="AG203" i="48"/>
  <c r="AC203" i="48"/>
  <c r="AQ203" i="48" s="1"/>
  <c r="AO203" i="48"/>
  <c r="AK203" i="48"/>
  <c r="BD195" i="48"/>
  <c r="AV195" i="48"/>
  <c r="BF195" i="48"/>
  <c r="AZ195" i="48"/>
  <c r="BB195" i="48"/>
  <c r="BK195" i="48" s="1"/>
  <c r="AT195" i="48"/>
  <c r="BJ195" i="48" s="1"/>
  <c r="AJ192" i="48"/>
  <c r="AN192" i="48"/>
  <c r="AF192" i="48"/>
  <c r="AO192" i="48"/>
  <c r="AK192" i="48"/>
  <c r="BN192" i="48" s="1"/>
  <c r="AG192" i="48"/>
  <c r="AC192" i="48"/>
  <c r="AQ192" i="48" s="1"/>
  <c r="AH192" i="48"/>
  <c r="AJ184" i="48"/>
  <c r="AN184" i="48"/>
  <c r="AF184" i="48"/>
  <c r="AO184" i="48"/>
  <c r="AK184" i="48"/>
  <c r="BN184" i="48" s="1"/>
  <c r="AG184" i="48"/>
  <c r="AC184" i="48"/>
  <c r="AQ184" i="48" s="1"/>
  <c r="AH184" i="48"/>
  <c r="AC181" i="48"/>
  <c r="AQ181" i="48" s="1"/>
  <c r="AN181" i="48"/>
  <c r="AJ181" i="48"/>
  <c r="AF181" i="48"/>
  <c r="CG181" i="48"/>
  <c r="AI181" i="48"/>
  <c r="AO181" i="48"/>
  <c r="AK177" i="48"/>
  <c r="AL177" i="48"/>
  <c r="AH177" i="48"/>
  <c r="AD177" i="48"/>
  <c r="AM177" i="48"/>
  <c r="AE177" i="48"/>
  <c r="AQ177" i="48" s="1"/>
  <c r="AG177" i="48"/>
  <c r="AV162" i="48"/>
  <c r="BJ162" i="48" s="1"/>
  <c r="BG162" i="48"/>
  <c r="AU162" i="48"/>
  <c r="AW162" i="48"/>
  <c r="AZ162" i="48"/>
  <c r="BD162" i="48"/>
  <c r="BK162" i="48" s="1"/>
  <c r="BA158" i="48"/>
  <c r="AW158" i="48"/>
  <c r="BE158" i="48"/>
  <c r="AT158" i="48"/>
  <c r="BC158" i="48"/>
  <c r="AZ158" i="48"/>
  <c r="BD158" i="48"/>
  <c r="BA150" i="48"/>
  <c r="AV150" i="48"/>
  <c r="BJ150" i="48" s="1"/>
  <c r="BG150" i="48"/>
  <c r="AU150" i="48"/>
  <c r="AW150" i="48"/>
  <c r="CG150" i="48"/>
  <c r="AZ150" i="48"/>
  <c r="BD150" i="48"/>
  <c r="BK150" i="48" s="1"/>
  <c r="BB259" i="48"/>
  <c r="BF165" i="48"/>
  <c r="BD165" i="48"/>
  <c r="AZ165" i="48"/>
  <c r="AT165" i="48"/>
  <c r="AV165" i="48"/>
  <c r="BB165" i="48"/>
  <c r="CG165" i="48"/>
  <c r="AU165" i="48"/>
  <c r="BC165" i="48"/>
  <c r="BG165" i="48"/>
  <c r="BF336" i="48"/>
  <c r="BD336" i="48"/>
  <c r="AZ336" i="48"/>
  <c r="AT336" i="48"/>
  <c r="AV336" i="48"/>
  <c r="BB336" i="48"/>
  <c r="BK336" i="48" s="1"/>
  <c r="BK320" i="48"/>
  <c r="BC219" i="48"/>
  <c r="BG219" i="48"/>
  <c r="BC167" i="48"/>
  <c r="BG167" i="48"/>
  <c r="AG163" i="48"/>
  <c r="AO163" i="48"/>
  <c r="BC304" i="48"/>
  <c r="BG304" i="48"/>
  <c r="BC237" i="48"/>
  <c r="BG237" i="48"/>
  <c r="AM144" i="48"/>
  <c r="AG144" i="48"/>
  <c r="AE136" i="48"/>
  <c r="AG136" i="48"/>
  <c r="AM128" i="48"/>
  <c r="AG128" i="48"/>
  <c r="AE120" i="48"/>
  <c r="AG120" i="48"/>
  <c r="AW152" i="48"/>
  <c r="AZ152" i="48"/>
  <c r="AN97" i="48"/>
  <c r="AF97" i="48"/>
  <c r="AN91" i="48"/>
  <c r="AF91" i="48"/>
  <c r="BO182" i="48"/>
  <c r="AL180" i="48"/>
  <c r="BO174" i="48"/>
  <c r="AU172" i="48"/>
  <c r="BO169" i="48"/>
  <c r="BO166" i="48"/>
  <c r="BN52" i="48"/>
  <c r="BK31" i="48"/>
  <c r="AQ122" i="48"/>
  <c r="BK101" i="48"/>
  <c r="AC70" i="48"/>
  <c r="AC173" i="48"/>
  <c r="AQ173" i="48" s="1"/>
  <c r="AK173" i="48"/>
  <c r="AR173" i="48" s="1"/>
  <c r="AC157" i="48"/>
  <c r="AK157" i="48"/>
  <c r="AC149" i="48"/>
  <c r="AQ149" i="48" s="1"/>
  <c r="AK149" i="48"/>
  <c r="BO149" i="48" s="1"/>
  <c r="AV147" i="48"/>
  <c r="BG147" i="48"/>
  <c r="AU147" i="48"/>
  <c r="AW147" i="48"/>
  <c r="BF191" i="48"/>
  <c r="BF448" i="48"/>
  <c r="BD448" i="48"/>
  <c r="BK448" i="48" s="1"/>
  <c r="AZ448" i="48"/>
  <c r="AT448" i="48"/>
  <c r="AV448" i="48"/>
  <c r="AT65" i="48"/>
  <c r="BA65" i="48"/>
  <c r="BG65" i="48"/>
  <c r="AU65" i="48"/>
  <c r="AT63" i="48"/>
  <c r="BJ63" i="48" s="1"/>
  <c r="BE63" i="48"/>
  <c r="BC63" i="48"/>
  <c r="AW63" i="48"/>
  <c r="AT53" i="48"/>
  <c r="BJ53" i="48" s="1"/>
  <c r="BC53" i="48"/>
  <c r="BK53" i="48" s="1"/>
  <c r="BE53" i="48"/>
  <c r="AW53" i="48"/>
  <c r="AT51" i="48"/>
  <c r="BA51" i="48"/>
  <c r="BC51" i="48"/>
  <c r="AW51" i="48"/>
  <c r="AT47" i="48"/>
  <c r="BC47" i="48"/>
  <c r="BE47" i="48"/>
  <c r="AW47" i="48"/>
  <c r="BO28" i="48"/>
  <c r="BC379" i="48"/>
  <c r="AG418" i="48"/>
  <c r="AK340" i="48"/>
  <c r="BJ221" i="48"/>
  <c r="AU212" i="48"/>
  <c r="BC212" i="48"/>
  <c r="AK348" i="48"/>
  <c r="BJ94" i="48"/>
  <c r="AK68" i="48"/>
  <c r="AG68" i="48"/>
  <c r="BF440" i="48"/>
  <c r="AT440" i="48"/>
  <c r="BD440" i="48"/>
  <c r="BK440" i="48" s="1"/>
  <c r="AV440" i="48"/>
  <c r="BF463" i="48"/>
  <c r="BD463" i="48"/>
  <c r="AZ463" i="48"/>
  <c r="AT463" i="48"/>
  <c r="BJ463" i="48" s="1"/>
  <c r="BF348" i="48"/>
  <c r="BD348" i="48"/>
  <c r="AZ348" i="48"/>
  <c r="AT348" i="48"/>
  <c r="BJ348" i="48" s="1"/>
  <c r="BF149" i="48"/>
  <c r="AT149" i="48"/>
  <c r="BD149" i="48"/>
  <c r="AV149" i="48"/>
  <c r="AC142" i="48"/>
  <c r="AQ142" i="48" s="1"/>
  <c r="AK142" i="48"/>
  <c r="BN142" i="48" s="1"/>
  <c r="AG142" i="48"/>
  <c r="AJ127" i="48"/>
  <c r="BO127" i="48" s="1"/>
  <c r="AF127" i="48"/>
  <c r="AP127" i="48" s="1"/>
  <c r="AY127" i="48" s="1"/>
  <c r="BD102" i="48"/>
  <c r="AZ102" i="48"/>
  <c r="AK100" i="48"/>
  <c r="AO100" i="48"/>
  <c r="AJ95" i="48"/>
  <c r="AN95" i="48"/>
  <c r="AK88" i="48"/>
  <c r="AG88" i="48"/>
  <c r="AP88" i="48" s="1"/>
  <c r="AY88" i="48" s="1"/>
  <c r="AX88" i="48" s="1"/>
  <c r="BD82" i="48"/>
  <c r="AZ82" i="48"/>
  <c r="AK80" i="48"/>
  <c r="BO80" i="48" s="1"/>
  <c r="AO80" i="48"/>
  <c r="AZ66" i="48"/>
  <c r="BD66" i="48"/>
  <c r="BK66" i="48" s="1"/>
  <c r="BG66" i="48"/>
  <c r="BF44" i="48"/>
  <c r="AV44" i="48"/>
  <c r="BJ44" i="48" s="1"/>
  <c r="AZ44" i="48"/>
  <c r="BD44" i="48"/>
  <c r="BK44" i="48" s="1"/>
  <c r="AL37" i="48"/>
  <c r="AR37" i="48" s="1"/>
  <c r="AF37" i="48"/>
  <c r="AJ37" i="48"/>
  <c r="BF22" i="48"/>
  <c r="AZ22" i="48"/>
  <c r="AV22" i="48"/>
  <c r="AW22" i="48"/>
  <c r="BF157" i="48"/>
  <c r="BD157" i="48"/>
  <c r="AZ157" i="48"/>
  <c r="AT157" i="48"/>
  <c r="BJ157" i="48" s="1"/>
  <c r="BF459" i="48"/>
  <c r="BD459" i="48"/>
  <c r="BK459" i="48" s="1"/>
  <c r="AT459" i="48"/>
  <c r="BF340" i="48"/>
  <c r="BD340" i="48"/>
  <c r="AT340" i="48"/>
  <c r="BJ340" i="48" s="1"/>
  <c r="AZ459" i="48"/>
  <c r="BF352" i="48"/>
  <c r="BD352" i="48"/>
  <c r="BK352" i="48" s="1"/>
  <c r="AZ352" i="48"/>
  <c r="BD306" i="48"/>
  <c r="AV306" i="48"/>
  <c r="BJ306" i="48" s="1"/>
  <c r="BF306" i="48"/>
  <c r="BD290" i="48"/>
  <c r="BK290" i="48" s="1"/>
  <c r="BF290" i="48"/>
  <c r="AV290" i="48"/>
  <c r="BJ290" i="48" s="1"/>
  <c r="BD274" i="48"/>
  <c r="BK274" i="48" s="1"/>
  <c r="AV274" i="48"/>
  <c r="BJ274" i="48" s="1"/>
  <c r="BF274" i="48"/>
  <c r="AJ252" i="48"/>
  <c r="BN252" i="48" s="1"/>
  <c r="AN252" i="48"/>
  <c r="AJ240" i="48"/>
  <c r="AF240" i="48"/>
  <c r="AJ226" i="48"/>
  <c r="AN226" i="48"/>
  <c r="AJ188" i="48"/>
  <c r="AN188" i="48"/>
  <c r="BF173" i="48"/>
  <c r="AT173" i="48"/>
  <c r="BJ173" i="48" s="1"/>
  <c r="BD173" i="48"/>
  <c r="BK173" i="48" s="1"/>
  <c r="BF153" i="48"/>
  <c r="AT153" i="48"/>
  <c r="BD153" i="48"/>
  <c r="BK153" i="48" s="1"/>
  <c r="BD146" i="48"/>
  <c r="AV146" i="48"/>
  <c r="BJ146" i="48" s="1"/>
  <c r="BF146" i="48"/>
  <c r="BF444" i="48"/>
  <c r="BD444" i="48"/>
  <c r="BK444" i="48" s="1"/>
  <c r="AZ444" i="48"/>
  <c r="AV456" i="48"/>
  <c r="BJ456" i="48" s="1"/>
  <c r="BF40" i="48"/>
  <c r="BD40" i="48"/>
  <c r="BK40" i="48" s="1"/>
  <c r="AT40" i="48"/>
  <c r="BJ40" i="48" s="1"/>
  <c r="BF32" i="48"/>
  <c r="BD32" i="48"/>
  <c r="BK32" i="48" s="1"/>
  <c r="AT32" i="48"/>
  <c r="BJ32" i="48" s="1"/>
  <c r="AL25" i="48"/>
  <c r="AJ25" i="48"/>
  <c r="BB306" i="48"/>
  <c r="AZ173" i="48"/>
  <c r="AZ153" i="48"/>
  <c r="BB146" i="48"/>
  <c r="AZ32" i="48"/>
  <c r="AP470" i="48"/>
  <c r="AY470" i="48" s="1"/>
  <c r="AX470" i="48" s="1"/>
  <c r="AW458" i="48"/>
  <c r="AP436" i="48"/>
  <c r="AY436" i="48" s="1"/>
  <c r="AX436" i="48" s="1"/>
  <c r="AD462" i="48"/>
  <c r="AP454" i="48"/>
  <c r="AY454" i="48" s="1"/>
  <c r="AX454" i="48" s="1"/>
  <c r="AN421" i="48"/>
  <c r="AF413" i="48"/>
  <c r="AP410" i="48"/>
  <c r="AY410" i="48" s="1"/>
  <c r="AX410" i="48" s="1"/>
  <c r="BK317" i="48"/>
  <c r="AZ453" i="48"/>
  <c r="AU453" i="48"/>
  <c r="AN451" i="48"/>
  <c r="AJ451" i="48"/>
  <c r="AW451" i="48"/>
  <c r="AN443" i="48"/>
  <c r="AJ443" i="48"/>
  <c r="AW443" i="48"/>
  <c r="AN431" i="48"/>
  <c r="AJ431" i="48"/>
  <c r="AW431" i="48"/>
  <c r="BE420" i="48"/>
  <c r="AP406" i="48"/>
  <c r="AY406" i="48" s="1"/>
  <c r="BO405" i="48"/>
  <c r="AF403" i="48"/>
  <c r="AN395" i="48"/>
  <c r="AJ395" i="48"/>
  <c r="AW395" i="48"/>
  <c r="BN389" i="48"/>
  <c r="BO388" i="48"/>
  <c r="AF387" i="48"/>
  <c r="AP384" i="48"/>
  <c r="AY384" i="48" s="1"/>
  <c r="AN379" i="48"/>
  <c r="BN373" i="48"/>
  <c r="BO372" i="48"/>
  <c r="AF371" i="48"/>
  <c r="AO366" i="48"/>
  <c r="AK366" i="48"/>
  <c r="BG362" i="48"/>
  <c r="AO358" i="48"/>
  <c r="AK358" i="48"/>
  <c r="BG354" i="48"/>
  <c r="AO350" i="48"/>
  <c r="AK350" i="48"/>
  <c r="BG346" i="48"/>
  <c r="AO342" i="48"/>
  <c r="AK342" i="48"/>
  <c r="BG338" i="48"/>
  <c r="AO334" i="48"/>
  <c r="AK334" i="48"/>
  <c r="BG330" i="48"/>
  <c r="AO326" i="48"/>
  <c r="AK326" i="48"/>
  <c r="AN319" i="48"/>
  <c r="BK311" i="48"/>
  <c r="BK303" i="48"/>
  <c r="BK295" i="48"/>
  <c r="BK287" i="48"/>
  <c r="BK279" i="48"/>
  <c r="BK271" i="48"/>
  <c r="BK256" i="48"/>
  <c r="BK234" i="48"/>
  <c r="BK226" i="48"/>
  <c r="BK210" i="48"/>
  <c r="BK208" i="48"/>
  <c r="BK200" i="48"/>
  <c r="BK192" i="48"/>
  <c r="BK184" i="48"/>
  <c r="BE416" i="48"/>
  <c r="BO404" i="48"/>
  <c r="BO401" i="48"/>
  <c r="BN396" i="48"/>
  <c r="BE378" i="48"/>
  <c r="AZ359" i="48"/>
  <c r="AU359" i="48"/>
  <c r="AZ351" i="48"/>
  <c r="AU351" i="48"/>
  <c r="AZ343" i="48"/>
  <c r="AU343" i="48"/>
  <c r="BO337" i="48"/>
  <c r="AP332" i="48"/>
  <c r="AY332" i="48" s="1"/>
  <c r="BO332" i="48"/>
  <c r="BN311" i="48"/>
  <c r="BO310" i="48"/>
  <c r="BN303" i="48"/>
  <c r="BN295" i="48"/>
  <c r="BN279" i="48"/>
  <c r="BO278" i="48"/>
  <c r="BN271" i="48"/>
  <c r="AP255" i="48"/>
  <c r="AY255" i="48" s="1"/>
  <c r="AX255" i="48" s="1"/>
  <c r="AW363" i="48"/>
  <c r="AP225" i="48"/>
  <c r="AY225" i="48" s="1"/>
  <c r="AX225" i="48" s="1"/>
  <c r="AK296" i="48"/>
  <c r="AG296" i="48"/>
  <c r="AK264" i="48"/>
  <c r="AG264" i="48"/>
  <c r="AK241" i="48"/>
  <c r="AG241" i="48"/>
  <c r="AK223" i="48"/>
  <c r="AG223" i="48"/>
  <c r="BA215" i="48"/>
  <c r="BE215" i="48"/>
  <c r="AP191" i="48"/>
  <c r="AY191" i="48" s="1"/>
  <c r="AX191" i="48" s="1"/>
  <c r="BC249" i="48"/>
  <c r="BA249" i="48"/>
  <c r="AK219" i="48"/>
  <c r="AG219" i="48"/>
  <c r="BC189" i="48"/>
  <c r="BA189" i="48"/>
  <c r="BC179" i="48"/>
  <c r="BA179" i="48"/>
  <c r="BG179" i="48"/>
  <c r="AG167" i="48"/>
  <c r="AK167" i="48"/>
  <c r="AO167" i="48"/>
  <c r="BC163" i="48"/>
  <c r="BA163" i="48"/>
  <c r="BG163" i="48"/>
  <c r="AG304" i="48"/>
  <c r="AI304" i="48"/>
  <c r="AK304" i="48"/>
  <c r="AM304" i="48"/>
  <c r="AO304" i="48"/>
  <c r="BA288" i="48"/>
  <c r="BC288" i="48"/>
  <c r="BE288" i="48"/>
  <c r="BG288" i="48"/>
  <c r="AK227" i="48"/>
  <c r="AG227" i="48"/>
  <c r="AG193" i="48"/>
  <c r="AK193" i="48"/>
  <c r="AO193" i="48"/>
  <c r="AK151" i="48"/>
  <c r="AG151" i="48"/>
  <c r="AZ180" i="48"/>
  <c r="AZ164" i="48"/>
  <c r="BC185" i="48"/>
  <c r="BA185" i="48"/>
  <c r="BC108" i="48"/>
  <c r="BA108" i="48"/>
  <c r="BG108" i="48"/>
  <c r="AK98" i="48"/>
  <c r="AP100" i="48"/>
  <c r="AY100" i="48" s="1"/>
  <c r="AU109" i="48"/>
  <c r="AQ68" i="48"/>
  <c r="BG472" i="48"/>
  <c r="BE468" i="48"/>
  <c r="BK460" i="48"/>
  <c r="AZ458" i="48"/>
  <c r="AO452" i="48"/>
  <c r="AK452" i="48"/>
  <c r="BG450" i="48"/>
  <c r="BN456" i="48"/>
  <c r="BO449" i="48"/>
  <c r="AP422" i="48"/>
  <c r="AY422" i="48" s="1"/>
  <c r="BO422" i="48"/>
  <c r="BN407" i="48"/>
  <c r="BE402" i="48"/>
  <c r="BE398" i="48"/>
  <c r="AZ451" i="48"/>
  <c r="AZ443" i="48"/>
  <c r="AZ431" i="48"/>
  <c r="AP428" i="48"/>
  <c r="AY428" i="48" s="1"/>
  <c r="AX428" i="48" s="1"/>
  <c r="AP400" i="48"/>
  <c r="AY400" i="48" s="1"/>
  <c r="AX400" i="48" s="1"/>
  <c r="AZ395" i="48"/>
  <c r="AP380" i="48"/>
  <c r="AY380" i="48" s="1"/>
  <c r="AP364" i="48"/>
  <c r="AY364" i="48" s="1"/>
  <c r="AX364" i="48" s="1"/>
  <c r="AP356" i="48"/>
  <c r="AY356" i="48" s="1"/>
  <c r="AP314" i="48"/>
  <c r="AY314" i="48" s="1"/>
  <c r="AX314" i="48" s="1"/>
  <c r="AP282" i="48"/>
  <c r="AY282" i="48" s="1"/>
  <c r="AP266" i="48"/>
  <c r="AY266" i="48" s="1"/>
  <c r="AP251" i="48"/>
  <c r="AY251" i="48" s="1"/>
  <c r="AX251" i="48" s="1"/>
  <c r="BO251" i="48"/>
  <c r="AP247" i="48"/>
  <c r="AY247" i="48" s="1"/>
  <c r="BO247" i="48"/>
  <c r="BN240" i="48"/>
  <c r="AO390" i="48"/>
  <c r="AK390" i="48"/>
  <c r="AG382" i="48"/>
  <c r="AO374" i="48"/>
  <c r="AK374" i="48"/>
  <c r="BN368" i="48"/>
  <c r="BN365" i="48"/>
  <c r="AZ363" i="48"/>
  <c r="BO357" i="48"/>
  <c r="BO352" i="48"/>
  <c r="BN344" i="48"/>
  <c r="AO308" i="48"/>
  <c r="AK308" i="48"/>
  <c r="AG300" i="48"/>
  <c r="AO292" i="48"/>
  <c r="AK292" i="48"/>
  <c r="AG284" i="48"/>
  <c r="AO276" i="48"/>
  <c r="AK276" i="48"/>
  <c r="AG268" i="48"/>
  <c r="AO262" i="48"/>
  <c r="AK262" i="48"/>
  <c r="AO253" i="48"/>
  <c r="AK253" i="48"/>
  <c r="AG245" i="48"/>
  <c r="AK312" i="48"/>
  <c r="AG312" i="48"/>
  <c r="AK280" i="48"/>
  <c r="AG280" i="48"/>
  <c r="AK257" i="48"/>
  <c r="AG257" i="48"/>
  <c r="AG231" i="48"/>
  <c r="AK231" i="48"/>
  <c r="AO231" i="48"/>
  <c r="BC215" i="48"/>
  <c r="AK235" i="48"/>
  <c r="AG235" i="48"/>
  <c r="BC205" i="48"/>
  <c r="BA205" i="48"/>
  <c r="BA197" i="48"/>
  <c r="BE197" i="48"/>
  <c r="AG175" i="48"/>
  <c r="AK175" i="48"/>
  <c r="BN175" i="48" s="1"/>
  <c r="AO175" i="48"/>
  <c r="BC171" i="48"/>
  <c r="BA171" i="48"/>
  <c r="BG171" i="48"/>
  <c r="AG159" i="48"/>
  <c r="AK159" i="48"/>
  <c r="AO159" i="48"/>
  <c r="AF148" i="48"/>
  <c r="AJ148" i="48"/>
  <c r="AN148" i="48"/>
  <c r="AG272" i="48"/>
  <c r="AI272" i="48"/>
  <c r="AK272" i="48"/>
  <c r="AM272" i="48"/>
  <c r="AO272" i="48"/>
  <c r="AG211" i="48"/>
  <c r="AK211" i="48"/>
  <c r="AO211" i="48"/>
  <c r="AK155" i="48"/>
  <c r="AG155" i="48"/>
  <c r="AO151" i="48"/>
  <c r="AG237" i="48"/>
  <c r="AI237" i="48"/>
  <c r="AK237" i="48"/>
  <c r="AM237" i="48"/>
  <c r="AO237" i="48"/>
  <c r="AU180" i="48"/>
  <c r="AZ172" i="48"/>
  <c r="AU164" i="48"/>
  <c r="AD156" i="48"/>
  <c r="AL148" i="48"/>
  <c r="BA144" i="48"/>
  <c r="BE144" i="48"/>
  <c r="BA140" i="48"/>
  <c r="BE140" i="48"/>
  <c r="BA136" i="48"/>
  <c r="BE136" i="48"/>
  <c r="BA132" i="48"/>
  <c r="BE132" i="48"/>
  <c r="BA128" i="48"/>
  <c r="BE128" i="48"/>
  <c r="BA124" i="48"/>
  <c r="BE124" i="48"/>
  <c r="BA120" i="48"/>
  <c r="BE120" i="48"/>
  <c r="BA116" i="48"/>
  <c r="BE116" i="48"/>
  <c r="AK201" i="48"/>
  <c r="AG201" i="48"/>
  <c r="AK112" i="48"/>
  <c r="AG112" i="48"/>
  <c r="AK82" i="48"/>
  <c r="AF71" i="48"/>
  <c r="AN63" i="48"/>
  <c r="AJ63" i="48"/>
  <c r="AN27" i="48"/>
  <c r="AF27" i="48"/>
  <c r="BG5" i="48"/>
  <c r="BC5" i="48"/>
  <c r="BB113" i="48"/>
  <c r="BD109" i="48"/>
  <c r="BK17" i="48"/>
  <c r="AF473" i="48"/>
  <c r="AO473" i="48"/>
  <c r="AH473" i="48"/>
  <c r="AD473" i="48"/>
  <c r="AT470" i="48"/>
  <c r="BF470" i="48"/>
  <c r="BB470" i="48"/>
  <c r="AV470" i="48"/>
  <c r="AM456" i="48"/>
  <c r="AE456" i="48"/>
  <c r="AP456" i="48" s="1"/>
  <c r="AY456" i="48" s="1"/>
  <c r="AT454" i="48"/>
  <c r="BF454" i="48"/>
  <c r="BB454" i="48"/>
  <c r="AV454" i="48"/>
  <c r="BD470" i="48"/>
  <c r="AT428" i="48"/>
  <c r="BF428" i="48"/>
  <c r="AV428" i="48"/>
  <c r="BB428" i="48"/>
  <c r="AV426" i="48"/>
  <c r="AT426" i="48"/>
  <c r="AZ426" i="48"/>
  <c r="AV410" i="48"/>
  <c r="AZ410" i="48"/>
  <c r="BD410" i="48"/>
  <c r="AT410" i="48"/>
  <c r="AV380" i="48"/>
  <c r="AT380" i="48"/>
  <c r="AZ380" i="48"/>
  <c r="AN369" i="48"/>
  <c r="AP369" i="48" s="1"/>
  <c r="AY369" i="48" s="1"/>
  <c r="AF369" i="48"/>
  <c r="AZ428" i="48"/>
  <c r="BD414" i="48"/>
  <c r="AZ414" i="48"/>
  <c r="BB414" i="48"/>
  <c r="BK414" i="48" s="1"/>
  <c r="BF414" i="48"/>
  <c r="AV414" i="48"/>
  <c r="BJ414" i="48" s="1"/>
  <c r="BB410" i="48"/>
  <c r="AF407" i="48"/>
  <c r="BF404" i="48"/>
  <c r="BB404" i="48"/>
  <c r="AZ404" i="48"/>
  <c r="BD404" i="48"/>
  <c r="AT404" i="48"/>
  <c r="BJ404" i="48" s="1"/>
  <c r="BF392" i="48"/>
  <c r="BB392" i="48"/>
  <c r="AZ392" i="48"/>
  <c r="BD392" i="48"/>
  <c r="AT392" i="48"/>
  <c r="BJ392" i="48" s="1"/>
  <c r="BD388" i="48"/>
  <c r="AZ388" i="48"/>
  <c r="BB388" i="48"/>
  <c r="BF388" i="48"/>
  <c r="AV388" i="48"/>
  <c r="BJ388" i="48" s="1"/>
  <c r="BD376" i="48"/>
  <c r="AZ376" i="48"/>
  <c r="BB376" i="48"/>
  <c r="BF376" i="48"/>
  <c r="AV376" i="48"/>
  <c r="BJ376" i="48" s="1"/>
  <c r="AK473" i="48"/>
  <c r="BN473" i="48" s="1"/>
  <c r="BD454" i="48"/>
  <c r="BF426" i="48"/>
  <c r="AJ423" i="48"/>
  <c r="BN423" i="48" s="1"/>
  <c r="BD418" i="48"/>
  <c r="AZ418" i="48"/>
  <c r="BF418" i="48"/>
  <c r="BB418" i="48"/>
  <c r="BF380" i="48"/>
  <c r="BD372" i="48"/>
  <c r="AZ372" i="48"/>
  <c r="BF372" i="48"/>
  <c r="BB372" i="48"/>
  <c r="AF385" i="48"/>
  <c r="AV316" i="48"/>
  <c r="BD316" i="48"/>
  <c r="AZ316" i="48"/>
  <c r="AT316" i="48"/>
  <c r="AV314" i="48"/>
  <c r="BD314" i="48"/>
  <c r="AZ314" i="48"/>
  <c r="AT314" i="48"/>
  <c r="AO302" i="48"/>
  <c r="AG302" i="48"/>
  <c r="AV298" i="48"/>
  <c r="BD298" i="48"/>
  <c r="AZ298" i="48"/>
  <c r="AT298" i="48"/>
  <c r="AO286" i="48"/>
  <c r="AG286" i="48"/>
  <c r="AV282" i="48"/>
  <c r="BD282" i="48"/>
  <c r="AZ282" i="48"/>
  <c r="AT282" i="48"/>
  <c r="AO270" i="48"/>
  <c r="AG270" i="48"/>
  <c r="AV266" i="48"/>
  <c r="BD266" i="48"/>
  <c r="AZ266" i="48"/>
  <c r="AT266" i="48"/>
  <c r="AV260" i="48"/>
  <c r="BD260" i="48"/>
  <c r="AZ260" i="48"/>
  <c r="AT260" i="48"/>
  <c r="AV255" i="48"/>
  <c r="BD255" i="48"/>
  <c r="AZ255" i="48"/>
  <c r="AT255" i="48"/>
  <c r="AV247" i="48"/>
  <c r="AZ247" i="48"/>
  <c r="BD247" i="48"/>
  <c r="AT247" i="48"/>
  <c r="AV239" i="48"/>
  <c r="AT239" i="48"/>
  <c r="AZ239" i="48"/>
  <c r="BD426" i="48"/>
  <c r="AV372" i="48"/>
  <c r="BJ372" i="48" s="1"/>
  <c r="BB316" i="48"/>
  <c r="AF307" i="48"/>
  <c r="AP307" i="48" s="1"/>
  <c r="AY307" i="48" s="1"/>
  <c r="AK302" i="48"/>
  <c r="BO302" i="48" s="1"/>
  <c r="AF291" i="48"/>
  <c r="AK286" i="48"/>
  <c r="BO286" i="48" s="1"/>
  <c r="AF275" i="48"/>
  <c r="AP275" i="48" s="1"/>
  <c r="AY275" i="48" s="1"/>
  <c r="AK270" i="48"/>
  <c r="BO270" i="48" s="1"/>
  <c r="BB260" i="48"/>
  <c r="BB247" i="48"/>
  <c r="BD233" i="48"/>
  <c r="BB233" i="48"/>
  <c r="AV233" i="48"/>
  <c r="BF233" i="48"/>
  <c r="AZ233" i="48"/>
  <c r="AT233" i="48"/>
  <c r="AV225" i="48"/>
  <c r="BD225" i="48"/>
  <c r="AZ225" i="48"/>
  <c r="AT225" i="48"/>
  <c r="AO221" i="48"/>
  <c r="AG221" i="48"/>
  <c r="AV213" i="48"/>
  <c r="BD213" i="48"/>
  <c r="AZ213" i="48"/>
  <c r="AT213" i="48"/>
  <c r="AV207" i="48"/>
  <c r="BD207" i="48"/>
  <c r="AZ207" i="48"/>
  <c r="AT207" i="48"/>
  <c r="AV199" i="48"/>
  <c r="BD199" i="48"/>
  <c r="AZ199" i="48"/>
  <c r="AT199" i="48"/>
  <c r="AO195" i="48"/>
  <c r="AG195" i="48"/>
  <c r="AV187" i="48"/>
  <c r="BD187" i="48"/>
  <c r="AZ187" i="48"/>
  <c r="AT187" i="48"/>
  <c r="AW182" i="48"/>
  <c r="BA182" i="48"/>
  <c r="AT169" i="48"/>
  <c r="BF169" i="48"/>
  <c r="BB169" i="48"/>
  <c r="AV169" i="48"/>
  <c r="AV142" i="48"/>
  <c r="AZ142" i="48"/>
  <c r="BD142" i="48"/>
  <c r="AT142" i="48"/>
  <c r="AV134" i="48"/>
  <c r="AT134" i="48"/>
  <c r="AZ134" i="48"/>
  <c r="AN131" i="48"/>
  <c r="AF131" i="48"/>
  <c r="AN115" i="48"/>
  <c r="AF115" i="48"/>
  <c r="AT110" i="48"/>
  <c r="BF110" i="48"/>
  <c r="AV110" i="48"/>
  <c r="BB110" i="48"/>
  <c r="AV106" i="48"/>
  <c r="BD106" i="48"/>
  <c r="AT100" i="48"/>
  <c r="AV100" i="48"/>
  <c r="BF100" i="48"/>
  <c r="AV96" i="48"/>
  <c r="BJ96" i="48" s="1"/>
  <c r="BD96" i="48"/>
  <c r="AN93" i="48"/>
  <c r="AF93" i="48"/>
  <c r="AV86" i="48"/>
  <c r="BJ86" i="48" s="1"/>
  <c r="BD86" i="48"/>
  <c r="BK86" i="48" s="1"/>
  <c r="AT80" i="48"/>
  <c r="BF80" i="48"/>
  <c r="AV80" i="48"/>
  <c r="AV76" i="48"/>
  <c r="BD76" i="48"/>
  <c r="AL65" i="48"/>
  <c r="AN65" i="48"/>
  <c r="AF65" i="48"/>
  <c r="BD62" i="48"/>
  <c r="BK62" i="48" s="1"/>
  <c r="AV62" i="48"/>
  <c r="BF314" i="48"/>
  <c r="AN311" i="48"/>
  <c r="BF298" i="48"/>
  <c r="AN295" i="48"/>
  <c r="BF282" i="48"/>
  <c r="AN279" i="48"/>
  <c r="BF266" i="48"/>
  <c r="BC263" i="48"/>
  <c r="BB255" i="48"/>
  <c r="BK255" i="48" s="1"/>
  <c r="BD243" i="48"/>
  <c r="AZ243" i="48"/>
  <c r="BF243" i="48"/>
  <c r="BB243" i="48"/>
  <c r="BF239" i="48"/>
  <c r="BG236" i="48"/>
  <c r="BF213" i="48"/>
  <c r="BF207" i="48"/>
  <c r="BF199" i="48"/>
  <c r="AK195" i="48"/>
  <c r="BC190" i="48"/>
  <c r="BK190" i="48" s="1"/>
  <c r="BE182" i="48"/>
  <c r="AK153" i="48"/>
  <c r="BB142" i="48"/>
  <c r="BD138" i="48"/>
  <c r="AZ138" i="48"/>
  <c r="BB138" i="48"/>
  <c r="BF138" i="48"/>
  <c r="AV138" i="48"/>
  <c r="BJ138" i="48" s="1"/>
  <c r="AJ131" i="48"/>
  <c r="BM131" i="48" s="1"/>
  <c r="BD118" i="48"/>
  <c r="AZ118" i="48"/>
  <c r="BB118" i="48"/>
  <c r="AV118" i="48"/>
  <c r="BJ118" i="48" s="1"/>
  <c r="BF118" i="48"/>
  <c r="BD110" i="48"/>
  <c r="BK110" i="48" s="1"/>
  <c r="BF92" i="48"/>
  <c r="BB92" i="48"/>
  <c r="AZ92" i="48"/>
  <c r="BD92" i="48"/>
  <c r="AT92" i="48"/>
  <c r="BJ92" i="48" s="1"/>
  <c r="AK72" i="48"/>
  <c r="BN72" i="48" s="1"/>
  <c r="AC72" i="48"/>
  <c r="AZ62" i="48"/>
  <c r="BF60" i="48"/>
  <c r="BB60" i="48"/>
  <c r="AZ60" i="48"/>
  <c r="BD60" i="48"/>
  <c r="AT60" i="48"/>
  <c r="AT52" i="48"/>
  <c r="BF52" i="48"/>
  <c r="BB52" i="48"/>
  <c r="AV52" i="48"/>
  <c r="AT48" i="48"/>
  <c r="BB48" i="48"/>
  <c r="BF48" i="48"/>
  <c r="AV48" i="48"/>
  <c r="CG40" i="48"/>
  <c r="AK40" i="48"/>
  <c r="AC40" i="48"/>
  <c r="AT36" i="48"/>
  <c r="BF36" i="48"/>
  <c r="BB36" i="48"/>
  <c r="AV36" i="48"/>
  <c r="AT28" i="48"/>
  <c r="BF28" i="48"/>
  <c r="BB28" i="48"/>
  <c r="AV28" i="48"/>
  <c r="BC236" i="48"/>
  <c r="BK236" i="48" s="1"/>
  <c r="BF225" i="48"/>
  <c r="BC216" i="48"/>
  <c r="BD169" i="48"/>
  <c r="AJ123" i="48"/>
  <c r="BF104" i="48"/>
  <c r="BB104" i="48"/>
  <c r="BD104" i="48"/>
  <c r="AZ104" i="48"/>
  <c r="AZ96" i="48"/>
  <c r="AJ69" i="48"/>
  <c r="BB225" i="48"/>
  <c r="BK225" i="48" s="1"/>
  <c r="AF210" i="48"/>
  <c r="BB187" i="48"/>
  <c r="AZ169" i="48"/>
  <c r="BB134" i="48"/>
  <c r="AZ100" i="48"/>
  <c r="BD80" i="48"/>
  <c r="BF68" i="48"/>
  <c r="BB68" i="48"/>
  <c r="BD68" i="48"/>
  <c r="AZ68" i="48"/>
  <c r="BD134" i="48"/>
  <c r="BB100" i="48"/>
  <c r="BB80" i="48"/>
  <c r="AZ52" i="48"/>
  <c r="AZ48" i="48"/>
  <c r="AO40" i="48"/>
  <c r="BD36" i="48"/>
  <c r="CG36" i="48"/>
  <c r="AZ28" i="48"/>
  <c r="BN336" i="48"/>
  <c r="BN328" i="48"/>
  <c r="BO214" i="48"/>
  <c r="BN196" i="48"/>
  <c r="BO195" i="48"/>
  <c r="BO187" i="48"/>
  <c r="BK154" i="48"/>
  <c r="BO178" i="48"/>
  <c r="BO173" i="48"/>
  <c r="AN180" i="48"/>
  <c r="AN172" i="48"/>
  <c r="AN164" i="48"/>
  <c r="BN150" i="48"/>
  <c r="BK43" i="48"/>
  <c r="AP36" i="48"/>
  <c r="AY36" i="48" s="1"/>
  <c r="BK27" i="48"/>
  <c r="AW218" i="48"/>
  <c r="AU218" i="48"/>
  <c r="BG218" i="48"/>
  <c r="AV218" i="48"/>
  <c r="BO157" i="48"/>
  <c r="AQ146" i="48"/>
  <c r="BO139" i="48"/>
  <c r="CG139" i="48"/>
  <c r="CG138" i="48"/>
  <c r="CG134" i="48"/>
  <c r="AH131" i="48"/>
  <c r="AC131" i="48"/>
  <c r="AG131" i="48"/>
  <c r="AK131" i="48"/>
  <c r="AO131" i="48"/>
  <c r="BF129" i="48"/>
  <c r="BB129" i="48"/>
  <c r="AW129" i="48"/>
  <c r="AD123" i="48"/>
  <c r="AL123" i="48"/>
  <c r="AE123" i="48"/>
  <c r="AQ123" i="48" s="1"/>
  <c r="AI123" i="48"/>
  <c r="AM123" i="48"/>
  <c r="CG123" i="48"/>
  <c r="AP122" i="48"/>
  <c r="AY122" i="48" s="1"/>
  <c r="AX122" i="48" s="1"/>
  <c r="BD121" i="48"/>
  <c r="AZ121" i="48"/>
  <c r="BO119" i="48"/>
  <c r="CG118" i="48"/>
  <c r="AH115" i="48"/>
  <c r="AC115" i="48"/>
  <c r="AG115" i="48"/>
  <c r="AK115" i="48"/>
  <c r="AP115" i="48" s="1"/>
  <c r="AY115" i="48" s="1"/>
  <c r="AO115" i="48"/>
  <c r="AG114" i="48"/>
  <c r="AD109" i="48"/>
  <c r="BB106" i="48"/>
  <c r="BK104" i="48"/>
  <c r="CG100" i="48"/>
  <c r="BE100" i="48"/>
  <c r="BA100" i="48"/>
  <c r="AW100" i="48"/>
  <c r="BB96" i="48"/>
  <c r="AI94" i="48"/>
  <c r="BK93" i="48"/>
  <c r="AL93" i="48"/>
  <c r="AD93" i="48"/>
  <c r="BG92" i="48"/>
  <c r="BC92" i="48"/>
  <c r="AU92" i="48"/>
  <c r="AL89" i="48"/>
  <c r="AD89" i="48"/>
  <c r="BF86" i="48"/>
  <c r="AT86" i="48"/>
  <c r="CG80" i="48"/>
  <c r="BE80" i="48"/>
  <c r="BA80" i="48"/>
  <c r="AW80" i="48"/>
  <c r="BF76" i="48"/>
  <c r="AT76" i="48"/>
  <c r="BF73" i="48"/>
  <c r="BB73" i="48"/>
  <c r="AM72" i="48"/>
  <c r="AE72" i="48"/>
  <c r="AL69" i="48"/>
  <c r="AR69" i="48" s="1"/>
  <c r="AD69" i="48"/>
  <c r="BG68" i="48"/>
  <c r="BC68" i="48"/>
  <c r="AU68" i="48"/>
  <c r="BK65" i="48"/>
  <c r="AH65" i="48"/>
  <c r="BF62" i="48"/>
  <c r="AT62" i="48"/>
  <c r="BJ62" i="48" s="1"/>
  <c r="BE60" i="48"/>
  <c r="BA60" i="48"/>
  <c r="AW60" i="48"/>
  <c r="BK58" i="48"/>
  <c r="BK56" i="48"/>
  <c r="BG52" i="48"/>
  <c r="BC52" i="48"/>
  <c r="AU52" i="48"/>
  <c r="BD49" i="48"/>
  <c r="AZ49" i="48"/>
  <c r="BE48" i="48"/>
  <c r="BA48" i="48"/>
  <c r="AW48" i="48"/>
  <c r="BK41" i="48"/>
  <c r="AM40" i="48"/>
  <c r="AE40" i="48"/>
  <c r="BD37" i="48"/>
  <c r="AZ37" i="48"/>
  <c r="BE36" i="48"/>
  <c r="BA36" i="48"/>
  <c r="AW36" i="48"/>
  <c r="BD33" i="48"/>
  <c r="AZ33" i="48"/>
  <c r="BK30" i="48"/>
  <c r="BK29" i="48"/>
  <c r="BG28" i="48"/>
  <c r="BC28" i="48"/>
  <c r="AU28" i="48"/>
  <c r="BD25" i="48"/>
  <c r="AZ25" i="48"/>
  <c r="AI114" i="48"/>
  <c r="CG114" i="48"/>
  <c r="AF114" i="48"/>
  <c r="AJ114" i="48"/>
  <c r="AN114" i="48"/>
  <c r="CG110" i="48"/>
  <c r="BG106" i="48"/>
  <c r="BC106" i="48"/>
  <c r="AU106" i="48"/>
  <c r="BN105" i="48"/>
  <c r="BD103" i="48"/>
  <c r="BK103" i="48" s="1"/>
  <c r="AZ103" i="48"/>
  <c r="BK99" i="48"/>
  <c r="BK97" i="48"/>
  <c r="BG96" i="48"/>
  <c r="BC96" i="48"/>
  <c r="AU96" i="48"/>
  <c r="AD94" i="48"/>
  <c r="AH94" i="48"/>
  <c r="AL94" i="48"/>
  <c r="BO94" i="48" s="1"/>
  <c r="AE93" i="48"/>
  <c r="AI93" i="48"/>
  <c r="AM93" i="48"/>
  <c r="CG93" i="48"/>
  <c r="AC89" i="48"/>
  <c r="AG89" i="48"/>
  <c r="AK89" i="48"/>
  <c r="AO89" i="48"/>
  <c r="BO88" i="48"/>
  <c r="BE86" i="48"/>
  <c r="BA86" i="48"/>
  <c r="AW86" i="48"/>
  <c r="AF84" i="48"/>
  <c r="AJ84" i="48"/>
  <c r="AN84" i="48"/>
  <c r="BF83" i="48"/>
  <c r="BB83" i="48"/>
  <c r="AP80" i="48"/>
  <c r="AY80" i="48" s="1"/>
  <c r="AX80" i="48" s="1"/>
  <c r="BE76" i="48"/>
  <c r="BA76" i="48"/>
  <c r="AW76" i="48"/>
  <c r="CG73" i="48"/>
  <c r="AF72" i="48"/>
  <c r="AJ72" i="48"/>
  <c r="AN72" i="48"/>
  <c r="AC69" i="48"/>
  <c r="AG69" i="48"/>
  <c r="AK69" i="48"/>
  <c r="AO69" i="48"/>
  <c r="BO68" i="48"/>
  <c r="BK63" i="48"/>
  <c r="BA62" i="48"/>
  <c r="AW62" i="48"/>
  <c r="BD59" i="48"/>
  <c r="AZ45" i="48"/>
  <c r="AZ43" i="48"/>
  <c r="BB39" i="48"/>
  <c r="BK21" i="48"/>
  <c r="CG20" i="48"/>
  <c r="CG16" i="48"/>
  <c r="CG12" i="48"/>
  <c r="BK9" i="48"/>
  <c r="BO6" i="48"/>
  <c r="CG6" i="48"/>
  <c r="AW222" i="48"/>
  <c r="BA222" i="48"/>
  <c r="BC222" i="48"/>
  <c r="BK222" i="48" s="1"/>
  <c r="AW196" i="48"/>
  <c r="BA196" i="48"/>
  <c r="BC196" i="48"/>
  <c r="BK196" i="48" s="1"/>
  <c r="AW139" i="48"/>
  <c r="AU139" i="48"/>
  <c r="BG139" i="48"/>
  <c r="BG129" i="48"/>
  <c r="BC129" i="48"/>
  <c r="BE129" i="48"/>
  <c r="AU121" i="48"/>
  <c r="BA121" i="48"/>
  <c r="AW103" i="48"/>
  <c r="BC103" i="48"/>
  <c r="BA103" i="48"/>
  <c r="AW83" i="48"/>
  <c r="BC83" i="48"/>
  <c r="BA83" i="48"/>
  <c r="AW73" i="48"/>
  <c r="BE73" i="48"/>
  <c r="BC73" i="48"/>
  <c r="AW59" i="48"/>
  <c r="BE59" i="48"/>
  <c r="BC59" i="48"/>
  <c r="AW49" i="48"/>
  <c r="BE49" i="48"/>
  <c r="BC49" i="48"/>
  <c r="AW45" i="48"/>
  <c r="BC45" i="48"/>
  <c r="BA45" i="48"/>
  <c r="AW43" i="48"/>
  <c r="BA43" i="48"/>
  <c r="AU43" i="48"/>
  <c r="AW39" i="48"/>
  <c r="BC39" i="48"/>
  <c r="BA39" i="48"/>
  <c r="AW37" i="48"/>
  <c r="BE37" i="48"/>
  <c r="BC37" i="48"/>
  <c r="AW33" i="48"/>
  <c r="BC33" i="48"/>
  <c r="BK33" i="48" s="1"/>
  <c r="BA33" i="48"/>
  <c r="AW25" i="48"/>
  <c r="BE25" i="48"/>
  <c r="BC25" i="48"/>
  <c r="BK25" i="48" s="1"/>
  <c r="BF20" i="48"/>
  <c r="BB20" i="48"/>
  <c r="AU20" i="48"/>
  <c r="BA20" i="48"/>
  <c r="AT20" i="48"/>
  <c r="BF16" i="48"/>
  <c r="BB16" i="48"/>
  <c r="AU16" i="48"/>
  <c r="BA16" i="48"/>
  <c r="AT16" i="48"/>
  <c r="BN14" i="48"/>
  <c r="BO14" i="48"/>
  <c r="BD12" i="48"/>
  <c r="AZ12" i="48"/>
  <c r="BG12" i="48"/>
  <c r="AV12" i="48"/>
  <c r="AW12" i="48"/>
  <c r="AD9" i="48"/>
  <c r="AL9" i="48"/>
  <c r="BO9" i="48" s="1"/>
  <c r="AE9" i="48"/>
  <c r="AI9" i="48"/>
  <c r="AM9" i="48"/>
  <c r="CG9" i="48"/>
  <c r="BK8" i="48"/>
  <c r="BF6" i="48"/>
  <c r="BB6" i="48"/>
  <c r="BA6" i="48"/>
  <c r="AT6" i="48"/>
  <c r="AU6" i="48"/>
  <c r="BF2" i="48"/>
  <c r="BB2" i="48"/>
  <c r="AT2" i="48"/>
  <c r="AU2" i="48"/>
  <c r="BA2" i="48"/>
  <c r="AK467" i="48"/>
  <c r="BM467" i="48" s="1"/>
  <c r="AC467" i="48"/>
  <c r="AQ467" i="48" s="1"/>
  <c r="AO467" i="48"/>
  <c r="AG467" i="48"/>
  <c r="AV436" i="48"/>
  <c r="AT436" i="48"/>
  <c r="AZ470" i="48"/>
  <c r="BC435" i="48"/>
  <c r="BK435" i="48" s="1"/>
  <c r="AV422" i="48"/>
  <c r="AZ422" i="48"/>
  <c r="BD422" i="48"/>
  <c r="BK422" i="48" s="1"/>
  <c r="AT422" i="48"/>
  <c r="AT406" i="48"/>
  <c r="BF406" i="48"/>
  <c r="AV406" i="48"/>
  <c r="BB406" i="48"/>
  <c r="AV384" i="48"/>
  <c r="AZ384" i="48"/>
  <c r="BD384" i="48"/>
  <c r="BK384" i="48" s="1"/>
  <c r="AT384" i="48"/>
  <c r="AN381" i="48"/>
  <c r="AF381" i="48"/>
  <c r="BF432" i="48"/>
  <c r="BB432" i="48"/>
  <c r="BD432" i="48"/>
  <c r="AZ432" i="48"/>
  <c r="BD428" i="48"/>
  <c r="BF422" i="48"/>
  <c r="AO414" i="48"/>
  <c r="AG414" i="48"/>
  <c r="AP414" i="48" s="1"/>
  <c r="AY414" i="48" s="1"/>
  <c r="AU413" i="48"/>
  <c r="BF410" i="48"/>
  <c r="AN407" i="48"/>
  <c r="AP407" i="48" s="1"/>
  <c r="AY407" i="48" s="1"/>
  <c r="BD406" i="48"/>
  <c r="BF400" i="48"/>
  <c r="BB400" i="48"/>
  <c r="AZ400" i="48"/>
  <c r="BD400" i="48"/>
  <c r="AT400" i="48"/>
  <c r="BJ400" i="48" s="1"/>
  <c r="BF396" i="48"/>
  <c r="BB396" i="48"/>
  <c r="AZ396" i="48"/>
  <c r="BD396" i="48"/>
  <c r="AT396" i="48"/>
  <c r="BJ396" i="48" s="1"/>
  <c r="AO388" i="48"/>
  <c r="AG388" i="48"/>
  <c r="AP388" i="48" s="1"/>
  <c r="AY388" i="48" s="1"/>
  <c r="AU387" i="48"/>
  <c r="BF384" i="48"/>
  <c r="AJ381" i="48"/>
  <c r="AR381" i="48" s="1"/>
  <c r="AO376" i="48"/>
  <c r="AG376" i="48"/>
  <c r="AP376" i="48" s="1"/>
  <c r="AY376" i="48" s="1"/>
  <c r="AJ369" i="48"/>
  <c r="BO369" i="48" s="1"/>
  <c r="BF368" i="48"/>
  <c r="BB368" i="48"/>
  <c r="AV368" i="48"/>
  <c r="BD368" i="48"/>
  <c r="AT368" i="48"/>
  <c r="BJ368" i="48" s="1"/>
  <c r="AZ368" i="48"/>
  <c r="AT364" i="48"/>
  <c r="BF364" i="48"/>
  <c r="AV364" i="48"/>
  <c r="BB364" i="48"/>
  <c r="BK364" i="48" s="1"/>
  <c r="AT360" i="48"/>
  <c r="BF360" i="48"/>
  <c r="AV360" i="48"/>
  <c r="BB360" i="48"/>
  <c r="BK360" i="48" s="1"/>
  <c r="AT356" i="48"/>
  <c r="BF356" i="48"/>
  <c r="AV356" i="48"/>
  <c r="BB356" i="48"/>
  <c r="BK356" i="48" s="1"/>
  <c r="AF474" i="48"/>
  <c r="AP474" i="48" s="1"/>
  <c r="AY474" i="48" s="1"/>
  <c r="AZ454" i="48"/>
  <c r="BF436" i="48"/>
  <c r="BB436" i="48"/>
  <c r="BK436" i="48" s="1"/>
  <c r="BB426" i="48"/>
  <c r="BK426" i="48" s="1"/>
  <c r="BC421" i="48"/>
  <c r="BK421" i="48" s="1"/>
  <c r="AJ411" i="48"/>
  <c r="BO411" i="48" s="1"/>
  <c r="AJ385" i="48"/>
  <c r="BO385" i="48" s="1"/>
  <c r="BB380" i="48"/>
  <c r="AU371" i="48"/>
  <c r="AZ436" i="48"/>
  <c r="BD380" i="48"/>
  <c r="AZ364" i="48"/>
  <c r="AZ360" i="48"/>
  <c r="AZ356" i="48"/>
  <c r="AT332" i="48"/>
  <c r="BF332" i="48"/>
  <c r="BB332" i="48"/>
  <c r="BK332" i="48" s="1"/>
  <c r="AV332" i="48"/>
  <c r="AT328" i="48"/>
  <c r="BF328" i="48"/>
  <c r="BB328" i="48"/>
  <c r="BK328" i="48" s="1"/>
  <c r="AV328" i="48"/>
  <c r="AV324" i="48"/>
  <c r="BD324" i="48"/>
  <c r="BK324" i="48" s="1"/>
  <c r="AZ324" i="48"/>
  <c r="AT324" i="48"/>
  <c r="AO320" i="48"/>
  <c r="AG320" i="48"/>
  <c r="AN317" i="48"/>
  <c r="AF317" i="48"/>
  <c r="AO310" i="48"/>
  <c r="AG310" i="48"/>
  <c r="AP310" i="48" s="1"/>
  <c r="AY310" i="48" s="1"/>
  <c r="AX310" i="48" s="1"/>
  <c r="AO306" i="48"/>
  <c r="AG306" i="48"/>
  <c r="AC302" i="48"/>
  <c r="AQ302" i="48" s="1"/>
  <c r="AN299" i="48"/>
  <c r="AF299" i="48"/>
  <c r="AO294" i="48"/>
  <c r="AG294" i="48"/>
  <c r="AO290" i="48"/>
  <c r="AG290" i="48"/>
  <c r="AC286" i="48"/>
  <c r="AN283" i="48"/>
  <c r="AF283" i="48"/>
  <c r="AO278" i="48"/>
  <c r="AG278" i="48"/>
  <c r="AP278" i="48" s="1"/>
  <c r="AY278" i="48" s="1"/>
  <c r="AX278" i="48" s="1"/>
  <c r="AO274" i="48"/>
  <c r="AG274" i="48"/>
  <c r="AC270" i="48"/>
  <c r="AQ270" i="48" s="1"/>
  <c r="AN267" i="48"/>
  <c r="AF267" i="48"/>
  <c r="AO259" i="48"/>
  <c r="AG259" i="48"/>
  <c r="AV251" i="48"/>
  <c r="BD251" i="48"/>
  <c r="BK251" i="48" s="1"/>
  <c r="AZ251" i="48"/>
  <c r="AT251" i="48"/>
  <c r="AF423" i="48"/>
  <c r="AP423" i="48" s="1"/>
  <c r="AY423" i="48" s="1"/>
  <c r="AV418" i="48"/>
  <c r="AG372" i="48"/>
  <c r="AZ332" i="48"/>
  <c r="AZ328" i="48"/>
  <c r="BF324" i="48"/>
  <c r="AK320" i="48"/>
  <c r="BO320" i="48" s="1"/>
  <c r="BF316" i="48"/>
  <c r="AN307" i="48"/>
  <c r="AK306" i="48"/>
  <c r="AF303" i="48"/>
  <c r="AN291" i="48"/>
  <c r="AK290" i="48"/>
  <c r="BM290" i="48" s="1"/>
  <c r="AF287" i="48"/>
  <c r="AN275" i="48"/>
  <c r="AK274" i="48"/>
  <c r="AF271" i="48"/>
  <c r="BF260" i="48"/>
  <c r="AK259" i="48"/>
  <c r="BO259" i="48" s="1"/>
  <c r="BC254" i="48"/>
  <c r="BF247" i="48"/>
  <c r="AO233" i="48"/>
  <c r="AG233" i="48"/>
  <c r="AK233" i="48"/>
  <c r="BO233" i="48" s="1"/>
  <c r="AC233" i="48"/>
  <c r="AQ233" i="48" s="1"/>
  <c r="AV229" i="48"/>
  <c r="BD229" i="48"/>
  <c r="AZ229" i="48"/>
  <c r="AT229" i="48"/>
  <c r="AC221" i="48"/>
  <c r="AQ221" i="48" s="1"/>
  <c r="AV217" i="48"/>
  <c r="BD217" i="48"/>
  <c r="AZ217" i="48"/>
  <c r="AT217" i="48"/>
  <c r="AO209" i="48"/>
  <c r="AG209" i="48"/>
  <c r="AV203" i="48"/>
  <c r="BD203" i="48"/>
  <c r="AZ203" i="48"/>
  <c r="AT203" i="48"/>
  <c r="AC195" i="48"/>
  <c r="AQ195" i="48" s="1"/>
  <c r="AV191" i="48"/>
  <c r="BD191" i="48"/>
  <c r="BK191" i="48" s="1"/>
  <c r="AZ191" i="48"/>
  <c r="AT191" i="48"/>
  <c r="AV183" i="48"/>
  <c r="BD183" i="48"/>
  <c r="AZ183" i="48"/>
  <c r="AT183" i="48"/>
  <c r="AT181" i="48"/>
  <c r="BF181" i="48"/>
  <c r="BB181" i="48"/>
  <c r="AV181" i="48"/>
  <c r="AT177" i="48"/>
  <c r="BF177" i="48"/>
  <c r="BB177" i="48"/>
  <c r="AV177" i="48"/>
  <c r="AT161" i="48"/>
  <c r="BF161" i="48"/>
  <c r="BB161" i="48"/>
  <c r="AV161" i="48"/>
  <c r="AO146" i="48"/>
  <c r="AG146" i="48"/>
  <c r="AN143" i="48"/>
  <c r="AF143" i="48"/>
  <c r="AN135" i="48"/>
  <c r="AF135" i="48"/>
  <c r="AV130" i="48"/>
  <c r="AT130" i="48"/>
  <c r="AZ130" i="48"/>
  <c r="AV122" i="48"/>
  <c r="AZ122" i="48"/>
  <c r="BD122" i="48"/>
  <c r="BK122" i="48" s="1"/>
  <c r="AT122" i="48"/>
  <c r="AN101" i="48"/>
  <c r="AF101" i="48"/>
  <c r="BD98" i="48"/>
  <c r="AV98" i="48"/>
  <c r="AT88" i="48"/>
  <c r="BF88" i="48"/>
  <c r="AV88" i="48"/>
  <c r="BB88" i="48"/>
  <c r="AN81" i="48"/>
  <c r="AF81" i="48"/>
  <c r="BD78" i="48"/>
  <c r="BK78" i="48" s="1"/>
  <c r="AV78" i="48"/>
  <c r="BD74" i="48"/>
  <c r="AV74" i="48"/>
  <c r="BJ74" i="48" s="1"/>
  <c r="AT64" i="48"/>
  <c r="AV64" i="48"/>
  <c r="BF64" i="48"/>
  <c r="BC323" i="48"/>
  <c r="BK323" i="48" s="1"/>
  <c r="BB314" i="48"/>
  <c r="BK314" i="48" s="1"/>
  <c r="AF311" i="48"/>
  <c r="AJ299" i="48"/>
  <c r="BO299" i="48" s="1"/>
  <c r="BB298" i="48"/>
  <c r="BK298" i="48" s="1"/>
  <c r="AF295" i="48"/>
  <c r="AP295" i="48" s="1"/>
  <c r="AY295" i="48" s="1"/>
  <c r="AJ283" i="48"/>
  <c r="BO283" i="48" s="1"/>
  <c r="BB282" i="48"/>
  <c r="BK282" i="48" s="1"/>
  <c r="AF279" i="48"/>
  <c r="AP279" i="48" s="1"/>
  <c r="AY279" i="48" s="1"/>
  <c r="AJ267" i="48"/>
  <c r="BO267" i="48" s="1"/>
  <c r="BB266" i="48"/>
  <c r="BF255" i="48"/>
  <c r="BF251" i="48"/>
  <c r="BC246" i="48"/>
  <c r="BB239" i="48"/>
  <c r="BD239" i="48"/>
  <c r="BC232" i="48"/>
  <c r="BK232" i="48" s="1"/>
  <c r="BC224" i="48"/>
  <c r="BB217" i="48"/>
  <c r="BB213" i="48"/>
  <c r="BK213" i="48" s="1"/>
  <c r="BB207" i="48"/>
  <c r="BB203" i="48"/>
  <c r="BB199" i="48"/>
  <c r="BK199" i="48" s="1"/>
  <c r="BD181" i="48"/>
  <c r="BD177" i="48"/>
  <c r="BD161" i="48"/>
  <c r="AK146" i="48"/>
  <c r="BF142" i="48"/>
  <c r="AO138" i="48"/>
  <c r="AG138" i="48"/>
  <c r="AJ135" i="48"/>
  <c r="BF122" i="48"/>
  <c r="AO118" i="48"/>
  <c r="AG118" i="48"/>
  <c r="AJ115" i="48"/>
  <c r="BF114" i="48"/>
  <c r="BB114" i="48"/>
  <c r="AZ114" i="48"/>
  <c r="BD114" i="48"/>
  <c r="AT114" i="48"/>
  <c r="BJ114" i="48" s="1"/>
  <c r="AZ110" i="48"/>
  <c r="AJ101" i="48"/>
  <c r="AJ93" i="48"/>
  <c r="AK92" i="48"/>
  <c r="BO92" i="48" s="1"/>
  <c r="AC92" i="48"/>
  <c r="AZ88" i="48"/>
  <c r="AC84" i="48"/>
  <c r="AQ84" i="48" s="1"/>
  <c r="AJ81" i="48"/>
  <c r="BN81" i="48" s="1"/>
  <c r="AZ74" i="48"/>
  <c r="AO72" i="48"/>
  <c r="BF72" i="48"/>
  <c r="BB72" i="48"/>
  <c r="AZ72" i="48"/>
  <c r="BD72" i="48"/>
  <c r="AT72" i="48"/>
  <c r="AT68" i="48"/>
  <c r="AJ65" i="48"/>
  <c r="BM65" i="48" s="1"/>
  <c r="CG60" i="48"/>
  <c r="AK60" i="48"/>
  <c r="BO60" i="48" s="1"/>
  <c r="AC60" i="48"/>
  <c r="AQ60" i="48" s="1"/>
  <c r="AL53" i="48"/>
  <c r="BN53" i="48" s="1"/>
  <c r="AN53" i="48"/>
  <c r="AF53" i="48"/>
  <c r="BD50" i="48"/>
  <c r="AV50" i="48"/>
  <c r="BJ50" i="48" s="1"/>
  <c r="BF46" i="48"/>
  <c r="AV46" i="48"/>
  <c r="AZ46" i="48"/>
  <c r="AL41" i="48"/>
  <c r="AJ41" i="48"/>
  <c r="BF34" i="48"/>
  <c r="BD34" i="48"/>
  <c r="BK34" i="48" s="1"/>
  <c r="AV34" i="48"/>
  <c r="BJ34" i="48" s="1"/>
  <c r="AK32" i="48"/>
  <c r="BN32" i="48" s="1"/>
  <c r="AC32" i="48"/>
  <c r="AQ32" i="48" s="1"/>
  <c r="AN29" i="48"/>
  <c r="AF29" i="48"/>
  <c r="BF26" i="48"/>
  <c r="BD26" i="48"/>
  <c r="AV26" i="48"/>
  <c r="BJ26" i="48" s="1"/>
  <c r="CG24" i="48"/>
  <c r="AK24" i="48"/>
  <c r="AR24" i="48" s="1"/>
  <c r="AC24" i="48"/>
  <c r="AV243" i="48"/>
  <c r="BJ243" i="48" s="1"/>
  <c r="BF229" i="48"/>
  <c r="AN210" i="48"/>
  <c r="BC206" i="48"/>
  <c r="BK206" i="48" s="1"/>
  <c r="BC198" i="48"/>
  <c r="BK198" i="48" s="1"/>
  <c r="BF183" i="48"/>
  <c r="AK165" i="48"/>
  <c r="AP165" i="48" s="1"/>
  <c r="AY165" i="48" s="1"/>
  <c r="BF134" i="48"/>
  <c r="AK126" i="48"/>
  <c r="BO126" i="48" s="1"/>
  <c r="AZ106" i="48"/>
  <c r="BD100" i="48"/>
  <c r="BK100" i="48" s="1"/>
  <c r="AG94" i="48"/>
  <c r="BF94" i="48"/>
  <c r="BB94" i="48"/>
  <c r="BD94" i="48"/>
  <c r="AZ94" i="48"/>
  <c r="AZ86" i="48"/>
  <c r="AZ80" i="48"/>
  <c r="AV68" i="48"/>
  <c r="BB229" i="48"/>
  <c r="AK221" i="48"/>
  <c r="AK209" i="48"/>
  <c r="BF187" i="48"/>
  <c r="BB183" i="48"/>
  <c r="BB130" i="48"/>
  <c r="BJ126" i="48"/>
  <c r="BD126" i="48"/>
  <c r="AZ126" i="48"/>
  <c r="BF126" i="48"/>
  <c r="BB126" i="48"/>
  <c r="AV104" i="48"/>
  <c r="BJ104" i="48" s="1"/>
  <c r="AO94" i="48"/>
  <c r="AJ89" i="48"/>
  <c r="AG84" i="48"/>
  <c r="BF84" i="48"/>
  <c r="BB84" i="48"/>
  <c r="BD84" i="48"/>
  <c r="AZ84" i="48"/>
  <c r="AZ76" i="48"/>
  <c r="BD64" i="48"/>
  <c r="AF123" i="48"/>
  <c r="AF89" i="48"/>
  <c r="AF69" i="48"/>
  <c r="CG64" i="48"/>
  <c r="BD52" i="48"/>
  <c r="CG52" i="48"/>
  <c r="BD48" i="48"/>
  <c r="CG48" i="48"/>
  <c r="AG40" i="48"/>
  <c r="AZ36" i="48"/>
  <c r="AZ34" i="48"/>
  <c r="AG32" i="48"/>
  <c r="AG126" i="48"/>
  <c r="AP126" i="48" s="1"/>
  <c r="AY126" i="48" s="1"/>
  <c r="AF41" i="48"/>
  <c r="BD28" i="48"/>
  <c r="AZ26" i="48"/>
  <c r="AG24" i="48"/>
  <c r="AX422" i="48"/>
  <c r="AX380" i="48"/>
  <c r="AX356" i="48"/>
  <c r="AX282" i="48"/>
  <c r="AX266" i="48"/>
  <c r="AX247" i="48"/>
  <c r="AX36" i="48"/>
  <c r="AX406" i="48"/>
  <c r="AX384" i="48"/>
  <c r="AX52" i="48"/>
  <c r="AX100" i="48"/>
  <c r="AQ474" i="48"/>
  <c r="AR474" i="48"/>
  <c r="AN472" i="48"/>
  <c r="AL472" i="48"/>
  <c r="AJ472" i="48"/>
  <c r="AH472" i="48"/>
  <c r="AF472" i="48"/>
  <c r="AD472" i="48"/>
  <c r="AI472" i="48"/>
  <c r="AM472" i="48"/>
  <c r="CG472" i="48"/>
  <c r="AE472" i="48"/>
  <c r="AN468" i="48"/>
  <c r="AL468" i="48"/>
  <c r="AJ468" i="48"/>
  <c r="AH468" i="48"/>
  <c r="AF468" i="48"/>
  <c r="AD468" i="48"/>
  <c r="AI468" i="48"/>
  <c r="CG468" i="48"/>
  <c r="AE468" i="48"/>
  <c r="AM468" i="48"/>
  <c r="CG466" i="48"/>
  <c r="AO466" i="48"/>
  <c r="AM466" i="48"/>
  <c r="AK466" i="48"/>
  <c r="AI466" i="48"/>
  <c r="AG466" i="48"/>
  <c r="AE466" i="48"/>
  <c r="AC466" i="48"/>
  <c r="AH466" i="48"/>
  <c r="BJ471" i="48"/>
  <c r="AR470" i="48"/>
  <c r="BM470" i="48"/>
  <c r="AG465" i="48"/>
  <c r="AG461" i="48"/>
  <c r="AG457" i="48"/>
  <c r="CG453" i="48"/>
  <c r="AO453" i="48"/>
  <c r="AM453" i="48"/>
  <c r="AK453" i="48"/>
  <c r="AI453" i="48"/>
  <c r="AG453" i="48"/>
  <c r="AE453" i="48"/>
  <c r="AC453" i="48"/>
  <c r="AH453" i="48"/>
  <c r="AW475" i="48"/>
  <c r="AU475" i="48"/>
  <c r="BF475" i="48"/>
  <c r="BB475" i="48"/>
  <c r="BD475" i="48"/>
  <c r="AZ475" i="48"/>
  <c r="AV466" i="48"/>
  <c r="AT466" i="48"/>
  <c r="BE466" i="48"/>
  <c r="BA466" i="48"/>
  <c r="BC466" i="48"/>
  <c r="BG466" i="48"/>
  <c r="BD466" i="48"/>
  <c r="AD466" i="48"/>
  <c r="AQ460" i="48"/>
  <c r="AP460" i="48"/>
  <c r="AY460" i="48" s="1"/>
  <c r="BN460" i="48"/>
  <c r="AR460" i="48"/>
  <c r="BM460" i="48"/>
  <c r="AW450" i="48"/>
  <c r="AU450" i="48"/>
  <c r="BF450" i="48"/>
  <c r="BB450" i="48"/>
  <c r="AZ450" i="48"/>
  <c r="AV450" i="48"/>
  <c r="BJ450" i="48" s="1"/>
  <c r="BD450" i="48"/>
  <c r="AW446" i="48"/>
  <c r="AU446" i="48"/>
  <c r="BF446" i="48"/>
  <c r="BB446" i="48"/>
  <c r="AZ446" i="48"/>
  <c r="BD446" i="48"/>
  <c r="AV446" i="48"/>
  <c r="AR436" i="48"/>
  <c r="BM436" i="48"/>
  <c r="CG417" i="48"/>
  <c r="AO417" i="48"/>
  <c r="AM417" i="48"/>
  <c r="AK417" i="48"/>
  <c r="AI417" i="48"/>
  <c r="AG417" i="48"/>
  <c r="AE417" i="48"/>
  <c r="AC417" i="48"/>
  <c r="AH417" i="48"/>
  <c r="AL417" i="48"/>
  <c r="AD417" i="48"/>
  <c r="CG409" i="48"/>
  <c r="AO409" i="48"/>
  <c r="AM409" i="48"/>
  <c r="AK409" i="48"/>
  <c r="AI409" i="48"/>
  <c r="AG409" i="48"/>
  <c r="AE409" i="48"/>
  <c r="AC409" i="48"/>
  <c r="AH409" i="48"/>
  <c r="AL409" i="48"/>
  <c r="AD409" i="48"/>
  <c r="CG399" i="48"/>
  <c r="AO399" i="48"/>
  <c r="AM399" i="48"/>
  <c r="AK399" i="48"/>
  <c r="AI399" i="48"/>
  <c r="AG399" i="48"/>
  <c r="AE399" i="48"/>
  <c r="AC399" i="48"/>
  <c r="AH399" i="48"/>
  <c r="AQ464" i="48"/>
  <c r="AP464" i="48"/>
  <c r="AY464" i="48" s="1"/>
  <c r="AV462" i="48"/>
  <c r="AT462" i="48"/>
  <c r="BE462" i="48"/>
  <c r="BA462" i="48"/>
  <c r="BC462" i="48"/>
  <c r="BG462" i="48"/>
  <c r="BF462" i="48"/>
  <c r="AP459" i="48"/>
  <c r="AY459" i="48" s="1"/>
  <c r="AQ459" i="48"/>
  <c r="AR459" i="48"/>
  <c r="BM459" i="48"/>
  <c r="BJ455" i="48"/>
  <c r="AR454" i="48"/>
  <c r="BF447" i="48"/>
  <c r="BN444" i="48"/>
  <c r="BN441" i="48"/>
  <c r="AR441" i="48"/>
  <c r="BM441" i="48"/>
  <c r="BJ435" i="48"/>
  <c r="AW434" i="48"/>
  <c r="AU434" i="48"/>
  <c r="BF434" i="48"/>
  <c r="BB434" i="48"/>
  <c r="AZ434" i="48"/>
  <c r="AV434" i="48"/>
  <c r="BD434" i="48"/>
  <c r="AR423" i="48"/>
  <c r="AR415" i="48"/>
  <c r="AR407" i="48"/>
  <c r="AN402" i="48"/>
  <c r="AL402" i="48"/>
  <c r="AJ402" i="48"/>
  <c r="AH402" i="48"/>
  <c r="AF402" i="48"/>
  <c r="AD402" i="48"/>
  <c r="AI402" i="48"/>
  <c r="AM402" i="48"/>
  <c r="CG402" i="48"/>
  <c r="AE402" i="48"/>
  <c r="AN398" i="48"/>
  <c r="AL398" i="48"/>
  <c r="AJ398" i="48"/>
  <c r="AH398" i="48"/>
  <c r="AF398" i="48"/>
  <c r="AD398" i="48"/>
  <c r="AI398" i="48"/>
  <c r="CG398" i="48"/>
  <c r="AE398" i="48"/>
  <c r="AM398" i="48"/>
  <c r="AN394" i="48"/>
  <c r="AL394" i="48"/>
  <c r="AJ394" i="48"/>
  <c r="AH394" i="48"/>
  <c r="AF394" i="48"/>
  <c r="AD394" i="48"/>
  <c r="AI394" i="48"/>
  <c r="AM394" i="48"/>
  <c r="CG394" i="48"/>
  <c r="AE394" i="48"/>
  <c r="CG391" i="48"/>
  <c r="AO391" i="48"/>
  <c r="AM391" i="48"/>
  <c r="AK391" i="48"/>
  <c r="AI391" i="48"/>
  <c r="AG391" i="48"/>
  <c r="AE391" i="48"/>
  <c r="AC391" i="48"/>
  <c r="AH391" i="48"/>
  <c r="AL391" i="48"/>
  <c r="AD391" i="48"/>
  <c r="CG383" i="48"/>
  <c r="AO383" i="48"/>
  <c r="AM383" i="48"/>
  <c r="AK383" i="48"/>
  <c r="AI383" i="48"/>
  <c r="AG383" i="48"/>
  <c r="AE383" i="48"/>
  <c r="AC383" i="48"/>
  <c r="AH383" i="48"/>
  <c r="AL383" i="48"/>
  <c r="AD383" i="48"/>
  <c r="CG375" i="48"/>
  <c r="AO375" i="48"/>
  <c r="AM375" i="48"/>
  <c r="AK375" i="48"/>
  <c r="AI375" i="48"/>
  <c r="AG375" i="48"/>
  <c r="AE375" i="48"/>
  <c r="AC375" i="48"/>
  <c r="AH375" i="48"/>
  <c r="AL375" i="48"/>
  <c r="AD375" i="48"/>
  <c r="CG363" i="48"/>
  <c r="AO363" i="48"/>
  <c r="AM363" i="48"/>
  <c r="AK363" i="48"/>
  <c r="AI363" i="48"/>
  <c r="AG363" i="48"/>
  <c r="AE363" i="48"/>
  <c r="AC363" i="48"/>
  <c r="AH363" i="48"/>
  <c r="CG355" i="48"/>
  <c r="AO355" i="48"/>
  <c r="AM355" i="48"/>
  <c r="AK355" i="48"/>
  <c r="AI355" i="48"/>
  <c r="AG355" i="48"/>
  <c r="AE355" i="48"/>
  <c r="AC355" i="48"/>
  <c r="AH355" i="48"/>
  <c r="CG347" i="48"/>
  <c r="AO347" i="48"/>
  <c r="AM347" i="48"/>
  <c r="AK347" i="48"/>
  <c r="AI347" i="48"/>
  <c r="AG347" i="48"/>
  <c r="AE347" i="48"/>
  <c r="AC347" i="48"/>
  <c r="AH347" i="48"/>
  <c r="CG339" i="48"/>
  <c r="AO339" i="48"/>
  <c r="AM339" i="48"/>
  <c r="AK339" i="48"/>
  <c r="AI339" i="48"/>
  <c r="AG339" i="48"/>
  <c r="AE339" i="48"/>
  <c r="AC339" i="48"/>
  <c r="CG331" i="48"/>
  <c r="AO331" i="48"/>
  <c r="AM331" i="48"/>
  <c r="AK331" i="48"/>
  <c r="AI331" i="48"/>
  <c r="AG331" i="48"/>
  <c r="AE331" i="48"/>
  <c r="AC331" i="48"/>
  <c r="CG323" i="48"/>
  <c r="AO323" i="48"/>
  <c r="AM323" i="48"/>
  <c r="AK323" i="48"/>
  <c r="AI323" i="48"/>
  <c r="AG323" i="48"/>
  <c r="AE323" i="48"/>
  <c r="AC323" i="48"/>
  <c r="AH323" i="48"/>
  <c r="AD323" i="48"/>
  <c r="AL323" i="48"/>
  <c r="CG315" i="48"/>
  <c r="AO315" i="48"/>
  <c r="AM315" i="48"/>
  <c r="AK315" i="48"/>
  <c r="AI315" i="48"/>
  <c r="AG315" i="48"/>
  <c r="AE315" i="48"/>
  <c r="AC315" i="48"/>
  <c r="AH315" i="48"/>
  <c r="AL315" i="48"/>
  <c r="AD315" i="48"/>
  <c r="BM455" i="48"/>
  <c r="AN453" i="48"/>
  <c r="AL453" i="48"/>
  <c r="AJ453" i="48"/>
  <c r="BM445" i="48"/>
  <c r="BM437" i="48"/>
  <c r="AQ433" i="48"/>
  <c r="AP433" i="48"/>
  <c r="AY433" i="48" s="1"/>
  <c r="BN433" i="48"/>
  <c r="AR433" i="48"/>
  <c r="AP432" i="48"/>
  <c r="AY432" i="48" s="1"/>
  <c r="AQ432" i="48"/>
  <c r="BJ429" i="48"/>
  <c r="AQ427" i="48"/>
  <c r="AP427" i="48"/>
  <c r="AY427" i="48" s="1"/>
  <c r="BN427" i="48"/>
  <c r="AR427" i="48"/>
  <c r="BJ421" i="48"/>
  <c r="AQ420" i="48"/>
  <c r="AN420" i="48"/>
  <c r="AL420" i="48"/>
  <c r="AJ420" i="48"/>
  <c r="AH420" i="48"/>
  <c r="AF420" i="48"/>
  <c r="AD420" i="48"/>
  <c r="CG420" i="48"/>
  <c r="AI420" i="48"/>
  <c r="BJ413" i="48"/>
  <c r="AQ412" i="48"/>
  <c r="AN412" i="48"/>
  <c r="AL412" i="48"/>
  <c r="AJ412" i="48"/>
  <c r="AH412" i="48"/>
  <c r="AF412" i="48"/>
  <c r="AD412" i="48"/>
  <c r="CG412" i="48"/>
  <c r="AI412" i="48"/>
  <c r="AR406" i="48"/>
  <c r="BM406" i="48"/>
  <c r="AV403" i="48"/>
  <c r="AT403" i="48"/>
  <c r="BE403" i="48"/>
  <c r="BA403" i="48"/>
  <c r="BC403" i="48"/>
  <c r="BG403" i="48"/>
  <c r="BF403" i="48"/>
  <c r="BD403" i="48"/>
  <c r="BB403" i="48"/>
  <c r="BN400" i="48"/>
  <c r="AQ397" i="48"/>
  <c r="AP397" i="48"/>
  <c r="AY397" i="48" s="1"/>
  <c r="BN397" i="48"/>
  <c r="AR397" i="48"/>
  <c r="BM397" i="48"/>
  <c r="BJ393" i="48"/>
  <c r="AR392" i="48"/>
  <c r="BM392" i="48"/>
  <c r="AJ391" i="48"/>
  <c r="BK387" i="48"/>
  <c r="AR384" i="48"/>
  <c r="BM384" i="48"/>
  <c r="BN384" i="48"/>
  <c r="AJ383" i="48"/>
  <c r="AQ381" i="48"/>
  <c r="BK379" i="48"/>
  <c r="BM377" i="48"/>
  <c r="AR376" i="48"/>
  <c r="BM376" i="48"/>
  <c r="BN376" i="48"/>
  <c r="AJ375" i="48"/>
  <c r="AQ373" i="48"/>
  <c r="AP373" i="48"/>
  <c r="AY373" i="48" s="1"/>
  <c r="AR373" i="48"/>
  <c r="BK371" i="48"/>
  <c r="AW366" i="48"/>
  <c r="AU366" i="48"/>
  <c r="BF366" i="48"/>
  <c r="BB366" i="48"/>
  <c r="AZ366" i="48"/>
  <c r="BD366" i="48"/>
  <c r="AV366" i="48"/>
  <c r="AW362" i="48"/>
  <c r="AU362" i="48"/>
  <c r="BF362" i="48"/>
  <c r="BB362" i="48"/>
  <c r="AZ362" i="48"/>
  <c r="AV362" i="48"/>
  <c r="BJ362" i="48" s="1"/>
  <c r="BD362" i="48"/>
  <c r="AW358" i="48"/>
  <c r="AU358" i="48"/>
  <c r="BF358" i="48"/>
  <c r="BB358" i="48"/>
  <c r="AZ358" i="48"/>
  <c r="BD358" i="48"/>
  <c r="AV358" i="48"/>
  <c r="BJ358" i="48" s="1"/>
  <c r="AW354" i="48"/>
  <c r="AU354" i="48"/>
  <c r="BF354" i="48"/>
  <c r="BB354" i="48"/>
  <c r="AZ354" i="48"/>
  <c r="AV354" i="48"/>
  <c r="BJ354" i="48" s="1"/>
  <c r="BD354" i="48"/>
  <c r="AW350" i="48"/>
  <c r="AU350" i="48"/>
  <c r="BF350" i="48"/>
  <c r="BB350" i="48"/>
  <c r="AZ350" i="48"/>
  <c r="BD350" i="48"/>
  <c r="AV350" i="48"/>
  <c r="BJ350" i="48" s="1"/>
  <c r="AW346" i="48"/>
  <c r="AU346" i="48"/>
  <c r="BF346" i="48"/>
  <c r="BB346" i="48"/>
  <c r="AZ346" i="48"/>
  <c r="AV346" i="48"/>
  <c r="BJ346" i="48" s="1"/>
  <c r="BD346" i="48"/>
  <c r="AW342" i="48"/>
  <c r="AU342" i="48"/>
  <c r="BF342" i="48"/>
  <c r="BB342" i="48"/>
  <c r="AZ342" i="48"/>
  <c r="BD342" i="48"/>
  <c r="AV342" i="48"/>
  <c r="BJ342" i="48" s="1"/>
  <c r="AW338" i="48"/>
  <c r="AU338" i="48"/>
  <c r="BF338" i="48"/>
  <c r="BB338" i="48"/>
  <c r="AZ338" i="48"/>
  <c r="AV338" i="48"/>
  <c r="BJ338" i="48" s="1"/>
  <c r="BD338" i="48"/>
  <c r="AW334" i="48"/>
  <c r="AU334" i="48"/>
  <c r="BF334" i="48"/>
  <c r="BB334" i="48"/>
  <c r="AZ334" i="48"/>
  <c r="BD334" i="48"/>
  <c r="AV334" i="48"/>
  <c r="BJ334" i="48" s="1"/>
  <c r="AW330" i="48"/>
  <c r="AU330" i="48"/>
  <c r="BF330" i="48"/>
  <c r="BB330" i="48"/>
  <c r="AZ330" i="48"/>
  <c r="AV330" i="48"/>
  <c r="BJ330" i="48" s="1"/>
  <c r="BD330" i="48"/>
  <c r="AW326" i="48"/>
  <c r="AU326" i="48"/>
  <c r="BF326" i="48"/>
  <c r="BB326" i="48"/>
  <c r="AZ326" i="48"/>
  <c r="BD326" i="48"/>
  <c r="AV326" i="48"/>
  <c r="BJ326" i="48" s="1"/>
  <c r="AR324" i="48"/>
  <c r="BM324" i="48"/>
  <c r="BN324" i="48"/>
  <c r="AJ323" i="48"/>
  <c r="AQ321" i="48"/>
  <c r="AR321" i="48"/>
  <c r="BK319" i="48"/>
  <c r="BM317" i="48"/>
  <c r="AR316" i="48"/>
  <c r="BM316" i="48"/>
  <c r="BN316" i="48"/>
  <c r="AJ315" i="48"/>
  <c r="CG309" i="48"/>
  <c r="AO309" i="48"/>
  <c r="AM309" i="48"/>
  <c r="AK309" i="48"/>
  <c r="AI309" i="48"/>
  <c r="AG309" i="48"/>
  <c r="AE309" i="48"/>
  <c r="AC309" i="48"/>
  <c r="AH309" i="48"/>
  <c r="AD309" i="48"/>
  <c r="AL309" i="48"/>
  <c r="CG301" i="48"/>
  <c r="AO301" i="48"/>
  <c r="AM301" i="48"/>
  <c r="AK301" i="48"/>
  <c r="AI301" i="48"/>
  <c r="AG301" i="48"/>
  <c r="AE301" i="48"/>
  <c r="AC301" i="48"/>
  <c r="AH301" i="48"/>
  <c r="AD301" i="48"/>
  <c r="AL301" i="48"/>
  <c r="CG293" i="48"/>
  <c r="AO293" i="48"/>
  <c r="AM293" i="48"/>
  <c r="AK293" i="48"/>
  <c r="AI293" i="48"/>
  <c r="AG293" i="48"/>
  <c r="AE293" i="48"/>
  <c r="AC293" i="48"/>
  <c r="AH293" i="48"/>
  <c r="AD293" i="48"/>
  <c r="AL293" i="48"/>
  <c r="CG285" i="48"/>
  <c r="AO285" i="48"/>
  <c r="AM285" i="48"/>
  <c r="AK285" i="48"/>
  <c r="AI285" i="48"/>
  <c r="AG285" i="48"/>
  <c r="AE285" i="48"/>
  <c r="AC285" i="48"/>
  <c r="AH285" i="48"/>
  <c r="AD285" i="48"/>
  <c r="AL285" i="48"/>
  <c r="CG277" i="48"/>
  <c r="AO277" i="48"/>
  <c r="AM277" i="48"/>
  <c r="AK277" i="48"/>
  <c r="AI277" i="48"/>
  <c r="AG277" i="48"/>
  <c r="AE277" i="48"/>
  <c r="AC277" i="48"/>
  <c r="AH277" i="48"/>
  <c r="AD277" i="48"/>
  <c r="AL277" i="48"/>
  <c r="CG269" i="48"/>
  <c r="AO269" i="48"/>
  <c r="AM269" i="48"/>
  <c r="AK269" i="48"/>
  <c r="AI269" i="48"/>
  <c r="AG269" i="48"/>
  <c r="AE269" i="48"/>
  <c r="AC269" i="48"/>
  <c r="AH269" i="48"/>
  <c r="AD269" i="48"/>
  <c r="AL269" i="48"/>
  <c r="CG263" i="48"/>
  <c r="AO263" i="48"/>
  <c r="AM263" i="48"/>
  <c r="AK263" i="48"/>
  <c r="AI263" i="48"/>
  <c r="AG263" i="48"/>
  <c r="AE263" i="48"/>
  <c r="AC263" i="48"/>
  <c r="AH263" i="48"/>
  <c r="AD263" i="48"/>
  <c r="AL263" i="48"/>
  <c r="CG254" i="48"/>
  <c r="AO254" i="48"/>
  <c r="AM254" i="48"/>
  <c r="AK254" i="48"/>
  <c r="AI254" i="48"/>
  <c r="AG254" i="48"/>
  <c r="AE254" i="48"/>
  <c r="AC254" i="48"/>
  <c r="AH254" i="48"/>
  <c r="AD254" i="48"/>
  <c r="AL254" i="48"/>
  <c r="CG246" i="48"/>
  <c r="AO246" i="48"/>
  <c r="AM246" i="48"/>
  <c r="AK246" i="48"/>
  <c r="AI246" i="48"/>
  <c r="AG246" i="48"/>
  <c r="AE246" i="48"/>
  <c r="AC246" i="48"/>
  <c r="AH246" i="48"/>
  <c r="AD246" i="48"/>
  <c r="AL246" i="48"/>
  <c r="CG238" i="48"/>
  <c r="AO238" i="48"/>
  <c r="AM238" i="48"/>
  <c r="AK238" i="48"/>
  <c r="AI238" i="48"/>
  <c r="AG238" i="48"/>
  <c r="AE238" i="48"/>
  <c r="AC238" i="48"/>
  <c r="AH238" i="48"/>
  <c r="AD238" i="48"/>
  <c r="AL238" i="48"/>
  <c r="CG232" i="48"/>
  <c r="AO232" i="48"/>
  <c r="AM232" i="48"/>
  <c r="AK232" i="48"/>
  <c r="AI232" i="48"/>
  <c r="AG232" i="48"/>
  <c r="AE232" i="48"/>
  <c r="AC232" i="48"/>
  <c r="AH232" i="48"/>
  <c r="AD232" i="48"/>
  <c r="AL232" i="48"/>
  <c r="CG224" i="48"/>
  <c r="AO224" i="48"/>
  <c r="AM224" i="48"/>
  <c r="AK224" i="48"/>
  <c r="AI224" i="48"/>
  <c r="AG224" i="48"/>
  <c r="AE224" i="48"/>
  <c r="AC224" i="48"/>
  <c r="AH224" i="48"/>
  <c r="AD224" i="48"/>
  <c r="AL224" i="48"/>
  <c r="CG216" i="48"/>
  <c r="AO216" i="48"/>
  <c r="AM216" i="48"/>
  <c r="AK216" i="48"/>
  <c r="AI216" i="48"/>
  <c r="AG216" i="48"/>
  <c r="AE216" i="48"/>
  <c r="AC216" i="48"/>
  <c r="AH216" i="48"/>
  <c r="AD216" i="48"/>
  <c r="AL216" i="48"/>
  <c r="CG206" i="48"/>
  <c r="AO206" i="48"/>
  <c r="AM206" i="48"/>
  <c r="AK206" i="48"/>
  <c r="AI206" i="48"/>
  <c r="AG206" i="48"/>
  <c r="AE206" i="48"/>
  <c r="AC206" i="48"/>
  <c r="AH206" i="48"/>
  <c r="AD206" i="48"/>
  <c r="AL206" i="48"/>
  <c r="CG198" i="48"/>
  <c r="AO198" i="48"/>
  <c r="AM198" i="48"/>
  <c r="AK198" i="48"/>
  <c r="AI198" i="48"/>
  <c r="AG198" i="48"/>
  <c r="AE198" i="48"/>
  <c r="AC198" i="48"/>
  <c r="AH198" i="48"/>
  <c r="AD198" i="48"/>
  <c r="AL198" i="48"/>
  <c r="CG190" i="48"/>
  <c r="AO190" i="48"/>
  <c r="AM190" i="48"/>
  <c r="AK190" i="48"/>
  <c r="AI190" i="48"/>
  <c r="AG190" i="48"/>
  <c r="AE190" i="48"/>
  <c r="AC190" i="48"/>
  <c r="AH190" i="48"/>
  <c r="AD190" i="48"/>
  <c r="AL190" i="48"/>
  <c r="BM471" i="48"/>
  <c r="AN469" i="48"/>
  <c r="AL469" i="48"/>
  <c r="AJ469" i="48"/>
  <c r="AH469" i="48"/>
  <c r="AF469" i="48"/>
  <c r="BN459" i="48"/>
  <c r="BN448" i="48"/>
  <c r="BN440" i="48"/>
  <c r="BJ433" i="48"/>
  <c r="AR432" i="48"/>
  <c r="BM432" i="48"/>
  <c r="AW424" i="48"/>
  <c r="AU424" i="48"/>
  <c r="BF424" i="48"/>
  <c r="BB424" i="48"/>
  <c r="BD424" i="48"/>
  <c r="AZ424" i="48"/>
  <c r="BJ417" i="48"/>
  <c r="AN416" i="48"/>
  <c r="AL416" i="48"/>
  <c r="AJ416" i="48"/>
  <c r="AH416" i="48"/>
  <c r="AF416" i="48"/>
  <c r="AD416" i="48"/>
  <c r="CG416" i="48"/>
  <c r="AI416" i="48"/>
  <c r="AW408" i="48"/>
  <c r="AU408" i="48"/>
  <c r="BF408" i="48"/>
  <c r="BB408" i="48"/>
  <c r="BD408" i="48"/>
  <c r="AZ408" i="48"/>
  <c r="BM401" i="48"/>
  <c r="AN399" i="48"/>
  <c r="AL399" i="48"/>
  <c r="AJ399" i="48"/>
  <c r="BM393" i="48"/>
  <c r="BJ387" i="48"/>
  <c r="AQ386" i="48"/>
  <c r="AN386" i="48"/>
  <c r="AL386" i="48"/>
  <c r="AJ386" i="48"/>
  <c r="AH386" i="48"/>
  <c r="AF386" i="48"/>
  <c r="AD386" i="48"/>
  <c r="CG386" i="48"/>
  <c r="AI386" i="48"/>
  <c r="BJ379" i="48"/>
  <c r="AN378" i="48"/>
  <c r="AL378" i="48"/>
  <c r="AJ378" i="48"/>
  <c r="AH378" i="48"/>
  <c r="AF378" i="48"/>
  <c r="AD378" i="48"/>
  <c r="CG378" i="48"/>
  <c r="AI378" i="48"/>
  <c r="BJ371" i="48"/>
  <c r="AN370" i="48"/>
  <c r="AL370" i="48"/>
  <c r="AJ370" i="48"/>
  <c r="AH370" i="48"/>
  <c r="AF370" i="48"/>
  <c r="AD370" i="48"/>
  <c r="CG370" i="48"/>
  <c r="AI370" i="48"/>
  <c r="AP368" i="48"/>
  <c r="AY368" i="48" s="1"/>
  <c r="AQ368" i="48"/>
  <c r="BJ367" i="48"/>
  <c r="BJ365" i="48"/>
  <c r="BN364" i="48"/>
  <c r="AQ361" i="48"/>
  <c r="AP361" i="48"/>
  <c r="AY361" i="48" s="1"/>
  <c r="BN361" i="48"/>
  <c r="AR361" i="48"/>
  <c r="AP360" i="48"/>
  <c r="AY360" i="48" s="1"/>
  <c r="AQ360" i="48"/>
  <c r="AN359" i="48"/>
  <c r="AL359" i="48"/>
  <c r="BJ357" i="48"/>
  <c r="BN356" i="48"/>
  <c r="AQ353" i="48"/>
  <c r="AP353" i="48"/>
  <c r="AY353" i="48" s="1"/>
  <c r="BN353" i="48"/>
  <c r="AR353" i="48"/>
  <c r="AP352" i="48"/>
  <c r="AY352" i="48" s="1"/>
  <c r="AQ352" i="48"/>
  <c r="AN351" i="48"/>
  <c r="AL351" i="48"/>
  <c r="BJ349" i="48"/>
  <c r="BN348" i="48"/>
  <c r="AQ345" i="48"/>
  <c r="AP345" i="48"/>
  <c r="AY345" i="48" s="1"/>
  <c r="BN345" i="48"/>
  <c r="AR345" i="48"/>
  <c r="AP344" i="48"/>
  <c r="AY344" i="48" s="1"/>
  <c r="AQ344" i="48"/>
  <c r="AN343" i="48"/>
  <c r="AL343" i="48"/>
  <c r="BJ341" i="48"/>
  <c r="AV335" i="48"/>
  <c r="AT335" i="48"/>
  <c r="BE335" i="48"/>
  <c r="BA335" i="48"/>
  <c r="BC335" i="48"/>
  <c r="BG335" i="48"/>
  <c r="BF335" i="48"/>
  <c r="BD335" i="48"/>
  <c r="BB335" i="48"/>
  <c r="AF335" i="48"/>
  <c r="BN332" i="48"/>
  <c r="AQ329" i="48"/>
  <c r="AP329" i="48"/>
  <c r="AY329" i="48" s="1"/>
  <c r="BN329" i="48"/>
  <c r="AR329" i="48"/>
  <c r="BM329" i="48"/>
  <c r="AN327" i="48"/>
  <c r="AL327" i="48"/>
  <c r="BJ325" i="48"/>
  <c r="BJ323" i="48"/>
  <c r="AQ322" i="48"/>
  <c r="AN322" i="48"/>
  <c r="AL322" i="48"/>
  <c r="AJ322" i="48"/>
  <c r="AH322" i="48"/>
  <c r="AF322" i="48"/>
  <c r="AD322" i="48"/>
  <c r="CG322" i="48"/>
  <c r="AI322" i="48"/>
  <c r="AW318" i="48"/>
  <c r="AU318" i="48"/>
  <c r="BF318" i="48"/>
  <c r="BB318" i="48"/>
  <c r="BD318" i="48"/>
  <c r="AZ318" i="48"/>
  <c r="AR314" i="48"/>
  <c r="BM314" i="48"/>
  <c r="BN314" i="48"/>
  <c r="AQ311" i="48"/>
  <c r="AR311" i="48"/>
  <c r="AN309" i="48"/>
  <c r="BK309" i="48"/>
  <c r="AF309" i="48"/>
  <c r="BM307" i="48"/>
  <c r="AQ303" i="48"/>
  <c r="AR303" i="48"/>
  <c r="AN301" i="48"/>
  <c r="AF301" i="48"/>
  <c r="AR298" i="48"/>
  <c r="BM298" i="48"/>
  <c r="BN298" i="48"/>
  <c r="AQ295" i="48"/>
  <c r="AR295" i="48"/>
  <c r="AN293" i="48"/>
  <c r="BK293" i="48"/>
  <c r="AF293" i="48"/>
  <c r="BM291" i="48"/>
  <c r="AQ287" i="48"/>
  <c r="AN285" i="48"/>
  <c r="BK285" i="48"/>
  <c r="AF285" i="48"/>
  <c r="BM283" i="48"/>
  <c r="AR282" i="48"/>
  <c r="BM282" i="48"/>
  <c r="BN282" i="48"/>
  <c r="AQ279" i="48"/>
  <c r="AR279" i="48"/>
  <c r="AN277" i="48"/>
  <c r="BK277" i="48"/>
  <c r="AF277" i="48"/>
  <c r="BM275" i="48"/>
  <c r="AQ271" i="48"/>
  <c r="AP271" i="48"/>
  <c r="AY271" i="48" s="1"/>
  <c r="AR271" i="48"/>
  <c r="AN269" i="48"/>
  <c r="AF269" i="48"/>
  <c r="AR266" i="48"/>
  <c r="BM266" i="48"/>
  <c r="BN266" i="48"/>
  <c r="AJ263" i="48"/>
  <c r="AQ261" i="48"/>
  <c r="AP261" i="48"/>
  <c r="AY261" i="48" s="1"/>
  <c r="AR261" i="48"/>
  <c r="AN258" i="48"/>
  <c r="BK258" i="48"/>
  <c r="BM256" i="48"/>
  <c r="AR255" i="48"/>
  <c r="BM255" i="48"/>
  <c r="BN255" i="48"/>
  <c r="AJ254" i="48"/>
  <c r="AQ252" i="48"/>
  <c r="AP252" i="48"/>
  <c r="AY252" i="48" s="1"/>
  <c r="AR252" i="48"/>
  <c r="AN250" i="48"/>
  <c r="BK250" i="48"/>
  <c r="AR247" i="48"/>
  <c r="BM247" i="48"/>
  <c r="BN247" i="48"/>
  <c r="AJ246" i="48"/>
  <c r="AQ244" i="48"/>
  <c r="AP244" i="48"/>
  <c r="AY244" i="48" s="1"/>
  <c r="BN244" i="48"/>
  <c r="AR244" i="48"/>
  <c r="AN242" i="48"/>
  <c r="BK242" i="48"/>
  <c r="BM239" i="48"/>
  <c r="AJ238" i="48"/>
  <c r="BJ415" i="48"/>
  <c r="BJ407" i="48"/>
  <c r="BJ391" i="48"/>
  <c r="BG390" i="48"/>
  <c r="BE390" i="48"/>
  <c r="AN390" i="48"/>
  <c r="AL390" i="48"/>
  <c r="AJ390" i="48"/>
  <c r="AH390" i="48"/>
  <c r="AF390" i="48"/>
  <c r="AD390" i="48"/>
  <c r="CG390" i="48"/>
  <c r="AI390" i="48"/>
  <c r="AO382" i="48"/>
  <c r="AM382" i="48"/>
  <c r="BJ382" i="48"/>
  <c r="AW382" i="48"/>
  <c r="AU382" i="48"/>
  <c r="BF382" i="48"/>
  <c r="BB382" i="48"/>
  <c r="BD382" i="48"/>
  <c r="AZ382" i="48"/>
  <c r="BJ375" i="48"/>
  <c r="BG374" i="48"/>
  <c r="BE374" i="48"/>
  <c r="AN374" i="48"/>
  <c r="AL374" i="48"/>
  <c r="AJ374" i="48"/>
  <c r="AH374" i="48"/>
  <c r="AF374" i="48"/>
  <c r="AD374" i="48"/>
  <c r="CG374" i="48"/>
  <c r="AI374" i="48"/>
  <c r="BO368" i="48"/>
  <c r="AQ367" i="48"/>
  <c r="AP367" i="48"/>
  <c r="AY367" i="48" s="1"/>
  <c r="BN367" i="48"/>
  <c r="BM367" i="48"/>
  <c r="BO365" i="48"/>
  <c r="AV363" i="48"/>
  <c r="AT363" i="48"/>
  <c r="BE363" i="48"/>
  <c r="BA363" i="48"/>
  <c r="BC363" i="48"/>
  <c r="BG363" i="48"/>
  <c r="BF363" i="48"/>
  <c r="BD363" i="48"/>
  <c r="BB363" i="48"/>
  <c r="AF363" i="48"/>
  <c r="AD363" i="48"/>
  <c r="BO360" i="48"/>
  <c r="AQ357" i="48"/>
  <c r="BN357" i="48"/>
  <c r="BM357" i="48"/>
  <c r="AN355" i="48"/>
  <c r="AL355" i="48"/>
  <c r="AJ355" i="48"/>
  <c r="AZ355" i="48"/>
  <c r="AW355" i="48"/>
  <c r="BJ353" i="48"/>
  <c r="AR352" i="48"/>
  <c r="BM352" i="48"/>
  <c r="BO349" i="48"/>
  <c r="AV347" i="48"/>
  <c r="AT347" i="48"/>
  <c r="BE347" i="48"/>
  <c r="BA347" i="48"/>
  <c r="BC347" i="48"/>
  <c r="BG347" i="48"/>
  <c r="BF347" i="48"/>
  <c r="BD347" i="48"/>
  <c r="BB347" i="48"/>
  <c r="AF347" i="48"/>
  <c r="AD347" i="48"/>
  <c r="BO344" i="48"/>
  <c r="BJ373" i="48"/>
  <c r="BJ329" i="48"/>
  <c r="BJ315" i="48"/>
  <c r="BJ309" i="48"/>
  <c r="BG308" i="48"/>
  <c r="BE308" i="48"/>
  <c r="AQ308" i="48"/>
  <c r="AN308" i="48"/>
  <c r="AL308" i="48"/>
  <c r="AJ308" i="48"/>
  <c r="AH308" i="48"/>
  <c r="AF308" i="48"/>
  <c r="AD308" i="48"/>
  <c r="CG308" i="48"/>
  <c r="AI308" i="48"/>
  <c r="AO300" i="48"/>
  <c r="AM300" i="48"/>
  <c r="BJ300" i="48"/>
  <c r="AW300" i="48"/>
  <c r="AU300" i="48"/>
  <c r="BF300" i="48"/>
  <c r="BB300" i="48"/>
  <c r="BD300" i="48"/>
  <c r="AZ300" i="48"/>
  <c r="BG292" i="48"/>
  <c r="BE292" i="48"/>
  <c r="AN292" i="48"/>
  <c r="AL292" i="48"/>
  <c r="AJ292" i="48"/>
  <c r="AH292" i="48"/>
  <c r="AF292" i="48"/>
  <c r="AD292" i="48"/>
  <c r="CG292" i="48"/>
  <c r="AI292" i="48"/>
  <c r="AO284" i="48"/>
  <c r="AM284" i="48"/>
  <c r="AW284" i="48"/>
  <c r="AU284" i="48"/>
  <c r="BF284" i="48"/>
  <c r="BB284" i="48"/>
  <c r="BD284" i="48"/>
  <c r="AZ284" i="48"/>
  <c r="BJ277" i="48"/>
  <c r="BG276" i="48"/>
  <c r="BE276" i="48"/>
  <c r="AN276" i="48"/>
  <c r="AL276" i="48"/>
  <c r="AJ276" i="48"/>
  <c r="AH276" i="48"/>
  <c r="AF276" i="48"/>
  <c r="AD276" i="48"/>
  <c r="CG276" i="48"/>
  <c r="AI276" i="48"/>
  <c r="AO268" i="48"/>
  <c r="AM268" i="48"/>
  <c r="AW268" i="48"/>
  <c r="AU268" i="48"/>
  <c r="BF268" i="48"/>
  <c r="BB268" i="48"/>
  <c r="BD268" i="48"/>
  <c r="AZ268" i="48"/>
  <c r="BJ263" i="48"/>
  <c r="BG262" i="48"/>
  <c r="BE262" i="48"/>
  <c r="AQ262" i="48"/>
  <c r="AN262" i="48"/>
  <c r="AL262" i="48"/>
  <c r="AJ262" i="48"/>
  <c r="AH262" i="48"/>
  <c r="AF262" i="48"/>
  <c r="AD262" i="48"/>
  <c r="CG262" i="48"/>
  <c r="AI262" i="48"/>
  <c r="BJ254" i="48"/>
  <c r="BG253" i="48"/>
  <c r="BE253" i="48"/>
  <c r="AN253" i="48"/>
  <c r="AL253" i="48"/>
  <c r="AJ253" i="48"/>
  <c r="AH253" i="48"/>
  <c r="AF253" i="48"/>
  <c r="AD253" i="48"/>
  <c r="CG253" i="48"/>
  <c r="AI253" i="48"/>
  <c r="AO245" i="48"/>
  <c r="AM245" i="48"/>
  <c r="BJ245" i="48"/>
  <c r="AW245" i="48"/>
  <c r="AU245" i="48"/>
  <c r="BF245" i="48"/>
  <c r="BB245" i="48"/>
  <c r="BD245" i="48"/>
  <c r="AZ245" i="48"/>
  <c r="AJ232" i="48"/>
  <c r="AQ230" i="48"/>
  <c r="AP230" i="48"/>
  <c r="AY230" i="48" s="1"/>
  <c r="AN228" i="48"/>
  <c r="BK228" i="48"/>
  <c r="AR225" i="48"/>
  <c r="BM225" i="48"/>
  <c r="BN225" i="48"/>
  <c r="AJ224" i="48"/>
  <c r="AQ222" i="48"/>
  <c r="AR222" i="48"/>
  <c r="BO221" i="48"/>
  <c r="AN220" i="48"/>
  <c r="BK220" i="48"/>
  <c r="BO218" i="48"/>
  <c r="BM218" i="48"/>
  <c r="AJ216" i="48"/>
  <c r="AP336" i="48"/>
  <c r="AY336" i="48" s="1"/>
  <c r="AQ336" i="48"/>
  <c r="AR336" i="48"/>
  <c r="BM336" i="48"/>
  <c r="AP328" i="48"/>
  <c r="AY328" i="48" s="1"/>
  <c r="AQ328" i="48"/>
  <c r="AR328" i="48"/>
  <c r="BM328" i="48"/>
  <c r="AO312" i="48"/>
  <c r="AM312" i="48"/>
  <c r="BJ312" i="48"/>
  <c r="AW312" i="48"/>
  <c r="AU312" i="48"/>
  <c r="BF312" i="48"/>
  <c r="BB312" i="48"/>
  <c r="BD312" i="48"/>
  <c r="AZ312" i="48"/>
  <c r="BJ303" i="48"/>
  <c r="AO296" i="48"/>
  <c r="AM296" i="48"/>
  <c r="AW296" i="48"/>
  <c r="AU296" i="48"/>
  <c r="BF296" i="48"/>
  <c r="BB296" i="48"/>
  <c r="BD296" i="48"/>
  <c r="AZ296" i="48"/>
  <c r="BJ287" i="48"/>
  <c r="AO280" i="48"/>
  <c r="AM280" i="48"/>
  <c r="AW280" i="48"/>
  <c r="AU280" i="48"/>
  <c r="BF280" i="48"/>
  <c r="BB280" i="48"/>
  <c r="BD280" i="48"/>
  <c r="AZ280" i="48"/>
  <c r="BJ271" i="48"/>
  <c r="AO264" i="48"/>
  <c r="AM264" i="48"/>
  <c r="BJ264" i="48"/>
  <c r="AW264" i="48"/>
  <c r="AU264" i="48"/>
  <c r="BF264" i="48"/>
  <c r="BB264" i="48"/>
  <c r="BD264" i="48"/>
  <c r="AZ264" i="48"/>
  <c r="AO257" i="48"/>
  <c r="AM257" i="48"/>
  <c r="AW257" i="48"/>
  <c r="AU257" i="48"/>
  <c r="BF257" i="48"/>
  <c r="BB257" i="48"/>
  <c r="BD257" i="48"/>
  <c r="AZ257" i="48"/>
  <c r="AO241" i="48"/>
  <c r="AM241" i="48"/>
  <c r="BJ241" i="48"/>
  <c r="AW241" i="48"/>
  <c r="AU241" i="48"/>
  <c r="BF241" i="48"/>
  <c r="BB241" i="48"/>
  <c r="BD241" i="48"/>
  <c r="AZ241" i="48"/>
  <c r="BJ232" i="48"/>
  <c r="BG231" i="48"/>
  <c r="BE231" i="48"/>
  <c r="AQ231" i="48"/>
  <c r="AN231" i="48"/>
  <c r="AL231" i="48"/>
  <c r="AJ231" i="48"/>
  <c r="AH231" i="48"/>
  <c r="AF231" i="48"/>
  <c r="AD231" i="48"/>
  <c r="CG231" i="48"/>
  <c r="AI231" i="48"/>
  <c r="AO223" i="48"/>
  <c r="AM223" i="48"/>
  <c r="BJ223" i="48"/>
  <c r="AW223" i="48"/>
  <c r="AU223" i="48"/>
  <c r="BF223" i="48"/>
  <c r="BB223" i="48"/>
  <c r="BD223" i="48"/>
  <c r="AZ223" i="48"/>
  <c r="BJ216" i="48"/>
  <c r="AW215" i="48"/>
  <c r="AU215" i="48"/>
  <c r="BF215" i="48"/>
  <c r="BB215" i="48"/>
  <c r="BD215" i="48"/>
  <c r="AV215" i="48"/>
  <c r="BJ215" i="48" s="1"/>
  <c r="AZ215" i="48"/>
  <c r="AQ214" i="48"/>
  <c r="BN214" i="48"/>
  <c r="AN212" i="48"/>
  <c r="BK212" i="48"/>
  <c r="BO210" i="48"/>
  <c r="BM210" i="48"/>
  <c r="AQ208" i="48"/>
  <c r="AP208" i="48"/>
  <c r="AY208" i="48" s="1"/>
  <c r="BN208" i="48"/>
  <c r="AR208" i="48"/>
  <c r="BO207" i="48"/>
  <c r="AN206" i="48"/>
  <c r="AF206" i="48"/>
  <c r="AQ200" i="48"/>
  <c r="AP200" i="48"/>
  <c r="AY200" i="48" s="1"/>
  <c r="BN200" i="48"/>
  <c r="AR200" i="48"/>
  <c r="AN198" i="48"/>
  <c r="AF198" i="48"/>
  <c r="BO196" i="48"/>
  <c r="BM196" i="48"/>
  <c r="AR195" i="48"/>
  <c r="BM195" i="48"/>
  <c r="BN195" i="48"/>
  <c r="BO191" i="48"/>
  <c r="AN190" i="48"/>
  <c r="AF190" i="48"/>
  <c r="AR187" i="48"/>
  <c r="BM187" i="48"/>
  <c r="BN187" i="48"/>
  <c r="BO183" i="48"/>
  <c r="BK182" i="48"/>
  <c r="CG180" i="48"/>
  <c r="AO180" i="48"/>
  <c r="AM180" i="48"/>
  <c r="AK180" i="48"/>
  <c r="AI180" i="48"/>
  <c r="AG180" i="48"/>
  <c r="AE180" i="48"/>
  <c r="AC180" i="48"/>
  <c r="AH180" i="48"/>
  <c r="BK174" i="48"/>
  <c r="CG172" i="48"/>
  <c r="AO172" i="48"/>
  <c r="AM172" i="48"/>
  <c r="AK172" i="48"/>
  <c r="AI172" i="48"/>
  <c r="AG172" i="48"/>
  <c r="AE172" i="48"/>
  <c r="AC172" i="48"/>
  <c r="AH172" i="48"/>
  <c r="BK166" i="48"/>
  <c r="CG164" i="48"/>
  <c r="AO164" i="48"/>
  <c r="AM164" i="48"/>
  <c r="AK164" i="48"/>
  <c r="BN164" i="48" s="1"/>
  <c r="AI164" i="48"/>
  <c r="AG164" i="48"/>
  <c r="AE164" i="48"/>
  <c r="AC164" i="48"/>
  <c r="AH164" i="48"/>
  <c r="BM333" i="48"/>
  <c r="AN331" i="48"/>
  <c r="AL331" i="48"/>
  <c r="AJ331" i="48"/>
  <c r="AH331" i="48"/>
  <c r="AF331" i="48"/>
  <c r="AD331" i="48"/>
  <c r="BG249" i="48"/>
  <c r="BE249" i="48"/>
  <c r="AN249" i="48"/>
  <c r="AL249" i="48"/>
  <c r="BN249" i="48" s="1"/>
  <c r="AJ249" i="48"/>
  <c r="AH249" i="48"/>
  <c r="AF249" i="48"/>
  <c r="AD249" i="48"/>
  <c r="CG249" i="48"/>
  <c r="AI249" i="48"/>
  <c r="AO235" i="48"/>
  <c r="AM235" i="48"/>
  <c r="BJ235" i="48"/>
  <c r="AW235" i="48"/>
  <c r="AU235" i="48"/>
  <c r="BF235" i="48"/>
  <c r="BB235" i="48"/>
  <c r="BD235" i="48"/>
  <c r="AZ235" i="48"/>
  <c r="BJ226" i="48"/>
  <c r="AO219" i="48"/>
  <c r="AM219" i="48"/>
  <c r="BJ219" i="48"/>
  <c r="AW219" i="48"/>
  <c r="AU219" i="48"/>
  <c r="BF219" i="48"/>
  <c r="BB219" i="48"/>
  <c r="BD219" i="48"/>
  <c r="AZ219" i="48"/>
  <c r="BJ212" i="48"/>
  <c r="BJ206" i="48"/>
  <c r="BG205" i="48"/>
  <c r="BE205" i="48"/>
  <c r="AN205" i="48"/>
  <c r="AL205" i="48"/>
  <c r="AJ205" i="48"/>
  <c r="AH205" i="48"/>
  <c r="AF205" i="48"/>
  <c r="AD205" i="48"/>
  <c r="CG205" i="48"/>
  <c r="AI205" i="48"/>
  <c r="AO197" i="48"/>
  <c r="AM197" i="48"/>
  <c r="BJ197" i="48"/>
  <c r="AW197" i="48"/>
  <c r="AU197" i="48"/>
  <c r="BF197" i="48"/>
  <c r="BB197" i="48"/>
  <c r="BD197" i="48"/>
  <c r="AZ197" i="48"/>
  <c r="BJ190" i="48"/>
  <c r="BG189" i="48"/>
  <c r="BE189" i="48"/>
  <c r="AN189" i="48"/>
  <c r="AL189" i="48"/>
  <c r="AJ189" i="48"/>
  <c r="AH189" i="48"/>
  <c r="AF189" i="48"/>
  <c r="AD189" i="48"/>
  <c r="CG189" i="48"/>
  <c r="AI189" i="48"/>
  <c r="BE179" i="48"/>
  <c r="AN179" i="48"/>
  <c r="AL179" i="48"/>
  <c r="AJ179" i="48"/>
  <c r="AH179" i="48"/>
  <c r="AF179" i="48"/>
  <c r="AD179" i="48"/>
  <c r="AI179" i="48"/>
  <c r="CG179" i="48"/>
  <c r="AE179" i="48"/>
  <c r="AM179" i="48"/>
  <c r="BE175" i="48"/>
  <c r="AN175" i="48"/>
  <c r="AL175" i="48"/>
  <c r="AJ175" i="48"/>
  <c r="AH175" i="48"/>
  <c r="AF175" i="48"/>
  <c r="AD175" i="48"/>
  <c r="AI175" i="48"/>
  <c r="AM175" i="48"/>
  <c r="CG175" i="48"/>
  <c r="AE175" i="48"/>
  <c r="AQ175" i="48" s="1"/>
  <c r="BE171" i="48"/>
  <c r="AN171" i="48"/>
  <c r="AL171" i="48"/>
  <c r="AJ171" i="48"/>
  <c r="AH171" i="48"/>
  <c r="AF171" i="48"/>
  <c r="AD171" i="48"/>
  <c r="AI171" i="48"/>
  <c r="CG171" i="48"/>
  <c r="AE171" i="48"/>
  <c r="AM171" i="48"/>
  <c r="BE167" i="48"/>
  <c r="AN167" i="48"/>
  <c r="AL167" i="48"/>
  <c r="AJ167" i="48"/>
  <c r="AH167" i="48"/>
  <c r="AF167" i="48"/>
  <c r="AD167" i="48"/>
  <c r="AI167" i="48"/>
  <c r="AM167" i="48"/>
  <c r="CG167" i="48"/>
  <c r="AE167" i="48"/>
  <c r="AQ167" i="48" s="1"/>
  <c r="BE163" i="48"/>
  <c r="AN163" i="48"/>
  <c r="AL163" i="48"/>
  <c r="AJ163" i="48"/>
  <c r="AH163" i="48"/>
  <c r="AF163" i="48"/>
  <c r="AD163" i="48"/>
  <c r="AI163" i="48"/>
  <c r="CG163" i="48"/>
  <c r="AE163" i="48"/>
  <c r="AM163" i="48"/>
  <c r="BE159" i="48"/>
  <c r="AN159" i="48"/>
  <c r="AL159" i="48"/>
  <c r="AJ159" i="48"/>
  <c r="AH159" i="48"/>
  <c r="AF159" i="48"/>
  <c r="AD159" i="48"/>
  <c r="AI159" i="48"/>
  <c r="AM159" i="48"/>
  <c r="CG159" i="48"/>
  <c r="AE159" i="48"/>
  <c r="AQ159" i="48" s="1"/>
  <c r="CG156" i="48"/>
  <c r="AO156" i="48"/>
  <c r="AM156" i="48"/>
  <c r="AK156" i="48"/>
  <c r="AI156" i="48"/>
  <c r="AG156" i="48"/>
  <c r="AE156" i="48"/>
  <c r="AC156" i="48"/>
  <c r="AH156" i="48"/>
  <c r="CG148" i="48"/>
  <c r="AO148" i="48"/>
  <c r="AM148" i="48"/>
  <c r="AK148" i="48"/>
  <c r="BN148" i="48" s="1"/>
  <c r="AG148" i="48"/>
  <c r="AC148" i="48"/>
  <c r="AI148" i="48"/>
  <c r="AE148" i="48"/>
  <c r="BJ381" i="48"/>
  <c r="BO341" i="48"/>
  <c r="AN339" i="48"/>
  <c r="AL339" i="48"/>
  <c r="AJ339" i="48"/>
  <c r="AH339" i="48"/>
  <c r="AF339" i="48"/>
  <c r="AD339" i="48"/>
  <c r="AQ304" i="48"/>
  <c r="AN304" i="48"/>
  <c r="AL304" i="48"/>
  <c r="AJ304" i="48"/>
  <c r="AH304" i="48"/>
  <c r="AF304" i="48"/>
  <c r="AD304" i="48"/>
  <c r="CG304" i="48"/>
  <c r="BJ299" i="48"/>
  <c r="BJ288" i="48"/>
  <c r="AW288" i="48"/>
  <c r="AU288" i="48"/>
  <c r="BF288" i="48"/>
  <c r="BB288" i="48"/>
  <c r="BD288" i="48"/>
  <c r="AZ288" i="48"/>
  <c r="AQ272" i="48"/>
  <c r="AN272" i="48"/>
  <c r="AL272" i="48"/>
  <c r="AJ272" i="48"/>
  <c r="AH272" i="48"/>
  <c r="AF272" i="48"/>
  <c r="AD272" i="48"/>
  <c r="CG272" i="48"/>
  <c r="BJ267" i="48"/>
  <c r="BJ256" i="48"/>
  <c r="AO227" i="48"/>
  <c r="AM227" i="48"/>
  <c r="BJ227" i="48"/>
  <c r="AW227" i="48"/>
  <c r="AU227" i="48"/>
  <c r="BF227" i="48"/>
  <c r="BB227" i="48"/>
  <c r="BD227" i="48"/>
  <c r="AZ227" i="48"/>
  <c r="BJ214" i="48"/>
  <c r="BG211" i="48"/>
  <c r="BE211" i="48"/>
  <c r="AQ211" i="48"/>
  <c r="AN211" i="48"/>
  <c r="AL211" i="48"/>
  <c r="AJ211" i="48"/>
  <c r="AH211" i="48"/>
  <c r="AF211" i="48"/>
  <c r="AD211" i="48"/>
  <c r="CG211" i="48"/>
  <c r="AI211" i="48"/>
  <c r="BJ194" i="48"/>
  <c r="BG193" i="48"/>
  <c r="BE193" i="48"/>
  <c r="AQ193" i="48"/>
  <c r="AN193" i="48"/>
  <c r="AL193" i="48"/>
  <c r="AJ193" i="48"/>
  <c r="AH193" i="48"/>
  <c r="AF193" i="48"/>
  <c r="AD193" i="48"/>
  <c r="CG193" i="48"/>
  <c r="AI193" i="48"/>
  <c r="AQ178" i="48"/>
  <c r="AP178" i="48"/>
  <c r="AY178" i="48" s="1"/>
  <c r="BN178" i="48"/>
  <c r="AR178" i="48"/>
  <c r="BM178" i="48"/>
  <c r="AN176" i="48"/>
  <c r="AL176" i="48"/>
  <c r="AZ176" i="48"/>
  <c r="AW176" i="48"/>
  <c r="BJ174" i="48"/>
  <c r="BO170" i="48"/>
  <c r="AV168" i="48"/>
  <c r="AT168" i="48"/>
  <c r="BE168" i="48"/>
  <c r="BA168" i="48"/>
  <c r="BC168" i="48"/>
  <c r="BG168" i="48"/>
  <c r="BF168" i="48"/>
  <c r="BD168" i="48"/>
  <c r="BB168" i="48"/>
  <c r="AF168" i="48"/>
  <c r="BO165" i="48"/>
  <c r="AQ162" i="48"/>
  <c r="AP162" i="48"/>
  <c r="AY162" i="48" s="1"/>
  <c r="BN162" i="48"/>
  <c r="AR162" i="48"/>
  <c r="BM162" i="48"/>
  <c r="AN160" i="48"/>
  <c r="AL160" i="48"/>
  <c r="AZ160" i="48"/>
  <c r="AW160" i="48"/>
  <c r="BJ158" i="48"/>
  <c r="AW155" i="48"/>
  <c r="AU155" i="48"/>
  <c r="BF155" i="48"/>
  <c r="BB155" i="48"/>
  <c r="AZ155" i="48"/>
  <c r="BD155" i="48"/>
  <c r="AV155" i="48"/>
  <c r="BJ155" i="48" s="1"/>
  <c r="AW151" i="48"/>
  <c r="AU151" i="48"/>
  <c r="BF151" i="48"/>
  <c r="BB151" i="48"/>
  <c r="AZ151" i="48"/>
  <c r="AV151" i="48"/>
  <c r="BJ151" i="48" s="1"/>
  <c r="BD151" i="48"/>
  <c r="BK143" i="48"/>
  <c r="CG141" i="48"/>
  <c r="AO141" i="48"/>
  <c r="AM141" i="48"/>
  <c r="AK141" i="48"/>
  <c r="AI141" i="48"/>
  <c r="AG141" i="48"/>
  <c r="AE141" i="48"/>
  <c r="AC141" i="48"/>
  <c r="AL141" i="48"/>
  <c r="AD141" i="48"/>
  <c r="AH141" i="48"/>
  <c r="BK135" i="48"/>
  <c r="CG133" i="48"/>
  <c r="AO133" i="48"/>
  <c r="AM133" i="48"/>
  <c r="AK133" i="48"/>
  <c r="AI133" i="48"/>
  <c r="AG133" i="48"/>
  <c r="AE133" i="48"/>
  <c r="AC133" i="48"/>
  <c r="AL133" i="48"/>
  <c r="AD133" i="48"/>
  <c r="AH133" i="48"/>
  <c r="CG125" i="48"/>
  <c r="AO125" i="48"/>
  <c r="AM125" i="48"/>
  <c r="AK125" i="48"/>
  <c r="AI125" i="48"/>
  <c r="AG125" i="48"/>
  <c r="AE125" i="48"/>
  <c r="AC125" i="48"/>
  <c r="AL125" i="48"/>
  <c r="BM125" i="48" s="1"/>
  <c r="AD125" i="48"/>
  <c r="AH125" i="48"/>
  <c r="CG117" i="48"/>
  <c r="AO117" i="48"/>
  <c r="AM117" i="48"/>
  <c r="AK117" i="48"/>
  <c r="AI117" i="48"/>
  <c r="AG117" i="48"/>
  <c r="AE117" i="48"/>
  <c r="AC117" i="48"/>
  <c r="AL117" i="48"/>
  <c r="AR117" i="48" s="1"/>
  <c r="AD117" i="48"/>
  <c r="AH117" i="48"/>
  <c r="BK111" i="48"/>
  <c r="CG109" i="48"/>
  <c r="AO109" i="48"/>
  <c r="AM109" i="48"/>
  <c r="AK109" i="48"/>
  <c r="AI109" i="48"/>
  <c r="AG109" i="48"/>
  <c r="AE109" i="48"/>
  <c r="AC109" i="48"/>
  <c r="AH109" i="48"/>
  <c r="BJ244" i="48"/>
  <c r="BJ240" i="48"/>
  <c r="BJ237" i="48"/>
  <c r="AW237" i="48"/>
  <c r="AU237" i="48"/>
  <c r="BF237" i="48"/>
  <c r="BB237" i="48"/>
  <c r="BD237" i="48"/>
  <c r="AZ237" i="48"/>
  <c r="BJ230" i="48"/>
  <c r="BJ228" i="48"/>
  <c r="BJ208" i="48"/>
  <c r="BJ202" i="48"/>
  <c r="BJ192" i="48"/>
  <c r="BJ186" i="48"/>
  <c r="AQ182" i="48"/>
  <c r="AP182" i="48"/>
  <c r="AY182" i="48" s="1"/>
  <c r="BN182" i="48"/>
  <c r="AR182" i="48"/>
  <c r="AV180" i="48"/>
  <c r="AT180" i="48"/>
  <c r="BE180" i="48"/>
  <c r="BA180" i="48"/>
  <c r="BC180" i="48"/>
  <c r="BG180" i="48"/>
  <c r="BF180" i="48"/>
  <c r="BD180" i="48"/>
  <c r="BB180" i="48"/>
  <c r="AF180" i="48"/>
  <c r="AD180" i="48"/>
  <c r="AQ174" i="48"/>
  <c r="AP174" i="48"/>
  <c r="AY174" i="48" s="1"/>
  <c r="BN174" i="48"/>
  <c r="AR174" i="48"/>
  <c r="AV172" i="48"/>
  <c r="AT172" i="48"/>
  <c r="BE172" i="48"/>
  <c r="BA172" i="48"/>
  <c r="BC172" i="48"/>
  <c r="BG172" i="48"/>
  <c r="BF172" i="48"/>
  <c r="BD172" i="48"/>
  <c r="BB172" i="48"/>
  <c r="AF172" i="48"/>
  <c r="AD172" i="48"/>
  <c r="AP169" i="48"/>
  <c r="AY169" i="48" s="1"/>
  <c r="AQ169" i="48"/>
  <c r="AR169" i="48"/>
  <c r="BM169" i="48"/>
  <c r="AQ166" i="48"/>
  <c r="AP166" i="48"/>
  <c r="AY166" i="48" s="1"/>
  <c r="BN166" i="48"/>
  <c r="AR166" i="48"/>
  <c r="AV164" i="48"/>
  <c r="AT164" i="48"/>
  <c r="BE164" i="48"/>
  <c r="BA164" i="48"/>
  <c r="BC164" i="48"/>
  <c r="BG164" i="48"/>
  <c r="BF164" i="48"/>
  <c r="BD164" i="48"/>
  <c r="BB164" i="48"/>
  <c r="AF164" i="48"/>
  <c r="AD164" i="48"/>
  <c r="AP161" i="48"/>
  <c r="AY161" i="48" s="1"/>
  <c r="AQ161" i="48"/>
  <c r="AR161" i="48"/>
  <c r="BM161" i="48"/>
  <c r="AQ158" i="48"/>
  <c r="AP158" i="48"/>
  <c r="AY158" i="48" s="1"/>
  <c r="BN158" i="48"/>
  <c r="BM158" i="48"/>
  <c r="AN156" i="48"/>
  <c r="AL156" i="48"/>
  <c r="AJ156" i="48"/>
  <c r="AZ156" i="48"/>
  <c r="AW156" i="48"/>
  <c r="BJ154" i="48"/>
  <c r="BM153" i="48"/>
  <c r="BO150" i="48"/>
  <c r="AV148" i="48"/>
  <c r="AT148" i="48"/>
  <c r="BE148" i="48"/>
  <c r="BA148" i="48"/>
  <c r="BC148" i="48"/>
  <c r="BG148" i="48"/>
  <c r="BF148" i="48"/>
  <c r="BD148" i="48"/>
  <c r="BB148" i="48"/>
  <c r="AZ148" i="48"/>
  <c r="AW148" i="48"/>
  <c r="AD148" i="48"/>
  <c r="AK144" i="48"/>
  <c r="AW144" i="48"/>
  <c r="AU144" i="48"/>
  <c r="BF144" i="48"/>
  <c r="BB144" i="48"/>
  <c r="AZ144" i="48"/>
  <c r="BD144" i="48"/>
  <c r="AK140" i="48"/>
  <c r="AW140" i="48"/>
  <c r="AU140" i="48"/>
  <c r="BF140" i="48"/>
  <c r="BB140" i="48"/>
  <c r="AZ140" i="48"/>
  <c r="BD140" i="48"/>
  <c r="AK136" i="48"/>
  <c r="AW136" i="48"/>
  <c r="AU136" i="48"/>
  <c r="BF136" i="48"/>
  <c r="BB136" i="48"/>
  <c r="AZ136" i="48"/>
  <c r="BD136" i="48"/>
  <c r="AK132" i="48"/>
  <c r="AW132" i="48"/>
  <c r="AU132" i="48"/>
  <c r="BF132" i="48"/>
  <c r="BB132" i="48"/>
  <c r="AZ132" i="48"/>
  <c r="BD132" i="48"/>
  <c r="AK128" i="48"/>
  <c r="AW128" i="48"/>
  <c r="AU128" i="48"/>
  <c r="BF128" i="48"/>
  <c r="BB128" i="48"/>
  <c r="AZ128" i="48"/>
  <c r="BD128" i="48"/>
  <c r="AK124" i="48"/>
  <c r="AW124" i="48"/>
  <c r="AU124" i="48"/>
  <c r="BF124" i="48"/>
  <c r="BB124" i="48"/>
  <c r="AZ124" i="48"/>
  <c r="BD124" i="48"/>
  <c r="AK120" i="48"/>
  <c r="AW120" i="48"/>
  <c r="AU120" i="48"/>
  <c r="BF120" i="48"/>
  <c r="BB120" i="48"/>
  <c r="AZ120" i="48"/>
  <c r="BD120" i="48"/>
  <c r="AK116" i="48"/>
  <c r="AW116" i="48"/>
  <c r="AU116" i="48"/>
  <c r="BF116" i="48"/>
  <c r="BB116" i="48"/>
  <c r="AZ116" i="48"/>
  <c r="BD116" i="48"/>
  <c r="AQ65" i="48"/>
  <c r="BM61" i="48"/>
  <c r="AR60" i="48"/>
  <c r="BM60" i="48"/>
  <c r="AQ53" i="48"/>
  <c r="BO52" i="48"/>
  <c r="AQ49" i="48"/>
  <c r="BO40" i="48"/>
  <c r="AQ33" i="48"/>
  <c r="AP33" i="48"/>
  <c r="AY33" i="48" s="1"/>
  <c r="AR33" i="48"/>
  <c r="BM24" i="48"/>
  <c r="AO201" i="48"/>
  <c r="AM201" i="48"/>
  <c r="AW201" i="48"/>
  <c r="AU201" i="48"/>
  <c r="BF201" i="48"/>
  <c r="BB201" i="48"/>
  <c r="BD201" i="48"/>
  <c r="AZ201" i="48"/>
  <c r="BG185" i="48"/>
  <c r="BE185" i="48"/>
  <c r="AQ185" i="48"/>
  <c r="AN185" i="48"/>
  <c r="AL185" i="48"/>
  <c r="AJ185" i="48"/>
  <c r="AH185" i="48"/>
  <c r="AF185" i="48"/>
  <c r="AD185" i="48"/>
  <c r="CG185" i="48"/>
  <c r="AI185" i="48"/>
  <c r="BJ178" i="48"/>
  <c r="AR157" i="48"/>
  <c r="BM157" i="48"/>
  <c r="BO154" i="48"/>
  <c r="AV152" i="48"/>
  <c r="AT152" i="48"/>
  <c r="BE152" i="48"/>
  <c r="BA152" i="48"/>
  <c r="BC152" i="48"/>
  <c r="BG152" i="48"/>
  <c r="BF152" i="48"/>
  <c r="BD152" i="48"/>
  <c r="BB152" i="48"/>
  <c r="AF152" i="48"/>
  <c r="AQ147" i="48"/>
  <c r="AP147" i="48"/>
  <c r="AY147" i="48" s="1"/>
  <c r="BN147" i="48"/>
  <c r="AR147" i="48"/>
  <c r="BO146" i="48"/>
  <c r="AN145" i="48"/>
  <c r="BK145" i="48"/>
  <c r="AE144" i="48"/>
  <c r="AQ144" i="48" s="1"/>
  <c r="AQ143" i="48"/>
  <c r="AR143" i="48"/>
  <c r="BO142" i="48"/>
  <c r="AN141" i="48"/>
  <c r="BK141" i="48"/>
  <c r="AF141" i="48"/>
  <c r="AE140" i="48"/>
  <c r="AQ139" i="48"/>
  <c r="AP139" i="48"/>
  <c r="AY139" i="48" s="1"/>
  <c r="BN139" i="48"/>
  <c r="AR139" i="48"/>
  <c r="AN137" i="48"/>
  <c r="BK137" i="48"/>
  <c r="AQ135" i="48"/>
  <c r="AN133" i="48"/>
  <c r="AF133" i="48"/>
  <c r="AQ131" i="48"/>
  <c r="BO130" i="48"/>
  <c r="AN129" i="48"/>
  <c r="AE128" i="48"/>
  <c r="AQ128" i="48" s="1"/>
  <c r="AQ127" i="48"/>
  <c r="BN127" i="48"/>
  <c r="AR127" i="48"/>
  <c r="AN125" i="48"/>
  <c r="AF125" i="48"/>
  <c r="AE124" i="48"/>
  <c r="AR123" i="48"/>
  <c r="BO122" i="48"/>
  <c r="AN121" i="48"/>
  <c r="BK121" i="48"/>
  <c r="AQ119" i="48"/>
  <c r="AP119" i="48"/>
  <c r="AY119" i="48" s="1"/>
  <c r="BN119" i="48"/>
  <c r="AR119" i="48"/>
  <c r="BO118" i="48"/>
  <c r="AN117" i="48"/>
  <c r="AF117" i="48"/>
  <c r="AQ115" i="48"/>
  <c r="AD113" i="48"/>
  <c r="AW112" i="48"/>
  <c r="AU112" i="48"/>
  <c r="BF112" i="48"/>
  <c r="BB112" i="48"/>
  <c r="AZ112" i="48"/>
  <c r="BD112" i="48"/>
  <c r="AV112" i="48"/>
  <c r="BJ112" i="48" s="1"/>
  <c r="AL109" i="48"/>
  <c r="BE108" i="48"/>
  <c r="AN108" i="48"/>
  <c r="AL108" i="48"/>
  <c r="AJ108" i="48"/>
  <c r="AH108" i="48"/>
  <c r="AF108" i="48"/>
  <c r="AD108" i="48"/>
  <c r="AI108" i="48"/>
  <c r="CG108" i="48"/>
  <c r="AM108" i="48"/>
  <c r="AE108" i="48"/>
  <c r="AQ108" i="48" s="1"/>
  <c r="AN106" i="48"/>
  <c r="AL106" i="48"/>
  <c r="AJ106" i="48"/>
  <c r="AH106" i="48"/>
  <c r="AF106" i="48"/>
  <c r="AD106" i="48"/>
  <c r="CG106" i="48"/>
  <c r="AM106" i="48"/>
  <c r="AI106" i="48"/>
  <c r="AE106" i="48"/>
  <c r="AQ106" i="48" s="1"/>
  <c r="AO106" i="48"/>
  <c r="AG106" i="48"/>
  <c r="BO105" i="48"/>
  <c r="AN103" i="48"/>
  <c r="BJ102" i="48"/>
  <c r="AK102" i="48"/>
  <c r="CG99" i="48"/>
  <c r="AO99" i="48"/>
  <c r="AM99" i="48"/>
  <c r="AK99" i="48"/>
  <c r="AI99" i="48"/>
  <c r="AG99" i="48"/>
  <c r="AE99" i="48"/>
  <c r="AC99" i="48"/>
  <c r="AL99" i="48"/>
  <c r="AH99" i="48"/>
  <c r="AD99" i="48"/>
  <c r="AJ99" i="48"/>
  <c r="AN98" i="48"/>
  <c r="AL98" i="48"/>
  <c r="AJ98" i="48"/>
  <c r="BN98" i="48" s="1"/>
  <c r="AH98" i="48"/>
  <c r="AF98" i="48"/>
  <c r="AD98" i="48"/>
  <c r="CG98" i="48"/>
  <c r="AM98" i="48"/>
  <c r="AI98" i="48"/>
  <c r="AE98" i="48"/>
  <c r="BK98" i="48"/>
  <c r="AO98" i="48"/>
  <c r="AG98" i="48"/>
  <c r="CG97" i="48"/>
  <c r="AO97" i="48"/>
  <c r="AM97" i="48"/>
  <c r="AK97" i="48"/>
  <c r="AI97" i="48"/>
  <c r="AG97" i="48"/>
  <c r="AE97" i="48"/>
  <c r="AC97" i="48"/>
  <c r="AL97" i="48"/>
  <c r="AH97" i="48"/>
  <c r="AD97" i="48"/>
  <c r="AJ97" i="48"/>
  <c r="AN96" i="48"/>
  <c r="AL96" i="48"/>
  <c r="AJ96" i="48"/>
  <c r="AH96" i="48"/>
  <c r="AF96" i="48"/>
  <c r="AD96" i="48"/>
  <c r="CG96" i="48"/>
  <c r="AM96" i="48"/>
  <c r="AI96" i="48"/>
  <c r="AE96" i="48"/>
  <c r="AQ96" i="48" s="1"/>
  <c r="BK96" i="48"/>
  <c r="AO96" i="48"/>
  <c r="AG96" i="48"/>
  <c r="CG91" i="48"/>
  <c r="AO91" i="48"/>
  <c r="AM91" i="48"/>
  <c r="AK91" i="48"/>
  <c r="AI91" i="48"/>
  <c r="AG91" i="48"/>
  <c r="AE91" i="48"/>
  <c r="AC91" i="48"/>
  <c r="AL91" i="48"/>
  <c r="AH91" i="48"/>
  <c r="AD91" i="48"/>
  <c r="AJ91" i="48"/>
  <c r="AN90" i="48"/>
  <c r="AL90" i="48"/>
  <c r="AJ90" i="48"/>
  <c r="AH90" i="48"/>
  <c r="AF90" i="48"/>
  <c r="AD90" i="48"/>
  <c r="CG90" i="48"/>
  <c r="AM90" i="48"/>
  <c r="AI90" i="48"/>
  <c r="AE90" i="48"/>
  <c r="BK90" i="48"/>
  <c r="AO90" i="48"/>
  <c r="AG90" i="48"/>
  <c r="BK89" i="48"/>
  <c r="AN87" i="48"/>
  <c r="AK86" i="48"/>
  <c r="CG83" i="48"/>
  <c r="AO83" i="48"/>
  <c r="AM83" i="48"/>
  <c r="AK83" i="48"/>
  <c r="AI83" i="48"/>
  <c r="AG83" i="48"/>
  <c r="AE83" i="48"/>
  <c r="AC83" i="48"/>
  <c r="AL83" i="48"/>
  <c r="AH83" i="48"/>
  <c r="AD83" i="48"/>
  <c r="AJ83" i="48"/>
  <c r="AN82" i="48"/>
  <c r="AL82" i="48"/>
  <c r="AJ82" i="48"/>
  <c r="AH82" i="48"/>
  <c r="AF82" i="48"/>
  <c r="AD82" i="48"/>
  <c r="CG82" i="48"/>
  <c r="AM82" i="48"/>
  <c r="AI82" i="48"/>
  <c r="AE82" i="48"/>
  <c r="BK82" i="48"/>
  <c r="AO82" i="48"/>
  <c r="AG82" i="48"/>
  <c r="BK81" i="48"/>
  <c r="BO81" i="48"/>
  <c r="AN79" i="48"/>
  <c r="BJ78" i="48"/>
  <c r="AK78" i="48"/>
  <c r="AN77" i="48"/>
  <c r="BJ76" i="48"/>
  <c r="AK76" i="48"/>
  <c r="AN75" i="48"/>
  <c r="AK74" i="48"/>
  <c r="CG71" i="48"/>
  <c r="AO71" i="48"/>
  <c r="AM71" i="48"/>
  <c r="AK71" i="48"/>
  <c r="AI71" i="48"/>
  <c r="AG71" i="48"/>
  <c r="AE71" i="48"/>
  <c r="AC71" i="48"/>
  <c r="AL71" i="48"/>
  <c r="AH71" i="48"/>
  <c r="AD71" i="48"/>
  <c r="AJ71" i="48"/>
  <c r="AN70" i="48"/>
  <c r="AL70" i="48"/>
  <c r="AJ70" i="48"/>
  <c r="BN70" i="48" s="1"/>
  <c r="AH70" i="48"/>
  <c r="AF70" i="48"/>
  <c r="AD70" i="48"/>
  <c r="CG70" i="48"/>
  <c r="AM70" i="48"/>
  <c r="AI70" i="48"/>
  <c r="AE70" i="48"/>
  <c r="BK70" i="48"/>
  <c r="AO70" i="48"/>
  <c r="AG70" i="48"/>
  <c r="BK69" i="48"/>
  <c r="AN67" i="48"/>
  <c r="AO66" i="48"/>
  <c r="AC66" i="48"/>
  <c r="CG63" i="48"/>
  <c r="AO63" i="48"/>
  <c r="AM63" i="48"/>
  <c r="AK63" i="48"/>
  <c r="AI63" i="48"/>
  <c r="AG63" i="48"/>
  <c r="AE63" i="48"/>
  <c r="AC63" i="48"/>
  <c r="AL63" i="48"/>
  <c r="AH63" i="48"/>
  <c r="AD63" i="48"/>
  <c r="AF63" i="48"/>
  <c r="AC62" i="48"/>
  <c r="AF59" i="48"/>
  <c r="BJ58" i="48"/>
  <c r="AK58" i="48"/>
  <c r="AJ57" i="48"/>
  <c r="AN56" i="48"/>
  <c r="AL56" i="48"/>
  <c r="AJ56" i="48"/>
  <c r="AH56" i="48"/>
  <c r="AF56" i="48"/>
  <c r="AD56" i="48"/>
  <c r="CG56" i="48"/>
  <c r="AI56" i="48"/>
  <c r="AE56" i="48"/>
  <c r="AM56" i="48"/>
  <c r="BJ56" i="48"/>
  <c r="AK56" i="48"/>
  <c r="AC56" i="48"/>
  <c r="AF55" i="48"/>
  <c r="BK54" i="48"/>
  <c r="AO54" i="48"/>
  <c r="CG51" i="48"/>
  <c r="AO51" i="48"/>
  <c r="AM51" i="48"/>
  <c r="AK51" i="48"/>
  <c r="AI51" i="48"/>
  <c r="AG51" i="48"/>
  <c r="AE51" i="48"/>
  <c r="AC51" i="48"/>
  <c r="AL51" i="48"/>
  <c r="AD51" i="48"/>
  <c r="AH51" i="48"/>
  <c r="AJ51" i="48"/>
  <c r="AN50" i="48"/>
  <c r="AL50" i="48"/>
  <c r="AJ50" i="48"/>
  <c r="AH50" i="48"/>
  <c r="AF50" i="48"/>
  <c r="AD50" i="48"/>
  <c r="CG50" i="48"/>
  <c r="AI50" i="48"/>
  <c r="AM50" i="48"/>
  <c r="AE50" i="48"/>
  <c r="AK50" i="48"/>
  <c r="AC50" i="48"/>
  <c r="AN47" i="48"/>
  <c r="BK46" i="48"/>
  <c r="AG46" i="48"/>
  <c r="CG45" i="48"/>
  <c r="AO45" i="48"/>
  <c r="AM45" i="48"/>
  <c r="AK45" i="48"/>
  <c r="AI45" i="48"/>
  <c r="AG45" i="48"/>
  <c r="AE45" i="48"/>
  <c r="AC45" i="48"/>
  <c r="AL45" i="48"/>
  <c r="AD45" i="48"/>
  <c r="AH45" i="48"/>
  <c r="AN44" i="48"/>
  <c r="AL44" i="48"/>
  <c r="AJ44" i="48"/>
  <c r="AH44" i="48"/>
  <c r="AF44" i="48"/>
  <c r="AD44" i="48"/>
  <c r="CG44" i="48"/>
  <c r="AI44" i="48"/>
  <c r="AM44" i="48"/>
  <c r="AE44" i="48"/>
  <c r="AK44" i="48"/>
  <c r="AC44" i="48"/>
  <c r="AF43" i="48"/>
  <c r="BJ42" i="48"/>
  <c r="AC42" i="48"/>
  <c r="AN39" i="48"/>
  <c r="BK38" i="48"/>
  <c r="AO38" i="48"/>
  <c r="AF35" i="48"/>
  <c r="AO34" i="48"/>
  <c r="AN30" i="48"/>
  <c r="AL30" i="48"/>
  <c r="AJ30" i="48"/>
  <c r="AH30" i="48"/>
  <c r="AF30" i="48"/>
  <c r="AD30" i="48"/>
  <c r="CG30" i="48"/>
  <c r="AI30" i="48"/>
  <c r="AM30" i="48"/>
  <c r="AE30" i="48"/>
  <c r="BJ30" i="48"/>
  <c r="AK30" i="48"/>
  <c r="AC30" i="48"/>
  <c r="CG27" i="48"/>
  <c r="AO27" i="48"/>
  <c r="AM27" i="48"/>
  <c r="AK27" i="48"/>
  <c r="AI27" i="48"/>
  <c r="AG27" i="48"/>
  <c r="AE27" i="48"/>
  <c r="AC27" i="48"/>
  <c r="AL27" i="48"/>
  <c r="AD27" i="48"/>
  <c r="AH27" i="48"/>
  <c r="AN26" i="48"/>
  <c r="AL26" i="48"/>
  <c r="AJ26" i="48"/>
  <c r="AH26" i="48"/>
  <c r="AF26" i="48"/>
  <c r="AD26" i="48"/>
  <c r="AM26" i="48"/>
  <c r="AE26" i="48"/>
  <c r="CG26" i="48"/>
  <c r="AI26" i="48"/>
  <c r="AC26" i="48"/>
  <c r="AN23" i="48"/>
  <c r="BK22" i="48"/>
  <c r="AM22" i="48"/>
  <c r="AG22" i="48"/>
  <c r="AC22" i="48"/>
  <c r="BF14" i="48"/>
  <c r="BB14" i="48"/>
  <c r="AW14" i="48"/>
  <c r="AU14" i="48"/>
  <c r="BD14" i="48"/>
  <c r="AZ14" i="48"/>
  <c r="AV14" i="48"/>
  <c r="AT14" i="48"/>
  <c r="BB5" i="48"/>
  <c r="AW5" i="48"/>
  <c r="AU5" i="48"/>
  <c r="BF5" i="48"/>
  <c r="BD5" i="48"/>
  <c r="AZ5" i="48"/>
  <c r="AV5" i="48"/>
  <c r="AT5" i="48"/>
  <c r="BO114" i="48"/>
  <c r="AV113" i="48"/>
  <c r="AT113" i="48"/>
  <c r="BE113" i="48"/>
  <c r="BA113" i="48"/>
  <c r="BC113" i="48"/>
  <c r="BG113" i="48"/>
  <c r="BF113" i="48"/>
  <c r="AZ113" i="48"/>
  <c r="AW113" i="48"/>
  <c r="AQ111" i="48"/>
  <c r="BO110" i="48"/>
  <c r="AV109" i="48"/>
  <c r="AT109" i="48"/>
  <c r="BE109" i="48"/>
  <c r="BA109" i="48"/>
  <c r="BC109" i="48"/>
  <c r="BK109" i="48" s="1"/>
  <c r="BG109" i="48"/>
  <c r="BF109" i="48"/>
  <c r="AJ109" i="48"/>
  <c r="AZ109" i="48"/>
  <c r="AW109" i="48"/>
  <c r="BM105" i="48"/>
  <c r="AQ101" i="48"/>
  <c r="BO100" i="48"/>
  <c r="AR94" i="48"/>
  <c r="AQ93" i="48"/>
  <c r="BN93" i="48"/>
  <c r="AR93" i="48"/>
  <c r="AR88" i="48"/>
  <c r="BM88" i="48"/>
  <c r="BN88" i="48"/>
  <c r="BK87" i="48"/>
  <c r="BM81" i="48"/>
  <c r="AR80" i="48"/>
  <c r="BM80" i="48"/>
  <c r="BN80" i="48"/>
  <c r="BK77" i="48"/>
  <c r="BK75" i="48"/>
  <c r="AQ73" i="48"/>
  <c r="AR68" i="48"/>
  <c r="BM68" i="48"/>
  <c r="BN68" i="48"/>
  <c r="BK51" i="48"/>
  <c r="BK47" i="48"/>
  <c r="BO32" i="48"/>
  <c r="AQ29" i="48"/>
  <c r="AR28" i="48"/>
  <c r="BM28" i="48"/>
  <c r="AO19" i="48"/>
  <c r="AK19" i="48"/>
  <c r="AE19" i="48"/>
  <c r="AN19" i="48"/>
  <c r="AL19" i="48"/>
  <c r="AJ19" i="48"/>
  <c r="AH19" i="48"/>
  <c r="AF19" i="48"/>
  <c r="AD19" i="48"/>
  <c r="CG19" i="48"/>
  <c r="AM19" i="48"/>
  <c r="AI19" i="48"/>
  <c r="AG19" i="48"/>
  <c r="AC19" i="48"/>
  <c r="CG17" i="48"/>
  <c r="AM17" i="48"/>
  <c r="AI17" i="48"/>
  <c r="AC17" i="48"/>
  <c r="AN17" i="48"/>
  <c r="AL17" i="48"/>
  <c r="AJ17" i="48"/>
  <c r="AH17" i="48"/>
  <c r="AF17" i="48"/>
  <c r="AD17" i="48"/>
  <c r="AO17" i="48"/>
  <c r="AK17" i="48"/>
  <c r="AG17" i="48"/>
  <c r="AE17" i="48"/>
  <c r="CG11" i="48"/>
  <c r="AM11" i="48"/>
  <c r="AI11" i="48"/>
  <c r="AE11" i="48"/>
  <c r="AN11" i="48"/>
  <c r="AL11" i="48"/>
  <c r="AJ11" i="48"/>
  <c r="AH11" i="48"/>
  <c r="AF11" i="48"/>
  <c r="AD11" i="48"/>
  <c r="AO11" i="48"/>
  <c r="AK11" i="48"/>
  <c r="AG11" i="48"/>
  <c r="AC11" i="48"/>
  <c r="BN177" i="48"/>
  <c r="BN161" i="48"/>
  <c r="BJ145" i="48"/>
  <c r="BJ135" i="48"/>
  <c r="BJ123" i="48"/>
  <c r="AV120" i="48"/>
  <c r="BJ120" i="48" s="1"/>
  <c r="BJ117" i="48"/>
  <c r="BJ111" i="48"/>
  <c r="BJ101" i="48"/>
  <c r="BJ97" i="48"/>
  <c r="BJ87" i="48"/>
  <c r="BJ81" i="48"/>
  <c r="BJ77" i="48"/>
  <c r="BJ65" i="48"/>
  <c r="BJ41" i="48"/>
  <c r="BJ35" i="48"/>
  <c r="BJ29" i="48"/>
  <c r="AJ27" i="48"/>
  <c r="BJ21" i="48"/>
  <c r="BO20" i="48"/>
  <c r="BK19" i="48"/>
  <c r="BO16" i="48"/>
  <c r="BE15" i="48"/>
  <c r="BK13" i="48"/>
  <c r="BJ11" i="48"/>
  <c r="BO8" i="48"/>
  <c r="AR8" i="48"/>
  <c r="BM8" i="48"/>
  <c r="AQ6" i="48"/>
  <c r="AP6" i="48"/>
  <c r="AY6" i="48" s="1"/>
  <c r="BE5" i="48"/>
  <c r="BA5" i="48"/>
  <c r="CG5" i="48"/>
  <c r="AQ4" i="48"/>
  <c r="AP4" i="48"/>
  <c r="AY4" i="48" s="1"/>
  <c r="BE3" i="48"/>
  <c r="BA3" i="48"/>
  <c r="AR2" i="48"/>
  <c r="AR150" i="48"/>
  <c r="BJ139" i="48"/>
  <c r="AV136" i="48"/>
  <c r="BJ136" i="48" s="1"/>
  <c r="AV132" i="48"/>
  <c r="BJ132" i="48" s="1"/>
  <c r="BJ119" i="48"/>
  <c r="AV116" i="48"/>
  <c r="BJ116" i="48" s="1"/>
  <c r="BJ91" i="48"/>
  <c r="BJ61" i="48"/>
  <c r="BJ55" i="48"/>
  <c r="AN45" i="48"/>
  <c r="BO41" i="48"/>
  <c r="BJ31" i="48"/>
  <c r="AK26" i="48"/>
  <c r="BJ25" i="48"/>
  <c r="BJ20" i="48"/>
  <c r="BE14" i="48"/>
  <c r="BA14" i="48"/>
  <c r="BG10" i="48"/>
  <c r="BC10" i="48"/>
  <c r="AR10" i="48"/>
  <c r="BM10" i="48"/>
  <c r="CG476" i="48"/>
  <c r="AO476" i="48"/>
  <c r="AM476" i="48"/>
  <c r="AK476" i="48"/>
  <c r="AI476" i="48"/>
  <c r="AG476" i="48"/>
  <c r="AE476" i="48"/>
  <c r="AC476" i="48"/>
  <c r="AH476" i="48"/>
  <c r="AL476" i="48"/>
  <c r="AD476" i="48"/>
  <c r="AJ476" i="48"/>
  <c r="AP473" i="48"/>
  <c r="AY473" i="48" s="1"/>
  <c r="AQ473" i="48"/>
  <c r="AR473" i="48"/>
  <c r="BM473" i="48"/>
  <c r="AC472" i="48"/>
  <c r="AG468" i="48"/>
  <c r="AC468" i="48"/>
  <c r="CG458" i="48"/>
  <c r="AO458" i="48"/>
  <c r="AM458" i="48"/>
  <c r="AK458" i="48"/>
  <c r="AI458" i="48"/>
  <c r="AG458" i="48"/>
  <c r="AE458" i="48"/>
  <c r="AC458" i="48"/>
  <c r="AH458" i="48"/>
  <c r="BJ474" i="48"/>
  <c r="AN465" i="48"/>
  <c r="AL465" i="48"/>
  <c r="AJ465" i="48"/>
  <c r="AH465" i="48"/>
  <c r="AF465" i="48"/>
  <c r="AD465" i="48"/>
  <c r="AI465" i="48"/>
  <c r="AM465" i="48"/>
  <c r="CG465" i="48"/>
  <c r="AE465" i="48"/>
  <c r="AQ465" i="48" s="1"/>
  <c r="AN461" i="48"/>
  <c r="AL461" i="48"/>
  <c r="AJ461" i="48"/>
  <c r="AH461" i="48"/>
  <c r="AF461" i="48"/>
  <c r="AD461" i="48"/>
  <c r="AI461" i="48"/>
  <c r="CG461" i="48"/>
  <c r="AE461" i="48"/>
  <c r="AQ461" i="48" s="1"/>
  <c r="AM461" i="48"/>
  <c r="AN457" i="48"/>
  <c r="AL457" i="48"/>
  <c r="AJ457" i="48"/>
  <c r="AH457" i="48"/>
  <c r="AF457" i="48"/>
  <c r="AD457" i="48"/>
  <c r="AI457" i="48"/>
  <c r="AM457" i="48"/>
  <c r="CG457" i="48"/>
  <c r="AE457" i="48"/>
  <c r="AQ457" i="48" s="1"/>
  <c r="CG447" i="48"/>
  <c r="AO447" i="48"/>
  <c r="AM447" i="48"/>
  <c r="AK447" i="48"/>
  <c r="AI447" i="48"/>
  <c r="AG447" i="48"/>
  <c r="AE447" i="48"/>
  <c r="AC447" i="48"/>
  <c r="AH447" i="48"/>
  <c r="CG439" i="48"/>
  <c r="AO439" i="48"/>
  <c r="AM439" i="48"/>
  <c r="AK439" i="48"/>
  <c r="AI439" i="48"/>
  <c r="AG439" i="48"/>
  <c r="AE439" i="48"/>
  <c r="AC439" i="48"/>
  <c r="AH439" i="48"/>
  <c r="AV475" i="48"/>
  <c r="AT475" i="48"/>
  <c r="BF466" i="48"/>
  <c r="BB466" i="48"/>
  <c r="AF466" i="48"/>
  <c r="AN458" i="48"/>
  <c r="AJ458" i="48"/>
  <c r="AW452" i="48"/>
  <c r="AU452" i="48"/>
  <c r="BF452" i="48"/>
  <c r="BB452" i="48"/>
  <c r="AZ452" i="48"/>
  <c r="AV452" i="48"/>
  <c r="BD452" i="48"/>
  <c r="AT446" i="48"/>
  <c r="AW442" i="48"/>
  <c r="AU442" i="48"/>
  <c r="BF442" i="48"/>
  <c r="BB442" i="48"/>
  <c r="AZ442" i="48"/>
  <c r="AV442" i="48"/>
  <c r="BJ442" i="48" s="1"/>
  <c r="BD442" i="48"/>
  <c r="AW438" i="48"/>
  <c r="AU438" i="48"/>
  <c r="BF438" i="48"/>
  <c r="BB438" i="48"/>
  <c r="AZ438" i="48"/>
  <c r="BD438" i="48"/>
  <c r="AV438" i="48"/>
  <c r="BJ438" i="48" s="1"/>
  <c r="BN436" i="48"/>
  <c r="CG425" i="48"/>
  <c r="AO425" i="48"/>
  <c r="AM425" i="48"/>
  <c r="AK425" i="48"/>
  <c r="AI425" i="48"/>
  <c r="AG425" i="48"/>
  <c r="AE425" i="48"/>
  <c r="AC425" i="48"/>
  <c r="AH425" i="48"/>
  <c r="AL425" i="48"/>
  <c r="AD425" i="48"/>
  <c r="AR464" i="48"/>
  <c r="BD462" i="48"/>
  <c r="BB462" i="48"/>
  <c r="BO456" i="48"/>
  <c r="AV447" i="48"/>
  <c r="AT447" i="48"/>
  <c r="BE447" i="48"/>
  <c r="BA447" i="48"/>
  <c r="BC447" i="48"/>
  <c r="BG447" i="48"/>
  <c r="BD447" i="48"/>
  <c r="AD447" i="48"/>
  <c r="AQ441" i="48"/>
  <c r="AP441" i="48"/>
  <c r="AY441" i="48" s="1"/>
  <c r="AN439" i="48"/>
  <c r="AJ439" i="48"/>
  <c r="BJ437" i="48"/>
  <c r="AT434" i="48"/>
  <c r="AW430" i="48"/>
  <c r="AU430" i="48"/>
  <c r="BF430" i="48"/>
  <c r="BB430" i="48"/>
  <c r="AZ430" i="48"/>
  <c r="BD430" i="48"/>
  <c r="AV430" i="48"/>
  <c r="BJ430" i="48" s="1"/>
  <c r="AR426" i="48"/>
  <c r="BM426" i="48"/>
  <c r="AJ425" i="48"/>
  <c r="AQ423" i="48"/>
  <c r="AJ417" i="48"/>
  <c r="AQ415" i="48"/>
  <c r="AP415" i="48"/>
  <c r="AY415" i="48" s="1"/>
  <c r="BK413" i="48"/>
  <c r="AR410" i="48"/>
  <c r="BM410" i="48"/>
  <c r="AJ409" i="48"/>
  <c r="AQ407" i="48"/>
  <c r="AG402" i="48"/>
  <c r="AC402" i="48"/>
  <c r="AG398" i="48"/>
  <c r="AC398" i="48"/>
  <c r="AC394" i="48"/>
  <c r="BK474" i="48"/>
  <c r="AN476" i="48"/>
  <c r="AF476" i="48"/>
  <c r="BO474" i="48"/>
  <c r="BM474" i="48"/>
  <c r="BO473" i="48"/>
  <c r="BK471" i="48"/>
  <c r="CG469" i="48"/>
  <c r="AO469" i="48"/>
  <c r="AM469" i="48"/>
  <c r="AK469" i="48"/>
  <c r="AI469" i="48"/>
  <c r="AG469" i="48"/>
  <c r="AE469" i="48"/>
  <c r="AC469" i="48"/>
  <c r="AK472" i="48"/>
  <c r="AW472" i="48"/>
  <c r="AU472" i="48"/>
  <c r="BF472" i="48"/>
  <c r="BB472" i="48"/>
  <c r="AZ472" i="48"/>
  <c r="BD472" i="48"/>
  <c r="AV472" i="48"/>
  <c r="AK468" i="48"/>
  <c r="AW468" i="48"/>
  <c r="AU468" i="48"/>
  <c r="BF468" i="48"/>
  <c r="BB468" i="48"/>
  <c r="AZ468" i="48"/>
  <c r="AV468" i="48"/>
  <c r="BD468" i="48"/>
  <c r="BK464" i="48"/>
  <c r="CG462" i="48"/>
  <c r="AO462" i="48"/>
  <c r="AM462" i="48"/>
  <c r="AK462" i="48"/>
  <c r="AI462" i="48"/>
  <c r="AG462" i="48"/>
  <c r="AE462" i="48"/>
  <c r="AC462" i="48"/>
  <c r="AH462" i="48"/>
  <c r="BO470" i="48"/>
  <c r="BN470" i="48"/>
  <c r="AK465" i="48"/>
  <c r="AW465" i="48"/>
  <c r="AU465" i="48"/>
  <c r="BF465" i="48"/>
  <c r="BB465" i="48"/>
  <c r="AZ465" i="48"/>
  <c r="BD465" i="48"/>
  <c r="AV465" i="48"/>
  <c r="BJ465" i="48" s="1"/>
  <c r="AK461" i="48"/>
  <c r="AW461" i="48"/>
  <c r="AU461" i="48"/>
  <c r="BF461" i="48"/>
  <c r="BB461" i="48"/>
  <c r="AZ461" i="48"/>
  <c r="AV461" i="48"/>
  <c r="BJ461" i="48" s="1"/>
  <c r="BD461" i="48"/>
  <c r="AK457" i="48"/>
  <c r="AW457" i="48"/>
  <c r="AU457" i="48"/>
  <c r="BF457" i="48"/>
  <c r="BB457" i="48"/>
  <c r="AZ457" i="48"/>
  <c r="BD457" i="48"/>
  <c r="AV457" i="48"/>
  <c r="BJ457" i="48" s="1"/>
  <c r="CG451" i="48"/>
  <c r="AO451" i="48"/>
  <c r="AM451" i="48"/>
  <c r="AK451" i="48"/>
  <c r="AI451" i="48"/>
  <c r="AG451" i="48"/>
  <c r="AE451" i="48"/>
  <c r="AC451" i="48"/>
  <c r="AH451" i="48"/>
  <c r="BK445" i="48"/>
  <c r="CG443" i="48"/>
  <c r="AO443" i="48"/>
  <c r="AM443" i="48"/>
  <c r="AK443" i="48"/>
  <c r="AI443" i="48"/>
  <c r="AG443" i="48"/>
  <c r="AE443" i="48"/>
  <c r="AC443" i="48"/>
  <c r="AH443" i="48"/>
  <c r="BK437" i="48"/>
  <c r="CG435" i="48"/>
  <c r="AO435" i="48"/>
  <c r="AM435" i="48"/>
  <c r="AK435" i="48"/>
  <c r="AI435" i="48"/>
  <c r="AG435" i="48"/>
  <c r="AE435" i="48"/>
  <c r="AC435" i="48"/>
  <c r="AH435" i="48"/>
  <c r="AD435" i="48"/>
  <c r="AL435" i="48"/>
  <c r="BG475" i="48"/>
  <c r="BE475" i="48"/>
  <c r="BC475" i="48"/>
  <c r="AQ475" i="48"/>
  <c r="AN475" i="48"/>
  <c r="AL475" i="48"/>
  <c r="AJ475" i="48"/>
  <c r="AH475" i="48"/>
  <c r="AF475" i="48"/>
  <c r="AD475" i="48"/>
  <c r="CG475" i="48"/>
  <c r="AI475" i="48"/>
  <c r="AN466" i="48"/>
  <c r="AL466" i="48"/>
  <c r="AJ466" i="48"/>
  <c r="AZ466" i="48"/>
  <c r="AW466" i="48"/>
  <c r="AU466" i="48"/>
  <c r="BJ464" i="48"/>
  <c r="BO460" i="48"/>
  <c r="AV458" i="48"/>
  <c r="AT458" i="48"/>
  <c r="BE458" i="48"/>
  <c r="BA458" i="48"/>
  <c r="BC458" i="48"/>
  <c r="BG458" i="48"/>
  <c r="BF458" i="48"/>
  <c r="BD458" i="48"/>
  <c r="BB458" i="48"/>
  <c r="AF458" i="48"/>
  <c r="AD458" i="48"/>
  <c r="BE452" i="48"/>
  <c r="BC452" i="48"/>
  <c r="AN452" i="48"/>
  <c r="AL452" i="48"/>
  <c r="AJ452" i="48"/>
  <c r="AH452" i="48"/>
  <c r="AF452" i="48"/>
  <c r="AD452" i="48"/>
  <c r="AI452" i="48"/>
  <c r="CG452" i="48"/>
  <c r="AE452" i="48"/>
  <c r="AM452" i="48"/>
  <c r="BE450" i="48"/>
  <c r="BC450" i="48"/>
  <c r="AN450" i="48"/>
  <c r="AL450" i="48"/>
  <c r="AJ450" i="48"/>
  <c r="AH450" i="48"/>
  <c r="AF450" i="48"/>
  <c r="AD450" i="48"/>
  <c r="AI450" i="48"/>
  <c r="CG450" i="48"/>
  <c r="AE450" i="48"/>
  <c r="AM450" i="48"/>
  <c r="BE446" i="48"/>
  <c r="BC446" i="48"/>
  <c r="AN446" i="48"/>
  <c r="AL446" i="48"/>
  <c r="AJ446" i="48"/>
  <c r="AH446" i="48"/>
  <c r="AF446" i="48"/>
  <c r="AD446" i="48"/>
  <c r="AI446" i="48"/>
  <c r="AM446" i="48"/>
  <c r="CG446" i="48"/>
  <c r="AE446" i="48"/>
  <c r="BE442" i="48"/>
  <c r="BC442" i="48"/>
  <c r="AN442" i="48"/>
  <c r="AL442" i="48"/>
  <c r="AJ442" i="48"/>
  <c r="AH442" i="48"/>
  <c r="AF442" i="48"/>
  <c r="AD442" i="48"/>
  <c r="AI442" i="48"/>
  <c r="CG442" i="48"/>
  <c r="AE442" i="48"/>
  <c r="AM442" i="48"/>
  <c r="BE438" i="48"/>
  <c r="BC438" i="48"/>
  <c r="AN438" i="48"/>
  <c r="AL438" i="48"/>
  <c r="AJ438" i="48"/>
  <c r="AH438" i="48"/>
  <c r="AF438" i="48"/>
  <c r="AD438" i="48"/>
  <c r="AI438" i="48"/>
  <c r="AM438" i="48"/>
  <c r="CG438" i="48"/>
  <c r="AE438" i="48"/>
  <c r="AQ438" i="48" s="1"/>
  <c r="BO436" i="48"/>
  <c r="AN435" i="48"/>
  <c r="AF435" i="48"/>
  <c r="BK433" i="48"/>
  <c r="CG431" i="48"/>
  <c r="AO431" i="48"/>
  <c r="AM431" i="48"/>
  <c r="AK431" i="48"/>
  <c r="BN431" i="48" s="1"/>
  <c r="AI431" i="48"/>
  <c r="AG431" i="48"/>
  <c r="AE431" i="48"/>
  <c r="AC431" i="48"/>
  <c r="AH431" i="48"/>
  <c r="CG421" i="48"/>
  <c r="AO421" i="48"/>
  <c r="AM421" i="48"/>
  <c r="AK421" i="48"/>
  <c r="AI421" i="48"/>
  <c r="AG421" i="48"/>
  <c r="AE421" i="48"/>
  <c r="AC421" i="48"/>
  <c r="AH421" i="48"/>
  <c r="AD421" i="48"/>
  <c r="AL421" i="48"/>
  <c r="BK415" i="48"/>
  <c r="CG413" i="48"/>
  <c r="AO413" i="48"/>
  <c r="AM413" i="48"/>
  <c r="AK413" i="48"/>
  <c r="AI413" i="48"/>
  <c r="AG413" i="48"/>
  <c r="AE413" i="48"/>
  <c r="AC413" i="48"/>
  <c r="AH413" i="48"/>
  <c r="AD413" i="48"/>
  <c r="AL413" i="48"/>
  <c r="BK405" i="48"/>
  <c r="CG403" i="48"/>
  <c r="AO403" i="48"/>
  <c r="AM403" i="48"/>
  <c r="AK403" i="48"/>
  <c r="AI403" i="48"/>
  <c r="AG403" i="48"/>
  <c r="AE403" i="48"/>
  <c r="AC403" i="48"/>
  <c r="AH403" i="48"/>
  <c r="BK397" i="48"/>
  <c r="CG395" i="48"/>
  <c r="AO395" i="48"/>
  <c r="AM395" i="48"/>
  <c r="AK395" i="48"/>
  <c r="AI395" i="48"/>
  <c r="AG395" i="48"/>
  <c r="AE395" i="48"/>
  <c r="AC395" i="48"/>
  <c r="AH395" i="48"/>
  <c r="BO464" i="48"/>
  <c r="BM464" i="48"/>
  <c r="AN462" i="48"/>
  <c r="AL462" i="48"/>
  <c r="AJ462" i="48"/>
  <c r="AZ462" i="48"/>
  <c r="AW462" i="48"/>
  <c r="AU462" i="48"/>
  <c r="BO459" i="48"/>
  <c r="BM456" i="48"/>
  <c r="AR456" i="48"/>
  <c r="AQ449" i="48"/>
  <c r="AP449" i="48"/>
  <c r="AY449" i="48" s="1"/>
  <c r="BN449" i="48"/>
  <c r="AR449" i="48"/>
  <c r="BM449" i="48"/>
  <c r="AN447" i="48"/>
  <c r="AL447" i="48"/>
  <c r="AJ447" i="48"/>
  <c r="AZ447" i="48"/>
  <c r="AW447" i="48"/>
  <c r="AU447" i="48"/>
  <c r="AR444" i="48"/>
  <c r="BO441" i="48"/>
  <c r="AV439" i="48"/>
  <c r="AT439" i="48"/>
  <c r="BE439" i="48"/>
  <c r="BA439" i="48"/>
  <c r="BC439" i="48"/>
  <c r="BG439" i="48"/>
  <c r="BF439" i="48"/>
  <c r="BD439" i="48"/>
  <c r="BB439" i="48"/>
  <c r="AF439" i="48"/>
  <c r="AD439" i="48"/>
  <c r="BE434" i="48"/>
  <c r="BC434" i="48"/>
  <c r="AN434" i="48"/>
  <c r="AL434" i="48"/>
  <c r="AJ434" i="48"/>
  <c r="AH434" i="48"/>
  <c r="AF434" i="48"/>
  <c r="AD434" i="48"/>
  <c r="AI434" i="48"/>
  <c r="CG434" i="48"/>
  <c r="AE434" i="48"/>
  <c r="AM434" i="48"/>
  <c r="BE430" i="48"/>
  <c r="BC430" i="48"/>
  <c r="AN430" i="48"/>
  <c r="AL430" i="48"/>
  <c r="AJ430" i="48"/>
  <c r="AH430" i="48"/>
  <c r="AF430" i="48"/>
  <c r="AD430" i="48"/>
  <c r="AI430" i="48"/>
  <c r="AM430" i="48"/>
  <c r="CG430" i="48"/>
  <c r="AE430" i="48"/>
  <c r="AQ430" i="48" s="1"/>
  <c r="BO426" i="48"/>
  <c r="AN425" i="48"/>
  <c r="BK425" i="48"/>
  <c r="AF425" i="48"/>
  <c r="BO423" i="48"/>
  <c r="BM423" i="48"/>
  <c r="AR422" i="48"/>
  <c r="BM422" i="48"/>
  <c r="BN422" i="48"/>
  <c r="AJ421" i="48"/>
  <c r="AQ419" i="48"/>
  <c r="AN417" i="48"/>
  <c r="BK417" i="48"/>
  <c r="AF417" i="48"/>
  <c r="BO415" i="48"/>
  <c r="BM415" i="48"/>
  <c r="AR414" i="48"/>
  <c r="BM414" i="48"/>
  <c r="BN414" i="48"/>
  <c r="AJ413" i="48"/>
  <c r="AQ411" i="48"/>
  <c r="BO410" i="48"/>
  <c r="AN409" i="48"/>
  <c r="BK409" i="48"/>
  <c r="AF409" i="48"/>
  <c r="BO407" i="48"/>
  <c r="BM407" i="48"/>
  <c r="AK402" i="48"/>
  <c r="AW402" i="48"/>
  <c r="AU402" i="48"/>
  <c r="BF402" i="48"/>
  <c r="BB402" i="48"/>
  <c r="AZ402" i="48"/>
  <c r="BD402" i="48"/>
  <c r="AV402" i="48"/>
  <c r="AK398" i="48"/>
  <c r="AW398" i="48"/>
  <c r="AU398" i="48"/>
  <c r="BF398" i="48"/>
  <c r="BB398" i="48"/>
  <c r="AZ398" i="48"/>
  <c r="AV398" i="48"/>
  <c r="BJ398" i="48" s="1"/>
  <c r="BD398" i="48"/>
  <c r="AK394" i="48"/>
  <c r="AW394" i="48"/>
  <c r="AU394" i="48"/>
  <c r="BF394" i="48"/>
  <c r="BB394" i="48"/>
  <c r="AZ394" i="48"/>
  <c r="BD394" i="48"/>
  <c r="AV394" i="48"/>
  <c r="BJ394" i="48" s="1"/>
  <c r="CG387" i="48"/>
  <c r="AO387" i="48"/>
  <c r="AM387" i="48"/>
  <c r="AK387" i="48"/>
  <c r="AI387" i="48"/>
  <c r="AG387" i="48"/>
  <c r="AE387" i="48"/>
  <c r="AC387" i="48"/>
  <c r="AH387" i="48"/>
  <c r="AD387" i="48"/>
  <c r="AL387" i="48"/>
  <c r="BK381" i="48"/>
  <c r="CG379" i="48"/>
  <c r="AO379" i="48"/>
  <c r="AM379" i="48"/>
  <c r="AK379" i="48"/>
  <c r="AI379" i="48"/>
  <c r="AG379" i="48"/>
  <c r="AE379" i="48"/>
  <c r="AC379" i="48"/>
  <c r="AH379" i="48"/>
  <c r="AD379" i="48"/>
  <c r="AL379" i="48"/>
  <c r="BK373" i="48"/>
  <c r="CG371" i="48"/>
  <c r="AO371" i="48"/>
  <c r="AM371" i="48"/>
  <c r="AK371" i="48"/>
  <c r="AI371" i="48"/>
  <c r="AG371" i="48"/>
  <c r="AE371" i="48"/>
  <c r="AC371" i="48"/>
  <c r="AH371" i="48"/>
  <c r="AD371" i="48"/>
  <c r="AL371" i="48"/>
  <c r="BK361" i="48"/>
  <c r="CG359" i="48"/>
  <c r="AO359" i="48"/>
  <c r="AM359" i="48"/>
  <c r="AK359" i="48"/>
  <c r="AI359" i="48"/>
  <c r="AG359" i="48"/>
  <c r="AE359" i="48"/>
  <c r="AC359" i="48"/>
  <c r="AH359" i="48"/>
  <c r="BK353" i="48"/>
  <c r="CG351" i="48"/>
  <c r="AO351" i="48"/>
  <c r="AM351" i="48"/>
  <c r="AK351" i="48"/>
  <c r="AI351" i="48"/>
  <c r="AG351" i="48"/>
  <c r="AE351" i="48"/>
  <c r="AC351" i="48"/>
  <c r="AH351" i="48"/>
  <c r="BK345" i="48"/>
  <c r="CG343" i="48"/>
  <c r="AO343" i="48"/>
  <c r="AM343" i="48"/>
  <c r="AK343" i="48"/>
  <c r="AI343" i="48"/>
  <c r="AG343" i="48"/>
  <c r="AE343" i="48"/>
  <c r="AC343" i="48"/>
  <c r="AH343" i="48"/>
  <c r="BK337" i="48"/>
  <c r="CG335" i="48"/>
  <c r="AO335" i="48"/>
  <c r="AM335" i="48"/>
  <c r="AK335" i="48"/>
  <c r="AI335" i="48"/>
  <c r="AG335" i="48"/>
  <c r="AE335" i="48"/>
  <c r="AC335" i="48"/>
  <c r="AH335" i="48"/>
  <c r="BK329" i="48"/>
  <c r="CG327" i="48"/>
  <c r="AO327" i="48"/>
  <c r="AM327" i="48"/>
  <c r="AK327" i="48"/>
  <c r="AI327" i="48"/>
  <c r="AG327" i="48"/>
  <c r="AE327" i="48"/>
  <c r="AC327" i="48"/>
  <c r="AH327" i="48"/>
  <c r="BK321" i="48"/>
  <c r="CG319" i="48"/>
  <c r="AO319" i="48"/>
  <c r="AM319" i="48"/>
  <c r="AK319" i="48"/>
  <c r="AI319" i="48"/>
  <c r="AG319" i="48"/>
  <c r="AE319" i="48"/>
  <c r="AC319" i="48"/>
  <c r="AH319" i="48"/>
  <c r="AL319" i="48"/>
  <c r="AD319" i="48"/>
  <c r="BJ460" i="48"/>
  <c r="AQ455" i="48"/>
  <c r="AP455" i="48"/>
  <c r="AY455" i="48" s="1"/>
  <c r="BN455" i="48"/>
  <c r="AR455" i="48"/>
  <c r="AV453" i="48"/>
  <c r="AT453" i="48"/>
  <c r="BE453" i="48"/>
  <c r="BA453" i="48"/>
  <c r="BC453" i="48"/>
  <c r="BG453" i="48"/>
  <c r="BF453" i="48"/>
  <c r="BD453" i="48"/>
  <c r="BB453" i="48"/>
  <c r="AF453" i="48"/>
  <c r="AD453" i="48"/>
  <c r="AV451" i="48"/>
  <c r="AT451" i="48"/>
  <c r="BE451" i="48"/>
  <c r="BA451" i="48"/>
  <c r="BC451" i="48"/>
  <c r="BG451" i="48"/>
  <c r="BF451" i="48"/>
  <c r="BD451" i="48"/>
  <c r="BB451" i="48"/>
  <c r="AF451" i="48"/>
  <c r="AD451" i="48"/>
  <c r="AP448" i="48"/>
  <c r="AY448" i="48" s="1"/>
  <c r="AQ448" i="48"/>
  <c r="AR448" i="48"/>
  <c r="BM448" i="48"/>
  <c r="AQ445" i="48"/>
  <c r="BN445" i="48"/>
  <c r="AR445" i="48"/>
  <c r="AV443" i="48"/>
  <c r="AT443" i="48"/>
  <c r="BE443" i="48"/>
  <c r="BA443" i="48"/>
  <c r="BC443" i="48"/>
  <c r="BG443" i="48"/>
  <c r="BF443" i="48"/>
  <c r="BD443" i="48"/>
  <c r="BB443" i="48"/>
  <c r="AF443" i="48"/>
  <c r="AD443" i="48"/>
  <c r="AQ440" i="48"/>
  <c r="AR440" i="48"/>
  <c r="BM440" i="48"/>
  <c r="BN437" i="48"/>
  <c r="AR437" i="48"/>
  <c r="BO433" i="48"/>
  <c r="BM433" i="48"/>
  <c r="AV431" i="48"/>
  <c r="AT431" i="48"/>
  <c r="BE431" i="48"/>
  <c r="BA431" i="48"/>
  <c r="BC431" i="48"/>
  <c r="BG431" i="48"/>
  <c r="BF431" i="48"/>
  <c r="BD431" i="48"/>
  <c r="BB431" i="48"/>
  <c r="AF431" i="48"/>
  <c r="AD431" i="48"/>
  <c r="AR429" i="48"/>
  <c r="BO427" i="48"/>
  <c r="BM427" i="48"/>
  <c r="AO420" i="48"/>
  <c r="AM420" i="48"/>
  <c r="AK420" i="48"/>
  <c r="AW420" i="48"/>
  <c r="AU420" i="48"/>
  <c r="BF420" i="48"/>
  <c r="BB420" i="48"/>
  <c r="BD420" i="48"/>
  <c r="AZ420" i="48"/>
  <c r="AO412" i="48"/>
  <c r="AM412" i="48"/>
  <c r="AK412" i="48"/>
  <c r="AW412" i="48"/>
  <c r="AU412" i="48"/>
  <c r="BF412" i="48"/>
  <c r="BB412" i="48"/>
  <c r="BD412" i="48"/>
  <c r="AZ412" i="48"/>
  <c r="BO406" i="48"/>
  <c r="BN406" i="48"/>
  <c r="AQ405" i="48"/>
  <c r="AP405" i="48"/>
  <c r="AY405" i="48" s="1"/>
  <c r="BN405" i="48"/>
  <c r="AR405" i="48"/>
  <c r="BM405" i="48"/>
  <c r="AN403" i="48"/>
  <c r="AL403" i="48"/>
  <c r="AJ403" i="48"/>
  <c r="AZ403" i="48"/>
  <c r="AW403" i="48"/>
  <c r="AU403" i="48"/>
  <c r="BJ401" i="48"/>
  <c r="AR400" i="48"/>
  <c r="BM400" i="48"/>
  <c r="BO397" i="48"/>
  <c r="AV395" i="48"/>
  <c r="AT395" i="48"/>
  <c r="BE395" i="48"/>
  <c r="BA395" i="48"/>
  <c r="BC395" i="48"/>
  <c r="BG395" i="48"/>
  <c r="BF395" i="48"/>
  <c r="BD395" i="48"/>
  <c r="BB395" i="48"/>
  <c r="AF395" i="48"/>
  <c r="AD395" i="48"/>
  <c r="AP392" i="48"/>
  <c r="AY392" i="48" s="1"/>
  <c r="AQ392" i="48"/>
  <c r="BO392" i="48"/>
  <c r="BN392" i="48"/>
  <c r="AN391" i="48"/>
  <c r="BK391" i="48"/>
  <c r="AF391" i="48"/>
  <c r="BM389" i="48"/>
  <c r="AR388" i="48"/>
  <c r="BM388" i="48"/>
  <c r="BN388" i="48"/>
  <c r="AJ387" i="48"/>
  <c r="AQ385" i="48"/>
  <c r="AP385" i="48"/>
  <c r="AY385" i="48" s="1"/>
  <c r="BN385" i="48"/>
  <c r="AR385" i="48"/>
  <c r="BO384" i="48"/>
  <c r="AN383" i="48"/>
  <c r="BK383" i="48"/>
  <c r="AF383" i="48"/>
  <c r="AR380" i="48"/>
  <c r="BM380" i="48"/>
  <c r="BN380" i="48"/>
  <c r="AJ379" i="48"/>
  <c r="AQ377" i="48"/>
  <c r="BN377" i="48"/>
  <c r="AR377" i="48"/>
  <c r="BO376" i="48"/>
  <c r="AN375" i="48"/>
  <c r="BK375" i="48"/>
  <c r="AF375" i="48"/>
  <c r="BO373" i="48"/>
  <c r="BM373" i="48"/>
  <c r="BM372" i="48"/>
  <c r="AJ371" i="48"/>
  <c r="AQ369" i="48"/>
  <c r="BN369" i="48"/>
  <c r="AR369" i="48"/>
  <c r="BE366" i="48"/>
  <c r="BC366" i="48"/>
  <c r="AN366" i="48"/>
  <c r="AL366" i="48"/>
  <c r="AJ366" i="48"/>
  <c r="AH366" i="48"/>
  <c r="AF366" i="48"/>
  <c r="AD366" i="48"/>
  <c r="AI366" i="48"/>
  <c r="AM366" i="48"/>
  <c r="CG366" i="48"/>
  <c r="AE366" i="48"/>
  <c r="AQ366" i="48" s="1"/>
  <c r="BE362" i="48"/>
  <c r="BC362" i="48"/>
  <c r="AN362" i="48"/>
  <c r="AL362" i="48"/>
  <c r="AJ362" i="48"/>
  <c r="AH362" i="48"/>
  <c r="AF362" i="48"/>
  <c r="AD362" i="48"/>
  <c r="AI362" i="48"/>
  <c r="CG362" i="48"/>
  <c r="AE362" i="48"/>
  <c r="AM362" i="48"/>
  <c r="BE358" i="48"/>
  <c r="BC358" i="48"/>
  <c r="AN358" i="48"/>
  <c r="AL358" i="48"/>
  <c r="AJ358" i="48"/>
  <c r="AH358" i="48"/>
  <c r="AF358" i="48"/>
  <c r="AD358" i="48"/>
  <c r="AI358" i="48"/>
  <c r="AM358" i="48"/>
  <c r="CG358" i="48"/>
  <c r="AE358" i="48"/>
  <c r="AQ358" i="48" s="1"/>
  <c r="BE354" i="48"/>
  <c r="BC354" i="48"/>
  <c r="AN354" i="48"/>
  <c r="AL354" i="48"/>
  <c r="AJ354" i="48"/>
  <c r="AH354" i="48"/>
  <c r="AF354" i="48"/>
  <c r="AD354" i="48"/>
  <c r="AI354" i="48"/>
  <c r="CG354" i="48"/>
  <c r="AE354" i="48"/>
  <c r="AM354" i="48"/>
  <c r="BE350" i="48"/>
  <c r="BC350" i="48"/>
  <c r="AN350" i="48"/>
  <c r="AL350" i="48"/>
  <c r="AJ350" i="48"/>
  <c r="AH350" i="48"/>
  <c r="AF350" i="48"/>
  <c r="AD350" i="48"/>
  <c r="AI350" i="48"/>
  <c r="AM350" i="48"/>
  <c r="CG350" i="48"/>
  <c r="AE350" i="48"/>
  <c r="AQ350" i="48" s="1"/>
  <c r="BE346" i="48"/>
  <c r="BC346" i="48"/>
  <c r="AN346" i="48"/>
  <c r="AL346" i="48"/>
  <c r="AJ346" i="48"/>
  <c r="AH346" i="48"/>
  <c r="AF346" i="48"/>
  <c r="AD346" i="48"/>
  <c r="AI346" i="48"/>
  <c r="CG346" i="48"/>
  <c r="AE346" i="48"/>
  <c r="AM346" i="48"/>
  <c r="BE342" i="48"/>
  <c r="BC342" i="48"/>
  <c r="AN342" i="48"/>
  <c r="AL342" i="48"/>
  <c r="AJ342" i="48"/>
  <c r="AH342" i="48"/>
  <c r="AF342" i="48"/>
  <c r="AD342" i="48"/>
  <c r="AI342" i="48"/>
  <c r="AM342" i="48"/>
  <c r="CG342" i="48"/>
  <c r="AE342" i="48"/>
  <c r="AQ342" i="48" s="1"/>
  <c r="BE338" i="48"/>
  <c r="BC338" i="48"/>
  <c r="AN338" i="48"/>
  <c r="AL338" i="48"/>
  <c r="AJ338" i="48"/>
  <c r="AH338" i="48"/>
  <c r="AF338" i="48"/>
  <c r="AD338" i="48"/>
  <c r="AI338" i="48"/>
  <c r="CG338" i="48"/>
  <c r="AE338" i="48"/>
  <c r="AM338" i="48"/>
  <c r="BE334" i="48"/>
  <c r="BC334" i="48"/>
  <c r="AN334" i="48"/>
  <c r="AL334" i="48"/>
  <c r="AJ334" i="48"/>
  <c r="AH334" i="48"/>
  <c r="AF334" i="48"/>
  <c r="AD334" i="48"/>
  <c r="AI334" i="48"/>
  <c r="AM334" i="48"/>
  <c r="CG334" i="48"/>
  <c r="AE334" i="48"/>
  <c r="AQ334" i="48" s="1"/>
  <c r="BE330" i="48"/>
  <c r="BC330" i="48"/>
  <c r="AN330" i="48"/>
  <c r="AL330" i="48"/>
  <c r="AJ330" i="48"/>
  <c r="AH330" i="48"/>
  <c r="AF330" i="48"/>
  <c r="AD330" i="48"/>
  <c r="AI330" i="48"/>
  <c r="CG330" i="48"/>
  <c r="AE330" i="48"/>
  <c r="AM330" i="48"/>
  <c r="BE326" i="48"/>
  <c r="BC326" i="48"/>
  <c r="AN326" i="48"/>
  <c r="AL326" i="48"/>
  <c r="AJ326" i="48"/>
  <c r="AH326" i="48"/>
  <c r="AF326" i="48"/>
  <c r="AD326" i="48"/>
  <c r="AI326" i="48"/>
  <c r="AM326" i="48"/>
  <c r="CG326" i="48"/>
  <c r="AE326" i="48"/>
  <c r="AQ326" i="48" s="1"/>
  <c r="BO324" i="48"/>
  <c r="AN323" i="48"/>
  <c r="AF323" i="48"/>
  <c r="BO321" i="48"/>
  <c r="BM321" i="48"/>
  <c r="AR320" i="48"/>
  <c r="BM320" i="48"/>
  <c r="BN320" i="48"/>
  <c r="AJ319" i="48"/>
  <c r="AQ317" i="48"/>
  <c r="BN317" i="48"/>
  <c r="AR317" i="48"/>
  <c r="BO316" i="48"/>
  <c r="AN315" i="48"/>
  <c r="BK315" i="48"/>
  <c r="AF315" i="48"/>
  <c r="CG313" i="48"/>
  <c r="AO313" i="48"/>
  <c r="AM313" i="48"/>
  <c r="AK313" i="48"/>
  <c r="AI313" i="48"/>
  <c r="AG313" i="48"/>
  <c r="AE313" i="48"/>
  <c r="AC313" i="48"/>
  <c r="AH313" i="48"/>
  <c r="AL313" i="48"/>
  <c r="AD313" i="48"/>
  <c r="CG305" i="48"/>
  <c r="AO305" i="48"/>
  <c r="AM305" i="48"/>
  <c r="AK305" i="48"/>
  <c r="AI305" i="48"/>
  <c r="AG305" i="48"/>
  <c r="AE305" i="48"/>
  <c r="AC305" i="48"/>
  <c r="AH305" i="48"/>
  <c r="AL305" i="48"/>
  <c r="AD305" i="48"/>
  <c r="BK299" i="48"/>
  <c r="CG297" i="48"/>
  <c r="AO297" i="48"/>
  <c r="AM297" i="48"/>
  <c r="AK297" i="48"/>
  <c r="AI297" i="48"/>
  <c r="AG297" i="48"/>
  <c r="AE297" i="48"/>
  <c r="AC297" i="48"/>
  <c r="AH297" i="48"/>
  <c r="AL297" i="48"/>
  <c r="AD297" i="48"/>
  <c r="BK291" i="48"/>
  <c r="CG289" i="48"/>
  <c r="AO289" i="48"/>
  <c r="AM289" i="48"/>
  <c r="AK289" i="48"/>
  <c r="AI289" i="48"/>
  <c r="AG289" i="48"/>
  <c r="AE289" i="48"/>
  <c r="AC289" i="48"/>
  <c r="AH289" i="48"/>
  <c r="AL289" i="48"/>
  <c r="AD289" i="48"/>
  <c r="BK283" i="48"/>
  <c r="CG281" i="48"/>
  <c r="AO281" i="48"/>
  <c r="AM281" i="48"/>
  <c r="AK281" i="48"/>
  <c r="AI281" i="48"/>
  <c r="AG281" i="48"/>
  <c r="AE281" i="48"/>
  <c r="AC281" i="48"/>
  <c r="AH281" i="48"/>
  <c r="AL281" i="48"/>
  <c r="AD281" i="48"/>
  <c r="BK275" i="48"/>
  <c r="CG273" i="48"/>
  <c r="AO273" i="48"/>
  <c r="AM273" i="48"/>
  <c r="AK273" i="48"/>
  <c r="AI273" i="48"/>
  <c r="AG273" i="48"/>
  <c r="AE273" i="48"/>
  <c r="AC273" i="48"/>
  <c r="AH273" i="48"/>
  <c r="AL273" i="48"/>
  <c r="AD273" i="48"/>
  <c r="BK267" i="48"/>
  <c r="CG265" i="48"/>
  <c r="AO265" i="48"/>
  <c r="AM265" i="48"/>
  <c r="AK265" i="48"/>
  <c r="AI265" i="48"/>
  <c r="AG265" i="48"/>
  <c r="AE265" i="48"/>
  <c r="AC265" i="48"/>
  <c r="AH265" i="48"/>
  <c r="AL265" i="48"/>
  <c r="AD265" i="48"/>
  <c r="BK261" i="48"/>
  <c r="CG258" i="48"/>
  <c r="AO258" i="48"/>
  <c r="AM258" i="48"/>
  <c r="AK258" i="48"/>
  <c r="AI258" i="48"/>
  <c r="AG258" i="48"/>
  <c r="AE258" i="48"/>
  <c r="AC258" i="48"/>
  <c r="AH258" i="48"/>
  <c r="AL258" i="48"/>
  <c r="AD258" i="48"/>
  <c r="BK252" i="48"/>
  <c r="CG250" i="48"/>
  <c r="AO250" i="48"/>
  <c r="AM250" i="48"/>
  <c r="AK250" i="48"/>
  <c r="AI250" i="48"/>
  <c r="AG250" i="48"/>
  <c r="AE250" i="48"/>
  <c r="AC250" i="48"/>
  <c r="AH250" i="48"/>
  <c r="AL250" i="48"/>
  <c r="AD250" i="48"/>
  <c r="BK244" i="48"/>
  <c r="CG242" i="48"/>
  <c r="AO242" i="48"/>
  <c r="AM242" i="48"/>
  <c r="AK242" i="48"/>
  <c r="AI242" i="48"/>
  <c r="AG242" i="48"/>
  <c r="AE242" i="48"/>
  <c r="AC242" i="48"/>
  <c r="AH242" i="48"/>
  <c r="AL242" i="48"/>
  <c r="AD242" i="48"/>
  <c r="CG236" i="48"/>
  <c r="AO236" i="48"/>
  <c r="AM236" i="48"/>
  <c r="AK236" i="48"/>
  <c r="AI236" i="48"/>
  <c r="AG236" i="48"/>
  <c r="AE236" i="48"/>
  <c r="AC236" i="48"/>
  <c r="AH236" i="48"/>
  <c r="AL236" i="48"/>
  <c r="AD236" i="48"/>
  <c r="BK230" i="48"/>
  <c r="CG228" i="48"/>
  <c r="AO228" i="48"/>
  <c r="AM228" i="48"/>
  <c r="AK228" i="48"/>
  <c r="AI228" i="48"/>
  <c r="AG228" i="48"/>
  <c r="AE228" i="48"/>
  <c r="AC228" i="48"/>
  <c r="AH228" i="48"/>
  <c r="AL228" i="48"/>
  <c r="AD228" i="48"/>
  <c r="CG220" i="48"/>
  <c r="AO220" i="48"/>
  <c r="AM220" i="48"/>
  <c r="AK220" i="48"/>
  <c r="AI220" i="48"/>
  <c r="AG220" i="48"/>
  <c r="AE220" i="48"/>
  <c r="AC220" i="48"/>
  <c r="AH220" i="48"/>
  <c r="AL220" i="48"/>
  <c r="AD220" i="48"/>
  <c r="BK214" i="48"/>
  <c r="CG212" i="48"/>
  <c r="AO212" i="48"/>
  <c r="AM212" i="48"/>
  <c r="AK212" i="48"/>
  <c r="AI212" i="48"/>
  <c r="AG212" i="48"/>
  <c r="AE212" i="48"/>
  <c r="AC212" i="48"/>
  <c r="AH212" i="48"/>
  <c r="AD212" i="48"/>
  <c r="AL212" i="48"/>
  <c r="BK204" i="48"/>
  <c r="CG202" i="48"/>
  <c r="AO202" i="48"/>
  <c r="AM202" i="48"/>
  <c r="AK202" i="48"/>
  <c r="AI202" i="48"/>
  <c r="AG202" i="48"/>
  <c r="AE202" i="48"/>
  <c r="AC202" i="48"/>
  <c r="AH202" i="48"/>
  <c r="AL202" i="48"/>
  <c r="BO202" i="48" s="1"/>
  <c r="AD202" i="48"/>
  <c r="CG194" i="48"/>
  <c r="AO194" i="48"/>
  <c r="AM194" i="48"/>
  <c r="AK194" i="48"/>
  <c r="AI194" i="48"/>
  <c r="AG194" i="48"/>
  <c r="AE194" i="48"/>
  <c r="AC194" i="48"/>
  <c r="AH194" i="48"/>
  <c r="AL194" i="48"/>
  <c r="BO194" i="48" s="1"/>
  <c r="AD194" i="48"/>
  <c r="BK188" i="48"/>
  <c r="CG186" i="48"/>
  <c r="AO186" i="48"/>
  <c r="AM186" i="48"/>
  <c r="AK186" i="48"/>
  <c r="AI186" i="48"/>
  <c r="AG186" i="48"/>
  <c r="AE186" i="48"/>
  <c r="AC186" i="48"/>
  <c r="AH186" i="48"/>
  <c r="AL186" i="48"/>
  <c r="BO186" i="48" s="1"/>
  <c r="AD186" i="48"/>
  <c r="BJ476" i="48"/>
  <c r="AQ471" i="48"/>
  <c r="AP471" i="48"/>
  <c r="AY471" i="48" s="1"/>
  <c r="BN471" i="48"/>
  <c r="AR471" i="48"/>
  <c r="AV469" i="48"/>
  <c r="AT469" i="48"/>
  <c r="BE469" i="48"/>
  <c r="BA469" i="48"/>
  <c r="BC469" i="48"/>
  <c r="BG469" i="48"/>
  <c r="BF469" i="48"/>
  <c r="BD469" i="48"/>
  <c r="BB469" i="48"/>
  <c r="AZ469" i="48"/>
  <c r="AW469" i="48"/>
  <c r="AU469" i="48"/>
  <c r="BJ449" i="48"/>
  <c r="BJ441" i="48"/>
  <c r="BO432" i="48"/>
  <c r="BN432" i="48"/>
  <c r="AQ429" i="48"/>
  <c r="AP429" i="48"/>
  <c r="AY429" i="48" s="1"/>
  <c r="BN429" i="48"/>
  <c r="BM429" i="48"/>
  <c r="BJ427" i="48"/>
  <c r="BJ425" i="48"/>
  <c r="BG424" i="48"/>
  <c r="BE424" i="48"/>
  <c r="BC424" i="48"/>
  <c r="AQ424" i="48"/>
  <c r="AN424" i="48"/>
  <c r="AL424" i="48"/>
  <c r="AJ424" i="48"/>
  <c r="AH424" i="48"/>
  <c r="AF424" i="48"/>
  <c r="AD424" i="48"/>
  <c r="CG424" i="48"/>
  <c r="AI424" i="48"/>
  <c r="AO416" i="48"/>
  <c r="AM416" i="48"/>
  <c r="AK416" i="48"/>
  <c r="BJ416" i="48"/>
  <c r="AW416" i="48"/>
  <c r="AU416" i="48"/>
  <c r="BF416" i="48"/>
  <c r="BB416" i="48"/>
  <c r="BD416" i="48"/>
  <c r="AZ416" i="48"/>
  <c r="BJ409" i="48"/>
  <c r="BJ411" i="48"/>
  <c r="BG408" i="48"/>
  <c r="BE408" i="48"/>
  <c r="BC408" i="48"/>
  <c r="AQ408" i="48"/>
  <c r="AN408" i="48"/>
  <c r="AL408" i="48"/>
  <c r="AJ408" i="48"/>
  <c r="AH408" i="48"/>
  <c r="AF408" i="48"/>
  <c r="AD408" i="48"/>
  <c r="CG408" i="48"/>
  <c r="AI408" i="48"/>
  <c r="AP404" i="48"/>
  <c r="AY404" i="48" s="1"/>
  <c r="AQ404" i="48"/>
  <c r="AR404" i="48"/>
  <c r="BM404" i="48"/>
  <c r="AQ401" i="48"/>
  <c r="AP401" i="48"/>
  <c r="AY401" i="48" s="1"/>
  <c r="BN401" i="48"/>
  <c r="AR401" i="48"/>
  <c r="AV399" i="48"/>
  <c r="AT399" i="48"/>
  <c r="BE399" i="48"/>
  <c r="BA399" i="48"/>
  <c r="BC399" i="48"/>
  <c r="BG399" i="48"/>
  <c r="BF399" i="48"/>
  <c r="BD399" i="48"/>
  <c r="BB399" i="48"/>
  <c r="AF399" i="48"/>
  <c r="AD399" i="48"/>
  <c r="AP396" i="48"/>
  <c r="AY396" i="48" s="1"/>
  <c r="AQ396" i="48"/>
  <c r="AR396" i="48"/>
  <c r="BM396" i="48"/>
  <c r="AQ393" i="48"/>
  <c r="AP393" i="48"/>
  <c r="AY393" i="48" s="1"/>
  <c r="BN393" i="48"/>
  <c r="AR393" i="48"/>
  <c r="AO386" i="48"/>
  <c r="AM386" i="48"/>
  <c r="AK386" i="48"/>
  <c r="AW386" i="48"/>
  <c r="AU386" i="48"/>
  <c r="BF386" i="48"/>
  <c r="BB386" i="48"/>
  <c r="BD386" i="48"/>
  <c r="AZ386" i="48"/>
  <c r="AO378" i="48"/>
  <c r="AM378" i="48"/>
  <c r="AK378" i="48"/>
  <c r="BJ378" i="48"/>
  <c r="AW378" i="48"/>
  <c r="AU378" i="48"/>
  <c r="BF378" i="48"/>
  <c r="BB378" i="48"/>
  <c r="BD378" i="48"/>
  <c r="AZ378" i="48"/>
  <c r="AO370" i="48"/>
  <c r="AM370" i="48"/>
  <c r="AK370" i="48"/>
  <c r="BJ370" i="48"/>
  <c r="AW370" i="48"/>
  <c r="AU370" i="48"/>
  <c r="BF370" i="48"/>
  <c r="BB370" i="48"/>
  <c r="BD370" i="48"/>
  <c r="AZ370" i="48"/>
  <c r="AR364" i="48"/>
  <c r="BM364" i="48"/>
  <c r="BO361" i="48"/>
  <c r="BM361" i="48"/>
  <c r="AV359" i="48"/>
  <c r="AT359" i="48"/>
  <c r="BE359" i="48"/>
  <c r="BA359" i="48"/>
  <c r="BC359" i="48"/>
  <c r="BG359" i="48"/>
  <c r="BF359" i="48"/>
  <c r="BD359" i="48"/>
  <c r="BB359" i="48"/>
  <c r="AF359" i="48"/>
  <c r="AD359" i="48"/>
  <c r="AR356" i="48"/>
  <c r="BM356" i="48"/>
  <c r="BO353" i="48"/>
  <c r="BM353" i="48"/>
  <c r="AV351" i="48"/>
  <c r="AT351" i="48"/>
  <c r="BE351" i="48"/>
  <c r="BA351" i="48"/>
  <c r="BC351" i="48"/>
  <c r="BG351" i="48"/>
  <c r="BF351" i="48"/>
  <c r="BD351" i="48"/>
  <c r="BB351" i="48"/>
  <c r="BK351" i="48" s="1"/>
  <c r="AF351" i="48"/>
  <c r="AD351" i="48"/>
  <c r="AR348" i="48"/>
  <c r="BM348" i="48"/>
  <c r="BO345" i="48"/>
  <c r="BM345" i="48"/>
  <c r="AV343" i="48"/>
  <c r="AT343" i="48"/>
  <c r="BE343" i="48"/>
  <c r="BA343" i="48"/>
  <c r="BC343" i="48"/>
  <c r="BG343" i="48"/>
  <c r="BF343" i="48"/>
  <c r="BD343" i="48"/>
  <c r="BB343" i="48"/>
  <c r="AF343" i="48"/>
  <c r="AD343" i="48"/>
  <c r="BO340" i="48"/>
  <c r="BN340" i="48"/>
  <c r="AQ337" i="48"/>
  <c r="AP337" i="48"/>
  <c r="AY337" i="48" s="1"/>
  <c r="BN337" i="48"/>
  <c r="AR337" i="48"/>
  <c r="BM337" i="48"/>
  <c r="AN335" i="48"/>
  <c r="AL335" i="48"/>
  <c r="AJ335" i="48"/>
  <c r="AZ335" i="48"/>
  <c r="AW335" i="48"/>
  <c r="AU335" i="48"/>
  <c r="BJ333" i="48"/>
  <c r="AR332" i="48"/>
  <c r="BM332" i="48"/>
  <c r="BO329" i="48"/>
  <c r="AV327" i="48"/>
  <c r="AT327" i="48"/>
  <c r="BE327" i="48"/>
  <c r="BA327" i="48"/>
  <c r="BC327" i="48"/>
  <c r="BG327" i="48"/>
  <c r="BF327" i="48"/>
  <c r="BD327" i="48"/>
  <c r="BB327" i="48"/>
  <c r="AF327" i="48"/>
  <c r="AD327" i="48"/>
  <c r="AO322" i="48"/>
  <c r="AM322" i="48"/>
  <c r="AK322" i="48"/>
  <c r="BJ322" i="48"/>
  <c r="AW322" i="48"/>
  <c r="AU322" i="48"/>
  <c r="BF322" i="48"/>
  <c r="BB322" i="48"/>
  <c r="BD322" i="48"/>
  <c r="AZ322" i="48"/>
  <c r="BG318" i="48"/>
  <c r="BE318" i="48"/>
  <c r="BC318" i="48"/>
  <c r="AQ318" i="48"/>
  <c r="AN318" i="48"/>
  <c r="AL318" i="48"/>
  <c r="AJ318" i="48"/>
  <c r="AH318" i="48"/>
  <c r="AF318" i="48"/>
  <c r="AD318" i="48"/>
  <c r="CG318" i="48"/>
  <c r="AI318" i="48"/>
  <c r="BO314" i="48"/>
  <c r="AN313" i="48"/>
  <c r="BK313" i="48"/>
  <c r="AF313" i="48"/>
  <c r="BO311" i="48"/>
  <c r="BM311" i="48"/>
  <c r="AR310" i="48"/>
  <c r="BM310" i="48"/>
  <c r="BN310" i="48"/>
  <c r="AJ309" i="48"/>
  <c r="AQ307" i="48"/>
  <c r="BN307" i="48"/>
  <c r="AR307" i="48"/>
  <c r="AN305" i="48"/>
  <c r="BK305" i="48"/>
  <c r="AF305" i="48"/>
  <c r="BO303" i="48"/>
  <c r="BM303" i="48"/>
  <c r="AR302" i="48"/>
  <c r="BM302" i="48"/>
  <c r="BN302" i="48"/>
  <c r="AJ301" i="48"/>
  <c r="AQ299" i="48"/>
  <c r="AP299" i="48"/>
  <c r="AY299" i="48" s="1"/>
  <c r="BN299" i="48"/>
  <c r="AR299" i="48"/>
  <c r="BO298" i="48"/>
  <c r="AN297" i="48"/>
  <c r="BK297" i="48"/>
  <c r="AF297" i="48"/>
  <c r="BO295" i="48"/>
  <c r="BM295" i="48"/>
  <c r="AR294" i="48"/>
  <c r="BM294" i="48"/>
  <c r="BN294" i="48"/>
  <c r="AJ293" i="48"/>
  <c r="AQ291" i="48"/>
  <c r="AP291" i="48"/>
  <c r="AY291" i="48" s="1"/>
  <c r="BN291" i="48"/>
  <c r="AR291" i="48"/>
  <c r="AN289" i="48"/>
  <c r="AF289" i="48"/>
  <c r="AR286" i="48"/>
  <c r="BM286" i="48"/>
  <c r="BN286" i="48"/>
  <c r="AJ285" i="48"/>
  <c r="AQ283" i="48"/>
  <c r="AP283" i="48"/>
  <c r="AY283" i="48" s="1"/>
  <c r="BN283" i="48"/>
  <c r="AR283" i="48"/>
  <c r="BO282" i="48"/>
  <c r="AN281" i="48"/>
  <c r="BK281" i="48"/>
  <c r="AF281" i="48"/>
  <c r="BO279" i="48"/>
  <c r="BM279" i="48"/>
  <c r="AR278" i="48"/>
  <c r="BM278" i="48"/>
  <c r="BN278" i="48"/>
  <c r="AJ277" i="48"/>
  <c r="AQ275" i="48"/>
  <c r="BN275" i="48"/>
  <c r="AR275" i="48"/>
  <c r="BO274" i="48"/>
  <c r="AN273" i="48"/>
  <c r="BK273" i="48"/>
  <c r="AF273" i="48"/>
  <c r="BO271" i="48"/>
  <c r="BM271" i="48"/>
  <c r="AR270" i="48"/>
  <c r="BM270" i="48"/>
  <c r="BN270" i="48"/>
  <c r="AJ269" i="48"/>
  <c r="AQ267" i="48"/>
  <c r="AP267" i="48"/>
  <c r="AY267" i="48" s="1"/>
  <c r="BN267" i="48"/>
  <c r="AR267" i="48"/>
  <c r="BO266" i="48"/>
  <c r="AN265" i="48"/>
  <c r="BK265" i="48"/>
  <c r="AF265" i="48"/>
  <c r="AN263" i="48"/>
  <c r="BK263" i="48"/>
  <c r="AF263" i="48"/>
  <c r="BO261" i="48"/>
  <c r="BM261" i="48"/>
  <c r="AR260" i="48"/>
  <c r="BM260" i="48"/>
  <c r="BN260" i="48"/>
  <c r="AR259" i="48"/>
  <c r="BM259" i="48"/>
  <c r="BN259" i="48"/>
  <c r="AJ258" i="48"/>
  <c r="AQ256" i="48"/>
  <c r="BN256" i="48"/>
  <c r="AR256" i="48"/>
  <c r="BO255" i="48"/>
  <c r="AN254" i="48"/>
  <c r="BK254" i="48"/>
  <c r="AF254" i="48"/>
  <c r="BO252" i="48"/>
  <c r="BM252" i="48"/>
  <c r="AR251" i="48"/>
  <c r="BM251" i="48"/>
  <c r="BN251" i="48"/>
  <c r="AJ250" i="48"/>
  <c r="AQ248" i="48"/>
  <c r="AN246" i="48"/>
  <c r="AF246" i="48"/>
  <c r="BM244" i="48"/>
  <c r="AJ242" i="48"/>
  <c r="AQ240" i="48"/>
  <c r="AP240" i="48"/>
  <c r="AY240" i="48" s="1"/>
  <c r="AR240" i="48"/>
  <c r="AN238" i="48"/>
  <c r="AF238" i="48"/>
  <c r="AN236" i="48"/>
  <c r="AF236" i="48"/>
  <c r="BJ419" i="48"/>
  <c r="BJ405" i="48"/>
  <c r="BJ397" i="48"/>
  <c r="BJ390" i="48"/>
  <c r="AW390" i="48"/>
  <c r="AU390" i="48"/>
  <c r="BF390" i="48"/>
  <c r="BB390" i="48"/>
  <c r="BD390" i="48"/>
  <c r="AZ390" i="48"/>
  <c r="BJ383" i="48"/>
  <c r="AQ382" i="48"/>
  <c r="AN382" i="48"/>
  <c r="AL382" i="48"/>
  <c r="AJ382" i="48"/>
  <c r="AH382" i="48"/>
  <c r="AF382" i="48"/>
  <c r="AD382" i="48"/>
  <c r="CG382" i="48"/>
  <c r="AI382" i="48"/>
  <c r="BJ374" i="48"/>
  <c r="AW374" i="48"/>
  <c r="AU374" i="48"/>
  <c r="BF374" i="48"/>
  <c r="BB374" i="48"/>
  <c r="BD374" i="48"/>
  <c r="AZ374" i="48"/>
  <c r="AR368" i="48"/>
  <c r="BM368" i="48"/>
  <c r="AQ365" i="48"/>
  <c r="AP365" i="48"/>
  <c r="AY365" i="48" s="1"/>
  <c r="BM365" i="48"/>
  <c r="AN363" i="48"/>
  <c r="AL363" i="48"/>
  <c r="AJ363" i="48"/>
  <c r="BJ361" i="48"/>
  <c r="AR360" i="48"/>
  <c r="BM360" i="48"/>
  <c r="AV355" i="48"/>
  <c r="AT355" i="48"/>
  <c r="BE355" i="48"/>
  <c r="BA355" i="48"/>
  <c r="BC355" i="48"/>
  <c r="BG355" i="48"/>
  <c r="BF355" i="48"/>
  <c r="BD355" i="48"/>
  <c r="BB355" i="48"/>
  <c r="AF355" i="48"/>
  <c r="AD355" i="48"/>
  <c r="BN352" i="48"/>
  <c r="AQ349" i="48"/>
  <c r="AP349" i="48"/>
  <c r="AY349" i="48" s="1"/>
  <c r="BM349" i="48"/>
  <c r="AN347" i="48"/>
  <c r="AL347" i="48"/>
  <c r="AJ347" i="48"/>
  <c r="BJ345" i="48"/>
  <c r="AR344" i="48"/>
  <c r="BM344" i="48"/>
  <c r="BJ377" i="48"/>
  <c r="BJ337" i="48"/>
  <c r="BJ319" i="48"/>
  <c r="AW308" i="48"/>
  <c r="AU308" i="48"/>
  <c r="BF308" i="48"/>
  <c r="BB308" i="48"/>
  <c r="BD308" i="48"/>
  <c r="AZ308" i="48"/>
  <c r="BJ301" i="48"/>
  <c r="AQ300" i="48"/>
  <c r="AN300" i="48"/>
  <c r="AL300" i="48"/>
  <c r="AJ300" i="48"/>
  <c r="AH300" i="48"/>
  <c r="AF300" i="48"/>
  <c r="AD300" i="48"/>
  <c r="CG300" i="48"/>
  <c r="AI300" i="48"/>
  <c r="BJ292" i="48"/>
  <c r="AW292" i="48"/>
  <c r="AU292" i="48"/>
  <c r="BF292" i="48"/>
  <c r="BB292" i="48"/>
  <c r="BD292" i="48"/>
  <c r="AZ292" i="48"/>
  <c r="BJ285" i="48"/>
  <c r="AQ284" i="48"/>
  <c r="AN284" i="48"/>
  <c r="AL284" i="48"/>
  <c r="AJ284" i="48"/>
  <c r="AH284" i="48"/>
  <c r="AF284" i="48"/>
  <c r="AD284" i="48"/>
  <c r="CG284" i="48"/>
  <c r="AI284" i="48"/>
  <c r="BJ276" i="48"/>
  <c r="AW276" i="48"/>
  <c r="AU276" i="48"/>
  <c r="BF276" i="48"/>
  <c r="BB276" i="48"/>
  <c r="BD276" i="48"/>
  <c r="AZ276" i="48"/>
  <c r="BJ269" i="48"/>
  <c r="AQ268" i="48"/>
  <c r="AN268" i="48"/>
  <c r="AL268" i="48"/>
  <c r="AJ268" i="48"/>
  <c r="AH268" i="48"/>
  <c r="AF268" i="48"/>
  <c r="AD268" i="48"/>
  <c r="CG268" i="48"/>
  <c r="AI268" i="48"/>
  <c r="BJ262" i="48"/>
  <c r="AW262" i="48"/>
  <c r="AU262" i="48"/>
  <c r="BF262" i="48"/>
  <c r="BB262" i="48"/>
  <c r="BD262" i="48"/>
  <c r="AZ262" i="48"/>
  <c r="BJ253" i="48"/>
  <c r="AW253" i="48"/>
  <c r="AU253" i="48"/>
  <c r="BF253" i="48"/>
  <c r="BB253" i="48"/>
  <c r="BD253" i="48"/>
  <c r="AZ253" i="48"/>
  <c r="BJ246" i="48"/>
  <c r="AQ245" i="48"/>
  <c r="AN245" i="48"/>
  <c r="AL245" i="48"/>
  <c r="AJ245" i="48"/>
  <c r="AH245" i="48"/>
  <c r="AF245" i="48"/>
  <c r="AD245" i="48"/>
  <c r="CG245" i="48"/>
  <c r="AI245" i="48"/>
  <c r="BJ236" i="48"/>
  <c r="AQ234" i="48"/>
  <c r="AR234" i="48"/>
  <c r="AN232" i="48"/>
  <c r="AF232" i="48"/>
  <c r="AR229" i="48"/>
  <c r="BM229" i="48"/>
  <c r="BN229" i="48"/>
  <c r="AJ228" i="48"/>
  <c r="AQ226" i="48"/>
  <c r="AN224" i="48"/>
  <c r="BK224" i="48"/>
  <c r="AF224" i="48"/>
  <c r="BM222" i="48"/>
  <c r="AR221" i="48"/>
  <c r="BM221" i="48"/>
  <c r="BN221" i="48"/>
  <c r="AJ220" i="48"/>
  <c r="AQ218" i="48"/>
  <c r="AP218" i="48"/>
  <c r="AY218" i="48" s="1"/>
  <c r="AR218" i="48"/>
  <c r="AN216" i="48"/>
  <c r="BK216" i="48"/>
  <c r="AF216" i="48"/>
  <c r="BO336" i="48"/>
  <c r="BO328" i="48"/>
  <c r="BJ313" i="48"/>
  <c r="AQ312" i="48"/>
  <c r="AN312" i="48"/>
  <c r="AL312" i="48"/>
  <c r="AJ312" i="48"/>
  <c r="AH312" i="48"/>
  <c r="AF312" i="48"/>
  <c r="AD312" i="48"/>
  <c r="CG312" i="48"/>
  <c r="AI312" i="48"/>
  <c r="BJ297" i="48"/>
  <c r="AQ296" i="48"/>
  <c r="AN296" i="48"/>
  <c r="AL296" i="48"/>
  <c r="AJ296" i="48"/>
  <c r="AH296" i="48"/>
  <c r="AF296" i="48"/>
  <c r="AD296" i="48"/>
  <c r="CG296" i="48"/>
  <c r="AI296" i="48"/>
  <c r="BJ281" i="48"/>
  <c r="AQ280" i="48"/>
  <c r="AN280" i="48"/>
  <c r="AL280" i="48"/>
  <c r="AJ280" i="48"/>
  <c r="AH280" i="48"/>
  <c r="AF280" i="48"/>
  <c r="AD280" i="48"/>
  <c r="CG280" i="48"/>
  <c r="AI280" i="48"/>
  <c r="BJ265" i="48"/>
  <c r="AQ264" i="48"/>
  <c r="AN264" i="48"/>
  <c r="AL264" i="48"/>
  <c r="AJ264" i="48"/>
  <c r="AH264" i="48"/>
  <c r="AF264" i="48"/>
  <c r="AD264" i="48"/>
  <c r="CG264" i="48"/>
  <c r="AI264" i="48"/>
  <c r="BJ258" i="48"/>
  <c r="AQ257" i="48"/>
  <c r="AN257" i="48"/>
  <c r="AL257" i="48"/>
  <c r="AJ257" i="48"/>
  <c r="AH257" i="48"/>
  <c r="AF257" i="48"/>
  <c r="AD257" i="48"/>
  <c r="CG257" i="48"/>
  <c r="AI257" i="48"/>
  <c r="BJ242" i="48"/>
  <c r="AQ241" i="48"/>
  <c r="AN241" i="48"/>
  <c r="AL241" i="48"/>
  <c r="AJ241" i="48"/>
  <c r="AH241" i="48"/>
  <c r="AF241" i="48"/>
  <c r="AD241" i="48"/>
  <c r="CG241" i="48"/>
  <c r="AI241" i="48"/>
  <c r="AW231" i="48"/>
  <c r="AU231" i="48"/>
  <c r="BF231" i="48"/>
  <c r="BB231" i="48"/>
  <c r="BD231" i="48"/>
  <c r="AZ231" i="48"/>
  <c r="BJ224" i="48"/>
  <c r="AQ223" i="48"/>
  <c r="AN223" i="48"/>
  <c r="AL223" i="48"/>
  <c r="AJ223" i="48"/>
  <c r="AH223" i="48"/>
  <c r="AF223" i="48"/>
  <c r="AD223" i="48"/>
  <c r="CG223" i="48"/>
  <c r="AI223" i="48"/>
  <c r="AN215" i="48"/>
  <c r="AL215" i="48"/>
  <c r="AJ215" i="48"/>
  <c r="AH215" i="48"/>
  <c r="AF215" i="48"/>
  <c r="AD215" i="48"/>
  <c r="CG215" i="48"/>
  <c r="AM215" i="48"/>
  <c r="AE215" i="48"/>
  <c r="AQ215" i="48" s="1"/>
  <c r="AI215" i="48"/>
  <c r="BM214" i="48"/>
  <c r="BN213" i="48"/>
  <c r="AJ212" i="48"/>
  <c r="AQ210" i="48"/>
  <c r="AR210" i="48"/>
  <c r="BM208" i="48"/>
  <c r="AR207" i="48"/>
  <c r="BM207" i="48"/>
  <c r="BN207" i="48"/>
  <c r="AJ206" i="48"/>
  <c r="AQ204" i="48"/>
  <c r="AN202" i="48"/>
  <c r="BK202" i="48"/>
  <c r="AF202" i="48"/>
  <c r="BM200" i="48"/>
  <c r="BN199" i="48"/>
  <c r="AJ198" i="48"/>
  <c r="AQ196" i="48"/>
  <c r="AP196" i="48"/>
  <c r="AY196" i="48" s="1"/>
  <c r="AR196" i="48"/>
  <c r="AN194" i="48"/>
  <c r="BK194" i="48"/>
  <c r="AF194" i="48"/>
  <c r="BM192" i="48"/>
  <c r="AR191" i="48"/>
  <c r="BM191" i="48"/>
  <c r="BN191" i="48"/>
  <c r="AJ190" i="48"/>
  <c r="AQ188" i="48"/>
  <c r="AR188" i="48"/>
  <c r="AN186" i="48"/>
  <c r="BK186" i="48"/>
  <c r="AF186" i="48"/>
  <c r="AR183" i="48"/>
  <c r="BM183" i="48"/>
  <c r="BN183" i="48"/>
  <c r="CG176" i="48"/>
  <c r="AO176" i="48"/>
  <c r="AM176" i="48"/>
  <c r="AK176" i="48"/>
  <c r="AI176" i="48"/>
  <c r="AG176" i="48"/>
  <c r="AE176" i="48"/>
  <c r="AC176" i="48"/>
  <c r="AH176" i="48"/>
  <c r="CG168" i="48"/>
  <c r="AO168" i="48"/>
  <c r="AM168" i="48"/>
  <c r="AK168" i="48"/>
  <c r="AI168" i="48"/>
  <c r="AG168" i="48"/>
  <c r="AE168" i="48"/>
  <c r="AC168" i="48"/>
  <c r="AH168" i="48"/>
  <c r="CG160" i="48"/>
  <c r="AO160" i="48"/>
  <c r="AM160" i="48"/>
  <c r="AK160" i="48"/>
  <c r="AI160" i="48"/>
  <c r="AG160" i="48"/>
  <c r="AE160" i="48"/>
  <c r="AC160" i="48"/>
  <c r="AH160" i="48"/>
  <c r="AR333" i="48"/>
  <c r="AV331" i="48"/>
  <c r="AT331" i="48"/>
  <c r="BE331" i="48"/>
  <c r="BA331" i="48"/>
  <c r="BC331" i="48"/>
  <c r="BG331" i="48"/>
  <c r="BF331" i="48"/>
  <c r="BD331" i="48"/>
  <c r="BB331" i="48"/>
  <c r="AZ331" i="48"/>
  <c r="AW331" i="48"/>
  <c r="AU331" i="48"/>
  <c r="BJ311" i="48"/>
  <c r="BJ307" i="48"/>
  <c r="BJ295" i="48"/>
  <c r="BJ291" i="48"/>
  <c r="BJ279" i="48"/>
  <c r="BJ249" i="48"/>
  <c r="AW249" i="48"/>
  <c r="AU249" i="48"/>
  <c r="BF249" i="48"/>
  <c r="BB249" i="48"/>
  <c r="BD249" i="48"/>
  <c r="AZ249" i="48"/>
  <c r="AQ235" i="48"/>
  <c r="AN235" i="48"/>
  <c r="AL235" i="48"/>
  <c r="AJ235" i="48"/>
  <c r="AH235" i="48"/>
  <c r="AF235" i="48"/>
  <c r="AD235" i="48"/>
  <c r="CG235" i="48"/>
  <c r="AI235" i="48"/>
  <c r="BJ220" i="48"/>
  <c r="AQ219" i="48"/>
  <c r="AN219" i="48"/>
  <c r="AL219" i="48"/>
  <c r="AJ219" i="48"/>
  <c r="AH219" i="48"/>
  <c r="AF219" i="48"/>
  <c r="AD219" i="48"/>
  <c r="CG219" i="48"/>
  <c r="AI219" i="48"/>
  <c r="AW205" i="48"/>
  <c r="AU205" i="48"/>
  <c r="BF205" i="48"/>
  <c r="BB205" i="48"/>
  <c r="BD205" i="48"/>
  <c r="AZ205" i="48"/>
  <c r="BJ198" i="48"/>
  <c r="AQ197" i="48"/>
  <c r="AN197" i="48"/>
  <c r="AL197" i="48"/>
  <c r="AJ197" i="48"/>
  <c r="AH197" i="48"/>
  <c r="AF197" i="48"/>
  <c r="AD197" i="48"/>
  <c r="CG197" i="48"/>
  <c r="AI197" i="48"/>
  <c r="BJ189" i="48"/>
  <c r="AW189" i="48"/>
  <c r="AU189" i="48"/>
  <c r="BF189" i="48"/>
  <c r="BB189" i="48"/>
  <c r="BD189" i="48"/>
  <c r="AZ189" i="48"/>
  <c r="BJ182" i="48"/>
  <c r="AW179" i="48"/>
  <c r="AU179" i="48"/>
  <c r="BF179" i="48"/>
  <c r="BB179" i="48"/>
  <c r="AZ179" i="48"/>
  <c r="AV179" i="48"/>
  <c r="BJ179" i="48" s="1"/>
  <c r="BD179" i="48"/>
  <c r="AW175" i="48"/>
  <c r="AU175" i="48"/>
  <c r="BF175" i="48"/>
  <c r="BB175" i="48"/>
  <c r="AZ175" i="48"/>
  <c r="BD175" i="48"/>
  <c r="AV175" i="48"/>
  <c r="BJ175" i="48" s="1"/>
  <c r="AW171" i="48"/>
  <c r="AU171" i="48"/>
  <c r="BF171" i="48"/>
  <c r="BB171" i="48"/>
  <c r="AZ171" i="48"/>
  <c r="AV171" i="48"/>
  <c r="BJ171" i="48" s="1"/>
  <c r="BD171" i="48"/>
  <c r="AW167" i="48"/>
  <c r="AU167" i="48"/>
  <c r="BF167" i="48"/>
  <c r="BB167" i="48"/>
  <c r="AZ167" i="48"/>
  <c r="BD167" i="48"/>
  <c r="AV167" i="48"/>
  <c r="BJ167" i="48" s="1"/>
  <c r="AW163" i="48"/>
  <c r="AU163" i="48"/>
  <c r="BF163" i="48"/>
  <c r="BB163" i="48"/>
  <c r="AZ163" i="48"/>
  <c r="AV163" i="48"/>
  <c r="BJ163" i="48" s="1"/>
  <c r="BD163" i="48"/>
  <c r="AW159" i="48"/>
  <c r="AU159" i="48"/>
  <c r="BF159" i="48"/>
  <c r="BB159" i="48"/>
  <c r="AZ159" i="48"/>
  <c r="BD159" i="48"/>
  <c r="AV159" i="48"/>
  <c r="BJ159" i="48" s="1"/>
  <c r="CG152" i="48"/>
  <c r="AO152" i="48"/>
  <c r="AM152" i="48"/>
  <c r="AK152" i="48"/>
  <c r="AI152" i="48"/>
  <c r="AG152" i="48"/>
  <c r="AE152" i="48"/>
  <c r="AC152" i="48"/>
  <c r="AH152" i="48"/>
  <c r="BJ385" i="48"/>
  <c r="BJ369" i="48"/>
  <c r="AQ341" i="48"/>
  <c r="AP341" i="48"/>
  <c r="AY341" i="48" s="1"/>
  <c r="AR341" i="48"/>
  <c r="AV339" i="48"/>
  <c r="AT339" i="48"/>
  <c r="BE339" i="48"/>
  <c r="BA339" i="48"/>
  <c r="BC339" i="48"/>
  <c r="BG339" i="48"/>
  <c r="BF339" i="48"/>
  <c r="BD339" i="48"/>
  <c r="BB339" i="48"/>
  <c r="AZ339" i="48"/>
  <c r="AW339" i="48"/>
  <c r="AU339" i="48"/>
  <c r="AR325" i="48"/>
  <c r="BJ304" i="48"/>
  <c r="AW304" i="48"/>
  <c r="AU304" i="48"/>
  <c r="BF304" i="48"/>
  <c r="BB304" i="48"/>
  <c r="BD304" i="48"/>
  <c r="AZ304" i="48"/>
  <c r="AQ288" i="48"/>
  <c r="AN288" i="48"/>
  <c r="AL288" i="48"/>
  <c r="AJ288" i="48"/>
  <c r="AH288" i="48"/>
  <c r="AF288" i="48"/>
  <c r="AD288" i="48"/>
  <c r="CG288" i="48"/>
  <c r="BJ283" i="48"/>
  <c r="BJ272" i="48"/>
  <c r="AW272" i="48"/>
  <c r="AU272" i="48"/>
  <c r="BF272" i="48"/>
  <c r="BB272" i="48"/>
  <c r="BD272" i="48"/>
  <c r="AZ272" i="48"/>
  <c r="BJ321" i="48"/>
  <c r="BJ252" i="48"/>
  <c r="BJ250" i="48"/>
  <c r="AQ227" i="48"/>
  <c r="AN227" i="48"/>
  <c r="AL227" i="48"/>
  <c r="AJ227" i="48"/>
  <c r="AH227" i="48"/>
  <c r="AF227" i="48"/>
  <c r="AD227" i="48"/>
  <c r="CG227" i="48"/>
  <c r="AI227" i="48"/>
  <c r="AW211" i="48"/>
  <c r="AU211" i="48"/>
  <c r="BF211" i="48"/>
  <c r="BB211" i="48"/>
  <c r="BD211" i="48"/>
  <c r="AZ211" i="48"/>
  <c r="BJ200" i="48"/>
  <c r="BJ193" i="48"/>
  <c r="AW193" i="48"/>
  <c r="AU193" i="48"/>
  <c r="BF193" i="48"/>
  <c r="BB193" i="48"/>
  <c r="BD193" i="48"/>
  <c r="AZ193" i="48"/>
  <c r="BJ184" i="48"/>
  <c r="AV176" i="48"/>
  <c r="AT176" i="48"/>
  <c r="BE176" i="48"/>
  <c r="BA176" i="48"/>
  <c r="BC176" i="48"/>
  <c r="BG176" i="48"/>
  <c r="BF176" i="48"/>
  <c r="BD176" i="48"/>
  <c r="BB176" i="48"/>
  <c r="AF176" i="48"/>
  <c r="AD176" i="48"/>
  <c r="AQ170" i="48"/>
  <c r="AP170" i="48"/>
  <c r="AY170" i="48" s="1"/>
  <c r="BN170" i="48"/>
  <c r="AR170" i="48"/>
  <c r="BM170" i="48"/>
  <c r="AN168" i="48"/>
  <c r="AL168" i="48"/>
  <c r="AJ168" i="48"/>
  <c r="BJ166" i="48"/>
  <c r="AR165" i="48"/>
  <c r="BM165" i="48"/>
  <c r="AV160" i="48"/>
  <c r="AT160" i="48"/>
  <c r="BE160" i="48"/>
  <c r="BA160" i="48"/>
  <c r="BC160" i="48"/>
  <c r="BG160" i="48"/>
  <c r="BF160" i="48"/>
  <c r="BD160" i="48"/>
  <c r="BB160" i="48"/>
  <c r="AF160" i="48"/>
  <c r="AD160" i="48"/>
  <c r="AN155" i="48"/>
  <c r="AL155" i="48"/>
  <c r="AJ155" i="48"/>
  <c r="AH155" i="48"/>
  <c r="AF155" i="48"/>
  <c r="AD155" i="48"/>
  <c r="AI155" i="48"/>
  <c r="AM155" i="48"/>
  <c r="CG155" i="48"/>
  <c r="AE155" i="48"/>
  <c r="AQ155" i="48" s="1"/>
  <c r="AN151" i="48"/>
  <c r="AL151" i="48"/>
  <c r="AJ151" i="48"/>
  <c r="AH151" i="48"/>
  <c r="AF151" i="48"/>
  <c r="AD151" i="48"/>
  <c r="AI151" i="48"/>
  <c r="CG151" i="48"/>
  <c r="AE151" i="48"/>
  <c r="AM151" i="48"/>
  <c r="CG145" i="48"/>
  <c r="AO145" i="48"/>
  <c r="AM145" i="48"/>
  <c r="AK145" i="48"/>
  <c r="AI145" i="48"/>
  <c r="AG145" i="48"/>
  <c r="AE145" i="48"/>
  <c r="AC145" i="48"/>
  <c r="AL145" i="48"/>
  <c r="AD145" i="48"/>
  <c r="AH145" i="48"/>
  <c r="CG137" i="48"/>
  <c r="AO137" i="48"/>
  <c r="AM137" i="48"/>
  <c r="AK137" i="48"/>
  <c r="AI137" i="48"/>
  <c r="AG137" i="48"/>
  <c r="AE137" i="48"/>
  <c r="AC137" i="48"/>
  <c r="AL137" i="48"/>
  <c r="AD137" i="48"/>
  <c r="AH137" i="48"/>
  <c r="CG129" i="48"/>
  <c r="AO129" i="48"/>
  <c r="AM129" i="48"/>
  <c r="AK129" i="48"/>
  <c r="AI129" i="48"/>
  <c r="AG129" i="48"/>
  <c r="AE129" i="48"/>
  <c r="AC129" i="48"/>
  <c r="AL129" i="48"/>
  <c r="AD129" i="48"/>
  <c r="AH129" i="48"/>
  <c r="CG121" i="48"/>
  <c r="AO121" i="48"/>
  <c r="AM121" i="48"/>
  <c r="AK121" i="48"/>
  <c r="AI121" i="48"/>
  <c r="AG121" i="48"/>
  <c r="AE121" i="48"/>
  <c r="AC121" i="48"/>
  <c r="AL121" i="48"/>
  <c r="AD121" i="48"/>
  <c r="AH121" i="48"/>
  <c r="CG113" i="48"/>
  <c r="AO113" i="48"/>
  <c r="AM113" i="48"/>
  <c r="AK113" i="48"/>
  <c r="AI113" i="48"/>
  <c r="AG113" i="48"/>
  <c r="AE113" i="48"/>
  <c r="AC113" i="48"/>
  <c r="AH113" i="48"/>
  <c r="AQ237" i="48"/>
  <c r="AN237" i="48"/>
  <c r="AL237" i="48"/>
  <c r="AJ237" i="48"/>
  <c r="AH237" i="48"/>
  <c r="AF237" i="48"/>
  <c r="AD237" i="48"/>
  <c r="CG237" i="48"/>
  <c r="BM182" i="48"/>
  <c r="BM174" i="48"/>
  <c r="BO172" i="48"/>
  <c r="BM166" i="48"/>
  <c r="AV156" i="48"/>
  <c r="AT156" i="48"/>
  <c r="BE156" i="48"/>
  <c r="BA156" i="48"/>
  <c r="BC156" i="48"/>
  <c r="BG156" i="48"/>
  <c r="BF156" i="48"/>
  <c r="BD156" i="48"/>
  <c r="BB156" i="48"/>
  <c r="AQ150" i="48"/>
  <c r="AP150" i="48"/>
  <c r="AY150" i="48" s="1"/>
  <c r="BM150" i="48"/>
  <c r="AN144" i="48"/>
  <c r="AL144" i="48"/>
  <c r="AJ144" i="48"/>
  <c r="AH144" i="48"/>
  <c r="AF144" i="48"/>
  <c r="AD144" i="48"/>
  <c r="AI144" i="48"/>
  <c r="CG144" i="48"/>
  <c r="AN140" i="48"/>
  <c r="AL140" i="48"/>
  <c r="AJ140" i="48"/>
  <c r="AH140" i="48"/>
  <c r="AF140" i="48"/>
  <c r="AD140" i="48"/>
  <c r="AI140" i="48"/>
  <c r="CG140" i="48"/>
  <c r="AQ136" i="48"/>
  <c r="AN136" i="48"/>
  <c r="AL136" i="48"/>
  <c r="AJ136" i="48"/>
  <c r="AH136" i="48"/>
  <c r="AF136" i="48"/>
  <c r="AD136" i="48"/>
  <c r="AI136" i="48"/>
  <c r="CG136" i="48"/>
  <c r="AQ132" i="48"/>
  <c r="AN132" i="48"/>
  <c r="AL132" i="48"/>
  <c r="AJ132" i="48"/>
  <c r="AH132" i="48"/>
  <c r="AF132" i="48"/>
  <c r="AD132" i="48"/>
  <c r="AI132" i="48"/>
  <c r="CG132" i="48"/>
  <c r="AN128" i="48"/>
  <c r="AL128" i="48"/>
  <c r="AJ128" i="48"/>
  <c r="AH128" i="48"/>
  <c r="AF128" i="48"/>
  <c r="AD128" i="48"/>
  <c r="AI128" i="48"/>
  <c r="CG128" i="48"/>
  <c r="AN124" i="48"/>
  <c r="AL124" i="48"/>
  <c r="AJ124" i="48"/>
  <c r="AH124" i="48"/>
  <c r="AF124" i="48"/>
  <c r="AD124" i="48"/>
  <c r="AI124" i="48"/>
  <c r="CG124" i="48"/>
  <c r="AQ120" i="48"/>
  <c r="AN120" i="48"/>
  <c r="AL120" i="48"/>
  <c r="AJ120" i="48"/>
  <c r="AH120" i="48"/>
  <c r="AF120" i="48"/>
  <c r="AD120" i="48"/>
  <c r="AI120" i="48"/>
  <c r="CG120" i="48"/>
  <c r="AQ116" i="48"/>
  <c r="AN116" i="48"/>
  <c r="AL116" i="48"/>
  <c r="AJ116" i="48"/>
  <c r="AH116" i="48"/>
  <c r="AF116" i="48"/>
  <c r="AD116" i="48"/>
  <c r="AI116" i="48"/>
  <c r="CG116" i="48"/>
  <c r="AR64" i="48"/>
  <c r="BM64" i="48"/>
  <c r="BN64" i="48"/>
  <c r="AQ61" i="48"/>
  <c r="AP61" i="48"/>
  <c r="AY61" i="48" s="1"/>
  <c r="AR61" i="48"/>
  <c r="AR52" i="48"/>
  <c r="BM52" i="48"/>
  <c r="AR40" i="48"/>
  <c r="BM40" i="48"/>
  <c r="AQ37" i="48"/>
  <c r="BN36" i="48"/>
  <c r="BJ234" i="48"/>
  <c r="BJ218" i="48"/>
  <c r="BJ210" i="48"/>
  <c r="AQ201" i="48"/>
  <c r="AN201" i="48"/>
  <c r="AL201" i="48"/>
  <c r="AJ201" i="48"/>
  <c r="AH201" i="48"/>
  <c r="AF201" i="48"/>
  <c r="AD201" i="48"/>
  <c r="CG201" i="48"/>
  <c r="AI201" i="48"/>
  <c r="BN185" i="48"/>
  <c r="BJ185" i="48"/>
  <c r="AW185" i="48"/>
  <c r="AU185" i="48"/>
  <c r="BF185" i="48"/>
  <c r="BB185" i="48"/>
  <c r="BD185" i="48"/>
  <c r="AZ185" i="48"/>
  <c r="BJ170" i="48"/>
  <c r="BN157" i="48"/>
  <c r="AQ154" i="48"/>
  <c r="AP154" i="48"/>
  <c r="AY154" i="48" s="1"/>
  <c r="BN154" i="48"/>
  <c r="AR154" i="48"/>
  <c r="BM154" i="48"/>
  <c r="AN152" i="48"/>
  <c r="AL152" i="48"/>
  <c r="AJ152" i="48"/>
  <c r="BM149" i="48"/>
  <c r="BM147" i="48"/>
  <c r="AR146" i="48"/>
  <c r="BM146" i="48"/>
  <c r="BN146" i="48"/>
  <c r="AJ145" i="48"/>
  <c r="BM143" i="48"/>
  <c r="BM142" i="48"/>
  <c r="BM139" i="48"/>
  <c r="BN138" i="48"/>
  <c r="AJ137" i="48"/>
  <c r="AR134" i="48"/>
  <c r="BM134" i="48"/>
  <c r="BN134" i="48"/>
  <c r="AR130" i="48"/>
  <c r="BM130" i="48"/>
  <c r="BN130" i="48"/>
  <c r="AJ129" i="48"/>
  <c r="BM127" i="48"/>
  <c r="AR126" i="48"/>
  <c r="BM126" i="48"/>
  <c r="BN126" i="48"/>
  <c r="AR122" i="48"/>
  <c r="BM122" i="48"/>
  <c r="BN122" i="48"/>
  <c r="AJ121" i="48"/>
  <c r="BM119" i="48"/>
  <c r="AR118" i="48"/>
  <c r="BM118" i="48"/>
  <c r="BN118" i="48"/>
  <c r="BM115" i="48"/>
  <c r="AL113" i="48"/>
  <c r="AN112" i="48"/>
  <c r="AL112" i="48"/>
  <c r="AJ112" i="48"/>
  <c r="AH112" i="48"/>
  <c r="AF112" i="48"/>
  <c r="AD112" i="48"/>
  <c r="AI112" i="48"/>
  <c r="CG112" i="48"/>
  <c r="AM112" i="48"/>
  <c r="AE112" i="48"/>
  <c r="AQ112" i="48" s="1"/>
  <c r="AW108" i="48"/>
  <c r="AU108" i="48"/>
  <c r="BF108" i="48"/>
  <c r="BB108" i="48"/>
  <c r="AZ108" i="48"/>
  <c r="BD108" i="48"/>
  <c r="AV108" i="48"/>
  <c r="BJ108" i="48" s="1"/>
  <c r="BJ106" i="48"/>
  <c r="CG103" i="48"/>
  <c r="AO103" i="48"/>
  <c r="AM103" i="48"/>
  <c r="AK103" i="48"/>
  <c r="AI103" i="48"/>
  <c r="AG103" i="48"/>
  <c r="AE103" i="48"/>
  <c r="AC103" i="48"/>
  <c r="AL103" i="48"/>
  <c r="AH103" i="48"/>
  <c r="AD103" i="48"/>
  <c r="AJ103" i="48"/>
  <c r="AN102" i="48"/>
  <c r="AL102" i="48"/>
  <c r="AJ102" i="48"/>
  <c r="AH102" i="48"/>
  <c r="AF102" i="48"/>
  <c r="AD102" i="48"/>
  <c r="CG102" i="48"/>
  <c r="AM102" i="48"/>
  <c r="AI102" i="48"/>
  <c r="AE102" i="48"/>
  <c r="AQ102" i="48" s="1"/>
  <c r="AO102" i="48"/>
  <c r="AG102" i="48"/>
  <c r="AQ98" i="48"/>
  <c r="BJ90" i="48"/>
  <c r="BN90" i="48"/>
  <c r="CG87" i="48"/>
  <c r="AO87" i="48"/>
  <c r="AM87" i="48"/>
  <c r="AK87" i="48"/>
  <c r="AI87" i="48"/>
  <c r="AG87" i="48"/>
  <c r="AE87" i="48"/>
  <c r="AC87" i="48"/>
  <c r="AL87" i="48"/>
  <c r="AH87" i="48"/>
  <c r="AD87" i="48"/>
  <c r="AJ87" i="48"/>
  <c r="AN86" i="48"/>
  <c r="AL86" i="48"/>
  <c r="AJ86" i="48"/>
  <c r="AH86" i="48"/>
  <c r="AF86" i="48"/>
  <c r="AD86" i="48"/>
  <c r="CG86" i="48"/>
  <c r="AM86" i="48"/>
  <c r="AI86" i="48"/>
  <c r="AE86" i="48"/>
  <c r="AQ86" i="48" s="1"/>
  <c r="AO86" i="48"/>
  <c r="AG86" i="48"/>
  <c r="BJ82" i="48"/>
  <c r="AQ82" i="48"/>
  <c r="CG79" i="48"/>
  <c r="AO79" i="48"/>
  <c r="AM79" i="48"/>
  <c r="AK79" i="48"/>
  <c r="AI79" i="48"/>
  <c r="AG79" i="48"/>
  <c r="AE79" i="48"/>
  <c r="AC79" i="48"/>
  <c r="AL79" i="48"/>
  <c r="AH79" i="48"/>
  <c r="AD79" i="48"/>
  <c r="AJ79" i="48"/>
  <c r="AN78" i="48"/>
  <c r="AL78" i="48"/>
  <c r="AJ78" i="48"/>
  <c r="AH78" i="48"/>
  <c r="AF78" i="48"/>
  <c r="AD78" i="48"/>
  <c r="CG78" i="48"/>
  <c r="AM78" i="48"/>
  <c r="AI78" i="48"/>
  <c r="AE78" i="48"/>
  <c r="AQ78" i="48" s="1"/>
  <c r="AO78" i="48"/>
  <c r="AG78" i="48"/>
  <c r="CG77" i="48"/>
  <c r="AO77" i="48"/>
  <c r="AM77" i="48"/>
  <c r="AK77" i="48"/>
  <c r="AI77" i="48"/>
  <c r="AG77" i="48"/>
  <c r="AE77" i="48"/>
  <c r="AC77" i="48"/>
  <c r="AL77" i="48"/>
  <c r="AH77" i="48"/>
  <c r="AD77" i="48"/>
  <c r="AJ77" i="48"/>
  <c r="AN76" i="48"/>
  <c r="AL76" i="48"/>
  <c r="AJ76" i="48"/>
  <c r="AH76" i="48"/>
  <c r="AF76" i="48"/>
  <c r="AD76" i="48"/>
  <c r="CG76" i="48"/>
  <c r="AM76" i="48"/>
  <c r="AI76" i="48"/>
  <c r="AE76" i="48"/>
  <c r="AQ76" i="48" s="1"/>
  <c r="AO76" i="48"/>
  <c r="AG76" i="48"/>
  <c r="CG75" i="48"/>
  <c r="AO75" i="48"/>
  <c r="AM75" i="48"/>
  <c r="AK75" i="48"/>
  <c r="AI75" i="48"/>
  <c r="AG75" i="48"/>
  <c r="AE75" i="48"/>
  <c r="AC75" i="48"/>
  <c r="AL75" i="48"/>
  <c r="AH75" i="48"/>
  <c r="AD75" i="48"/>
  <c r="AJ75" i="48"/>
  <c r="AN74" i="48"/>
  <c r="AL74" i="48"/>
  <c r="AJ74" i="48"/>
  <c r="AH74" i="48"/>
  <c r="AF74" i="48"/>
  <c r="AD74" i="48"/>
  <c r="CG74" i="48"/>
  <c r="AM74" i="48"/>
  <c r="AI74" i="48"/>
  <c r="AE74" i="48"/>
  <c r="AQ74" i="48" s="1"/>
  <c r="AO74" i="48"/>
  <c r="AG74" i="48"/>
  <c r="BJ70" i="48"/>
  <c r="AQ70" i="48"/>
  <c r="CG67" i="48"/>
  <c r="AO67" i="48"/>
  <c r="AM67" i="48"/>
  <c r="AK67" i="48"/>
  <c r="AI67" i="48"/>
  <c r="AG67" i="48"/>
  <c r="AE67" i="48"/>
  <c r="AC67" i="48"/>
  <c r="AL67" i="48"/>
  <c r="AH67" i="48"/>
  <c r="AD67" i="48"/>
  <c r="AJ67" i="48"/>
  <c r="AN66" i="48"/>
  <c r="AL66" i="48"/>
  <c r="AJ66" i="48"/>
  <c r="AH66" i="48"/>
  <c r="AF66" i="48"/>
  <c r="AD66" i="48"/>
  <c r="AM66" i="48"/>
  <c r="AI66" i="48"/>
  <c r="AE66" i="48"/>
  <c r="CG66" i="48"/>
  <c r="AG66" i="48"/>
  <c r="AN62" i="48"/>
  <c r="AL62" i="48"/>
  <c r="AJ62" i="48"/>
  <c r="AH62" i="48"/>
  <c r="AF62" i="48"/>
  <c r="AD62" i="48"/>
  <c r="AI62" i="48"/>
  <c r="CG62" i="48"/>
  <c r="AM62" i="48"/>
  <c r="AE62" i="48"/>
  <c r="AG62" i="48"/>
  <c r="CG59" i="48"/>
  <c r="AO59" i="48"/>
  <c r="AM59" i="48"/>
  <c r="AK59" i="48"/>
  <c r="AI59" i="48"/>
  <c r="AG59" i="48"/>
  <c r="AE59" i="48"/>
  <c r="AC59" i="48"/>
  <c r="AL59" i="48"/>
  <c r="AD59" i="48"/>
  <c r="AH59" i="48"/>
  <c r="AN58" i="48"/>
  <c r="AL58" i="48"/>
  <c r="AJ58" i="48"/>
  <c r="AH58" i="48"/>
  <c r="AF58" i="48"/>
  <c r="AD58" i="48"/>
  <c r="CG58" i="48"/>
  <c r="AI58" i="48"/>
  <c r="AM58" i="48"/>
  <c r="AE58" i="48"/>
  <c r="AQ58" i="48" s="1"/>
  <c r="AO58" i="48"/>
  <c r="AG58" i="48"/>
  <c r="CG57" i="48"/>
  <c r="AO57" i="48"/>
  <c r="AM57" i="48"/>
  <c r="AK57" i="48"/>
  <c r="AI57" i="48"/>
  <c r="AG57" i="48"/>
  <c r="AE57" i="48"/>
  <c r="AC57" i="48"/>
  <c r="AH57" i="48"/>
  <c r="AL57" i="48"/>
  <c r="AD57" i="48"/>
  <c r="AF57" i="48"/>
  <c r="CG55" i="48"/>
  <c r="AO55" i="48"/>
  <c r="AM55" i="48"/>
  <c r="AK55" i="48"/>
  <c r="AI55" i="48"/>
  <c r="AG55" i="48"/>
  <c r="AE55" i="48"/>
  <c r="AC55" i="48"/>
  <c r="AL55" i="48"/>
  <c r="AD55" i="48"/>
  <c r="AH55" i="48"/>
  <c r="AN54" i="48"/>
  <c r="AL54" i="48"/>
  <c r="AJ54" i="48"/>
  <c r="AH54" i="48"/>
  <c r="AF54" i="48"/>
  <c r="AD54" i="48"/>
  <c r="CG54" i="48"/>
  <c r="AI54" i="48"/>
  <c r="AM54" i="48"/>
  <c r="AE54" i="48"/>
  <c r="BJ54" i="48"/>
  <c r="AK54" i="48"/>
  <c r="AC54" i="48"/>
  <c r="CG47" i="48"/>
  <c r="AO47" i="48"/>
  <c r="AM47" i="48"/>
  <c r="AK47" i="48"/>
  <c r="AI47" i="48"/>
  <c r="AG47" i="48"/>
  <c r="AE47" i="48"/>
  <c r="AC47" i="48"/>
  <c r="AH47" i="48"/>
  <c r="AL47" i="48"/>
  <c r="AD47" i="48"/>
  <c r="AJ47" i="48"/>
  <c r="AN46" i="48"/>
  <c r="AL46" i="48"/>
  <c r="AJ46" i="48"/>
  <c r="AH46" i="48"/>
  <c r="AF46" i="48"/>
  <c r="AD46" i="48"/>
  <c r="AM46" i="48"/>
  <c r="AE46" i="48"/>
  <c r="CG46" i="48"/>
  <c r="AI46" i="48"/>
  <c r="BJ46" i="48"/>
  <c r="AC46" i="48"/>
  <c r="CG43" i="48"/>
  <c r="AO43" i="48"/>
  <c r="AM43" i="48"/>
  <c r="AK43" i="48"/>
  <c r="AI43" i="48"/>
  <c r="AG43" i="48"/>
  <c r="AE43" i="48"/>
  <c r="AC43" i="48"/>
  <c r="AH43" i="48"/>
  <c r="AL43" i="48"/>
  <c r="AD43" i="48"/>
  <c r="AN42" i="48"/>
  <c r="AL42" i="48"/>
  <c r="AJ42" i="48"/>
  <c r="AH42" i="48"/>
  <c r="AF42" i="48"/>
  <c r="AD42" i="48"/>
  <c r="AI42" i="48"/>
  <c r="CG42" i="48"/>
  <c r="AM42" i="48"/>
  <c r="AE42" i="48"/>
  <c r="BK42" i="48"/>
  <c r="AG42" i="48"/>
  <c r="CG39" i="48"/>
  <c r="AO39" i="48"/>
  <c r="AM39" i="48"/>
  <c r="AK39" i="48"/>
  <c r="AI39" i="48"/>
  <c r="AG39" i="48"/>
  <c r="AE39" i="48"/>
  <c r="AC39" i="48"/>
  <c r="AL39" i="48"/>
  <c r="AD39" i="48"/>
  <c r="AH39" i="48"/>
  <c r="AJ39" i="48"/>
  <c r="AN38" i="48"/>
  <c r="AL38" i="48"/>
  <c r="AJ38" i="48"/>
  <c r="AH38" i="48"/>
  <c r="AF38" i="48"/>
  <c r="AD38" i="48"/>
  <c r="CG38" i="48"/>
  <c r="AM38" i="48"/>
  <c r="AI38" i="48"/>
  <c r="AE38" i="48"/>
  <c r="BJ38" i="48"/>
  <c r="AK38" i="48"/>
  <c r="AC38" i="48"/>
  <c r="CG35" i="48"/>
  <c r="AO35" i="48"/>
  <c r="AM35" i="48"/>
  <c r="AK35" i="48"/>
  <c r="AI35" i="48"/>
  <c r="AG35" i="48"/>
  <c r="AE35" i="48"/>
  <c r="AC35" i="48"/>
  <c r="AL35" i="48"/>
  <c r="AD35" i="48"/>
  <c r="AH35" i="48"/>
  <c r="AN34" i="48"/>
  <c r="AL34" i="48"/>
  <c r="AJ34" i="48"/>
  <c r="AH34" i="48"/>
  <c r="AF34" i="48"/>
  <c r="AD34" i="48"/>
  <c r="CG34" i="48"/>
  <c r="AM34" i="48"/>
  <c r="AI34" i="48"/>
  <c r="AE34" i="48"/>
  <c r="AK34" i="48"/>
  <c r="AC34" i="48"/>
  <c r="CG31" i="48"/>
  <c r="AO31" i="48"/>
  <c r="AM31" i="48"/>
  <c r="AK31" i="48"/>
  <c r="AI31" i="48"/>
  <c r="AG31" i="48"/>
  <c r="AE31" i="48"/>
  <c r="AC31" i="48"/>
  <c r="AL31" i="48"/>
  <c r="AD31" i="48"/>
  <c r="AH31" i="48"/>
  <c r="AF31" i="48"/>
  <c r="BK26" i="48"/>
  <c r="CG23" i="48"/>
  <c r="AO23" i="48"/>
  <c r="AM23" i="48"/>
  <c r="AK23" i="48"/>
  <c r="AI23" i="48"/>
  <c r="AG23" i="48"/>
  <c r="AE23" i="48"/>
  <c r="AC23" i="48"/>
  <c r="AH23" i="48"/>
  <c r="AL23" i="48"/>
  <c r="AD23" i="48"/>
  <c r="AJ23" i="48"/>
  <c r="AN22" i="48"/>
  <c r="AJ22" i="48"/>
  <c r="AF22" i="48"/>
  <c r="CG22" i="48"/>
  <c r="AL22" i="48"/>
  <c r="AH22" i="48"/>
  <c r="AD22" i="48"/>
  <c r="BJ22" i="48"/>
  <c r="AI22" i="48"/>
  <c r="AE22" i="48"/>
  <c r="BD15" i="48"/>
  <c r="AZ15" i="48"/>
  <c r="AV15" i="48"/>
  <c r="AW15" i="48"/>
  <c r="AU15" i="48"/>
  <c r="BF15" i="48"/>
  <c r="BB15" i="48"/>
  <c r="AT15" i="48"/>
  <c r="BF10" i="48"/>
  <c r="BB10" i="48"/>
  <c r="AW10" i="48"/>
  <c r="AU10" i="48"/>
  <c r="BD10" i="48"/>
  <c r="AZ10" i="48"/>
  <c r="AV10" i="48"/>
  <c r="AT10" i="48"/>
  <c r="BB3" i="48"/>
  <c r="AT3" i="48"/>
  <c r="AW3" i="48"/>
  <c r="AU3" i="48"/>
  <c r="BF3" i="48"/>
  <c r="BD3" i="48"/>
  <c r="AZ3" i="48"/>
  <c r="AV3" i="48"/>
  <c r="BN114" i="48"/>
  <c r="AN113" i="48"/>
  <c r="AF113" i="48"/>
  <c r="AR110" i="48"/>
  <c r="BM110" i="48"/>
  <c r="BN110" i="48"/>
  <c r="AQ105" i="48"/>
  <c r="AP105" i="48"/>
  <c r="AY105" i="48" s="1"/>
  <c r="AR105" i="48"/>
  <c r="BM101" i="48"/>
  <c r="AR100" i="48"/>
  <c r="BM100" i="48"/>
  <c r="BN100" i="48"/>
  <c r="AQ95" i="48"/>
  <c r="AR95" i="48"/>
  <c r="BM93" i="48"/>
  <c r="AR92" i="48"/>
  <c r="BM92" i="48"/>
  <c r="BN92" i="48"/>
  <c r="AQ89" i="48"/>
  <c r="BM85" i="48"/>
  <c r="AQ81" i="48"/>
  <c r="AR81" i="48"/>
  <c r="AR72" i="48"/>
  <c r="BN60" i="48"/>
  <c r="BM53" i="48"/>
  <c r="AR49" i="48"/>
  <c r="BM49" i="48"/>
  <c r="BN40" i="48"/>
  <c r="BK39" i="48"/>
  <c r="BM33" i="48"/>
  <c r="AR32" i="48"/>
  <c r="BM32" i="48"/>
  <c r="AM21" i="48"/>
  <c r="AI21" i="48"/>
  <c r="AE21" i="48"/>
  <c r="AN21" i="48"/>
  <c r="AL21" i="48"/>
  <c r="AJ21" i="48"/>
  <c r="AH21" i="48"/>
  <c r="AF21" i="48"/>
  <c r="AD21" i="48"/>
  <c r="CG21" i="48"/>
  <c r="AO21" i="48"/>
  <c r="AK21" i="48"/>
  <c r="AG21" i="48"/>
  <c r="AC21" i="48"/>
  <c r="CG18" i="48"/>
  <c r="AM18" i="48"/>
  <c r="AI18" i="48"/>
  <c r="AE18" i="48"/>
  <c r="AN18" i="48"/>
  <c r="AL18" i="48"/>
  <c r="AJ18" i="48"/>
  <c r="AH18" i="48"/>
  <c r="AF18" i="48"/>
  <c r="AD18" i="48"/>
  <c r="AO18" i="48"/>
  <c r="AK18" i="48"/>
  <c r="AG18" i="48"/>
  <c r="AC18" i="48"/>
  <c r="CG13" i="48"/>
  <c r="AO13" i="48"/>
  <c r="AK13" i="48"/>
  <c r="AG13" i="48"/>
  <c r="AC13" i="48"/>
  <c r="AN13" i="48"/>
  <c r="AL13" i="48"/>
  <c r="AJ13" i="48"/>
  <c r="AH13" i="48"/>
  <c r="AF13" i="48"/>
  <c r="AD13" i="48"/>
  <c r="AM13" i="48"/>
  <c r="AI13" i="48"/>
  <c r="AE13" i="48"/>
  <c r="CG7" i="48"/>
  <c r="AM7" i="48"/>
  <c r="AG7" i="48"/>
  <c r="AC7" i="48"/>
  <c r="AN7" i="48"/>
  <c r="AL7" i="48"/>
  <c r="AJ7" i="48"/>
  <c r="AH7" i="48"/>
  <c r="AF7" i="48"/>
  <c r="AD7" i="48"/>
  <c r="AO7" i="48"/>
  <c r="AK7" i="48"/>
  <c r="AI7" i="48"/>
  <c r="AE7" i="48"/>
  <c r="BN169" i="48"/>
  <c r="BJ143" i="48"/>
  <c r="AV140" i="48"/>
  <c r="BJ140" i="48" s="1"/>
  <c r="BJ137" i="48"/>
  <c r="BJ131" i="48"/>
  <c r="AV128" i="48"/>
  <c r="BJ128" i="48" s="1"/>
  <c r="BJ125" i="48"/>
  <c r="AM120" i="48"/>
  <c r="BJ115" i="48"/>
  <c r="BJ99" i="48"/>
  <c r="BJ93" i="48"/>
  <c r="BJ89" i="48"/>
  <c r="BJ79" i="48"/>
  <c r="BJ75" i="48"/>
  <c r="BJ69" i="48"/>
  <c r="BO61" i="48"/>
  <c r="BJ51" i="48"/>
  <c r="BJ47" i="48"/>
  <c r="AO42" i="48"/>
  <c r="AJ35" i="48"/>
  <c r="BO33" i="48"/>
  <c r="BJ27" i="48"/>
  <c r="AO22" i="48"/>
  <c r="BM20" i="48"/>
  <c r="AR20" i="48"/>
  <c r="AP20" i="48"/>
  <c r="AY20" i="48" s="1"/>
  <c r="AQ20" i="48"/>
  <c r="BN20" i="48"/>
  <c r="BJ17" i="48"/>
  <c r="BM16" i="48"/>
  <c r="AR16" i="48"/>
  <c r="AP16" i="48"/>
  <c r="AY16" i="48" s="1"/>
  <c r="AQ16" i="48"/>
  <c r="BN16" i="48"/>
  <c r="BG15" i="48"/>
  <c r="BC15" i="48"/>
  <c r="AQ15" i="48"/>
  <c r="CG15" i="48"/>
  <c r="BM15" i="48"/>
  <c r="BJ13" i="48"/>
  <c r="BM12" i="48"/>
  <c r="AR12" i="48"/>
  <c r="AQ12" i="48"/>
  <c r="BN12" i="48"/>
  <c r="BO12" i="48"/>
  <c r="BK11" i="48"/>
  <c r="AQ8" i="48"/>
  <c r="AP8" i="48"/>
  <c r="AY8" i="48" s="1"/>
  <c r="BO5" i="48"/>
  <c r="AR4" i="48"/>
  <c r="BM4" i="48"/>
  <c r="BG3" i="48"/>
  <c r="BC3" i="48"/>
  <c r="AQ3" i="48"/>
  <c r="AP2" i="48"/>
  <c r="AY2" i="48" s="1"/>
  <c r="AQ2" i="48"/>
  <c r="BO2" i="48"/>
  <c r="BJ222" i="48"/>
  <c r="AR158" i="48"/>
  <c r="BJ147" i="48"/>
  <c r="AV144" i="48"/>
  <c r="BJ144" i="48" s="1"/>
  <c r="BJ141" i="48"/>
  <c r="AM136" i="48"/>
  <c r="AM132" i="48"/>
  <c r="BJ127" i="48"/>
  <c r="AV124" i="48"/>
  <c r="BJ124" i="48" s="1"/>
  <c r="BJ121" i="48"/>
  <c r="AM116" i="48"/>
  <c r="AU113" i="48"/>
  <c r="BJ105" i="48"/>
  <c r="BJ83" i="48"/>
  <c r="BJ73" i="48"/>
  <c r="BJ67" i="48"/>
  <c r="AO62" i="48"/>
  <c r="AN59" i="48"/>
  <c r="BJ57" i="48"/>
  <c r="AJ55" i="48"/>
  <c r="AO50" i="48"/>
  <c r="BJ49" i="48"/>
  <c r="AO46" i="48"/>
  <c r="AJ45" i="48"/>
  <c r="AN43" i="48"/>
  <c r="BJ43" i="48"/>
  <c r="BJ39" i="48"/>
  <c r="AJ31" i="48"/>
  <c r="AO26" i="48"/>
  <c r="BJ23" i="48"/>
  <c r="BJ18" i="48"/>
  <c r="BK18" i="48"/>
  <c r="BG14" i="48"/>
  <c r="BC14" i="48"/>
  <c r="AQ14" i="48"/>
  <c r="CG14" i="48"/>
  <c r="AR14" i="48"/>
  <c r="BM14" i="48"/>
  <c r="BJ12" i="48"/>
  <c r="BE10" i="48"/>
  <c r="BA10" i="48"/>
  <c r="BO10" i="48"/>
  <c r="AQ10" i="48"/>
  <c r="AQ9" i="48"/>
  <c r="BJ8" i="48"/>
  <c r="BK6" i="48"/>
  <c r="BJ6" i="48"/>
  <c r="BJ2" i="48"/>
  <c r="AZ244" i="52"/>
  <c r="AJ58" i="47"/>
  <c r="AN58" i="47"/>
  <c r="AJ46" i="47"/>
  <c r="AN46" i="47"/>
  <c r="AN59" i="47"/>
  <c r="AR59" i="47"/>
  <c r="AF47" i="47"/>
  <c r="AJ47" i="47"/>
  <c r="AL144" i="47"/>
  <c r="AI144" i="47"/>
  <c r="BW144" i="47" s="1"/>
  <c r="AM144" i="47"/>
  <c r="AQ144" i="47"/>
  <c r="AL211" i="47"/>
  <c r="AI211" i="47"/>
  <c r="BW211" i="47" s="1"/>
  <c r="AM211" i="47"/>
  <c r="AQ211" i="47"/>
  <c r="AL133" i="47"/>
  <c r="AP133" i="47"/>
  <c r="AG133" i="47"/>
  <c r="AK133" i="47"/>
  <c r="AO133" i="47"/>
  <c r="AL21" i="47"/>
  <c r="AH21" i="47"/>
  <c r="AG21" i="47"/>
  <c r="AK21" i="47"/>
  <c r="AO21" i="47"/>
  <c r="AN15" i="47"/>
  <c r="AP15" i="47"/>
  <c r="AH15" i="47"/>
  <c r="AJ15" i="47"/>
  <c r="AL15" i="47"/>
  <c r="BP15" i="47" s="1"/>
  <c r="AG15" i="47"/>
  <c r="AK15" i="47"/>
  <c r="AO15" i="47"/>
  <c r="AN9" i="47"/>
  <c r="AL9" i="47"/>
  <c r="AR9" i="47"/>
  <c r="AF9" i="47"/>
  <c r="AH9" i="47"/>
  <c r="AT9" i="47" s="1"/>
  <c r="AI9" i="47"/>
  <c r="BW9" i="47" s="1"/>
  <c r="AM9" i="47"/>
  <c r="AQ9" i="47"/>
  <c r="AK187" i="47"/>
  <c r="AO187" i="47"/>
  <c r="AN159" i="47"/>
  <c r="AP159" i="47"/>
  <c r="AH159" i="47"/>
  <c r="AT159" i="47" s="1"/>
  <c r="AJ159" i="47"/>
  <c r="AL42" i="47"/>
  <c r="BP42" i="47" s="1"/>
  <c r="AR42" i="47"/>
  <c r="AF42" i="47"/>
  <c r="AR99" i="47"/>
  <c r="AL99" i="47"/>
  <c r="AL23" i="47"/>
  <c r="AH23" i="47"/>
  <c r="AP23" i="47"/>
  <c r="AG23" i="47"/>
  <c r="AK23" i="47"/>
  <c r="AO23" i="47"/>
  <c r="AU23" i="47" s="1"/>
  <c r="AJ113" i="47"/>
  <c r="AL113" i="47"/>
  <c r="AG113" i="47"/>
  <c r="AO113" i="47"/>
  <c r="AG183" i="47"/>
  <c r="AO183" i="47"/>
  <c r="AK183" i="47"/>
  <c r="AK180" i="47"/>
  <c r="AM180" i="47"/>
  <c r="AO180" i="47"/>
  <c r="AO174" i="47"/>
  <c r="AK174" i="47"/>
  <c r="AG174" i="47"/>
  <c r="AF103" i="47"/>
  <c r="AP103" i="47"/>
  <c r="AH103" i="47"/>
  <c r="AT103" i="47" s="1"/>
  <c r="AJ103" i="47"/>
  <c r="AF135" i="47"/>
  <c r="AL135" i="47"/>
  <c r="AR135" i="47"/>
  <c r="AN135" i="47"/>
  <c r="AH135" i="47"/>
  <c r="AT135" i="47" s="1"/>
  <c r="AG135" i="47"/>
  <c r="AK135" i="47"/>
  <c r="AO135" i="47"/>
  <c r="AR198" i="47"/>
  <c r="AN198" i="47"/>
  <c r="AJ198" i="47"/>
  <c r="BP198" i="47" s="1"/>
  <c r="AF198" i="47"/>
  <c r="AP199" i="47"/>
  <c r="AN199" i="47"/>
  <c r="AJ199" i="47"/>
  <c r="BP199" i="47" s="1"/>
  <c r="AI198" i="47"/>
  <c r="BW198" i="47" s="1"/>
  <c r="AQ198" i="47"/>
  <c r="AP189" i="47"/>
  <c r="AL189" i="47"/>
  <c r="AH189" i="47"/>
  <c r="AT189" i="47" s="1"/>
  <c r="AR187" i="47"/>
  <c r="AN187" i="47"/>
  <c r="AJ187" i="47"/>
  <c r="BP187" i="47" s="1"/>
  <c r="AY187" i="47"/>
  <c r="AR183" i="47"/>
  <c r="AN183" i="47"/>
  <c r="AJ183" i="47"/>
  <c r="BP183" i="47" s="1"/>
  <c r="AY183" i="47"/>
  <c r="AR180" i="47"/>
  <c r="AN180" i="47"/>
  <c r="AJ180" i="47"/>
  <c r="AY180" i="47"/>
  <c r="BM180" i="47" s="1"/>
  <c r="AY176" i="47"/>
  <c r="BM176" i="47" s="1"/>
  <c r="AR174" i="47"/>
  <c r="AN174" i="47"/>
  <c r="AJ174" i="47"/>
  <c r="AF174" i="47"/>
  <c r="AT174" i="47" s="1"/>
  <c r="AP191" i="47"/>
  <c r="AH191" i="47"/>
  <c r="AM187" i="47"/>
  <c r="AM183" i="47"/>
  <c r="AU183" i="47" s="1"/>
  <c r="AP179" i="47"/>
  <c r="AH179" i="47"/>
  <c r="AH175" i="47"/>
  <c r="AM174" i="47"/>
  <c r="DE159" i="47"/>
  <c r="AO159" i="47"/>
  <c r="AU159" i="47" s="1"/>
  <c r="AK159" i="47"/>
  <c r="AG159" i="47"/>
  <c r="AO42" i="47"/>
  <c r="AK42" i="47"/>
  <c r="AG42" i="47"/>
  <c r="AH186" i="47"/>
  <c r="AI160" i="47"/>
  <c r="BW160" i="47" s="1"/>
  <c r="AO103" i="47"/>
  <c r="AK103" i="47"/>
  <c r="AG103" i="47"/>
  <c r="DE99" i="47"/>
  <c r="AO99" i="47"/>
  <c r="AK99" i="47"/>
  <c r="AG99" i="47"/>
  <c r="AG180" i="47"/>
  <c r="AQ180" i="47"/>
  <c r="AL159" i="47"/>
  <c r="AP99" i="47"/>
  <c r="BP97" i="47"/>
  <c r="FO97" i="47" s="1"/>
  <c r="AJ53" i="47"/>
  <c r="AN53" i="47"/>
  <c r="AK144" i="47"/>
  <c r="AO211" i="47"/>
  <c r="AG211" i="47"/>
  <c r="AH42" i="47"/>
  <c r="AL103" i="47"/>
  <c r="AP144" i="47"/>
  <c r="AH211" i="47"/>
  <c r="AQ135" i="47"/>
  <c r="AI135" i="47"/>
  <c r="BW135" i="47" s="1"/>
  <c r="AM133" i="47"/>
  <c r="AQ23" i="47"/>
  <c r="AI23" i="47"/>
  <c r="BW23" i="47" s="1"/>
  <c r="AM21" i="47"/>
  <c r="AQ15" i="47"/>
  <c r="AI15" i="47"/>
  <c r="BW15" i="47" s="1"/>
  <c r="AO9" i="47"/>
  <c r="AG9" i="47"/>
  <c r="DE113" i="47"/>
  <c r="AP47" i="47"/>
  <c r="AH47" i="47"/>
  <c r="AW47" i="47"/>
  <c r="AY47" i="47"/>
  <c r="BF47" i="47"/>
  <c r="BH47" i="47"/>
  <c r="BJ47" i="47"/>
  <c r="AJ135" i="47"/>
  <c r="AR15" i="47"/>
  <c r="AP9" i="47"/>
  <c r="BI75" i="47"/>
  <c r="BE75" i="47"/>
  <c r="BI71" i="47"/>
  <c r="BE71" i="47"/>
  <c r="BI155" i="47"/>
  <c r="BE155" i="47"/>
  <c r="BI151" i="47"/>
  <c r="BE151" i="47"/>
  <c r="AN129" i="47"/>
  <c r="AJ129" i="47"/>
  <c r="AN127" i="47"/>
  <c r="AF127" i="47"/>
  <c r="AN125" i="47"/>
  <c r="AJ125" i="47"/>
  <c r="AN123" i="47"/>
  <c r="AJ123" i="47"/>
  <c r="AF123" i="47"/>
  <c r="AN8" i="47"/>
  <c r="AF8" i="47"/>
  <c r="AJ8" i="47"/>
  <c r="AN6" i="47"/>
  <c r="AF6" i="47"/>
  <c r="AJ6" i="47"/>
  <c r="AN4" i="47"/>
  <c r="AJ4" i="47"/>
  <c r="AF4" i="47"/>
  <c r="AN2" i="47"/>
  <c r="AJ2" i="47"/>
  <c r="AL165" i="47"/>
  <c r="AR165" i="47"/>
  <c r="AP38" i="47"/>
  <c r="AH38" i="47"/>
  <c r="AJ38" i="47"/>
  <c r="BP38" i="47" s="1"/>
  <c r="AP34" i="47"/>
  <c r="AH34" i="47"/>
  <c r="AJ34" i="47"/>
  <c r="BP34" i="47" s="1"/>
  <c r="DE30" i="47"/>
  <c r="BJ30" i="47"/>
  <c r="BF30" i="47"/>
  <c r="AZ30" i="47"/>
  <c r="CE30" i="47" s="1"/>
  <c r="BI30" i="47"/>
  <c r="AW30" i="47"/>
  <c r="AL91" i="47"/>
  <c r="AH91" i="47"/>
  <c r="AG91" i="47"/>
  <c r="AK91" i="47"/>
  <c r="AO91" i="47"/>
  <c r="AL87" i="47"/>
  <c r="BP87" i="47" s="1"/>
  <c r="AR87" i="47"/>
  <c r="AP87" i="47"/>
  <c r="AJ87" i="47"/>
  <c r="AI87" i="47"/>
  <c r="BW87" i="47" s="1"/>
  <c r="AM87" i="47"/>
  <c r="AQ87" i="47"/>
  <c r="AH74" i="47"/>
  <c r="AP74" i="47"/>
  <c r="AI74" i="47"/>
  <c r="BW74" i="47" s="1"/>
  <c r="AM74" i="47"/>
  <c r="AQ74" i="47"/>
  <c r="AG74" i="47"/>
  <c r="AO74" i="47"/>
  <c r="AL156" i="47"/>
  <c r="AG156" i="47"/>
  <c r="AK156" i="47"/>
  <c r="AO156" i="47"/>
  <c r="AH156" i="47"/>
  <c r="AI156" i="47"/>
  <c r="BW156" i="47" s="1"/>
  <c r="AQ156" i="47"/>
  <c r="AL150" i="47"/>
  <c r="AG150" i="47"/>
  <c r="AK150" i="47"/>
  <c r="AO150" i="47"/>
  <c r="AH150" i="47"/>
  <c r="AI150" i="47"/>
  <c r="BW150" i="47" s="1"/>
  <c r="AQ150" i="47"/>
  <c r="BI129" i="47"/>
  <c r="BE129" i="47"/>
  <c r="BJ129" i="47"/>
  <c r="BF129" i="47"/>
  <c r="AZ129" i="47"/>
  <c r="CE129" i="47" s="1"/>
  <c r="AY129" i="47"/>
  <c r="BG129" i="47"/>
  <c r="BH129" i="47"/>
  <c r="AX129" i="47"/>
  <c r="AW129" i="47"/>
  <c r="BG126" i="47"/>
  <c r="BC126" i="47"/>
  <c r="BH126" i="47"/>
  <c r="BD126" i="47"/>
  <c r="AX126" i="47"/>
  <c r="BI126" i="47"/>
  <c r="BJ126" i="47"/>
  <c r="AZ126" i="47"/>
  <c r="CE126" i="47" s="1"/>
  <c r="AW126" i="47"/>
  <c r="BG6" i="47"/>
  <c r="BC6" i="47"/>
  <c r="BH6" i="47"/>
  <c r="BD6" i="47"/>
  <c r="AX6" i="47"/>
  <c r="AW6" i="47"/>
  <c r="BQ6" i="47" s="1"/>
  <c r="BR6" i="47" s="1"/>
  <c r="BE6" i="47"/>
  <c r="BN6" i="47" s="1"/>
  <c r="BF6" i="47"/>
  <c r="AY6" i="47"/>
  <c r="BI2" i="47"/>
  <c r="BE2" i="47"/>
  <c r="BJ2" i="47"/>
  <c r="BF2" i="47"/>
  <c r="AZ2" i="47"/>
  <c r="CE2" i="47" s="1"/>
  <c r="AY2" i="47"/>
  <c r="BG2" i="47"/>
  <c r="BH2" i="47"/>
  <c r="AX2" i="47"/>
  <c r="AW2" i="47"/>
  <c r="BQ2" i="47" s="1"/>
  <c r="BR2" i="47" s="1"/>
  <c r="DE21" i="47"/>
  <c r="DE15" i="47"/>
  <c r="AF29" i="47"/>
  <c r="AT29" i="47" s="1"/>
  <c r="AN29" i="47"/>
  <c r="AU29" i="47" s="1"/>
  <c r="AJ29" i="47"/>
  <c r="AN148" i="47"/>
  <c r="AL148" i="47"/>
  <c r="AP209" i="47"/>
  <c r="AR209" i="47"/>
  <c r="BP111" i="47"/>
  <c r="BP81" i="47"/>
  <c r="DE156" i="47"/>
  <c r="BP154" i="47"/>
  <c r="FI154" i="47" s="1"/>
  <c r="BP131" i="47"/>
  <c r="DE192" i="47"/>
  <c r="BJ175" i="47"/>
  <c r="BF175" i="47"/>
  <c r="AY195" i="47"/>
  <c r="AW195" i="47"/>
  <c r="BQ195" i="47" s="1"/>
  <c r="AY192" i="47"/>
  <c r="BM192" i="47" s="1"/>
  <c r="BJ179" i="47"/>
  <c r="BF179" i="47"/>
  <c r="AY179" i="47"/>
  <c r="BM179" i="47" s="1"/>
  <c r="AP175" i="47"/>
  <c r="AN175" i="47"/>
  <c r="AY175" i="47"/>
  <c r="AR186" i="47"/>
  <c r="AP186" i="47"/>
  <c r="AN186" i="47"/>
  <c r="AY186" i="47"/>
  <c r="BM186" i="47" s="1"/>
  <c r="AM39" i="47"/>
  <c r="AK37" i="47"/>
  <c r="AM35" i="47"/>
  <c r="AK33" i="47"/>
  <c r="AM31" i="47"/>
  <c r="BJ92" i="47"/>
  <c r="BF92" i="47"/>
  <c r="AY92" i="47"/>
  <c r="BM92" i="47" s="1"/>
  <c r="AP58" i="47"/>
  <c r="AH58" i="47"/>
  <c r="AP53" i="47"/>
  <c r="AH53" i="47"/>
  <c r="AP46" i="47"/>
  <c r="AH46" i="47"/>
  <c r="AF94" i="47"/>
  <c r="AJ94" i="47"/>
  <c r="AN94" i="47"/>
  <c r="AH52" i="47"/>
  <c r="AP52" i="47"/>
  <c r="AL61" i="47"/>
  <c r="AF57" i="47"/>
  <c r="AJ57" i="47"/>
  <c r="AN57" i="47"/>
  <c r="AP57" i="47"/>
  <c r="AR57" i="47"/>
  <c r="AZ147" i="47"/>
  <c r="CE147" i="47" s="1"/>
  <c r="AX147" i="47"/>
  <c r="BI147" i="47"/>
  <c r="AZ206" i="47"/>
  <c r="CE206" i="47" s="1"/>
  <c r="AX206" i="47"/>
  <c r="BI206" i="47"/>
  <c r="AY62" i="47"/>
  <c r="AW94" i="47"/>
  <c r="BQ94" i="47" s="1"/>
  <c r="AY94" i="47"/>
  <c r="AZ98" i="47"/>
  <c r="CE98" i="47" s="1"/>
  <c r="AX98" i="47"/>
  <c r="BI98" i="47"/>
  <c r="AH59" i="47"/>
  <c r="AP59" i="47"/>
  <c r="AW57" i="47"/>
  <c r="BQ57" i="47" s="1"/>
  <c r="AY57" i="47"/>
  <c r="BE22" i="47"/>
  <c r="BE12" i="47"/>
  <c r="BE26" i="47"/>
  <c r="BE66" i="47"/>
  <c r="BE106" i="47"/>
  <c r="AF44" i="47"/>
  <c r="AN44" i="47"/>
  <c r="AU44" i="47" s="1"/>
  <c r="AF99" i="47"/>
  <c r="AN99" i="47"/>
  <c r="AF95" i="47"/>
  <c r="AN95" i="47"/>
  <c r="AU95" i="47" s="1"/>
  <c r="AF113" i="47"/>
  <c r="AN113" i="47"/>
  <c r="AQ13" i="47"/>
  <c r="AM13" i="47"/>
  <c r="AI13" i="47"/>
  <c r="BW13" i="47" s="1"/>
  <c r="AQ113" i="47"/>
  <c r="AM113" i="47"/>
  <c r="AI113" i="47"/>
  <c r="BW113" i="47" s="1"/>
  <c r="AQ109" i="47"/>
  <c r="AM109" i="47"/>
  <c r="AI109" i="47"/>
  <c r="BW109" i="47" s="1"/>
  <c r="AQ105" i="47"/>
  <c r="AM105" i="47"/>
  <c r="AI105" i="47"/>
  <c r="AQ89" i="47"/>
  <c r="AM89" i="47"/>
  <c r="AI89" i="47"/>
  <c r="BW89" i="47" s="1"/>
  <c r="AF148" i="47"/>
  <c r="AF209" i="47"/>
  <c r="AH203" i="47"/>
  <c r="AJ148" i="47"/>
  <c r="AH148" i="47"/>
  <c r="AP148" i="47"/>
  <c r="BP142" i="47"/>
  <c r="FI142" i="47" s="1"/>
  <c r="AJ209" i="47"/>
  <c r="BP209" i="47" s="1"/>
  <c r="AH209" i="47"/>
  <c r="AH27" i="47"/>
  <c r="AH13" i="47"/>
  <c r="AH113" i="47"/>
  <c r="AP113" i="47"/>
  <c r="AH109" i="47"/>
  <c r="AH105" i="47"/>
  <c r="AT105" i="47" s="1"/>
  <c r="AP105" i="47"/>
  <c r="AF23" i="47"/>
  <c r="BI22" i="47"/>
  <c r="AX22" i="47"/>
  <c r="AR69" i="47"/>
  <c r="BI12" i="47"/>
  <c r="AX12" i="47"/>
  <c r="AT81" i="47"/>
  <c r="BG78" i="47"/>
  <c r="AQ76" i="47"/>
  <c r="AM76" i="47"/>
  <c r="AI76" i="47"/>
  <c r="BW76" i="47" s="1"/>
  <c r="AP76" i="47"/>
  <c r="BI73" i="47"/>
  <c r="AO158" i="47"/>
  <c r="AK158" i="47"/>
  <c r="AG158" i="47"/>
  <c r="DE152" i="47"/>
  <c r="AO152" i="47"/>
  <c r="AK152" i="47"/>
  <c r="AG152" i="47"/>
  <c r="AW128" i="47"/>
  <c r="AH128" i="47"/>
  <c r="AJ126" i="47"/>
  <c r="AF126" i="47"/>
  <c r="AT126" i="47" s="1"/>
  <c r="AH124" i="47"/>
  <c r="AT124" i="47" s="1"/>
  <c r="AJ122" i="47"/>
  <c r="AF122" i="47"/>
  <c r="AT122" i="47" s="1"/>
  <c r="AH7" i="47"/>
  <c r="AJ5" i="47"/>
  <c r="AF5" i="47"/>
  <c r="AT5" i="47" s="1"/>
  <c r="AH3" i="47"/>
  <c r="BI26" i="47"/>
  <c r="AX26" i="47"/>
  <c r="AR23" i="47"/>
  <c r="BI66" i="47"/>
  <c r="AX66" i="47"/>
  <c r="BI106" i="47"/>
  <c r="AX106" i="47"/>
  <c r="AJ89" i="47"/>
  <c r="AH89" i="47"/>
  <c r="AT89" i="47" s="1"/>
  <c r="AP89" i="47"/>
  <c r="BE130" i="47"/>
  <c r="AX130" i="47"/>
  <c r="BD130" i="47"/>
  <c r="AW130" i="47"/>
  <c r="BF130" i="47"/>
  <c r="AP128" i="47"/>
  <c r="AX128" i="47"/>
  <c r="BD128" i="47"/>
  <c r="BH128" i="47"/>
  <c r="BC128" i="47"/>
  <c r="AL126" i="47"/>
  <c r="AY125" i="47"/>
  <c r="AZ125" i="47"/>
  <c r="CE125" i="47" s="1"/>
  <c r="BF125" i="47"/>
  <c r="BJ125" i="47"/>
  <c r="BE125" i="47"/>
  <c r="AP5" i="47"/>
  <c r="AX5" i="47"/>
  <c r="BD5" i="47"/>
  <c r="BH5" i="47"/>
  <c r="BC5" i="47"/>
  <c r="AG187" i="47"/>
  <c r="AJ44" i="47"/>
  <c r="BP44" i="47" s="1"/>
  <c r="AY188" i="47"/>
  <c r="AR171" i="47"/>
  <c r="AR113" i="47"/>
  <c r="AN171" i="47"/>
  <c r="AS171" i="47" s="1"/>
  <c r="BB171" i="47" s="1"/>
  <c r="BA171" i="47" s="1"/>
  <c r="V171" i="47" s="1"/>
  <c r="AF101" i="47"/>
  <c r="AT101" i="47" s="1"/>
  <c r="AN101" i="47"/>
  <c r="AJ99" i="47"/>
  <c r="AF97" i="47"/>
  <c r="AT97" i="47" s="1"/>
  <c r="AN97" i="47"/>
  <c r="AU97" i="47" s="1"/>
  <c r="AJ95" i="47"/>
  <c r="BP95" i="47" s="1"/>
  <c r="FO95" i="47" s="1"/>
  <c r="AF138" i="47"/>
  <c r="AN138" i="47"/>
  <c r="AF115" i="47"/>
  <c r="AT115" i="47" s="1"/>
  <c r="AN115" i="47"/>
  <c r="AJ105" i="47"/>
  <c r="BP105" i="47" s="1"/>
  <c r="AF49" i="50"/>
  <c r="BD110" i="50"/>
  <c r="AZ110" i="50"/>
  <c r="AP83" i="50"/>
  <c r="AH83" i="50"/>
  <c r="AM83" i="50"/>
  <c r="CL81" i="50"/>
  <c r="AL81" i="50"/>
  <c r="AQ81" i="50"/>
  <c r="AI81" i="50"/>
  <c r="AP79" i="50"/>
  <c r="AH79" i="50"/>
  <c r="AM79" i="50"/>
  <c r="CL77" i="50"/>
  <c r="AL77" i="50"/>
  <c r="AQ77" i="50"/>
  <c r="AI77" i="50"/>
  <c r="AZ75" i="50"/>
  <c r="BE75" i="50"/>
  <c r="BD75" i="50"/>
  <c r="AZ73" i="50"/>
  <c r="BE73" i="50"/>
  <c r="BD73" i="50"/>
  <c r="AQ14" i="50"/>
  <c r="AM14" i="50"/>
  <c r="AN14" i="50"/>
  <c r="AF14" i="50"/>
  <c r="AY10" i="50"/>
  <c r="BJ10" i="50"/>
  <c r="AX10" i="50"/>
  <c r="BD10" i="50"/>
  <c r="AY8" i="50"/>
  <c r="BM8" i="50" s="1"/>
  <c r="BH8" i="50"/>
  <c r="BJ8" i="50"/>
  <c r="AX8" i="50"/>
  <c r="BC8" i="50"/>
  <c r="BG8" i="50"/>
  <c r="AY59" i="50"/>
  <c r="BJ59" i="50"/>
  <c r="AX59" i="50"/>
  <c r="BD59" i="50"/>
  <c r="AY57" i="50"/>
  <c r="BH57" i="50"/>
  <c r="BJ57" i="50"/>
  <c r="AX57" i="50"/>
  <c r="BC57" i="50"/>
  <c r="BG57" i="50"/>
  <c r="BN57" i="50" s="1"/>
  <c r="AR23" i="50"/>
  <c r="CL26" i="50"/>
  <c r="BI47" i="50"/>
  <c r="BE47" i="50"/>
  <c r="BP48" i="50"/>
  <c r="AP44" i="50"/>
  <c r="AK36" i="50"/>
  <c r="BG95" i="50"/>
  <c r="BC95" i="50"/>
  <c r="CL90" i="50"/>
  <c r="AL90" i="50"/>
  <c r="BP90" i="50" s="1"/>
  <c r="BI87" i="50"/>
  <c r="BE87" i="50"/>
  <c r="BN87" i="50" s="1"/>
  <c r="AT86" i="50"/>
  <c r="AP107" i="50"/>
  <c r="AH107" i="50"/>
  <c r="AP103" i="50"/>
  <c r="AH103" i="50"/>
  <c r="BI26" i="50"/>
  <c r="BC26" i="50"/>
  <c r="AX26" i="50"/>
  <c r="BD26" i="50"/>
  <c r="BH26" i="50"/>
  <c r="AJ44" i="50"/>
  <c r="BJ38" i="50"/>
  <c r="AH36" i="50"/>
  <c r="AP36" i="50"/>
  <c r="BE93" i="50"/>
  <c r="AI90" i="50"/>
  <c r="AM90" i="50"/>
  <c r="BG110" i="50"/>
  <c r="AI107" i="50"/>
  <c r="AG14" i="50"/>
  <c r="BG10" i="50"/>
  <c r="BC10" i="50"/>
  <c r="BI59" i="50"/>
  <c r="BE59" i="50"/>
  <c r="BH54" i="50"/>
  <c r="BH47" i="50"/>
  <c r="BH95" i="50"/>
  <c r="BF93" i="50"/>
  <c r="BH87" i="50"/>
  <c r="BF110" i="50"/>
  <c r="AQ83" i="50"/>
  <c r="CL83" i="50"/>
  <c r="AH81" i="50"/>
  <c r="AI79" i="50"/>
  <c r="AL79" i="50"/>
  <c r="AM77" i="50"/>
  <c r="AP77" i="50"/>
  <c r="AY75" i="50"/>
  <c r="BH73" i="50"/>
  <c r="BI73" i="50"/>
  <c r="AJ14" i="50"/>
  <c r="BE8" i="50"/>
  <c r="BI57" i="50"/>
  <c r="AZ10" i="50"/>
  <c r="BF10" i="50"/>
  <c r="AZ8" i="50"/>
  <c r="BD8" i="50"/>
  <c r="AZ59" i="50"/>
  <c r="BF59" i="50"/>
  <c r="AZ57" i="50"/>
  <c r="BD57" i="50"/>
  <c r="BC15" i="50"/>
  <c r="AX15" i="50"/>
  <c r="BF15" i="50"/>
  <c r="BJ15" i="50"/>
  <c r="AR10" i="50"/>
  <c r="AJ10" i="50"/>
  <c r="AY69" i="50"/>
  <c r="BJ69" i="50"/>
  <c r="BG69" i="50"/>
  <c r="AY63" i="50"/>
  <c r="AX63" i="50"/>
  <c r="AN59" i="50"/>
  <c r="AF59" i="50"/>
  <c r="AY53" i="50"/>
  <c r="BJ53" i="50"/>
  <c r="BG53" i="50"/>
  <c r="AZ96" i="50"/>
  <c r="BH96" i="50"/>
  <c r="AM43" i="50"/>
  <c r="AU43" i="50" s="1"/>
  <c r="AI43" i="50"/>
  <c r="AM91" i="50"/>
  <c r="AI91" i="50"/>
  <c r="AQ6" i="50"/>
  <c r="AM6" i="50"/>
  <c r="AR6" i="50"/>
  <c r="AN6" i="50"/>
  <c r="AJ6" i="50"/>
  <c r="AF6" i="50"/>
  <c r="AT6" i="50" s="1"/>
  <c r="BI62" i="50"/>
  <c r="BC62" i="50"/>
  <c r="AY62" i="50"/>
  <c r="BM62" i="50" s="1"/>
  <c r="BG62" i="50"/>
  <c r="BN62" i="50" s="1"/>
  <c r="AU74" i="50"/>
  <c r="BP74" i="50"/>
  <c r="AX24" i="50"/>
  <c r="AF101" i="50"/>
  <c r="AF84" i="50"/>
  <c r="AU27" i="50"/>
  <c r="AQ13" i="50"/>
  <c r="AM13" i="50"/>
  <c r="AI13" i="50"/>
  <c r="AL13" i="50"/>
  <c r="CL13" i="50"/>
  <c r="AW12" i="50"/>
  <c r="BD12" i="50"/>
  <c r="BF12" i="50"/>
  <c r="AZ12" i="50"/>
  <c r="BH12" i="50"/>
  <c r="AX12" i="50"/>
  <c r="BC12" i="50"/>
  <c r="BG12" i="50"/>
  <c r="AZ9" i="50"/>
  <c r="BD9" i="50"/>
  <c r="BH9" i="50"/>
  <c r="CL9" i="50"/>
  <c r="AW6" i="50"/>
  <c r="BF6" i="50"/>
  <c r="BH6" i="50"/>
  <c r="AZ6" i="50"/>
  <c r="BJ6" i="50"/>
  <c r="BD6" i="50"/>
  <c r="BE6" i="50"/>
  <c r="BI6" i="50"/>
  <c r="AQ70" i="50"/>
  <c r="AO70" i="50"/>
  <c r="AK70" i="50"/>
  <c r="AG70" i="50"/>
  <c r="AH70" i="50"/>
  <c r="AP70" i="50"/>
  <c r="AQ62" i="50"/>
  <c r="AM62" i="50"/>
  <c r="AI62" i="50"/>
  <c r="AK62" i="50"/>
  <c r="AL62" i="50"/>
  <c r="CL62" i="50"/>
  <c r="AW61" i="50"/>
  <c r="BD61" i="50"/>
  <c r="BF61" i="50"/>
  <c r="AZ61" i="50"/>
  <c r="BE61" i="50"/>
  <c r="BI61" i="50"/>
  <c r="BH61" i="50"/>
  <c r="AX61" i="50"/>
  <c r="BC61" i="50"/>
  <c r="AZ58" i="50"/>
  <c r="BD58" i="50"/>
  <c r="BH58" i="50"/>
  <c r="CL58" i="50"/>
  <c r="AW55" i="50"/>
  <c r="BF55" i="50"/>
  <c r="BH55" i="50"/>
  <c r="AZ55" i="50"/>
  <c r="CL55" i="50"/>
  <c r="BJ55" i="50"/>
  <c r="BD55" i="50"/>
  <c r="BE55" i="50"/>
  <c r="BI55" i="50"/>
  <c r="AQ54" i="50"/>
  <c r="AM54" i="50"/>
  <c r="AI54" i="50"/>
  <c r="AK54" i="50"/>
  <c r="AH54" i="50"/>
  <c r="AP54" i="50"/>
  <c r="AQ34" i="50"/>
  <c r="BJ30" i="50"/>
  <c r="BH23" i="50"/>
  <c r="AR19" i="50"/>
  <c r="BJ33" i="50"/>
  <c r="BF33" i="50"/>
  <c r="BC24" i="50"/>
  <c r="AP49" i="50"/>
  <c r="AH44" i="50"/>
  <c r="AT44" i="50" s="1"/>
  <c r="AP39" i="50"/>
  <c r="AF92" i="50"/>
  <c r="AQ110" i="50"/>
  <c r="AU22" i="50"/>
  <c r="BP22" i="50"/>
  <c r="AZ20" i="50"/>
  <c r="AN44" i="50"/>
  <c r="AR39" i="50"/>
  <c r="AJ39" i="50"/>
  <c r="AI17" i="50"/>
  <c r="AQ17" i="50"/>
  <c r="AP13" i="50"/>
  <c r="BJ9" i="50"/>
  <c r="AX9" i="50"/>
  <c r="BG6" i="50"/>
  <c r="AH62" i="50"/>
  <c r="BF58" i="50"/>
  <c r="BC55" i="50"/>
  <c r="CL54" i="50"/>
  <c r="AL54" i="50"/>
  <c r="AK13" i="50"/>
  <c r="BI12" i="50"/>
  <c r="CL6" i="50"/>
  <c r="AM70" i="50"/>
  <c r="AO62" i="50"/>
  <c r="AG54" i="50"/>
  <c r="AY12" i="50"/>
  <c r="AY6" i="50"/>
  <c r="AY61" i="50"/>
  <c r="AY55" i="50"/>
  <c r="BM55" i="50" s="1"/>
  <c r="AW2" i="50"/>
  <c r="BD2" i="50"/>
  <c r="BF2" i="50"/>
  <c r="AY50" i="50"/>
  <c r="BM50" i="50" s="1"/>
  <c r="BH50" i="50"/>
  <c r="BJ50" i="50"/>
  <c r="AX50" i="50"/>
  <c r="AW45" i="50"/>
  <c r="BM45" i="50" s="1"/>
  <c r="BD45" i="50"/>
  <c r="BF45" i="50"/>
  <c r="BN45" i="50" s="1"/>
  <c r="AM35" i="50"/>
  <c r="AR35" i="50"/>
  <c r="AN35" i="50"/>
  <c r="AU35" i="50" s="1"/>
  <c r="AJ35" i="50"/>
  <c r="BP35" i="50" s="1"/>
  <c r="AF35" i="50"/>
  <c r="AR107" i="50"/>
  <c r="AO107" i="50"/>
  <c r="AK107" i="50"/>
  <c r="AG107" i="50"/>
  <c r="AW47" i="50"/>
  <c r="BM47" i="50" s="1"/>
  <c r="BF47" i="50"/>
  <c r="BD47" i="50"/>
  <c r="AZ47" i="50"/>
  <c r="AM36" i="50"/>
  <c r="AI36" i="50"/>
  <c r="AR36" i="50"/>
  <c r="AN36" i="50"/>
  <c r="AJ36" i="50"/>
  <c r="BP36" i="50" s="1"/>
  <c r="AF36" i="50"/>
  <c r="AY95" i="50"/>
  <c r="BM95" i="50" s="1"/>
  <c r="BJ95" i="50"/>
  <c r="AX95" i="50"/>
  <c r="BD95" i="50"/>
  <c r="CL95" i="50"/>
  <c r="AY93" i="50"/>
  <c r="BH93" i="50"/>
  <c r="BJ93" i="50"/>
  <c r="AX93" i="50"/>
  <c r="BC93" i="50"/>
  <c r="BG93" i="50"/>
  <c r="AY87" i="50"/>
  <c r="BM87" i="50" s="1"/>
  <c r="BJ87" i="50"/>
  <c r="AX87" i="50"/>
  <c r="BD87" i="50"/>
  <c r="AY110" i="50"/>
  <c r="BH110" i="50"/>
  <c r="BJ110" i="50"/>
  <c r="AX110" i="50"/>
  <c r="BE110" i="50"/>
  <c r="BI110" i="50"/>
  <c r="AF103" i="50"/>
  <c r="AT103" i="50" s="1"/>
  <c r="AR103" i="50"/>
  <c r="AJ103" i="50"/>
  <c r="AO103" i="50"/>
  <c r="AU103" i="50" s="1"/>
  <c r="AK103" i="50"/>
  <c r="AG103" i="50"/>
  <c r="AR83" i="50"/>
  <c r="AN83" i="50"/>
  <c r="AJ83" i="50"/>
  <c r="AF83" i="50"/>
  <c r="AT83" i="50" s="1"/>
  <c r="AO83" i="50"/>
  <c r="AK83" i="50"/>
  <c r="AG83" i="50"/>
  <c r="AR81" i="50"/>
  <c r="AN81" i="50"/>
  <c r="AJ81" i="50"/>
  <c r="BP81" i="50" s="1"/>
  <c r="AF81" i="50"/>
  <c r="AO81" i="50"/>
  <c r="AK81" i="50"/>
  <c r="AG81" i="50"/>
  <c r="AR79" i="50"/>
  <c r="AN79" i="50"/>
  <c r="AJ79" i="50"/>
  <c r="AF79" i="50"/>
  <c r="AT79" i="50" s="1"/>
  <c r="AO79" i="50"/>
  <c r="AK79" i="50"/>
  <c r="AG79" i="50"/>
  <c r="AR77" i="50"/>
  <c r="AN77" i="50"/>
  <c r="AJ77" i="50"/>
  <c r="AF77" i="50"/>
  <c r="AT77" i="50" s="1"/>
  <c r="AO77" i="50"/>
  <c r="AK77" i="50"/>
  <c r="AG77" i="50"/>
  <c r="AX75" i="50"/>
  <c r="BG75" i="50"/>
  <c r="BC75" i="50"/>
  <c r="AW75" i="50"/>
  <c r="BM75" i="50" s="1"/>
  <c r="BF75" i="50"/>
  <c r="BJ75" i="50"/>
  <c r="AX73" i="50"/>
  <c r="BG73" i="50"/>
  <c r="BC73" i="50"/>
  <c r="AW73" i="50"/>
  <c r="BM73" i="50" s="1"/>
  <c r="BF73" i="50"/>
  <c r="BJ73" i="50"/>
  <c r="AI14" i="50"/>
  <c r="CL14" i="50"/>
  <c r="AP14" i="50"/>
  <c r="AL14" i="50"/>
  <c r="AH14" i="50"/>
  <c r="AK14" i="50"/>
  <c r="BI70" i="50"/>
  <c r="BG70" i="50"/>
  <c r="AW70" i="50"/>
  <c r="BC70" i="50"/>
  <c r="AY70" i="50"/>
  <c r="BE70" i="50"/>
  <c r="AX70" i="50"/>
  <c r="BF70" i="50"/>
  <c r="BJ70" i="50"/>
  <c r="AQ63" i="50"/>
  <c r="AM63" i="50"/>
  <c r="AU63" i="50" s="1"/>
  <c r="AI63" i="50"/>
  <c r="CL63" i="50"/>
  <c r="AP63" i="50"/>
  <c r="AL63" i="50"/>
  <c r="AH63" i="50"/>
  <c r="AT63" i="50" s="1"/>
  <c r="AR63" i="50"/>
  <c r="AJ63" i="50"/>
  <c r="AK63" i="50"/>
  <c r="BI54" i="50"/>
  <c r="BG54" i="50"/>
  <c r="AW54" i="50"/>
  <c r="AY54" i="50"/>
  <c r="BE54" i="50"/>
  <c r="BC54" i="50"/>
  <c r="AX54" i="50"/>
  <c r="BF54" i="50"/>
  <c r="BJ54" i="50"/>
  <c r="AF15" i="50"/>
  <c r="AF64" i="50"/>
  <c r="AW69" i="50"/>
  <c r="BD69" i="50"/>
  <c r="BF69" i="50"/>
  <c r="AZ69" i="50"/>
  <c r="BE69" i="50"/>
  <c r="BI69" i="50"/>
  <c r="AW63" i="50"/>
  <c r="BF63" i="50"/>
  <c r="BN63" i="50" s="1"/>
  <c r="BH63" i="50"/>
  <c r="AZ63" i="50"/>
  <c r="AW53" i="50"/>
  <c r="BD53" i="50"/>
  <c r="BF53" i="50"/>
  <c r="AZ53" i="50"/>
  <c r="BE53" i="50"/>
  <c r="BI53" i="50"/>
  <c r="AX96" i="50"/>
  <c r="BF96" i="50"/>
  <c r="BJ96" i="50"/>
  <c r="AN90" i="50"/>
  <c r="AU90" i="50" s="1"/>
  <c r="AF90" i="50"/>
  <c r="AT90" i="50" s="1"/>
  <c r="BG11" i="50"/>
  <c r="BN11" i="50" s="1"/>
  <c r="BC11" i="50"/>
  <c r="AY11" i="50"/>
  <c r="BM11" i="50" s="1"/>
  <c r="AF9" i="50"/>
  <c r="AT9" i="50" s="1"/>
  <c r="AJ9" i="50"/>
  <c r="BG60" i="50"/>
  <c r="BC60" i="50"/>
  <c r="AY60" i="50"/>
  <c r="BM60" i="50" s="1"/>
  <c r="AX60" i="50"/>
  <c r="BF60" i="50"/>
  <c r="BJ60" i="50"/>
  <c r="AF58" i="50"/>
  <c r="AT58" i="50" s="1"/>
  <c r="AJ58" i="50"/>
  <c r="AO58" i="50"/>
  <c r="AK58" i="50"/>
  <c r="AG58" i="50"/>
  <c r="BG88" i="50"/>
  <c r="BN88" i="50" s="1"/>
  <c r="BC88" i="50"/>
  <c r="AN109" i="50"/>
  <c r="AI85" i="50"/>
  <c r="BE25" i="50"/>
  <c r="AW39" i="50"/>
  <c r="AF38" i="50"/>
  <c r="AT38" i="50" s="1"/>
  <c r="BD91" i="50"/>
  <c r="AX91" i="50"/>
  <c r="BJ91" i="50"/>
  <c r="AQ16" i="50"/>
  <c r="AF7" i="50"/>
  <c r="AQ65" i="50"/>
  <c r="AF56" i="50"/>
  <c r="AU18" i="50"/>
  <c r="AR26" i="50"/>
  <c r="AJ26" i="50"/>
  <c r="AN26" i="50"/>
  <c r="AF26" i="50"/>
  <c r="AT26" i="50" s="1"/>
  <c r="AW21" i="50"/>
  <c r="BI21" i="50"/>
  <c r="AY21" i="50"/>
  <c r="BE21" i="50"/>
  <c r="BG21" i="50"/>
  <c r="AW4" i="50"/>
  <c r="BI4" i="50"/>
  <c r="AY4" i="50"/>
  <c r="BE4" i="50"/>
  <c r="BG4" i="50"/>
  <c r="AY51" i="50"/>
  <c r="AW51" i="50"/>
  <c r="BC51" i="50"/>
  <c r="BG51" i="50"/>
  <c r="AY46" i="50"/>
  <c r="AW46" i="50"/>
  <c r="BC46" i="50"/>
  <c r="BE46" i="50"/>
  <c r="BI46" i="50"/>
  <c r="BG31" i="50"/>
  <c r="BC31" i="50"/>
  <c r="BE31" i="50"/>
  <c r="BI31" i="50"/>
  <c r="AY31" i="50"/>
  <c r="BM31" i="50" s="1"/>
  <c r="BC21" i="50"/>
  <c r="BI51" i="50"/>
  <c r="BG46" i="50"/>
  <c r="BI107" i="50"/>
  <c r="BE107" i="50"/>
  <c r="BC107" i="50"/>
  <c r="BG107" i="50"/>
  <c r="AW107" i="50"/>
  <c r="BM107" i="50" s="1"/>
  <c r="BI13" i="50"/>
  <c r="BE13" i="50"/>
  <c r="BC13" i="50"/>
  <c r="BG13" i="50"/>
  <c r="AW13" i="50"/>
  <c r="BM13" i="50" s="1"/>
  <c r="AQ10" i="50"/>
  <c r="AI10" i="50"/>
  <c r="AM10" i="50"/>
  <c r="AU10" i="50" s="1"/>
  <c r="CL10" i="50"/>
  <c r="AP10" i="50"/>
  <c r="AL10" i="50"/>
  <c r="AH10" i="50"/>
  <c r="BG7" i="50"/>
  <c r="AY7" i="50"/>
  <c r="BM7" i="50" s="1"/>
  <c r="BC7" i="50"/>
  <c r="AX7" i="50"/>
  <c r="BF7" i="50"/>
  <c r="BJ7" i="50"/>
  <c r="AQ67" i="50"/>
  <c r="AI67" i="50"/>
  <c r="AM67" i="50"/>
  <c r="AU67" i="50" s="1"/>
  <c r="CL67" i="50"/>
  <c r="AP67" i="50"/>
  <c r="AL67" i="50"/>
  <c r="BP67" i="50" s="1"/>
  <c r="AH67" i="50"/>
  <c r="BG64" i="50"/>
  <c r="AY64" i="50"/>
  <c r="BM64" i="50" s="1"/>
  <c r="BC64" i="50"/>
  <c r="AX64" i="50"/>
  <c r="BF64" i="50"/>
  <c r="BN64" i="50" s="1"/>
  <c r="BJ64" i="50"/>
  <c r="AI59" i="50"/>
  <c r="AQ59" i="50"/>
  <c r="AM59" i="50"/>
  <c r="CL59" i="50"/>
  <c r="AP59" i="50"/>
  <c r="AL59" i="50"/>
  <c r="BP59" i="50" s="1"/>
  <c r="AH59" i="50"/>
  <c r="BG56" i="50"/>
  <c r="AY56" i="50"/>
  <c r="BM56" i="50" s="1"/>
  <c r="BC56" i="50"/>
  <c r="AX56" i="50"/>
  <c r="BF56" i="50"/>
  <c r="BJ56" i="50"/>
  <c r="AY52" i="50"/>
  <c r="BH52" i="50"/>
  <c r="BJ52" i="50"/>
  <c r="AX52" i="50"/>
  <c r="BC52" i="50"/>
  <c r="BG52" i="50"/>
  <c r="AQ32" i="50"/>
  <c r="AF23" i="50"/>
  <c r="AH33" i="50"/>
  <c r="AF33" i="50"/>
  <c r="AI93" i="50"/>
  <c r="AI102" i="50"/>
  <c r="AW44" i="50"/>
  <c r="AF40" i="50"/>
  <c r="AT40" i="50" s="1"/>
  <c r="AU32" i="50"/>
  <c r="BP32" i="50"/>
  <c r="BP31" i="50"/>
  <c r="AR30" i="50"/>
  <c r="AN30" i="50"/>
  <c r="AU28" i="50"/>
  <c r="AJ23" i="50"/>
  <c r="AJ19" i="50"/>
  <c r="AJ33" i="50"/>
  <c r="BP21" i="50"/>
  <c r="AU21" i="50"/>
  <c r="AU5" i="50"/>
  <c r="AH49" i="50"/>
  <c r="AP40" i="50"/>
  <c r="AP38" i="50"/>
  <c r="AU29" i="50"/>
  <c r="BP27" i="50"/>
  <c r="BC20" i="50"/>
  <c r="AR49" i="50"/>
  <c r="AN49" i="50"/>
  <c r="BJ44" i="50"/>
  <c r="AR40" i="50"/>
  <c r="AN40" i="50"/>
  <c r="BJ39" i="50"/>
  <c r="AR38" i="50"/>
  <c r="AN38" i="50"/>
  <c r="BP95" i="50"/>
  <c r="AU94" i="50"/>
  <c r="AU91" i="50"/>
  <c r="BP87" i="50"/>
  <c r="AU86" i="50"/>
  <c r="AU108" i="50"/>
  <c r="BP104" i="50"/>
  <c r="AW94" i="50"/>
  <c r="BI94" i="50"/>
  <c r="AY94" i="50"/>
  <c r="BE94" i="50"/>
  <c r="BN94" i="50" s="1"/>
  <c r="BC94" i="50"/>
  <c r="AQ87" i="50"/>
  <c r="AI87" i="50"/>
  <c r="AM87" i="50"/>
  <c r="BG109" i="50"/>
  <c r="BN109" i="50" s="1"/>
  <c r="AY109" i="50"/>
  <c r="BM109" i="50" s="1"/>
  <c r="AW103" i="50"/>
  <c r="BI103" i="50"/>
  <c r="AY103" i="50"/>
  <c r="BE103" i="50"/>
  <c r="BN103" i="50" s="1"/>
  <c r="BC103" i="50"/>
  <c r="AW98" i="50"/>
  <c r="BI98" i="50"/>
  <c r="AY98" i="50"/>
  <c r="BE98" i="50"/>
  <c r="BG98" i="50"/>
  <c r="BC98" i="50"/>
  <c r="AW18" i="50"/>
  <c r="BI18" i="50"/>
  <c r="AY18" i="50"/>
  <c r="BG18" i="50"/>
  <c r="BE18" i="50"/>
  <c r="BC18" i="50"/>
  <c r="AY14" i="50"/>
  <c r="BJ14" i="50"/>
  <c r="AX14" i="50"/>
  <c r="BD14" i="50"/>
  <c r="BE51" i="50"/>
  <c r="AI32" i="50"/>
  <c r="AU9" i="50"/>
  <c r="AU66" i="50"/>
  <c r="AU58" i="50"/>
  <c r="AU55" i="50"/>
  <c r="AQ47" i="50"/>
  <c r="AI47" i="50"/>
  <c r="AP37" i="50"/>
  <c r="AL37" i="50"/>
  <c r="AH37" i="50"/>
  <c r="AN37" i="50"/>
  <c r="AU37" i="50" s="1"/>
  <c r="AF37" i="50"/>
  <c r="AR37" i="50"/>
  <c r="AJ37" i="50"/>
  <c r="AQ35" i="50"/>
  <c r="AI35" i="50"/>
  <c r="AI31" i="50"/>
  <c r="AR31" i="50"/>
  <c r="AG31" i="50"/>
  <c r="AK31" i="50"/>
  <c r="AM47" i="50"/>
  <c r="AU47" i="50" s="1"/>
  <c r="AY92" i="50"/>
  <c r="BM92" i="50" s="1"/>
  <c r="BG92" i="50"/>
  <c r="BN92" i="50" s="1"/>
  <c r="AW86" i="50"/>
  <c r="BI86" i="50"/>
  <c r="AY86" i="50"/>
  <c r="AY101" i="50"/>
  <c r="BM101" i="50" s="1"/>
  <c r="BG101" i="50"/>
  <c r="AQ99" i="50"/>
  <c r="AI99" i="50"/>
  <c r="BG84" i="50"/>
  <c r="BN84" i="50" s="1"/>
  <c r="AY84" i="50"/>
  <c r="BG15" i="50"/>
  <c r="AY15" i="50"/>
  <c r="BM15" i="50" s="1"/>
  <c r="AN107" i="50"/>
  <c r="AF107" i="50"/>
  <c r="BC84" i="50"/>
  <c r="AR13" i="50"/>
  <c r="AJ13" i="50"/>
  <c r="AN13" i="50"/>
  <c r="AF13" i="50"/>
  <c r="AT13" i="50" s="1"/>
  <c r="AW9" i="50"/>
  <c r="BI9" i="50"/>
  <c r="BE9" i="50"/>
  <c r="AY9" i="50"/>
  <c r="AN70" i="50"/>
  <c r="AF70" i="50"/>
  <c r="AW66" i="50"/>
  <c r="BI66" i="50"/>
  <c r="BE66" i="50"/>
  <c r="AY66" i="50"/>
  <c r="AN62" i="50"/>
  <c r="AF62" i="50"/>
  <c r="AW58" i="50"/>
  <c r="BI58" i="50"/>
  <c r="BE58" i="50"/>
  <c r="AY58" i="50"/>
  <c r="AN54" i="50"/>
  <c r="AF54" i="50"/>
  <c r="BG96" i="50"/>
  <c r="AY96" i="50"/>
  <c r="BM96" i="50" s="1"/>
  <c r="AN42" i="50"/>
  <c r="AS42" i="50" s="1"/>
  <c r="BB42" i="50" s="1"/>
  <c r="BA42" i="50" s="1"/>
  <c r="BM42" i="50"/>
  <c r="BG42" i="50"/>
  <c r="BC42" i="50"/>
  <c r="BI42" i="50"/>
  <c r="BE42" i="50"/>
  <c r="BC92" i="50"/>
  <c r="BG86" i="50"/>
  <c r="BC101" i="50"/>
  <c r="AI95" i="50"/>
  <c r="AI104" i="50"/>
  <c r="BG9" i="50"/>
  <c r="AJ70" i="50"/>
  <c r="BP70" i="50" s="1"/>
  <c r="FH70" i="50" s="1"/>
  <c r="BG58" i="50"/>
  <c r="AJ54" i="50"/>
  <c r="BG66" i="50"/>
  <c r="AJ62" i="50"/>
  <c r="AM95" i="50"/>
  <c r="AU95" i="50" s="1"/>
  <c r="AR90" i="50"/>
  <c r="BI90" i="50"/>
  <c r="BE90" i="50"/>
  <c r="BG90" i="50"/>
  <c r="BC90" i="50"/>
  <c r="BC86" i="50"/>
  <c r="AM104" i="50"/>
  <c r="BE86" i="50"/>
  <c r="BC9" i="50"/>
  <c r="AR70" i="50"/>
  <c r="BC58" i="50"/>
  <c r="AR54" i="50"/>
  <c r="BC66" i="50"/>
  <c r="AR62" i="50"/>
  <c r="BC96" i="50"/>
  <c r="BM43" i="50"/>
  <c r="BM89" i="50"/>
  <c r="CL12" i="50"/>
  <c r="AR12" i="50"/>
  <c r="AP12" i="50"/>
  <c r="AN12" i="50"/>
  <c r="AL12" i="50"/>
  <c r="AJ12" i="50"/>
  <c r="AH12" i="50"/>
  <c r="AF12" i="50"/>
  <c r="AO12" i="50"/>
  <c r="AK12" i="50"/>
  <c r="AG12" i="50"/>
  <c r="AI12" i="50"/>
  <c r="AQ12" i="50"/>
  <c r="AM12" i="50"/>
  <c r="CL61" i="50"/>
  <c r="AR61" i="50"/>
  <c r="AP61" i="50"/>
  <c r="AN61" i="50"/>
  <c r="AL61" i="50"/>
  <c r="AJ61" i="50"/>
  <c r="AH61" i="50"/>
  <c r="AF61" i="50"/>
  <c r="AO61" i="50"/>
  <c r="AK61" i="50"/>
  <c r="AG61" i="50"/>
  <c r="AI61" i="50"/>
  <c r="AQ61" i="50"/>
  <c r="AM61" i="50"/>
  <c r="CL34" i="50"/>
  <c r="AR34" i="50"/>
  <c r="AP34" i="50"/>
  <c r="AN34" i="50"/>
  <c r="AL34" i="50"/>
  <c r="AJ34" i="50"/>
  <c r="AH34" i="50"/>
  <c r="AF34" i="50"/>
  <c r="AK34" i="50"/>
  <c r="AO34" i="50"/>
  <c r="AG34" i="50"/>
  <c r="AM34" i="50"/>
  <c r="AT32" i="50"/>
  <c r="AT31" i="50"/>
  <c r="AU31" i="50"/>
  <c r="BH30" i="50"/>
  <c r="AQ30" i="50"/>
  <c r="AO30" i="50"/>
  <c r="AM30" i="50"/>
  <c r="AK30" i="50"/>
  <c r="AI30" i="50"/>
  <c r="AG30" i="50"/>
  <c r="AL30" i="50"/>
  <c r="BP30" i="50" s="1"/>
  <c r="AP30" i="50"/>
  <c r="CL30" i="50"/>
  <c r="AH30" i="50"/>
  <c r="AT30" i="50" s="1"/>
  <c r="CL25" i="50"/>
  <c r="AR25" i="50"/>
  <c r="AP25" i="50"/>
  <c r="AN25" i="50"/>
  <c r="AL25" i="50"/>
  <c r="AJ25" i="50"/>
  <c r="AH25" i="50"/>
  <c r="AF25" i="50"/>
  <c r="AK25" i="50"/>
  <c r="AM25" i="50"/>
  <c r="AO25" i="50"/>
  <c r="AQ25" i="50"/>
  <c r="AI25" i="50"/>
  <c r="BN22" i="50"/>
  <c r="CL20" i="50"/>
  <c r="AR20" i="50"/>
  <c r="AP20" i="50"/>
  <c r="AN20" i="50"/>
  <c r="AL20" i="50"/>
  <c r="AJ20" i="50"/>
  <c r="AH20" i="50"/>
  <c r="AF20" i="50"/>
  <c r="AK20" i="50"/>
  <c r="AG20" i="50"/>
  <c r="AI20" i="50"/>
  <c r="AM20" i="50"/>
  <c r="AU20" i="50" s="1"/>
  <c r="AQ20" i="50"/>
  <c r="BP28" i="50"/>
  <c r="BM27" i="50"/>
  <c r="AZ23" i="50"/>
  <c r="AX23" i="50"/>
  <c r="BI23" i="50"/>
  <c r="BE23" i="50"/>
  <c r="BC23" i="50"/>
  <c r="BG23" i="50"/>
  <c r="AY23" i="50"/>
  <c r="BM23" i="50" s="1"/>
  <c r="AZ19" i="50"/>
  <c r="AX19" i="50"/>
  <c r="BI19" i="50"/>
  <c r="BE19" i="50"/>
  <c r="BC19" i="50"/>
  <c r="AY19" i="50"/>
  <c r="BM19" i="50" s="1"/>
  <c r="BG19" i="50"/>
  <c r="CL45" i="50"/>
  <c r="AR45" i="50"/>
  <c r="AP45" i="50"/>
  <c r="AN45" i="50"/>
  <c r="AL45" i="50"/>
  <c r="AJ45" i="50"/>
  <c r="AH45" i="50"/>
  <c r="AF45" i="50"/>
  <c r="AK45" i="50"/>
  <c r="AO45" i="50"/>
  <c r="AG45" i="50"/>
  <c r="AM45" i="50"/>
  <c r="AR33" i="50"/>
  <c r="AP33" i="50"/>
  <c r="BM33" i="50"/>
  <c r="AZ33" i="50"/>
  <c r="AX33" i="50"/>
  <c r="BI33" i="50"/>
  <c r="BE33" i="50"/>
  <c r="BG33" i="50"/>
  <c r="BC33" i="50"/>
  <c r="AY24" i="50"/>
  <c r="AW24" i="50"/>
  <c r="BH24" i="50"/>
  <c r="BD24" i="50"/>
  <c r="BF24" i="50"/>
  <c r="BJ24" i="50"/>
  <c r="BI24" i="50"/>
  <c r="BG24" i="50"/>
  <c r="BE24" i="50"/>
  <c r="AI24" i="50"/>
  <c r="AS21" i="50"/>
  <c r="BB21" i="50" s="1"/>
  <c r="BP5" i="50"/>
  <c r="AS4" i="50"/>
  <c r="BB4" i="50" s="1"/>
  <c r="AT4" i="50"/>
  <c r="AQ3" i="50"/>
  <c r="AM3" i="50"/>
  <c r="AS51" i="50"/>
  <c r="BB51" i="50" s="1"/>
  <c r="BN50" i="50"/>
  <c r="AT47" i="50"/>
  <c r="AS46" i="50"/>
  <c r="BB46" i="50" s="1"/>
  <c r="AI45" i="50"/>
  <c r="CL89" i="50"/>
  <c r="AR89" i="50"/>
  <c r="AP89" i="50"/>
  <c r="AN89" i="50"/>
  <c r="AL89" i="50"/>
  <c r="AJ89" i="50"/>
  <c r="AH89" i="50"/>
  <c r="AF89" i="50"/>
  <c r="AO89" i="50"/>
  <c r="AK89" i="50"/>
  <c r="AG89" i="50"/>
  <c r="AI89" i="50"/>
  <c r="AQ89" i="50"/>
  <c r="AQ88" i="50"/>
  <c r="AO88" i="50"/>
  <c r="AM88" i="50"/>
  <c r="AK88" i="50"/>
  <c r="AI88" i="50"/>
  <c r="AG88" i="50"/>
  <c r="CL88" i="50"/>
  <c r="AP88" i="50"/>
  <c r="AL88" i="50"/>
  <c r="BP88" i="50" s="1"/>
  <c r="AH88" i="50"/>
  <c r="AF88" i="50"/>
  <c r="AN88" i="50"/>
  <c r="AR88" i="50"/>
  <c r="BM34" i="50"/>
  <c r="AT29" i="50"/>
  <c r="AS29" i="50"/>
  <c r="BB29" i="50" s="1"/>
  <c r="BM26" i="50"/>
  <c r="BM5" i="50"/>
  <c r="AZ49" i="50"/>
  <c r="AX49" i="50"/>
  <c r="BI49" i="50"/>
  <c r="BE49" i="50"/>
  <c r="BG49" i="50"/>
  <c r="BC49" i="50"/>
  <c r="BF49" i="50"/>
  <c r="BH49" i="50"/>
  <c r="AY49" i="50"/>
  <c r="BM49" i="50" s="1"/>
  <c r="AZ44" i="50"/>
  <c r="AX44" i="50"/>
  <c r="BI44" i="50"/>
  <c r="BE44" i="50"/>
  <c r="BG44" i="50"/>
  <c r="BC44" i="50"/>
  <c r="AY44" i="50"/>
  <c r="BM44" i="50" s="1"/>
  <c r="BF44" i="50"/>
  <c r="BH44" i="50"/>
  <c r="AZ40" i="50"/>
  <c r="AX40" i="50"/>
  <c r="BI40" i="50"/>
  <c r="BE40" i="50"/>
  <c r="BG40" i="50"/>
  <c r="BC40" i="50"/>
  <c r="AY40" i="50"/>
  <c r="BM40" i="50" s="1"/>
  <c r="BF40" i="50"/>
  <c r="BH40" i="50"/>
  <c r="AZ39" i="50"/>
  <c r="AX39" i="50"/>
  <c r="BI39" i="50"/>
  <c r="BE39" i="50"/>
  <c r="BG39" i="50"/>
  <c r="BC39" i="50"/>
  <c r="BF39" i="50"/>
  <c r="BH39" i="50"/>
  <c r="AY39" i="50"/>
  <c r="AZ38" i="50"/>
  <c r="AX38" i="50"/>
  <c r="BI38" i="50"/>
  <c r="BE38" i="50"/>
  <c r="BG38" i="50"/>
  <c r="BC38" i="50"/>
  <c r="AY38" i="50"/>
  <c r="BM38" i="50" s="1"/>
  <c r="BF38" i="50"/>
  <c r="BH38" i="50"/>
  <c r="AS98" i="50"/>
  <c r="BB98" i="50" s="1"/>
  <c r="BM106" i="50"/>
  <c r="BN79" i="50"/>
  <c r="BM79" i="50"/>
  <c r="AQ11" i="50"/>
  <c r="AO11" i="50"/>
  <c r="AM11" i="50"/>
  <c r="AK11" i="50"/>
  <c r="AI11" i="50"/>
  <c r="AG11" i="50"/>
  <c r="CL11" i="50"/>
  <c r="AP11" i="50"/>
  <c r="AL11" i="50"/>
  <c r="AH11" i="50"/>
  <c r="AF11" i="50"/>
  <c r="AN11" i="50"/>
  <c r="AJ11" i="50"/>
  <c r="AR11" i="50"/>
  <c r="AQ60" i="50"/>
  <c r="AO60" i="50"/>
  <c r="AM60" i="50"/>
  <c r="AK60" i="50"/>
  <c r="AI60" i="50"/>
  <c r="AG60" i="50"/>
  <c r="CL60" i="50"/>
  <c r="AP60" i="50"/>
  <c r="AL60" i="50"/>
  <c r="AH60" i="50"/>
  <c r="AF60" i="50"/>
  <c r="AN60" i="50"/>
  <c r="AJ60" i="50"/>
  <c r="BN60" i="50"/>
  <c r="AR60" i="50"/>
  <c r="BN32" i="50"/>
  <c r="BN34" i="50"/>
  <c r="BN29" i="50"/>
  <c r="BN28" i="50"/>
  <c r="BN27" i="50"/>
  <c r="AZ30" i="50"/>
  <c r="AX30" i="50"/>
  <c r="BI30" i="50"/>
  <c r="BE30" i="50"/>
  <c r="BC30" i="50"/>
  <c r="BG30" i="50"/>
  <c r="AY30" i="50"/>
  <c r="BM30" i="50" s="1"/>
  <c r="CL24" i="50"/>
  <c r="AR24" i="50"/>
  <c r="AP24" i="50"/>
  <c r="AN24" i="50"/>
  <c r="AL24" i="50"/>
  <c r="AJ24" i="50"/>
  <c r="AH24" i="50"/>
  <c r="AF24" i="50"/>
  <c r="AK24" i="50"/>
  <c r="BN5" i="50"/>
  <c r="CL3" i="50"/>
  <c r="AR3" i="50"/>
  <c r="AP3" i="50"/>
  <c r="AL3" i="50"/>
  <c r="AH3" i="50"/>
  <c r="AN3" i="50"/>
  <c r="AF3" i="50"/>
  <c r="AJ3" i="50"/>
  <c r="AG3" i="50"/>
  <c r="BM32" i="50"/>
  <c r="BM29" i="50"/>
  <c r="AT28" i="50"/>
  <c r="AS28" i="50"/>
  <c r="BB28" i="50" s="1"/>
  <c r="AQ23" i="50"/>
  <c r="AO23" i="50"/>
  <c r="AM23" i="50"/>
  <c r="AK23" i="50"/>
  <c r="AI23" i="50"/>
  <c r="AG23" i="50"/>
  <c r="AL23" i="50"/>
  <c r="AP23" i="50"/>
  <c r="CL23" i="50"/>
  <c r="AH23" i="50"/>
  <c r="AQ19" i="50"/>
  <c r="AO19" i="50"/>
  <c r="AM19" i="50"/>
  <c r="AK19" i="50"/>
  <c r="AI19" i="50"/>
  <c r="AG19" i="50"/>
  <c r="AL19" i="50"/>
  <c r="CL19" i="50"/>
  <c r="AH19" i="50"/>
  <c r="AT19" i="50" s="1"/>
  <c r="AP19" i="50"/>
  <c r="CL2" i="50"/>
  <c r="AR2" i="50"/>
  <c r="AP2" i="50"/>
  <c r="AN2" i="50"/>
  <c r="AL2" i="50"/>
  <c r="AJ2" i="50"/>
  <c r="AH2" i="50"/>
  <c r="AF2" i="50"/>
  <c r="AK2" i="50"/>
  <c r="AO2" i="50"/>
  <c r="AG2" i="50"/>
  <c r="AM2" i="50"/>
  <c r="CL50" i="50"/>
  <c r="AR50" i="50"/>
  <c r="AP50" i="50"/>
  <c r="AN50" i="50"/>
  <c r="AL50" i="50"/>
  <c r="AJ50" i="50"/>
  <c r="AH50" i="50"/>
  <c r="AF50" i="50"/>
  <c r="AK50" i="50"/>
  <c r="AO50" i="50"/>
  <c r="AG50" i="50"/>
  <c r="AM50" i="50"/>
  <c r="CL41" i="50"/>
  <c r="AR41" i="50"/>
  <c r="AP41" i="50"/>
  <c r="AN41" i="50"/>
  <c r="AL41" i="50"/>
  <c r="AJ41" i="50"/>
  <c r="AH41" i="50"/>
  <c r="AF41" i="50"/>
  <c r="AK41" i="50"/>
  <c r="AO41" i="50"/>
  <c r="AG41" i="50"/>
  <c r="AI41" i="50"/>
  <c r="AQ41" i="50"/>
  <c r="AQ33" i="50"/>
  <c r="AO33" i="50"/>
  <c r="AM33" i="50"/>
  <c r="AK33" i="50"/>
  <c r="AI33" i="50"/>
  <c r="AG33" i="50"/>
  <c r="CL33" i="50"/>
  <c r="AL33" i="50"/>
  <c r="AQ24" i="50"/>
  <c r="AO24" i="50"/>
  <c r="AM24" i="50"/>
  <c r="BM22" i="50"/>
  <c r="AT5" i="50"/>
  <c r="AS5" i="50"/>
  <c r="BB5" i="50" s="1"/>
  <c r="AO3" i="50"/>
  <c r="AK3" i="50"/>
  <c r="BN2" i="50"/>
  <c r="AI2" i="50"/>
  <c r="AQ50" i="50"/>
  <c r="BN35" i="50"/>
  <c r="CL106" i="50"/>
  <c r="AR106" i="50"/>
  <c r="AP106" i="50"/>
  <c r="AN106" i="50"/>
  <c r="AL106" i="50"/>
  <c r="AJ106" i="50"/>
  <c r="AH106" i="50"/>
  <c r="AF106" i="50"/>
  <c r="AO106" i="50"/>
  <c r="AK106" i="50"/>
  <c r="AG106" i="50"/>
  <c r="AI106" i="50"/>
  <c r="AQ106" i="50"/>
  <c r="AQ105" i="50"/>
  <c r="AO105" i="50"/>
  <c r="AM105" i="50"/>
  <c r="AK105" i="50"/>
  <c r="AI105" i="50"/>
  <c r="AG105" i="50"/>
  <c r="CL105" i="50"/>
  <c r="AP105" i="50"/>
  <c r="AL105" i="50"/>
  <c r="BP105" i="50" s="1"/>
  <c r="AH105" i="50"/>
  <c r="AF105" i="50"/>
  <c r="AN105" i="50"/>
  <c r="BN105" i="50"/>
  <c r="AR105" i="50"/>
  <c r="BN104" i="50"/>
  <c r="BN99" i="50"/>
  <c r="AT91" i="50"/>
  <c r="AT108" i="50"/>
  <c r="AS108" i="50"/>
  <c r="BB108" i="50" s="1"/>
  <c r="BN102" i="50"/>
  <c r="AY3" i="50"/>
  <c r="AW3" i="50"/>
  <c r="BH3" i="50"/>
  <c r="BD3" i="50"/>
  <c r="BF3" i="50"/>
  <c r="BJ3" i="50"/>
  <c r="BI3" i="50"/>
  <c r="BG3" i="50"/>
  <c r="BE3" i="50"/>
  <c r="BC3" i="50"/>
  <c r="AZ3" i="50"/>
  <c r="AU51" i="50"/>
  <c r="AT48" i="50"/>
  <c r="AS48" i="50"/>
  <c r="BB48" i="50" s="1"/>
  <c r="AU48" i="50"/>
  <c r="BP47" i="50"/>
  <c r="AU46" i="50"/>
  <c r="AT43" i="50"/>
  <c r="BN41" i="50"/>
  <c r="CL93" i="50"/>
  <c r="AR93" i="50"/>
  <c r="AP93" i="50"/>
  <c r="AN93" i="50"/>
  <c r="AL93" i="50"/>
  <c r="AJ93" i="50"/>
  <c r="AH93" i="50"/>
  <c r="AF93" i="50"/>
  <c r="AO93" i="50"/>
  <c r="AK93" i="50"/>
  <c r="AG93" i="50"/>
  <c r="AM93" i="50"/>
  <c r="AQ92" i="50"/>
  <c r="AO92" i="50"/>
  <c r="AM92" i="50"/>
  <c r="AK92" i="50"/>
  <c r="AI92" i="50"/>
  <c r="AG92" i="50"/>
  <c r="CL92" i="50"/>
  <c r="AP92" i="50"/>
  <c r="AL92" i="50"/>
  <c r="AH92" i="50"/>
  <c r="AT92" i="50" s="1"/>
  <c r="AR92" i="50"/>
  <c r="AJ92" i="50"/>
  <c r="BN91" i="50"/>
  <c r="BM88" i="50"/>
  <c r="CL110" i="50"/>
  <c r="AR110" i="50"/>
  <c r="AP110" i="50"/>
  <c r="AN110" i="50"/>
  <c r="AL110" i="50"/>
  <c r="AJ110" i="50"/>
  <c r="AH110" i="50"/>
  <c r="AF110" i="50"/>
  <c r="AO110" i="50"/>
  <c r="AK110" i="50"/>
  <c r="AG110" i="50"/>
  <c r="AM110" i="50"/>
  <c r="AQ109" i="50"/>
  <c r="AO109" i="50"/>
  <c r="AM109" i="50"/>
  <c r="AK109" i="50"/>
  <c r="AI109" i="50"/>
  <c r="AG109" i="50"/>
  <c r="CL109" i="50"/>
  <c r="AP109" i="50"/>
  <c r="AL109" i="50"/>
  <c r="AH109" i="50"/>
  <c r="AT109" i="50" s="1"/>
  <c r="AR109" i="50"/>
  <c r="AJ109" i="50"/>
  <c r="BM105" i="50"/>
  <c r="CL102" i="50"/>
  <c r="AR102" i="50"/>
  <c r="AP102" i="50"/>
  <c r="AN102" i="50"/>
  <c r="AL102" i="50"/>
  <c r="AJ102" i="50"/>
  <c r="AH102" i="50"/>
  <c r="AF102" i="50"/>
  <c r="AO102" i="50"/>
  <c r="AK102" i="50"/>
  <c r="AG102" i="50"/>
  <c r="AM102" i="50"/>
  <c r="AQ101" i="50"/>
  <c r="AO101" i="50"/>
  <c r="AM101" i="50"/>
  <c r="AK101" i="50"/>
  <c r="AI101" i="50"/>
  <c r="AG101" i="50"/>
  <c r="CL101" i="50"/>
  <c r="AP101" i="50"/>
  <c r="AL101" i="50"/>
  <c r="AH101" i="50"/>
  <c r="AR101" i="50"/>
  <c r="AJ101" i="50"/>
  <c r="BN100" i="50"/>
  <c r="CL97" i="50"/>
  <c r="AR97" i="50"/>
  <c r="AP97" i="50"/>
  <c r="AN97" i="50"/>
  <c r="AL97" i="50"/>
  <c r="AJ97" i="50"/>
  <c r="AH97" i="50"/>
  <c r="AF97" i="50"/>
  <c r="AO97" i="50"/>
  <c r="AK97" i="50"/>
  <c r="AG97" i="50"/>
  <c r="AM97" i="50"/>
  <c r="CL85" i="50"/>
  <c r="AR85" i="50"/>
  <c r="AP85" i="50"/>
  <c r="AN85" i="50"/>
  <c r="AL85" i="50"/>
  <c r="AJ85" i="50"/>
  <c r="AH85" i="50"/>
  <c r="AF85" i="50"/>
  <c r="AO85" i="50"/>
  <c r="AK85" i="50"/>
  <c r="AG85" i="50"/>
  <c r="AM85" i="50"/>
  <c r="AQ84" i="50"/>
  <c r="AO84" i="50"/>
  <c r="AM84" i="50"/>
  <c r="AK84" i="50"/>
  <c r="AI84" i="50"/>
  <c r="AG84" i="50"/>
  <c r="CL84" i="50"/>
  <c r="AP84" i="50"/>
  <c r="AL84" i="50"/>
  <c r="AH84" i="50"/>
  <c r="AR84" i="50"/>
  <c r="AJ84" i="50"/>
  <c r="BP29" i="50"/>
  <c r="FC27" i="50"/>
  <c r="EX27" i="50"/>
  <c r="EZ27" i="50"/>
  <c r="AY25" i="50"/>
  <c r="AW25" i="50"/>
  <c r="BH25" i="50"/>
  <c r="BD25" i="50"/>
  <c r="BF25" i="50"/>
  <c r="BJ25" i="50"/>
  <c r="AX25" i="50"/>
  <c r="AZ25" i="50"/>
  <c r="BC25" i="50"/>
  <c r="BG25" i="50"/>
  <c r="AS94" i="50"/>
  <c r="BB94" i="50" s="1"/>
  <c r="AU87" i="50"/>
  <c r="AS86" i="50"/>
  <c r="BB86" i="50" s="1"/>
  <c r="AT100" i="50"/>
  <c r="AU100" i="50"/>
  <c r="AQ80" i="50"/>
  <c r="AO80" i="50"/>
  <c r="AM80" i="50"/>
  <c r="AK80" i="50"/>
  <c r="AI80" i="50"/>
  <c r="AG80" i="50"/>
  <c r="CL80" i="50"/>
  <c r="AR80" i="50"/>
  <c r="AP80" i="50"/>
  <c r="AN80" i="50"/>
  <c r="AL80" i="50"/>
  <c r="AJ80" i="50"/>
  <c r="AH80" i="50"/>
  <c r="AF80" i="50"/>
  <c r="AQ76" i="50"/>
  <c r="AO76" i="50"/>
  <c r="AM76" i="50"/>
  <c r="AK76" i="50"/>
  <c r="AI76" i="50"/>
  <c r="AG76" i="50"/>
  <c r="CL76" i="50"/>
  <c r="AR76" i="50"/>
  <c r="AP76" i="50"/>
  <c r="AN76" i="50"/>
  <c r="AL76" i="50"/>
  <c r="AJ76" i="50"/>
  <c r="AH76" i="50"/>
  <c r="AF76" i="50"/>
  <c r="AQ73" i="50"/>
  <c r="AO73" i="50"/>
  <c r="AM73" i="50"/>
  <c r="AK73" i="50"/>
  <c r="AI73" i="50"/>
  <c r="AG73" i="50"/>
  <c r="CL73" i="50"/>
  <c r="AR73" i="50"/>
  <c r="AP73" i="50"/>
  <c r="AN73" i="50"/>
  <c r="AL73" i="50"/>
  <c r="AJ73" i="50"/>
  <c r="AH73" i="50"/>
  <c r="AF73" i="50"/>
  <c r="BM2" i="50"/>
  <c r="BN83" i="50"/>
  <c r="BM83" i="50"/>
  <c r="BN74" i="50"/>
  <c r="BM74" i="50"/>
  <c r="CL69" i="50"/>
  <c r="AR69" i="50"/>
  <c r="AP69" i="50"/>
  <c r="AN69" i="50"/>
  <c r="AL69" i="50"/>
  <c r="AJ69" i="50"/>
  <c r="AH69" i="50"/>
  <c r="AF69" i="50"/>
  <c r="AO69" i="50"/>
  <c r="AK69" i="50"/>
  <c r="AG69" i="50"/>
  <c r="AI69" i="50"/>
  <c r="AQ69" i="50"/>
  <c r="AQ68" i="50"/>
  <c r="AO68" i="50"/>
  <c r="AM68" i="50"/>
  <c r="AK68" i="50"/>
  <c r="AI68" i="50"/>
  <c r="AG68" i="50"/>
  <c r="CL68" i="50"/>
  <c r="AP68" i="50"/>
  <c r="AL68" i="50"/>
  <c r="BP68" i="50" s="1"/>
  <c r="AH68" i="50"/>
  <c r="AF68" i="50"/>
  <c r="AN68" i="50"/>
  <c r="BN68" i="50"/>
  <c r="AR68" i="50"/>
  <c r="BN67" i="50"/>
  <c r="CL53" i="50"/>
  <c r="AR53" i="50"/>
  <c r="AP53" i="50"/>
  <c r="AN53" i="50"/>
  <c r="AL53" i="50"/>
  <c r="AJ53" i="50"/>
  <c r="AH53" i="50"/>
  <c r="AF53" i="50"/>
  <c r="AO53" i="50"/>
  <c r="AK53" i="50"/>
  <c r="AG53" i="50"/>
  <c r="AI53" i="50"/>
  <c r="AQ53" i="50"/>
  <c r="CL52" i="50"/>
  <c r="AR52" i="50"/>
  <c r="AP52" i="50"/>
  <c r="AN52" i="50"/>
  <c r="AL52" i="50"/>
  <c r="AJ52" i="50"/>
  <c r="AH52" i="50"/>
  <c r="AF52" i="50"/>
  <c r="AO52" i="50"/>
  <c r="AK52" i="50"/>
  <c r="AG52" i="50"/>
  <c r="AI52" i="50"/>
  <c r="AQ52" i="50"/>
  <c r="AQ71" i="50"/>
  <c r="AO71" i="50"/>
  <c r="AM71" i="50"/>
  <c r="AK71" i="50"/>
  <c r="AI71" i="50"/>
  <c r="AG71" i="50"/>
  <c r="CL71" i="50"/>
  <c r="AP71" i="50"/>
  <c r="AL71" i="50"/>
  <c r="BP71" i="50" s="1"/>
  <c r="AH71" i="50"/>
  <c r="AF71" i="50"/>
  <c r="AN71" i="50"/>
  <c r="BN71" i="50"/>
  <c r="AR71" i="50"/>
  <c r="AQ96" i="50"/>
  <c r="AO96" i="50"/>
  <c r="AM96" i="50"/>
  <c r="AK96" i="50"/>
  <c r="AI96" i="50"/>
  <c r="AG96" i="50"/>
  <c r="CL96" i="50"/>
  <c r="AP96" i="50"/>
  <c r="AL96" i="50"/>
  <c r="BP96" i="50" s="1"/>
  <c r="AH96" i="50"/>
  <c r="AF96" i="50"/>
  <c r="AN96" i="50"/>
  <c r="AR96" i="50"/>
  <c r="AS18" i="50"/>
  <c r="BB18" i="50" s="1"/>
  <c r="AS66" i="50"/>
  <c r="BB66" i="50" s="1"/>
  <c r="BM41" i="50"/>
  <c r="BM37" i="50"/>
  <c r="BN37" i="50"/>
  <c r="BM110" i="50"/>
  <c r="BM97" i="50"/>
  <c r="BM82" i="50"/>
  <c r="BN82" i="50"/>
  <c r="BM78" i="50"/>
  <c r="BN78" i="50"/>
  <c r="AT72" i="50"/>
  <c r="AS72" i="50"/>
  <c r="BB72" i="50" s="1"/>
  <c r="BN17" i="50"/>
  <c r="BN16" i="50"/>
  <c r="BN8" i="50"/>
  <c r="BN65" i="50"/>
  <c r="AT55" i="50"/>
  <c r="BM14" i="50"/>
  <c r="BM63" i="50"/>
  <c r="BM52" i="50"/>
  <c r="BM17" i="50"/>
  <c r="BM10" i="50"/>
  <c r="BM67" i="50"/>
  <c r="AT27" i="50"/>
  <c r="AS27" i="50"/>
  <c r="BB27" i="50" s="1"/>
  <c r="AT22" i="50"/>
  <c r="AS22" i="50"/>
  <c r="BB22" i="50" s="1"/>
  <c r="AY20" i="50"/>
  <c r="AW20" i="50"/>
  <c r="BH20" i="50"/>
  <c r="BD20" i="50"/>
  <c r="BF20" i="50"/>
  <c r="BJ20" i="50"/>
  <c r="BI20" i="50"/>
  <c r="BG20" i="50"/>
  <c r="BE20" i="50"/>
  <c r="AQ49" i="50"/>
  <c r="AO49" i="50"/>
  <c r="AM49" i="50"/>
  <c r="AK49" i="50"/>
  <c r="AI49" i="50"/>
  <c r="AG49" i="50"/>
  <c r="CL49" i="50"/>
  <c r="AL49" i="50"/>
  <c r="BP49" i="50" s="1"/>
  <c r="AQ44" i="50"/>
  <c r="AO44" i="50"/>
  <c r="AM44" i="50"/>
  <c r="AK44" i="50"/>
  <c r="AI44" i="50"/>
  <c r="AG44" i="50"/>
  <c r="CL44" i="50"/>
  <c r="AL44" i="50"/>
  <c r="AQ40" i="50"/>
  <c r="AO40" i="50"/>
  <c r="AM40" i="50"/>
  <c r="AK40" i="50"/>
  <c r="AI40" i="50"/>
  <c r="AG40" i="50"/>
  <c r="CL40" i="50"/>
  <c r="AL40" i="50"/>
  <c r="BP40" i="50" s="1"/>
  <c r="AT39" i="50"/>
  <c r="AQ39" i="50"/>
  <c r="AO39" i="50"/>
  <c r="AM39" i="50"/>
  <c r="AK39" i="50"/>
  <c r="AI39" i="50"/>
  <c r="AG39" i="50"/>
  <c r="CL39" i="50"/>
  <c r="AL39" i="50"/>
  <c r="AQ38" i="50"/>
  <c r="AO38" i="50"/>
  <c r="AM38" i="50"/>
  <c r="AK38" i="50"/>
  <c r="AI38" i="50"/>
  <c r="AG38" i="50"/>
  <c r="CL38" i="50"/>
  <c r="AL38" i="50"/>
  <c r="AT36" i="50"/>
  <c r="AT35" i="50"/>
  <c r="AT95" i="50"/>
  <c r="BP91" i="50"/>
  <c r="AT87" i="50"/>
  <c r="BP108" i="50"/>
  <c r="BN106" i="50"/>
  <c r="AT104" i="50"/>
  <c r="BP100" i="50"/>
  <c r="BP99" i="50"/>
  <c r="AU98" i="50"/>
  <c r="BN97" i="50"/>
  <c r="BN85" i="50"/>
  <c r="AQ82" i="50"/>
  <c r="AO82" i="50"/>
  <c r="AM82" i="50"/>
  <c r="AK82" i="50"/>
  <c r="AI82" i="50"/>
  <c r="AG82" i="50"/>
  <c r="CL82" i="50"/>
  <c r="AR82" i="50"/>
  <c r="AP82" i="50"/>
  <c r="AN82" i="50"/>
  <c r="AL82" i="50"/>
  <c r="AJ82" i="50"/>
  <c r="AH82" i="50"/>
  <c r="AF82" i="50"/>
  <c r="AQ78" i="50"/>
  <c r="AO78" i="50"/>
  <c r="AM78" i="50"/>
  <c r="AK78" i="50"/>
  <c r="AI78" i="50"/>
  <c r="AG78" i="50"/>
  <c r="CL78" i="50"/>
  <c r="AR78" i="50"/>
  <c r="AP78" i="50"/>
  <c r="AN78" i="50"/>
  <c r="AL78" i="50"/>
  <c r="AJ78" i="50"/>
  <c r="AH78" i="50"/>
  <c r="AF78" i="50"/>
  <c r="AQ75" i="50"/>
  <c r="AO75" i="50"/>
  <c r="AM75" i="50"/>
  <c r="AK75" i="50"/>
  <c r="AI75" i="50"/>
  <c r="AG75" i="50"/>
  <c r="CL75" i="50"/>
  <c r="AR75" i="50"/>
  <c r="AP75" i="50"/>
  <c r="AN75" i="50"/>
  <c r="AL75" i="50"/>
  <c r="AJ75" i="50"/>
  <c r="AH75" i="50"/>
  <c r="AF75" i="50"/>
  <c r="BM91" i="50"/>
  <c r="BM108" i="50"/>
  <c r="BM100" i="50"/>
  <c r="BM81" i="50"/>
  <c r="BM77" i="50"/>
  <c r="BM72" i="50"/>
  <c r="CL17" i="50"/>
  <c r="AR17" i="50"/>
  <c r="AP17" i="50"/>
  <c r="AN17" i="50"/>
  <c r="AL17" i="50"/>
  <c r="AJ17" i="50"/>
  <c r="AH17" i="50"/>
  <c r="AF17" i="50"/>
  <c r="AO17" i="50"/>
  <c r="AK17" i="50"/>
  <c r="AG17" i="50"/>
  <c r="AM17" i="50"/>
  <c r="CL16" i="50"/>
  <c r="AR16" i="50"/>
  <c r="AP16" i="50"/>
  <c r="AN16" i="50"/>
  <c r="AL16" i="50"/>
  <c r="AJ16" i="50"/>
  <c r="AH16" i="50"/>
  <c r="AF16" i="50"/>
  <c r="AO16" i="50"/>
  <c r="AK16" i="50"/>
  <c r="AG16" i="50"/>
  <c r="AM16" i="50"/>
  <c r="AQ15" i="50"/>
  <c r="AO15" i="50"/>
  <c r="AM15" i="50"/>
  <c r="AK15" i="50"/>
  <c r="AI15" i="50"/>
  <c r="AG15" i="50"/>
  <c r="CL15" i="50"/>
  <c r="AP15" i="50"/>
  <c r="AL15" i="50"/>
  <c r="AH15" i="50"/>
  <c r="AT15" i="50" s="1"/>
  <c r="AR15" i="50"/>
  <c r="AJ15" i="50"/>
  <c r="BN14" i="50"/>
  <c r="CL8" i="50"/>
  <c r="AR8" i="50"/>
  <c r="AP8" i="50"/>
  <c r="AN8" i="50"/>
  <c r="AL8" i="50"/>
  <c r="AJ8" i="50"/>
  <c r="AH8" i="50"/>
  <c r="AF8" i="50"/>
  <c r="AO8" i="50"/>
  <c r="AK8" i="50"/>
  <c r="AG8" i="50"/>
  <c r="AM8" i="50"/>
  <c r="AQ7" i="50"/>
  <c r="AO7" i="50"/>
  <c r="AM7" i="50"/>
  <c r="AK7" i="50"/>
  <c r="AI7" i="50"/>
  <c r="AG7" i="50"/>
  <c r="CL7" i="50"/>
  <c r="AP7" i="50"/>
  <c r="AL7" i="50"/>
  <c r="AH7" i="50"/>
  <c r="AT7" i="50" s="1"/>
  <c r="AR7" i="50"/>
  <c r="AJ7" i="50"/>
  <c r="BM68" i="50"/>
  <c r="CL65" i="50"/>
  <c r="AR65" i="50"/>
  <c r="AP65" i="50"/>
  <c r="AN65" i="50"/>
  <c r="AL65" i="50"/>
  <c r="AJ65" i="50"/>
  <c r="AH65" i="50"/>
  <c r="AF65" i="50"/>
  <c r="AO65" i="50"/>
  <c r="AK65" i="50"/>
  <c r="AG65" i="50"/>
  <c r="AM65" i="50"/>
  <c r="AQ64" i="50"/>
  <c r="AO64" i="50"/>
  <c r="AM64" i="50"/>
  <c r="AK64" i="50"/>
  <c r="AI64" i="50"/>
  <c r="AG64" i="50"/>
  <c r="CL64" i="50"/>
  <c r="AP64" i="50"/>
  <c r="AL64" i="50"/>
  <c r="AH64" i="50"/>
  <c r="AT64" i="50" s="1"/>
  <c r="AR64" i="50"/>
  <c r="AJ64" i="50"/>
  <c r="CL57" i="50"/>
  <c r="AR57" i="50"/>
  <c r="AP57" i="50"/>
  <c r="AN57" i="50"/>
  <c r="AL57" i="50"/>
  <c r="AJ57" i="50"/>
  <c r="AH57" i="50"/>
  <c r="AF57" i="50"/>
  <c r="AO57" i="50"/>
  <c r="AK57" i="50"/>
  <c r="AG57" i="50"/>
  <c r="AM57" i="50"/>
  <c r="AQ56" i="50"/>
  <c r="AO56" i="50"/>
  <c r="AM56" i="50"/>
  <c r="AK56" i="50"/>
  <c r="AI56" i="50"/>
  <c r="AG56" i="50"/>
  <c r="CL56" i="50"/>
  <c r="AP56" i="50"/>
  <c r="AL56" i="50"/>
  <c r="AH56" i="50"/>
  <c r="AT56" i="50" s="1"/>
  <c r="AR56" i="50"/>
  <c r="AJ56" i="50"/>
  <c r="BM71" i="50"/>
  <c r="BM35" i="50"/>
  <c r="BM104" i="50"/>
  <c r="BM102" i="50"/>
  <c r="BM99" i="50"/>
  <c r="BM85" i="50"/>
  <c r="BP83" i="50"/>
  <c r="AT81" i="50"/>
  <c r="BM80" i="50"/>
  <c r="BN80" i="50"/>
  <c r="BM76" i="50"/>
  <c r="BN76" i="50"/>
  <c r="AT74" i="50"/>
  <c r="AS74" i="50"/>
  <c r="BB74" i="50" s="1"/>
  <c r="AU72" i="50"/>
  <c r="BP72" i="50"/>
  <c r="BP55" i="50"/>
  <c r="BN52" i="50"/>
  <c r="BM53" i="50"/>
  <c r="BM16" i="50"/>
  <c r="BM65" i="50"/>
  <c r="AS43" i="49"/>
  <c r="AM43" i="49"/>
  <c r="AX50" i="49"/>
  <c r="AL3" i="49"/>
  <c r="AS29" i="49"/>
  <c r="AS12" i="49"/>
  <c r="AS54" i="49"/>
  <c r="AG23" i="49"/>
  <c r="AO23" i="49"/>
  <c r="AG59" i="49"/>
  <c r="AO59" i="49"/>
  <c r="AX44" i="49"/>
  <c r="AI43" i="49"/>
  <c r="AP23" i="49"/>
  <c r="AL23" i="49"/>
  <c r="AH23" i="49"/>
  <c r="AM23" i="49"/>
  <c r="AP59" i="49"/>
  <c r="AL59" i="49"/>
  <c r="AH59" i="49"/>
  <c r="AM59" i="49"/>
  <c r="AR57" i="49"/>
  <c r="AN57" i="49"/>
  <c r="AJ57" i="49"/>
  <c r="AG57" i="49"/>
  <c r="BB17" i="49"/>
  <c r="BM14" i="49"/>
  <c r="AP53" i="49"/>
  <c r="AL45" i="49"/>
  <c r="AL7" i="49"/>
  <c r="BE4" i="49"/>
  <c r="AI57" i="49"/>
  <c r="AQ57" i="49"/>
  <c r="AX4" i="49"/>
  <c r="AV54" i="49"/>
  <c r="BB54" i="49"/>
  <c r="BG54" i="49"/>
  <c r="AG31" i="49"/>
  <c r="AO31" i="49"/>
  <c r="AK23" i="49"/>
  <c r="AG61" i="49"/>
  <c r="AO61" i="49"/>
  <c r="AK59" i="49"/>
  <c r="AS57" i="49"/>
  <c r="AG14" i="49"/>
  <c r="AO14" i="49"/>
  <c r="AM54" i="49"/>
  <c r="AQ54" i="49"/>
  <c r="AI54" i="49"/>
  <c r="AQ202" i="47"/>
  <c r="AI200" i="47"/>
  <c r="BW200" i="47" s="1"/>
  <c r="AW191" i="47"/>
  <c r="BQ191" i="47" s="1"/>
  <c r="AY191" i="47"/>
  <c r="BF191" i="47"/>
  <c r="BH191" i="47"/>
  <c r="BJ191" i="47"/>
  <c r="AW184" i="47"/>
  <c r="BQ184" i="47" s="1"/>
  <c r="AY184" i="47"/>
  <c r="AF173" i="47"/>
  <c r="AH173" i="47"/>
  <c r="AL173" i="47"/>
  <c r="AP173" i="47"/>
  <c r="AX41" i="47"/>
  <c r="BE41" i="47"/>
  <c r="BI41" i="47"/>
  <c r="AZ41" i="47"/>
  <c r="CE41" i="47" s="1"/>
  <c r="AW58" i="47"/>
  <c r="BQ58" i="47" s="1"/>
  <c r="AY58" i="47"/>
  <c r="BF58" i="47"/>
  <c r="BJ58" i="47"/>
  <c r="AW53" i="47"/>
  <c r="BQ53" i="47" s="1"/>
  <c r="BR53" i="47" s="1"/>
  <c r="AY53" i="47"/>
  <c r="BF53" i="47"/>
  <c r="BJ53" i="47"/>
  <c r="AW46" i="47"/>
  <c r="BQ46" i="47" s="1"/>
  <c r="AY46" i="47"/>
  <c r="BF46" i="47"/>
  <c r="BJ46" i="47"/>
  <c r="AS205" i="47"/>
  <c r="BB205" i="47" s="1"/>
  <c r="BA205" i="47" s="1"/>
  <c r="AF197" i="47"/>
  <c r="AJ197" i="47"/>
  <c r="AX164" i="47"/>
  <c r="BE164" i="47"/>
  <c r="BI164" i="47"/>
  <c r="AZ164" i="47"/>
  <c r="CE164" i="47" s="1"/>
  <c r="AW54" i="47"/>
  <c r="BQ54" i="47" s="1"/>
  <c r="AY54" i="47"/>
  <c r="AW52" i="47"/>
  <c r="BQ52" i="47" s="1"/>
  <c r="AY52" i="47"/>
  <c r="BF52" i="47"/>
  <c r="BH52" i="47"/>
  <c r="BJ52" i="47"/>
  <c r="AX100" i="47"/>
  <c r="BE100" i="47"/>
  <c r="BI100" i="47"/>
  <c r="AZ100" i="47"/>
  <c r="CE100" i="47" s="1"/>
  <c r="AW61" i="47"/>
  <c r="BQ61" i="47" s="1"/>
  <c r="AY61" i="47"/>
  <c r="AW59" i="47"/>
  <c r="AY59" i="47"/>
  <c r="BF59" i="47"/>
  <c r="BH59" i="47"/>
  <c r="BJ59" i="47"/>
  <c r="AF118" i="47"/>
  <c r="AJ118" i="47"/>
  <c r="BP118" i="47" s="1"/>
  <c r="AN118" i="47"/>
  <c r="AP118" i="47"/>
  <c r="AR118" i="47"/>
  <c r="DE198" i="47"/>
  <c r="AW198" i="47"/>
  <c r="BQ198" i="47" s="1"/>
  <c r="AY198" i="47"/>
  <c r="AF193" i="47"/>
  <c r="AH193" i="47"/>
  <c r="AL193" i="47"/>
  <c r="BP193" i="47" s="1"/>
  <c r="AP193" i="47"/>
  <c r="BF184" i="47"/>
  <c r="AJ184" i="47"/>
  <c r="AN184" i="47"/>
  <c r="AP184" i="47"/>
  <c r="AR173" i="47"/>
  <c r="AJ173" i="47"/>
  <c r="AG170" i="47"/>
  <c r="AK43" i="47"/>
  <c r="BG41" i="47"/>
  <c r="AP60" i="47"/>
  <c r="AH60" i="47"/>
  <c r="AW60" i="47"/>
  <c r="BQ60" i="47" s="1"/>
  <c r="AY60" i="47"/>
  <c r="BF60" i="47"/>
  <c r="BJ60" i="47"/>
  <c r="AP55" i="47"/>
  <c r="AH55" i="47"/>
  <c r="AW55" i="47"/>
  <c r="BQ55" i="47" s="1"/>
  <c r="AY55" i="47"/>
  <c r="BF55" i="47"/>
  <c r="BJ55" i="47"/>
  <c r="AP50" i="47"/>
  <c r="AH50" i="47"/>
  <c r="AW50" i="47"/>
  <c r="BQ50" i="47" s="1"/>
  <c r="AY50" i="47"/>
  <c r="BF50" i="47"/>
  <c r="BJ50" i="47"/>
  <c r="AH197" i="47"/>
  <c r="AW197" i="47"/>
  <c r="BQ197" i="47" s="1"/>
  <c r="AY197" i="47"/>
  <c r="BF197" i="47"/>
  <c r="BJ197" i="47"/>
  <c r="BG164" i="47"/>
  <c r="BH54" i="47"/>
  <c r="AF54" i="47"/>
  <c r="AJ54" i="47"/>
  <c r="BP54" i="47" s="1"/>
  <c r="FI54" i="47" s="1"/>
  <c r="AN54" i="47"/>
  <c r="AP54" i="47"/>
  <c r="AR54" i="47"/>
  <c r="AF52" i="47"/>
  <c r="AJ52" i="47"/>
  <c r="AZ28" i="47"/>
  <c r="CE28" i="47" s="1"/>
  <c r="BE28" i="47"/>
  <c r="BI28" i="47"/>
  <c r="BG100" i="47"/>
  <c r="BH61" i="47"/>
  <c r="AF61" i="47"/>
  <c r="AJ61" i="47"/>
  <c r="BP61" i="47" s="1"/>
  <c r="AN61" i="47"/>
  <c r="AP61" i="47"/>
  <c r="AR61" i="47"/>
  <c r="AF59" i="47"/>
  <c r="AJ59" i="47"/>
  <c r="AH118" i="47"/>
  <c r="AW118" i="47"/>
  <c r="BQ118" i="47" s="1"/>
  <c r="AY118" i="47"/>
  <c r="BG139" i="47"/>
  <c r="AZ139" i="47"/>
  <c r="CE139" i="47" s="1"/>
  <c r="BG116" i="47"/>
  <c r="AZ116" i="47"/>
  <c r="CE116" i="47" s="1"/>
  <c r="BG134" i="47"/>
  <c r="AZ134" i="47"/>
  <c r="CE134" i="47" s="1"/>
  <c r="BG110" i="47"/>
  <c r="AZ110" i="47"/>
  <c r="CE110" i="47" s="1"/>
  <c r="BG86" i="47"/>
  <c r="AZ86" i="47"/>
  <c r="CE86" i="47" s="1"/>
  <c r="AO73" i="47"/>
  <c r="AO157" i="47"/>
  <c r="AO153" i="47"/>
  <c r="AO149" i="47"/>
  <c r="AL124" i="47"/>
  <c r="AL122" i="47"/>
  <c r="AL7" i="47"/>
  <c r="BP7" i="47" s="1"/>
  <c r="AL3" i="47"/>
  <c r="AY172" i="47"/>
  <c r="AW172" i="47"/>
  <c r="BH172" i="47"/>
  <c r="BD172" i="47"/>
  <c r="BJ172" i="47"/>
  <c r="BF172" i="47"/>
  <c r="AZ172" i="47"/>
  <c r="CE172" i="47" s="1"/>
  <c r="AF165" i="47"/>
  <c r="AN165" i="47"/>
  <c r="AN161" i="47"/>
  <c r="AU161" i="47" s="1"/>
  <c r="AF161" i="47"/>
  <c r="AT161" i="47" s="1"/>
  <c r="AJ161" i="47"/>
  <c r="AR161" i="47"/>
  <c r="AF38" i="47"/>
  <c r="AN38" i="47"/>
  <c r="AU38" i="47" s="1"/>
  <c r="AF34" i="47"/>
  <c r="AN34" i="47"/>
  <c r="AU34" i="47" s="1"/>
  <c r="BG30" i="47"/>
  <c r="BC30" i="47"/>
  <c r="AI196" i="47"/>
  <c r="BW196" i="47" s="1"/>
  <c r="AN144" i="47"/>
  <c r="AF144" i="47"/>
  <c r="AJ144" i="47"/>
  <c r="AR144" i="47"/>
  <c r="AN211" i="47"/>
  <c r="AF211" i="47"/>
  <c r="AR211" i="47"/>
  <c r="AJ211" i="47"/>
  <c r="AN133" i="47"/>
  <c r="AF133" i="47"/>
  <c r="AJ133" i="47"/>
  <c r="AR133" i="47"/>
  <c r="AN21" i="47"/>
  <c r="AF21" i="47"/>
  <c r="AR21" i="47"/>
  <c r="AJ21" i="47"/>
  <c r="BP21" i="47" s="1"/>
  <c r="AO188" i="47"/>
  <c r="AK188" i="47"/>
  <c r="AG188" i="47"/>
  <c r="AQ188" i="47"/>
  <c r="AI188" i="47"/>
  <c r="BW188" i="47" s="1"/>
  <c r="AM188" i="47"/>
  <c r="BG172" i="47"/>
  <c r="BC172" i="47"/>
  <c r="AG192" i="47"/>
  <c r="AX172" i="47"/>
  <c r="AN76" i="47"/>
  <c r="AF76" i="47"/>
  <c r="AT76" i="47" s="1"/>
  <c r="AJ76" i="47"/>
  <c r="BP76" i="47" s="1"/>
  <c r="AR76" i="47"/>
  <c r="AN158" i="47"/>
  <c r="AF158" i="47"/>
  <c r="AT158" i="47" s="1"/>
  <c r="AR158" i="47"/>
  <c r="AJ158" i="47"/>
  <c r="AN152" i="47"/>
  <c r="AF152" i="47"/>
  <c r="AT152" i="47" s="1"/>
  <c r="AJ152" i="47"/>
  <c r="AR152" i="47"/>
  <c r="AG198" i="47"/>
  <c r="AG121" i="47"/>
  <c r="BP195" i="47"/>
  <c r="BP62" i="47"/>
  <c r="BP51" i="47"/>
  <c r="BP48" i="47"/>
  <c r="FO48" i="47" s="1"/>
  <c r="BP120" i="47"/>
  <c r="FO120" i="47" s="1"/>
  <c r="BP117" i="47"/>
  <c r="BP177" i="47"/>
  <c r="BP169" i="47"/>
  <c r="BG98" i="47"/>
  <c r="AS25" i="47"/>
  <c r="BB25" i="47" s="1"/>
  <c r="BA25" i="47" s="1"/>
  <c r="AS111" i="47"/>
  <c r="BB111" i="47" s="1"/>
  <c r="BA111" i="47" s="1"/>
  <c r="V111" i="47" s="1"/>
  <c r="BG147" i="47"/>
  <c r="BI139" i="47"/>
  <c r="BE139" i="47"/>
  <c r="BG206" i="47"/>
  <c r="BG22" i="47"/>
  <c r="BG12" i="47"/>
  <c r="BI116" i="47"/>
  <c r="BE116" i="47"/>
  <c r="BI134" i="47"/>
  <c r="BE134" i="47"/>
  <c r="BG26" i="47"/>
  <c r="BG66" i="47"/>
  <c r="BI110" i="47"/>
  <c r="BE110" i="47"/>
  <c r="BG106" i="47"/>
  <c r="BI86" i="47"/>
  <c r="BE86" i="47"/>
  <c r="BH196" i="47"/>
  <c r="BD196" i="47"/>
  <c r="BJ196" i="47"/>
  <c r="AZ196" i="47"/>
  <c r="CE196" i="47" s="1"/>
  <c r="BF196" i="47"/>
  <c r="BN196" i="47" s="1"/>
  <c r="AW196" i="47"/>
  <c r="AN167" i="47"/>
  <c r="AF167" i="47"/>
  <c r="AT167" i="47" s="1"/>
  <c r="AR167" i="47"/>
  <c r="AJ167" i="47"/>
  <c r="BP167" i="47" s="1"/>
  <c r="AN163" i="47"/>
  <c r="AF163" i="47"/>
  <c r="AJ163" i="47"/>
  <c r="BP163" i="47" s="1"/>
  <c r="AR163" i="47"/>
  <c r="AN40" i="47"/>
  <c r="AF40" i="47"/>
  <c r="AT40" i="47" s="1"/>
  <c r="AJ40" i="47"/>
  <c r="BP40" i="47" s="1"/>
  <c r="AR40" i="47"/>
  <c r="AF36" i="47"/>
  <c r="AT36" i="47" s="1"/>
  <c r="AN36" i="47"/>
  <c r="AF32" i="47"/>
  <c r="AN32" i="47"/>
  <c r="AU32" i="47" s="1"/>
  <c r="AQ196" i="47"/>
  <c r="AX196" i="47"/>
  <c r="AN140" i="47"/>
  <c r="AF140" i="47"/>
  <c r="AR140" i="47"/>
  <c r="AJ140" i="47"/>
  <c r="BP140" i="47" s="1"/>
  <c r="AN203" i="47"/>
  <c r="AF203" i="47"/>
  <c r="AR203" i="47"/>
  <c r="AJ203" i="47"/>
  <c r="BP203" i="47" s="1"/>
  <c r="FI203" i="47" s="1"/>
  <c r="AN27" i="47"/>
  <c r="AU27" i="47" s="1"/>
  <c r="AF27" i="47"/>
  <c r="AJ27" i="47"/>
  <c r="BP27" i="47" s="1"/>
  <c r="AR27" i="47"/>
  <c r="AF69" i="47"/>
  <c r="AN69" i="47"/>
  <c r="AN13" i="47"/>
  <c r="AF13" i="47"/>
  <c r="AR13" i="47"/>
  <c r="AJ13" i="47"/>
  <c r="AN109" i="47"/>
  <c r="AF109" i="47"/>
  <c r="AJ109" i="47"/>
  <c r="BP109" i="47" s="1"/>
  <c r="FO109" i="47" s="1"/>
  <c r="AR109" i="47"/>
  <c r="AK198" i="47"/>
  <c r="AK192" i="47"/>
  <c r="BI188" i="47"/>
  <c r="BG188" i="47"/>
  <c r="BE188" i="47"/>
  <c r="BC188" i="47"/>
  <c r="AZ188" i="47"/>
  <c r="CE188" i="47" s="1"/>
  <c r="BH188" i="47"/>
  <c r="BD188" i="47"/>
  <c r="AX188" i="47"/>
  <c r="AK178" i="47"/>
  <c r="BI172" i="47"/>
  <c r="BE172" i="47"/>
  <c r="AY30" i="47"/>
  <c r="BM30" i="47" s="1"/>
  <c r="AG178" i="47"/>
  <c r="AN91" i="47"/>
  <c r="AF91" i="47"/>
  <c r="AJ91" i="47"/>
  <c r="AR91" i="47"/>
  <c r="AF87" i="47"/>
  <c r="AT87" i="47" s="1"/>
  <c r="AN87" i="47"/>
  <c r="AN74" i="47"/>
  <c r="AF74" i="47"/>
  <c r="AR74" i="47"/>
  <c r="AJ74" i="47"/>
  <c r="BP74" i="47" s="1"/>
  <c r="AN156" i="47"/>
  <c r="AF156" i="47"/>
  <c r="AT156" i="47" s="1"/>
  <c r="AR156" i="47"/>
  <c r="AJ156" i="47"/>
  <c r="BP156" i="47" s="1"/>
  <c r="AN150" i="47"/>
  <c r="AU150" i="47" s="1"/>
  <c r="AF150" i="47"/>
  <c r="AJ150" i="47"/>
  <c r="AR150" i="47"/>
  <c r="BJ188" i="47"/>
  <c r="AK49" i="47"/>
  <c r="AK121" i="47"/>
  <c r="AK119" i="47"/>
  <c r="AG49" i="47"/>
  <c r="AG119" i="47"/>
  <c r="BJ200" i="47"/>
  <c r="BH200" i="47"/>
  <c r="BF200" i="47"/>
  <c r="BD200" i="47"/>
  <c r="AW200" i="47"/>
  <c r="AY200" i="47"/>
  <c r="BC200" i="47"/>
  <c r="AZ200" i="47"/>
  <c r="CE200" i="47" s="1"/>
  <c r="BE200" i="47"/>
  <c r="BG200" i="47"/>
  <c r="AX200" i="47"/>
  <c r="BI199" i="47"/>
  <c r="BG199" i="47"/>
  <c r="BE199" i="47"/>
  <c r="BC199" i="47"/>
  <c r="AX199" i="47"/>
  <c r="BD199" i="47"/>
  <c r="AZ199" i="47"/>
  <c r="CE199" i="47" s="1"/>
  <c r="BH199" i="47"/>
  <c r="AW199" i="47"/>
  <c r="BJ199" i="47"/>
  <c r="AU198" i="47"/>
  <c r="BM195" i="47"/>
  <c r="BI190" i="47"/>
  <c r="BG190" i="47"/>
  <c r="BE190" i="47"/>
  <c r="BC190" i="47"/>
  <c r="BH190" i="47"/>
  <c r="BD190" i="47"/>
  <c r="AZ190" i="47"/>
  <c r="CE190" i="47" s="1"/>
  <c r="BF190" i="47"/>
  <c r="AX190" i="47"/>
  <c r="BJ190" i="47"/>
  <c r="AW190" i="47"/>
  <c r="AY190" i="47"/>
  <c r="DE190" i="47"/>
  <c r="BF193" i="47"/>
  <c r="BF189" i="47"/>
  <c r="BI185" i="47"/>
  <c r="BG185" i="47"/>
  <c r="BE185" i="47"/>
  <c r="BC185" i="47"/>
  <c r="BH185" i="47"/>
  <c r="BD185" i="47"/>
  <c r="AZ185" i="47"/>
  <c r="CE185" i="47" s="1"/>
  <c r="BF185" i="47"/>
  <c r="AX185" i="47"/>
  <c r="BJ185" i="47"/>
  <c r="AW185" i="47"/>
  <c r="AY185" i="47"/>
  <c r="DE185" i="47"/>
  <c r="BM183" i="47"/>
  <c r="BQ183" i="47"/>
  <c r="AT181" i="47"/>
  <c r="AS181" i="47"/>
  <c r="BB181" i="47" s="1"/>
  <c r="BA181" i="47" s="1"/>
  <c r="BI178" i="47"/>
  <c r="BG178" i="47"/>
  <c r="BE178" i="47"/>
  <c r="BC178" i="47"/>
  <c r="BH178" i="47"/>
  <c r="BD178" i="47"/>
  <c r="AZ178" i="47"/>
  <c r="CE178" i="47" s="1"/>
  <c r="BJ178" i="47"/>
  <c r="AX178" i="47"/>
  <c r="BF178" i="47"/>
  <c r="DE178" i="47"/>
  <c r="AW178" i="47"/>
  <c r="AY178" i="47"/>
  <c r="BQ176" i="47"/>
  <c r="BR176" i="47" s="1"/>
  <c r="AU194" i="47"/>
  <c r="AO191" i="47"/>
  <c r="AK191" i="47"/>
  <c r="AG191" i="47"/>
  <c r="DE191" i="47"/>
  <c r="AQ191" i="47"/>
  <c r="AI191" i="47"/>
  <c r="BW191" i="47" s="1"/>
  <c r="AM191" i="47"/>
  <c r="AF191" i="47"/>
  <c r="AL191" i="47"/>
  <c r="BP191" i="47" s="1"/>
  <c r="AO179" i="47"/>
  <c r="AK179" i="47"/>
  <c r="AG179" i="47"/>
  <c r="AM179" i="47"/>
  <c r="DE179" i="47"/>
  <c r="AI179" i="47"/>
  <c r="BW179" i="47" s="1"/>
  <c r="AQ179" i="47"/>
  <c r="AF179" i="47"/>
  <c r="AL179" i="47"/>
  <c r="BP179" i="47" s="1"/>
  <c r="AR179" i="47"/>
  <c r="BM175" i="47"/>
  <c r="BQ175" i="47"/>
  <c r="BR175" i="47" s="1"/>
  <c r="DE170" i="47"/>
  <c r="AR170" i="47"/>
  <c r="AN170" i="47"/>
  <c r="AJ170" i="47"/>
  <c r="AF170" i="47"/>
  <c r="AL170" i="47"/>
  <c r="AP170" i="47"/>
  <c r="AH170" i="47"/>
  <c r="AK170" i="47"/>
  <c r="AQ170" i="47"/>
  <c r="DE168" i="47"/>
  <c r="AR168" i="47"/>
  <c r="AN168" i="47"/>
  <c r="AJ168" i="47"/>
  <c r="AF168" i="47"/>
  <c r="AP168" i="47"/>
  <c r="AH168" i="47"/>
  <c r="AL168" i="47"/>
  <c r="AK168" i="47"/>
  <c r="AG168" i="47"/>
  <c r="AI168" i="47"/>
  <c r="BW168" i="47" s="1"/>
  <c r="AM168" i="47"/>
  <c r="AO168" i="47"/>
  <c r="AQ168" i="47"/>
  <c r="DE166" i="47"/>
  <c r="AR166" i="47"/>
  <c r="AN166" i="47"/>
  <c r="AJ166" i="47"/>
  <c r="AF166" i="47"/>
  <c r="AL166" i="47"/>
  <c r="AH166" i="47"/>
  <c r="AP166" i="47"/>
  <c r="AG166" i="47"/>
  <c r="AI166" i="47"/>
  <c r="BW166" i="47" s="1"/>
  <c r="AM166" i="47"/>
  <c r="AO166" i="47"/>
  <c r="DE164" i="47"/>
  <c r="AR164" i="47"/>
  <c r="AN164" i="47"/>
  <c r="AJ164" i="47"/>
  <c r="AF164" i="47"/>
  <c r="AP164" i="47"/>
  <c r="AH164" i="47"/>
  <c r="AL164" i="47"/>
  <c r="AK164" i="47"/>
  <c r="AG164" i="47"/>
  <c r="AI164" i="47"/>
  <c r="BW164" i="47" s="1"/>
  <c r="AM164" i="47"/>
  <c r="AO164" i="47"/>
  <c r="AQ164" i="47"/>
  <c r="DE162" i="47"/>
  <c r="AR162" i="47"/>
  <c r="AN162" i="47"/>
  <c r="AJ162" i="47"/>
  <c r="AF162" i="47"/>
  <c r="AP162" i="47"/>
  <c r="AH162" i="47"/>
  <c r="AL162" i="47"/>
  <c r="AG162" i="47"/>
  <c r="AI162" i="47"/>
  <c r="BW162" i="47" s="1"/>
  <c r="AM162" i="47"/>
  <c r="AO162" i="47"/>
  <c r="AQ162" i="47"/>
  <c r="AK162" i="47"/>
  <c r="DE160" i="47"/>
  <c r="AR160" i="47"/>
  <c r="AN160" i="47"/>
  <c r="AJ160" i="47"/>
  <c r="AF160" i="47"/>
  <c r="AL160" i="47"/>
  <c r="AP160" i="47"/>
  <c r="AH160" i="47"/>
  <c r="AK160" i="47"/>
  <c r="AQ160" i="47"/>
  <c r="DE45" i="47"/>
  <c r="AR45" i="47"/>
  <c r="AN45" i="47"/>
  <c r="AJ45" i="47"/>
  <c r="AF45" i="47"/>
  <c r="AP45" i="47"/>
  <c r="AH45" i="47"/>
  <c r="AL45" i="47"/>
  <c r="AG45" i="47"/>
  <c r="AI45" i="47"/>
  <c r="BW45" i="47" s="1"/>
  <c r="AM45" i="47"/>
  <c r="AO45" i="47"/>
  <c r="AQ45" i="47"/>
  <c r="AK45" i="47"/>
  <c r="DE43" i="47"/>
  <c r="AR43" i="47"/>
  <c r="AN43" i="47"/>
  <c r="AJ43" i="47"/>
  <c r="AF43" i="47"/>
  <c r="AL43" i="47"/>
  <c r="AP43" i="47"/>
  <c r="AH43" i="47"/>
  <c r="AG43" i="47"/>
  <c r="AI43" i="47"/>
  <c r="BW43" i="47" s="1"/>
  <c r="AM43" i="47"/>
  <c r="AO43" i="47"/>
  <c r="AU42" i="47"/>
  <c r="DE41" i="47"/>
  <c r="AR41" i="47"/>
  <c r="AN41" i="47"/>
  <c r="AJ41" i="47"/>
  <c r="AF41" i="47"/>
  <c r="AP41" i="47"/>
  <c r="AH41" i="47"/>
  <c r="AL41" i="47"/>
  <c r="BP41" i="47" s="1"/>
  <c r="AG41" i="47"/>
  <c r="AI41" i="47"/>
  <c r="BW41" i="47" s="1"/>
  <c r="AM41" i="47"/>
  <c r="AO41" i="47"/>
  <c r="AQ41" i="47"/>
  <c r="AK41" i="47"/>
  <c r="DE39" i="47"/>
  <c r="AR39" i="47"/>
  <c r="AN39" i="47"/>
  <c r="AJ39" i="47"/>
  <c r="AF39" i="47"/>
  <c r="AL39" i="47"/>
  <c r="BP39" i="47" s="1"/>
  <c r="AH39" i="47"/>
  <c r="AP39" i="47"/>
  <c r="AK39" i="47"/>
  <c r="AQ39" i="47"/>
  <c r="DE37" i="47"/>
  <c r="AR37" i="47"/>
  <c r="AN37" i="47"/>
  <c r="AJ37" i="47"/>
  <c r="AF37" i="47"/>
  <c r="AL37" i="47"/>
  <c r="AP37" i="47"/>
  <c r="AH37" i="47"/>
  <c r="AG37" i="47"/>
  <c r="AI37" i="47"/>
  <c r="BW37" i="47" s="1"/>
  <c r="AM37" i="47"/>
  <c r="AO37" i="47"/>
  <c r="DE35" i="47"/>
  <c r="AR35" i="47"/>
  <c r="AN35" i="47"/>
  <c r="AJ35" i="47"/>
  <c r="AF35" i="47"/>
  <c r="AL35" i="47"/>
  <c r="AP35" i="47"/>
  <c r="AH35" i="47"/>
  <c r="AK35" i="47"/>
  <c r="AQ35" i="47"/>
  <c r="DE33" i="47"/>
  <c r="AR33" i="47"/>
  <c r="AN33" i="47"/>
  <c r="AJ33" i="47"/>
  <c r="AF33" i="47"/>
  <c r="AL33" i="47"/>
  <c r="AP33" i="47"/>
  <c r="AH33" i="47"/>
  <c r="AG33" i="47"/>
  <c r="AI33" i="47"/>
  <c r="BW33" i="47" s="1"/>
  <c r="AM33" i="47"/>
  <c r="AO33" i="47"/>
  <c r="DE31" i="47"/>
  <c r="AR31" i="47"/>
  <c r="AN31" i="47"/>
  <c r="AJ31" i="47"/>
  <c r="AF31" i="47"/>
  <c r="AL31" i="47"/>
  <c r="AP31" i="47"/>
  <c r="AH31" i="47"/>
  <c r="AK31" i="47"/>
  <c r="AQ31" i="47"/>
  <c r="BQ186" i="47"/>
  <c r="BJ173" i="47"/>
  <c r="BH173" i="47"/>
  <c r="BF173" i="47"/>
  <c r="AO170" i="47"/>
  <c r="AU170" i="47" s="1"/>
  <c r="AI170" i="47"/>
  <c r="BW170" i="47" s="1"/>
  <c r="AQ166" i="47"/>
  <c r="AK166" i="47"/>
  <c r="AM160" i="47"/>
  <c r="AG160" i="47"/>
  <c r="BJ43" i="47"/>
  <c r="BH43" i="47"/>
  <c r="BF43" i="47"/>
  <c r="BD43" i="47"/>
  <c r="AW43" i="47"/>
  <c r="BC43" i="47"/>
  <c r="BG43" i="47"/>
  <c r="AY43" i="47"/>
  <c r="BI43" i="47"/>
  <c r="BE43" i="47"/>
  <c r="AZ43" i="47"/>
  <c r="CE43" i="47" s="1"/>
  <c r="AO39" i="47"/>
  <c r="AI39" i="47"/>
  <c r="BW39" i="47" s="1"/>
  <c r="BJ37" i="47"/>
  <c r="BH37" i="47"/>
  <c r="BF37" i="47"/>
  <c r="BD37" i="47"/>
  <c r="AW37" i="47"/>
  <c r="BC37" i="47"/>
  <c r="BG37" i="47"/>
  <c r="AY37" i="47"/>
  <c r="BI37" i="47"/>
  <c r="BE37" i="47"/>
  <c r="AZ37" i="47"/>
  <c r="CE37" i="47" s="1"/>
  <c r="AO35" i="47"/>
  <c r="AI35" i="47"/>
  <c r="BW35" i="47" s="1"/>
  <c r="BJ33" i="47"/>
  <c r="BH33" i="47"/>
  <c r="BF33" i="47"/>
  <c r="BD33" i="47"/>
  <c r="AW33" i="47"/>
  <c r="BC33" i="47"/>
  <c r="BG33" i="47"/>
  <c r="AY33" i="47"/>
  <c r="BI33" i="47"/>
  <c r="BE33" i="47"/>
  <c r="AZ33" i="47"/>
  <c r="CE33" i="47" s="1"/>
  <c r="AO31" i="47"/>
  <c r="AI31" i="47"/>
  <c r="BW31" i="47" s="1"/>
  <c r="BJ29" i="47"/>
  <c r="BH29" i="47"/>
  <c r="BF29" i="47"/>
  <c r="BD29" i="47"/>
  <c r="BG29" i="47"/>
  <c r="BC29" i="47"/>
  <c r="AY29" i="47"/>
  <c r="BE29" i="47"/>
  <c r="AW29" i="47"/>
  <c r="BI29" i="47"/>
  <c r="DE29" i="47"/>
  <c r="AZ29" i="47"/>
  <c r="CE29" i="47" s="1"/>
  <c r="AX29" i="47"/>
  <c r="AU20" i="47"/>
  <c r="DE19" i="47"/>
  <c r="AR19" i="47"/>
  <c r="AN19" i="47"/>
  <c r="AJ19" i="47"/>
  <c r="AF19" i="47"/>
  <c r="AL19" i="47"/>
  <c r="AH19" i="47"/>
  <c r="AP19" i="47"/>
  <c r="AG19" i="47"/>
  <c r="AI19" i="47"/>
  <c r="BW19" i="47" s="1"/>
  <c r="AM19" i="47"/>
  <c r="AO19" i="47"/>
  <c r="AK19" i="47"/>
  <c r="AQ19" i="47"/>
  <c r="AU103" i="47"/>
  <c r="DE102" i="47"/>
  <c r="AR102" i="47"/>
  <c r="AN102" i="47"/>
  <c r="AJ102" i="47"/>
  <c r="AF102" i="47"/>
  <c r="AP102" i="47"/>
  <c r="AH102" i="47"/>
  <c r="AL102" i="47"/>
  <c r="BP102" i="47" s="1"/>
  <c r="AG102" i="47"/>
  <c r="AI102" i="47"/>
  <c r="BW102" i="47" s="1"/>
  <c r="AM102" i="47"/>
  <c r="AO102" i="47"/>
  <c r="AQ102" i="47"/>
  <c r="AK102" i="47"/>
  <c r="DE100" i="47"/>
  <c r="AR100" i="47"/>
  <c r="AN100" i="47"/>
  <c r="AJ100" i="47"/>
  <c r="AF100" i="47"/>
  <c r="AP100" i="47"/>
  <c r="AH100" i="47"/>
  <c r="AL100" i="47"/>
  <c r="BP100" i="47" s="1"/>
  <c r="AK100" i="47"/>
  <c r="AG100" i="47"/>
  <c r="AI100" i="47"/>
  <c r="BW100" i="47" s="1"/>
  <c r="AM100" i="47"/>
  <c r="AO100" i="47"/>
  <c r="AQ100" i="47"/>
  <c r="DE98" i="47"/>
  <c r="AR98" i="47"/>
  <c r="AN98" i="47"/>
  <c r="AJ98" i="47"/>
  <c r="AF98" i="47"/>
  <c r="AP98" i="47"/>
  <c r="AH98" i="47"/>
  <c r="AL98" i="47"/>
  <c r="AK98" i="47"/>
  <c r="AG98" i="47"/>
  <c r="AI98" i="47"/>
  <c r="BW98" i="47" s="1"/>
  <c r="AM98" i="47"/>
  <c r="AO98" i="47"/>
  <c r="AQ98" i="47"/>
  <c r="DE96" i="47"/>
  <c r="AR96" i="47"/>
  <c r="AN96" i="47"/>
  <c r="AJ96" i="47"/>
  <c r="AF96" i="47"/>
  <c r="AP96" i="47"/>
  <c r="AH96" i="47"/>
  <c r="AL96" i="47"/>
  <c r="AG96" i="47"/>
  <c r="AI96" i="47"/>
  <c r="BW96" i="47" s="1"/>
  <c r="AM96" i="47"/>
  <c r="AO96" i="47"/>
  <c r="AQ96" i="47"/>
  <c r="AK96" i="47"/>
  <c r="BI56" i="47"/>
  <c r="BG56" i="47"/>
  <c r="BE56" i="47"/>
  <c r="BC56" i="47"/>
  <c r="BH56" i="47"/>
  <c r="BD56" i="47"/>
  <c r="AZ56" i="47"/>
  <c r="CE56" i="47" s="1"/>
  <c r="BF56" i="47"/>
  <c r="AX56" i="47"/>
  <c r="BJ56" i="47"/>
  <c r="DE56" i="47"/>
  <c r="AW56" i="47"/>
  <c r="AY56" i="47"/>
  <c r="BI121" i="47"/>
  <c r="BG121" i="47"/>
  <c r="BE121" i="47"/>
  <c r="BC121" i="47"/>
  <c r="BH121" i="47"/>
  <c r="BD121" i="47"/>
  <c r="AZ121" i="47"/>
  <c r="CE121" i="47" s="1"/>
  <c r="BJ121" i="47"/>
  <c r="AX121" i="47"/>
  <c r="BF121" i="47"/>
  <c r="DE121" i="47"/>
  <c r="AW121" i="47"/>
  <c r="AY121" i="47"/>
  <c r="BQ120" i="47"/>
  <c r="BJ201" i="47"/>
  <c r="BH201" i="47"/>
  <c r="BF201" i="47"/>
  <c r="BD201" i="47"/>
  <c r="BG201" i="47"/>
  <c r="BC201" i="47"/>
  <c r="AY201" i="47"/>
  <c r="BI201" i="47"/>
  <c r="AW201" i="47"/>
  <c r="BE201" i="47"/>
  <c r="DE201" i="47"/>
  <c r="AZ201" i="47"/>
  <c r="CE201" i="47" s="1"/>
  <c r="AX201" i="47"/>
  <c r="BJ202" i="47"/>
  <c r="BH202" i="47"/>
  <c r="BF202" i="47"/>
  <c r="BD202" i="47"/>
  <c r="AW202" i="47"/>
  <c r="BC202" i="47"/>
  <c r="BG202" i="47"/>
  <c r="AY202" i="47"/>
  <c r="BI202" i="47"/>
  <c r="BE202" i="47"/>
  <c r="AZ202" i="47"/>
  <c r="CE202" i="47" s="1"/>
  <c r="BI194" i="47"/>
  <c r="BG194" i="47"/>
  <c r="BE194" i="47"/>
  <c r="BC194" i="47"/>
  <c r="BH194" i="47"/>
  <c r="BD194" i="47"/>
  <c r="AZ194" i="47"/>
  <c r="CE194" i="47" s="1"/>
  <c r="BF194" i="47"/>
  <c r="AX194" i="47"/>
  <c r="BJ194" i="47"/>
  <c r="AW194" i="47"/>
  <c r="AY194" i="47"/>
  <c r="BQ192" i="47"/>
  <c r="BR192" i="47" s="1"/>
  <c r="AT190" i="47"/>
  <c r="AS190" i="47"/>
  <c r="BB190" i="47" s="1"/>
  <c r="BI193" i="47"/>
  <c r="BG193" i="47"/>
  <c r="BE193" i="47"/>
  <c r="BC193" i="47"/>
  <c r="AX193" i="47"/>
  <c r="BD193" i="47"/>
  <c r="BH193" i="47"/>
  <c r="AZ193" i="47"/>
  <c r="CE193" i="47" s="1"/>
  <c r="AW193" i="47"/>
  <c r="BJ193" i="47"/>
  <c r="AU192" i="47"/>
  <c r="BI189" i="47"/>
  <c r="BG189" i="47"/>
  <c r="BE189" i="47"/>
  <c r="BC189" i="47"/>
  <c r="AX189" i="47"/>
  <c r="BD189" i="47"/>
  <c r="AZ189" i="47"/>
  <c r="CE189" i="47" s="1"/>
  <c r="BH189" i="47"/>
  <c r="AW189" i="47"/>
  <c r="BJ189" i="47"/>
  <c r="BM187" i="47"/>
  <c r="BQ187" i="47"/>
  <c r="BI181" i="47"/>
  <c r="BG181" i="47"/>
  <c r="BE181" i="47"/>
  <c r="BC181" i="47"/>
  <c r="BH181" i="47"/>
  <c r="BD181" i="47"/>
  <c r="AZ181" i="47"/>
  <c r="CE181" i="47" s="1"/>
  <c r="BF181" i="47"/>
  <c r="AX181" i="47"/>
  <c r="BJ181" i="47"/>
  <c r="DE181" i="47"/>
  <c r="AW181" i="47"/>
  <c r="AY181" i="47"/>
  <c r="BQ180" i="47"/>
  <c r="BI174" i="47"/>
  <c r="BG174" i="47"/>
  <c r="BE174" i="47"/>
  <c r="BC174" i="47"/>
  <c r="BH174" i="47"/>
  <c r="BD174" i="47"/>
  <c r="AZ174" i="47"/>
  <c r="CE174" i="47" s="1"/>
  <c r="BJ174" i="47"/>
  <c r="BF174" i="47"/>
  <c r="AX174" i="47"/>
  <c r="DE174" i="47"/>
  <c r="AW174" i="47"/>
  <c r="AY174" i="47"/>
  <c r="AO184" i="47"/>
  <c r="AK184" i="47"/>
  <c r="AG184" i="47"/>
  <c r="AM184" i="47"/>
  <c r="DE184" i="47"/>
  <c r="AI184" i="47"/>
  <c r="BW184" i="47" s="1"/>
  <c r="AQ184" i="47"/>
  <c r="AF184" i="47"/>
  <c r="AL184" i="47"/>
  <c r="AR184" i="47"/>
  <c r="BQ179" i="47"/>
  <c r="AO175" i="47"/>
  <c r="AK175" i="47"/>
  <c r="AG175" i="47"/>
  <c r="AM175" i="47"/>
  <c r="AQ175" i="47"/>
  <c r="AI175" i="47"/>
  <c r="BW175" i="47" s="1"/>
  <c r="DE175" i="47"/>
  <c r="AF175" i="47"/>
  <c r="AL175" i="47"/>
  <c r="BP175" i="47" s="1"/>
  <c r="AR175" i="47"/>
  <c r="AU195" i="47"/>
  <c r="AO186" i="47"/>
  <c r="AK186" i="47"/>
  <c r="AG186" i="47"/>
  <c r="DE186" i="47"/>
  <c r="AQ186" i="47"/>
  <c r="AI186" i="47"/>
  <c r="BW186" i="47" s="1"/>
  <c r="AM186" i="47"/>
  <c r="AF186" i="47"/>
  <c r="AL186" i="47"/>
  <c r="BP186" i="47" s="1"/>
  <c r="BI173" i="47"/>
  <c r="BG173" i="47"/>
  <c r="BE173" i="47"/>
  <c r="BC173" i="47"/>
  <c r="AX173" i="47"/>
  <c r="AZ173" i="47"/>
  <c r="CE173" i="47" s="1"/>
  <c r="BD173" i="47"/>
  <c r="AW173" i="47"/>
  <c r="BJ166" i="47"/>
  <c r="BH166" i="47"/>
  <c r="BF166" i="47"/>
  <c r="BD166" i="47"/>
  <c r="AW166" i="47"/>
  <c r="BC166" i="47"/>
  <c r="AY166" i="47"/>
  <c r="BG166" i="47"/>
  <c r="BI166" i="47"/>
  <c r="BE166" i="47"/>
  <c r="AZ166" i="47"/>
  <c r="CE166" i="47" s="1"/>
  <c r="BI93" i="47"/>
  <c r="BG93" i="47"/>
  <c r="BE93" i="47"/>
  <c r="BC93" i="47"/>
  <c r="BH93" i="47"/>
  <c r="BD93" i="47"/>
  <c r="AZ93" i="47"/>
  <c r="CE93" i="47" s="1"/>
  <c r="BF93" i="47"/>
  <c r="AX93" i="47"/>
  <c r="BJ93" i="47"/>
  <c r="DE93" i="47"/>
  <c r="AW93" i="47"/>
  <c r="AY93" i="47"/>
  <c r="BM62" i="47"/>
  <c r="BQ62" i="47"/>
  <c r="BI49" i="47"/>
  <c r="BG49" i="47"/>
  <c r="BE49" i="47"/>
  <c r="BC49" i="47"/>
  <c r="BH49" i="47"/>
  <c r="BD49" i="47"/>
  <c r="AZ49" i="47"/>
  <c r="CE49" i="47" s="1"/>
  <c r="BJ49" i="47"/>
  <c r="AX49" i="47"/>
  <c r="BF49" i="47"/>
  <c r="DE49" i="47"/>
  <c r="AW49" i="47"/>
  <c r="AY49" i="47"/>
  <c r="BM48" i="47"/>
  <c r="BQ48" i="47"/>
  <c r="AT119" i="47"/>
  <c r="BI119" i="47"/>
  <c r="BG119" i="47"/>
  <c r="BE119" i="47"/>
  <c r="BC119" i="47"/>
  <c r="BH119" i="47"/>
  <c r="BD119" i="47"/>
  <c r="AZ119" i="47"/>
  <c r="CE119" i="47" s="1"/>
  <c r="BJ119" i="47"/>
  <c r="AX119" i="47"/>
  <c r="BF119" i="47"/>
  <c r="BM117" i="47"/>
  <c r="BQ117" i="47"/>
  <c r="BR117" i="47" s="1"/>
  <c r="AU190" i="47"/>
  <c r="AU185" i="47"/>
  <c r="AO182" i="47"/>
  <c r="AK182" i="47"/>
  <c r="AG182" i="47"/>
  <c r="DE182" i="47"/>
  <c r="AQ182" i="47"/>
  <c r="AI182" i="47"/>
  <c r="BW182" i="47" s="1"/>
  <c r="AM182" i="47"/>
  <c r="BM182" i="47"/>
  <c r="BQ182" i="47"/>
  <c r="BR182" i="47" s="1"/>
  <c r="AT177" i="47"/>
  <c r="BI177" i="47"/>
  <c r="BG177" i="47"/>
  <c r="BE177" i="47"/>
  <c r="BC177" i="47"/>
  <c r="AX177" i="47"/>
  <c r="AZ177" i="47"/>
  <c r="CE177" i="47" s="1"/>
  <c r="BD177" i="47"/>
  <c r="BJ168" i="47"/>
  <c r="BH168" i="47"/>
  <c r="BF168" i="47"/>
  <c r="BD168" i="47"/>
  <c r="AW168" i="47"/>
  <c r="AY168" i="47"/>
  <c r="BC168" i="47"/>
  <c r="BQ30" i="47"/>
  <c r="BJ19" i="47"/>
  <c r="BH19" i="47"/>
  <c r="BF19" i="47"/>
  <c r="BD19" i="47"/>
  <c r="AW19" i="47"/>
  <c r="BC19" i="47"/>
  <c r="AY19" i="47"/>
  <c r="BG19" i="47"/>
  <c r="BE19" i="47"/>
  <c r="AZ19" i="47"/>
  <c r="CE19" i="47" s="1"/>
  <c r="AX19" i="47"/>
  <c r="AO92" i="47"/>
  <c r="AK92" i="47"/>
  <c r="AG92" i="47"/>
  <c r="AM92" i="47"/>
  <c r="DE92" i="47"/>
  <c r="AI92" i="47"/>
  <c r="BW92" i="47" s="1"/>
  <c r="AQ92" i="47"/>
  <c r="BQ92" i="47"/>
  <c r="AO60" i="47"/>
  <c r="AK60" i="47"/>
  <c r="AG60" i="47"/>
  <c r="AM60" i="47"/>
  <c r="DE60" i="47"/>
  <c r="AI60" i="47"/>
  <c r="BW60" i="47" s="1"/>
  <c r="AQ60" i="47"/>
  <c r="AO58" i="47"/>
  <c r="AK58" i="47"/>
  <c r="AG58" i="47"/>
  <c r="AM58" i="47"/>
  <c r="DE58" i="47"/>
  <c r="AI58" i="47"/>
  <c r="BW58" i="47" s="1"/>
  <c r="AQ58" i="47"/>
  <c r="AO55" i="47"/>
  <c r="AK55" i="47"/>
  <c r="AG55" i="47"/>
  <c r="AM55" i="47"/>
  <c r="AQ55" i="47"/>
  <c r="DE55" i="47"/>
  <c r="AI55" i="47"/>
  <c r="BW55" i="47" s="1"/>
  <c r="AO53" i="47"/>
  <c r="AK53" i="47"/>
  <c r="AG53" i="47"/>
  <c r="AM53" i="47"/>
  <c r="AQ53" i="47"/>
  <c r="DE53" i="47"/>
  <c r="AI53" i="47"/>
  <c r="BW53" i="47" s="1"/>
  <c r="AO50" i="47"/>
  <c r="AK50" i="47"/>
  <c r="AG50" i="47"/>
  <c r="AM50" i="47"/>
  <c r="DE50" i="47"/>
  <c r="AI50" i="47"/>
  <c r="BW50" i="47" s="1"/>
  <c r="AQ50" i="47"/>
  <c r="AO46" i="47"/>
  <c r="AK46" i="47"/>
  <c r="AG46" i="47"/>
  <c r="AM46" i="47"/>
  <c r="DE46" i="47"/>
  <c r="AI46" i="47"/>
  <c r="BW46" i="47" s="1"/>
  <c r="AQ46" i="47"/>
  <c r="DE202" i="47"/>
  <c r="AR202" i="47"/>
  <c r="AN202" i="47"/>
  <c r="AJ202" i="47"/>
  <c r="AF202" i="47"/>
  <c r="AL202" i="47"/>
  <c r="AP202" i="47"/>
  <c r="AH202" i="47"/>
  <c r="AU201" i="47"/>
  <c r="DE200" i="47"/>
  <c r="AR200" i="47"/>
  <c r="AP200" i="47"/>
  <c r="AN200" i="47"/>
  <c r="AL200" i="47"/>
  <c r="AJ200" i="47"/>
  <c r="AH200" i="47"/>
  <c r="AF200" i="47"/>
  <c r="AO200" i="47"/>
  <c r="AG200" i="47"/>
  <c r="AK200" i="47"/>
  <c r="AO202" i="47"/>
  <c r="AM202" i="47"/>
  <c r="AI202" i="47"/>
  <c r="BW202" i="47" s="1"/>
  <c r="AG202" i="47"/>
  <c r="AT198" i="47"/>
  <c r="BI198" i="47"/>
  <c r="BG198" i="47"/>
  <c r="BE198" i="47"/>
  <c r="BC198" i="47"/>
  <c r="BH198" i="47"/>
  <c r="BD198" i="47"/>
  <c r="AZ198" i="47"/>
  <c r="CE198" i="47" s="1"/>
  <c r="BJ198" i="47"/>
  <c r="AX198" i="47"/>
  <c r="BF198" i="47"/>
  <c r="AQ200" i="47"/>
  <c r="AO199" i="47"/>
  <c r="AK199" i="47"/>
  <c r="AG199" i="47"/>
  <c r="AM199" i="47"/>
  <c r="DE199" i="47"/>
  <c r="AI199" i="47"/>
  <c r="BW199" i="47" s="1"/>
  <c r="AQ199" i="47"/>
  <c r="BI195" i="47"/>
  <c r="BG195" i="47"/>
  <c r="BE195" i="47"/>
  <c r="BC195" i="47"/>
  <c r="BH195" i="47"/>
  <c r="BD195" i="47"/>
  <c r="AZ195" i="47"/>
  <c r="CE195" i="47" s="1"/>
  <c r="BF195" i="47"/>
  <c r="AX195" i="47"/>
  <c r="BJ195" i="47"/>
  <c r="AT192" i="47"/>
  <c r="BI192" i="47"/>
  <c r="BG192" i="47"/>
  <c r="BE192" i="47"/>
  <c r="BC192" i="47"/>
  <c r="BH192" i="47"/>
  <c r="BD192" i="47"/>
  <c r="AZ192" i="47"/>
  <c r="CE192" i="47" s="1"/>
  <c r="BJ192" i="47"/>
  <c r="BF192" i="47"/>
  <c r="AX192" i="47"/>
  <c r="BP190" i="47"/>
  <c r="AT196" i="47"/>
  <c r="AO193" i="47"/>
  <c r="AK193" i="47"/>
  <c r="AG193" i="47"/>
  <c r="AM193" i="47"/>
  <c r="AQ193" i="47"/>
  <c r="AI193" i="47"/>
  <c r="BW193" i="47" s="1"/>
  <c r="DE193" i="47"/>
  <c r="AO189" i="47"/>
  <c r="AK189" i="47"/>
  <c r="AG189" i="47"/>
  <c r="AM189" i="47"/>
  <c r="DE189" i="47"/>
  <c r="AI189" i="47"/>
  <c r="BW189" i="47" s="1"/>
  <c r="AQ189" i="47"/>
  <c r="AT188" i="47"/>
  <c r="AT187" i="47"/>
  <c r="BI187" i="47"/>
  <c r="BG187" i="47"/>
  <c r="BE187" i="47"/>
  <c r="BC187" i="47"/>
  <c r="BH187" i="47"/>
  <c r="BD187" i="47"/>
  <c r="AZ187" i="47"/>
  <c r="CE187" i="47" s="1"/>
  <c r="BJ187" i="47"/>
  <c r="BF187" i="47"/>
  <c r="AX187" i="47"/>
  <c r="BP185" i="47"/>
  <c r="AT183" i="47"/>
  <c r="BI183" i="47"/>
  <c r="BG183" i="47"/>
  <c r="BE183" i="47"/>
  <c r="BC183" i="47"/>
  <c r="BH183" i="47"/>
  <c r="BD183" i="47"/>
  <c r="AZ183" i="47"/>
  <c r="CE183" i="47" s="1"/>
  <c r="BJ183" i="47"/>
  <c r="AX183" i="47"/>
  <c r="BF183" i="47"/>
  <c r="BP181" i="47"/>
  <c r="BI180" i="47"/>
  <c r="BG180" i="47"/>
  <c r="BE180" i="47"/>
  <c r="BC180" i="47"/>
  <c r="BH180" i="47"/>
  <c r="BD180" i="47"/>
  <c r="AZ180" i="47"/>
  <c r="CE180" i="47" s="1"/>
  <c r="BF180" i="47"/>
  <c r="AX180" i="47"/>
  <c r="BJ180" i="47"/>
  <c r="AT176" i="47"/>
  <c r="BI176" i="47"/>
  <c r="BG176" i="47"/>
  <c r="BE176" i="47"/>
  <c r="BC176" i="47"/>
  <c r="BH176" i="47"/>
  <c r="BD176" i="47"/>
  <c r="AZ176" i="47"/>
  <c r="CE176" i="47" s="1"/>
  <c r="BF176" i="47"/>
  <c r="AX176" i="47"/>
  <c r="BJ176" i="47"/>
  <c r="BP174" i="47"/>
  <c r="BI191" i="47"/>
  <c r="BG191" i="47"/>
  <c r="BE191" i="47"/>
  <c r="BC191" i="47"/>
  <c r="AX191" i="47"/>
  <c r="AZ191" i="47"/>
  <c r="CE191" i="47" s="1"/>
  <c r="BD191" i="47"/>
  <c r="DE187" i="47"/>
  <c r="BI184" i="47"/>
  <c r="BG184" i="47"/>
  <c r="BE184" i="47"/>
  <c r="BC184" i="47"/>
  <c r="AX184" i="47"/>
  <c r="BD184" i="47"/>
  <c r="AZ184" i="47"/>
  <c r="CE184" i="47" s="1"/>
  <c r="BH184" i="47"/>
  <c r="DE183" i="47"/>
  <c r="BI179" i="47"/>
  <c r="BG179" i="47"/>
  <c r="BE179" i="47"/>
  <c r="BC179" i="47"/>
  <c r="AX179" i="47"/>
  <c r="BD179" i="47"/>
  <c r="AZ179" i="47"/>
  <c r="CE179" i="47" s="1"/>
  <c r="BH179" i="47"/>
  <c r="BI175" i="47"/>
  <c r="BG175" i="47"/>
  <c r="BE175" i="47"/>
  <c r="BC175" i="47"/>
  <c r="AX175" i="47"/>
  <c r="BD175" i="47"/>
  <c r="BH175" i="47"/>
  <c r="AZ175" i="47"/>
  <c r="CE175" i="47" s="1"/>
  <c r="BJ171" i="47"/>
  <c r="BH171" i="47"/>
  <c r="BF171" i="47"/>
  <c r="BD171" i="47"/>
  <c r="BG171" i="47"/>
  <c r="BC171" i="47"/>
  <c r="AY171" i="47"/>
  <c r="BE171" i="47"/>
  <c r="AW171" i="47"/>
  <c r="BI171" i="47"/>
  <c r="AZ171" i="47"/>
  <c r="CE171" i="47" s="1"/>
  <c r="AX171" i="47"/>
  <c r="BJ169" i="47"/>
  <c r="BH169" i="47"/>
  <c r="BF169" i="47"/>
  <c r="BD169" i="47"/>
  <c r="BG169" i="47"/>
  <c r="BC169" i="47"/>
  <c r="AY169" i="47"/>
  <c r="BI169" i="47"/>
  <c r="AW169" i="47"/>
  <c r="BE169" i="47"/>
  <c r="AZ169" i="47"/>
  <c r="CE169" i="47" s="1"/>
  <c r="AX169" i="47"/>
  <c r="BJ167" i="47"/>
  <c r="BH167" i="47"/>
  <c r="BF167" i="47"/>
  <c r="BD167" i="47"/>
  <c r="BG167" i="47"/>
  <c r="BC167" i="47"/>
  <c r="AY167" i="47"/>
  <c r="BE167" i="47"/>
  <c r="AW167" i="47"/>
  <c r="BI167" i="47"/>
  <c r="AZ167" i="47"/>
  <c r="CE167" i="47" s="1"/>
  <c r="AX167" i="47"/>
  <c r="BJ165" i="47"/>
  <c r="BH165" i="47"/>
  <c r="BF165" i="47"/>
  <c r="BD165" i="47"/>
  <c r="BG165" i="47"/>
  <c r="BC165" i="47"/>
  <c r="AY165" i="47"/>
  <c r="BI165" i="47"/>
  <c r="BE165" i="47"/>
  <c r="AW165" i="47"/>
  <c r="AZ165" i="47"/>
  <c r="CE165" i="47" s="1"/>
  <c r="AX165" i="47"/>
  <c r="BJ163" i="47"/>
  <c r="BH163" i="47"/>
  <c r="BF163" i="47"/>
  <c r="BD163" i="47"/>
  <c r="BG163" i="47"/>
  <c r="BC163" i="47"/>
  <c r="AY163" i="47"/>
  <c r="BE163" i="47"/>
  <c r="AW163" i="47"/>
  <c r="BI163" i="47"/>
  <c r="AZ163" i="47"/>
  <c r="CE163" i="47" s="1"/>
  <c r="AX163" i="47"/>
  <c r="BJ161" i="47"/>
  <c r="BH161" i="47"/>
  <c r="BF161" i="47"/>
  <c r="BD161" i="47"/>
  <c r="BG161" i="47"/>
  <c r="BC161" i="47"/>
  <c r="AY161" i="47"/>
  <c r="BE161" i="47"/>
  <c r="AW161" i="47"/>
  <c r="BI161" i="47"/>
  <c r="AZ161" i="47"/>
  <c r="CE161" i="47" s="1"/>
  <c r="AX161" i="47"/>
  <c r="BJ159" i="47"/>
  <c r="BH159" i="47"/>
  <c r="BF159" i="47"/>
  <c r="BD159" i="47"/>
  <c r="BG159" i="47"/>
  <c r="BC159" i="47"/>
  <c r="AY159" i="47"/>
  <c r="BI159" i="47"/>
  <c r="BE159" i="47"/>
  <c r="AW159" i="47"/>
  <c r="AZ159" i="47"/>
  <c r="CE159" i="47" s="1"/>
  <c r="AX159" i="47"/>
  <c r="BJ44" i="47"/>
  <c r="BH44" i="47"/>
  <c r="BF44" i="47"/>
  <c r="BD44" i="47"/>
  <c r="BG44" i="47"/>
  <c r="BC44" i="47"/>
  <c r="AY44" i="47"/>
  <c r="BE44" i="47"/>
  <c r="AW44" i="47"/>
  <c r="BI44" i="47"/>
  <c r="AZ44" i="47"/>
  <c r="CE44" i="47" s="1"/>
  <c r="AX44" i="47"/>
  <c r="BJ42" i="47"/>
  <c r="BH42" i="47"/>
  <c r="BF42" i="47"/>
  <c r="BD42" i="47"/>
  <c r="BG42" i="47"/>
  <c r="BC42" i="47"/>
  <c r="AY42" i="47"/>
  <c r="BI42" i="47"/>
  <c r="AW42" i="47"/>
  <c r="BE42" i="47"/>
  <c r="AZ42" i="47"/>
  <c r="CE42" i="47" s="1"/>
  <c r="AX42" i="47"/>
  <c r="BJ40" i="47"/>
  <c r="BH40" i="47"/>
  <c r="BF40" i="47"/>
  <c r="BD40" i="47"/>
  <c r="BG40" i="47"/>
  <c r="BC40" i="47"/>
  <c r="AY40" i="47"/>
  <c r="BE40" i="47"/>
  <c r="AW40" i="47"/>
  <c r="BI40" i="47"/>
  <c r="AZ40" i="47"/>
  <c r="CE40" i="47" s="1"/>
  <c r="AX40" i="47"/>
  <c r="BJ38" i="47"/>
  <c r="BH38" i="47"/>
  <c r="BF38" i="47"/>
  <c r="BD38" i="47"/>
  <c r="BG38" i="47"/>
  <c r="BC38" i="47"/>
  <c r="AY38" i="47"/>
  <c r="BI38" i="47"/>
  <c r="BE38" i="47"/>
  <c r="AW38" i="47"/>
  <c r="AZ38" i="47"/>
  <c r="CE38" i="47" s="1"/>
  <c r="AX38" i="47"/>
  <c r="BJ36" i="47"/>
  <c r="BH36" i="47"/>
  <c r="BF36" i="47"/>
  <c r="BD36" i="47"/>
  <c r="BG36" i="47"/>
  <c r="BC36" i="47"/>
  <c r="AY36" i="47"/>
  <c r="BI36" i="47"/>
  <c r="BE36" i="47"/>
  <c r="AW36" i="47"/>
  <c r="AZ36" i="47"/>
  <c r="CE36" i="47" s="1"/>
  <c r="AX36" i="47"/>
  <c r="BJ34" i="47"/>
  <c r="BH34" i="47"/>
  <c r="BF34" i="47"/>
  <c r="BD34" i="47"/>
  <c r="BG34" i="47"/>
  <c r="BC34" i="47"/>
  <c r="AY34" i="47"/>
  <c r="BI34" i="47"/>
  <c r="BE34" i="47"/>
  <c r="AW34" i="47"/>
  <c r="AZ34" i="47"/>
  <c r="CE34" i="47" s="1"/>
  <c r="AX34" i="47"/>
  <c r="BJ32" i="47"/>
  <c r="BH32" i="47"/>
  <c r="BF32" i="47"/>
  <c r="BD32" i="47"/>
  <c r="BG32" i="47"/>
  <c r="BC32" i="47"/>
  <c r="AY32" i="47"/>
  <c r="BI32" i="47"/>
  <c r="BE32" i="47"/>
  <c r="AW32" i="47"/>
  <c r="AZ32" i="47"/>
  <c r="CE32" i="47" s="1"/>
  <c r="AX32" i="47"/>
  <c r="BI186" i="47"/>
  <c r="BG186" i="47"/>
  <c r="BE186" i="47"/>
  <c r="BC186" i="47"/>
  <c r="AX186" i="47"/>
  <c r="AZ186" i="47"/>
  <c r="CE186" i="47" s="1"/>
  <c r="BD186" i="47"/>
  <c r="AU181" i="47"/>
  <c r="DE176" i="47"/>
  <c r="AO173" i="47"/>
  <c r="AK173" i="47"/>
  <c r="AG173" i="47"/>
  <c r="DE173" i="47"/>
  <c r="AQ173" i="47"/>
  <c r="AI173" i="47"/>
  <c r="BW173" i="47" s="1"/>
  <c r="AM173" i="47"/>
  <c r="BJ170" i="47"/>
  <c r="BH170" i="47"/>
  <c r="BF170" i="47"/>
  <c r="BD170" i="47"/>
  <c r="AW170" i="47"/>
  <c r="BC170" i="47"/>
  <c r="BG170" i="47"/>
  <c r="AY170" i="47"/>
  <c r="BE170" i="47"/>
  <c r="AZ170" i="47"/>
  <c r="CE170" i="47" s="1"/>
  <c r="AX170" i="47"/>
  <c r="DE167" i="47"/>
  <c r="BJ160" i="47"/>
  <c r="BH160" i="47"/>
  <c r="BF160" i="47"/>
  <c r="BD160" i="47"/>
  <c r="AW160" i="47"/>
  <c r="BC160" i="47"/>
  <c r="BG160" i="47"/>
  <c r="AY160" i="47"/>
  <c r="BE160" i="47"/>
  <c r="AZ160" i="47"/>
  <c r="CE160" i="47" s="1"/>
  <c r="AX160" i="47"/>
  <c r="DE44" i="47"/>
  <c r="BJ39" i="47"/>
  <c r="BH39" i="47"/>
  <c r="BF39" i="47"/>
  <c r="BD39" i="47"/>
  <c r="AW39" i="47"/>
  <c r="BC39" i="47"/>
  <c r="AY39" i="47"/>
  <c r="BG39" i="47"/>
  <c r="BE39" i="47"/>
  <c r="AZ39" i="47"/>
  <c r="CE39" i="47" s="1"/>
  <c r="AX39" i="47"/>
  <c r="BJ35" i="47"/>
  <c r="BH35" i="47"/>
  <c r="BF35" i="47"/>
  <c r="BD35" i="47"/>
  <c r="AW35" i="47"/>
  <c r="BC35" i="47"/>
  <c r="BG35" i="47"/>
  <c r="AY35" i="47"/>
  <c r="BE35" i="47"/>
  <c r="AZ35" i="47"/>
  <c r="CE35" i="47" s="1"/>
  <c r="AX35" i="47"/>
  <c r="BJ31" i="47"/>
  <c r="BH31" i="47"/>
  <c r="BF31" i="47"/>
  <c r="BD31" i="47"/>
  <c r="AW31" i="47"/>
  <c r="BC31" i="47"/>
  <c r="BG31" i="47"/>
  <c r="AY31" i="47"/>
  <c r="BE31" i="47"/>
  <c r="AZ31" i="47"/>
  <c r="CE31" i="47" s="1"/>
  <c r="AX31" i="47"/>
  <c r="DE28" i="47"/>
  <c r="AR28" i="47"/>
  <c r="AN28" i="47"/>
  <c r="AJ28" i="47"/>
  <c r="AF28" i="47"/>
  <c r="AP28" i="47"/>
  <c r="AH28" i="47"/>
  <c r="AL28" i="47"/>
  <c r="BJ20" i="47"/>
  <c r="BH20" i="47"/>
  <c r="BF20" i="47"/>
  <c r="BD20" i="47"/>
  <c r="BG20" i="47"/>
  <c r="BC20" i="47"/>
  <c r="AY20" i="47"/>
  <c r="BE20" i="47"/>
  <c r="AW20" i="47"/>
  <c r="BI20" i="47"/>
  <c r="AZ20" i="47"/>
  <c r="CE20" i="47" s="1"/>
  <c r="AX20" i="47"/>
  <c r="BJ103" i="47"/>
  <c r="BH103" i="47"/>
  <c r="BF103" i="47"/>
  <c r="BD103" i="47"/>
  <c r="BG103" i="47"/>
  <c r="BC103" i="47"/>
  <c r="AY103" i="47"/>
  <c r="BI103" i="47"/>
  <c r="BE103" i="47"/>
  <c r="AW103" i="47"/>
  <c r="AZ103" i="47"/>
  <c r="CE103" i="47" s="1"/>
  <c r="AX103" i="47"/>
  <c r="BJ101" i="47"/>
  <c r="BH101" i="47"/>
  <c r="BF101" i="47"/>
  <c r="BD101" i="47"/>
  <c r="BG101" i="47"/>
  <c r="BC101" i="47"/>
  <c r="AY101" i="47"/>
  <c r="BE101" i="47"/>
  <c r="AW101" i="47"/>
  <c r="BI101" i="47"/>
  <c r="AZ101" i="47"/>
  <c r="CE101" i="47" s="1"/>
  <c r="AX101" i="47"/>
  <c r="BJ99" i="47"/>
  <c r="BH99" i="47"/>
  <c r="BF99" i="47"/>
  <c r="BD99" i="47"/>
  <c r="BG99" i="47"/>
  <c r="BC99" i="47"/>
  <c r="AY99" i="47"/>
  <c r="BE99" i="47"/>
  <c r="AW99" i="47"/>
  <c r="BI99" i="47"/>
  <c r="AZ99" i="47"/>
  <c r="CE99" i="47" s="1"/>
  <c r="AX99" i="47"/>
  <c r="BJ97" i="47"/>
  <c r="BH97" i="47"/>
  <c r="BF97" i="47"/>
  <c r="BD97" i="47"/>
  <c r="BG97" i="47"/>
  <c r="BC97" i="47"/>
  <c r="AY97" i="47"/>
  <c r="BE97" i="47"/>
  <c r="AW97" i="47"/>
  <c r="BI97" i="47"/>
  <c r="AZ97" i="47"/>
  <c r="CE97" i="47" s="1"/>
  <c r="AX97" i="47"/>
  <c r="BJ95" i="47"/>
  <c r="BH95" i="47"/>
  <c r="BF95" i="47"/>
  <c r="BD95" i="47"/>
  <c r="BG95" i="47"/>
  <c r="BC95" i="47"/>
  <c r="AY95" i="47"/>
  <c r="BE95" i="47"/>
  <c r="AW95" i="47"/>
  <c r="BI95" i="47"/>
  <c r="AZ95" i="47"/>
  <c r="CE95" i="47" s="1"/>
  <c r="AX95" i="47"/>
  <c r="BP93" i="47"/>
  <c r="AT62" i="47"/>
  <c r="BI62" i="47"/>
  <c r="BG62" i="47"/>
  <c r="BE62" i="47"/>
  <c r="BC62" i="47"/>
  <c r="BH62" i="47"/>
  <c r="BD62" i="47"/>
  <c r="AZ62" i="47"/>
  <c r="CE62" i="47" s="1"/>
  <c r="BJ62" i="47"/>
  <c r="AX62" i="47"/>
  <c r="BF62" i="47"/>
  <c r="BP56" i="47"/>
  <c r="AT51" i="47"/>
  <c r="AS51" i="47"/>
  <c r="BB51" i="47" s="1"/>
  <c r="BI51" i="47"/>
  <c r="BG51" i="47"/>
  <c r="BE51" i="47"/>
  <c r="BC51" i="47"/>
  <c r="BH51" i="47"/>
  <c r="BD51" i="47"/>
  <c r="AZ51" i="47"/>
  <c r="CE51" i="47" s="1"/>
  <c r="BF51" i="47"/>
  <c r="AX51" i="47"/>
  <c r="BJ51" i="47"/>
  <c r="BP49" i="47"/>
  <c r="AT48" i="47"/>
  <c r="BI48" i="47"/>
  <c r="BG48" i="47"/>
  <c r="BE48" i="47"/>
  <c r="BC48" i="47"/>
  <c r="BH48" i="47"/>
  <c r="BD48" i="47"/>
  <c r="AZ48" i="47"/>
  <c r="CE48" i="47" s="1"/>
  <c r="BJ48" i="47"/>
  <c r="AX48" i="47"/>
  <c r="BF48" i="47"/>
  <c r="AT120" i="47"/>
  <c r="BI120" i="47"/>
  <c r="BG120" i="47"/>
  <c r="BE120" i="47"/>
  <c r="BC120" i="47"/>
  <c r="BH120" i="47"/>
  <c r="BD120" i="47"/>
  <c r="AZ120" i="47"/>
  <c r="CE120" i="47" s="1"/>
  <c r="BJ120" i="47"/>
  <c r="AX120" i="47"/>
  <c r="BF120" i="47"/>
  <c r="BP119" i="47"/>
  <c r="AY119" i="47"/>
  <c r="AW119" i="47"/>
  <c r="AT117" i="47"/>
  <c r="BI117" i="47"/>
  <c r="BG117" i="47"/>
  <c r="BE117" i="47"/>
  <c r="BC117" i="47"/>
  <c r="BH117" i="47"/>
  <c r="BD117" i="47"/>
  <c r="AZ117" i="47"/>
  <c r="CE117" i="47" s="1"/>
  <c r="BF117" i="47"/>
  <c r="AX117" i="47"/>
  <c r="BJ117" i="47"/>
  <c r="AL182" i="47"/>
  <c r="BP182" i="47" s="1"/>
  <c r="AF182" i="47"/>
  <c r="BI182" i="47"/>
  <c r="BG182" i="47"/>
  <c r="BE182" i="47"/>
  <c r="BC182" i="47"/>
  <c r="AX182" i="47"/>
  <c r="AZ182" i="47"/>
  <c r="CE182" i="47" s="1"/>
  <c r="BD182" i="47"/>
  <c r="DE180" i="47"/>
  <c r="AO177" i="47"/>
  <c r="AK177" i="47"/>
  <c r="AG177" i="47"/>
  <c r="DE177" i="47"/>
  <c r="AQ177" i="47"/>
  <c r="AI177" i="47"/>
  <c r="BW177" i="47" s="1"/>
  <c r="AM177" i="47"/>
  <c r="AW177" i="47"/>
  <c r="BI168" i="47"/>
  <c r="BG168" i="47"/>
  <c r="BE168" i="47"/>
  <c r="AZ168" i="47"/>
  <c r="CE168" i="47" s="1"/>
  <c r="AX168" i="47"/>
  <c r="BJ41" i="47"/>
  <c r="BH41" i="47"/>
  <c r="BF41" i="47"/>
  <c r="BN41" i="47" s="1"/>
  <c r="BD41" i="47"/>
  <c r="AW41" i="47"/>
  <c r="AY41" i="47"/>
  <c r="BC41" i="47"/>
  <c r="DE38" i="47"/>
  <c r="BP36" i="47"/>
  <c r="DE36" i="47"/>
  <c r="DE34" i="47"/>
  <c r="BP32" i="47"/>
  <c r="DE32" i="47"/>
  <c r="DE20" i="47"/>
  <c r="BI19" i="47"/>
  <c r="AR92" i="47"/>
  <c r="AL92" i="47"/>
  <c r="BP92" i="47" s="1"/>
  <c r="AF92" i="47"/>
  <c r="BI92" i="47"/>
  <c r="BG92" i="47"/>
  <c r="BE92" i="47"/>
  <c r="BC92" i="47"/>
  <c r="AX92" i="47"/>
  <c r="BD92" i="47"/>
  <c r="AZ92" i="47"/>
  <c r="CE92" i="47" s="1"/>
  <c r="BH92" i="47"/>
  <c r="AU62" i="47"/>
  <c r="DE62" i="47"/>
  <c r="AR60" i="47"/>
  <c r="AL60" i="47"/>
  <c r="BP60" i="47" s="1"/>
  <c r="AF60" i="47"/>
  <c r="BI60" i="47"/>
  <c r="BG60" i="47"/>
  <c r="BE60" i="47"/>
  <c r="BC60" i="47"/>
  <c r="AX60" i="47"/>
  <c r="BD60" i="47"/>
  <c r="AZ60" i="47"/>
  <c r="CE60" i="47" s="1"/>
  <c r="BH60" i="47"/>
  <c r="AR58" i="47"/>
  <c r="AL58" i="47"/>
  <c r="BP58" i="47" s="1"/>
  <c r="AF58" i="47"/>
  <c r="BI58" i="47"/>
  <c r="BG58" i="47"/>
  <c r="BE58" i="47"/>
  <c r="BC58" i="47"/>
  <c r="AX58" i="47"/>
  <c r="BD58" i="47"/>
  <c r="AZ58" i="47"/>
  <c r="CE58" i="47" s="1"/>
  <c r="BH58" i="47"/>
  <c r="AR55" i="47"/>
  <c r="AL55" i="47"/>
  <c r="BP55" i="47" s="1"/>
  <c r="AF55" i="47"/>
  <c r="BI55" i="47"/>
  <c r="BG55" i="47"/>
  <c r="BE55" i="47"/>
  <c r="BC55" i="47"/>
  <c r="AX55" i="47"/>
  <c r="BD55" i="47"/>
  <c r="BH55" i="47"/>
  <c r="AZ55" i="47"/>
  <c r="CE55" i="47" s="1"/>
  <c r="AR53" i="47"/>
  <c r="AL53" i="47"/>
  <c r="BP53" i="47" s="1"/>
  <c r="AF53" i="47"/>
  <c r="BI53" i="47"/>
  <c r="BG53" i="47"/>
  <c r="BE53" i="47"/>
  <c r="BC53" i="47"/>
  <c r="AX53" i="47"/>
  <c r="BD53" i="47"/>
  <c r="BH53" i="47"/>
  <c r="AZ53" i="47"/>
  <c r="CE53" i="47" s="1"/>
  <c r="AR50" i="47"/>
  <c r="AL50" i="47"/>
  <c r="BP50" i="47" s="1"/>
  <c r="AF50" i="47"/>
  <c r="BI50" i="47"/>
  <c r="BG50" i="47"/>
  <c r="BE50" i="47"/>
  <c r="BC50" i="47"/>
  <c r="AX50" i="47"/>
  <c r="BD50" i="47"/>
  <c r="AZ50" i="47"/>
  <c r="CE50" i="47" s="1"/>
  <c r="BH50" i="47"/>
  <c r="DE48" i="47"/>
  <c r="AR46" i="47"/>
  <c r="AL46" i="47"/>
  <c r="AF46" i="47"/>
  <c r="BI46" i="47"/>
  <c r="BG46" i="47"/>
  <c r="BE46" i="47"/>
  <c r="BC46" i="47"/>
  <c r="AX46" i="47"/>
  <c r="BD46" i="47"/>
  <c r="AZ46" i="47"/>
  <c r="CE46" i="47" s="1"/>
  <c r="BH46" i="47"/>
  <c r="AU120" i="47"/>
  <c r="DE120" i="47"/>
  <c r="AU119" i="47"/>
  <c r="DE119" i="47"/>
  <c r="BJ148" i="47"/>
  <c r="BH148" i="47"/>
  <c r="BF148" i="47"/>
  <c r="BD148" i="47"/>
  <c r="BG148" i="47"/>
  <c r="BC148" i="47"/>
  <c r="AY148" i="47"/>
  <c r="BI148" i="47"/>
  <c r="AW148" i="47"/>
  <c r="BE148" i="47"/>
  <c r="AZ148" i="47"/>
  <c r="CE148" i="47" s="1"/>
  <c r="AX148" i="47"/>
  <c r="BJ146" i="47"/>
  <c r="BH146" i="47"/>
  <c r="BF146" i="47"/>
  <c r="BD146" i="47"/>
  <c r="BG146" i="47"/>
  <c r="BC146" i="47"/>
  <c r="AY146" i="47"/>
  <c r="BE146" i="47"/>
  <c r="AW146" i="47"/>
  <c r="BI146" i="47"/>
  <c r="AZ146" i="47"/>
  <c r="CE146" i="47" s="1"/>
  <c r="AX146" i="47"/>
  <c r="BJ144" i="47"/>
  <c r="BH144" i="47"/>
  <c r="BF144" i="47"/>
  <c r="BD144" i="47"/>
  <c r="BG144" i="47"/>
  <c r="BC144" i="47"/>
  <c r="AY144" i="47"/>
  <c r="BE144" i="47"/>
  <c r="AW144" i="47"/>
  <c r="BI144" i="47"/>
  <c r="AZ144" i="47"/>
  <c r="CE144" i="47" s="1"/>
  <c r="AX144" i="47"/>
  <c r="BJ142" i="47"/>
  <c r="BH142" i="47"/>
  <c r="BF142" i="47"/>
  <c r="BD142" i="47"/>
  <c r="BG142" i="47"/>
  <c r="BC142" i="47"/>
  <c r="AY142" i="47"/>
  <c r="BI142" i="47"/>
  <c r="AW142" i="47"/>
  <c r="BE142" i="47"/>
  <c r="AZ142" i="47"/>
  <c r="CE142" i="47" s="1"/>
  <c r="AX142" i="47"/>
  <c r="BJ140" i="47"/>
  <c r="BH140" i="47"/>
  <c r="BF140" i="47"/>
  <c r="BD140" i="47"/>
  <c r="BG140" i="47"/>
  <c r="BC140" i="47"/>
  <c r="AY140" i="47"/>
  <c r="BE140" i="47"/>
  <c r="AW140" i="47"/>
  <c r="BI140" i="47"/>
  <c r="AZ140" i="47"/>
  <c r="CE140" i="47" s="1"/>
  <c r="AX140" i="47"/>
  <c r="BJ138" i="47"/>
  <c r="BH138" i="47"/>
  <c r="BF138" i="47"/>
  <c r="BD138" i="47"/>
  <c r="BG138" i="47"/>
  <c r="BC138" i="47"/>
  <c r="AY138" i="47"/>
  <c r="BE138" i="47"/>
  <c r="AW138" i="47"/>
  <c r="BI138" i="47"/>
  <c r="AZ138" i="47"/>
  <c r="CE138" i="47" s="1"/>
  <c r="AX138" i="47"/>
  <c r="BJ211" i="47"/>
  <c r="BH211" i="47"/>
  <c r="BF211" i="47"/>
  <c r="BD211" i="47"/>
  <c r="BG211" i="47"/>
  <c r="BC211" i="47"/>
  <c r="AY211" i="47"/>
  <c r="BE211" i="47"/>
  <c r="AW211" i="47"/>
  <c r="BI211" i="47"/>
  <c r="AZ211" i="47"/>
  <c r="CE211" i="47" s="1"/>
  <c r="AX211" i="47"/>
  <c r="BJ209" i="47"/>
  <c r="BH209" i="47"/>
  <c r="BF209" i="47"/>
  <c r="BD209" i="47"/>
  <c r="BG209" i="47"/>
  <c r="BC209" i="47"/>
  <c r="AY209" i="47"/>
  <c r="BI209" i="47"/>
  <c r="AW209" i="47"/>
  <c r="BE209" i="47"/>
  <c r="AZ209" i="47"/>
  <c r="CE209" i="47" s="1"/>
  <c r="AX209" i="47"/>
  <c r="BJ207" i="47"/>
  <c r="BH207" i="47"/>
  <c r="BF207" i="47"/>
  <c r="BD207" i="47"/>
  <c r="BG207" i="47"/>
  <c r="BC207" i="47"/>
  <c r="AY207" i="47"/>
  <c r="BI207" i="47"/>
  <c r="BE207" i="47"/>
  <c r="AW207" i="47"/>
  <c r="AZ207" i="47"/>
  <c r="CE207" i="47" s="1"/>
  <c r="AX207" i="47"/>
  <c r="BJ205" i="47"/>
  <c r="BH205" i="47"/>
  <c r="BF205" i="47"/>
  <c r="CB205" i="47" s="1"/>
  <c r="CD205" i="47" s="1"/>
  <c r="BD205" i="47"/>
  <c r="BG205" i="47"/>
  <c r="BC205" i="47"/>
  <c r="AY205" i="47"/>
  <c r="BE205" i="47"/>
  <c r="AW205" i="47"/>
  <c r="BI205" i="47"/>
  <c r="AZ205" i="47"/>
  <c r="CE205" i="47" s="1"/>
  <c r="AX205" i="47"/>
  <c r="AR197" i="47"/>
  <c r="AP197" i="47"/>
  <c r="AN197" i="47"/>
  <c r="AL197" i="47"/>
  <c r="BI197" i="47"/>
  <c r="BG197" i="47"/>
  <c r="BE197" i="47"/>
  <c r="BC197" i="47"/>
  <c r="AX197" i="47"/>
  <c r="AZ197" i="47"/>
  <c r="CE197" i="47" s="1"/>
  <c r="AT172" i="47"/>
  <c r="BJ164" i="47"/>
  <c r="BH164" i="47"/>
  <c r="BF164" i="47"/>
  <c r="BD164" i="47"/>
  <c r="AW164" i="47"/>
  <c r="AY164" i="47"/>
  <c r="BC164" i="47"/>
  <c r="BI162" i="47"/>
  <c r="BG162" i="47"/>
  <c r="BE162" i="47"/>
  <c r="AZ162" i="47"/>
  <c r="CE162" i="47" s="1"/>
  <c r="DE42" i="47"/>
  <c r="AU30" i="47"/>
  <c r="DE103" i="47"/>
  <c r="AO94" i="47"/>
  <c r="AK94" i="47"/>
  <c r="AG94" i="47"/>
  <c r="DE94" i="47"/>
  <c r="AQ94" i="47"/>
  <c r="AI94" i="47"/>
  <c r="BW94" i="47" s="1"/>
  <c r="AM94" i="47"/>
  <c r="BC45" i="47"/>
  <c r="BI102" i="47"/>
  <c r="BG102" i="47"/>
  <c r="BE102" i="47"/>
  <c r="AZ102" i="47"/>
  <c r="CE102" i="47" s="1"/>
  <c r="BJ98" i="47"/>
  <c r="BH98" i="47"/>
  <c r="BF98" i="47"/>
  <c r="BD98" i="47"/>
  <c r="AW98" i="47"/>
  <c r="AY98" i="47"/>
  <c r="BC98" i="47"/>
  <c r="AU93" i="47"/>
  <c r="AO54" i="47"/>
  <c r="AK54" i="47"/>
  <c r="AG54" i="47"/>
  <c r="DE54" i="47"/>
  <c r="AQ54" i="47"/>
  <c r="AI54" i="47"/>
  <c r="BW54" i="47" s="1"/>
  <c r="AM54" i="47"/>
  <c r="AL52" i="47"/>
  <c r="BP52" i="47" s="1"/>
  <c r="BI52" i="47"/>
  <c r="BG52" i="47"/>
  <c r="BE52" i="47"/>
  <c r="BC52" i="47"/>
  <c r="AX52" i="47"/>
  <c r="AZ52" i="47"/>
  <c r="CE52" i="47" s="1"/>
  <c r="BD52" i="47"/>
  <c r="DE117" i="47"/>
  <c r="DE146" i="47"/>
  <c r="DE144" i="47"/>
  <c r="AO143" i="47"/>
  <c r="AM143" i="47"/>
  <c r="AI143" i="47"/>
  <c r="BW143" i="47" s="1"/>
  <c r="BJ210" i="47"/>
  <c r="BH210" i="47"/>
  <c r="BF210" i="47"/>
  <c r="BD210" i="47"/>
  <c r="AW210" i="47"/>
  <c r="BC210" i="47"/>
  <c r="AY210" i="47"/>
  <c r="BG210" i="47"/>
  <c r="AQ210" i="47"/>
  <c r="BE210" i="47"/>
  <c r="AZ210" i="47"/>
  <c r="CE210" i="47" s="1"/>
  <c r="AX210" i="47"/>
  <c r="AO208" i="47"/>
  <c r="AM208" i="47"/>
  <c r="AI208" i="47"/>
  <c r="BW208" i="47" s="1"/>
  <c r="BJ204" i="47"/>
  <c r="BH204" i="47"/>
  <c r="BF204" i="47"/>
  <c r="BD204" i="47"/>
  <c r="AW204" i="47"/>
  <c r="BC204" i="47"/>
  <c r="BG204" i="47"/>
  <c r="AY204" i="47"/>
  <c r="AQ204" i="47"/>
  <c r="BE204" i="47"/>
  <c r="AZ204" i="47"/>
  <c r="CE204" i="47" s="1"/>
  <c r="AX204" i="47"/>
  <c r="BJ203" i="47"/>
  <c r="BH203" i="47"/>
  <c r="BF203" i="47"/>
  <c r="BD203" i="47"/>
  <c r="BG203" i="47"/>
  <c r="BC203" i="47"/>
  <c r="AY203" i="47"/>
  <c r="BE203" i="47"/>
  <c r="AW203" i="47"/>
  <c r="BI203" i="47"/>
  <c r="AX203" i="47"/>
  <c r="BJ135" i="47"/>
  <c r="BH135" i="47"/>
  <c r="BF135" i="47"/>
  <c r="BD135" i="47"/>
  <c r="BG135" i="47"/>
  <c r="BC135" i="47"/>
  <c r="AY135" i="47"/>
  <c r="BI135" i="47"/>
  <c r="BE135" i="47"/>
  <c r="AW135" i="47"/>
  <c r="AZ135" i="47"/>
  <c r="CE135" i="47" s="1"/>
  <c r="AX135" i="47"/>
  <c r="BJ133" i="47"/>
  <c r="BH133" i="47"/>
  <c r="BF133" i="47"/>
  <c r="BD133" i="47"/>
  <c r="BG133" i="47"/>
  <c r="BC133" i="47"/>
  <c r="AY133" i="47"/>
  <c r="BE133" i="47"/>
  <c r="AW133" i="47"/>
  <c r="BI133" i="47"/>
  <c r="AZ133" i="47"/>
  <c r="CE133" i="47" s="1"/>
  <c r="AX133" i="47"/>
  <c r="BJ27" i="47"/>
  <c r="BH27" i="47"/>
  <c r="BF27" i="47"/>
  <c r="BD27" i="47"/>
  <c r="BG27" i="47"/>
  <c r="BC27" i="47"/>
  <c r="AY27" i="47"/>
  <c r="BE27" i="47"/>
  <c r="AW27" i="47"/>
  <c r="BI27" i="47"/>
  <c r="AZ27" i="47"/>
  <c r="CE27" i="47" s="1"/>
  <c r="AX27" i="47"/>
  <c r="BJ25" i="47"/>
  <c r="BH25" i="47"/>
  <c r="BF25" i="47"/>
  <c r="BD25" i="47"/>
  <c r="BG25" i="47"/>
  <c r="BC25" i="47"/>
  <c r="AY25" i="47"/>
  <c r="BE25" i="47"/>
  <c r="AW25" i="47"/>
  <c r="BI25" i="47"/>
  <c r="AZ25" i="47"/>
  <c r="CE25" i="47" s="1"/>
  <c r="AX25" i="47"/>
  <c r="BJ23" i="47"/>
  <c r="BH23" i="47"/>
  <c r="BF23" i="47"/>
  <c r="BD23" i="47"/>
  <c r="BG23" i="47"/>
  <c r="BC23" i="47"/>
  <c r="AY23" i="47"/>
  <c r="BI23" i="47"/>
  <c r="AW23" i="47"/>
  <c r="BE23" i="47"/>
  <c r="AZ23" i="47"/>
  <c r="CE23" i="47" s="1"/>
  <c r="AX23" i="47"/>
  <c r="BJ21" i="47"/>
  <c r="BH21" i="47"/>
  <c r="BF21" i="47"/>
  <c r="BD21" i="47"/>
  <c r="BG21" i="47"/>
  <c r="BC21" i="47"/>
  <c r="AY21" i="47"/>
  <c r="BE21" i="47"/>
  <c r="AW21" i="47"/>
  <c r="BI21" i="47"/>
  <c r="AZ21" i="47"/>
  <c r="CE21" i="47" s="1"/>
  <c r="AX21" i="47"/>
  <c r="BJ69" i="47"/>
  <c r="BH69" i="47"/>
  <c r="BF69" i="47"/>
  <c r="BD69" i="47"/>
  <c r="BG69" i="47"/>
  <c r="BC69" i="47"/>
  <c r="AY69" i="47"/>
  <c r="BI69" i="47"/>
  <c r="BE69" i="47"/>
  <c r="AW69" i="47"/>
  <c r="AZ69" i="47"/>
  <c r="CE69" i="47" s="1"/>
  <c r="AX69" i="47"/>
  <c r="BJ67" i="47"/>
  <c r="BH67" i="47"/>
  <c r="BF67" i="47"/>
  <c r="BD67" i="47"/>
  <c r="BG67" i="47"/>
  <c r="BC67" i="47"/>
  <c r="AY67" i="47"/>
  <c r="BE67" i="47"/>
  <c r="AW67" i="47"/>
  <c r="BI67" i="47"/>
  <c r="AZ67" i="47"/>
  <c r="CE67" i="47" s="1"/>
  <c r="AX67" i="47"/>
  <c r="BJ65" i="47"/>
  <c r="BH65" i="47"/>
  <c r="BF65" i="47"/>
  <c r="BD65" i="47"/>
  <c r="BG65" i="47"/>
  <c r="BC65" i="47"/>
  <c r="AY65" i="47"/>
  <c r="BE65" i="47"/>
  <c r="AW65" i="47"/>
  <c r="BI65" i="47"/>
  <c r="AZ65" i="47"/>
  <c r="CE65" i="47" s="1"/>
  <c r="AX65" i="47"/>
  <c r="BJ63" i="47"/>
  <c r="BH63" i="47"/>
  <c r="BF63" i="47"/>
  <c r="BD63" i="47"/>
  <c r="BG63" i="47"/>
  <c r="BC63" i="47"/>
  <c r="AY63" i="47"/>
  <c r="BE63" i="47"/>
  <c r="AW63" i="47"/>
  <c r="BI63" i="47"/>
  <c r="AZ63" i="47"/>
  <c r="CE63" i="47" s="1"/>
  <c r="AX63" i="47"/>
  <c r="BJ17" i="47"/>
  <c r="BH17" i="47"/>
  <c r="BF17" i="47"/>
  <c r="BD17" i="47"/>
  <c r="BG17" i="47"/>
  <c r="BC17" i="47"/>
  <c r="AY17" i="47"/>
  <c r="BI17" i="47"/>
  <c r="AW17" i="47"/>
  <c r="BE17" i="47"/>
  <c r="AZ17" i="47"/>
  <c r="CE17" i="47" s="1"/>
  <c r="AX17" i="47"/>
  <c r="BJ15" i="47"/>
  <c r="BH15" i="47"/>
  <c r="BF15" i="47"/>
  <c r="BD15" i="47"/>
  <c r="BG15" i="47"/>
  <c r="BC15" i="47"/>
  <c r="AY15" i="47"/>
  <c r="BI15" i="47"/>
  <c r="AW15" i="47"/>
  <c r="BE15" i="47"/>
  <c r="AZ15" i="47"/>
  <c r="CE15" i="47" s="1"/>
  <c r="AX15" i="47"/>
  <c r="BJ13" i="47"/>
  <c r="BH13" i="47"/>
  <c r="BF13" i="47"/>
  <c r="BD13" i="47"/>
  <c r="BG13" i="47"/>
  <c r="BC13" i="47"/>
  <c r="AY13" i="47"/>
  <c r="BE13" i="47"/>
  <c r="AW13" i="47"/>
  <c r="BI13" i="47"/>
  <c r="AZ13" i="47"/>
  <c r="CE13" i="47" s="1"/>
  <c r="AX13" i="47"/>
  <c r="BJ11" i="47"/>
  <c r="BH11" i="47"/>
  <c r="BF11" i="47"/>
  <c r="BD11" i="47"/>
  <c r="BG11" i="47"/>
  <c r="BC11" i="47"/>
  <c r="AY11" i="47"/>
  <c r="BE11" i="47"/>
  <c r="AW11" i="47"/>
  <c r="BI11" i="47"/>
  <c r="AZ11" i="47"/>
  <c r="CE11" i="47" s="1"/>
  <c r="AX11" i="47"/>
  <c r="BJ9" i="47"/>
  <c r="BH9" i="47"/>
  <c r="BF9" i="47"/>
  <c r="BD9" i="47"/>
  <c r="BG9" i="47"/>
  <c r="BC9" i="47"/>
  <c r="AY9" i="47"/>
  <c r="BI9" i="47"/>
  <c r="AW9" i="47"/>
  <c r="BE9" i="47"/>
  <c r="AZ9" i="47"/>
  <c r="CE9" i="47" s="1"/>
  <c r="AX9" i="47"/>
  <c r="BJ115" i="47"/>
  <c r="BH115" i="47"/>
  <c r="BF115" i="47"/>
  <c r="BD115" i="47"/>
  <c r="BG115" i="47"/>
  <c r="BC115" i="47"/>
  <c r="AY115" i="47"/>
  <c r="BE115" i="47"/>
  <c r="AW115" i="47"/>
  <c r="BI115" i="47"/>
  <c r="AZ115" i="47"/>
  <c r="CE115" i="47" s="1"/>
  <c r="AX115" i="47"/>
  <c r="BJ113" i="47"/>
  <c r="BH113" i="47"/>
  <c r="BF113" i="47"/>
  <c r="BD113" i="47"/>
  <c r="BG113" i="47"/>
  <c r="BC113" i="47"/>
  <c r="AY113" i="47"/>
  <c r="BE113" i="47"/>
  <c r="AW113" i="47"/>
  <c r="BI113" i="47"/>
  <c r="AZ113" i="47"/>
  <c r="CE113" i="47" s="1"/>
  <c r="AX113" i="47"/>
  <c r="BJ111" i="47"/>
  <c r="BH111" i="47"/>
  <c r="BF111" i="47"/>
  <c r="BD111" i="47"/>
  <c r="BG111" i="47"/>
  <c r="BC111" i="47"/>
  <c r="AY111" i="47"/>
  <c r="BI111" i="47"/>
  <c r="BE111" i="47"/>
  <c r="AW111" i="47"/>
  <c r="AZ111" i="47"/>
  <c r="CE111" i="47" s="1"/>
  <c r="AX111" i="47"/>
  <c r="BJ109" i="47"/>
  <c r="BH109" i="47"/>
  <c r="BF109" i="47"/>
  <c r="BD109" i="47"/>
  <c r="BG109" i="47"/>
  <c r="BC109" i="47"/>
  <c r="AY109" i="47"/>
  <c r="BE109" i="47"/>
  <c r="AW109" i="47"/>
  <c r="BI109" i="47"/>
  <c r="AZ109" i="47"/>
  <c r="CE109" i="47" s="1"/>
  <c r="AX109" i="47"/>
  <c r="BJ107" i="47"/>
  <c r="BH107" i="47"/>
  <c r="BF107" i="47"/>
  <c r="BD107" i="47"/>
  <c r="BG107" i="47"/>
  <c r="BC107" i="47"/>
  <c r="AY107" i="47"/>
  <c r="BE107" i="47"/>
  <c r="AW107" i="47"/>
  <c r="BI107" i="47"/>
  <c r="AZ107" i="47"/>
  <c r="CE107" i="47" s="1"/>
  <c r="AX107" i="47"/>
  <c r="BJ105" i="47"/>
  <c r="BH105" i="47"/>
  <c r="BF105" i="47"/>
  <c r="BD105" i="47"/>
  <c r="BG105" i="47"/>
  <c r="BC105" i="47"/>
  <c r="AY105" i="47"/>
  <c r="BE105" i="47"/>
  <c r="AW105" i="47"/>
  <c r="BI105" i="47"/>
  <c r="AZ105" i="47"/>
  <c r="CE105" i="47" s="1"/>
  <c r="AX105" i="47"/>
  <c r="BJ91" i="47"/>
  <c r="BH91" i="47"/>
  <c r="BF91" i="47"/>
  <c r="BD91" i="47"/>
  <c r="BG91" i="47"/>
  <c r="BC91" i="47"/>
  <c r="AY91" i="47"/>
  <c r="BE91" i="47"/>
  <c r="AW91" i="47"/>
  <c r="BI91" i="47"/>
  <c r="AZ91" i="47"/>
  <c r="CE91" i="47" s="1"/>
  <c r="AX91" i="47"/>
  <c r="BJ89" i="47"/>
  <c r="BH89" i="47"/>
  <c r="BF89" i="47"/>
  <c r="BD89" i="47"/>
  <c r="BG89" i="47"/>
  <c r="BC89" i="47"/>
  <c r="AY89" i="47"/>
  <c r="BI89" i="47"/>
  <c r="AW89" i="47"/>
  <c r="BE89" i="47"/>
  <c r="AZ89" i="47"/>
  <c r="CE89" i="47" s="1"/>
  <c r="AX89" i="47"/>
  <c r="BJ87" i="47"/>
  <c r="BH87" i="47"/>
  <c r="BF87" i="47"/>
  <c r="BD87" i="47"/>
  <c r="BG87" i="47"/>
  <c r="BC87" i="47"/>
  <c r="AY87" i="47"/>
  <c r="BI87" i="47"/>
  <c r="BE87" i="47"/>
  <c r="AW87" i="47"/>
  <c r="AZ87" i="47"/>
  <c r="CE87" i="47" s="1"/>
  <c r="AX87" i="47"/>
  <c r="BJ85" i="47"/>
  <c r="BH85" i="47"/>
  <c r="BF85" i="47"/>
  <c r="BD85" i="47"/>
  <c r="BG85" i="47"/>
  <c r="BC85" i="47"/>
  <c r="AY85" i="47"/>
  <c r="BE85" i="47"/>
  <c r="AW85" i="47"/>
  <c r="BI85" i="47"/>
  <c r="AZ85" i="47"/>
  <c r="CE85" i="47" s="1"/>
  <c r="AX85" i="47"/>
  <c r="BI45" i="47"/>
  <c r="BG45" i="47"/>
  <c r="BE45" i="47"/>
  <c r="AZ45" i="47"/>
  <c r="CE45" i="47" s="1"/>
  <c r="BJ28" i="47"/>
  <c r="BH28" i="47"/>
  <c r="BF28" i="47"/>
  <c r="BD28" i="47"/>
  <c r="AW28" i="47"/>
  <c r="AY28" i="47"/>
  <c r="BC28" i="47"/>
  <c r="AQ28" i="47"/>
  <c r="AO28" i="47"/>
  <c r="AM28" i="47"/>
  <c r="AI28" i="47"/>
  <c r="BW28" i="47" s="1"/>
  <c r="AG28" i="47"/>
  <c r="BJ100" i="47"/>
  <c r="BH100" i="47"/>
  <c r="BF100" i="47"/>
  <c r="BD100" i="47"/>
  <c r="AW100" i="47"/>
  <c r="AY100" i="47"/>
  <c r="BC100" i="47"/>
  <c r="BI96" i="47"/>
  <c r="BG96" i="47"/>
  <c r="BE96" i="47"/>
  <c r="AZ96" i="47"/>
  <c r="CE96" i="47" s="1"/>
  <c r="AO61" i="47"/>
  <c r="AK61" i="47"/>
  <c r="AG61" i="47"/>
  <c r="DE61" i="47"/>
  <c r="AQ61" i="47"/>
  <c r="AI61" i="47"/>
  <c r="BW61" i="47" s="1"/>
  <c r="AM61" i="47"/>
  <c r="AL59" i="47"/>
  <c r="BI59" i="47"/>
  <c r="BG59" i="47"/>
  <c r="BE59" i="47"/>
  <c r="BC59" i="47"/>
  <c r="AX59" i="47"/>
  <c r="AZ59" i="47"/>
  <c r="CE59" i="47" s="1"/>
  <c r="BD59" i="47"/>
  <c r="AO57" i="47"/>
  <c r="AK57" i="47"/>
  <c r="AG57" i="47"/>
  <c r="DE57" i="47"/>
  <c r="AQ57" i="47"/>
  <c r="AI57" i="47"/>
  <c r="BW57" i="47" s="1"/>
  <c r="AM57" i="47"/>
  <c r="AL47" i="47"/>
  <c r="BP47" i="47" s="1"/>
  <c r="BI47" i="47"/>
  <c r="BG47" i="47"/>
  <c r="BE47" i="47"/>
  <c r="BC47" i="47"/>
  <c r="AX47" i="47"/>
  <c r="AZ47" i="47"/>
  <c r="CE47" i="47" s="1"/>
  <c r="BD47" i="47"/>
  <c r="AO118" i="47"/>
  <c r="AK118" i="47"/>
  <c r="AG118" i="47"/>
  <c r="DE118" i="47"/>
  <c r="AQ118" i="47"/>
  <c r="AI118" i="47"/>
  <c r="BW118" i="47" s="1"/>
  <c r="AM118" i="47"/>
  <c r="BJ147" i="47"/>
  <c r="BH147" i="47"/>
  <c r="BF147" i="47"/>
  <c r="BN147" i="47" s="1"/>
  <c r="BD147" i="47"/>
  <c r="AW147" i="47"/>
  <c r="AY147" i="47"/>
  <c r="BC147" i="47"/>
  <c r="AQ147" i="47"/>
  <c r="AO147" i="47"/>
  <c r="AM147" i="47"/>
  <c r="AI147" i="47"/>
  <c r="BW147" i="47" s="1"/>
  <c r="BI145" i="47"/>
  <c r="BG145" i="47"/>
  <c r="BE145" i="47"/>
  <c r="AZ145" i="47"/>
  <c r="CE145" i="47" s="1"/>
  <c r="AS142" i="47"/>
  <c r="BB142" i="47" s="1"/>
  <c r="AT142" i="47"/>
  <c r="BI141" i="47"/>
  <c r="BG141" i="47"/>
  <c r="BE141" i="47"/>
  <c r="AZ141" i="47"/>
  <c r="CE141" i="47" s="1"/>
  <c r="BJ139" i="47"/>
  <c r="BH139" i="47"/>
  <c r="BF139" i="47"/>
  <c r="BD139" i="47"/>
  <c r="AW139" i="47"/>
  <c r="AY139" i="47"/>
  <c r="BC139" i="47"/>
  <c r="AQ139" i="47"/>
  <c r="AO139" i="47"/>
  <c r="AM139" i="47"/>
  <c r="AI139" i="47"/>
  <c r="BW139" i="47" s="1"/>
  <c r="BI137" i="47"/>
  <c r="BG137" i="47"/>
  <c r="BE137" i="47"/>
  <c r="AZ137" i="47"/>
  <c r="CE137" i="47" s="1"/>
  <c r="BP207" i="47"/>
  <c r="DE207" i="47"/>
  <c r="DE203" i="47"/>
  <c r="BJ206" i="47"/>
  <c r="BH206" i="47"/>
  <c r="BF206" i="47"/>
  <c r="BD206" i="47"/>
  <c r="AW206" i="47"/>
  <c r="AY206" i="47"/>
  <c r="BC206" i="47"/>
  <c r="AQ206" i="47"/>
  <c r="AO206" i="47"/>
  <c r="AM206" i="47"/>
  <c r="AI206" i="47"/>
  <c r="BW206" i="47" s="1"/>
  <c r="BJ136" i="47"/>
  <c r="BH136" i="47"/>
  <c r="BF136" i="47"/>
  <c r="BD136" i="47"/>
  <c r="AW136" i="47"/>
  <c r="BC136" i="47"/>
  <c r="AY136" i="47"/>
  <c r="BG136" i="47"/>
  <c r="AQ136" i="47"/>
  <c r="BE136" i="47"/>
  <c r="AZ136" i="47"/>
  <c r="CE136" i="47" s="1"/>
  <c r="AX136" i="47"/>
  <c r="DE133" i="47"/>
  <c r="DE27" i="47"/>
  <c r="DE25" i="47"/>
  <c r="AO24" i="47"/>
  <c r="AM24" i="47"/>
  <c r="AI24" i="47"/>
  <c r="BW24" i="47" s="1"/>
  <c r="BJ70" i="47"/>
  <c r="BH70" i="47"/>
  <c r="BF70" i="47"/>
  <c r="BD70" i="47"/>
  <c r="AW70" i="47"/>
  <c r="BC70" i="47"/>
  <c r="AY70" i="47"/>
  <c r="BG70" i="47"/>
  <c r="AQ70" i="47"/>
  <c r="BE70" i="47"/>
  <c r="AZ70" i="47"/>
  <c r="CE70" i="47" s="1"/>
  <c r="AX70" i="47"/>
  <c r="DE67" i="47"/>
  <c r="DE65" i="47"/>
  <c r="DE63" i="47"/>
  <c r="AO18" i="47"/>
  <c r="AM18" i="47"/>
  <c r="AI18" i="47"/>
  <c r="BW18" i="47" s="1"/>
  <c r="BJ16" i="47"/>
  <c r="BH16" i="47"/>
  <c r="BF16" i="47"/>
  <c r="BD16" i="47"/>
  <c r="AW16" i="47"/>
  <c r="BC16" i="47"/>
  <c r="AY16" i="47"/>
  <c r="BG16" i="47"/>
  <c r="AQ16" i="47"/>
  <c r="BE16" i="47"/>
  <c r="AZ16" i="47"/>
  <c r="CE16" i="47" s="1"/>
  <c r="AX16" i="47"/>
  <c r="DE13" i="47"/>
  <c r="DE11" i="47"/>
  <c r="AO10" i="47"/>
  <c r="AM10" i="47"/>
  <c r="AI10" i="47"/>
  <c r="BW10" i="47" s="1"/>
  <c r="BJ112" i="47"/>
  <c r="BH112" i="47"/>
  <c r="BF112" i="47"/>
  <c r="BD112" i="47"/>
  <c r="AW112" i="47"/>
  <c r="BC112" i="47"/>
  <c r="AY112" i="47"/>
  <c r="BG112" i="47"/>
  <c r="AQ112" i="47"/>
  <c r="BE112" i="47"/>
  <c r="AZ112" i="47"/>
  <c r="CE112" i="47" s="1"/>
  <c r="AX112" i="47"/>
  <c r="DE109" i="47"/>
  <c r="DE107" i="47"/>
  <c r="DE105" i="47"/>
  <c r="DE91" i="47"/>
  <c r="AO90" i="47"/>
  <c r="AM90" i="47"/>
  <c r="AI90" i="47"/>
  <c r="BW90" i="47" s="1"/>
  <c r="BJ88" i="47"/>
  <c r="BH88" i="47"/>
  <c r="BF88" i="47"/>
  <c r="BD88" i="47"/>
  <c r="AW88" i="47"/>
  <c r="BC88" i="47"/>
  <c r="AY88" i="47"/>
  <c r="BG88" i="47"/>
  <c r="AQ88" i="47"/>
  <c r="BE88" i="47"/>
  <c r="AZ88" i="47"/>
  <c r="CE88" i="47" s="1"/>
  <c r="AX88" i="47"/>
  <c r="DE85" i="47"/>
  <c r="AO84" i="47"/>
  <c r="AM84" i="47"/>
  <c r="AI84" i="47"/>
  <c r="BW84" i="47" s="1"/>
  <c r="BJ83" i="47"/>
  <c r="BH83" i="47"/>
  <c r="BF83" i="47"/>
  <c r="BD83" i="47"/>
  <c r="BG83" i="47"/>
  <c r="BC83" i="47"/>
  <c r="AY83" i="47"/>
  <c r="BI83" i="47"/>
  <c r="BE83" i="47"/>
  <c r="AW83" i="47"/>
  <c r="AX83" i="47"/>
  <c r="BJ81" i="47"/>
  <c r="BH81" i="47"/>
  <c r="BF81" i="47"/>
  <c r="BD81" i="47"/>
  <c r="BG81" i="47"/>
  <c r="BC81" i="47"/>
  <c r="AY81" i="47"/>
  <c r="BE81" i="47"/>
  <c r="AW81" i="47"/>
  <c r="BI81" i="47"/>
  <c r="AZ81" i="47"/>
  <c r="CE81" i="47" s="1"/>
  <c r="AX81" i="47"/>
  <c r="BJ79" i="47"/>
  <c r="BH79" i="47"/>
  <c r="BF79" i="47"/>
  <c r="BD79" i="47"/>
  <c r="BG79" i="47"/>
  <c r="BC79" i="47"/>
  <c r="AY79" i="47"/>
  <c r="BI79" i="47"/>
  <c r="BE79" i="47"/>
  <c r="AW79" i="47"/>
  <c r="AZ79" i="47"/>
  <c r="CE79" i="47" s="1"/>
  <c r="AX79" i="47"/>
  <c r="BJ77" i="47"/>
  <c r="BH77" i="47"/>
  <c r="BF77" i="47"/>
  <c r="BD77" i="47"/>
  <c r="BG77" i="47"/>
  <c r="BC77" i="47"/>
  <c r="AY77" i="47"/>
  <c r="BE77" i="47"/>
  <c r="AW77" i="47"/>
  <c r="BI77" i="47"/>
  <c r="AZ77" i="47"/>
  <c r="CE77" i="47" s="1"/>
  <c r="AX77" i="47"/>
  <c r="BP135" i="47"/>
  <c r="DE135" i="47"/>
  <c r="BJ22" i="47"/>
  <c r="BH22" i="47"/>
  <c r="BF22" i="47"/>
  <c r="BD22" i="47"/>
  <c r="AW22" i="47"/>
  <c r="AY22" i="47"/>
  <c r="BC22" i="47"/>
  <c r="AQ22" i="47"/>
  <c r="AO22" i="47"/>
  <c r="AM22" i="47"/>
  <c r="AI22" i="47"/>
  <c r="BW22" i="47" s="1"/>
  <c r="DE69" i="47"/>
  <c r="BI14" i="47"/>
  <c r="BG14" i="47"/>
  <c r="BE14" i="47"/>
  <c r="AZ14" i="47"/>
  <c r="CE14" i="47" s="1"/>
  <c r="BJ12" i="47"/>
  <c r="BH12" i="47"/>
  <c r="BF12" i="47"/>
  <c r="BD12" i="47"/>
  <c r="AW12" i="47"/>
  <c r="AY12" i="47"/>
  <c r="BC12" i="47"/>
  <c r="AQ12" i="47"/>
  <c r="AO12" i="47"/>
  <c r="AM12" i="47"/>
  <c r="AI12" i="47"/>
  <c r="BW12" i="47" s="1"/>
  <c r="BJ116" i="47"/>
  <c r="BH116" i="47"/>
  <c r="BF116" i="47"/>
  <c r="BD116" i="47"/>
  <c r="AW116" i="47"/>
  <c r="AY116" i="47"/>
  <c r="BC116" i="47"/>
  <c r="AQ116" i="47"/>
  <c r="AO116" i="47"/>
  <c r="AM116" i="47"/>
  <c r="AI116" i="47"/>
  <c r="BW116" i="47" s="1"/>
  <c r="BI114" i="47"/>
  <c r="BG114" i="47"/>
  <c r="BE114" i="47"/>
  <c r="AZ114" i="47"/>
  <c r="CE114" i="47" s="1"/>
  <c r="DE87" i="47"/>
  <c r="BJ80" i="47"/>
  <c r="BH80" i="47"/>
  <c r="BF80" i="47"/>
  <c r="BD80" i="47"/>
  <c r="AW80" i="47"/>
  <c r="BC80" i="47"/>
  <c r="BG80" i="47"/>
  <c r="AY80" i="47"/>
  <c r="AQ80" i="47"/>
  <c r="BE80" i="47"/>
  <c r="AZ80" i="47"/>
  <c r="CE80" i="47" s="1"/>
  <c r="AX80" i="47"/>
  <c r="BJ74" i="47"/>
  <c r="BH74" i="47"/>
  <c r="BF74" i="47"/>
  <c r="BD74" i="47"/>
  <c r="BG74" i="47"/>
  <c r="BC74" i="47"/>
  <c r="AY74" i="47"/>
  <c r="BI74" i="47"/>
  <c r="BE74" i="47"/>
  <c r="AW74" i="47"/>
  <c r="AZ74" i="47"/>
  <c r="CE74" i="47" s="1"/>
  <c r="AX74" i="47"/>
  <c r="DE73" i="47"/>
  <c r="AR73" i="47"/>
  <c r="AN73" i="47"/>
  <c r="AJ73" i="47"/>
  <c r="AF73" i="47"/>
  <c r="AP73" i="47"/>
  <c r="AL73" i="47"/>
  <c r="AH73" i="47"/>
  <c r="AU72" i="47"/>
  <c r="BJ158" i="47"/>
  <c r="BH158" i="47"/>
  <c r="BF158" i="47"/>
  <c r="BD158" i="47"/>
  <c r="BG158" i="47"/>
  <c r="BC158" i="47"/>
  <c r="AY158" i="47"/>
  <c r="BI158" i="47"/>
  <c r="BE158" i="47"/>
  <c r="AW158" i="47"/>
  <c r="AZ158" i="47"/>
  <c r="CE158" i="47" s="1"/>
  <c r="AX158" i="47"/>
  <c r="DE157" i="47"/>
  <c r="AR157" i="47"/>
  <c r="AN157" i="47"/>
  <c r="AJ157" i="47"/>
  <c r="AF157" i="47"/>
  <c r="AP157" i="47"/>
  <c r="AL157" i="47"/>
  <c r="AH157" i="47"/>
  <c r="BJ154" i="47"/>
  <c r="BH154" i="47"/>
  <c r="BF154" i="47"/>
  <c r="BD154" i="47"/>
  <c r="BG154" i="47"/>
  <c r="BC154" i="47"/>
  <c r="AY154" i="47"/>
  <c r="BI154" i="47"/>
  <c r="BE154" i="47"/>
  <c r="AW154" i="47"/>
  <c r="AZ154" i="47"/>
  <c r="CE154" i="47" s="1"/>
  <c r="AX154" i="47"/>
  <c r="DE153" i="47"/>
  <c r="AR153" i="47"/>
  <c r="AN153" i="47"/>
  <c r="AJ153" i="47"/>
  <c r="AF153" i="47"/>
  <c r="AP153" i="47"/>
  <c r="AL153" i="47"/>
  <c r="AH153" i="47"/>
  <c r="BJ150" i="47"/>
  <c r="BH150" i="47"/>
  <c r="BF150" i="47"/>
  <c r="BD150" i="47"/>
  <c r="BG150" i="47"/>
  <c r="BC150" i="47"/>
  <c r="AY150" i="47"/>
  <c r="BI150" i="47"/>
  <c r="BE150" i="47"/>
  <c r="AW150" i="47"/>
  <c r="AZ150" i="47"/>
  <c r="CE150" i="47" s="1"/>
  <c r="AX150" i="47"/>
  <c r="DE149" i="47"/>
  <c r="AR149" i="47"/>
  <c r="AN149" i="47"/>
  <c r="AJ149" i="47"/>
  <c r="AF149" i="47"/>
  <c r="AP149" i="47"/>
  <c r="AL149" i="47"/>
  <c r="AH149" i="47"/>
  <c r="AH129" i="47"/>
  <c r="AT129" i="47" s="1"/>
  <c r="BM127" i="47"/>
  <c r="BQ127" i="47"/>
  <c r="BR127" i="47" s="1"/>
  <c r="AH127" i="47"/>
  <c r="BQ126" i="47"/>
  <c r="AH125" i="47"/>
  <c r="AT125" i="47" s="1"/>
  <c r="AH123" i="47"/>
  <c r="BM8" i="47"/>
  <c r="BQ8" i="47"/>
  <c r="AH8" i="47"/>
  <c r="AH6" i="47"/>
  <c r="AT6" i="47" s="1"/>
  <c r="BM5" i="47"/>
  <c r="BQ4" i="47"/>
  <c r="AH4" i="47"/>
  <c r="AT4" i="47" s="1"/>
  <c r="BM3" i="47"/>
  <c r="BQ3" i="47"/>
  <c r="BR3" i="47" s="1"/>
  <c r="AH2" i="47"/>
  <c r="BJ134" i="47"/>
  <c r="BH134" i="47"/>
  <c r="BF134" i="47"/>
  <c r="BD134" i="47"/>
  <c r="AW134" i="47"/>
  <c r="AY134" i="47"/>
  <c r="BC134" i="47"/>
  <c r="AQ134" i="47"/>
  <c r="AO134" i="47"/>
  <c r="AM134" i="47"/>
  <c r="AI134" i="47"/>
  <c r="BW134" i="47" s="1"/>
  <c r="BI132" i="47"/>
  <c r="BG132" i="47"/>
  <c r="BE132" i="47"/>
  <c r="AZ132" i="47"/>
  <c r="CE132" i="47" s="1"/>
  <c r="BJ26" i="47"/>
  <c r="BH26" i="47"/>
  <c r="BF26" i="47"/>
  <c r="BN26" i="47" s="1"/>
  <c r="BD26" i="47"/>
  <c r="AW26" i="47"/>
  <c r="AY26" i="47"/>
  <c r="BC26" i="47"/>
  <c r="AQ26" i="47"/>
  <c r="AO26" i="47"/>
  <c r="AM26" i="47"/>
  <c r="AI26" i="47"/>
  <c r="BW26" i="47" s="1"/>
  <c r="DE23" i="47"/>
  <c r="BI68" i="47"/>
  <c r="BG68" i="47"/>
  <c r="BE68" i="47"/>
  <c r="AZ68" i="47"/>
  <c r="CE68" i="47" s="1"/>
  <c r="BJ66" i="47"/>
  <c r="BH66" i="47"/>
  <c r="BF66" i="47"/>
  <c r="BD66" i="47"/>
  <c r="AW66" i="47"/>
  <c r="AY66" i="47"/>
  <c r="BC66" i="47"/>
  <c r="AQ66" i="47"/>
  <c r="AO66" i="47"/>
  <c r="AM66" i="47"/>
  <c r="AI66" i="47"/>
  <c r="BW66" i="47" s="1"/>
  <c r="BI64" i="47"/>
  <c r="BG64" i="47"/>
  <c r="BE64" i="47"/>
  <c r="AZ64" i="47"/>
  <c r="CE64" i="47" s="1"/>
  <c r="BJ110" i="47"/>
  <c r="BH110" i="47"/>
  <c r="BF110" i="47"/>
  <c r="BD110" i="47"/>
  <c r="AW110" i="47"/>
  <c r="AY110" i="47"/>
  <c r="BC110" i="47"/>
  <c r="AQ110" i="47"/>
  <c r="AO110" i="47"/>
  <c r="AM110" i="47"/>
  <c r="AI110" i="47"/>
  <c r="BW110" i="47" s="1"/>
  <c r="BI108" i="47"/>
  <c r="BG108" i="47"/>
  <c r="BE108" i="47"/>
  <c r="AZ108" i="47"/>
  <c r="CE108" i="47" s="1"/>
  <c r="BJ106" i="47"/>
  <c r="BH106" i="47"/>
  <c r="BF106" i="47"/>
  <c r="BD106" i="47"/>
  <c r="AW106" i="47"/>
  <c r="AY106" i="47"/>
  <c r="BC106" i="47"/>
  <c r="AQ106" i="47"/>
  <c r="AO106" i="47"/>
  <c r="AM106" i="47"/>
  <c r="AI106" i="47"/>
  <c r="BW106" i="47" s="1"/>
  <c r="BI104" i="47"/>
  <c r="BG104" i="47"/>
  <c r="BE104" i="47"/>
  <c r="AZ104" i="47"/>
  <c r="CE104" i="47" s="1"/>
  <c r="BJ86" i="47"/>
  <c r="BH86" i="47"/>
  <c r="BF86" i="47"/>
  <c r="BD86" i="47"/>
  <c r="AW86" i="47"/>
  <c r="AY86" i="47"/>
  <c r="BC86" i="47"/>
  <c r="AQ86" i="47"/>
  <c r="AO86" i="47"/>
  <c r="AM86" i="47"/>
  <c r="AI86" i="47"/>
  <c r="BW86" i="47" s="1"/>
  <c r="DE83" i="47"/>
  <c r="AO82" i="47"/>
  <c r="AM82" i="47"/>
  <c r="AI82" i="47"/>
  <c r="BW82" i="47" s="1"/>
  <c r="BP79" i="47"/>
  <c r="DE79" i="47"/>
  <c r="AO78" i="47"/>
  <c r="AM78" i="47"/>
  <c r="AI78" i="47"/>
  <c r="BW78" i="47" s="1"/>
  <c r="AQ75" i="47"/>
  <c r="AM75" i="47"/>
  <c r="AI75" i="47"/>
  <c r="BW75" i="47" s="1"/>
  <c r="DE74" i="47"/>
  <c r="AQ73" i="47"/>
  <c r="AM73" i="47"/>
  <c r="AI73" i="47"/>
  <c r="BW73" i="47" s="1"/>
  <c r="AG73" i="47"/>
  <c r="AQ71" i="47"/>
  <c r="AM71" i="47"/>
  <c r="AI71" i="47"/>
  <c r="BW71" i="47" s="1"/>
  <c r="DE158" i="47"/>
  <c r="AQ157" i="47"/>
  <c r="AM157" i="47"/>
  <c r="AI157" i="47"/>
  <c r="BW157" i="47" s="1"/>
  <c r="AG157" i="47"/>
  <c r="AQ155" i="47"/>
  <c r="AM155" i="47"/>
  <c r="AI155" i="47"/>
  <c r="BW155" i="47" s="1"/>
  <c r="DE154" i="47"/>
  <c r="AQ153" i="47"/>
  <c r="AM153" i="47"/>
  <c r="AI153" i="47"/>
  <c r="BW153" i="47" s="1"/>
  <c r="AG153" i="47"/>
  <c r="AQ151" i="47"/>
  <c r="AM151" i="47"/>
  <c r="AI151" i="47"/>
  <c r="BW151" i="47" s="1"/>
  <c r="DE150" i="47"/>
  <c r="AQ149" i="47"/>
  <c r="AM149" i="47"/>
  <c r="AI149" i="47"/>
  <c r="BW149" i="47" s="1"/>
  <c r="AG149" i="47"/>
  <c r="DE128" i="47"/>
  <c r="AQ128" i="47"/>
  <c r="AO128" i="47"/>
  <c r="AM128" i="47"/>
  <c r="AK128" i="47"/>
  <c r="AI128" i="47"/>
  <c r="BW128" i="47" s="1"/>
  <c r="AG128" i="47"/>
  <c r="DE126" i="47"/>
  <c r="AQ126" i="47"/>
  <c r="AO126" i="47"/>
  <c r="AM126" i="47"/>
  <c r="AK126" i="47"/>
  <c r="AI126" i="47"/>
  <c r="BW126" i="47" s="1"/>
  <c r="AG126" i="47"/>
  <c r="DE124" i="47"/>
  <c r="AQ124" i="47"/>
  <c r="AO124" i="47"/>
  <c r="AM124" i="47"/>
  <c r="AK124" i="47"/>
  <c r="AI124" i="47"/>
  <c r="BW124" i="47" s="1"/>
  <c r="AG124" i="47"/>
  <c r="DE122" i="47"/>
  <c r="AQ122" i="47"/>
  <c r="AO122" i="47"/>
  <c r="AM122" i="47"/>
  <c r="AK122" i="47"/>
  <c r="AI122" i="47"/>
  <c r="BW122" i="47" s="1"/>
  <c r="AG122" i="47"/>
  <c r="DE7" i="47"/>
  <c r="AQ7" i="47"/>
  <c r="AO7" i="47"/>
  <c r="AM7" i="47"/>
  <c r="AK7" i="47"/>
  <c r="AI7" i="47"/>
  <c r="BW7" i="47" s="1"/>
  <c r="AG7" i="47"/>
  <c r="DE5" i="47"/>
  <c r="AQ5" i="47"/>
  <c r="AO5" i="47"/>
  <c r="AM5" i="47"/>
  <c r="AK5" i="47"/>
  <c r="AI5" i="47"/>
  <c r="BW5" i="47" s="1"/>
  <c r="AG5" i="47"/>
  <c r="DE3" i="47"/>
  <c r="AQ3" i="47"/>
  <c r="AO3" i="47"/>
  <c r="AM3" i="47"/>
  <c r="AK3" i="47"/>
  <c r="AI3" i="47"/>
  <c r="BW3" i="47" s="1"/>
  <c r="AG3" i="47"/>
  <c r="AR129" i="47"/>
  <c r="AR128" i="47"/>
  <c r="AN128" i="47"/>
  <c r="AR126" i="47"/>
  <c r="AN126" i="47"/>
  <c r="AR125" i="47"/>
  <c r="AR6" i="47"/>
  <c r="AR5" i="47"/>
  <c r="AN5" i="47"/>
  <c r="AS5" i="47" s="1"/>
  <c r="BB5" i="47" s="1"/>
  <c r="AR2" i="47"/>
  <c r="AR127" i="47"/>
  <c r="AR124" i="47"/>
  <c r="AN124" i="47"/>
  <c r="AR123" i="47"/>
  <c r="AR122" i="47"/>
  <c r="AN122" i="47"/>
  <c r="AR8" i="47"/>
  <c r="AR7" i="47"/>
  <c r="AN7" i="47"/>
  <c r="AR4" i="47"/>
  <c r="AR3" i="47"/>
  <c r="AN3" i="47"/>
  <c r="DE147" i="47"/>
  <c r="AR147" i="47"/>
  <c r="AN147" i="47"/>
  <c r="AJ147" i="47"/>
  <c r="AF147" i="47"/>
  <c r="AP147" i="47"/>
  <c r="AH147" i="47"/>
  <c r="AL147" i="47"/>
  <c r="BP147" i="47" s="1"/>
  <c r="AU146" i="47"/>
  <c r="DE145" i="47"/>
  <c r="AR145" i="47"/>
  <c r="AN145" i="47"/>
  <c r="AJ145" i="47"/>
  <c r="AF145" i="47"/>
  <c r="AP145" i="47"/>
  <c r="AH145" i="47"/>
  <c r="AL145" i="47"/>
  <c r="BP145" i="47" s="1"/>
  <c r="DE143" i="47"/>
  <c r="AR143" i="47"/>
  <c r="AN143" i="47"/>
  <c r="AJ143" i="47"/>
  <c r="AF143" i="47"/>
  <c r="AL143" i="47"/>
  <c r="AH143" i="47"/>
  <c r="AP143" i="47"/>
  <c r="AU142" i="47"/>
  <c r="DE141" i="47"/>
  <c r="AR141" i="47"/>
  <c r="AN141" i="47"/>
  <c r="AJ141" i="47"/>
  <c r="AF141" i="47"/>
  <c r="AP141" i="47"/>
  <c r="AH141" i="47"/>
  <c r="AL141" i="47"/>
  <c r="DE139" i="47"/>
  <c r="AR139" i="47"/>
  <c r="AN139" i="47"/>
  <c r="AJ139" i="47"/>
  <c r="AF139" i="47"/>
  <c r="AP139" i="47"/>
  <c r="AH139" i="47"/>
  <c r="AL139" i="47"/>
  <c r="DE137" i="47"/>
  <c r="AR137" i="47"/>
  <c r="AN137" i="47"/>
  <c r="AJ137" i="47"/>
  <c r="AF137" i="47"/>
  <c r="AP137" i="47"/>
  <c r="AH137" i="47"/>
  <c r="AL137" i="47"/>
  <c r="DE210" i="47"/>
  <c r="AR210" i="47"/>
  <c r="AN210" i="47"/>
  <c r="AJ210" i="47"/>
  <c r="AF210" i="47"/>
  <c r="AL210" i="47"/>
  <c r="AH210" i="47"/>
  <c r="AP210" i="47"/>
  <c r="AU209" i="47"/>
  <c r="DE208" i="47"/>
  <c r="AR208" i="47"/>
  <c r="AN208" i="47"/>
  <c r="AJ208" i="47"/>
  <c r="AF208" i="47"/>
  <c r="AL208" i="47"/>
  <c r="AH208" i="47"/>
  <c r="AP208" i="47"/>
  <c r="DE206" i="47"/>
  <c r="AR206" i="47"/>
  <c r="AN206" i="47"/>
  <c r="AJ206" i="47"/>
  <c r="AF206" i="47"/>
  <c r="AP206" i="47"/>
  <c r="AH206" i="47"/>
  <c r="AL206" i="47"/>
  <c r="BP206" i="47" s="1"/>
  <c r="AU205" i="47"/>
  <c r="DE204" i="47"/>
  <c r="AR204" i="47"/>
  <c r="AN204" i="47"/>
  <c r="AJ204" i="47"/>
  <c r="AF204" i="47"/>
  <c r="AL204" i="47"/>
  <c r="AP204" i="47"/>
  <c r="AH204" i="47"/>
  <c r="AO197" i="47"/>
  <c r="AK197" i="47"/>
  <c r="AG197" i="47"/>
  <c r="DE197" i="47"/>
  <c r="AQ197" i="47"/>
  <c r="AI197" i="47"/>
  <c r="BW197" i="47" s="1"/>
  <c r="AM197" i="47"/>
  <c r="AU172" i="47"/>
  <c r="BJ162" i="47"/>
  <c r="BH162" i="47"/>
  <c r="BF162" i="47"/>
  <c r="BD162" i="47"/>
  <c r="AW162" i="47"/>
  <c r="AY162" i="47"/>
  <c r="BC162" i="47"/>
  <c r="AS30" i="47"/>
  <c r="BB30" i="47" s="1"/>
  <c r="AT30" i="47"/>
  <c r="AT94" i="47"/>
  <c r="BI94" i="47"/>
  <c r="BG94" i="47"/>
  <c r="BE94" i="47"/>
  <c r="BC94" i="47"/>
  <c r="AX94" i="47"/>
  <c r="AZ94" i="47"/>
  <c r="CE94" i="47" s="1"/>
  <c r="BD94" i="47"/>
  <c r="BJ102" i="47"/>
  <c r="BH102" i="47"/>
  <c r="BF102" i="47"/>
  <c r="BD102" i="47"/>
  <c r="AW102" i="47"/>
  <c r="AY102" i="47"/>
  <c r="BC102" i="47"/>
  <c r="BI54" i="47"/>
  <c r="BG54" i="47"/>
  <c r="BE54" i="47"/>
  <c r="BC54" i="47"/>
  <c r="AX54" i="47"/>
  <c r="AZ54" i="47"/>
  <c r="CE54" i="47" s="1"/>
  <c r="BD54" i="47"/>
  <c r="AO52" i="47"/>
  <c r="AK52" i="47"/>
  <c r="AG52" i="47"/>
  <c r="DE52" i="47"/>
  <c r="AQ52" i="47"/>
  <c r="AI52" i="47"/>
  <c r="BW52" i="47" s="1"/>
  <c r="AM52" i="47"/>
  <c r="BJ143" i="47"/>
  <c r="BH143" i="47"/>
  <c r="BF143" i="47"/>
  <c r="BD143" i="47"/>
  <c r="AW143" i="47"/>
  <c r="BC143" i="47"/>
  <c r="AY143" i="47"/>
  <c r="BG143" i="47"/>
  <c r="AQ143" i="47"/>
  <c r="BE143" i="47"/>
  <c r="AK143" i="47"/>
  <c r="AZ143" i="47"/>
  <c r="CE143" i="47" s="1"/>
  <c r="AX143" i="47"/>
  <c r="AO210" i="47"/>
  <c r="AM210" i="47"/>
  <c r="AI210" i="47"/>
  <c r="BW210" i="47" s="1"/>
  <c r="AG210" i="47"/>
  <c r="BJ208" i="47"/>
  <c r="BH208" i="47"/>
  <c r="BF208" i="47"/>
  <c r="BD208" i="47"/>
  <c r="AW208" i="47"/>
  <c r="BC208" i="47"/>
  <c r="AY208" i="47"/>
  <c r="BG208" i="47"/>
  <c r="AQ208" i="47"/>
  <c r="BE208" i="47"/>
  <c r="AK208" i="47"/>
  <c r="AZ208" i="47"/>
  <c r="CE208" i="47" s="1"/>
  <c r="AX208" i="47"/>
  <c r="AO204" i="47"/>
  <c r="AM204" i="47"/>
  <c r="AI204" i="47"/>
  <c r="BW204" i="47" s="1"/>
  <c r="AG204" i="47"/>
  <c r="DE136" i="47"/>
  <c r="AR136" i="47"/>
  <c r="AN136" i="47"/>
  <c r="AJ136" i="47"/>
  <c r="AF136" i="47"/>
  <c r="AL136" i="47"/>
  <c r="AH136" i="47"/>
  <c r="AP136" i="47"/>
  <c r="DE134" i="47"/>
  <c r="AR134" i="47"/>
  <c r="AN134" i="47"/>
  <c r="AJ134" i="47"/>
  <c r="AF134" i="47"/>
  <c r="AP134" i="47"/>
  <c r="AH134" i="47"/>
  <c r="AL134" i="47"/>
  <c r="BP134" i="47" s="1"/>
  <c r="DE132" i="47"/>
  <c r="AR132" i="47"/>
  <c r="AN132" i="47"/>
  <c r="AJ132" i="47"/>
  <c r="AF132" i="47"/>
  <c r="AP132" i="47"/>
  <c r="AH132" i="47"/>
  <c r="AL132" i="47"/>
  <c r="BP132" i="47" s="1"/>
  <c r="DE26" i="47"/>
  <c r="AR26" i="47"/>
  <c r="AN26" i="47"/>
  <c r="AJ26" i="47"/>
  <c r="AF26" i="47"/>
  <c r="AP26" i="47"/>
  <c r="AH26" i="47"/>
  <c r="AL26" i="47"/>
  <c r="AU25" i="47"/>
  <c r="DE24" i="47"/>
  <c r="AR24" i="47"/>
  <c r="AN24" i="47"/>
  <c r="AJ24" i="47"/>
  <c r="AF24" i="47"/>
  <c r="AL24" i="47"/>
  <c r="AP24" i="47"/>
  <c r="AH24" i="47"/>
  <c r="DE22" i="47"/>
  <c r="AR22" i="47"/>
  <c r="AN22" i="47"/>
  <c r="AJ22" i="47"/>
  <c r="AF22" i="47"/>
  <c r="AP22" i="47"/>
  <c r="AH22" i="47"/>
  <c r="AL22" i="47"/>
  <c r="DE70" i="47"/>
  <c r="AR70" i="47"/>
  <c r="AN70" i="47"/>
  <c r="AJ70" i="47"/>
  <c r="AF70" i="47"/>
  <c r="AL70" i="47"/>
  <c r="AH70" i="47"/>
  <c r="AP70" i="47"/>
  <c r="DE68" i="47"/>
  <c r="AR68" i="47"/>
  <c r="AN68" i="47"/>
  <c r="AJ68" i="47"/>
  <c r="AF68" i="47"/>
  <c r="AP68" i="47"/>
  <c r="AH68" i="47"/>
  <c r="AL68" i="47"/>
  <c r="BP68" i="47" s="1"/>
  <c r="DE66" i="47"/>
  <c r="AR66" i="47"/>
  <c r="AN66" i="47"/>
  <c r="AJ66" i="47"/>
  <c r="AF66" i="47"/>
  <c r="AP66" i="47"/>
  <c r="AH66" i="47"/>
  <c r="AL66" i="47"/>
  <c r="BP66" i="47" s="1"/>
  <c r="AU65" i="47"/>
  <c r="DE64" i="47"/>
  <c r="AR64" i="47"/>
  <c r="AN64" i="47"/>
  <c r="AJ64" i="47"/>
  <c r="AF64" i="47"/>
  <c r="AP64" i="47"/>
  <c r="AH64" i="47"/>
  <c r="AL64" i="47"/>
  <c r="BP64" i="47" s="1"/>
  <c r="DE18" i="47"/>
  <c r="AR18" i="47"/>
  <c r="AN18" i="47"/>
  <c r="AJ18" i="47"/>
  <c r="AF18" i="47"/>
  <c r="AL18" i="47"/>
  <c r="AP18" i="47"/>
  <c r="AH18" i="47"/>
  <c r="AU17" i="47"/>
  <c r="DE16" i="47"/>
  <c r="AR16" i="47"/>
  <c r="AN16" i="47"/>
  <c r="AJ16" i="47"/>
  <c r="AF16" i="47"/>
  <c r="AL16" i="47"/>
  <c r="AH16" i="47"/>
  <c r="AP16" i="47"/>
  <c r="DE14" i="47"/>
  <c r="AR14" i="47"/>
  <c r="AN14" i="47"/>
  <c r="AJ14" i="47"/>
  <c r="AF14" i="47"/>
  <c r="AP14" i="47"/>
  <c r="AH14" i="47"/>
  <c r="AL14" i="47"/>
  <c r="BP14" i="47" s="1"/>
  <c r="DE12" i="47"/>
  <c r="AR12" i="47"/>
  <c r="AN12" i="47"/>
  <c r="AJ12" i="47"/>
  <c r="AF12" i="47"/>
  <c r="AP12" i="47"/>
  <c r="AH12" i="47"/>
  <c r="AL12" i="47"/>
  <c r="BP12" i="47" s="1"/>
  <c r="AU11" i="47"/>
  <c r="DE10" i="47"/>
  <c r="AR10" i="47"/>
  <c r="AN10" i="47"/>
  <c r="AJ10" i="47"/>
  <c r="AF10" i="47"/>
  <c r="AL10" i="47"/>
  <c r="AH10" i="47"/>
  <c r="AP10" i="47"/>
  <c r="DE116" i="47"/>
  <c r="AR116" i="47"/>
  <c r="AN116" i="47"/>
  <c r="AJ116" i="47"/>
  <c r="AF116" i="47"/>
  <c r="AP116" i="47"/>
  <c r="AH116" i="47"/>
  <c r="AL116" i="47"/>
  <c r="AU115" i="47"/>
  <c r="DE114" i="47"/>
  <c r="AR114" i="47"/>
  <c r="AN114" i="47"/>
  <c r="AJ114" i="47"/>
  <c r="AF114" i="47"/>
  <c r="AP114" i="47"/>
  <c r="AH114" i="47"/>
  <c r="AL114" i="47"/>
  <c r="DE112" i="47"/>
  <c r="AR112" i="47"/>
  <c r="AN112" i="47"/>
  <c r="AJ112" i="47"/>
  <c r="AF112" i="47"/>
  <c r="AL112" i="47"/>
  <c r="AH112" i="47"/>
  <c r="AP112" i="47"/>
  <c r="AU111" i="47"/>
  <c r="DE110" i="47"/>
  <c r="AR110" i="47"/>
  <c r="AN110" i="47"/>
  <c r="AJ110" i="47"/>
  <c r="AF110" i="47"/>
  <c r="AP110" i="47"/>
  <c r="AH110" i="47"/>
  <c r="AL110" i="47"/>
  <c r="DE108" i="47"/>
  <c r="AR108" i="47"/>
  <c r="AN108" i="47"/>
  <c r="AJ108" i="47"/>
  <c r="AF108" i="47"/>
  <c r="AP108" i="47"/>
  <c r="AH108" i="47"/>
  <c r="AL108" i="47"/>
  <c r="AU107" i="47"/>
  <c r="DE106" i="47"/>
  <c r="AR106" i="47"/>
  <c r="AN106" i="47"/>
  <c r="AJ106" i="47"/>
  <c r="AF106" i="47"/>
  <c r="AP106" i="47"/>
  <c r="AH106" i="47"/>
  <c r="AL106" i="47"/>
  <c r="DE104" i="47"/>
  <c r="AR104" i="47"/>
  <c r="AN104" i="47"/>
  <c r="AJ104" i="47"/>
  <c r="AF104" i="47"/>
  <c r="AP104" i="47"/>
  <c r="AH104" i="47"/>
  <c r="AL104" i="47"/>
  <c r="BP104" i="47" s="1"/>
  <c r="DE90" i="47"/>
  <c r="AR90" i="47"/>
  <c r="AN90" i="47"/>
  <c r="AJ90" i="47"/>
  <c r="AF90" i="47"/>
  <c r="AL90" i="47"/>
  <c r="AP90" i="47"/>
  <c r="AH90" i="47"/>
  <c r="DE88" i="47"/>
  <c r="AR88" i="47"/>
  <c r="AN88" i="47"/>
  <c r="AJ88" i="47"/>
  <c r="AF88" i="47"/>
  <c r="AL88" i="47"/>
  <c r="AH88" i="47"/>
  <c r="AP88" i="47"/>
  <c r="DE86" i="47"/>
  <c r="AR86" i="47"/>
  <c r="AN86" i="47"/>
  <c r="AJ86" i="47"/>
  <c r="AF86" i="47"/>
  <c r="AP86" i="47"/>
  <c r="AH86" i="47"/>
  <c r="AL86" i="47"/>
  <c r="BP86" i="47" s="1"/>
  <c r="DE84" i="47"/>
  <c r="AR84" i="47"/>
  <c r="AN84" i="47"/>
  <c r="AJ84" i="47"/>
  <c r="AF84" i="47"/>
  <c r="AL84" i="47"/>
  <c r="AP84" i="47"/>
  <c r="AH84" i="47"/>
  <c r="BJ45" i="47"/>
  <c r="BH45" i="47"/>
  <c r="BF45" i="47"/>
  <c r="BD45" i="47"/>
  <c r="AW45" i="47"/>
  <c r="AY45" i="47"/>
  <c r="BJ96" i="47"/>
  <c r="BH96" i="47"/>
  <c r="BF96" i="47"/>
  <c r="BD96" i="47"/>
  <c r="AW96" i="47"/>
  <c r="AY96" i="47"/>
  <c r="BC96" i="47"/>
  <c r="AT61" i="47"/>
  <c r="BI61" i="47"/>
  <c r="BG61" i="47"/>
  <c r="BE61" i="47"/>
  <c r="BC61" i="47"/>
  <c r="AX61" i="47"/>
  <c r="AZ61" i="47"/>
  <c r="CE61" i="47" s="1"/>
  <c r="BD61" i="47"/>
  <c r="AO59" i="47"/>
  <c r="AK59" i="47"/>
  <c r="AG59" i="47"/>
  <c r="DE59" i="47"/>
  <c r="AQ59" i="47"/>
  <c r="AI59" i="47"/>
  <c r="BW59" i="47" s="1"/>
  <c r="AM59" i="47"/>
  <c r="BQ59" i="47"/>
  <c r="AT57" i="47"/>
  <c r="BI57" i="47"/>
  <c r="BG57" i="47"/>
  <c r="BE57" i="47"/>
  <c r="BC57" i="47"/>
  <c r="AX57" i="47"/>
  <c r="AZ57" i="47"/>
  <c r="CE57" i="47" s="1"/>
  <c r="BD57" i="47"/>
  <c r="AU51" i="47"/>
  <c r="AO47" i="47"/>
  <c r="AK47" i="47"/>
  <c r="AG47" i="47"/>
  <c r="DE47" i="47"/>
  <c r="AQ47" i="47"/>
  <c r="AI47" i="47"/>
  <c r="BW47" i="47" s="1"/>
  <c r="AM47" i="47"/>
  <c r="BI118" i="47"/>
  <c r="BG118" i="47"/>
  <c r="BE118" i="47"/>
  <c r="BC118" i="47"/>
  <c r="AX118" i="47"/>
  <c r="AZ118" i="47"/>
  <c r="CE118" i="47" s="1"/>
  <c r="BD118" i="47"/>
  <c r="AK147" i="47"/>
  <c r="BJ145" i="47"/>
  <c r="BH145" i="47"/>
  <c r="BF145" i="47"/>
  <c r="BD145" i="47"/>
  <c r="AW145" i="47"/>
  <c r="AY145" i="47"/>
  <c r="BC145" i="47"/>
  <c r="AQ145" i="47"/>
  <c r="AO145" i="47"/>
  <c r="AM145" i="47"/>
  <c r="AI145" i="47"/>
  <c r="BW145" i="47" s="1"/>
  <c r="AG145" i="47"/>
  <c r="BJ141" i="47"/>
  <c r="BH141" i="47"/>
  <c r="BF141" i="47"/>
  <c r="BD141" i="47"/>
  <c r="AW141" i="47"/>
  <c r="AY141" i="47"/>
  <c r="BC141" i="47"/>
  <c r="AQ141" i="47"/>
  <c r="AO141" i="47"/>
  <c r="AM141" i="47"/>
  <c r="AI141" i="47"/>
  <c r="BW141" i="47" s="1"/>
  <c r="AG141" i="47"/>
  <c r="AK139" i="47"/>
  <c r="BJ137" i="47"/>
  <c r="BH137" i="47"/>
  <c r="BF137" i="47"/>
  <c r="BD137" i="47"/>
  <c r="AW137" i="47"/>
  <c r="AY137" i="47"/>
  <c r="BC137" i="47"/>
  <c r="AQ137" i="47"/>
  <c r="AO137" i="47"/>
  <c r="AM137" i="47"/>
  <c r="AI137" i="47"/>
  <c r="BW137" i="47" s="1"/>
  <c r="AG137" i="47"/>
  <c r="FO142" i="47"/>
  <c r="AK206" i="47"/>
  <c r="AO136" i="47"/>
  <c r="AM136" i="47"/>
  <c r="AI136" i="47"/>
  <c r="BW136" i="47" s="1"/>
  <c r="AG136" i="47"/>
  <c r="BJ24" i="47"/>
  <c r="BH24" i="47"/>
  <c r="BF24" i="47"/>
  <c r="BD24" i="47"/>
  <c r="AW24" i="47"/>
  <c r="BC24" i="47"/>
  <c r="BG24" i="47"/>
  <c r="AY24" i="47"/>
  <c r="AQ24" i="47"/>
  <c r="BE24" i="47"/>
  <c r="AK24" i="47"/>
  <c r="AZ24" i="47"/>
  <c r="CE24" i="47" s="1"/>
  <c r="AX24" i="47"/>
  <c r="AO70" i="47"/>
  <c r="AM70" i="47"/>
  <c r="AI70" i="47"/>
  <c r="BW70" i="47" s="1"/>
  <c r="AG70" i="47"/>
  <c r="BJ18" i="47"/>
  <c r="BH18" i="47"/>
  <c r="BF18" i="47"/>
  <c r="BD18" i="47"/>
  <c r="AW18" i="47"/>
  <c r="BC18" i="47"/>
  <c r="BG18" i="47"/>
  <c r="AY18" i="47"/>
  <c r="AQ18" i="47"/>
  <c r="BE18" i="47"/>
  <c r="AK18" i="47"/>
  <c r="AZ18" i="47"/>
  <c r="CE18" i="47" s="1"/>
  <c r="AX18" i="47"/>
  <c r="AO16" i="47"/>
  <c r="AM16" i="47"/>
  <c r="AI16" i="47"/>
  <c r="BW16" i="47" s="1"/>
  <c r="AG16" i="47"/>
  <c r="BJ10" i="47"/>
  <c r="BH10" i="47"/>
  <c r="BF10" i="47"/>
  <c r="BD10" i="47"/>
  <c r="AW10" i="47"/>
  <c r="BC10" i="47"/>
  <c r="AY10" i="47"/>
  <c r="BG10" i="47"/>
  <c r="AQ10" i="47"/>
  <c r="BE10" i="47"/>
  <c r="AK10" i="47"/>
  <c r="AZ10" i="47"/>
  <c r="CE10" i="47" s="1"/>
  <c r="AX10" i="47"/>
  <c r="AO112" i="47"/>
  <c r="AM112" i="47"/>
  <c r="AI112" i="47"/>
  <c r="BW112" i="47" s="1"/>
  <c r="AG112" i="47"/>
  <c r="BJ90" i="47"/>
  <c r="BH90" i="47"/>
  <c r="BF90" i="47"/>
  <c r="BD90" i="47"/>
  <c r="AW90" i="47"/>
  <c r="BC90" i="47"/>
  <c r="BG90" i="47"/>
  <c r="AY90" i="47"/>
  <c r="AQ90" i="47"/>
  <c r="BE90" i="47"/>
  <c r="AK90" i="47"/>
  <c r="AZ90" i="47"/>
  <c r="CE90" i="47" s="1"/>
  <c r="AX90" i="47"/>
  <c r="AO88" i="47"/>
  <c r="AM88" i="47"/>
  <c r="AI88" i="47"/>
  <c r="BW88" i="47" s="1"/>
  <c r="AG88" i="47"/>
  <c r="BJ84" i="47"/>
  <c r="BH84" i="47"/>
  <c r="BF84" i="47"/>
  <c r="BD84" i="47"/>
  <c r="AW84" i="47"/>
  <c r="BC84" i="47"/>
  <c r="BG84" i="47"/>
  <c r="AY84" i="47"/>
  <c r="AQ84" i="47"/>
  <c r="BE84" i="47"/>
  <c r="AK84" i="47"/>
  <c r="AZ84" i="47"/>
  <c r="CE84" i="47" s="1"/>
  <c r="AX84" i="47"/>
  <c r="DE82" i="47"/>
  <c r="AR82" i="47"/>
  <c r="AN82" i="47"/>
  <c r="AJ82" i="47"/>
  <c r="AF82" i="47"/>
  <c r="AP82" i="47"/>
  <c r="AH82" i="47"/>
  <c r="AL82" i="47"/>
  <c r="BP82" i="47" s="1"/>
  <c r="DE80" i="47"/>
  <c r="AR80" i="47"/>
  <c r="AN80" i="47"/>
  <c r="AJ80" i="47"/>
  <c r="AF80" i="47"/>
  <c r="AL80" i="47"/>
  <c r="AP80" i="47"/>
  <c r="AH80" i="47"/>
  <c r="AU79" i="47"/>
  <c r="DE78" i="47"/>
  <c r="AR78" i="47"/>
  <c r="AN78" i="47"/>
  <c r="AJ78" i="47"/>
  <c r="AF78" i="47"/>
  <c r="AP78" i="47"/>
  <c r="AH78" i="47"/>
  <c r="AL78" i="47"/>
  <c r="AK22" i="47"/>
  <c r="AT17" i="47"/>
  <c r="BJ14" i="47"/>
  <c r="BH14" i="47"/>
  <c r="BF14" i="47"/>
  <c r="BD14" i="47"/>
  <c r="AW14" i="47"/>
  <c r="AY14" i="47"/>
  <c r="BC14" i="47"/>
  <c r="AQ14" i="47"/>
  <c r="AO14" i="47"/>
  <c r="AM14" i="47"/>
  <c r="AI14" i="47"/>
  <c r="BW14" i="47" s="1"/>
  <c r="AG14" i="47"/>
  <c r="AK12" i="47"/>
  <c r="AK116" i="47"/>
  <c r="BJ114" i="47"/>
  <c r="BH114" i="47"/>
  <c r="BF114" i="47"/>
  <c r="BD114" i="47"/>
  <c r="AW114" i="47"/>
  <c r="AY114" i="47"/>
  <c r="BC114" i="47"/>
  <c r="AQ114" i="47"/>
  <c r="AO114" i="47"/>
  <c r="AM114" i="47"/>
  <c r="AI114" i="47"/>
  <c r="BW114" i="47" s="1"/>
  <c r="AG114" i="47"/>
  <c r="AO80" i="47"/>
  <c r="AM80" i="47"/>
  <c r="AI80" i="47"/>
  <c r="BW80" i="47" s="1"/>
  <c r="AG80" i="47"/>
  <c r="BJ76" i="47"/>
  <c r="BH76" i="47"/>
  <c r="BF76" i="47"/>
  <c r="BD76" i="47"/>
  <c r="BG76" i="47"/>
  <c r="BC76" i="47"/>
  <c r="AY76" i="47"/>
  <c r="BI76" i="47"/>
  <c r="BE76" i="47"/>
  <c r="AW76" i="47"/>
  <c r="AZ76" i="47"/>
  <c r="CE76" i="47" s="1"/>
  <c r="AX76" i="47"/>
  <c r="DE75" i="47"/>
  <c r="AR75" i="47"/>
  <c r="AN75" i="47"/>
  <c r="AJ75" i="47"/>
  <c r="AF75" i="47"/>
  <c r="AP75" i="47"/>
  <c r="AL75" i="47"/>
  <c r="AH75" i="47"/>
  <c r="BJ72" i="47"/>
  <c r="BH72" i="47"/>
  <c r="BF72" i="47"/>
  <c r="BD72" i="47"/>
  <c r="BG72" i="47"/>
  <c r="BC72" i="47"/>
  <c r="AY72" i="47"/>
  <c r="BI72" i="47"/>
  <c r="BE72" i="47"/>
  <c r="AW72" i="47"/>
  <c r="AZ72" i="47"/>
  <c r="CE72" i="47" s="1"/>
  <c r="AX72" i="47"/>
  <c r="DE71" i="47"/>
  <c r="AR71" i="47"/>
  <c r="AN71" i="47"/>
  <c r="AJ71" i="47"/>
  <c r="AF71" i="47"/>
  <c r="AP71" i="47"/>
  <c r="AL71" i="47"/>
  <c r="AH71" i="47"/>
  <c r="BJ156" i="47"/>
  <c r="BH156" i="47"/>
  <c r="BF156" i="47"/>
  <c r="BD156" i="47"/>
  <c r="BG156" i="47"/>
  <c r="BC156" i="47"/>
  <c r="AY156" i="47"/>
  <c r="BI156" i="47"/>
  <c r="BE156" i="47"/>
  <c r="AW156" i="47"/>
  <c r="AZ156" i="47"/>
  <c r="CE156" i="47" s="1"/>
  <c r="AX156" i="47"/>
  <c r="DE155" i="47"/>
  <c r="AR155" i="47"/>
  <c r="AN155" i="47"/>
  <c r="AJ155" i="47"/>
  <c r="AF155" i="47"/>
  <c r="AP155" i="47"/>
  <c r="AL155" i="47"/>
  <c r="AH155" i="47"/>
  <c r="BJ152" i="47"/>
  <c r="BH152" i="47"/>
  <c r="BF152" i="47"/>
  <c r="BD152" i="47"/>
  <c r="BG152" i="47"/>
  <c r="BC152" i="47"/>
  <c r="AY152" i="47"/>
  <c r="BI152" i="47"/>
  <c r="BE152" i="47"/>
  <c r="AW152" i="47"/>
  <c r="AZ152" i="47"/>
  <c r="CE152" i="47" s="1"/>
  <c r="AX152" i="47"/>
  <c r="DE151" i="47"/>
  <c r="AR151" i="47"/>
  <c r="AN151" i="47"/>
  <c r="AJ151" i="47"/>
  <c r="AF151" i="47"/>
  <c r="AP151" i="47"/>
  <c r="AL151" i="47"/>
  <c r="AH151" i="47"/>
  <c r="BJ131" i="47"/>
  <c r="BH131" i="47"/>
  <c r="BF131" i="47"/>
  <c r="BD131" i="47"/>
  <c r="BG131" i="47"/>
  <c r="BC131" i="47"/>
  <c r="AY131" i="47"/>
  <c r="BI131" i="47"/>
  <c r="BE131" i="47"/>
  <c r="AW131" i="47"/>
  <c r="AZ131" i="47"/>
  <c r="CE131" i="47" s="1"/>
  <c r="AX131" i="47"/>
  <c r="DE130" i="47"/>
  <c r="AR130" i="47"/>
  <c r="AP130" i="47"/>
  <c r="AN130" i="47"/>
  <c r="AL130" i="47"/>
  <c r="AJ130" i="47"/>
  <c r="AH130" i="47"/>
  <c r="AF130" i="47"/>
  <c r="AQ130" i="47"/>
  <c r="AO130" i="47"/>
  <c r="AM130" i="47"/>
  <c r="AK130" i="47"/>
  <c r="AI130" i="47"/>
  <c r="BW130" i="47" s="1"/>
  <c r="AG130" i="47"/>
  <c r="AT2" i="47"/>
  <c r="AK134" i="47"/>
  <c r="BJ132" i="47"/>
  <c r="BH132" i="47"/>
  <c r="BF132" i="47"/>
  <c r="BD132" i="47"/>
  <c r="AW132" i="47"/>
  <c r="AY132" i="47"/>
  <c r="BC132" i="47"/>
  <c r="AQ132" i="47"/>
  <c r="AO132" i="47"/>
  <c r="AM132" i="47"/>
  <c r="AI132" i="47"/>
  <c r="BW132" i="47" s="1"/>
  <c r="AG132" i="47"/>
  <c r="AK26" i="47"/>
  <c r="BJ68" i="47"/>
  <c r="BH68" i="47"/>
  <c r="BF68" i="47"/>
  <c r="BD68" i="47"/>
  <c r="AW68" i="47"/>
  <c r="AY68" i="47"/>
  <c r="BC68" i="47"/>
  <c r="AQ68" i="47"/>
  <c r="AO68" i="47"/>
  <c r="AM68" i="47"/>
  <c r="AI68" i="47"/>
  <c r="BW68" i="47" s="1"/>
  <c r="AG68" i="47"/>
  <c r="AK66" i="47"/>
  <c r="BJ64" i="47"/>
  <c r="BH64" i="47"/>
  <c r="BF64" i="47"/>
  <c r="BD64" i="47"/>
  <c r="AW64" i="47"/>
  <c r="AY64" i="47"/>
  <c r="BC64" i="47"/>
  <c r="AQ64" i="47"/>
  <c r="AO64" i="47"/>
  <c r="AM64" i="47"/>
  <c r="AI64" i="47"/>
  <c r="BW64" i="47" s="1"/>
  <c r="AG64" i="47"/>
  <c r="AK110" i="47"/>
  <c r="BJ108" i="47"/>
  <c r="BH108" i="47"/>
  <c r="BF108" i="47"/>
  <c r="BD108" i="47"/>
  <c r="AW108" i="47"/>
  <c r="AY108" i="47"/>
  <c r="BC108" i="47"/>
  <c r="AQ108" i="47"/>
  <c r="AO108" i="47"/>
  <c r="AM108" i="47"/>
  <c r="AI108" i="47"/>
  <c r="BW108" i="47" s="1"/>
  <c r="AG108" i="47"/>
  <c r="AK106" i="47"/>
  <c r="BJ104" i="47"/>
  <c r="BH104" i="47"/>
  <c r="BF104" i="47"/>
  <c r="BD104" i="47"/>
  <c r="AW104" i="47"/>
  <c r="AY104" i="47"/>
  <c r="BC104" i="47"/>
  <c r="AQ104" i="47"/>
  <c r="AO104" i="47"/>
  <c r="AM104" i="47"/>
  <c r="AI104" i="47"/>
  <c r="BW104" i="47" s="1"/>
  <c r="AG104" i="47"/>
  <c r="AK86" i="47"/>
  <c r="BJ82" i="47"/>
  <c r="BH82" i="47"/>
  <c r="BF82" i="47"/>
  <c r="BD82" i="47"/>
  <c r="AW82" i="47"/>
  <c r="AY82" i="47"/>
  <c r="BC82" i="47"/>
  <c r="AQ82" i="47"/>
  <c r="BE82" i="47"/>
  <c r="AK82" i="47"/>
  <c r="AZ82" i="47"/>
  <c r="CE82" i="47" s="1"/>
  <c r="AX82" i="47"/>
  <c r="BJ78" i="47"/>
  <c r="BH78" i="47"/>
  <c r="BF78" i="47"/>
  <c r="BD78" i="47"/>
  <c r="AW78" i="47"/>
  <c r="AY78" i="47"/>
  <c r="BC78" i="47"/>
  <c r="AQ78" i="47"/>
  <c r="BE78" i="47"/>
  <c r="AK78" i="47"/>
  <c r="AZ78" i="47"/>
  <c r="CE78" i="47" s="1"/>
  <c r="AX78" i="47"/>
  <c r="BJ75" i="47"/>
  <c r="BH75" i="47"/>
  <c r="BF75" i="47"/>
  <c r="BD75" i="47"/>
  <c r="AW75" i="47"/>
  <c r="BG75" i="47"/>
  <c r="BC75" i="47"/>
  <c r="AY75" i="47"/>
  <c r="AO75" i="47"/>
  <c r="AK75" i="47"/>
  <c r="AZ75" i="47"/>
  <c r="CE75" i="47" s="1"/>
  <c r="AX75" i="47"/>
  <c r="BJ73" i="47"/>
  <c r="BH73" i="47"/>
  <c r="BF73" i="47"/>
  <c r="BD73" i="47"/>
  <c r="AW73" i="47"/>
  <c r="BG73" i="47"/>
  <c r="BC73" i="47"/>
  <c r="AY73" i="47"/>
  <c r="AZ73" i="47"/>
  <c r="CE73" i="47" s="1"/>
  <c r="AX73" i="47"/>
  <c r="BJ71" i="47"/>
  <c r="BH71" i="47"/>
  <c r="BF71" i="47"/>
  <c r="BD71" i="47"/>
  <c r="AW71" i="47"/>
  <c r="BG71" i="47"/>
  <c r="BC71" i="47"/>
  <c r="AY71" i="47"/>
  <c r="AO71" i="47"/>
  <c r="AK71" i="47"/>
  <c r="AZ71" i="47"/>
  <c r="CE71" i="47" s="1"/>
  <c r="AX71" i="47"/>
  <c r="BJ157" i="47"/>
  <c r="BH157" i="47"/>
  <c r="BF157" i="47"/>
  <c r="BD157" i="47"/>
  <c r="AW157" i="47"/>
  <c r="BG157" i="47"/>
  <c r="BC157" i="47"/>
  <c r="AY157" i="47"/>
  <c r="AZ157" i="47"/>
  <c r="CE157" i="47" s="1"/>
  <c r="AX157" i="47"/>
  <c r="BJ155" i="47"/>
  <c r="BH155" i="47"/>
  <c r="BF155" i="47"/>
  <c r="BD155" i="47"/>
  <c r="AW155" i="47"/>
  <c r="BG155" i="47"/>
  <c r="BC155" i="47"/>
  <c r="AY155" i="47"/>
  <c r="AO155" i="47"/>
  <c r="AK155" i="47"/>
  <c r="AZ155" i="47"/>
  <c r="CE155" i="47" s="1"/>
  <c r="AX155" i="47"/>
  <c r="BJ153" i="47"/>
  <c r="BH153" i="47"/>
  <c r="BF153" i="47"/>
  <c r="BD153" i="47"/>
  <c r="AW153" i="47"/>
  <c r="BG153" i="47"/>
  <c r="BC153" i="47"/>
  <c r="AY153" i="47"/>
  <c r="AZ153" i="47"/>
  <c r="CE153" i="47" s="1"/>
  <c r="AX153" i="47"/>
  <c r="BJ151" i="47"/>
  <c r="BH151" i="47"/>
  <c r="BF151" i="47"/>
  <c r="BD151" i="47"/>
  <c r="AW151" i="47"/>
  <c r="BG151" i="47"/>
  <c r="BC151" i="47"/>
  <c r="AY151" i="47"/>
  <c r="AO151" i="47"/>
  <c r="AK151" i="47"/>
  <c r="AZ151" i="47"/>
  <c r="CE151" i="47" s="1"/>
  <c r="AX151" i="47"/>
  <c r="BJ149" i="47"/>
  <c r="BH149" i="47"/>
  <c r="BF149" i="47"/>
  <c r="BD149" i="47"/>
  <c r="AW149" i="47"/>
  <c r="BG149" i="47"/>
  <c r="BC149" i="47"/>
  <c r="AY149" i="47"/>
  <c r="AZ149" i="47"/>
  <c r="CE149" i="47" s="1"/>
  <c r="AX149" i="47"/>
  <c r="DE129" i="47"/>
  <c r="AQ129" i="47"/>
  <c r="AO129" i="47"/>
  <c r="AM129" i="47"/>
  <c r="AK129" i="47"/>
  <c r="AI129" i="47"/>
  <c r="BW129" i="47" s="1"/>
  <c r="AG129" i="47"/>
  <c r="DE127" i="47"/>
  <c r="AQ127" i="47"/>
  <c r="AO127" i="47"/>
  <c r="AM127" i="47"/>
  <c r="AK127" i="47"/>
  <c r="AI127" i="47"/>
  <c r="BW127" i="47" s="1"/>
  <c r="AG127" i="47"/>
  <c r="DE125" i="47"/>
  <c r="AQ125" i="47"/>
  <c r="AO125" i="47"/>
  <c r="AM125" i="47"/>
  <c r="AK125" i="47"/>
  <c r="AI125" i="47"/>
  <c r="BW125" i="47" s="1"/>
  <c r="AG125" i="47"/>
  <c r="DE123" i="47"/>
  <c r="AQ123" i="47"/>
  <c r="AO123" i="47"/>
  <c r="AM123" i="47"/>
  <c r="AK123" i="47"/>
  <c r="AI123" i="47"/>
  <c r="BW123" i="47" s="1"/>
  <c r="AG123" i="47"/>
  <c r="DE8" i="47"/>
  <c r="AQ8" i="47"/>
  <c r="AO8" i="47"/>
  <c r="AM8" i="47"/>
  <c r="AK8" i="47"/>
  <c r="AI8" i="47"/>
  <c r="BW8" i="47" s="1"/>
  <c r="AG8" i="47"/>
  <c r="DE6" i="47"/>
  <c r="AQ6" i="47"/>
  <c r="AO6" i="47"/>
  <c r="AM6" i="47"/>
  <c r="AK6" i="47"/>
  <c r="AI6" i="47"/>
  <c r="BW6" i="47" s="1"/>
  <c r="AG6" i="47"/>
  <c r="DE4" i="47"/>
  <c r="AQ4" i="47"/>
  <c r="AO4" i="47"/>
  <c r="AM4" i="47"/>
  <c r="AK4" i="47"/>
  <c r="AI4" i="47"/>
  <c r="BW4" i="47" s="1"/>
  <c r="AG4" i="47"/>
  <c r="DE2" i="47"/>
  <c r="AQ2" i="47"/>
  <c r="AO2" i="47"/>
  <c r="AM2" i="47"/>
  <c r="AK2" i="47"/>
  <c r="AI2" i="47"/>
  <c r="BW2" i="47" s="1"/>
  <c r="AG2" i="47"/>
  <c r="AP129" i="47"/>
  <c r="AL129" i="47"/>
  <c r="BP129" i="47" s="1"/>
  <c r="BN126" i="47"/>
  <c r="AP125" i="47"/>
  <c r="AL125" i="47"/>
  <c r="BP125" i="47" s="1"/>
  <c r="AP6" i="47"/>
  <c r="AL6" i="47"/>
  <c r="BP5" i="47"/>
  <c r="AP2" i="47"/>
  <c r="AL2" i="47"/>
  <c r="BP2" i="47" s="1"/>
  <c r="AP127" i="47"/>
  <c r="AL127" i="47"/>
  <c r="BP127" i="47" s="1"/>
  <c r="BN127" i="47"/>
  <c r="BN124" i="47"/>
  <c r="AP123" i="47"/>
  <c r="AL123" i="47"/>
  <c r="BP122" i="47"/>
  <c r="BN122" i="47"/>
  <c r="AP8" i="47"/>
  <c r="AL8" i="47"/>
  <c r="AP4" i="47"/>
  <c r="AL4" i="47"/>
  <c r="BA274" i="52"/>
  <c r="BA269" i="52"/>
  <c r="BK243" i="52"/>
  <c r="BG243" i="52"/>
  <c r="AY273" i="52"/>
  <c r="BA273" i="52"/>
  <c r="AY12" i="52"/>
  <c r="BA12" i="52"/>
  <c r="BA117" i="52"/>
  <c r="AY117" i="52"/>
  <c r="AY270" i="52"/>
  <c r="BA270" i="52"/>
  <c r="AT27" i="49"/>
  <c r="BA27" i="49" s="1"/>
  <c r="AT55" i="49"/>
  <c r="BA55" i="49" s="1"/>
  <c r="AZ55" i="49" s="1"/>
  <c r="V55" i="49" s="1"/>
  <c r="AO37" i="49"/>
  <c r="AG37" i="49"/>
  <c r="AS37" i="49"/>
  <c r="AK37" i="49"/>
  <c r="BM37" i="49" s="1"/>
  <c r="AO53" i="49"/>
  <c r="AG53" i="49"/>
  <c r="AS53" i="49"/>
  <c r="AK53" i="49"/>
  <c r="BM53" i="49" s="1"/>
  <c r="AO45" i="49"/>
  <c r="AG45" i="49"/>
  <c r="AS45" i="49"/>
  <c r="AK45" i="49"/>
  <c r="BM45" i="49" s="1"/>
  <c r="AO7" i="49"/>
  <c r="AG7" i="49"/>
  <c r="AS7" i="49"/>
  <c r="AK7" i="49"/>
  <c r="BM7" i="49" s="1"/>
  <c r="BI43" i="49"/>
  <c r="AQ43" i="49"/>
  <c r="AO43" i="49"/>
  <c r="AK43" i="49"/>
  <c r="BM43" i="49" s="1"/>
  <c r="AX43" i="49"/>
  <c r="AX39" i="49"/>
  <c r="BM40" i="49"/>
  <c r="CE37" i="49"/>
  <c r="AP37" i="49"/>
  <c r="AL37" i="49"/>
  <c r="AH37" i="49"/>
  <c r="AT39" i="49"/>
  <c r="BA39" i="49" s="1"/>
  <c r="AZ39" i="49" s="1"/>
  <c r="V39" i="49" s="1"/>
  <c r="AI37" i="49"/>
  <c r="AQ37" i="49"/>
  <c r="CE54" i="49"/>
  <c r="AR53" i="49"/>
  <c r="AN53" i="49"/>
  <c r="AJ53" i="49"/>
  <c r="AQ53" i="49"/>
  <c r="AI53" i="49"/>
  <c r="BI50" i="49"/>
  <c r="AX49" i="49"/>
  <c r="AR45" i="49"/>
  <c r="AN45" i="49"/>
  <c r="AJ45" i="49"/>
  <c r="AQ45" i="49"/>
  <c r="AI45" i="49"/>
  <c r="AR7" i="49"/>
  <c r="AN7" i="49"/>
  <c r="AJ7" i="49"/>
  <c r="AQ7" i="49"/>
  <c r="AI7" i="49"/>
  <c r="BI4" i="49"/>
  <c r="AX3" i="49"/>
  <c r="BD54" i="49"/>
  <c r="BH54" i="49"/>
  <c r="AY54" i="49"/>
  <c r="BF54" i="49"/>
  <c r="BE54" i="49"/>
  <c r="AO47" i="49"/>
  <c r="AG47" i="49"/>
  <c r="AS47" i="49"/>
  <c r="AK47" i="49"/>
  <c r="BM47" i="49" s="1"/>
  <c r="AO9" i="49"/>
  <c r="AG9" i="49"/>
  <c r="AS9" i="49"/>
  <c r="AK9" i="49"/>
  <c r="AH3" i="49"/>
  <c r="BH44" i="49"/>
  <c r="BF44" i="49"/>
  <c r="BD44" i="49"/>
  <c r="BB44" i="49"/>
  <c r="BG44" i="49"/>
  <c r="BC44" i="49"/>
  <c r="AY44" i="49"/>
  <c r="BE44" i="49"/>
  <c r="AW44" i="49"/>
  <c r="BI44" i="49"/>
  <c r="AX42" i="49"/>
  <c r="AV42" i="49"/>
  <c r="AP43" i="49"/>
  <c r="AL43" i="49"/>
  <c r="AH43" i="49"/>
  <c r="AR43" i="49"/>
  <c r="AJ43" i="49"/>
  <c r="CE43" i="49"/>
  <c r="AN43" i="49"/>
  <c r="AP41" i="49"/>
  <c r="AL41" i="49"/>
  <c r="AH41" i="49"/>
  <c r="CE41" i="49"/>
  <c r="AN41" i="49"/>
  <c r="AJ41" i="49"/>
  <c r="AR41" i="49"/>
  <c r="CE40" i="49"/>
  <c r="AP40" i="49"/>
  <c r="AL40" i="49"/>
  <c r="AH40" i="49"/>
  <c r="AR40" i="49"/>
  <c r="AJ40" i="49"/>
  <c r="AN40" i="49"/>
  <c r="CE38" i="49"/>
  <c r="AS38" i="49"/>
  <c r="AO38" i="49"/>
  <c r="AK38" i="49"/>
  <c r="AG38" i="49"/>
  <c r="AQ38" i="49"/>
  <c r="AI38" i="49"/>
  <c r="AM38" i="49"/>
  <c r="BM38" i="49" s="1"/>
  <c r="CE36" i="49"/>
  <c r="AS36" i="49"/>
  <c r="AO36" i="49"/>
  <c r="AK36" i="49"/>
  <c r="AG36" i="49"/>
  <c r="AM36" i="49"/>
  <c r="BM36" i="49" s="1"/>
  <c r="AQ36" i="49"/>
  <c r="AI36" i="49"/>
  <c r="CE34" i="49"/>
  <c r="AS34" i="49"/>
  <c r="AO34" i="49"/>
  <c r="AK34" i="49"/>
  <c r="AG34" i="49"/>
  <c r="AQ34" i="49"/>
  <c r="AI34" i="49"/>
  <c r="AM34" i="49"/>
  <c r="BM34" i="49" s="1"/>
  <c r="BI38" i="49"/>
  <c r="BG38" i="49"/>
  <c r="BE38" i="49"/>
  <c r="BC38" i="49"/>
  <c r="AV38" i="49"/>
  <c r="BF38" i="49"/>
  <c r="AX38" i="49"/>
  <c r="BB38" i="49"/>
  <c r="AR38" i="49"/>
  <c r="BD38" i="49"/>
  <c r="AL38" i="49"/>
  <c r="AY38" i="49"/>
  <c r="AW38" i="49"/>
  <c r="AP34" i="49"/>
  <c r="AN34" i="49"/>
  <c r="AJ34" i="49"/>
  <c r="AH34" i="49"/>
  <c r="BI31" i="49"/>
  <c r="BG31" i="49"/>
  <c r="BE31" i="49"/>
  <c r="BC31" i="49"/>
  <c r="BF31" i="49"/>
  <c r="BB31" i="49"/>
  <c r="AX31" i="49"/>
  <c r="BH31" i="49"/>
  <c r="BD31" i="49"/>
  <c r="AV31" i="49"/>
  <c r="AY31" i="49"/>
  <c r="AW31" i="49"/>
  <c r="BI29" i="49"/>
  <c r="BG29" i="49"/>
  <c r="BE29" i="49"/>
  <c r="BC29" i="49"/>
  <c r="BF29" i="49"/>
  <c r="BB29" i="49"/>
  <c r="AX29" i="49"/>
  <c r="BD29" i="49"/>
  <c r="AV29" i="49"/>
  <c r="BH29" i="49"/>
  <c r="AY29" i="49"/>
  <c r="AW29" i="49"/>
  <c r="BI27" i="49"/>
  <c r="BG27" i="49"/>
  <c r="BE27" i="49"/>
  <c r="BC27" i="49"/>
  <c r="BF27" i="49"/>
  <c r="BB27" i="49"/>
  <c r="AX27" i="49"/>
  <c r="BH27" i="49"/>
  <c r="AZ27" i="49"/>
  <c r="V27" i="49" s="1"/>
  <c r="BD27" i="49"/>
  <c r="AV27" i="49"/>
  <c r="AY27" i="49"/>
  <c r="AW27" i="49"/>
  <c r="BI25" i="49"/>
  <c r="BG25" i="49"/>
  <c r="BE25" i="49"/>
  <c r="BC25" i="49"/>
  <c r="BF25" i="49"/>
  <c r="BB25" i="49"/>
  <c r="AX25" i="49"/>
  <c r="BD25" i="49"/>
  <c r="AV25" i="49"/>
  <c r="BH25" i="49"/>
  <c r="AY25" i="49"/>
  <c r="AW25" i="49"/>
  <c r="BI23" i="49"/>
  <c r="BG23" i="49"/>
  <c r="BE23" i="49"/>
  <c r="BC23" i="49"/>
  <c r="BF23" i="49"/>
  <c r="BB23" i="49"/>
  <c r="AX23" i="49"/>
  <c r="BH23" i="49"/>
  <c r="BD23" i="49"/>
  <c r="AV23" i="49"/>
  <c r="AY23" i="49"/>
  <c r="AW23" i="49"/>
  <c r="BI32" i="49"/>
  <c r="BG32" i="49"/>
  <c r="BE32" i="49"/>
  <c r="BC32" i="49"/>
  <c r="AV32" i="49"/>
  <c r="BF32" i="49"/>
  <c r="AX32" i="49"/>
  <c r="BB32" i="49"/>
  <c r="AR32" i="49"/>
  <c r="BD32" i="49"/>
  <c r="AY32" i="49"/>
  <c r="AW32" i="49"/>
  <c r="CE31" i="49"/>
  <c r="BI28" i="49"/>
  <c r="BG28" i="49"/>
  <c r="BE28" i="49"/>
  <c r="BC28" i="49"/>
  <c r="AV28" i="49"/>
  <c r="BF28" i="49"/>
  <c r="AX28" i="49"/>
  <c r="BB28" i="49"/>
  <c r="AR28" i="49"/>
  <c r="BD28" i="49"/>
  <c r="AY28" i="49"/>
  <c r="AW28" i="49"/>
  <c r="CE27" i="49"/>
  <c r="BI24" i="49"/>
  <c r="BG24" i="49"/>
  <c r="BE24" i="49"/>
  <c r="BC24" i="49"/>
  <c r="AV24" i="49"/>
  <c r="BF24" i="49"/>
  <c r="AX24" i="49"/>
  <c r="BB24" i="49"/>
  <c r="AR24" i="49"/>
  <c r="BD24" i="49"/>
  <c r="AY24" i="49"/>
  <c r="AW24" i="49"/>
  <c r="CE23" i="49"/>
  <c r="CE60" i="49"/>
  <c r="AS60" i="49"/>
  <c r="AO60" i="49"/>
  <c r="AK60" i="49"/>
  <c r="AG60" i="49"/>
  <c r="AQ60" i="49"/>
  <c r="AM60" i="49"/>
  <c r="AI60" i="49"/>
  <c r="BI57" i="49"/>
  <c r="BG57" i="49"/>
  <c r="BE57" i="49"/>
  <c r="BC57" i="49"/>
  <c r="BF57" i="49"/>
  <c r="BB57" i="49"/>
  <c r="AX57" i="49"/>
  <c r="BD57" i="49"/>
  <c r="AV57" i="49"/>
  <c r="BH57" i="49"/>
  <c r="AY57" i="49"/>
  <c r="AW57" i="49"/>
  <c r="BI55" i="49"/>
  <c r="BG55" i="49"/>
  <c r="BE55" i="49"/>
  <c r="BC55" i="49"/>
  <c r="BF55" i="49"/>
  <c r="BB55" i="49"/>
  <c r="AX55" i="49"/>
  <c r="BH55" i="49"/>
  <c r="BD55" i="49"/>
  <c r="AV55" i="49"/>
  <c r="AY55" i="49"/>
  <c r="AW55" i="49"/>
  <c r="BI16" i="49"/>
  <c r="BG16" i="49"/>
  <c r="BE16" i="49"/>
  <c r="BC16" i="49"/>
  <c r="BF16" i="49"/>
  <c r="BB16" i="49"/>
  <c r="AX16" i="49"/>
  <c r="BD16" i="49"/>
  <c r="AV16" i="49"/>
  <c r="BH16" i="49"/>
  <c r="AY16" i="49"/>
  <c r="AW16" i="49"/>
  <c r="BI14" i="49"/>
  <c r="BG14" i="49"/>
  <c r="BE14" i="49"/>
  <c r="BC14" i="49"/>
  <c r="BF14" i="49"/>
  <c r="BB14" i="49"/>
  <c r="AX14" i="49"/>
  <c r="BH14" i="49"/>
  <c r="BD14" i="49"/>
  <c r="AV14" i="49"/>
  <c r="AY14" i="49"/>
  <c r="AW14" i="49"/>
  <c r="BI12" i="49"/>
  <c r="BG12" i="49"/>
  <c r="BE12" i="49"/>
  <c r="BC12" i="49"/>
  <c r="BF12" i="49"/>
  <c r="BB12" i="49"/>
  <c r="AX12" i="49"/>
  <c r="BD12" i="49"/>
  <c r="AV12" i="49"/>
  <c r="BH12" i="49"/>
  <c r="AY12" i="49"/>
  <c r="AW12" i="49"/>
  <c r="BI21" i="49"/>
  <c r="BG21" i="49"/>
  <c r="BE21" i="49"/>
  <c r="BC21" i="49"/>
  <c r="BF21" i="49"/>
  <c r="BB21" i="49"/>
  <c r="AX21" i="49"/>
  <c r="BH21" i="49"/>
  <c r="BD21" i="49"/>
  <c r="AV21" i="49"/>
  <c r="AY21" i="49"/>
  <c r="AW21" i="49"/>
  <c r="BI19" i="49"/>
  <c r="BG19" i="49"/>
  <c r="BE19" i="49"/>
  <c r="BC19" i="49"/>
  <c r="BF19" i="49"/>
  <c r="BB19" i="49"/>
  <c r="AX19" i="49"/>
  <c r="BD19" i="49"/>
  <c r="AV19" i="49"/>
  <c r="BH19" i="49"/>
  <c r="AY19" i="49"/>
  <c r="AW19" i="49"/>
  <c r="BI36" i="49"/>
  <c r="BG36" i="49"/>
  <c r="BE36" i="49"/>
  <c r="BC36" i="49"/>
  <c r="AV36" i="49"/>
  <c r="AX36" i="49"/>
  <c r="AR36" i="49"/>
  <c r="BD36" i="49"/>
  <c r="BB36" i="49"/>
  <c r="AJ36" i="49"/>
  <c r="AH36" i="49"/>
  <c r="BI30" i="49"/>
  <c r="BG30" i="49"/>
  <c r="BE30" i="49"/>
  <c r="BC30" i="49"/>
  <c r="AV30" i="49"/>
  <c r="BF30" i="49"/>
  <c r="AX30" i="49"/>
  <c r="AR30" i="49"/>
  <c r="BD30" i="49"/>
  <c r="AY30" i="49"/>
  <c r="AW30" i="49"/>
  <c r="CE29" i="49"/>
  <c r="AP26" i="49"/>
  <c r="AN26" i="49"/>
  <c r="AJ26" i="49"/>
  <c r="BI22" i="49"/>
  <c r="BG22" i="49"/>
  <c r="BE22" i="49"/>
  <c r="BC22" i="49"/>
  <c r="AV22" i="49"/>
  <c r="BF22" i="49"/>
  <c r="AX22" i="49"/>
  <c r="AR22" i="49"/>
  <c r="BD22" i="49"/>
  <c r="AY22" i="49"/>
  <c r="AW22" i="49"/>
  <c r="BI60" i="49"/>
  <c r="BG60" i="49"/>
  <c r="BE60" i="49"/>
  <c r="BC60" i="49"/>
  <c r="AV60" i="49"/>
  <c r="BF60" i="49"/>
  <c r="BB60" i="49"/>
  <c r="AX60" i="49"/>
  <c r="AP60" i="49"/>
  <c r="AL60" i="49"/>
  <c r="AY60" i="49"/>
  <c r="AW60" i="49"/>
  <c r="AP56" i="49"/>
  <c r="AN56" i="49"/>
  <c r="AJ56" i="49"/>
  <c r="AT16" i="49"/>
  <c r="BA16" i="49" s="1"/>
  <c r="AP15" i="49"/>
  <c r="AN15" i="49"/>
  <c r="AJ15" i="49"/>
  <c r="AP11" i="49"/>
  <c r="AN11" i="49"/>
  <c r="AJ11" i="49"/>
  <c r="AT19" i="49"/>
  <c r="BA19" i="49" s="1"/>
  <c r="AP18" i="49"/>
  <c r="AN18" i="49"/>
  <c r="AJ18" i="49"/>
  <c r="BI53" i="49"/>
  <c r="BG53" i="49"/>
  <c r="BE53" i="49"/>
  <c r="BC53" i="49"/>
  <c r="BF53" i="49"/>
  <c r="BB53" i="49"/>
  <c r="AX53" i="49"/>
  <c r="BH53" i="49"/>
  <c r="BD53" i="49"/>
  <c r="AV53" i="49"/>
  <c r="AY53" i="49"/>
  <c r="AW53" i="49"/>
  <c r="AT51" i="49"/>
  <c r="BA51" i="49" s="1"/>
  <c r="AZ51" i="49" s="1"/>
  <c r="V51" i="49" s="1"/>
  <c r="BH51" i="49"/>
  <c r="BF51" i="49"/>
  <c r="BD51" i="49"/>
  <c r="BB51" i="49"/>
  <c r="BG51" i="49"/>
  <c r="BC51" i="49"/>
  <c r="AY51" i="49"/>
  <c r="BI51" i="49"/>
  <c r="BE51" i="49"/>
  <c r="AW51" i="49"/>
  <c r="AP50" i="49"/>
  <c r="AL50" i="49"/>
  <c r="AH50" i="49"/>
  <c r="CE50" i="49"/>
  <c r="AR50" i="49"/>
  <c r="AN50" i="49"/>
  <c r="AJ50" i="49"/>
  <c r="BI47" i="49"/>
  <c r="BG47" i="49"/>
  <c r="BE47" i="49"/>
  <c r="BC47" i="49"/>
  <c r="BF47" i="49"/>
  <c r="BB47" i="49"/>
  <c r="AX47" i="49"/>
  <c r="BH47" i="49"/>
  <c r="BD47" i="49"/>
  <c r="AV47" i="49"/>
  <c r="AY47" i="49"/>
  <c r="AW47" i="49"/>
  <c r="BI45" i="49"/>
  <c r="BG45" i="49"/>
  <c r="BE45" i="49"/>
  <c r="BC45" i="49"/>
  <c r="BF45" i="49"/>
  <c r="BB45" i="49"/>
  <c r="AX45" i="49"/>
  <c r="BH45" i="49"/>
  <c r="BD45" i="49"/>
  <c r="AV45" i="49"/>
  <c r="AY45" i="49"/>
  <c r="AW45" i="49"/>
  <c r="BI9" i="49"/>
  <c r="BG9" i="49"/>
  <c r="BE9" i="49"/>
  <c r="BC9" i="49"/>
  <c r="BF9" i="49"/>
  <c r="BB9" i="49"/>
  <c r="AX9" i="49"/>
  <c r="BH9" i="49"/>
  <c r="BD9" i="49"/>
  <c r="AV9" i="49"/>
  <c r="AY9" i="49"/>
  <c r="AW9" i="49"/>
  <c r="BI7" i="49"/>
  <c r="BG7" i="49"/>
  <c r="BE7" i="49"/>
  <c r="BC7" i="49"/>
  <c r="BF7" i="49"/>
  <c r="BB7" i="49"/>
  <c r="AX7" i="49"/>
  <c r="BH7" i="49"/>
  <c r="BD7" i="49"/>
  <c r="AV7" i="49"/>
  <c r="AY7" i="49"/>
  <c r="AW7" i="49"/>
  <c r="AT5" i="49"/>
  <c r="BA5" i="49" s="1"/>
  <c r="AZ5" i="49" s="1"/>
  <c r="V5" i="49" s="1"/>
  <c r="BH5" i="49"/>
  <c r="BF5" i="49"/>
  <c r="BD5" i="49"/>
  <c r="BB5" i="49"/>
  <c r="BG5" i="49"/>
  <c r="BC5" i="49"/>
  <c r="AY5" i="49"/>
  <c r="BI5" i="49"/>
  <c r="BE5" i="49"/>
  <c r="AW5" i="49"/>
  <c r="AP4" i="49"/>
  <c r="AL4" i="49"/>
  <c r="AH4" i="49"/>
  <c r="CE4" i="49"/>
  <c r="AR4" i="49"/>
  <c r="AN4" i="49"/>
  <c r="AJ4" i="49"/>
  <c r="BI58" i="49"/>
  <c r="BG58" i="49"/>
  <c r="BE58" i="49"/>
  <c r="BC58" i="49"/>
  <c r="AV58" i="49"/>
  <c r="BF58" i="49"/>
  <c r="AX58" i="49"/>
  <c r="AR58" i="49"/>
  <c r="BD58" i="49"/>
  <c r="AY58" i="49"/>
  <c r="AW58" i="49"/>
  <c r="CE57" i="49"/>
  <c r="AP17" i="49"/>
  <c r="AN17" i="49"/>
  <c r="AJ17" i="49"/>
  <c r="BI13" i="49"/>
  <c r="BG13" i="49"/>
  <c r="BE13" i="49"/>
  <c r="BC13" i="49"/>
  <c r="AV13" i="49"/>
  <c r="BF13" i="49"/>
  <c r="AX13" i="49"/>
  <c r="AR13" i="49"/>
  <c r="BD13" i="49"/>
  <c r="AY13" i="49"/>
  <c r="AW13" i="49"/>
  <c r="CE12" i="49"/>
  <c r="AP20" i="49"/>
  <c r="AN20" i="49"/>
  <c r="AJ20" i="49"/>
  <c r="CE53" i="49"/>
  <c r="AS52" i="49"/>
  <c r="AO52" i="49"/>
  <c r="AK52" i="49"/>
  <c r="AI52" i="49"/>
  <c r="BH52" i="49"/>
  <c r="BF52" i="49"/>
  <c r="BD52" i="49"/>
  <c r="BB52" i="49"/>
  <c r="AW52" i="49"/>
  <c r="BG52" i="49"/>
  <c r="BC52" i="49"/>
  <c r="AY52" i="49"/>
  <c r="AQ50" i="49"/>
  <c r="AM50" i="49"/>
  <c r="BI48" i="49"/>
  <c r="BG48" i="49"/>
  <c r="BE48" i="49"/>
  <c r="BC48" i="49"/>
  <c r="AV48" i="49"/>
  <c r="BF48" i="49"/>
  <c r="BB48" i="49"/>
  <c r="AX48" i="49"/>
  <c r="AP48" i="49"/>
  <c r="AY48" i="49"/>
  <c r="AW48" i="49"/>
  <c r="AR46" i="49"/>
  <c r="AN46" i="49"/>
  <c r="AJ46" i="49"/>
  <c r="CE45" i="49"/>
  <c r="BI10" i="49"/>
  <c r="BG10" i="49"/>
  <c r="BE10" i="49"/>
  <c r="BC10" i="49"/>
  <c r="AV10" i="49"/>
  <c r="BF10" i="49"/>
  <c r="BB10" i="49"/>
  <c r="AX10" i="49"/>
  <c r="AP10" i="49"/>
  <c r="AY10" i="49"/>
  <c r="AW10" i="49"/>
  <c r="AR8" i="49"/>
  <c r="AN8" i="49"/>
  <c r="AJ8" i="49"/>
  <c r="CE7" i="49"/>
  <c r="BI6" i="49"/>
  <c r="BG6" i="49"/>
  <c r="BE6" i="49"/>
  <c r="BC6" i="49"/>
  <c r="AV6" i="49"/>
  <c r="BF6" i="49"/>
  <c r="BB6" i="49"/>
  <c r="AX6" i="49"/>
  <c r="AP6" i="49"/>
  <c r="AY6" i="49"/>
  <c r="AW6" i="49"/>
  <c r="AQ4" i="49"/>
  <c r="AM4" i="49"/>
  <c r="BI2" i="49"/>
  <c r="BG2" i="49"/>
  <c r="BE2" i="49"/>
  <c r="BC2" i="49"/>
  <c r="AV2" i="49"/>
  <c r="BF2" i="49"/>
  <c r="BB2" i="49"/>
  <c r="AX2" i="49"/>
  <c r="AP2" i="49"/>
  <c r="AY2" i="49"/>
  <c r="AW2" i="49"/>
  <c r="CE51" i="49"/>
  <c r="CE5" i="49"/>
  <c r="AT42" i="49"/>
  <c r="BA42" i="49" s="1"/>
  <c r="AZ42" i="49" s="1"/>
  <c r="V42" i="49" s="1"/>
  <c r="BH42" i="49"/>
  <c r="BF42" i="49"/>
  <c r="BD42" i="49"/>
  <c r="BB42" i="49"/>
  <c r="BG42" i="49"/>
  <c r="BC42" i="49"/>
  <c r="AY42" i="49"/>
  <c r="BI42" i="49"/>
  <c r="AW42" i="49"/>
  <c r="BE42" i="49"/>
  <c r="CE44" i="49"/>
  <c r="BH43" i="49"/>
  <c r="BF43" i="49"/>
  <c r="BD43" i="49"/>
  <c r="BB43" i="49"/>
  <c r="AW43" i="49"/>
  <c r="BG43" i="49"/>
  <c r="AY43" i="49"/>
  <c r="BC43" i="49"/>
  <c r="BH39" i="49"/>
  <c r="BF39" i="49"/>
  <c r="BD39" i="49"/>
  <c r="BB39" i="49"/>
  <c r="BG39" i="49"/>
  <c r="BC39" i="49"/>
  <c r="AY39" i="49"/>
  <c r="BI39" i="49"/>
  <c r="AW39" i="49"/>
  <c r="BE39" i="49"/>
  <c r="BH41" i="49"/>
  <c r="BF41" i="49"/>
  <c r="BD41" i="49"/>
  <c r="BB41" i="49"/>
  <c r="AW41" i="49"/>
  <c r="AY41" i="49"/>
  <c r="BG41" i="49"/>
  <c r="BH40" i="49"/>
  <c r="BF40" i="49"/>
  <c r="BD40" i="49"/>
  <c r="BB40" i="49"/>
  <c r="AW40" i="49"/>
  <c r="BG40" i="49"/>
  <c r="AY40" i="49"/>
  <c r="BC40" i="49"/>
  <c r="BI37" i="49"/>
  <c r="BG37" i="49"/>
  <c r="BE37" i="49"/>
  <c r="BC37" i="49"/>
  <c r="BF37" i="49"/>
  <c r="BB37" i="49"/>
  <c r="AX37" i="49"/>
  <c r="BH37" i="49"/>
  <c r="BD37" i="49"/>
  <c r="AV37" i="49"/>
  <c r="AY37" i="49"/>
  <c r="AW37" i="49"/>
  <c r="BI35" i="49"/>
  <c r="BG35" i="49"/>
  <c r="BE35" i="49"/>
  <c r="BC35" i="49"/>
  <c r="BF35" i="49"/>
  <c r="BB35" i="49"/>
  <c r="AX35" i="49"/>
  <c r="BD35" i="49"/>
  <c r="AV35" i="49"/>
  <c r="BH35" i="49"/>
  <c r="AY35" i="49"/>
  <c r="AW35" i="49"/>
  <c r="BI33" i="49"/>
  <c r="BG33" i="49"/>
  <c r="BE33" i="49"/>
  <c r="BC33" i="49"/>
  <c r="BF33" i="49"/>
  <c r="BB33" i="49"/>
  <c r="AX33" i="49"/>
  <c r="BH33" i="49"/>
  <c r="AV33" i="49"/>
  <c r="BD33" i="49"/>
  <c r="AW33" i="49"/>
  <c r="CE39" i="49"/>
  <c r="AP38" i="49"/>
  <c r="AN38" i="49"/>
  <c r="AJ38" i="49"/>
  <c r="AH38" i="49"/>
  <c r="BI34" i="49"/>
  <c r="BG34" i="49"/>
  <c r="BE34" i="49"/>
  <c r="BC34" i="49"/>
  <c r="AV34" i="49"/>
  <c r="BF34" i="49"/>
  <c r="AX34" i="49"/>
  <c r="BB34" i="49"/>
  <c r="AR34" i="49"/>
  <c r="BD34" i="49"/>
  <c r="AL34" i="49"/>
  <c r="AY34" i="49"/>
  <c r="AW34" i="49"/>
  <c r="CE33" i="49"/>
  <c r="CE32" i="49"/>
  <c r="AS32" i="49"/>
  <c r="AO32" i="49"/>
  <c r="AK32" i="49"/>
  <c r="AG32" i="49"/>
  <c r="AQ32" i="49"/>
  <c r="AI32" i="49"/>
  <c r="AM32" i="49"/>
  <c r="CE30" i="49"/>
  <c r="AS30" i="49"/>
  <c r="AO30" i="49"/>
  <c r="AK30" i="49"/>
  <c r="AG30" i="49"/>
  <c r="AM30" i="49"/>
  <c r="AQ30" i="49"/>
  <c r="AI30" i="49"/>
  <c r="CE28" i="49"/>
  <c r="AS28" i="49"/>
  <c r="AO28" i="49"/>
  <c r="AK28" i="49"/>
  <c r="AG28" i="49"/>
  <c r="AQ28" i="49"/>
  <c r="AI28" i="49"/>
  <c r="AM28" i="49"/>
  <c r="CE26" i="49"/>
  <c r="AS26" i="49"/>
  <c r="AO26" i="49"/>
  <c r="AK26" i="49"/>
  <c r="AG26" i="49"/>
  <c r="AM26" i="49"/>
  <c r="AQ26" i="49"/>
  <c r="AI26" i="49"/>
  <c r="CE24" i="49"/>
  <c r="AS24" i="49"/>
  <c r="AO24" i="49"/>
  <c r="AK24" i="49"/>
  <c r="AG24" i="49"/>
  <c r="AQ24" i="49"/>
  <c r="AI24" i="49"/>
  <c r="AM24" i="49"/>
  <c r="CE22" i="49"/>
  <c r="AS22" i="49"/>
  <c r="AO22" i="49"/>
  <c r="AK22" i="49"/>
  <c r="AG22" i="49"/>
  <c r="AM22" i="49"/>
  <c r="AQ22" i="49"/>
  <c r="AI22" i="49"/>
  <c r="BH32" i="49"/>
  <c r="AP32" i="49"/>
  <c r="AN32" i="49"/>
  <c r="AJ32" i="49"/>
  <c r="AH32" i="49"/>
  <c r="AT29" i="49"/>
  <c r="BA29" i="49" s="1"/>
  <c r="AZ29" i="49" s="1"/>
  <c r="V29" i="49" s="1"/>
  <c r="BH28" i="49"/>
  <c r="AP28" i="49"/>
  <c r="AN28" i="49"/>
  <c r="AJ28" i="49"/>
  <c r="AH28" i="49"/>
  <c r="BH24" i="49"/>
  <c r="AP24" i="49"/>
  <c r="AN24" i="49"/>
  <c r="AJ24" i="49"/>
  <c r="AH24" i="49"/>
  <c r="BI61" i="49"/>
  <c r="BG61" i="49"/>
  <c r="BE61" i="49"/>
  <c r="BC61" i="49"/>
  <c r="BF61" i="49"/>
  <c r="BB61" i="49"/>
  <c r="AX61" i="49"/>
  <c r="BH61" i="49"/>
  <c r="BD61" i="49"/>
  <c r="AV61" i="49"/>
  <c r="AY61" i="49"/>
  <c r="AW61" i="49"/>
  <c r="BI59" i="49"/>
  <c r="BG59" i="49"/>
  <c r="BE59" i="49"/>
  <c r="BC59" i="49"/>
  <c r="BF59" i="49"/>
  <c r="BB59" i="49"/>
  <c r="AX59" i="49"/>
  <c r="BH59" i="49"/>
  <c r="BD59" i="49"/>
  <c r="AV59" i="49"/>
  <c r="AY59" i="49"/>
  <c r="AW59" i="49"/>
  <c r="CE58" i="49"/>
  <c r="AS58" i="49"/>
  <c r="AO58" i="49"/>
  <c r="AK58" i="49"/>
  <c r="AG58" i="49"/>
  <c r="AM58" i="49"/>
  <c r="AQ58" i="49"/>
  <c r="AI58" i="49"/>
  <c r="CE56" i="49"/>
  <c r="AS56" i="49"/>
  <c r="AO56" i="49"/>
  <c r="AK56" i="49"/>
  <c r="AG56" i="49"/>
  <c r="AQ56" i="49"/>
  <c r="AI56" i="49"/>
  <c r="AM56" i="49"/>
  <c r="CE17" i="49"/>
  <c r="AS17" i="49"/>
  <c r="AO17" i="49"/>
  <c r="AK17" i="49"/>
  <c r="AG17" i="49"/>
  <c r="AM17" i="49"/>
  <c r="AQ17" i="49"/>
  <c r="AI17" i="49"/>
  <c r="CE15" i="49"/>
  <c r="AS15" i="49"/>
  <c r="AO15" i="49"/>
  <c r="AK15" i="49"/>
  <c r="AG15" i="49"/>
  <c r="AQ15" i="49"/>
  <c r="AI15" i="49"/>
  <c r="AM15" i="49"/>
  <c r="CE13" i="49"/>
  <c r="AS13" i="49"/>
  <c r="AO13" i="49"/>
  <c r="AK13" i="49"/>
  <c r="AG13" i="49"/>
  <c r="AM13" i="49"/>
  <c r="AQ13" i="49"/>
  <c r="AI13" i="49"/>
  <c r="CE11" i="49"/>
  <c r="AS11" i="49"/>
  <c r="AO11" i="49"/>
  <c r="AK11" i="49"/>
  <c r="AG11" i="49"/>
  <c r="AQ11" i="49"/>
  <c r="AI11" i="49"/>
  <c r="AM11" i="49"/>
  <c r="CE20" i="49"/>
  <c r="AS20" i="49"/>
  <c r="AO20" i="49"/>
  <c r="AK20" i="49"/>
  <c r="AG20" i="49"/>
  <c r="AM20" i="49"/>
  <c r="AQ20" i="49"/>
  <c r="AI20" i="49"/>
  <c r="CE18" i="49"/>
  <c r="AS18" i="49"/>
  <c r="AO18" i="49"/>
  <c r="AK18" i="49"/>
  <c r="AG18" i="49"/>
  <c r="AQ18" i="49"/>
  <c r="AI18" i="49"/>
  <c r="AM18" i="49"/>
  <c r="BH36" i="49"/>
  <c r="AP36" i="49"/>
  <c r="AN36" i="49"/>
  <c r="AL36" i="49"/>
  <c r="AY36" i="49"/>
  <c r="AW36" i="49"/>
  <c r="CE35" i="49"/>
  <c r="BH30" i="49"/>
  <c r="AP30" i="49"/>
  <c r="AN30" i="49"/>
  <c r="AJ30" i="49"/>
  <c r="AH30" i="49"/>
  <c r="BI26" i="49"/>
  <c r="BG26" i="49"/>
  <c r="BE26" i="49"/>
  <c r="BC26" i="49"/>
  <c r="AV26" i="49"/>
  <c r="BF26" i="49"/>
  <c r="AX26" i="49"/>
  <c r="AR26" i="49"/>
  <c r="BD26" i="49"/>
  <c r="AL26" i="49"/>
  <c r="AY26" i="49"/>
  <c r="AW26" i="49"/>
  <c r="CE25" i="49"/>
  <c r="BH22" i="49"/>
  <c r="AP22" i="49"/>
  <c r="AN22" i="49"/>
  <c r="AJ22" i="49"/>
  <c r="AH22" i="49"/>
  <c r="AR60" i="49"/>
  <c r="AN60" i="49"/>
  <c r="AJ60" i="49"/>
  <c r="AH60" i="49"/>
  <c r="CE59" i="49"/>
  <c r="BI56" i="49"/>
  <c r="BG56" i="49"/>
  <c r="BE56" i="49"/>
  <c r="BC56" i="49"/>
  <c r="AV56" i="49"/>
  <c r="BF56" i="49"/>
  <c r="AX56" i="49"/>
  <c r="BB56" i="49"/>
  <c r="AR56" i="49"/>
  <c r="BD56" i="49"/>
  <c r="AL56" i="49"/>
  <c r="AY56" i="49"/>
  <c r="AW56" i="49"/>
  <c r="CE55" i="49"/>
  <c r="BI15" i="49"/>
  <c r="BG15" i="49"/>
  <c r="BE15" i="49"/>
  <c r="BC15" i="49"/>
  <c r="AV15" i="49"/>
  <c r="BF15" i="49"/>
  <c r="AX15" i="49"/>
  <c r="BB15" i="49"/>
  <c r="AR15" i="49"/>
  <c r="BD15" i="49"/>
  <c r="AL15" i="49"/>
  <c r="AY15" i="49"/>
  <c r="AW15" i="49"/>
  <c r="CE14" i="49"/>
  <c r="BI11" i="49"/>
  <c r="BG11" i="49"/>
  <c r="BE11" i="49"/>
  <c r="BC11" i="49"/>
  <c r="AV11" i="49"/>
  <c r="BF11" i="49"/>
  <c r="AX11" i="49"/>
  <c r="BB11" i="49"/>
  <c r="AR11" i="49"/>
  <c r="BD11" i="49"/>
  <c r="AL11" i="49"/>
  <c r="AY11" i="49"/>
  <c r="AW11" i="49"/>
  <c r="CE21" i="49"/>
  <c r="BI18" i="49"/>
  <c r="BG18" i="49"/>
  <c r="BE18" i="49"/>
  <c r="BC18" i="49"/>
  <c r="AV18" i="49"/>
  <c r="BF18" i="49"/>
  <c r="AX18" i="49"/>
  <c r="BB18" i="49"/>
  <c r="AR18" i="49"/>
  <c r="BD18" i="49"/>
  <c r="AL18" i="49"/>
  <c r="AY18" i="49"/>
  <c r="AW18" i="49"/>
  <c r="AP52" i="49"/>
  <c r="AL52" i="49"/>
  <c r="AH52" i="49"/>
  <c r="CE52" i="49"/>
  <c r="AR52" i="49"/>
  <c r="AN52" i="49"/>
  <c r="AJ52" i="49"/>
  <c r="BM51" i="49"/>
  <c r="AX51" i="49"/>
  <c r="AV51" i="49"/>
  <c r="AT49" i="49"/>
  <c r="BA49" i="49" s="1"/>
  <c r="BH49" i="49"/>
  <c r="BF49" i="49"/>
  <c r="BD49" i="49"/>
  <c r="BB49" i="49"/>
  <c r="BG49" i="49"/>
  <c r="BC49" i="49"/>
  <c r="AY49" i="49"/>
  <c r="BI49" i="49"/>
  <c r="BE49" i="49"/>
  <c r="AW49" i="49"/>
  <c r="CE48" i="49"/>
  <c r="AS48" i="49"/>
  <c r="AO48" i="49"/>
  <c r="AK48" i="49"/>
  <c r="AG48" i="49"/>
  <c r="AQ48" i="49"/>
  <c r="AM48" i="49"/>
  <c r="AI48" i="49"/>
  <c r="CE46" i="49"/>
  <c r="AS46" i="49"/>
  <c r="AO46" i="49"/>
  <c r="AK46" i="49"/>
  <c r="AG46" i="49"/>
  <c r="AQ46" i="49"/>
  <c r="AM46" i="49"/>
  <c r="AI46" i="49"/>
  <c r="CE10" i="49"/>
  <c r="AS10" i="49"/>
  <c r="AO10" i="49"/>
  <c r="AK10" i="49"/>
  <c r="AG10" i="49"/>
  <c r="AQ10" i="49"/>
  <c r="AM10" i="49"/>
  <c r="AI10" i="49"/>
  <c r="CE8" i="49"/>
  <c r="AS8" i="49"/>
  <c r="AO8" i="49"/>
  <c r="AK8" i="49"/>
  <c r="AG8" i="49"/>
  <c r="AQ8" i="49"/>
  <c r="AM8" i="49"/>
  <c r="AI8" i="49"/>
  <c r="CE6" i="49"/>
  <c r="AS6" i="49"/>
  <c r="AO6" i="49"/>
  <c r="AK6" i="49"/>
  <c r="AG6" i="49"/>
  <c r="AQ6" i="49"/>
  <c r="AM6" i="49"/>
  <c r="AI6" i="49"/>
  <c r="BM5" i="49"/>
  <c r="AX5" i="49"/>
  <c r="AV5" i="49"/>
  <c r="BH3" i="49"/>
  <c r="BF3" i="49"/>
  <c r="BD3" i="49"/>
  <c r="BB3" i="49"/>
  <c r="BG3" i="49"/>
  <c r="BC3" i="49"/>
  <c r="AY3" i="49"/>
  <c r="BI3" i="49"/>
  <c r="BE3" i="49"/>
  <c r="AW3" i="49"/>
  <c r="CE2" i="49"/>
  <c r="AS2" i="49"/>
  <c r="AO2" i="49"/>
  <c r="AK2" i="49"/>
  <c r="AG2" i="49"/>
  <c r="AQ2" i="49"/>
  <c r="AM2" i="49"/>
  <c r="AI2" i="49"/>
  <c r="BH58" i="49"/>
  <c r="AP58" i="49"/>
  <c r="AN58" i="49"/>
  <c r="AJ58" i="49"/>
  <c r="AH58" i="49"/>
  <c r="BI17" i="49"/>
  <c r="BG17" i="49"/>
  <c r="BE17" i="49"/>
  <c r="BC17" i="49"/>
  <c r="AV17" i="49"/>
  <c r="BF17" i="49"/>
  <c r="AX17" i="49"/>
  <c r="AR17" i="49"/>
  <c r="BD17" i="49"/>
  <c r="AL17" i="49"/>
  <c r="AY17" i="49"/>
  <c r="AW17" i="49"/>
  <c r="CE16" i="49"/>
  <c r="BH13" i="49"/>
  <c r="AP13" i="49"/>
  <c r="AN13" i="49"/>
  <c r="AJ13" i="49"/>
  <c r="AH13" i="49"/>
  <c r="BI20" i="49"/>
  <c r="BG20" i="49"/>
  <c r="BE20" i="49"/>
  <c r="BC20" i="49"/>
  <c r="AV20" i="49"/>
  <c r="BF20" i="49"/>
  <c r="AX20" i="49"/>
  <c r="AR20" i="49"/>
  <c r="BD20" i="49"/>
  <c r="AL20" i="49"/>
  <c r="AY20" i="49"/>
  <c r="AW20" i="49"/>
  <c r="CE19" i="49"/>
  <c r="AQ52" i="49"/>
  <c r="AM52" i="49"/>
  <c r="AX52" i="49"/>
  <c r="AV52" i="49"/>
  <c r="AS50" i="49"/>
  <c r="AO50" i="49"/>
  <c r="AK50" i="49"/>
  <c r="AI50" i="49"/>
  <c r="AG50" i="49"/>
  <c r="BH50" i="49"/>
  <c r="BF50" i="49"/>
  <c r="BD50" i="49"/>
  <c r="BB50" i="49"/>
  <c r="AW50" i="49"/>
  <c r="BG50" i="49"/>
  <c r="BC50" i="49"/>
  <c r="AY50" i="49"/>
  <c r="AR48" i="49"/>
  <c r="AN48" i="49"/>
  <c r="AJ48" i="49"/>
  <c r="AH48" i="49"/>
  <c r="CE47" i="49"/>
  <c r="BI46" i="49"/>
  <c r="BG46" i="49"/>
  <c r="BE46" i="49"/>
  <c r="BC46" i="49"/>
  <c r="AV46" i="49"/>
  <c r="BF46" i="49"/>
  <c r="BB46" i="49"/>
  <c r="AX46" i="49"/>
  <c r="AP46" i="49"/>
  <c r="AL46" i="49"/>
  <c r="AY46" i="49"/>
  <c r="AW46" i="49"/>
  <c r="AR10" i="49"/>
  <c r="AN10" i="49"/>
  <c r="AJ10" i="49"/>
  <c r="AH10" i="49"/>
  <c r="CE9" i="49"/>
  <c r="BI8" i="49"/>
  <c r="BG8" i="49"/>
  <c r="BE8" i="49"/>
  <c r="BC8" i="49"/>
  <c r="AV8" i="49"/>
  <c r="BF8" i="49"/>
  <c r="BB8" i="49"/>
  <c r="AX8" i="49"/>
  <c r="AP8" i="49"/>
  <c r="AL8" i="49"/>
  <c r="AY8" i="49"/>
  <c r="AW8" i="49"/>
  <c r="AR6" i="49"/>
  <c r="AN6" i="49"/>
  <c r="AJ6" i="49"/>
  <c r="AH6" i="49"/>
  <c r="AS4" i="49"/>
  <c r="AO4" i="49"/>
  <c r="AK4" i="49"/>
  <c r="AI4" i="49"/>
  <c r="AG4" i="49"/>
  <c r="BH4" i="49"/>
  <c r="BF4" i="49"/>
  <c r="BD4" i="49"/>
  <c r="BB4" i="49"/>
  <c r="AW4" i="49"/>
  <c r="BG4" i="49"/>
  <c r="BC4" i="49"/>
  <c r="AY4" i="49"/>
  <c r="AR2" i="49"/>
  <c r="AN2" i="49"/>
  <c r="AJ2" i="49"/>
  <c r="AH2" i="49"/>
  <c r="CE49" i="49"/>
  <c r="CE3" i="49"/>
  <c r="BI246" i="52"/>
  <c r="BJ246" i="52"/>
  <c r="AZ246" i="52"/>
  <c r="BE244" i="52"/>
  <c r="BF244" i="52"/>
  <c r="BA271" i="52"/>
  <c r="AY271" i="52"/>
  <c r="BA9" i="52"/>
  <c r="AY9" i="52"/>
  <c r="BK5" i="52"/>
  <c r="BI5" i="52"/>
  <c r="BG5" i="52"/>
  <c r="BE5" i="52"/>
  <c r="BA5" i="52"/>
  <c r="AY5" i="52"/>
  <c r="BJ5" i="52"/>
  <c r="BH5" i="52"/>
  <c r="BF5" i="52"/>
  <c r="BD5" i="52"/>
  <c r="AZ5" i="52"/>
  <c r="AX5" i="52"/>
  <c r="BJ6" i="52"/>
  <c r="BH6" i="52"/>
  <c r="BF6" i="52"/>
  <c r="BD6" i="52"/>
  <c r="AZ6" i="52"/>
  <c r="AX6" i="52"/>
  <c r="BK6" i="52"/>
  <c r="BI6" i="52"/>
  <c r="BG6" i="52"/>
  <c r="BE6" i="52"/>
  <c r="BA6" i="52"/>
  <c r="AY6" i="52"/>
  <c r="AX224" i="52"/>
  <c r="AX280" i="52"/>
  <c r="BK92" i="52"/>
  <c r="BK77" i="52"/>
  <c r="BG88" i="52"/>
  <c r="AY102" i="52"/>
  <c r="AY136" i="52"/>
  <c r="BK100" i="52"/>
  <c r="BG94" i="52"/>
  <c r="BK83" i="52"/>
  <c r="BA105" i="52"/>
  <c r="AY11" i="52"/>
  <c r="AX4" i="52"/>
  <c r="BG90" i="52"/>
  <c r="BK75" i="52"/>
  <c r="AM259" i="52"/>
  <c r="AO76" i="52"/>
  <c r="AS190" i="52"/>
  <c r="AK190" i="52"/>
  <c r="BK189" i="52"/>
  <c r="AH273" i="52"/>
  <c r="BK246" i="52"/>
  <c r="BG246" i="52"/>
  <c r="BH246" i="52"/>
  <c r="BD246" i="52"/>
  <c r="AX246" i="52"/>
  <c r="BK244" i="52"/>
  <c r="BG244" i="52"/>
  <c r="BH244" i="52"/>
  <c r="BD244" i="52"/>
  <c r="AX244" i="52"/>
  <c r="AQ251" i="52"/>
  <c r="AI251" i="52"/>
  <c r="AM133" i="52"/>
  <c r="AM20" i="52"/>
  <c r="AM101" i="52"/>
  <c r="AM93" i="52"/>
  <c r="BG81" i="52"/>
  <c r="AX228" i="52"/>
  <c r="AX220" i="52"/>
  <c r="AX275" i="52"/>
  <c r="AJ270" i="52"/>
  <c r="AM238" i="52"/>
  <c r="AQ259" i="52"/>
  <c r="AI259" i="52"/>
  <c r="AU259" i="52" s="1"/>
  <c r="AQ20" i="52"/>
  <c r="AI20" i="52"/>
  <c r="AU20" i="52" s="1"/>
  <c r="AI28" i="52"/>
  <c r="AU28" i="52" s="1"/>
  <c r="BG96" i="52"/>
  <c r="BK79" i="52"/>
  <c r="AX232" i="52"/>
  <c r="AX230" i="52"/>
  <c r="AH229" i="52"/>
  <c r="AX226" i="52"/>
  <c r="AX222" i="52"/>
  <c r="AX218" i="52"/>
  <c r="AH215" i="52"/>
  <c r="AX278" i="52"/>
  <c r="AJ274" i="52"/>
  <c r="AH272" i="52"/>
  <c r="AH270" i="52"/>
  <c r="AQ238" i="52"/>
  <c r="AI238" i="52"/>
  <c r="AU238" i="52" s="1"/>
  <c r="BA103" i="52"/>
  <c r="BA13" i="52"/>
  <c r="AY10" i="52"/>
  <c r="AY137" i="52"/>
  <c r="AG130" i="52"/>
  <c r="AM130" i="52"/>
  <c r="AG87" i="52"/>
  <c r="AM87" i="52"/>
  <c r="AM255" i="52"/>
  <c r="AG126" i="52"/>
  <c r="AI126" i="52"/>
  <c r="BG86" i="52"/>
  <c r="BK85" i="52"/>
  <c r="AH269" i="52"/>
  <c r="AO85" i="52"/>
  <c r="AO239" i="52"/>
  <c r="AQ255" i="52"/>
  <c r="AI255" i="52"/>
  <c r="AU255" i="52" s="1"/>
  <c r="BK258" i="52"/>
  <c r="AM31" i="52"/>
  <c r="AM27" i="52"/>
  <c r="AM129" i="52"/>
  <c r="AM127" i="52"/>
  <c r="AS20" i="52"/>
  <c r="AO20" i="52"/>
  <c r="AK20" i="52"/>
  <c r="AQ28" i="52"/>
  <c r="AK28" i="52"/>
  <c r="AQ126" i="52"/>
  <c r="AK126" i="52"/>
  <c r="AQ101" i="52"/>
  <c r="AM97" i="52"/>
  <c r="AQ87" i="52"/>
  <c r="AI87" i="52"/>
  <c r="AI96" i="52"/>
  <c r="AO96" i="52"/>
  <c r="AI77" i="52"/>
  <c r="AO77" i="52"/>
  <c r="AI239" i="52"/>
  <c r="AU239" i="52" s="1"/>
  <c r="AO193" i="52"/>
  <c r="AG242" i="52"/>
  <c r="AM242" i="52"/>
  <c r="BI192" i="52"/>
  <c r="BE192" i="52"/>
  <c r="AS116" i="52"/>
  <c r="AO116" i="52"/>
  <c r="AH116" i="52"/>
  <c r="AL116" i="52"/>
  <c r="AP116" i="52"/>
  <c r="AS112" i="52"/>
  <c r="AO112" i="52"/>
  <c r="AH112" i="52"/>
  <c r="AL112" i="52"/>
  <c r="AP112" i="52"/>
  <c r="BK192" i="52"/>
  <c r="BF4" i="52"/>
  <c r="AM262" i="52"/>
  <c r="AI135" i="52"/>
  <c r="AM135" i="52"/>
  <c r="AI125" i="52"/>
  <c r="AM125" i="52"/>
  <c r="AI132" i="52"/>
  <c r="AQ132" i="52"/>
  <c r="AI128" i="52"/>
  <c r="AQ128" i="52"/>
  <c r="AG253" i="52"/>
  <c r="AM253" i="52"/>
  <c r="BE254" i="52"/>
  <c r="BK254" i="52"/>
  <c r="AQ262" i="52"/>
  <c r="AI262" i="52"/>
  <c r="AU262" i="52" s="1"/>
  <c r="AG257" i="52"/>
  <c r="AM257" i="52"/>
  <c r="AG249" i="52"/>
  <c r="AM249" i="52"/>
  <c r="AI29" i="52"/>
  <c r="AQ29" i="52"/>
  <c r="AG21" i="52"/>
  <c r="AI21" i="52"/>
  <c r="AQ21" i="52"/>
  <c r="AI131" i="52"/>
  <c r="AM131" i="52"/>
  <c r="AO98" i="52"/>
  <c r="AO90" i="52"/>
  <c r="AM88" i="52"/>
  <c r="AO79" i="52"/>
  <c r="AO212" i="52"/>
  <c r="AM211" i="52"/>
  <c r="AQ242" i="52"/>
  <c r="AI242" i="52"/>
  <c r="BA122" i="52"/>
  <c r="AQ97" i="52"/>
  <c r="AQ93" i="52"/>
  <c r="AO80" i="52"/>
  <c r="AI193" i="52"/>
  <c r="AU193" i="52" s="1"/>
  <c r="AS262" i="52"/>
  <c r="AO262" i="52"/>
  <c r="AK262" i="52"/>
  <c r="AQ257" i="52"/>
  <c r="AI257" i="52"/>
  <c r="AQ253" i="52"/>
  <c r="AI253" i="52"/>
  <c r="AQ249" i="52"/>
  <c r="AI249" i="52"/>
  <c r="BK256" i="52"/>
  <c r="BK252" i="52"/>
  <c r="AG29" i="52"/>
  <c r="AK29" i="52"/>
  <c r="AO29" i="52"/>
  <c r="AS29" i="52"/>
  <c r="AQ135" i="52"/>
  <c r="AQ131" i="52"/>
  <c r="AQ125" i="52"/>
  <c r="AG22" i="52"/>
  <c r="AM22" i="52"/>
  <c r="AG30" i="52"/>
  <c r="AI30" i="52"/>
  <c r="AG99" i="52"/>
  <c r="AI99" i="52"/>
  <c r="AQ99" i="52"/>
  <c r="AG97" i="52"/>
  <c r="AU97" i="52" s="1"/>
  <c r="AK97" i="52"/>
  <c r="AO97" i="52"/>
  <c r="AS97" i="52"/>
  <c r="AO84" i="52"/>
  <c r="AG100" i="52"/>
  <c r="AI100" i="52"/>
  <c r="AG94" i="52"/>
  <c r="AI94" i="52"/>
  <c r="AG86" i="52"/>
  <c r="AI86" i="52"/>
  <c r="AG81" i="52"/>
  <c r="AI81" i="52"/>
  <c r="AG75" i="52"/>
  <c r="AI75" i="52"/>
  <c r="AG189" i="52"/>
  <c r="AI189" i="52"/>
  <c r="AQ189" i="52"/>
  <c r="AG25" i="52"/>
  <c r="AI25" i="52"/>
  <c r="AG23" i="52"/>
  <c r="AI23" i="52"/>
  <c r="AQ23" i="52"/>
  <c r="AG19" i="52"/>
  <c r="AI19" i="52"/>
  <c r="AQ19" i="52"/>
  <c r="AG135" i="52"/>
  <c r="AK135" i="52"/>
  <c r="AO135" i="52"/>
  <c r="AS135" i="52"/>
  <c r="AG131" i="52"/>
  <c r="AK131" i="52"/>
  <c r="AO131" i="52"/>
  <c r="AS131" i="52"/>
  <c r="AG125" i="52"/>
  <c r="AK125" i="52"/>
  <c r="AO125" i="52"/>
  <c r="AS125" i="52"/>
  <c r="AG24" i="52"/>
  <c r="AM24" i="52"/>
  <c r="AG132" i="52"/>
  <c r="AK132" i="52"/>
  <c r="AO132" i="52"/>
  <c r="AS132" i="52"/>
  <c r="AG128" i="52"/>
  <c r="AK128" i="52"/>
  <c r="AO128" i="52"/>
  <c r="AS128" i="52"/>
  <c r="AO30" i="52"/>
  <c r="AG91" i="52"/>
  <c r="AI91" i="52"/>
  <c r="AQ91" i="52"/>
  <c r="AG80" i="52"/>
  <c r="AU80" i="52" s="1"/>
  <c r="AK80" i="52"/>
  <c r="AS80" i="52"/>
  <c r="AG76" i="52"/>
  <c r="AU76" i="52" s="1"/>
  <c r="AK76" i="52"/>
  <c r="AS76" i="52"/>
  <c r="AO100" i="52"/>
  <c r="AG96" i="52"/>
  <c r="AK96" i="52"/>
  <c r="AS96" i="52"/>
  <c r="AO94" i="52"/>
  <c r="AG92" i="52"/>
  <c r="AI92" i="52"/>
  <c r="AO86" i="52"/>
  <c r="AG83" i="52"/>
  <c r="AI83" i="52"/>
  <c r="AO81" i="52"/>
  <c r="AG77" i="52"/>
  <c r="AK77" i="52"/>
  <c r="AS77" i="52"/>
  <c r="AO75" i="52"/>
  <c r="AM189" i="52"/>
  <c r="AH217" i="52"/>
  <c r="AH271" i="52"/>
  <c r="BO229" i="52"/>
  <c r="AI212" i="52"/>
  <c r="AU212" i="52" s="1"/>
  <c r="AQ211" i="52"/>
  <c r="AI211" i="52"/>
  <c r="AU211" i="52" s="1"/>
  <c r="AO241" i="52"/>
  <c r="AO237" i="52"/>
  <c r="AS193" i="52"/>
  <c r="AK193" i="52"/>
  <c r="AI240" i="52"/>
  <c r="AM240" i="52"/>
  <c r="AI236" i="52"/>
  <c r="AM236" i="52"/>
  <c r="AQ72" i="52"/>
  <c r="AM57" i="52"/>
  <c r="AG89" i="52"/>
  <c r="AI89" i="52"/>
  <c r="AQ89" i="52"/>
  <c r="AG78" i="52"/>
  <c r="AI78" i="52"/>
  <c r="AS259" i="52"/>
  <c r="AO259" i="52"/>
  <c r="AK259" i="52"/>
  <c r="AS255" i="52"/>
  <c r="AO255" i="52"/>
  <c r="AK255" i="52"/>
  <c r="AS251" i="52"/>
  <c r="AO251" i="52"/>
  <c r="AK251" i="52"/>
  <c r="AQ250" i="52"/>
  <c r="BG258" i="52"/>
  <c r="BG256" i="52"/>
  <c r="BG254" i="52"/>
  <c r="BG252" i="52"/>
  <c r="BO72" i="52"/>
  <c r="AQ68" i="52"/>
  <c r="AQ31" i="52"/>
  <c r="AI31" i="52"/>
  <c r="AU31" i="52" s="1"/>
  <c r="AQ27" i="52"/>
  <c r="AI27" i="52"/>
  <c r="AU27" i="52" s="1"/>
  <c r="AS21" i="52"/>
  <c r="AO21" i="52"/>
  <c r="AK21" i="52"/>
  <c r="AQ133" i="52"/>
  <c r="AI133" i="52"/>
  <c r="AU133" i="52" s="1"/>
  <c r="AQ129" i="52"/>
  <c r="AI129" i="52"/>
  <c r="AU129" i="52" s="1"/>
  <c r="AQ127" i="52"/>
  <c r="AI127" i="52"/>
  <c r="AU127" i="52" s="1"/>
  <c r="AM53" i="52"/>
  <c r="AQ24" i="52"/>
  <c r="AI24" i="52"/>
  <c r="AQ22" i="52"/>
  <c r="AI22" i="52"/>
  <c r="AQ134" i="52"/>
  <c r="AI134" i="52"/>
  <c r="AQ130" i="52"/>
  <c r="AI130" i="52"/>
  <c r="AQ30" i="52"/>
  <c r="AK30" i="52"/>
  <c r="AG101" i="52"/>
  <c r="AU101" i="52" s="1"/>
  <c r="AK101" i="52"/>
  <c r="AO101" i="52"/>
  <c r="AS101" i="52"/>
  <c r="AG95" i="52"/>
  <c r="AI95" i="52"/>
  <c r="AQ95" i="52"/>
  <c r="AG93" i="52"/>
  <c r="AU93" i="52" s="1"/>
  <c r="AK93" i="52"/>
  <c r="AO93" i="52"/>
  <c r="AS93" i="52"/>
  <c r="AM89" i="52"/>
  <c r="AG84" i="52"/>
  <c r="AU84" i="52" s="1"/>
  <c r="AK84" i="52"/>
  <c r="AS84" i="52"/>
  <c r="AG82" i="52"/>
  <c r="AI82" i="52"/>
  <c r="AO78" i="52"/>
  <c r="AG74" i="52"/>
  <c r="AI74" i="52"/>
  <c r="AS212" i="52"/>
  <c r="AK212" i="52"/>
  <c r="AS211" i="52"/>
  <c r="AO211" i="52"/>
  <c r="AK211" i="52"/>
  <c r="AS100" i="52"/>
  <c r="AK100" i="52"/>
  <c r="AI98" i="52"/>
  <c r="AU98" i="52" s="1"/>
  <c r="AS92" i="52"/>
  <c r="AK92" i="52"/>
  <c r="AI90" i="52"/>
  <c r="AU90" i="52" s="1"/>
  <c r="AQ88" i="52"/>
  <c r="AI88" i="52"/>
  <c r="AU88" i="52" s="1"/>
  <c r="AI85" i="52"/>
  <c r="AU85" i="52" s="1"/>
  <c r="AS81" i="52"/>
  <c r="AK81" i="52"/>
  <c r="AI79" i="52"/>
  <c r="AU79" i="52" s="1"/>
  <c r="AS239" i="52"/>
  <c r="AK239" i="52"/>
  <c r="AS242" i="52"/>
  <c r="AO242" i="52"/>
  <c r="AK242" i="52"/>
  <c r="AS238" i="52"/>
  <c r="AO238" i="52"/>
  <c r="AK238" i="52"/>
  <c r="AY229" i="52"/>
  <c r="AI70" i="52"/>
  <c r="AI55" i="52"/>
  <c r="AS70" i="52"/>
  <c r="AO55" i="52"/>
  <c r="AG210" i="52"/>
  <c r="AK210" i="52"/>
  <c r="AS210" i="52"/>
  <c r="AG213" i="52"/>
  <c r="AK213" i="52"/>
  <c r="AS213" i="52"/>
  <c r="AI205" i="52"/>
  <c r="AI48" i="52"/>
  <c r="AI45" i="52"/>
  <c r="AI41" i="52"/>
  <c r="AN38" i="52"/>
  <c r="AH38" i="52"/>
  <c r="AN36" i="52"/>
  <c r="AH36" i="52"/>
  <c r="AN34" i="52"/>
  <c r="AH34" i="52"/>
  <c r="AN32" i="52"/>
  <c r="AH32" i="52"/>
  <c r="AN109" i="52"/>
  <c r="AH109" i="52"/>
  <c r="AN105" i="52"/>
  <c r="AH105" i="52"/>
  <c r="AL104" i="52"/>
  <c r="AH104" i="52"/>
  <c r="AL102" i="52"/>
  <c r="AH102" i="52"/>
  <c r="AN17" i="52"/>
  <c r="AH17" i="52"/>
  <c r="AN13" i="52"/>
  <c r="AH13" i="52"/>
  <c r="AL12" i="52"/>
  <c r="AH12" i="52"/>
  <c r="AL10" i="52"/>
  <c r="AH10" i="52"/>
  <c r="AN138" i="52"/>
  <c r="AH138" i="52"/>
  <c r="AN136" i="52"/>
  <c r="AH136" i="52"/>
  <c r="AN123" i="52"/>
  <c r="AH123" i="52"/>
  <c r="AN117" i="52"/>
  <c r="AH117" i="52"/>
  <c r="AN246" i="52"/>
  <c r="AH246" i="52"/>
  <c r="AN244" i="52"/>
  <c r="AH244" i="52"/>
  <c r="AS257" i="52"/>
  <c r="AO257" i="52"/>
  <c r="AK257" i="52"/>
  <c r="AS253" i="52"/>
  <c r="AO253" i="52"/>
  <c r="AK253" i="52"/>
  <c r="AS249" i="52"/>
  <c r="AO249" i="52"/>
  <c r="AK249" i="52"/>
  <c r="AO250" i="52"/>
  <c r="BI258" i="52"/>
  <c r="BI256" i="52"/>
  <c r="BI254" i="52"/>
  <c r="BI252" i="52"/>
  <c r="AI72" i="52"/>
  <c r="AI68" i="52"/>
  <c r="AI57" i="52"/>
  <c r="AI53" i="52"/>
  <c r="AS31" i="52"/>
  <c r="AO31" i="52"/>
  <c r="AK31" i="52"/>
  <c r="AS27" i="52"/>
  <c r="AO27" i="52"/>
  <c r="AK27" i="52"/>
  <c r="AS25" i="52"/>
  <c r="AK25" i="52"/>
  <c r="AS23" i="52"/>
  <c r="AO23" i="52"/>
  <c r="AK23" i="52"/>
  <c r="AS19" i="52"/>
  <c r="AO19" i="52"/>
  <c r="AK19" i="52"/>
  <c r="AS133" i="52"/>
  <c r="AO133" i="52"/>
  <c r="AK133" i="52"/>
  <c r="AS129" i="52"/>
  <c r="AO129" i="52"/>
  <c r="AK129" i="52"/>
  <c r="AS127" i="52"/>
  <c r="AO127" i="52"/>
  <c r="AK127" i="52"/>
  <c r="AS24" i="52"/>
  <c r="AO24" i="52"/>
  <c r="AK24" i="52"/>
  <c r="AS22" i="52"/>
  <c r="AO22" i="52"/>
  <c r="AK22" i="52"/>
  <c r="AS134" i="52"/>
  <c r="AO134" i="52"/>
  <c r="AK134" i="52"/>
  <c r="AS130" i="52"/>
  <c r="AO130" i="52"/>
  <c r="AK130" i="52"/>
  <c r="AS99" i="52"/>
  <c r="AO99" i="52"/>
  <c r="AK99" i="52"/>
  <c r="AS95" i="52"/>
  <c r="AO95" i="52"/>
  <c r="AK95" i="52"/>
  <c r="AS91" i="52"/>
  <c r="AO91" i="52"/>
  <c r="AK91" i="52"/>
  <c r="AS89" i="52"/>
  <c r="AO89" i="52"/>
  <c r="AK89" i="52"/>
  <c r="AS87" i="52"/>
  <c r="AO87" i="52"/>
  <c r="AK87" i="52"/>
  <c r="AS82" i="52"/>
  <c r="AK82" i="52"/>
  <c r="AS78" i="52"/>
  <c r="AK78" i="52"/>
  <c r="AS74" i="52"/>
  <c r="AK74" i="52"/>
  <c r="BJ188" i="52"/>
  <c r="BJ186" i="52"/>
  <c r="BJ184" i="52"/>
  <c r="BJ182" i="52"/>
  <c r="AS98" i="52"/>
  <c r="AK98" i="52"/>
  <c r="AS94" i="52"/>
  <c r="AK94" i="52"/>
  <c r="AS90" i="52"/>
  <c r="AK90" i="52"/>
  <c r="AS88" i="52"/>
  <c r="AO88" i="52"/>
  <c r="AK88" i="52"/>
  <c r="AS86" i="52"/>
  <c r="AK86" i="52"/>
  <c r="AS85" i="52"/>
  <c r="AK85" i="52"/>
  <c r="AS83" i="52"/>
  <c r="AK83" i="52"/>
  <c r="AS79" i="52"/>
  <c r="AK79" i="52"/>
  <c r="AS75" i="52"/>
  <c r="AK75" i="52"/>
  <c r="AS189" i="52"/>
  <c r="AO189" i="52"/>
  <c r="AK189" i="52"/>
  <c r="AI210" i="52"/>
  <c r="AJ36" i="52"/>
  <c r="AJ32" i="52"/>
  <c r="AJ104" i="52"/>
  <c r="AJ17" i="52"/>
  <c r="AJ12" i="52"/>
  <c r="AJ138" i="52"/>
  <c r="AJ123" i="52"/>
  <c r="AJ246" i="52"/>
  <c r="AI213" i="52"/>
  <c r="AG241" i="52"/>
  <c r="AU241" i="52" s="1"/>
  <c r="AK241" i="52"/>
  <c r="AS241" i="52"/>
  <c r="AG237" i="52"/>
  <c r="AU237" i="52" s="1"/>
  <c r="AK237" i="52"/>
  <c r="AS237" i="52"/>
  <c r="AP267" i="52"/>
  <c r="AL267" i="52"/>
  <c r="AS267" i="52"/>
  <c r="AP266" i="52"/>
  <c r="AL266" i="52"/>
  <c r="AS266" i="52"/>
  <c r="AP264" i="52"/>
  <c r="AL264" i="52"/>
  <c r="AS264" i="52"/>
  <c r="AP263" i="52"/>
  <c r="AL263" i="52"/>
  <c r="AS263" i="52"/>
  <c r="AP214" i="52"/>
  <c r="AL214" i="52"/>
  <c r="AS214" i="52"/>
  <c r="AR209" i="52"/>
  <c r="AN209" i="52"/>
  <c r="AJ209" i="52"/>
  <c r="AH209" i="52"/>
  <c r="AO209" i="52"/>
  <c r="BA208" i="52"/>
  <c r="AY208" i="52"/>
  <c r="AI207" i="52"/>
  <c r="AI204" i="52"/>
  <c r="AI50" i="52"/>
  <c r="AZ207" i="52"/>
  <c r="BF207" i="52"/>
  <c r="BJ207" i="52"/>
  <c r="AY207" i="52"/>
  <c r="BE207" i="52"/>
  <c r="BE203" i="52"/>
  <c r="BI203" i="52"/>
  <c r="AX203" i="52"/>
  <c r="BD203" i="52"/>
  <c r="BH203" i="52"/>
  <c r="CG203" i="52"/>
  <c r="AQ240" i="52"/>
  <c r="AQ236" i="52"/>
  <c r="AQ261" i="52"/>
  <c r="AI261" i="52"/>
  <c r="AQ248" i="52"/>
  <c r="AI248" i="52"/>
  <c r="AU248" i="52" s="1"/>
  <c r="BJ26" i="52"/>
  <c r="AX26" i="52"/>
  <c r="BF26" i="52"/>
  <c r="CG265" i="52"/>
  <c r="AQ265" i="52"/>
  <c r="AI265" i="52"/>
  <c r="AM265" i="52"/>
  <c r="AG240" i="52"/>
  <c r="AK240" i="52"/>
  <c r="AO240" i="52"/>
  <c r="AS240" i="52"/>
  <c r="AG236" i="52"/>
  <c r="AK236" i="52"/>
  <c r="AO236" i="52"/>
  <c r="AS236" i="52"/>
  <c r="CG3" i="52"/>
  <c r="AZ3" i="52"/>
  <c r="BN3" i="52" s="1"/>
  <c r="CG266" i="52"/>
  <c r="AQ266" i="52"/>
  <c r="AI266" i="52"/>
  <c r="AM266" i="52"/>
  <c r="CG264" i="52"/>
  <c r="AQ264" i="52"/>
  <c r="AI264" i="52"/>
  <c r="AU264" i="52" s="1"/>
  <c r="AM264" i="52"/>
  <c r="CG214" i="52"/>
  <c r="AQ214" i="52"/>
  <c r="AI214" i="52"/>
  <c r="AU214" i="52" s="1"/>
  <c r="AM214" i="52"/>
  <c r="CG209" i="52"/>
  <c r="AQ209" i="52"/>
  <c r="AI209" i="52"/>
  <c r="AM209" i="52"/>
  <c r="BJ208" i="52"/>
  <c r="AX208" i="52"/>
  <c r="CG267" i="52"/>
  <c r="AQ267" i="52"/>
  <c r="AI267" i="52"/>
  <c r="AU267" i="52" s="1"/>
  <c r="AM267" i="52"/>
  <c r="CG263" i="52"/>
  <c r="AQ263" i="52"/>
  <c r="AI263" i="52"/>
  <c r="AU263" i="52" s="1"/>
  <c r="AM263" i="52"/>
  <c r="BF208" i="52"/>
  <c r="BF261" i="52"/>
  <c r="AX261" i="52"/>
  <c r="AX248" i="52"/>
  <c r="BF248" i="52"/>
  <c r="AQ26" i="52"/>
  <c r="AI26" i="52"/>
  <c r="AU26" i="52" s="1"/>
  <c r="AM26" i="52"/>
  <c r="AX266" i="52"/>
  <c r="BJ266" i="52"/>
  <c r="AX264" i="52"/>
  <c r="BJ264" i="52"/>
  <c r="AX214" i="52"/>
  <c r="BJ214" i="52"/>
  <c r="AX209" i="52"/>
  <c r="BJ209" i="52"/>
  <c r="CG208" i="52"/>
  <c r="AQ208" i="52"/>
  <c r="AI208" i="52"/>
  <c r="AM208" i="52"/>
  <c r="BJ267" i="52"/>
  <c r="BF267" i="52"/>
  <c r="BJ265" i="52"/>
  <c r="BF265" i="52"/>
  <c r="BJ263" i="52"/>
  <c r="BF263" i="52"/>
  <c r="BJ192" i="52"/>
  <c r="AX192" i="52"/>
  <c r="BF264" i="52"/>
  <c r="BF214" i="52"/>
  <c r="CG7" i="52"/>
  <c r="AO7" i="52"/>
  <c r="AG7" i="52"/>
  <c r="BF192" i="52"/>
  <c r="AK7" i="52"/>
  <c r="CG192" i="52"/>
  <c r="AQ192" i="52"/>
  <c r="AI192" i="52"/>
  <c r="AM192" i="52"/>
  <c r="CG6" i="52"/>
  <c r="AO6" i="52"/>
  <c r="AG6" i="52"/>
  <c r="AS6" i="52"/>
  <c r="AK6" i="52"/>
  <c r="CG4" i="52"/>
  <c r="AQ4" i="52"/>
  <c r="AI4" i="52"/>
  <c r="AM4" i="52"/>
  <c r="BJ262" i="52"/>
  <c r="BH262" i="52"/>
  <c r="BF262" i="52"/>
  <c r="BD262" i="52"/>
  <c r="BI262" i="52"/>
  <c r="BE262" i="52"/>
  <c r="BA262" i="52"/>
  <c r="BK262" i="52"/>
  <c r="BG262" i="52"/>
  <c r="AY262" i="52"/>
  <c r="AZ262" i="52"/>
  <c r="AX262" i="52"/>
  <c r="BJ259" i="52"/>
  <c r="BH259" i="52"/>
  <c r="BF259" i="52"/>
  <c r="BD259" i="52"/>
  <c r="BI259" i="52"/>
  <c r="BE259" i="52"/>
  <c r="BA259" i="52"/>
  <c r="BG259" i="52"/>
  <c r="AY259" i="52"/>
  <c r="BK259" i="52"/>
  <c r="BJ257" i="52"/>
  <c r="BH257" i="52"/>
  <c r="BF257" i="52"/>
  <c r="BD257" i="52"/>
  <c r="BI257" i="52"/>
  <c r="BE257" i="52"/>
  <c r="BA257" i="52"/>
  <c r="BG257" i="52"/>
  <c r="AY257" i="52"/>
  <c r="BK257" i="52"/>
  <c r="AZ257" i="52"/>
  <c r="AX257" i="52"/>
  <c r="AZ255" i="52"/>
  <c r="BN255" i="52" s="1"/>
  <c r="BJ251" i="52"/>
  <c r="BH251" i="52"/>
  <c r="BF251" i="52"/>
  <c r="BD251" i="52"/>
  <c r="BI251" i="52"/>
  <c r="BE251" i="52"/>
  <c r="BA251" i="52"/>
  <c r="BK251" i="52"/>
  <c r="BG251" i="52"/>
  <c r="AY251" i="52"/>
  <c r="AX251" i="52"/>
  <c r="AK250" i="52"/>
  <c r="AI250" i="52"/>
  <c r="AU250" i="52" s="1"/>
  <c r="CG258" i="52"/>
  <c r="AR258" i="52"/>
  <c r="AN258" i="52"/>
  <c r="AJ258" i="52"/>
  <c r="AL258" i="52"/>
  <c r="AH258" i="52"/>
  <c r="AP258" i="52"/>
  <c r="AK256" i="52"/>
  <c r="AI256" i="52"/>
  <c r="AU256" i="52" s="1"/>
  <c r="CG254" i="52"/>
  <c r="AR254" i="52"/>
  <c r="AN254" i="52"/>
  <c r="AJ254" i="52"/>
  <c r="AL254" i="52"/>
  <c r="AH254" i="52"/>
  <c r="AP254" i="52"/>
  <c r="AK252" i="52"/>
  <c r="AI252" i="52"/>
  <c r="AU252" i="52" s="1"/>
  <c r="AR73" i="52"/>
  <c r="AP73" i="52"/>
  <c r="AN73" i="52"/>
  <c r="AL73" i="52"/>
  <c r="AJ73" i="52"/>
  <c r="AH73" i="52"/>
  <c r="CG73" i="52"/>
  <c r="AK73" i="52"/>
  <c r="AG73" i="52"/>
  <c r="BN72" i="52"/>
  <c r="AR71" i="52"/>
  <c r="AP71" i="52"/>
  <c r="AN71" i="52"/>
  <c r="AL71" i="52"/>
  <c r="AJ71" i="52"/>
  <c r="AH71" i="52"/>
  <c r="CG71" i="52"/>
  <c r="AK71" i="52"/>
  <c r="AG71" i="52"/>
  <c r="AR69" i="52"/>
  <c r="AP69" i="52"/>
  <c r="AN69" i="52"/>
  <c r="AL69" i="52"/>
  <c r="AJ69" i="52"/>
  <c r="AH69" i="52"/>
  <c r="CG69" i="52"/>
  <c r="AK69" i="52"/>
  <c r="AG69" i="52"/>
  <c r="AR67" i="52"/>
  <c r="AP67" i="52"/>
  <c r="AN67" i="52"/>
  <c r="AL67" i="52"/>
  <c r="AJ67" i="52"/>
  <c r="AH67" i="52"/>
  <c r="CG67" i="52"/>
  <c r="AK67" i="52"/>
  <c r="AG67" i="52"/>
  <c r="AR58" i="52"/>
  <c r="AP58" i="52"/>
  <c r="AN58" i="52"/>
  <c r="AL58" i="52"/>
  <c r="AJ58" i="52"/>
  <c r="AH58" i="52"/>
  <c r="CG58" i="52"/>
  <c r="AK58" i="52"/>
  <c r="AG58" i="52"/>
  <c r="AR56" i="52"/>
  <c r="AP56" i="52"/>
  <c r="AN56" i="52"/>
  <c r="AL56" i="52"/>
  <c r="AJ56" i="52"/>
  <c r="AH56" i="52"/>
  <c r="CG56" i="52"/>
  <c r="AK56" i="52"/>
  <c r="AG56" i="52"/>
  <c r="AR54" i="52"/>
  <c r="AP54" i="52"/>
  <c r="AN54" i="52"/>
  <c r="AL54" i="52"/>
  <c r="AJ54" i="52"/>
  <c r="AH54" i="52"/>
  <c r="CG54" i="52"/>
  <c r="AK54" i="52"/>
  <c r="AG54" i="52"/>
  <c r="AR52" i="52"/>
  <c r="AP52" i="52"/>
  <c r="AN52" i="52"/>
  <c r="AL52" i="52"/>
  <c r="AJ52" i="52"/>
  <c r="AH52" i="52"/>
  <c r="CG52" i="52"/>
  <c r="AK52" i="52"/>
  <c r="AG52" i="52"/>
  <c r="AQ58" i="52"/>
  <c r="AM58" i="52"/>
  <c r="AS56" i="52"/>
  <c r="AO56" i="52"/>
  <c r="AQ54" i="52"/>
  <c r="AM54" i="52"/>
  <c r="AS52" i="52"/>
  <c r="AO52" i="52"/>
  <c r="BJ31" i="52"/>
  <c r="BH31" i="52"/>
  <c r="BF31" i="52"/>
  <c r="BD31" i="52"/>
  <c r="BI31" i="52"/>
  <c r="BE31" i="52"/>
  <c r="BA31" i="52"/>
  <c r="BG31" i="52"/>
  <c r="AY31" i="52"/>
  <c r="BK31" i="52"/>
  <c r="AZ31" i="52"/>
  <c r="AX31" i="52"/>
  <c r="BJ29" i="52"/>
  <c r="BH29" i="52"/>
  <c r="BF29" i="52"/>
  <c r="BD29" i="52"/>
  <c r="BI29" i="52"/>
  <c r="BE29" i="52"/>
  <c r="BA29" i="52"/>
  <c r="BG29" i="52"/>
  <c r="AY29" i="52"/>
  <c r="BK29" i="52"/>
  <c r="AZ29" i="52"/>
  <c r="AX29" i="52"/>
  <c r="BJ27" i="52"/>
  <c r="BH27" i="52"/>
  <c r="BF27" i="52"/>
  <c r="BD27" i="52"/>
  <c r="BI27" i="52"/>
  <c r="BE27" i="52"/>
  <c r="BA27" i="52"/>
  <c r="BG27" i="52"/>
  <c r="AY27" i="52"/>
  <c r="BK27" i="52"/>
  <c r="AZ27" i="52"/>
  <c r="AX27" i="52"/>
  <c r="CG25" i="52"/>
  <c r="AP25" i="52"/>
  <c r="AL25" i="52"/>
  <c r="AH25" i="52"/>
  <c r="AN25" i="52"/>
  <c r="AR25" i="52"/>
  <c r="AJ25" i="52"/>
  <c r="BJ23" i="52"/>
  <c r="BH23" i="52"/>
  <c r="BF23" i="52"/>
  <c r="BD23" i="52"/>
  <c r="BI23" i="52"/>
  <c r="BE23" i="52"/>
  <c r="BA23" i="52"/>
  <c r="BK23" i="52"/>
  <c r="BG23" i="52"/>
  <c r="AY23" i="52"/>
  <c r="AZ23" i="52"/>
  <c r="AX23" i="52"/>
  <c r="BJ21" i="52"/>
  <c r="BH21" i="52"/>
  <c r="BF21" i="52"/>
  <c r="BD21" i="52"/>
  <c r="BI21" i="52"/>
  <c r="BE21" i="52"/>
  <c r="BA21" i="52"/>
  <c r="BK21" i="52"/>
  <c r="BG21" i="52"/>
  <c r="AY21" i="52"/>
  <c r="AZ21" i="52"/>
  <c r="AX21" i="52"/>
  <c r="BJ19" i="52"/>
  <c r="BH19" i="52"/>
  <c r="BF19" i="52"/>
  <c r="BD19" i="52"/>
  <c r="BI19" i="52"/>
  <c r="BE19" i="52"/>
  <c r="BA19" i="52"/>
  <c r="BK19" i="52"/>
  <c r="BG19" i="52"/>
  <c r="AY19" i="52"/>
  <c r="AZ19" i="52"/>
  <c r="AX19" i="52"/>
  <c r="BJ135" i="52"/>
  <c r="BH135" i="52"/>
  <c r="BF135" i="52"/>
  <c r="BD135" i="52"/>
  <c r="BI135" i="52"/>
  <c r="BE135" i="52"/>
  <c r="BA135" i="52"/>
  <c r="BK135" i="52"/>
  <c r="BG135" i="52"/>
  <c r="AY135" i="52"/>
  <c r="AZ135" i="52"/>
  <c r="AX135" i="52"/>
  <c r="BJ133" i="52"/>
  <c r="BH133" i="52"/>
  <c r="BF133" i="52"/>
  <c r="BD133" i="52"/>
  <c r="BI133" i="52"/>
  <c r="BE133" i="52"/>
  <c r="BA133" i="52"/>
  <c r="BK133" i="52"/>
  <c r="BG133" i="52"/>
  <c r="AY133" i="52"/>
  <c r="AZ133" i="52"/>
  <c r="AX133" i="52"/>
  <c r="BJ131" i="52"/>
  <c r="BH131" i="52"/>
  <c r="BF131" i="52"/>
  <c r="BD131" i="52"/>
  <c r="BI131" i="52"/>
  <c r="BE131" i="52"/>
  <c r="BA131" i="52"/>
  <c r="BK131" i="52"/>
  <c r="BG131" i="52"/>
  <c r="AY131" i="52"/>
  <c r="AZ131" i="52"/>
  <c r="AX131" i="52"/>
  <c r="BJ129" i="52"/>
  <c r="BH129" i="52"/>
  <c r="BF129" i="52"/>
  <c r="BD129" i="52"/>
  <c r="BI129" i="52"/>
  <c r="BE129" i="52"/>
  <c r="BA129" i="52"/>
  <c r="BK129" i="52"/>
  <c r="BG129" i="52"/>
  <c r="AY129" i="52"/>
  <c r="AZ129" i="52"/>
  <c r="AX129" i="52"/>
  <c r="BJ127" i="52"/>
  <c r="BH127" i="52"/>
  <c r="BF127" i="52"/>
  <c r="BD127" i="52"/>
  <c r="BI127" i="52"/>
  <c r="BE127" i="52"/>
  <c r="BA127" i="52"/>
  <c r="BG127" i="52"/>
  <c r="AY127" i="52"/>
  <c r="BK127" i="52"/>
  <c r="AZ127" i="52"/>
  <c r="AX127" i="52"/>
  <c r="BJ125" i="52"/>
  <c r="BH125" i="52"/>
  <c r="BF125" i="52"/>
  <c r="BD125" i="52"/>
  <c r="BI125" i="52"/>
  <c r="BE125" i="52"/>
  <c r="BA125" i="52"/>
  <c r="BG125" i="52"/>
  <c r="AY125" i="52"/>
  <c r="BK125" i="52"/>
  <c r="AZ125" i="52"/>
  <c r="AX125" i="52"/>
  <c r="AQ73" i="52"/>
  <c r="AM73" i="52"/>
  <c r="AS71" i="52"/>
  <c r="AO71" i="52"/>
  <c r="AQ69" i="52"/>
  <c r="AM69" i="52"/>
  <c r="AS67" i="52"/>
  <c r="AO67" i="52"/>
  <c r="BJ24" i="52"/>
  <c r="BH24" i="52"/>
  <c r="BF24" i="52"/>
  <c r="BD24" i="52"/>
  <c r="AY24" i="52"/>
  <c r="BE24" i="52"/>
  <c r="BA24" i="52"/>
  <c r="BG24" i="52"/>
  <c r="AZ24" i="52"/>
  <c r="AX24" i="52"/>
  <c r="BJ22" i="52"/>
  <c r="BH22" i="52"/>
  <c r="BF22" i="52"/>
  <c r="BD22" i="52"/>
  <c r="AY22" i="52"/>
  <c r="BE22" i="52"/>
  <c r="BA22" i="52"/>
  <c r="BG22" i="52"/>
  <c r="AZ22" i="52"/>
  <c r="AX22" i="52"/>
  <c r="BJ20" i="52"/>
  <c r="BH20" i="52"/>
  <c r="BF20" i="52"/>
  <c r="BD20" i="52"/>
  <c r="AY20" i="52"/>
  <c r="BE20" i="52"/>
  <c r="BA20" i="52"/>
  <c r="BG20" i="52"/>
  <c r="AZ20" i="52"/>
  <c r="AX20" i="52"/>
  <c r="BJ134" i="52"/>
  <c r="BH134" i="52"/>
  <c r="BF134" i="52"/>
  <c r="BD134" i="52"/>
  <c r="AY134" i="52"/>
  <c r="BE134" i="52"/>
  <c r="BA134" i="52"/>
  <c r="BG134" i="52"/>
  <c r="AZ134" i="52"/>
  <c r="AX134" i="52"/>
  <c r="BJ132" i="52"/>
  <c r="BH132" i="52"/>
  <c r="BF132" i="52"/>
  <c r="BD132" i="52"/>
  <c r="AY132" i="52"/>
  <c r="BE132" i="52"/>
  <c r="BA132" i="52"/>
  <c r="BG132" i="52"/>
  <c r="AZ132" i="52"/>
  <c r="AX132" i="52"/>
  <c r="BJ130" i="52"/>
  <c r="BH130" i="52"/>
  <c r="BF130" i="52"/>
  <c r="BD130" i="52"/>
  <c r="AY130" i="52"/>
  <c r="BE130" i="52"/>
  <c r="BA130" i="52"/>
  <c r="BG130" i="52"/>
  <c r="AZ130" i="52"/>
  <c r="AX130" i="52"/>
  <c r="BJ128" i="52"/>
  <c r="BH128" i="52"/>
  <c r="BF128" i="52"/>
  <c r="BD128" i="52"/>
  <c r="AY128" i="52"/>
  <c r="BE128" i="52"/>
  <c r="BA128" i="52"/>
  <c r="BG128" i="52"/>
  <c r="AZ128" i="52"/>
  <c r="AX128" i="52"/>
  <c r="CG30" i="52"/>
  <c r="AR30" i="52"/>
  <c r="AN30" i="52"/>
  <c r="AJ30" i="52"/>
  <c r="AL30" i="52"/>
  <c r="AP30" i="52"/>
  <c r="AH30" i="52"/>
  <c r="CG28" i="52"/>
  <c r="AR28" i="52"/>
  <c r="AN28" i="52"/>
  <c r="AJ28" i="52"/>
  <c r="AL28" i="52"/>
  <c r="AP28" i="52"/>
  <c r="AH28" i="52"/>
  <c r="CG126" i="52"/>
  <c r="AR126" i="52"/>
  <c r="AN126" i="52"/>
  <c r="AJ126" i="52"/>
  <c r="AL126" i="52"/>
  <c r="AP126" i="52"/>
  <c r="AH126" i="52"/>
  <c r="BJ101" i="52"/>
  <c r="BH101" i="52"/>
  <c r="BF101" i="52"/>
  <c r="BD101" i="52"/>
  <c r="BI101" i="52"/>
  <c r="BE101" i="52"/>
  <c r="BA101" i="52"/>
  <c r="BK101" i="52"/>
  <c r="BG101" i="52"/>
  <c r="AY101" i="52"/>
  <c r="AZ101" i="52"/>
  <c r="AX101" i="52"/>
  <c r="BJ99" i="52"/>
  <c r="BH99" i="52"/>
  <c r="BF99" i="52"/>
  <c r="BD99" i="52"/>
  <c r="BI99" i="52"/>
  <c r="BE99" i="52"/>
  <c r="BA99" i="52"/>
  <c r="BK99" i="52"/>
  <c r="BG99" i="52"/>
  <c r="AY99" i="52"/>
  <c r="AZ99" i="52"/>
  <c r="AX99" i="52"/>
  <c r="BJ97" i="52"/>
  <c r="BH97" i="52"/>
  <c r="BF97" i="52"/>
  <c r="BD97" i="52"/>
  <c r="BI97" i="52"/>
  <c r="BE97" i="52"/>
  <c r="BA97" i="52"/>
  <c r="BK97" i="52"/>
  <c r="BG97" i="52"/>
  <c r="AY97" i="52"/>
  <c r="AZ97" i="52"/>
  <c r="AX97" i="52"/>
  <c r="BJ95" i="52"/>
  <c r="BH95" i="52"/>
  <c r="BF95" i="52"/>
  <c r="BD95" i="52"/>
  <c r="BI95" i="52"/>
  <c r="BE95" i="52"/>
  <c r="BA95" i="52"/>
  <c r="BK95" i="52"/>
  <c r="BG95" i="52"/>
  <c r="AY95" i="52"/>
  <c r="AZ95" i="52"/>
  <c r="AX95" i="52"/>
  <c r="BJ93" i="52"/>
  <c r="BH93" i="52"/>
  <c r="BF93" i="52"/>
  <c r="BD93" i="52"/>
  <c r="BI93" i="52"/>
  <c r="BE93" i="52"/>
  <c r="BA93" i="52"/>
  <c r="BK93" i="52"/>
  <c r="BG93" i="52"/>
  <c r="AY93" i="52"/>
  <c r="AZ93" i="52"/>
  <c r="AX93" i="52"/>
  <c r="BJ91" i="52"/>
  <c r="BH91" i="52"/>
  <c r="BF91" i="52"/>
  <c r="BD91" i="52"/>
  <c r="BI91" i="52"/>
  <c r="BE91" i="52"/>
  <c r="BA91" i="52"/>
  <c r="BK91" i="52"/>
  <c r="BG91" i="52"/>
  <c r="AY91" i="52"/>
  <c r="AZ91" i="52"/>
  <c r="AX91" i="52"/>
  <c r="BJ89" i="52"/>
  <c r="BH89" i="52"/>
  <c r="BF89" i="52"/>
  <c r="BD89" i="52"/>
  <c r="BI89" i="52"/>
  <c r="BE89" i="52"/>
  <c r="BA89" i="52"/>
  <c r="BK89" i="52"/>
  <c r="BG89" i="52"/>
  <c r="AY89" i="52"/>
  <c r="AZ89" i="52"/>
  <c r="AX89" i="52"/>
  <c r="BJ87" i="52"/>
  <c r="BH87" i="52"/>
  <c r="BF87" i="52"/>
  <c r="BD87" i="52"/>
  <c r="BI87" i="52"/>
  <c r="BE87" i="52"/>
  <c r="BA87" i="52"/>
  <c r="BK87" i="52"/>
  <c r="BG87" i="52"/>
  <c r="AY87" i="52"/>
  <c r="AZ87" i="52"/>
  <c r="AX87" i="52"/>
  <c r="CG84" i="52"/>
  <c r="AP84" i="52"/>
  <c r="AL84" i="52"/>
  <c r="AH84" i="52"/>
  <c r="AR84" i="52"/>
  <c r="AN84" i="52"/>
  <c r="AJ84" i="52"/>
  <c r="CG82" i="52"/>
  <c r="AP82" i="52"/>
  <c r="AL82" i="52"/>
  <c r="AH82" i="52"/>
  <c r="AR82" i="52"/>
  <c r="AN82" i="52"/>
  <c r="AJ82" i="52"/>
  <c r="CG80" i="52"/>
  <c r="AP80" i="52"/>
  <c r="AL80" i="52"/>
  <c r="AH80" i="52"/>
  <c r="AR80" i="52"/>
  <c r="AN80" i="52"/>
  <c r="AJ80" i="52"/>
  <c r="CG78" i="52"/>
  <c r="AP78" i="52"/>
  <c r="AL78" i="52"/>
  <c r="AH78" i="52"/>
  <c r="AR78" i="52"/>
  <c r="AN78" i="52"/>
  <c r="AJ78" i="52"/>
  <c r="CG76" i="52"/>
  <c r="AP76" i="52"/>
  <c r="AL76" i="52"/>
  <c r="AH76" i="52"/>
  <c r="AR76" i="52"/>
  <c r="AN76" i="52"/>
  <c r="AJ76" i="52"/>
  <c r="CG74" i="52"/>
  <c r="AP74" i="52"/>
  <c r="AL74" i="52"/>
  <c r="AH74" i="52"/>
  <c r="AR74" i="52"/>
  <c r="AN74" i="52"/>
  <c r="AV74" i="52" s="1"/>
  <c r="AJ74" i="52"/>
  <c r="CG190" i="52"/>
  <c r="AP190" i="52"/>
  <c r="AL190" i="52"/>
  <c r="AH190" i="52"/>
  <c r="AR190" i="52"/>
  <c r="AN190" i="52"/>
  <c r="AJ190" i="52"/>
  <c r="AQ188" i="52"/>
  <c r="AM188" i="52"/>
  <c r="AI188" i="52"/>
  <c r="CG188" i="52"/>
  <c r="AS188" i="52"/>
  <c r="AO188" i="52"/>
  <c r="AK188" i="52"/>
  <c r="AG188" i="52"/>
  <c r="AQ187" i="52"/>
  <c r="AM187" i="52"/>
  <c r="AI187" i="52"/>
  <c r="CG187" i="52"/>
  <c r="AS187" i="52"/>
  <c r="AO187" i="52"/>
  <c r="AK187" i="52"/>
  <c r="AG187" i="52"/>
  <c r="AQ186" i="52"/>
  <c r="AM186" i="52"/>
  <c r="AI186" i="52"/>
  <c r="CG186" i="52"/>
  <c r="AS186" i="52"/>
  <c r="AO186" i="52"/>
  <c r="AK186" i="52"/>
  <c r="AG186" i="52"/>
  <c r="AQ185" i="52"/>
  <c r="AM185" i="52"/>
  <c r="AI185" i="52"/>
  <c r="CG185" i="52"/>
  <c r="AS185" i="52"/>
  <c r="AO185" i="52"/>
  <c r="AK185" i="52"/>
  <c r="AG185" i="52"/>
  <c r="AQ184" i="52"/>
  <c r="AM184" i="52"/>
  <c r="AI184" i="52"/>
  <c r="CG184" i="52"/>
  <c r="AS184" i="52"/>
  <c r="AO184" i="52"/>
  <c r="AK184" i="52"/>
  <c r="AG184" i="52"/>
  <c r="AQ183" i="52"/>
  <c r="AM183" i="52"/>
  <c r="AI183" i="52"/>
  <c r="CG183" i="52"/>
  <c r="AS183" i="52"/>
  <c r="AO183" i="52"/>
  <c r="AK183" i="52"/>
  <c r="AG183" i="52"/>
  <c r="AQ182" i="52"/>
  <c r="AM182" i="52"/>
  <c r="AI182" i="52"/>
  <c r="CG182" i="52"/>
  <c r="AS182" i="52"/>
  <c r="AO182" i="52"/>
  <c r="AK182" i="52"/>
  <c r="AG182" i="52"/>
  <c r="AQ181" i="52"/>
  <c r="AM181" i="52"/>
  <c r="AI181" i="52"/>
  <c r="CG181" i="52"/>
  <c r="AS181" i="52"/>
  <c r="AO181" i="52"/>
  <c r="AK181" i="52"/>
  <c r="AG181" i="52"/>
  <c r="BI22" i="52"/>
  <c r="BI132" i="52"/>
  <c r="BI128" i="52"/>
  <c r="CG100" i="52"/>
  <c r="AR100" i="52"/>
  <c r="AN100" i="52"/>
  <c r="AJ100" i="52"/>
  <c r="AP100" i="52"/>
  <c r="AL100" i="52"/>
  <c r="AH100" i="52"/>
  <c r="CG98" i="52"/>
  <c r="AR98" i="52"/>
  <c r="AN98" i="52"/>
  <c r="AJ98" i="52"/>
  <c r="AP98" i="52"/>
  <c r="AL98" i="52"/>
  <c r="AH98" i="52"/>
  <c r="CG96" i="52"/>
  <c r="AR96" i="52"/>
  <c r="AN96" i="52"/>
  <c r="AJ96" i="52"/>
  <c r="AP96" i="52"/>
  <c r="AL96" i="52"/>
  <c r="AH96" i="52"/>
  <c r="CG94" i="52"/>
  <c r="AR94" i="52"/>
  <c r="AN94" i="52"/>
  <c r="AJ94" i="52"/>
  <c r="AP94" i="52"/>
  <c r="AL94" i="52"/>
  <c r="AH94" i="52"/>
  <c r="CG92" i="52"/>
  <c r="AR92" i="52"/>
  <c r="AN92" i="52"/>
  <c r="AJ92" i="52"/>
  <c r="AP92" i="52"/>
  <c r="AL92" i="52"/>
  <c r="AH92" i="52"/>
  <c r="CG90" i="52"/>
  <c r="AR90" i="52"/>
  <c r="AN90" i="52"/>
  <c r="AJ90" i="52"/>
  <c r="AP90" i="52"/>
  <c r="AL90" i="52"/>
  <c r="AH90" i="52"/>
  <c r="BJ88" i="52"/>
  <c r="BH88" i="52"/>
  <c r="BF88" i="52"/>
  <c r="BD88" i="52"/>
  <c r="AY88" i="52"/>
  <c r="BI88" i="52"/>
  <c r="BE88" i="52"/>
  <c r="BA88" i="52"/>
  <c r="AZ88" i="52"/>
  <c r="AX88" i="52"/>
  <c r="CG86" i="52"/>
  <c r="AR86" i="52"/>
  <c r="AN86" i="52"/>
  <c r="AJ86" i="52"/>
  <c r="AP86" i="52"/>
  <c r="AL86" i="52"/>
  <c r="AH86" i="52"/>
  <c r="CG85" i="52"/>
  <c r="AR85" i="52"/>
  <c r="AN85" i="52"/>
  <c r="AJ85" i="52"/>
  <c r="AP85" i="52"/>
  <c r="AL85" i="52"/>
  <c r="AH85" i="52"/>
  <c r="CG83" i="52"/>
  <c r="AR83" i="52"/>
  <c r="AN83" i="52"/>
  <c r="AJ83" i="52"/>
  <c r="AP83" i="52"/>
  <c r="AL83" i="52"/>
  <c r="AH83" i="52"/>
  <c r="CG81" i="52"/>
  <c r="AR81" i="52"/>
  <c r="AN81" i="52"/>
  <c r="AJ81" i="52"/>
  <c r="AP81" i="52"/>
  <c r="AL81" i="52"/>
  <c r="AH81" i="52"/>
  <c r="CG79" i="52"/>
  <c r="AR79" i="52"/>
  <c r="AN79" i="52"/>
  <c r="AJ79" i="52"/>
  <c r="AP79" i="52"/>
  <c r="AL79" i="52"/>
  <c r="AH79" i="52"/>
  <c r="CG77" i="52"/>
  <c r="AR77" i="52"/>
  <c r="AN77" i="52"/>
  <c r="AJ77" i="52"/>
  <c r="AP77" i="52"/>
  <c r="AL77" i="52"/>
  <c r="AH77" i="52"/>
  <c r="CG75" i="52"/>
  <c r="AR75" i="52"/>
  <c r="AN75" i="52"/>
  <c r="AJ75" i="52"/>
  <c r="AP75" i="52"/>
  <c r="AL75" i="52"/>
  <c r="AH75" i="52"/>
  <c r="BJ189" i="52"/>
  <c r="BH189" i="52"/>
  <c r="BF189" i="52"/>
  <c r="BD189" i="52"/>
  <c r="AY189" i="52"/>
  <c r="BI189" i="52"/>
  <c r="BE189" i="52"/>
  <c r="BA189" i="52"/>
  <c r="AZ189" i="52"/>
  <c r="AX189" i="52"/>
  <c r="AP188" i="52"/>
  <c r="AL188" i="52"/>
  <c r="BA188" i="52"/>
  <c r="AR187" i="52"/>
  <c r="AN187" i="52"/>
  <c r="AJ187" i="52"/>
  <c r="AH187" i="52"/>
  <c r="AP186" i="52"/>
  <c r="AL186" i="52"/>
  <c r="BA186" i="52"/>
  <c r="AR185" i="52"/>
  <c r="AN185" i="52"/>
  <c r="AJ185" i="52"/>
  <c r="AH185" i="52"/>
  <c r="AP184" i="52"/>
  <c r="AL184" i="52"/>
  <c r="BA184" i="52"/>
  <c r="AR183" i="52"/>
  <c r="AN183" i="52"/>
  <c r="AJ183" i="52"/>
  <c r="AH183" i="52"/>
  <c r="AP182" i="52"/>
  <c r="AL182" i="52"/>
  <c r="BA182" i="52"/>
  <c r="AR181" i="52"/>
  <c r="AN181" i="52"/>
  <c r="AJ181" i="52"/>
  <c r="AH181" i="52"/>
  <c r="BJ178" i="52"/>
  <c r="BH178" i="52"/>
  <c r="BF178" i="52"/>
  <c r="BD178" i="52"/>
  <c r="BK178" i="52"/>
  <c r="BI178" i="52"/>
  <c r="BG178" i="52"/>
  <c r="BE178" i="52"/>
  <c r="BA178" i="52"/>
  <c r="AY178" i="52"/>
  <c r="BJ176" i="52"/>
  <c r="BH176" i="52"/>
  <c r="BF176" i="52"/>
  <c r="BD176" i="52"/>
  <c r="BK176" i="52"/>
  <c r="BI176" i="52"/>
  <c r="BG176" i="52"/>
  <c r="BE176" i="52"/>
  <c r="BA176" i="52"/>
  <c r="AY176" i="52"/>
  <c r="BJ174" i="52"/>
  <c r="BH174" i="52"/>
  <c r="BF174" i="52"/>
  <c r="BD174" i="52"/>
  <c r="BK174" i="52"/>
  <c r="BI174" i="52"/>
  <c r="BG174" i="52"/>
  <c r="BE174" i="52"/>
  <c r="BA174" i="52"/>
  <c r="AY174" i="52"/>
  <c r="BJ172" i="52"/>
  <c r="BH172" i="52"/>
  <c r="BF172" i="52"/>
  <c r="BD172" i="52"/>
  <c r="BK172" i="52"/>
  <c r="BI172" i="52"/>
  <c r="BG172" i="52"/>
  <c r="BE172" i="52"/>
  <c r="BA172" i="52"/>
  <c r="AY172" i="52"/>
  <c r="BJ170" i="52"/>
  <c r="BH170" i="52"/>
  <c r="BF170" i="52"/>
  <c r="BD170" i="52"/>
  <c r="BK170" i="52"/>
  <c r="BI170" i="52"/>
  <c r="BG170" i="52"/>
  <c r="BE170" i="52"/>
  <c r="BA170" i="52"/>
  <c r="AY170" i="52"/>
  <c r="BJ167" i="52"/>
  <c r="BH167" i="52"/>
  <c r="BF167" i="52"/>
  <c r="BD167" i="52"/>
  <c r="BK167" i="52"/>
  <c r="BI167" i="52"/>
  <c r="BG167" i="52"/>
  <c r="BE167" i="52"/>
  <c r="BA167" i="52"/>
  <c r="AY167" i="52"/>
  <c r="BJ165" i="52"/>
  <c r="BH165" i="52"/>
  <c r="BF165" i="52"/>
  <c r="BD165" i="52"/>
  <c r="BK165" i="52"/>
  <c r="BI165" i="52"/>
  <c r="BG165" i="52"/>
  <c r="BE165" i="52"/>
  <c r="BA165" i="52"/>
  <c r="AY165" i="52"/>
  <c r="BJ163" i="52"/>
  <c r="BH163" i="52"/>
  <c r="BF163" i="52"/>
  <c r="BD163" i="52"/>
  <c r="BK163" i="52"/>
  <c r="BI163" i="52"/>
  <c r="BG163" i="52"/>
  <c r="BE163" i="52"/>
  <c r="BA163" i="52"/>
  <c r="AY163" i="52"/>
  <c r="BJ161" i="52"/>
  <c r="BH161" i="52"/>
  <c r="BF161" i="52"/>
  <c r="BD161" i="52"/>
  <c r="BK161" i="52"/>
  <c r="BI161" i="52"/>
  <c r="BG161" i="52"/>
  <c r="BE161" i="52"/>
  <c r="BA161" i="52"/>
  <c r="AY161" i="52"/>
  <c r="BJ159" i="52"/>
  <c r="BH159" i="52"/>
  <c r="BF159" i="52"/>
  <c r="BD159" i="52"/>
  <c r="BK159" i="52"/>
  <c r="BI159" i="52"/>
  <c r="BG159" i="52"/>
  <c r="BE159" i="52"/>
  <c r="BA159" i="52"/>
  <c r="AY159" i="52"/>
  <c r="BJ156" i="52"/>
  <c r="BH156" i="52"/>
  <c r="BF156" i="52"/>
  <c r="BD156" i="52"/>
  <c r="BK156" i="52"/>
  <c r="BI156" i="52"/>
  <c r="BG156" i="52"/>
  <c r="BE156" i="52"/>
  <c r="BA156" i="52"/>
  <c r="AY156" i="52"/>
  <c r="BJ235" i="52"/>
  <c r="BH235" i="52"/>
  <c r="BF235" i="52"/>
  <c r="BD235" i="52"/>
  <c r="BK235" i="52"/>
  <c r="BI235" i="52"/>
  <c r="BG235" i="52"/>
  <c r="BE235" i="52"/>
  <c r="BA235" i="52"/>
  <c r="AY235" i="52"/>
  <c r="BJ233" i="52"/>
  <c r="BH233" i="52"/>
  <c r="BF233" i="52"/>
  <c r="BD233" i="52"/>
  <c r="BK233" i="52"/>
  <c r="BI233" i="52"/>
  <c r="BG233" i="52"/>
  <c r="BE233" i="52"/>
  <c r="BA233" i="52"/>
  <c r="AY233" i="52"/>
  <c r="BJ231" i="52"/>
  <c r="BH231" i="52"/>
  <c r="BF231" i="52"/>
  <c r="BD231" i="52"/>
  <c r="BK231" i="52"/>
  <c r="BI231" i="52"/>
  <c r="BG231" i="52"/>
  <c r="BE231" i="52"/>
  <c r="BA231" i="52"/>
  <c r="AY231" i="52"/>
  <c r="BJ227" i="52"/>
  <c r="BH227" i="52"/>
  <c r="BF227" i="52"/>
  <c r="BD227" i="52"/>
  <c r="BK227" i="52"/>
  <c r="BI227" i="52"/>
  <c r="BG227" i="52"/>
  <c r="BE227" i="52"/>
  <c r="BA227" i="52"/>
  <c r="AY227" i="52"/>
  <c r="BJ225" i="52"/>
  <c r="BH225" i="52"/>
  <c r="BF225" i="52"/>
  <c r="BD225" i="52"/>
  <c r="BK225" i="52"/>
  <c r="BI225" i="52"/>
  <c r="BG225" i="52"/>
  <c r="BE225" i="52"/>
  <c r="BA225" i="52"/>
  <c r="AY225" i="52"/>
  <c r="BJ223" i="52"/>
  <c r="BH223" i="52"/>
  <c r="BF223" i="52"/>
  <c r="BD223" i="52"/>
  <c r="BK223" i="52"/>
  <c r="BI223" i="52"/>
  <c r="BG223" i="52"/>
  <c r="BE223" i="52"/>
  <c r="BA223" i="52"/>
  <c r="AY223" i="52"/>
  <c r="BJ221" i="52"/>
  <c r="BH221" i="52"/>
  <c r="BF221" i="52"/>
  <c r="BD221" i="52"/>
  <c r="BK221" i="52"/>
  <c r="BI221" i="52"/>
  <c r="BG221" i="52"/>
  <c r="BE221" i="52"/>
  <c r="BA221" i="52"/>
  <c r="AY221" i="52"/>
  <c r="BJ219" i="52"/>
  <c r="BH219" i="52"/>
  <c r="BF219" i="52"/>
  <c r="BD219" i="52"/>
  <c r="BK219" i="52"/>
  <c r="BI219" i="52"/>
  <c r="BG219" i="52"/>
  <c r="BE219" i="52"/>
  <c r="BA219" i="52"/>
  <c r="AY219" i="52"/>
  <c r="CG217" i="52"/>
  <c r="AS217" i="52"/>
  <c r="AQ217" i="52"/>
  <c r="AO217" i="52"/>
  <c r="AM217" i="52"/>
  <c r="AK217" i="52"/>
  <c r="AI217" i="52"/>
  <c r="AG217" i="52"/>
  <c r="BJ281" i="52"/>
  <c r="BH281" i="52"/>
  <c r="BF281" i="52"/>
  <c r="BD281" i="52"/>
  <c r="BK281" i="52"/>
  <c r="BI281" i="52"/>
  <c r="BG281" i="52"/>
  <c r="BE281" i="52"/>
  <c r="BA281" i="52"/>
  <c r="AY281" i="52"/>
  <c r="BJ279" i="52"/>
  <c r="BH279" i="52"/>
  <c r="BF279" i="52"/>
  <c r="BD279" i="52"/>
  <c r="BK279" i="52"/>
  <c r="BI279" i="52"/>
  <c r="BG279" i="52"/>
  <c r="BE279" i="52"/>
  <c r="BA279" i="52"/>
  <c r="AY279" i="52"/>
  <c r="BJ277" i="52"/>
  <c r="BH277" i="52"/>
  <c r="BF277" i="52"/>
  <c r="BD277" i="52"/>
  <c r="BK277" i="52"/>
  <c r="BI277" i="52"/>
  <c r="BG277" i="52"/>
  <c r="BE277" i="52"/>
  <c r="BA277" i="52"/>
  <c r="AY277" i="52"/>
  <c r="BJ276" i="52"/>
  <c r="BH276" i="52"/>
  <c r="BF276" i="52"/>
  <c r="BD276" i="52"/>
  <c r="BK276" i="52"/>
  <c r="BI276" i="52"/>
  <c r="BG276" i="52"/>
  <c r="BE276" i="52"/>
  <c r="BA276" i="52"/>
  <c r="AY276" i="52"/>
  <c r="CG273" i="52"/>
  <c r="AS273" i="52"/>
  <c r="AQ273" i="52"/>
  <c r="AO273" i="52"/>
  <c r="AM273" i="52"/>
  <c r="AK273" i="52"/>
  <c r="AI273" i="52"/>
  <c r="AG273" i="52"/>
  <c r="CG271" i="52"/>
  <c r="AS271" i="52"/>
  <c r="AQ271" i="52"/>
  <c r="AO271" i="52"/>
  <c r="AM271" i="52"/>
  <c r="AK271" i="52"/>
  <c r="AI271" i="52"/>
  <c r="AG271" i="52"/>
  <c r="CG269" i="52"/>
  <c r="AS269" i="52"/>
  <c r="AQ269" i="52"/>
  <c r="AO269" i="52"/>
  <c r="AM269" i="52"/>
  <c r="AK269" i="52"/>
  <c r="AI269" i="52"/>
  <c r="AG269" i="52"/>
  <c r="BJ268" i="52"/>
  <c r="BH268" i="52"/>
  <c r="BF268" i="52"/>
  <c r="BD268" i="52"/>
  <c r="BK268" i="52"/>
  <c r="BI268" i="52"/>
  <c r="BG268" i="52"/>
  <c r="BE268" i="52"/>
  <c r="BA268" i="52"/>
  <c r="AY268" i="52"/>
  <c r="BN229" i="52"/>
  <c r="AZ226" i="52"/>
  <c r="AZ224" i="52"/>
  <c r="AZ222" i="52"/>
  <c r="AZ220" i="52"/>
  <c r="AZ218" i="52"/>
  <c r="AR217" i="52"/>
  <c r="AN217" i="52"/>
  <c r="AP216" i="52"/>
  <c r="AL216" i="52"/>
  <c r="AR215" i="52"/>
  <c r="AZ281" i="52"/>
  <c r="BN281" i="52" s="1"/>
  <c r="CG281" i="52"/>
  <c r="AZ279" i="52"/>
  <c r="BN279" i="52" s="1"/>
  <c r="CG279" i="52"/>
  <c r="AZ277" i="52"/>
  <c r="BN277" i="52" s="1"/>
  <c r="CG277" i="52"/>
  <c r="AR274" i="52"/>
  <c r="AP273" i="52"/>
  <c r="AL273" i="52"/>
  <c r="AR272" i="52"/>
  <c r="AP271" i="52"/>
  <c r="AL271" i="52"/>
  <c r="AR270" i="52"/>
  <c r="AP269" i="52"/>
  <c r="AL269" i="52"/>
  <c r="CG212" i="52"/>
  <c r="AP212" i="52"/>
  <c r="AL212" i="52"/>
  <c r="AH212" i="52"/>
  <c r="AR212" i="52"/>
  <c r="AN212" i="52"/>
  <c r="AJ212" i="52"/>
  <c r="CG210" i="52"/>
  <c r="AP210" i="52"/>
  <c r="AL210" i="52"/>
  <c r="AH210" i="52"/>
  <c r="AR210" i="52"/>
  <c r="AN210" i="52"/>
  <c r="AV210" i="52" s="1"/>
  <c r="AJ210" i="52"/>
  <c r="AZ234" i="52"/>
  <c r="BN234" i="52" s="1"/>
  <c r="AZ232" i="52"/>
  <c r="AZ230" i="52"/>
  <c r="AR229" i="52"/>
  <c r="AZ228" i="52"/>
  <c r="AZ280" i="52"/>
  <c r="AZ278" i="52"/>
  <c r="AZ275" i="52"/>
  <c r="CG213" i="52"/>
  <c r="AR213" i="52"/>
  <c r="AN213" i="52"/>
  <c r="AJ213" i="52"/>
  <c r="AP213" i="52"/>
  <c r="AL213" i="52"/>
  <c r="AH213" i="52"/>
  <c r="BJ211" i="52"/>
  <c r="BH211" i="52"/>
  <c r="BF211" i="52"/>
  <c r="BD211" i="52"/>
  <c r="BK211" i="52"/>
  <c r="BG211" i="52"/>
  <c r="AY211" i="52"/>
  <c r="BI211" i="52"/>
  <c r="BE211" i="52"/>
  <c r="BA211" i="52"/>
  <c r="AZ211" i="52"/>
  <c r="AX211" i="52"/>
  <c r="AR206" i="52"/>
  <c r="AP206" i="52"/>
  <c r="AN206" i="52"/>
  <c r="AL206" i="52"/>
  <c r="AJ206" i="52"/>
  <c r="AH206" i="52"/>
  <c r="CG206" i="52"/>
  <c r="AK206" i="52"/>
  <c r="AG206" i="52"/>
  <c r="AR51" i="52"/>
  <c r="AP51" i="52"/>
  <c r="AN51" i="52"/>
  <c r="AL51" i="52"/>
  <c r="AJ51" i="52"/>
  <c r="AH51" i="52"/>
  <c r="CG51" i="52"/>
  <c r="AK51" i="52"/>
  <c r="AG51" i="52"/>
  <c r="AR49" i="52"/>
  <c r="AP49" i="52"/>
  <c r="AN49" i="52"/>
  <c r="AL49" i="52"/>
  <c r="AJ49" i="52"/>
  <c r="AH49" i="52"/>
  <c r="CG49" i="52"/>
  <c r="AK49" i="52"/>
  <c r="AG49" i="52"/>
  <c r="AR47" i="52"/>
  <c r="AP47" i="52"/>
  <c r="AN47" i="52"/>
  <c r="AL47" i="52"/>
  <c r="AJ47" i="52"/>
  <c r="AH47" i="52"/>
  <c r="CG47" i="52"/>
  <c r="AK47" i="52"/>
  <c r="AG47" i="52"/>
  <c r="AR46" i="52"/>
  <c r="AP46" i="52"/>
  <c r="AN46" i="52"/>
  <c r="AL46" i="52"/>
  <c r="AJ46" i="52"/>
  <c r="AH46" i="52"/>
  <c r="CG46" i="52"/>
  <c r="AK46" i="52"/>
  <c r="AG46" i="52"/>
  <c r="AR40" i="52"/>
  <c r="AP40" i="52"/>
  <c r="AN40" i="52"/>
  <c r="AL40" i="52"/>
  <c r="AJ40" i="52"/>
  <c r="AH40" i="52"/>
  <c r="CG40" i="52"/>
  <c r="AS40" i="52"/>
  <c r="AQ40" i="52"/>
  <c r="AO40" i="52"/>
  <c r="AM40" i="52"/>
  <c r="AK40" i="52"/>
  <c r="AI40" i="52"/>
  <c r="AG40" i="52"/>
  <c r="CG39" i="52"/>
  <c r="AS39" i="52"/>
  <c r="AQ39" i="52"/>
  <c r="AO39" i="52"/>
  <c r="AM39" i="52"/>
  <c r="AK39" i="52"/>
  <c r="AI39" i="52"/>
  <c r="AG39" i="52"/>
  <c r="CG37" i="52"/>
  <c r="AS37" i="52"/>
  <c r="AQ37" i="52"/>
  <c r="AO37" i="52"/>
  <c r="AM37" i="52"/>
  <c r="AK37" i="52"/>
  <c r="AI37" i="52"/>
  <c r="AG37" i="52"/>
  <c r="CG35" i="52"/>
  <c r="AS35" i="52"/>
  <c r="AQ35" i="52"/>
  <c r="AO35" i="52"/>
  <c r="AM35" i="52"/>
  <c r="AK35" i="52"/>
  <c r="AI35" i="52"/>
  <c r="AG35" i="52"/>
  <c r="CG33" i="52"/>
  <c r="AS33" i="52"/>
  <c r="AQ33" i="52"/>
  <c r="AO33" i="52"/>
  <c r="AM33" i="52"/>
  <c r="AK33" i="52"/>
  <c r="AI33" i="52"/>
  <c r="AG33" i="52"/>
  <c r="CG110" i="52"/>
  <c r="AS110" i="52"/>
  <c r="AQ110" i="52"/>
  <c r="AO110" i="52"/>
  <c r="AM110" i="52"/>
  <c r="AK110" i="52"/>
  <c r="AI110" i="52"/>
  <c r="AG110" i="52"/>
  <c r="BJ107" i="52"/>
  <c r="BH107" i="52"/>
  <c r="BF107" i="52"/>
  <c r="BD107" i="52"/>
  <c r="BK107" i="52"/>
  <c r="BI107" i="52"/>
  <c r="BG107" i="52"/>
  <c r="BE107" i="52"/>
  <c r="BA107" i="52"/>
  <c r="AY107" i="52"/>
  <c r="CG106" i="52"/>
  <c r="AS106" i="52"/>
  <c r="AQ106" i="52"/>
  <c r="AO106" i="52"/>
  <c r="AM106" i="52"/>
  <c r="AK106" i="52"/>
  <c r="AI106" i="52"/>
  <c r="AG106" i="52"/>
  <c r="CG103" i="52"/>
  <c r="AS103" i="52"/>
  <c r="AQ103" i="52"/>
  <c r="AO103" i="52"/>
  <c r="AM103" i="52"/>
  <c r="AK103" i="52"/>
  <c r="AI103" i="52"/>
  <c r="AG103" i="52"/>
  <c r="BJ18" i="52"/>
  <c r="BH18" i="52"/>
  <c r="BF18" i="52"/>
  <c r="BD18" i="52"/>
  <c r="BK18" i="52"/>
  <c r="BI18" i="52"/>
  <c r="BG18" i="52"/>
  <c r="BE18" i="52"/>
  <c r="BA18" i="52"/>
  <c r="AY18" i="52"/>
  <c r="CG16" i="52"/>
  <c r="AS16" i="52"/>
  <c r="AQ16" i="52"/>
  <c r="AO16" i="52"/>
  <c r="AM16" i="52"/>
  <c r="AK16" i="52"/>
  <c r="AI16" i="52"/>
  <c r="AG16" i="52"/>
  <c r="CG14" i="52"/>
  <c r="AS14" i="52"/>
  <c r="AQ14" i="52"/>
  <c r="AO14" i="52"/>
  <c r="AM14" i="52"/>
  <c r="AK14" i="52"/>
  <c r="AI14" i="52"/>
  <c r="AG14" i="52"/>
  <c r="CG11" i="52"/>
  <c r="AS11" i="52"/>
  <c r="AQ11" i="52"/>
  <c r="AO11" i="52"/>
  <c r="AM11" i="52"/>
  <c r="AK11" i="52"/>
  <c r="AI11" i="52"/>
  <c r="AG11" i="52"/>
  <c r="CG9" i="52"/>
  <c r="AS9" i="52"/>
  <c r="AQ9" i="52"/>
  <c r="AO9" i="52"/>
  <c r="AM9" i="52"/>
  <c r="AK9" i="52"/>
  <c r="AI9" i="52"/>
  <c r="AG9" i="52"/>
  <c r="BJ154" i="52"/>
  <c r="BH154" i="52"/>
  <c r="BF154" i="52"/>
  <c r="BD154" i="52"/>
  <c r="BK154" i="52"/>
  <c r="BI154" i="52"/>
  <c r="BG154" i="52"/>
  <c r="BE154" i="52"/>
  <c r="BA154" i="52"/>
  <c r="AY154" i="52"/>
  <c r="BJ152" i="52"/>
  <c r="BH152" i="52"/>
  <c r="BF152" i="52"/>
  <c r="BD152" i="52"/>
  <c r="BK152" i="52"/>
  <c r="BI152" i="52"/>
  <c r="BG152" i="52"/>
  <c r="BE152" i="52"/>
  <c r="BA152" i="52"/>
  <c r="AY152" i="52"/>
  <c r="BJ150" i="52"/>
  <c r="BH150" i="52"/>
  <c r="BF150" i="52"/>
  <c r="BD150" i="52"/>
  <c r="BK150" i="52"/>
  <c r="BI150" i="52"/>
  <c r="BG150" i="52"/>
  <c r="BE150" i="52"/>
  <c r="BA150" i="52"/>
  <c r="AY150" i="52"/>
  <c r="BJ148" i="52"/>
  <c r="BH148" i="52"/>
  <c r="BF148" i="52"/>
  <c r="BD148" i="52"/>
  <c r="BK148" i="52"/>
  <c r="BI148" i="52"/>
  <c r="BG148" i="52"/>
  <c r="BE148" i="52"/>
  <c r="BA148" i="52"/>
  <c r="AY148" i="52"/>
  <c r="BJ146" i="52"/>
  <c r="BH146" i="52"/>
  <c r="BF146" i="52"/>
  <c r="BD146" i="52"/>
  <c r="BK146" i="52"/>
  <c r="BI146" i="52"/>
  <c r="BG146" i="52"/>
  <c r="BE146" i="52"/>
  <c r="BA146" i="52"/>
  <c r="AY146" i="52"/>
  <c r="BJ144" i="52"/>
  <c r="BH144" i="52"/>
  <c r="BF144" i="52"/>
  <c r="BD144" i="52"/>
  <c r="BK144" i="52"/>
  <c r="BI144" i="52"/>
  <c r="BG144" i="52"/>
  <c r="BE144" i="52"/>
  <c r="BA144" i="52"/>
  <c r="AY144" i="52"/>
  <c r="BJ142" i="52"/>
  <c r="BH142" i="52"/>
  <c r="BF142" i="52"/>
  <c r="BD142" i="52"/>
  <c r="BK142" i="52"/>
  <c r="BI142" i="52"/>
  <c r="BG142" i="52"/>
  <c r="BE142" i="52"/>
  <c r="BA142" i="52"/>
  <c r="AY142" i="52"/>
  <c r="CG140" i="52"/>
  <c r="AS140" i="52"/>
  <c r="AQ140" i="52"/>
  <c r="AO140" i="52"/>
  <c r="AM140" i="52"/>
  <c r="AK140" i="52"/>
  <c r="AI140" i="52"/>
  <c r="AG140" i="52"/>
  <c r="CG139" i="52"/>
  <c r="AS139" i="52"/>
  <c r="AQ139" i="52"/>
  <c r="AO139" i="52"/>
  <c r="AM139" i="52"/>
  <c r="AK139" i="52"/>
  <c r="AI139" i="52"/>
  <c r="AG139" i="52"/>
  <c r="CG137" i="52"/>
  <c r="AS137" i="52"/>
  <c r="AQ137" i="52"/>
  <c r="AO137" i="52"/>
  <c r="AM137" i="52"/>
  <c r="AK137" i="52"/>
  <c r="AI137" i="52"/>
  <c r="AG137" i="52"/>
  <c r="CG124" i="52"/>
  <c r="AS124" i="52"/>
  <c r="AQ124" i="52"/>
  <c r="AO124" i="52"/>
  <c r="AM124" i="52"/>
  <c r="AK124" i="52"/>
  <c r="AI124" i="52"/>
  <c r="AG124" i="52"/>
  <c r="CG122" i="52"/>
  <c r="AS122" i="52"/>
  <c r="AQ122" i="52"/>
  <c r="AO122" i="52"/>
  <c r="AM122" i="52"/>
  <c r="AK122" i="52"/>
  <c r="AI122" i="52"/>
  <c r="AG122" i="52"/>
  <c r="CG120" i="52"/>
  <c r="AS120" i="52"/>
  <c r="AQ120" i="52"/>
  <c r="AO120" i="52"/>
  <c r="AM120" i="52"/>
  <c r="AK120" i="52"/>
  <c r="AI120" i="52"/>
  <c r="AG120" i="52"/>
  <c r="BJ118" i="52"/>
  <c r="BH118" i="52"/>
  <c r="BF118" i="52"/>
  <c r="BD118" i="52"/>
  <c r="BK118" i="52"/>
  <c r="BI118" i="52"/>
  <c r="BG118" i="52"/>
  <c r="BE118" i="52"/>
  <c r="BA118" i="52"/>
  <c r="AY118" i="52"/>
  <c r="BJ116" i="52"/>
  <c r="BH116" i="52"/>
  <c r="BF116" i="52"/>
  <c r="BD116" i="52"/>
  <c r="BK116" i="52"/>
  <c r="BI116" i="52"/>
  <c r="BG116" i="52"/>
  <c r="BE116" i="52"/>
  <c r="BA116" i="52"/>
  <c r="AY116" i="52"/>
  <c r="BJ114" i="52"/>
  <c r="BH114" i="52"/>
  <c r="BF114" i="52"/>
  <c r="BD114" i="52"/>
  <c r="BK114" i="52"/>
  <c r="BI114" i="52"/>
  <c r="BG114" i="52"/>
  <c r="BE114" i="52"/>
  <c r="BA114" i="52"/>
  <c r="AY114" i="52"/>
  <c r="BJ112" i="52"/>
  <c r="BH112" i="52"/>
  <c r="BF112" i="52"/>
  <c r="BD112" i="52"/>
  <c r="BK112" i="52"/>
  <c r="BI112" i="52"/>
  <c r="BG112" i="52"/>
  <c r="BE112" i="52"/>
  <c r="BA112" i="52"/>
  <c r="AY112" i="52"/>
  <c r="BJ111" i="52"/>
  <c r="BH111" i="52"/>
  <c r="BF111" i="52"/>
  <c r="BD111" i="52"/>
  <c r="BK111" i="52"/>
  <c r="BI111" i="52"/>
  <c r="BG111" i="52"/>
  <c r="BE111" i="52"/>
  <c r="BA111" i="52"/>
  <c r="AY111" i="52"/>
  <c r="CG247" i="52"/>
  <c r="AS247" i="52"/>
  <c r="AQ247" i="52"/>
  <c r="AO247" i="52"/>
  <c r="AM247" i="52"/>
  <c r="AK247" i="52"/>
  <c r="AI247" i="52"/>
  <c r="AG247" i="52"/>
  <c r="CG245" i="52"/>
  <c r="AS245" i="52"/>
  <c r="AQ245" i="52"/>
  <c r="AO245" i="52"/>
  <c r="AM245" i="52"/>
  <c r="AK245" i="52"/>
  <c r="AI245" i="52"/>
  <c r="AG245" i="52"/>
  <c r="CG243" i="52"/>
  <c r="AS243" i="52"/>
  <c r="AQ243" i="52"/>
  <c r="AO243" i="52"/>
  <c r="AM243" i="52"/>
  <c r="AK243" i="52"/>
  <c r="AI243" i="52"/>
  <c r="AG243" i="52"/>
  <c r="AQ207" i="52"/>
  <c r="AS205" i="52"/>
  <c r="AQ204" i="52"/>
  <c r="AU195" i="52"/>
  <c r="AQ50" i="52"/>
  <c r="AS48" i="52"/>
  <c r="AS45" i="52"/>
  <c r="AQ41" i="52"/>
  <c r="AP39" i="52"/>
  <c r="AL39" i="52"/>
  <c r="AR38" i="52"/>
  <c r="AP37" i="52"/>
  <c r="AL37" i="52"/>
  <c r="AR36" i="52"/>
  <c r="AP35" i="52"/>
  <c r="AL35" i="52"/>
  <c r="AR34" i="52"/>
  <c r="AP33" i="52"/>
  <c r="AL33" i="52"/>
  <c r="AR32" i="52"/>
  <c r="AP110" i="52"/>
  <c r="AL110" i="52"/>
  <c r="AR109" i="52"/>
  <c r="AR17" i="52"/>
  <c r="AR16" i="52"/>
  <c r="AN16" i="52"/>
  <c r="AP15" i="52"/>
  <c r="AL15" i="52"/>
  <c r="AR120" i="52"/>
  <c r="AN120" i="52"/>
  <c r="AJ120" i="52"/>
  <c r="AP247" i="52"/>
  <c r="AL247" i="52"/>
  <c r="AR246" i="52"/>
  <c r="AP245" i="52"/>
  <c r="AL245" i="52"/>
  <c r="AR244" i="52"/>
  <c r="AP243" i="52"/>
  <c r="AL243" i="52"/>
  <c r="CG241" i="52"/>
  <c r="AP241" i="52"/>
  <c r="AL241" i="52"/>
  <c r="AH241" i="52"/>
  <c r="AR241" i="52"/>
  <c r="AN241" i="52"/>
  <c r="AJ241" i="52"/>
  <c r="CG239" i="52"/>
  <c r="AP239" i="52"/>
  <c r="AL239" i="52"/>
  <c r="AH239" i="52"/>
  <c r="AR239" i="52"/>
  <c r="AN239" i="52"/>
  <c r="AJ239" i="52"/>
  <c r="CG237" i="52"/>
  <c r="AP237" i="52"/>
  <c r="AL237" i="52"/>
  <c r="AH237" i="52"/>
  <c r="AR237" i="52"/>
  <c r="AN237" i="52"/>
  <c r="AJ237" i="52"/>
  <c r="CG193" i="52"/>
  <c r="AP193" i="52"/>
  <c r="AL193" i="52"/>
  <c r="AH193" i="52"/>
  <c r="AR193" i="52"/>
  <c r="AN193" i="52"/>
  <c r="AJ193" i="52"/>
  <c r="BK191" i="52"/>
  <c r="BI191" i="52"/>
  <c r="BG191" i="52"/>
  <c r="BE191" i="52"/>
  <c r="AX191" i="52"/>
  <c r="BH191" i="52"/>
  <c r="BD191" i="52"/>
  <c r="AZ191" i="52"/>
  <c r="BF191" i="52"/>
  <c r="AS5" i="52"/>
  <c r="AO5" i="52"/>
  <c r="AK5" i="52"/>
  <c r="AG5" i="52"/>
  <c r="AQ5" i="52"/>
  <c r="AM5" i="52"/>
  <c r="AI5" i="52"/>
  <c r="CG5" i="52"/>
  <c r="AL5" i="52"/>
  <c r="BJ2" i="52"/>
  <c r="BH2" i="52"/>
  <c r="BF2" i="52"/>
  <c r="BD2" i="52"/>
  <c r="BK2" i="52"/>
  <c r="BG2" i="52"/>
  <c r="BE2" i="52"/>
  <c r="BA2" i="52"/>
  <c r="AY2" i="52"/>
  <c r="BI2" i="52"/>
  <c r="AS206" i="52"/>
  <c r="AO206" i="52"/>
  <c r="AS51" i="52"/>
  <c r="AO51" i="52"/>
  <c r="AQ49" i="52"/>
  <c r="AM49" i="52"/>
  <c r="AS47" i="52"/>
  <c r="AO47" i="52"/>
  <c r="AQ46" i="52"/>
  <c r="AM46" i="52"/>
  <c r="BN37" i="52"/>
  <c r="AP106" i="52"/>
  <c r="AL106" i="52"/>
  <c r="AR105" i="52"/>
  <c r="AP104" i="52"/>
  <c r="AR103" i="52"/>
  <c r="AN103" i="52"/>
  <c r="AP102" i="52"/>
  <c r="AZ18" i="52"/>
  <c r="BN18" i="52" s="1"/>
  <c r="CG18" i="52"/>
  <c r="AP14" i="52"/>
  <c r="AL14" i="52"/>
  <c r="AR13" i="52"/>
  <c r="AP12" i="52"/>
  <c r="AR11" i="52"/>
  <c r="AN11" i="52"/>
  <c r="AP10" i="52"/>
  <c r="AR9" i="52"/>
  <c r="AN9" i="52"/>
  <c r="AZ155" i="52"/>
  <c r="AZ153" i="52"/>
  <c r="AZ151" i="52"/>
  <c r="AZ149" i="52"/>
  <c r="AZ147" i="52"/>
  <c r="AZ145" i="52"/>
  <c r="AZ143" i="52"/>
  <c r="AZ141" i="52"/>
  <c r="AP140" i="52"/>
  <c r="AL140" i="52"/>
  <c r="AP139" i="52"/>
  <c r="AL139" i="52"/>
  <c r="AR138" i="52"/>
  <c r="AP137" i="52"/>
  <c r="AL137" i="52"/>
  <c r="AR136" i="52"/>
  <c r="AP124" i="52"/>
  <c r="AL124" i="52"/>
  <c r="AR123" i="52"/>
  <c r="AP122" i="52"/>
  <c r="AL122" i="52"/>
  <c r="AR121" i="52"/>
  <c r="AN121" i="52"/>
  <c r="AP119" i="52"/>
  <c r="AL119" i="52"/>
  <c r="AR117" i="52"/>
  <c r="BJ242" i="52"/>
  <c r="BH242" i="52"/>
  <c r="BF242" i="52"/>
  <c r="BD242" i="52"/>
  <c r="AY242" i="52"/>
  <c r="BI242" i="52"/>
  <c r="BE242" i="52"/>
  <c r="BA242" i="52"/>
  <c r="AZ242" i="52"/>
  <c r="AX242" i="52"/>
  <c r="BJ240" i="52"/>
  <c r="BH240" i="52"/>
  <c r="BF240" i="52"/>
  <c r="BD240" i="52"/>
  <c r="AY240" i="52"/>
  <c r="BI240" i="52"/>
  <c r="BE240" i="52"/>
  <c r="BA240" i="52"/>
  <c r="AZ240" i="52"/>
  <c r="AX240" i="52"/>
  <c r="BJ238" i="52"/>
  <c r="BH238" i="52"/>
  <c r="BF238" i="52"/>
  <c r="BD238" i="52"/>
  <c r="AY238" i="52"/>
  <c r="BI238" i="52"/>
  <c r="BE238" i="52"/>
  <c r="BA238" i="52"/>
  <c r="AZ238" i="52"/>
  <c r="AX238" i="52"/>
  <c r="BJ236" i="52"/>
  <c r="BH236" i="52"/>
  <c r="BF236" i="52"/>
  <c r="BD236" i="52"/>
  <c r="AY236" i="52"/>
  <c r="BI236" i="52"/>
  <c r="BE236" i="52"/>
  <c r="BA236" i="52"/>
  <c r="AZ236" i="52"/>
  <c r="AX236" i="52"/>
  <c r="AP191" i="52"/>
  <c r="BA191" i="52"/>
  <c r="AY191" i="52"/>
  <c r="AP8" i="52"/>
  <c r="AL8" i="52"/>
  <c r="AN5" i="52"/>
  <c r="AZ259" i="52"/>
  <c r="AX259" i="52"/>
  <c r="BJ255" i="52"/>
  <c r="BH255" i="52"/>
  <c r="BF255" i="52"/>
  <c r="BD255" i="52"/>
  <c r="BI255" i="52"/>
  <c r="BE255" i="52"/>
  <c r="BA255" i="52"/>
  <c r="BG255" i="52"/>
  <c r="AY255" i="52"/>
  <c r="BK255" i="52"/>
  <c r="BJ253" i="52"/>
  <c r="BH253" i="52"/>
  <c r="BF253" i="52"/>
  <c r="BD253" i="52"/>
  <c r="BI253" i="52"/>
  <c r="BE253" i="52"/>
  <c r="BA253" i="52"/>
  <c r="BG253" i="52"/>
  <c r="AY253" i="52"/>
  <c r="BK253" i="52"/>
  <c r="AZ253" i="52"/>
  <c r="AX253" i="52"/>
  <c r="AZ251" i="52"/>
  <c r="BJ249" i="52"/>
  <c r="BH249" i="52"/>
  <c r="BF249" i="52"/>
  <c r="BD249" i="52"/>
  <c r="BI249" i="52"/>
  <c r="BE249" i="52"/>
  <c r="BA249" i="52"/>
  <c r="BK249" i="52"/>
  <c r="BG249" i="52"/>
  <c r="AY249" i="52"/>
  <c r="AZ249" i="52"/>
  <c r="AX249" i="52"/>
  <c r="CG250" i="52"/>
  <c r="AR250" i="52"/>
  <c r="AN250" i="52"/>
  <c r="AJ250" i="52"/>
  <c r="AP250" i="52"/>
  <c r="AH250" i="52"/>
  <c r="AL250" i="52"/>
  <c r="AK258" i="52"/>
  <c r="AI258" i="52"/>
  <c r="AG258" i="52"/>
  <c r="CG256" i="52"/>
  <c r="AR256" i="52"/>
  <c r="AN256" i="52"/>
  <c r="AJ256" i="52"/>
  <c r="AL256" i="52"/>
  <c r="AH256" i="52"/>
  <c r="AP256" i="52"/>
  <c r="AK254" i="52"/>
  <c r="AI254" i="52"/>
  <c r="AG254" i="52"/>
  <c r="CG252" i="52"/>
  <c r="AR252" i="52"/>
  <c r="AN252" i="52"/>
  <c r="AJ252" i="52"/>
  <c r="AL252" i="52"/>
  <c r="AH252" i="52"/>
  <c r="AP252" i="52"/>
  <c r="CG262" i="52"/>
  <c r="AP262" i="52"/>
  <c r="AL262" i="52"/>
  <c r="AH262" i="52"/>
  <c r="AN262" i="52"/>
  <c r="AR262" i="52"/>
  <c r="AJ262" i="52"/>
  <c r="CG259" i="52"/>
  <c r="AP259" i="52"/>
  <c r="AL259" i="52"/>
  <c r="AH259" i="52"/>
  <c r="AR259" i="52"/>
  <c r="AJ259" i="52"/>
  <c r="AN259" i="52"/>
  <c r="CG257" i="52"/>
  <c r="AP257" i="52"/>
  <c r="AL257" i="52"/>
  <c r="AH257" i="52"/>
  <c r="AR257" i="52"/>
  <c r="AJ257" i="52"/>
  <c r="AN257" i="52"/>
  <c r="CG255" i="52"/>
  <c r="AP255" i="52"/>
  <c r="AL255" i="52"/>
  <c r="AH255" i="52"/>
  <c r="AR255" i="52"/>
  <c r="AJ255" i="52"/>
  <c r="AN255" i="52"/>
  <c r="CG253" i="52"/>
  <c r="AP253" i="52"/>
  <c r="AL253" i="52"/>
  <c r="AH253" i="52"/>
  <c r="AR253" i="52"/>
  <c r="AJ253" i="52"/>
  <c r="AN253" i="52"/>
  <c r="CG251" i="52"/>
  <c r="AP251" i="52"/>
  <c r="AL251" i="52"/>
  <c r="AH251" i="52"/>
  <c r="AN251" i="52"/>
  <c r="AR251" i="52"/>
  <c r="AJ251" i="52"/>
  <c r="CG249" i="52"/>
  <c r="AP249" i="52"/>
  <c r="AL249" i="52"/>
  <c r="AH249" i="52"/>
  <c r="AN249" i="52"/>
  <c r="AR249" i="52"/>
  <c r="AJ249" i="52"/>
  <c r="BJ250" i="52"/>
  <c r="BH250" i="52"/>
  <c r="BF250" i="52"/>
  <c r="BD250" i="52"/>
  <c r="AY250" i="52"/>
  <c r="BE250" i="52"/>
  <c r="BI250" i="52"/>
  <c r="BA250" i="52"/>
  <c r="AS250" i="52"/>
  <c r="BG250" i="52"/>
  <c r="AM250" i="52"/>
  <c r="AZ250" i="52"/>
  <c r="AX250" i="52"/>
  <c r="BJ258" i="52"/>
  <c r="BH258" i="52"/>
  <c r="BF258" i="52"/>
  <c r="BD258" i="52"/>
  <c r="AY258" i="52"/>
  <c r="BA258" i="52"/>
  <c r="AS258" i="52"/>
  <c r="AQ258" i="52"/>
  <c r="AO258" i="52"/>
  <c r="AM258" i="52"/>
  <c r="AZ258" i="52"/>
  <c r="AX258" i="52"/>
  <c r="BJ256" i="52"/>
  <c r="BH256" i="52"/>
  <c r="BF256" i="52"/>
  <c r="BD256" i="52"/>
  <c r="AY256" i="52"/>
  <c r="BA256" i="52"/>
  <c r="AS256" i="52"/>
  <c r="AQ256" i="52"/>
  <c r="AO256" i="52"/>
  <c r="AM256" i="52"/>
  <c r="AZ256" i="52"/>
  <c r="AX256" i="52"/>
  <c r="BJ254" i="52"/>
  <c r="BH254" i="52"/>
  <c r="BF254" i="52"/>
  <c r="BD254" i="52"/>
  <c r="AY254" i="52"/>
  <c r="BA254" i="52"/>
  <c r="AS254" i="52"/>
  <c r="AQ254" i="52"/>
  <c r="AO254" i="52"/>
  <c r="AM254" i="52"/>
  <c r="AZ254" i="52"/>
  <c r="AX254" i="52"/>
  <c r="BJ252" i="52"/>
  <c r="BH252" i="52"/>
  <c r="BF252" i="52"/>
  <c r="BD252" i="52"/>
  <c r="AY252" i="52"/>
  <c r="BA252" i="52"/>
  <c r="AS252" i="52"/>
  <c r="AQ252" i="52"/>
  <c r="AO252" i="52"/>
  <c r="AM252" i="52"/>
  <c r="AZ252" i="52"/>
  <c r="AX252" i="52"/>
  <c r="AI73" i="52"/>
  <c r="AR72" i="52"/>
  <c r="AP72" i="52"/>
  <c r="AN72" i="52"/>
  <c r="AL72" i="52"/>
  <c r="AJ72" i="52"/>
  <c r="AH72" i="52"/>
  <c r="CG72" i="52"/>
  <c r="AK72" i="52"/>
  <c r="AG72" i="52"/>
  <c r="AI71" i="52"/>
  <c r="AR70" i="52"/>
  <c r="AP70" i="52"/>
  <c r="AN70" i="52"/>
  <c r="AL70" i="52"/>
  <c r="AJ70" i="52"/>
  <c r="AH70" i="52"/>
  <c r="CG70" i="52"/>
  <c r="AK70" i="52"/>
  <c r="AG70" i="52"/>
  <c r="AI69" i="52"/>
  <c r="AR68" i="52"/>
  <c r="AP68" i="52"/>
  <c r="AN68" i="52"/>
  <c r="AL68" i="52"/>
  <c r="AJ68" i="52"/>
  <c r="AH68" i="52"/>
  <c r="CG68" i="52"/>
  <c r="AK68" i="52"/>
  <c r="AG68" i="52"/>
  <c r="AI67" i="52"/>
  <c r="AI58" i="52"/>
  <c r="AR57" i="52"/>
  <c r="AP57" i="52"/>
  <c r="AN57" i="52"/>
  <c r="AL57" i="52"/>
  <c r="AJ57" i="52"/>
  <c r="AH57" i="52"/>
  <c r="CG57" i="52"/>
  <c r="AK57" i="52"/>
  <c r="AG57" i="52"/>
  <c r="BN56" i="52"/>
  <c r="AI56" i="52"/>
  <c r="AR55" i="52"/>
  <c r="AP55" i="52"/>
  <c r="AN55" i="52"/>
  <c r="AL55" i="52"/>
  <c r="AJ55" i="52"/>
  <c r="AH55" i="52"/>
  <c r="CG55" i="52"/>
  <c r="AK55" i="52"/>
  <c r="AG55" i="52"/>
  <c r="AI54" i="52"/>
  <c r="AR53" i="52"/>
  <c r="AP53" i="52"/>
  <c r="AN53" i="52"/>
  <c r="AL53" i="52"/>
  <c r="AJ53" i="52"/>
  <c r="AH53" i="52"/>
  <c r="CG53" i="52"/>
  <c r="AK53" i="52"/>
  <c r="AG53" i="52"/>
  <c r="AI52" i="52"/>
  <c r="AS72" i="52"/>
  <c r="AO72" i="52"/>
  <c r="AQ70" i="52"/>
  <c r="AM70" i="52"/>
  <c r="AS68" i="52"/>
  <c r="AO68" i="52"/>
  <c r="AS58" i="52"/>
  <c r="AO58" i="52"/>
  <c r="AQ56" i="52"/>
  <c r="AM56" i="52"/>
  <c r="BO56" i="52"/>
  <c r="AS54" i="52"/>
  <c r="AO54" i="52"/>
  <c r="AQ52" i="52"/>
  <c r="AM52" i="52"/>
  <c r="CG31" i="52"/>
  <c r="AP31" i="52"/>
  <c r="AL31" i="52"/>
  <c r="AH31" i="52"/>
  <c r="AR31" i="52"/>
  <c r="AJ31" i="52"/>
  <c r="AN31" i="52"/>
  <c r="CG29" i="52"/>
  <c r="AP29" i="52"/>
  <c r="AL29" i="52"/>
  <c r="AH29" i="52"/>
  <c r="AR29" i="52"/>
  <c r="AJ29" i="52"/>
  <c r="AN29" i="52"/>
  <c r="CG27" i="52"/>
  <c r="AP27" i="52"/>
  <c r="AL27" i="52"/>
  <c r="AH27" i="52"/>
  <c r="AR27" i="52"/>
  <c r="AJ27" i="52"/>
  <c r="AN27" i="52"/>
  <c r="BJ25" i="52"/>
  <c r="BH25" i="52"/>
  <c r="BF25" i="52"/>
  <c r="BD25" i="52"/>
  <c r="BI25" i="52"/>
  <c r="BE25" i="52"/>
  <c r="BA25" i="52"/>
  <c r="BK25" i="52"/>
  <c r="BG25" i="52"/>
  <c r="AY25" i="52"/>
  <c r="AQ25" i="52"/>
  <c r="AM25" i="52"/>
  <c r="AZ25" i="52"/>
  <c r="AX25" i="52"/>
  <c r="CG23" i="52"/>
  <c r="AP23" i="52"/>
  <c r="AL23" i="52"/>
  <c r="AH23" i="52"/>
  <c r="AN23" i="52"/>
  <c r="AR23" i="52"/>
  <c r="AJ23" i="52"/>
  <c r="CG21" i="52"/>
  <c r="AP21" i="52"/>
  <c r="AL21" i="52"/>
  <c r="AH21" i="52"/>
  <c r="AN21" i="52"/>
  <c r="AR21" i="52"/>
  <c r="AJ21" i="52"/>
  <c r="CG19" i="52"/>
  <c r="AP19" i="52"/>
  <c r="AL19" i="52"/>
  <c r="AH19" i="52"/>
  <c r="AN19" i="52"/>
  <c r="AR19" i="52"/>
  <c r="AJ19" i="52"/>
  <c r="CG135" i="52"/>
  <c r="AP135" i="52"/>
  <c r="AL135" i="52"/>
  <c r="AH135" i="52"/>
  <c r="AN135" i="52"/>
  <c r="AR135" i="52"/>
  <c r="AJ135" i="52"/>
  <c r="CG133" i="52"/>
  <c r="AP133" i="52"/>
  <c r="AL133" i="52"/>
  <c r="AH133" i="52"/>
  <c r="AN133" i="52"/>
  <c r="AR133" i="52"/>
  <c r="AJ133" i="52"/>
  <c r="CG131" i="52"/>
  <c r="AP131" i="52"/>
  <c r="AL131" i="52"/>
  <c r="AH131" i="52"/>
  <c r="AN131" i="52"/>
  <c r="AR131" i="52"/>
  <c r="AJ131" i="52"/>
  <c r="CG129" i="52"/>
  <c r="AP129" i="52"/>
  <c r="AL129" i="52"/>
  <c r="AH129" i="52"/>
  <c r="AN129" i="52"/>
  <c r="AR129" i="52"/>
  <c r="AJ129" i="52"/>
  <c r="CG127" i="52"/>
  <c r="AP127" i="52"/>
  <c r="AL127" i="52"/>
  <c r="AH127" i="52"/>
  <c r="AR127" i="52"/>
  <c r="AJ127" i="52"/>
  <c r="AN127" i="52"/>
  <c r="CG125" i="52"/>
  <c r="AP125" i="52"/>
  <c r="AL125" i="52"/>
  <c r="AH125" i="52"/>
  <c r="AR125" i="52"/>
  <c r="AJ125" i="52"/>
  <c r="AN125" i="52"/>
  <c r="AS73" i="52"/>
  <c r="AO73" i="52"/>
  <c r="AQ71" i="52"/>
  <c r="AM71" i="52"/>
  <c r="AS69" i="52"/>
  <c r="AO69" i="52"/>
  <c r="AQ67" i="52"/>
  <c r="AM67" i="52"/>
  <c r="AS57" i="52"/>
  <c r="AO57" i="52"/>
  <c r="AQ55" i="52"/>
  <c r="AM55" i="52"/>
  <c r="AS53" i="52"/>
  <c r="AO53" i="52"/>
  <c r="BK24" i="52"/>
  <c r="CG24" i="52"/>
  <c r="AR24" i="52"/>
  <c r="AN24" i="52"/>
  <c r="AJ24" i="52"/>
  <c r="AP24" i="52"/>
  <c r="AH24" i="52"/>
  <c r="AL24" i="52"/>
  <c r="BK22" i="52"/>
  <c r="CG22" i="52"/>
  <c r="AR22" i="52"/>
  <c r="AN22" i="52"/>
  <c r="AJ22" i="52"/>
  <c r="AP22" i="52"/>
  <c r="AH22" i="52"/>
  <c r="AL22" i="52"/>
  <c r="BK20" i="52"/>
  <c r="CG20" i="52"/>
  <c r="AR20" i="52"/>
  <c r="AN20" i="52"/>
  <c r="AJ20" i="52"/>
  <c r="AP20" i="52"/>
  <c r="AH20" i="52"/>
  <c r="AL20" i="52"/>
  <c r="BK134" i="52"/>
  <c r="CG134" i="52"/>
  <c r="AR134" i="52"/>
  <c r="AN134" i="52"/>
  <c r="AJ134" i="52"/>
  <c r="AP134" i="52"/>
  <c r="AH134" i="52"/>
  <c r="AL134" i="52"/>
  <c r="BK132" i="52"/>
  <c r="CG132" i="52"/>
  <c r="AR132" i="52"/>
  <c r="AN132" i="52"/>
  <c r="AJ132" i="52"/>
  <c r="AP132" i="52"/>
  <c r="AH132" i="52"/>
  <c r="AL132" i="52"/>
  <c r="BK130" i="52"/>
  <c r="CG130" i="52"/>
  <c r="AR130" i="52"/>
  <c r="AN130" i="52"/>
  <c r="AJ130" i="52"/>
  <c r="AP130" i="52"/>
  <c r="AH130" i="52"/>
  <c r="AL130" i="52"/>
  <c r="BK128" i="52"/>
  <c r="CG128" i="52"/>
  <c r="AR128" i="52"/>
  <c r="AN128" i="52"/>
  <c r="AJ128" i="52"/>
  <c r="AP128" i="52"/>
  <c r="AH128" i="52"/>
  <c r="AL128" i="52"/>
  <c r="BJ30" i="52"/>
  <c r="BH30" i="52"/>
  <c r="BF30" i="52"/>
  <c r="BD30" i="52"/>
  <c r="AY30" i="52"/>
  <c r="BI30" i="52"/>
  <c r="BA30" i="52"/>
  <c r="BE30" i="52"/>
  <c r="AS30" i="52"/>
  <c r="BG30" i="52"/>
  <c r="AM30" i="52"/>
  <c r="AZ30" i="52"/>
  <c r="AX30" i="52"/>
  <c r="BJ28" i="52"/>
  <c r="BH28" i="52"/>
  <c r="BF28" i="52"/>
  <c r="BD28" i="52"/>
  <c r="AY28" i="52"/>
  <c r="BI28" i="52"/>
  <c r="BA28" i="52"/>
  <c r="BE28" i="52"/>
  <c r="AS28" i="52"/>
  <c r="BG28" i="52"/>
  <c r="AM28" i="52"/>
  <c r="AZ28" i="52"/>
  <c r="AX28" i="52"/>
  <c r="BJ126" i="52"/>
  <c r="BH126" i="52"/>
  <c r="BF126" i="52"/>
  <c r="BD126" i="52"/>
  <c r="AY126" i="52"/>
  <c r="BI126" i="52"/>
  <c r="BA126" i="52"/>
  <c r="BE126" i="52"/>
  <c r="AS126" i="52"/>
  <c r="BG126" i="52"/>
  <c r="AM126" i="52"/>
  <c r="AZ126" i="52"/>
  <c r="AX126" i="52"/>
  <c r="BI24" i="52"/>
  <c r="CG101" i="52"/>
  <c r="AP101" i="52"/>
  <c r="AL101" i="52"/>
  <c r="AH101" i="52"/>
  <c r="AR101" i="52"/>
  <c r="AN101" i="52"/>
  <c r="AJ101" i="52"/>
  <c r="CG99" i="52"/>
  <c r="AP99" i="52"/>
  <c r="AL99" i="52"/>
  <c r="AH99" i="52"/>
  <c r="AR99" i="52"/>
  <c r="AN99" i="52"/>
  <c r="AJ99" i="52"/>
  <c r="CG97" i="52"/>
  <c r="AP97" i="52"/>
  <c r="AL97" i="52"/>
  <c r="AH97" i="52"/>
  <c r="AR97" i="52"/>
  <c r="AN97" i="52"/>
  <c r="AJ97" i="52"/>
  <c r="CG95" i="52"/>
  <c r="AP95" i="52"/>
  <c r="AL95" i="52"/>
  <c r="AH95" i="52"/>
  <c r="AR95" i="52"/>
  <c r="AN95" i="52"/>
  <c r="AJ95" i="52"/>
  <c r="CG93" i="52"/>
  <c r="AP93" i="52"/>
  <c r="AL93" i="52"/>
  <c r="AH93" i="52"/>
  <c r="AR93" i="52"/>
  <c r="AN93" i="52"/>
  <c r="AJ93" i="52"/>
  <c r="CG91" i="52"/>
  <c r="AP91" i="52"/>
  <c r="AL91" i="52"/>
  <c r="AH91" i="52"/>
  <c r="AR91" i="52"/>
  <c r="AN91" i="52"/>
  <c r="AJ91" i="52"/>
  <c r="CG89" i="52"/>
  <c r="AP89" i="52"/>
  <c r="AL89" i="52"/>
  <c r="AH89" i="52"/>
  <c r="AR89" i="52"/>
  <c r="AN89" i="52"/>
  <c r="AJ89" i="52"/>
  <c r="CG87" i="52"/>
  <c r="AP87" i="52"/>
  <c r="AL87" i="52"/>
  <c r="AH87" i="52"/>
  <c r="AR87" i="52"/>
  <c r="AN87" i="52"/>
  <c r="AJ87" i="52"/>
  <c r="BJ84" i="52"/>
  <c r="BH84" i="52"/>
  <c r="BF84" i="52"/>
  <c r="BD84" i="52"/>
  <c r="BI84" i="52"/>
  <c r="BE84" i="52"/>
  <c r="BA84" i="52"/>
  <c r="BK84" i="52"/>
  <c r="BG84" i="52"/>
  <c r="AY84" i="52"/>
  <c r="AQ84" i="52"/>
  <c r="AM84" i="52"/>
  <c r="AZ84" i="52"/>
  <c r="AX84" i="52"/>
  <c r="BJ82" i="52"/>
  <c r="BH82" i="52"/>
  <c r="BF82" i="52"/>
  <c r="BD82" i="52"/>
  <c r="BI82" i="52"/>
  <c r="BE82" i="52"/>
  <c r="BA82" i="52"/>
  <c r="BK82" i="52"/>
  <c r="BG82" i="52"/>
  <c r="AY82" i="52"/>
  <c r="AQ82" i="52"/>
  <c r="AM82" i="52"/>
  <c r="AZ82" i="52"/>
  <c r="AX82" i="52"/>
  <c r="BJ80" i="52"/>
  <c r="BH80" i="52"/>
  <c r="BF80" i="52"/>
  <c r="BD80" i="52"/>
  <c r="BI80" i="52"/>
  <c r="BE80" i="52"/>
  <c r="BA80" i="52"/>
  <c r="BK80" i="52"/>
  <c r="BG80" i="52"/>
  <c r="AY80" i="52"/>
  <c r="AQ80" i="52"/>
  <c r="AM80" i="52"/>
  <c r="AZ80" i="52"/>
  <c r="AX80" i="52"/>
  <c r="BJ78" i="52"/>
  <c r="BH78" i="52"/>
  <c r="BF78" i="52"/>
  <c r="BD78" i="52"/>
  <c r="BI78" i="52"/>
  <c r="BE78" i="52"/>
  <c r="BA78" i="52"/>
  <c r="BK78" i="52"/>
  <c r="BG78" i="52"/>
  <c r="AY78" i="52"/>
  <c r="AQ78" i="52"/>
  <c r="AM78" i="52"/>
  <c r="AZ78" i="52"/>
  <c r="AX78" i="52"/>
  <c r="BJ76" i="52"/>
  <c r="BH76" i="52"/>
  <c r="BF76" i="52"/>
  <c r="BD76" i="52"/>
  <c r="BI76" i="52"/>
  <c r="BE76" i="52"/>
  <c r="BA76" i="52"/>
  <c r="BK76" i="52"/>
  <c r="BG76" i="52"/>
  <c r="AY76" i="52"/>
  <c r="AQ76" i="52"/>
  <c r="AM76" i="52"/>
  <c r="AZ76" i="52"/>
  <c r="AX76" i="52"/>
  <c r="BJ74" i="52"/>
  <c r="BH74" i="52"/>
  <c r="BF74" i="52"/>
  <c r="BD74" i="52"/>
  <c r="BI74" i="52"/>
  <c r="BE74" i="52"/>
  <c r="BA74" i="52"/>
  <c r="BK74" i="52"/>
  <c r="BG74" i="52"/>
  <c r="AY74" i="52"/>
  <c r="AQ74" i="52"/>
  <c r="AM74" i="52"/>
  <c r="AZ74" i="52"/>
  <c r="AX74" i="52"/>
  <c r="BJ190" i="52"/>
  <c r="BH190" i="52"/>
  <c r="BF190" i="52"/>
  <c r="BD190" i="52"/>
  <c r="BI190" i="52"/>
  <c r="BE190" i="52"/>
  <c r="BA190" i="52"/>
  <c r="BK190" i="52"/>
  <c r="BG190" i="52"/>
  <c r="AY190" i="52"/>
  <c r="AQ190" i="52"/>
  <c r="AM190" i="52"/>
  <c r="AZ190" i="52"/>
  <c r="AX190" i="52"/>
  <c r="BK188" i="52"/>
  <c r="BI188" i="52"/>
  <c r="BG188" i="52"/>
  <c r="BE188" i="52"/>
  <c r="AX188" i="52"/>
  <c r="BH188" i="52"/>
  <c r="BD188" i="52"/>
  <c r="AZ188" i="52"/>
  <c r="BF188" i="52"/>
  <c r="BK187" i="52"/>
  <c r="BI187" i="52"/>
  <c r="BG187" i="52"/>
  <c r="BE187" i="52"/>
  <c r="AX187" i="52"/>
  <c r="BH187" i="52"/>
  <c r="BD187" i="52"/>
  <c r="AZ187" i="52"/>
  <c r="BF187" i="52"/>
  <c r="BK186" i="52"/>
  <c r="BI186" i="52"/>
  <c r="BG186" i="52"/>
  <c r="BE186" i="52"/>
  <c r="AX186" i="52"/>
  <c r="BH186" i="52"/>
  <c r="BD186" i="52"/>
  <c r="AZ186" i="52"/>
  <c r="BF186" i="52"/>
  <c r="BK185" i="52"/>
  <c r="BI185" i="52"/>
  <c r="BG185" i="52"/>
  <c r="BE185" i="52"/>
  <c r="AX185" i="52"/>
  <c r="BH185" i="52"/>
  <c r="BD185" i="52"/>
  <c r="AZ185" i="52"/>
  <c r="BF185" i="52"/>
  <c r="BK184" i="52"/>
  <c r="BI184" i="52"/>
  <c r="BG184" i="52"/>
  <c r="BE184" i="52"/>
  <c r="AX184" i="52"/>
  <c r="BH184" i="52"/>
  <c r="BD184" i="52"/>
  <c r="AZ184" i="52"/>
  <c r="BF184" i="52"/>
  <c r="BK183" i="52"/>
  <c r="BI183" i="52"/>
  <c r="BG183" i="52"/>
  <c r="BE183" i="52"/>
  <c r="AX183" i="52"/>
  <c r="BH183" i="52"/>
  <c r="BD183" i="52"/>
  <c r="AZ183" i="52"/>
  <c r="BF183" i="52"/>
  <c r="BK182" i="52"/>
  <c r="BI182" i="52"/>
  <c r="BG182" i="52"/>
  <c r="BE182" i="52"/>
  <c r="AX182" i="52"/>
  <c r="BH182" i="52"/>
  <c r="BD182" i="52"/>
  <c r="AZ182" i="52"/>
  <c r="BF182" i="52"/>
  <c r="BK181" i="52"/>
  <c r="BI181" i="52"/>
  <c r="BG181" i="52"/>
  <c r="BE181" i="52"/>
  <c r="AX181" i="52"/>
  <c r="BH181" i="52"/>
  <c r="BD181" i="52"/>
  <c r="AZ181" i="52"/>
  <c r="BF181" i="52"/>
  <c r="BI20" i="52"/>
  <c r="BI134" i="52"/>
  <c r="BI130" i="52"/>
  <c r="BJ100" i="52"/>
  <c r="BH100" i="52"/>
  <c r="BF100" i="52"/>
  <c r="BD100" i="52"/>
  <c r="AY100" i="52"/>
  <c r="BI100" i="52"/>
  <c r="BE100" i="52"/>
  <c r="BA100" i="52"/>
  <c r="AQ100" i="52"/>
  <c r="AM100" i="52"/>
  <c r="AZ100" i="52"/>
  <c r="AX100" i="52"/>
  <c r="BJ98" i="52"/>
  <c r="BH98" i="52"/>
  <c r="BF98" i="52"/>
  <c r="BD98" i="52"/>
  <c r="AY98" i="52"/>
  <c r="BI98" i="52"/>
  <c r="BE98" i="52"/>
  <c r="BA98" i="52"/>
  <c r="AQ98" i="52"/>
  <c r="AM98" i="52"/>
  <c r="AZ98" i="52"/>
  <c r="AX98" i="52"/>
  <c r="BJ96" i="52"/>
  <c r="BH96" i="52"/>
  <c r="BF96" i="52"/>
  <c r="BD96" i="52"/>
  <c r="AY96" i="52"/>
  <c r="BI96" i="52"/>
  <c r="BE96" i="52"/>
  <c r="BA96" i="52"/>
  <c r="AQ96" i="52"/>
  <c r="AM96" i="52"/>
  <c r="AZ96" i="52"/>
  <c r="AX96" i="52"/>
  <c r="BJ94" i="52"/>
  <c r="BH94" i="52"/>
  <c r="BF94" i="52"/>
  <c r="BD94" i="52"/>
  <c r="AY94" i="52"/>
  <c r="BI94" i="52"/>
  <c r="BE94" i="52"/>
  <c r="BA94" i="52"/>
  <c r="AQ94" i="52"/>
  <c r="AM94" i="52"/>
  <c r="AZ94" i="52"/>
  <c r="AX94" i="52"/>
  <c r="BJ92" i="52"/>
  <c r="BH92" i="52"/>
  <c r="BF92" i="52"/>
  <c r="BD92" i="52"/>
  <c r="AY92" i="52"/>
  <c r="BI92" i="52"/>
  <c r="BE92" i="52"/>
  <c r="BA92" i="52"/>
  <c r="AQ92" i="52"/>
  <c r="AM92" i="52"/>
  <c r="AZ92" i="52"/>
  <c r="AX92" i="52"/>
  <c r="BJ90" i="52"/>
  <c r="BH90" i="52"/>
  <c r="BF90" i="52"/>
  <c r="BD90" i="52"/>
  <c r="AY90" i="52"/>
  <c r="BI90" i="52"/>
  <c r="BE90" i="52"/>
  <c r="BA90" i="52"/>
  <c r="AQ90" i="52"/>
  <c r="AM90" i="52"/>
  <c r="AZ90" i="52"/>
  <c r="AX90" i="52"/>
  <c r="CG88" i="52"/>
  <c r="AR88" i="52"/>
  <c r="AN88" i="52"/>
  <c r="AJ88" i="52"/>
  <c r="AP88" i="52"/>
  <c r="AL88" i="52"/>
  <c r="AH88" i="52"/>
  <c r="BJ86" i="52"/>
  <c r="BH86" i="52"/>
  <c r="BF86" i="52"/>
  <c r="BD86" i="52"/>
  <c r="AY86" i="52"/>
  <c r="BI86" i="52"/>
  <c r="BE86" i="52"/>
  <c r="BA86" i="52"/>
  <c r="AQ86" i="52"/>
  <c r="AM86" i="52"/>
  <c r="AZ86" i="52"/>
  <c r="AX86" i="52"/>
  <c r="BJ85" i="52"/>
  <c r="BH85" i="52"/>
  <c r="BF85" i="52"/>
  <c r="BD85" i="52"/>
  <c r="AY85" i="52"/>
  <c r="BI85" i="52"/>
  <c r="BE85" i="52"/>
  <c r="BA85" i="52"/>
  <c r="AQ85" i="52"/>
  <c r="AM85" i="52"/>
  <c r="AZ85" i="52"/>
  <c r="AX85" i="52"/>
  <c r="BJ83" i="52"/>
  <c r="BH83" i="52"/>
  <c r="BF83" i="52"/>
  <c r="BD83" i="52"/>
  <c r="AY83" i="52"/>
  <c r="BI83" i="52"/>
  <c r="BE83" i="52"/>
  <c r="BA83" i="52"/>
  <c r="AQ83" i="52"/>
  <c r="AM83" i="52"/>
  <c r="AZ83" i="52"/>
  <c r="AX83" i="52"/>
  <c r="BJ81" i="52"/>
  <c r="BH81" i="52"/>
  <c r="BF81" i="52"/>
  <c r="BD81" i="52"/>
  <c r="AY81" i="52"/>
  <c r="BI81" i="52"/>
  <c r="BE81" i="52"/>
  <c r="BA81" i="52"/>
  <c r="AQ81" i="52"/>
  <c r="AM81" i="52"/>
  <c r="AZ81" i="52"/>
  <c r="AX81" i="52"/>
  <c r="BJ79" i="52"/>
  <c r="BH79" i="52"/>
  <c r="BF79" i="52"/>
  <c r="BD79" i="52"/>
  <c r="AY79" i="52"/>
  <c r="BI79" i="52"/>
  <c r="BE79" i="52"/>
  <c r="BA79" i="52"/>
  <c r="AQ79" i="52"/>
  <c r="AM79" i="52"/>
  <c r="AZ79" i="52"/>
  <c r="AX79" i="52"/>
  <c r="BJ77" i="52"/>
  <c r="BH77" i="52"/>
  <c r="BF77" i="52"/>
  <c r="BD77" i="52"/>
  <c r="AY77" i="52"/>
  <c r="BI77" i="52"/>
  <c r="BE77" i="52"/>
  <c r="BA77" i="52"/>
  <c r="AQ77" i="52"/>
  <c r="AM77" i="52"/>
  <c r="AZ77" i="52"/>
  <c r="AX77" i="52"/>
  <c r="BJ75" i="52"/>
  <c r="BH75" i="52"/>
  <c r="BF75" i="52"/>
  <c r="BD75" i="52"/>
  <c r="AY75" i="52"/>
  <c r="BI75" i="52"/>
  <c r="BE75" i="52"/>
  <c r="BA75" i="52"/>
  <c r="AQ75" i="52"/>
  <c r="AM75" i="52"/>
  <c r="AZ75" i="52"/>
  <c r="AX75" i="52"/>
  <c r="CG189" i="52"/>
  <c r="AR189" i="52"/>
  <c r="AN189" i="52"/>
  <c r="AJ189" i="52"/>
  <c r="AP189" i="52"/>
  <c r="AL189" i="52"/>
  <c r="AH189" i="52"/>
  <c r="AR188" i="52"/>
  <c r="AN188" i="52"/>
  <c r="AJ188" i="52"/>
  <c r="AH188" i="52"/>
  <c r="AP187" i="52"/>
  <c r="AL187" i="52"/>
  <c r="BA187" i="52"/>
  <c r="AY187" i="52"/>
  <c r="AR186" i="52"/>
  <c r="AN186" i="52"/>
  <c r="AJ186" i="52"/>
  <c r="AH186" i="52"/>
  <c r="AP185" i="52"/>
  <c r="AL185" i="52"/>
  <c r="BA185" i="52"/>
  <c r="AY185" i="52"/>
  <c r="AR184" i="52"/>
  <c r="AN184" i="52"/>
  <c r="AJ184" i="52"/>
  <c r="AH184" i="52"/>
  <c r="AP183" i="52"/>
  <c r="AL183" i="52"/>
  <c r="BA183" i="52"/>
  <c r="AY183" i="52"/>
  <c r="AR182" i="52"/>
  <c r="AN182" i="52"/>
  <c r="AJ182" i="52"/>
  <c r="AH182" i="52"/>
  <c r="AP181" i="52"/>
  <c r="AL181" i="52"/>
  <c r="BA181" i="52"/>
  <c r="AY181" i="52"/>
  <c r="BJ180" i="52"/>
  <c r="BH180" i="52"/>
  <c r="BF180" i="52"/>
  <c r="BD180" i="52"/>
  <c r="BK180" i="52"/>
  <c r="BI180" i="52"/>
  <c r="BG180" i="52"/>
  <c r="BE180" i="52"/>
  <c r="BA180" i="52"/>
  <c r="AY180" i="52"/>
  <c r="BJ179" i="52"/>
  <c r="BH179" i="52"/>
  <c r="BF179" i="52"/>
  <c r="BD179" i="52"/>
  <c r="BK179" i="52"/>
  <c r="BI179" i="52"/>
  <c r="BG179" i="52"/>
  <c r="BE179" i="52"/>
  <c r="BA179" i="52"/>
  <c r="AY179" i="52"/>
  <c r="BJ177" i="52"/>
  <c r="BH177" i="52"/>
  <c r="BF177" i="52"/>
  <c r="BD177" i="52"/>
  <c r="BK177" i="52"/>
  <c r="BI177" i="52"/>
  <c r="BG177" i="52"/>
  <c r="BE177" i="52"/>
  <c r="BA177" i="52"/>
  <c r="AY177" i="52"/>
  <c r="BJ175" i="52"/>
  <c r="BH175" i="52"/>
  <c r="BF175" i="52"/>
  <c r="BD175" i="52"/>
  <c r="BK175" i="52"/>
  <c r="BI175" i="52"/>
  <c r="BG175" i="52"/>
  <c r="BE175" i="52"/>
  <c r="BA175" i="52"/>
  <c r="AY175" i="52"/>
  <c r="BJ173" i="52"/>
  <c r="BH173" i="52"/>
  <c r="BF173" i="52"/>
  <c r="BD173" i="52"/>
  <c r="BK173" i="52"/>
  <c r="BI173" i="52"/>
  <c r="BG173" i="52"/>
  <c r="BE173" i="52"/>
  <c r="BA173" i="52"/>
  <c r="AY173" i="52"/>
  <c r="BJ171" i="52"/>
  <c r="BH171" i="52"/>
  <c r="BF171" i="52"/>
  <c r="BD171" i="52"/>
  <c r="BK171" i="52"/>
  <c r="BI171" i="52"/>
  <c r="BG171" i="52"/>
  <c r="BE171" i="52"/>
  <c r="BA171" i="52"/>
  <c r="AY171" i="52"/>
  <c r="BJ169" i="52"/>
  <c r="BH169" i="52"/>
  <c r="BF169" i="52"/>
  <c r="BD169" i="52"/>
  <c r="BK169" i="52"/>
  <c r="BI169" i="52"/>
  <c r="BG169" i="52"/>
  <c r="BE169" i="52"/>
  <c r="BA169" i="52"/>
  <c r="AY169" i="52"/>
  <c r="BJ168" i="52"/>
  <c r="BH168" i="52"/>
  <c r="BF168" i="52"/>
  <c r="BD168" i="52"/>
  <c r="BK168" i="52"/>
  <c r="BI168" i="52"/>
  <c r="BG168" i="52"/>
  <c r="BE168" i="52"/>
  <c r="BA168" i="52"/>
  <c r="AY168" i="52"/>
  <c r="BJ166" i="52"/>
  <c r="BH166" i="52"/>
  <c r="BF166" i="52"/>
  <c r="BD166" i="52"/>
  <c r="BK166" i="52"/>
  <c r="BI166" i="52"/>
  <c r="BG166" i="52"/>
  <c r="BE166" i="52"/>
  <c r="BA166" i="52"/>
  <c r="AY166" i="52"/>
  <c r="BJ164" i="52"/>
  <c r="BH164" i="52"/>
  <c r="BF164" i="52"/>
  <c r="BD164" i="52"/>
  <c r="BK164" i="52"/>
  <c r="BI164" i="52"/>
  <c r="BG164" i="52"/>
  <c r="BE164" i="52"/>
  <c r="BA164" i="52"/>
  <c r="AY164" i="52"/>
  <c r="BJ162" i="52"/>
  <c r="BH162" i="52"/>
  <c r="BF162" i="52"/>
  <c r="BD162" i="52"/>
  <c r="BK162" i="52"/>
  <c r="BI162" i="52"/>
  <c r="BG162" i="52"/>
  <c r="BE162" i="52"/>
  <c r="BA162" i="52"/>
  <c r="AY162" i="52"/>
  <c r="BJ160" i="52"/>
  <c r="BH160" i="52"/>
  <c r="BF160" i="52"/>
  <c r="BD160" i="52"/>
  <c r="BK160" i="52"/>
  <c r="BI160" i="52"/>
  <c r="BG160" i="52"/>
  <c r="BE160" i="52"/>
  <c r="BA160" i="52"/>
  <c r="AY160" i="52"/>
  <c r="BJ158" i="52"/>
  <c r="BH158" i="52"/>
  <c r="BF158" i="52"/>
  <c r="BD158" i="52"/>
  <c r="BK158" i="52"/>
  <c r="BI158" i="52"/>
  <c r="BG158" i="52"/>
  <c r="BE158" i="52"/>
  <c r="BA158" i="52"/>
  <c r="AY158" i="52"/>
  <c r="BJ157" i="52"/>
  <c r="BH157" i="52"/>
  <c r="BF157" i="52"/>
  <c r="BD157" i="52"/>
  <c r="BK157" i="52"/>
  <c r="BI157" i="52"/>
  <c r="BG157" i="52"/>
  <c r="BE157" i="52"/>
  <c r="BA157" i="52"/>
  <c r="AY157" i="52"/>
  <c r="BJ234" i="52"/>
  <c r="BH234" i="52"/>
  <c r="BF234" i="52"/>
  <c r="BD234" i="52"/>
  <c r="BK234" i="52"/>
  <c r="BI234" i="52"/>
  <c r="BG234" i="52"/>
  <c r="BE234" i="52"/>
  <c r="BA234" i="52"/>
  <c r="AY234" i="52"/>
  <c r="BJ232" i="52"/>
  <c r="BH232" i="52"/>
  <c r="BF232" i="52"/>
  <c r="BD232" i="52"/>
  <c r="BK232" i="52"/>
  <c r="BI232" i="52"/>
  <c r="BG232" i="52"/>
  <c r="BE232" i="52"/>
  <c r="BA232" i="52"/>
  <c r="AY232" i="52"/>
  <c r="BJ230" i="52"/>
  <c r="BH230" i="52"/>
  <c r="BF230" i="52"/>
  <c r="BD230" i="52"/>
  <c r="BK230" i="52"/>
  <c r="BI230" i="52"/>
  <c r="BG230" i="52"/>
  <c r="BE230" i="52"/>
  <c r="BA230" i="52"/>
  <c r="AY230" i="52"/>
  <c r="CG229" i="52"/>
  <c r="AS229" i="52"/>
  <c r="AQ229" i="52"/>
  <c r="AO229" i="52"/>
  <c r="AM229" i="52"/>
  <c r="AK229" i="52"/>
  <c r="AI229" i="52"/>
  <c r="AG229" i="52"/>
  <c r="BJ228" i="52"/>
  <c r="BH228" i="52"/>
  <c r="BF228" i="52"/>
  <c r="BD228" i="52"/>
  <c r="BK228" i="52"/>
  <c r="BI228" i="52"/>
  <c r="BG228" i="52"/>
  <c r="BE228" i="52"/>
  <c r="BA228" i="52"/>
  <c r="AY228" i="52"/>
  <c r="BJ226" i="52"/>
  <c r="BH226" i="52"/>
  <c r="BF226" i="52"/>
  <c r="BD226" i="52"/>
  <c r="BK226" i="52"/>
  <c r="BI226" i="52"/>
  <c r="BG226" i="52"/>
  <c r="BE226" i="52"/>
  <c r="BA226" i="52"/>
  <c r="AY226" i="52"/>
  <c r="BJ224" i="52"/>
  <c r="BH224" i="52"/>
  <c r="BF224" i="52"/>
  <c r="BD224" i="52"/>
  <c r="BK224" i="52"/>
  <c r="BI224" i="52"/>
  <c r="BG224" i="52"/>
  <c r="BE224" i="52"/>
  <c r="BA224" i="52"/>
  <c r="AY224" i="52"/>
  <c r="BJ222" i="52"/>
  <c r="BH222" i="52"/>
  <c r="BF222" i="52"/>
  <c r="BD222" i="52"/>
  <c r="BK222" i="52"/>
  <c r="BI222" i="52"/>
  <c r="BG222" i="52"/>
  <c r="BE222" i="52"/>
  <c r="BA222" i="52"/>
  <c r="AY222" i="52"/>
  <c r="BJ220" i="52"/>
  <c r="BH220" i="52"/>
  <c r="BF220" i="52"/>
  <c r="BD220" i="52"/>
  <c r="BK220" i="52"/>
  <c r="BI220" i="52"/>
  <c r="BG220" i="52"/>
  <c r="BE220" i="52"/>
  <c r="BA220" i="52"/>
  <c r="AY220" i="52"/>
  <c r="BJ218" i="52"/>
  <c r="BH218" i="52"/>
  <c r="BF218" i="52"/>
  <c r="BD218" i="52"/>
  <c r="BK218" i="52"/>
  <c r="BI218" i="52"/>
  <c r="BG218" i="52"/>
  <c r="BE218" i="52"/>
  <c r="BA218" i="52"/>
  <c r="AY218" i="52"/>
  <c r="CG216" i="52"/>
  <c r="AS216" i="52"/>
  <c r="AQ216" i="52"/>
  <c r="AO216" i="52"/>
  <c r="AM216" i="52"/>
  <c r="AK216" i="52"/>
  <c r="AI216" i="52"/>
  <c r="AG216" i="52"/>
  <c r="CG215" i="52"/>
  <c r="AS215" i="52"/>
  <c r="AQ215" i="52"/>
  <c r="AO215" i="52"/>
  <c r="AM215" i="52"/>
  <c r="AK215" i="52"/>
  <c r="AI215" i="52"/>
  <c r="AG215" i="52"/>
  <c r="BJ280" i="52"/>
  <c r="BH280" i="52"/>
  <c r="BF280" i="52"/>
  <c r="BD280" i="52"/>
  <c r="BK280" i="52"/>
  <c r="BI280" i="52"/>
  <c r="BG280" i="52"/>
  <c r="BE280" i="52"/>
  <c r="BA280" i="52"/>
  <c r="AY280" i="52"/>
  <c r="BJ278" i="52"/>
  <c r="BH278" i="52"/>
  <c r="BF278" i="52"/>
  <c r="BD278" i="52"/>
  <c r="BK278" i="52"/>
  <c r="BI278" i="52"/>
  <c r="BG278" i="52"/>
  <c r="BE278" i="52"/>
  <c r="BA278" i="52"/>
  <c r="AY278" i="52"/>
  <c r="BJ275" i="52"/>
  <c r="BH275" i="52"/>
  <c r="BF275" i="52"/>
  <c r="BD275" i="52"/>
  <c r="BK275" i="52"/>
  <c r="BI275" i="52"/>
  <c r="BG275" i="52"/>
  <c r="BE275" i="52"/>
  <c r="BA275" i="52"/>
  <c r="AY275" i="52"/>
  <c r="CG274" i="52"/>
  <c r="AS274" i="52"/>
  <c r="AQ274" i="52"/>
  <c r="AO274" i="52"/>
  <c r="AM274" i="52"/>
  <c r="AK274" i="52"/>
  <c r="AI274" i="52"/>
  <c r="AG274" i="52"/>
  <c r="CG272" i="52"/>
  <c r="AS272" i="52"/>
  <c r="AQ272" i="52"/>
  <c r="AO272" i="52"/>
  <c r="AM272" i="52"/>
  <c r="AK272" i="52"/>
  <c r="AI272" i="52"/>
  <c r="AG272" i="52"/>
  <c r="CG270" i="52"/>
  <c r="AS270" i="52"/>
  <c r="AQ270" i="52"/>
  <c r="AO270" i="52"/>
  <c r="AM270" i="52"/>
  <c r="AK270" i="52"/>
  <c r="AI270" i="52"/>
  <c r="AG270" i="52"/>
  <c r="AZ180" i="52"/>
  <c r="BN180" i="52" s="1"/>
  <c r="CG180" i="52"/>
  <c r="AZ178" i="52"/>
  <c r="CG178" i="52"/>
  <c r="AZ176" i="52"/>
  <c r="CG176" i="52"/>
  <c r="AZ174" i="52"/>
  <c r="CG174" i="52"/>
  <c r="AZ172" i="52"/>
  <c r="CG172" i="52"/>
  <c r="AZ170" i="52"/>
  <c r="CG170" i="52"/>
  <c r="AZ167" i="52"/>
  <c r="BN167" i="52" s="1"/>
  <c r="CG167" i="52"/>
  <c r="AZ165" i="52"/>
  <c r="BN165" i="52" s="1"/>
  <c r="CG165" i="52"/>
  <c r="AZ163" i="52"/>
  <c r="BN163" i="52" s="1"/>
  <c r="CG163" i="52"/>
  <c r="AZ161" i="52"/>
  <c r="BN161" i="52" s="1"/>
  <c r="CG161" i="52"/>
  <c r="AZ159" i="52"/>
  <c r="BN159" i="52" s="1"/>
  <c r="CG159" i="52"/>
  <c r="AZ156" i="52"/>
  <c r="CG156" i="52"/>
  <c r="AZ235" i="52"/>
  <c r="CG235" i="52"/>
  <c r="AZ233" i="52"/>
  <c r="CG233" i="52"/>
  <c r="AZ231" i="52"/>
  <c r="CG231" i="52"/>
  <c r="AP217" i="52"/>
  <c r="AL217" i="52"/>
  <c r="AR216" i="52"/>
  <c r="AN216" i="52"/>
  <c r="AJ216" i="52"/>
  <c r="AP215" i="52"/>
  <c r="AL215" i="52"/>
  <c r="AZ276" i="52"/>
  <c r="CG276" i="52"/>
  <c r="AP274" i="52"/>
  <c r="AL274" i="52"/>
  <c r="AR273" i="52"/>
  <c r="AN273" i="52"/>
  <c r="AP272" i="52"/>
  <c r="AL272" i="52"/>
  <c r="AR271" i="52"/>
  <c r="AN271" i="52"/>
  <c r="AP270" i="52"/>
  <c r="AL270" i="52"/>
  <c r="AR269" i="52"/>
  <c r="AN269" i="52"/>
  <c r="AZ268" i="52"/>
  <c r="CG268" i="52"/>
  <c r="BJ212" i="52"/>
  <c r="BH212" i="52"/>
  <c r="BF212" i="52"/>
  <c r="BD212" i="52"/>
  <c r="BI212" i="52"/>
  <c r="BE212" i="52"/>
  <c r="BA212" i="52"/>
  <c r="AY212" i="52"/>
  <c r="AQ212" i="52"/>
  <c r="AM212" i="52"/>
  <c r="AZ212" i="52"/>
  <c r="AX212" i="52"/>
  <c r="BJ210" i="52"/>
  <c r="BH210" i="52"/>
  <c r="BF210" i="52"/>
  <c r="BD210" i="52"/>
  <c r="BI210" i="52"/>
  <c r="BE210" i="52"/>
  <c r="BA210" i="52"/>
  <c r="AY210" i="52"/>
  <c r="AQ210" i="52"/>
  <c r="AM210" i="52"/>
  <c r="AZ210" i="52"/>
  <c r="AX210" i="52"/>
  <c r="AZ179" i="52"/>
  <c r="BN179" i="52" s="1"/>
  <c r="CG179" i="52"/>
  <c r="AZ177" i="52"/>
  <c r="BN177" i="52" s="1"/>
  <c r="CG177" i="52"/>
  <c r="AZ175" i="52"/>
  <c r="BN175" i="52" s="1"/>
  <c r="CG175" i="52"/>
  <c r="AZ173" i="52"/>
  <c r="BN173" i="52" s="1"/>
  <c r="CG173" i="52"/>
  <c r="AZ171" i="52"/>
  <c r="BN171" i="52" s="1"/>
  <c r="CG171" i="52"/>
  <c r="AZ169" i="52"/>
  <c r="BN169" i="52" s="1"/>
  <c r="CG169" i="52"/>
  <c r="AZ168" i="52"/>
  <c r="BN168" i="52" s="1"/>
  <c r="CG168" i="52"/>
  <c r="AZ166" i="52"/>
  <c r="BN166" i="52" s="1"/>
  <c r="CG166" i="52"/>
  <c r="AZ164" i="52"/>
  <c r="BN164" i="52" s="1"/>
  <c r="CG164" i="52"/>
  <c r="AZ162" i="52"/>
  <c r="BN162" i="52" s="1"/>
  <c r="CG162" i="52"/>
  <c r="AZ160" i="52"/>
  <c r="BN160" i="52" s="1"/>
  <c r="CG160" i="52"/>
  <c r="AZ158" i="52"/>
  <c r="BN158" i="52" s="1"/>
  <c r="CG158" i="52"/>
  <c r="AZ157" i="52"/>
  <c r="BN157" i="52" s="1"/>
  <c r="CG157" i="52"/>
  <c r="AP229" i="52"/>
  <c r="AL229" i="52"/>
  <c r="AZ227" i="52"/>
  <c r="BN227" i="52" s="1"/>
  <c r="CG227" i="52"/>
  <c r="AZ225" i="52"/>
  <c r="BN225" i="52" s="1"/>
  <c r="CG225" i="52"/>
  <c r="AZ223" i="52"/>
  <c r="BN223" i="52" s="1"/>
  <c r="CG223" i="52"/>
  <c r="AZ221" i="52"/>
  <c r="BN221" i="52" s="1"/>
  <c r="CG221" i="52"/>
  <c r="AZ219" i="52"/>
  <c r="BN219" i="52" s="1"/>
  <c r="CG219" i="52"/>
  <c r="BJ213" i="52"/>
  <c r="BH213" i="52"/>
  <c r="BF213" i="52"/>
  <c r="BD213" i="52"/>
  <c r="BK213" i="52"/>
  <c r="BG213" i="52"/>
  <c r="AY213" i="52"/>
  <c r="BI213" i="52"/>
  <c r="BE213" i="52"/>
  <c r="BA213" i="52"/>
  <c r="AQ213" i="52"/>
  <c r="AM213" i="52"/>
  <c r="AZ213" i="52"/>
  <c r="AX213" i="52"/>
  <c r="CG211" i="52"/>
  <c r="AR211" i="52"/>
  <c r="AN211" i="52"/>
  <c r="AJ211" i="52"/>
  <c r="AP211" i="52"/>
  <c r="AL211" i="52"/>
  <c r="AH211" i="52"/>
  <c r="AR207" i="52"/>
  <c r="AP207" i="52"/>
  <c r="AN207" i="52"/>
  <c r="AL207" i="52"/>
  <c r="AJ207" i="52"/>
  <c r="AH207" i="52"/>
  <c r="CG207" i="52"/>
  <c r="AK207" i="52"/>
  <c r="AG207" i="52"/>
  <c r="AI206" i="52"/>
  <c r="AR205" i="52"/>
  <c r="AP205" i="52"/>
  <c r="AN205" i="52"/>
  <c r="AL205" i="52"/>
  <c r="AJ205" i="52"/>
  <c r="AH205" i="52"/>
  <c r="CG205" i="52"/>
  <c r="AK205" i="52"/>
  <c r="AG205" i="52"/>
  <c r="AR204" i="52"/>
  <c r="AP204" i="52"/>
  <c r="AN204" i="52"/>
  <c r="AL204" i="52"/>
  <c r="AJ204" i="52"/>
  <c r="AH204" i="52"/>
  <c r="CG204" i="52"/>
  <c r="AK204" i="52"/>
  <c r="AG204" i="52"/>
  <c r="AI51" i="52"/>
  <c r="AR50" i="52"/>
  <c r="AP50" i="52"/>
  <c r="AN50" i="52"/>
  <c r="AL50" i="52"/>
  <c r="AJ50" i="52"/>
  <c r="AH50" i="52"/>
  <c r="CG50" i="52"/>
  <c r="AK50" i="52"/>
  <c r="AG50" i="52"/>
  <c r="AI49" i="52"/>
  <c r="AR48" i="52"/>
  <c r="AP48" i="52"/>
  <c r="AN48" i="52"/>
  <c r="AL48" i="52"/>
  <c r="AJ48" i="52"/>
  <c r="AH48" i="52"/>
  <c r="CG48" i="52"/>
  <c r="AK48" i="52"/>
  <c r="AG48" i="52"/>
  <c r="AI47" i="52"/>
  <c r="AI46" i="52"/>
  <c r="AR45" i="52"/>
  <c r="AP45" i="52"/>
  <c r="AN45" i="52"/>
  <c r="AL45" i="52"/>
  <c r="AJ45" i="52"/>
  <c r="AH45" i="52"/>
  <c r="CG45" i="52"/>
  <c r="AK45" i="52"/>
  <c r="AG45" i="52"/>
  <c r="AR41" i="52"/>
  <c r="AP41" i="52"/>
  <c r="AN41" i="52"/>
  <c r="AL41" i="52"/>
  <c r="AJ41" i="52"/>
  <c r="AH41" i="52"/>
  <c r="CG41" i="52"/>
  <c r="AK41" i="52"/>
  <c r="AG41" i="52"/>
  <c r="CG38" i="52"/>
  <c r="AS38" i="52"/>
  <c r="AQ38" i="52"/>
  <c r="AO38" i="52"/>
  <c r="AM38" i="52"/>
  <c r="AK38" i="52"/>
  <c r="AI38" i="52"/>
  <c r="AG38" i="52"/>
  <c r="CG36" i="52"/>
  <c r="AS36" i="52"/>
  <c r="AQ36" i="52"/>
  <c r="AO36" i="52"/>
  <c r="AM36" i="52"/>
  <c r="AK36" i="52"/>
  <c r="AI36" i="52"/>
  <c r="AG36" i="52"/>
  <c r="CG34" i="52"/>
  <c r="AS34" i="52"/>
  <c r="AQ34" i="52"/>
  <c r="AO34" i="52"/>
  <c r="AM34" i="52"/>
  <c r="AK34" i="52"/>
  <c r="AI34" i="52"/>
  <c r="AG34" i="52"/>
  <c r="CG32" i="52"/>
  <c r="AS32" i="52"/>
  <c r="AQ32" i="52"/>
  <c r="AO32" i="52"/>
  <c r="AM32" i="52"/>
  <c r="AK32" i="52"/>
  <c r="AI32" i="52"/>
  <c r="AG32" i="52"/>
  <c r="CG109" i="52"/>
  <c r="AS109" i="52"/>
  <c r="AQ109" i="52"/>
  <c r="AO109" i="52"/>
  <c r="AM109" i="52"/>
  <c r="AK109" i="52"/>
  <c r="AI109" i="52"/>
  <c r="AG109" i="52"/>
  <c r="BJ108" i="52"/>
  <c r="BH108" i="52"/>
  <c r="BF108" i="52"/>
  <c r="BD108" i="52"/>
  <c r="BK108" i="52"/>
  <c r="BI108" i="52"/>
  <c r="BG108" i="52"/>
  <c r="BE108" i="52"/>
  <c r="BA108" i="52"/>
  <c r="AY108" i="52"/>
  <c r="CG105" i="52"/>
  <c r="AS105" i="52"/>
  <c r="AQ105" i="52"/>
  <c r="AO105" i="52"/>
  <c r="AM105" i="52"/>
  <c r="AK105" i="52"/>
  <c r="AI105" i="52"/>
  <c r="AG105" i="52"/>
  <c r="CG104" i="52"/>
  <c r="AS104" i="52"/>
  <c r="AQ104" i="52"/>
  <c r="AO104" i="52"/>
  <c r="AM104" i="52"/>
  <c r="AK104" i="52"/>
  <c r="AI104" i="52"/>
  <c r="AG104" i="52"/>
  <c r="CG102" i="52"/>
  <c r="AS102" i="52"/>
  <c r="AQ102" i="52"/>
  <c r="AO102" i="52"/>
  <c r="AM102" i="52"/>
  <c r="AK102" i="52"/>
  <c r="AI102" i="52"/>
  <c r="AG102" i="52"/>
  <c r="CG17" i="52"/>
  <c r="AS17" i="52"/>
  <c r="AQ17" i="52"/>
  <c r="AO17" i="52"/>
  <c r="AM17" i="52"/>
  <c r="AK17" i="52"/>
  <c r="AI17" i="52"/>
  <c r="AG17" i="52"/>
  <c r="CG15" i="52"/>
  <c r="AS15" i="52"/>
  <c r="AQ15" i="52"/>
  <c r="AO15" i="52"/>
  <c r="AM15" i="52"/>
  <c r="AK15" i="52"/>
  <c r="AI15" i="52"/>
  <c r="AG15" i="52"/>
  <c r="CG13" i="52"/>
  <c r="AS13" i="52"/>
  <c r="AQ13" i="52"/>
  <c r="AO13" i="52"/>
  <c r="AM13" i="52"/>
  <c r="AK13" i="52"/>
  <c r="AI13" i="52"/>
  <c r="AG13" i="52"/>
  <c r="CG12" i="52"/>
  <c r="AS12" i="52"/>
  <c r="AQ12" i="52"/>
  <c r="AO12" i="52"/>
  <c r="AM12" i="52"/>
  <c r="AK12" i="52"/>
  <c r="AI12" i="52"/>
  <c r="AG12" i="52"/>
  <c r="CG10" i="52"/>
  <c r="AS10" i="52"/>
  <c r="AQ10" i="52"/>
  <c r="AO10" i="52"/>
  <c r="AM10" i="52"/>
  <c r="AK10" i="52"/>
  <c r="AI10" i="52"/>
  <c r="AG10" i="52"/>
  <c r="BJ155" i="52"/>
  <c r="BH155" i="52"/>
  <c r="BF155" i="52"/>
  <c r="BD155" i="52"/>
  <c r="BK155" i="52"/>
  <c r="BI155" i="52"/>
  <c r="BG155" i="52"/>
  <c r="BE155" i="52"/>
  <c r="BA155" i="52"/>
  <c r="AY155" i="52"/>
  <c r="BJ153" i="52"/>
  <c r="BH153" i="52"/>
  <c r="BF153" i="52"/>
  <c r="BD153" i="52"/>
  <c r="BK153" i="52"/>
  <c r="BI153" i="52"/>
  <c r="BG153" i="52"/>
  <c r="BE153" i="52"/>
  <c r="BA153" i="52"/>
  <c r="AY153" i="52"/>
  <c r="BJ151" i="52"/>
  <c r="BH151" i="52"/>
  <c r="BF151" i="52"/>
  <c r="BD151" i="52"/>
  <c r="BK151" i="52"/>
  <c r="BI151" i="52"/>
  <c r="BG151" i="52"/>
  <c r="BE151" i="52"/>
  <c r="BA151" i="52"/>
  <c r="AY151" i="52"/>
  <c r="BJ149" i="52"/>
  <c r="BH149" i="52"/>
  <c r="BF149" i="52"/>
  <c r="BD149" i="52"/>
  <c r="BK149" i="52"/>
  <c r="BI149" i="52"/>
  <c r="BG149" i="52"/>
  <c r="BE149" i="52"/>
  <c r="BA149" i="52"/>
  <c r="AY149" i="52"/>
  <c r="BJ147" i="52"/>
  <c r="BH147" i="52"/>
  <c r="BF147" i="52"/>
  <c r="BD147" i="52"/>
  <c r="BK147" i="52"/>
  <c r="BI147" i="52"/>
  <c r="BG147" i="52"/>
  <c r="BE147" i="52"/>
  <c r="BA147" i="52"/>
  <c r="AY147" i="52"/>
  <c r="BJ145" i="52"/>
  <c r="BH145" i="52"/>
  <c r="BF145" i="52"/>
  <c r="BD145" i="52"/>
  <c r="BK145" i="52"/>
  <c r="BI145" i="52"/>
  <c r="BG145" i="52"/>
  <c r="BE145" i="52"/>
  <c r="BA145" i="52"/>
  <c r="AY145" i="52"/>
  <c r="BJ143" i="52"/>
  <c r="BH143" i="52"/>
  <c r="BF143" i="52"/>
  <c r="BD143" i="52"/>
  <c r="BK143" i="52"/>
  <c r="BI143" i="52"/>
  <c r="BG143" i="52"/>
  <c r="BE143" i="52"/>
  <c r="BA143" i="52"/>
  <c r="AY143" i="52"/>
  <c r="BJ141" i="52"/>
  <c r="BH141" i="52"/>
  <c r="BF141" i="52"/>
  <c r="BD141" i="52"/>
  <c r="BK141" i="52"/>
  <c r="BI141" i="52"/>
  <c r="BG141" i="52"/>
  <c r="BE141" i="52"/>
  <c r="BA141" i="52"/>
  <c r="AY141" i="52"/>
  <c r="CG138" i="52"/>
  <c r="AS138" i="52"/>
  <c r="AQ138" i="52"/>
  <c r="AO138" i="52"/>
  <c r="AM138" i="52"/>
  <c r="AK138" i="52"/>
  <c r="AI138" i="52"/>
  <c r="AG138" i="52"/>
  <c r="CG136" i="52"/>
  <c r="AS136" i="52"/>
  <c r="AQ136" i="52"/>
  <c r="AO136" i="52"/>
  <c r="AM136" i="52"/>
  <c r="AK136" i="52"/>
  <c r="AI136" i="52"/>
  <c r="AG136" i="52"/>
  <c r="CG123" i="52"/>
  <c r="AS123" i="52"/>
  <c r="AQ123" i="52"/>
  <c r="AO123" i="52"/>
  <c r="AM123" i="52"/>
  <c r="AK123" i="52"/>
  <c r="AI123" i="52"/>
  <c r="AG123" i="52"/>
  <c r="CG121" i="52"/>
  <c r="AS121" i="52"/>
  <c r="AQ121" i="52"/>
  <c r="AO121" i="52"/>
  <c r="AM121" i="52"/>
  <c r="AK121" i="52"/>
  <c r="AI121" i="52"/>
  <c r="AG121" i="52"/>
  <c r="CG119" i="52"/>
  <c r="AS119" i="52"/>
  <c r="AQ119" i="52"/>
  <c r="AO119" i="52"/>
  <c r="AM119" i="52"/>
  <c r="AK119" i="52"/>
  <c r="AI119" i="52"/>
  <c r="AG119" i="52"/>
  <c r="CG117" i="52"/>
  <c r="AS117" i="52"/>
  <c r="AQ117" i="52"/>
  <c r="AO117" i="52"/>
  <c r="AM117" i="52"/>
  <c r="AK117" i="52"/>
  <c r="AI117" i="52"/>
  <c r="AG117" i="52"/>
  <c r="BJ115" i="52"/>
  <c r="BH115" i="52"/>
  <c r="BF115" i="52"/>
  <c r="BD115" i="52"/>
  <c r="BK115" i="52"/>
  <c r="BI115" i="52"/>
  <c r="BG115" i="52"/>
  <c r="BE115" i="52"/>
  <c r="BA115" i="52"/>
  <c r="AY115" i="52"/>
  <c r="BJ113" i="52"/>
  <c r="BH113" i="52"/>
  <c r="BF113" i="52"/>
  <c r="BD113" i="52"/>
  <c r="BK113" i="52"/>
  <c r="BI113" i="52"/>
  <c r="BG113" i="52"/>
  <c r="BE113" i="52"/>
  <c r="BA113" i="52"/>
  <c r="AY113" i="52"/>
  <c r="CG246" i="52"/>
  <c r="AS246" i="52"/>
  <c r="AQ246" i="52"/>
  <c r="AO246" i="52"/>
  <c r="AM246" i="52"/>
  <c r="AK246" i="52"/>
  <c r="AI246" i="52"/>
  <c r="AG246" i="52"/>
  <c r="CG244" i="52"/>
  <c r="AS244" i="52"/>
  <c r="AQ244" i="52"/>
  <c r="AO244" i="52"/>
  <c r="AM244" i="52"/>
  <c r="AK244" i="52"/>
  <c r="AI244" i="52"/>
  <c r="AG244" i="52"/>
  <c r="AS207" i="52"/>
  <c r="AO207" i="52"/>
  <c r="AQ205" i="52"/>
  <c r="AM205" i="52"/>
  <c r="AS204" i="52"/>
  <c r="AO204" i="52"/>
  <c r="AS50" i="52"/>
  <c r="AO50" i="52"/>
  <c r="AQ48" i="52"/>
  <c r="AM48" i="52"/>
  <c r="AQ45" i="52"/>
  <c r="AM45" i="52"/>
  <c r="AS41" i="52"/>
  <c r="AO41" i="52"/>
  <c r="AR39" i="52"/>
  <c r="AN39" i="52"/>
  <c r="AP38" i="52"/>
  <c r="AL38" i="52"/>
  <c r="AR37" i="52"/>
  <c r="AN37" i="52"/>
  <c r="AP36" i="52"/>
  <c r="AL36" i="52"/>
  <c r="AR35" i="52"/>
  <c r="AN35" i="52"/>
  <c r="AP34" i="52"/>
  <c r="AL34" i="52"/>
  <c r="AR33" i="52"/>
  <c r="AN33" i="52"/>
  <c r="AP32" i="52"/>
  <c r="AL32" i="52"/>
  <c r="AR110" i="52"/>
  <c r="AN110" i="52"/>
  <c r="AP109" i="52"/>
  <c r="AL109" i="52"/>
  <c r="AZ108" i="52"/>
  <c r="BN108" i="52" s="1"/>
  <c r="CG108" i="52"/>
  <c r="AP17" i="52"/>
  <c r="AL17" i="52"/>
  <c r="AP16" i="52"/>
  <c r="AL16" i="52"/>
  <c r="AR15" i="52"/>
  <c r="AN15" i="52"/>
  <c r="AJ15" i="52"/>
  <c r="AZ154" i="52"/>
  <c r="BN154" i="52" s="1"/>
  <c r="CG154" i="52"/>
  <c r="AZ152" i="52"/>
  <c r="BN152" i="52" s="1"/>
  <c r="CG152" i="52"/>
  <c r="AZ150" i="52"/>
  <c r="BN150" i="52" s="1"/>
  <c r="CG150" i="52"/>
  <c r="AZ148" i="52"/>
  <c r="BN148" i="52" s="1"/>
  <c r="CG148" i="52"/>
  <c r="AZ146" i="52"/>
  <c r="BN146" i="52" s="1"/>
  <c r="CG146" i="52"/>
  <c r="AZ144" i="52"/>
  <c r="BN144" i="52" s="1"/>
  <c r="CG144" i="52"/>
  <c r="AZ142" i="52"/>
  <c r="BN142" i="52" s="1"/>
  <c r="CG142" i="52"/>
  <c r="AP120" i="52"/>
  <c r="AL120" i="52"/>
  <c r="AH120" i="52"/>
  <c r="AZ118" i="52"/>
  <c r="BN118" i="52" s="1"/>
  <c r="CG118" i="52"/>
  <c r="AZ115" i="52"/>
  <c r="BN115" i="52" s="1"/>
  <c r="CG115" i="52"/>
  <c r="AZ113" i="52"/>
  <c r="BN113" i="52" s="1"/>
  <c r="CG113" i="52"/>
  <c r="AR247" i="52"/>
  <c r="AN247" i="52"/>
  <c r="AP246" i="52"/>
  <c r="AL246" i="52"/>
  <c r="AR245" i="52"/>
  <c r="AN245" i="52"/>
  <c r="AP244" i="52"/>
  <c r="AL244" i="52"/>
  <c r="AR243" i="52"/>
  <c r="AN243" i="52"/>
  <c r="BJ241" i="52"/>
  <c r="BH241" i="52"/>
  <c r="BF241" i="52"/>
  <c r="BD241" i="52"/>
  <c r="BI241" i="52"/>
  <c r="BE241" i="52"/>
  <c r="BA241" i="52"/>
  <c r="BK241" i="52"/>
  <c r="BG241" i="52"/>
  <c r="AY241" i="52"/>
  <c r="AQ241" i="52"/>
  <c r="AM241" i="52"/>
  <c r="AZ241" i="52"/>
  <c r="AX241" i="52"/>
  <c r="BJ239" i="52"/>
  <c r="BH239" i="52"/>
  <c r="BF239" i="52"/>
  <c r="BD239" i="52"/>
  <c r="BI239" i="52"/>
  <c r="BE239" i="52"/>
  <c r="BA239" i="52"/>
  <c r="BK239" i="52"/>
  <c r="BG239" i="52"/>
  <c r="AY239" i="52"/>
  <c r="AQ239" i="52"/>
  <c r="AM239" i="52"/>
  <c r="AZ239" i="52"/>
  <c r="AX239" i="52"/>
  <c r="BJ237" i="52"/>
  <c r="BH237" i="52"/>
  <c r="BF237" i="52"/>
  <c r="BD237" i="52"/>
  <c r="BI237" i="52"/>
  <c r="BE237" i="52"/>
  <c r="BA237" i="52"/>
  <c r="BK237" i="52"/>
  <c r="BG237" i="52"/>
  <c r="AY237" i="52"/>
  <c r="AQ237" i="52"/>
  <c r="AM237" i="52"/>
  <c r="AZ237" i="52"/>
  <c r="AX237" i="52"/>
  <c r="BJ193" i="52"/>
  <c r="BH193" i="52"/>
  <c r="BF193" i="52"/>
  <c r="BD193" i="52"/>
  <c r="BI193" i="52"/>
  <c r="BE193" i="52"/>
  <c r="BA193" i="52"/>
  <c r="BK193" i="52"/>
  <c r="BG193" i="52"/>
  <c r="AY193" i="52"/>
  <c r="AQ193" i="52"/>
  <c r="AM193" i="52"/>
  <c r="AZ193" i="52"/>
  <c r="AX193" i="52"/>
  <c r="AQ191" i="52"/>
  <c r="AM191" i="52"/>
  <c r="AI191" i="52"/>
  <c r="CG191" i="52"/>
  <c r="AS191" i="52"/>
  <c r="AO191" i="52"/>
  <c r="AK191" i="52"/>
  <c r="AG191" i="52"/>
  <c r="BJ191" i="52"/>
  <c r="AS8" i="52"/>
  <c r="AO8" i="52"/>
  <c r="AK8" i="52"/>
  <c r="AG8" i="52"/>
  <c r="CG8" i="52"/>
  <c r="AQ8" i="52"/>
  <c r="AM8" i="52"/>
  <c r="AI8" i="52"/>
  <c r="AP5" i="52"/>
  <c r="AH5" i="52"/>
  <c r="BK212" i="52"/>
  <c r="BK210" i="52"/>
  <c r="AQ206" i="52"/>
  <c r="AM206" i="52"/>
  <c r="BN200" i="52"/>
  <c r="AQ51" i="52"/>
  <c r="AM51" i="52"/>
  <c r="AS49" i="52"/>
  <c r="AO49" i="52"/>
  <c r="AQ47" i="52"/>
  <c r="AM47" i="52"/>
  <c r="AS46" i="52"/>
  <c r="AO46" i="52"/>
  <c r="AZ107" i="52"/>
  <c r="BN107" i="52" s="1"/>
  <c r="CG107" i="52"/>
  <c r="AR106" i="52"/>
  <c r="AN106" i="52"/>
  <c r="AP105" i="52"/>
  <c r="AL105" i="52"/>
  <c r="AR104" i="52"/>
  <c r="AN104" i="52"/>
  <c r="AP103" i="52"/>
  <c r="AL103" i="52"/>
  <c r="AR102" i="52"/>
  <c r="AN102" i="52"/>
  <c r="AR14" i="52"/>
  <c r="AN14" i="52"/>
  <c r="AP13" i="52"/>
  <c r="AL13" i="52"/>
  <c r="AR12" i="52"/>
  <c r="AN12" i="52"/>
  <c r="AP11" i="52"/>
  <c r="AL11" i="52"/>
  <c r="AR10" i="52"/>
  <c r="AN10" i="52"/>
  <c r="AP9" i="52"/>
  <c r="AL9" i="52"/>
  <c r="AR140" i="52"/>
  <c r="AN140" i="52"/>
  <c r="AR139" i="52"/>
  <c r="AN139" i="52"/>
  <c r="AP138" i="52"/>
  <c r="AL138" i="52"/>
  <c r="AR137" i="52"/>
  <c r="AN137" i="52"/>
  <c r="AP136" i="52"/>
  <c r="AL136" i="52"/>
  <c r="AR124" i="52"/>
  <c r="AN124" i="52"/>
  <c r="AP123" i="52"/>
  <c r="AL123" i="52"/>
  <c r="AR122" i="52"/>
  <c r="AN122" i="52"/>
  <c r="AP121" i="52"/>
  <c r="AL121" i="52"/>
  <c r="AH121" i="52"/>
  <c r="AR119" i="52"/>
  <c r="AN119" i="52"/>
  <c r="AJ119" i="52"/>
  <c r="AP117" i="52"/>
  <c r="AL117" i="52"/>
  <c r="AZ116" i="52"/>
  <c r="BN116" i="52" s="1"/>
  <c r="CG116" i="52"/>
  <c r="AZ114" i="52"/>
  <c r="BN114" i="52" s="1"/>
  <c r="CG114" i="52"/>
  <c r="AZ112" i="52"/>
  <c r="BN112" i="52" s="1"/>
  <c r="CG112" i="52"/>
  <c r="AZ111" i="52"/>
  <c r="BN111" i="52" s="1"/>
  <c r="CG111" i="52"/>
  <c r="CG242" i="52"/>
  <c r="AR242" i="52"/>
  <c r="AN242" i="52"/>
  <c r="AJ242" i="52"/>
  <c r="AP242" i="52"/>
  <c r="AL242" i="52"/>
  <c r="AH242" i="52"/>
  <c r="CG240" i="52"/>
  <c r="AR240" i="52"/>
  <c r="AN240" i="52"/>
  <c r="AJ240" i="52"/>
  <c r="AP240" i="52"/>
  <c r="AL240" i="52"/>
  <c r="AH240" i="52"/>
  <c r="CG238" i="52"/>
  <c r="AR238" i="52"/>
  <c r="AN238" i="52"/>
  <c r="AJ238" i="52"/>
  <c r="AP238" i="52"/>
  <c r="AL238" i="52"/>
  <c r="AH238" i="52"/>
  <c r="CG236" i="52"/>
  <c r="AR236" i="52"/>
  <c r="AN236" i="52"/>
  <c r="AJ236" i="52"/>
  <c r="AP236" i="52"/>
  <c r="AL236" i="52"/>
  <c r="AH236" i="52"/>
  <c r="AR191" i="52"/>
  <c r="AN191" i="52"/>
  <c r="AJ191" i="52"/>
  <c r="AH191" i="52"/>
  <c r="AR8" i="52"/>
  <c r="AN8" i="52"/>
  <c r="AJ8" i="52"/>
  <c r="AR5" i="52"/>
  <c r="AJ5" i="52"/>
  <c r="BJ3" i="52"/>
  <c r="BH3" i="52"/>
  <c r="BF3" i="52"/>
  <c r="BD3" i="52"/>
  <c r="BK3" i="52"/>
  <c r="BG3" i="52"/>
  <c r="BE3" i="52"/>
  <c r="BA3" i="52"/>
  <c r="AY3" i="52"/>
  <c r="BI3" i="52"/>
  <c r="AZ2" i="52"/>
  <c r="BN2" i="52" s="1"/>
  <c r="CG2" i="52"/>
  <c r="AU113" i="52" l="1"/>
  <c r="AU130" i="52"/>
  <c r="AU180" i="52"/>
  <c r="BN36" i="52"/>
  <c r="AU66" i="52"/>
  <c r="BO263" i="52"/>
  <c r="BN59" i="52"/>
  <c r="AU266" i="52"/>
  <c r="AV160" i="52"/>
  <c r="BO206" i="52"/>
  <c r="BN206" i="52"/>
  <c r="AU147" i="52"/>
  <c r="BN198" i="52"/>
  <c r="BN70" i="52"/>
  <c r="BN196" i="52"/>
  <c r="BO264" i="52"/>
  <c r="AU167" i="52"/>
  <c r="AU118" i="52"/>
  <c r="AU227" i="52"/>
  <c r="AU64" i="52"/>
  <c r="AU280" i="52"/>
  <c r="AU235" i="52"/>
  <c r="AV179" i="52"/>
  <c r="BN38" i="52"/>
  <c r="AU131" i="52"/>
  <c r="AU125" i="52"/>
  <c r="AU29" i="52"/>
  <c r="BN124" i="52"/>
  <c r="AV222" i="52"/>
  <c r="AU222" i="52"/>
  <c r="AU231" i="52"/>
  <c r="BO54" i="52"/>
  <c r="AU59" i="52"/>
  <c r="BO196" i="52"/>
  <c r="AU197" i="52"/>
  <c r="AU60" i="52"/>
  <c r="BO62" i="52"/>
  <c r="BN54" i="52"/>
  <c r="BN199" i="52"/>
  <c r="BN202" i="52"/>
  <c r="BN49" i="52"/>
  <c r="AU164" i="52"/>
  <c r="BO63" i="52"/>
  <c r="AV163" i="52"/>
  <c r="AU163" i="52"/>
  <c r="AU171" i="52"/>
  <c r="AU179" i="52"/>
  <c r="AU61" i="52"/>
  <c r="AU146" i="52"/>
  <c r="AU154" i="52"/>
  <c r="BN136" i="52"/>
  <c r="BO55" i="52"/>
  <c r="AU42" i="52"/>
  <c r="AU170" i="52"/>
  <c r="AV248" i="52"/>
  <c r="BN245" i="52"/>
  <c r="BO59" i="52"/>
  <c r="BO215" i="52"/>
  <c r="BO66" i="52"/>
  <c r="AU178" i="52"/>
  <c r="AU251" i="52"/>
  <c r="AU218" i="52"/>
  <c r="AU161" i="52"/>
  <c r="AU169" i="52"/>
  <c r="AU177" i="52"/>
  <c r="AU144" i="52"/>
  <c r="AU135" i="52"/>
  <c r="BO103" i="52"/>
  <c r="AU156" i="52"/>
  <c r="BN60" i="52"/>
  <c r="BN68" i="52"/>
  <c r="AV95" i="52"/>
  <c r="BN271" i="52"/>
  <c r="AU160" i="52"/>
  <c r="BO247" i="52"/>
  <c r="AU44" i="52"/>
  <c r="AV230" i="52"/>
  <c r="AV156" i="52"/>
  <c r="AU219" i="52"/>
  <c r="BO36" i="52"/>
  <c r="BO52" i="52"/>
  <c r="BN52" i="52"/>
  <c r="BO68" i="52"/>
  <c r="AV171" i="52"/>
  <c r="BN106" i="52"/>
  <c r="AV101" i="52"/>
  <c r="BO47" i="52"/>
  <c r="BO205" i="52"/>
  <c r="AU268" i="52"/>
  <c r="AU159" i="52"/>
  <c r="AU175" i="52"/>
  <c r="BN270" i="52"/>
  <c r="BN140" i="52"/>
  <c r="AV278" i="52"/>
  <c r="AV276" i="52"/>
  <c r="BN272" i="52"/>
  <c r="AV97" i="52"/>
  <c r="AU77" i="52"/>
  <c r="BO33" i="52"/>
  <c r="BN217" i="52"/>
  <c r="AV35" i="52"/>
  <c r="AU192" i="52"/>
  <c r="BO261" i="52"/>
  <c r="AU134" i="52"/>
  <c r="AT198" i="52"/>
  <c r="BC198" i="52" s="1"/>
  <c r="BB198" i="52" s="1"/>
  <c r="AT266" i="52"/>
  <c r="BC266" i="52" s="1"/>
  <c r="AU275" i="52"/>
  <c r="AV108" i="52"/>
  <c r="AV157" i="52"/>
  <c r="AV146" i="52"/>
  <c r="AU152" i="52"/>
  <c r="AT196" i="52"/>
  <c r="BC196" i="52" s="1"/>
  <c r="BB196" i="52" s="1"/>
  <c r="BN103" i="52"/>
  <c r="BO45" i="52"/>
  <c r="AV149" i="52"/>
  <c r="AV203" i="52"/>
  <c r="BO12" i="52"/>
  <c r="BO106" i="52"/>
  <c r="AU230" i="52"/>
  <c r="AV168" i="52"/>
  <c r="AU174" i="52"/>
  <c r="AV201" i="52"/>
  <c r="AV223" i="52"/>
  <c r="BO71" i="52"/>
  <c r="BO272" i="52"/>
  <c r="AV63" i="52"/>
  <c r="BN61" i="52"/>
  <c r="BO200" i="52"/>
  <c r="AU172" i="52"/>
  <c r="BO266" i="52"/>
  <c r="BN65" i="52"/>
  <c r="AT214" i="52"/>
  <c r="BC214" i="52" s="1"/>
  <c r="BB214" i="52" s="1"/>
  <c r="AU202" i="52"/>
  <c r="BO192" i="52"/>
  <c r="BO214" i="52"/>
  <c r="BN32" i="52"/>
  <c r="AU236" i="52"/>
  <c r="AU128" i="52"/>
  <c r="AV233" i="52"/>
  <c r="AV235" i="52"/>
  <c r="AV161" i="52"/>
  <c r="AV165" i="52"/>
  <c r="AU279" i="52"/>
  <c r="AV59" i="52"/>
  <c r="AV145" i="52"/>
  <c r="AV18" i="52"/>
  <c r="BO32" i="52"/>
  <c r="BO204" i="52"/>
  <c r="BO40" i="52"/>
  <c r="AV60" i="52"/>
  <c r="AT66" i="52"/>
  <c r="BC66" i="52" s="1"/>
  <c r="BB66" i="52" s="1"/>
  <c r="AU111" i="52"/>
  <c r="AT232" i="52"/>
  <c r="BC232" i="52" s="1"/>
  <c r="BB232" i="52" s="1"/>
  <c r="AU234" i="52"/>
  <c r="AT160" i="52"/>
  <c r="BC160" i="52" s="1"/>
  <c r="AV172" i="52"/>
  <c r="AT176" i="52"/>
  <c r="BC176" i="52" s="1"/>
  <c r="BB176" i="52" s="1"/>
  <c r="V176" i="52" s="1"/>
  <c r="AU141" i="52"/>
  <c r="AU149" i="52"/>
  <c r="AT201" i="52"/>
  <c r="BC201" i="52" s="1"/>
  <c r="BB201" i="52" s="1"/>
  <c r="AU225" i="52"/>
  <c r="BO140" i="52"/>
  <c r="BO9" i="52"/>
  <c r="BN122" i="52"/>
  <c r="BN117" i="52"/>
  <c r="AV232" i="52"/>
  <c r="BN243" i="52"/>
  <c r="BN48" i="52"/>
  <c r="AU62" i="52"/>
  <c r="BO245" i="52"/>
  <c r="AU158" i="52"/>
  <c r="AV110" i="52"/>
  <c r="AV39" i="52"/>
  <c r="AV193" i="52"/>
  <c r="BO265" i="52"/>
  <c r="BO243" i="52"/>
  <c r="BN66" i="52"/>
  <c r="AU176" i="52"/>
  <c r="AU6" i="52"/>
  <c r="AU265" i="52"/>
  <c r="AU91" i="52"/>
  <c r="AU99" i="52"/>
  <c r="BN4" i="52"/>
  <c r="BO136" i="52"/>
  <c r="BO10" i="52"/>
  <c r="AT278" i="52"/>
  <c r="BC278" i="52" s="1"/>
  <c r="AU24" i="52"/>
  <c r="AU150" i="52"/>
  <c r="AV159" i="52"/>
  <c r="AV167" i="52"/>
  <c r="AV65" i="52"/>
  <c r="BO39" i="52"/>
  <c r="AV107" i="52"/>
  <c r="AV141" i="52"/>
  <c r="BO117" i="52"/>
  <c r="AT162" i="52"/>
  <c r="BC162" i="52" s="1"/>
  <c r="BB162" i="52" s="1"/>
  <c r="V162" i="52" s="1"/>
  <c r="AT178" i="52"/>
  <c r="BC178" i="52" s="1"/>
  <c r="BB178" i="52" s="1"/>
  <c r="V178" i="52" s="1"/>
  <c r="AU240" i="52"/>
  <c r="AV263" i="52"/>
  <c r="AU210" i="52"/>
  <c r="BN104" i="52"/>
  <c r="BN45" i="52"/>
  <c r="AV61" i="52"/>
  <c r="BN58" i="52"/>
  <c r="AV64" i="52"/>
  <c r="BO48" i="52"/>
  <c r="AV192" i="52"/>
  <c r="BN201" i="52"/>
  <c r="BO38" i="52"/>
  <c r="AV26" i="52"/>
  <c r="AV219" i="52"/>
  <c r="BN123" i="52"/>
  <c r="BO199" i="52"/>
  <c r="BN181" i="48"/>
  <c r="BO181" i="48"/>
  <c r="BO222" i="48"/>
  <c r="BN222" i="48"/>
  <c r="BN333" i="48"/>
  <c r="BO333" i="48"/>
  <c r="BN107" i="48"/>
  <c r="BM107" i="48"/>
  <c r="BN325" i="48"/>
  <c r="BM325" i="48"/>
  <c r="BO85" i="48"/>
  <c r="AR85" i="48"/>
  <c r="BN15" i="48"/>
  <c r="BM72" i="48"/>
  <c r="AR107" i="48"/>
  <c r="AR135" i="48"/>
  <c r="BO188" i="48"/>
  <c r="BN188" i="48"/>
  <c r="BM188" i="48"/>
  <c r="BM240" i="48"/>
  <c r="BO240" i="48"/>
  <c r="BK157" i="48"/>
  <c r="BO348" i="48"/>
  <c r="AP348" i="48"/>
  <c r="AY348" i="48" s="1"/>
  <c r="AX348" i="48" s="1"/>
  <c r="AP340" i="48"/>
  <c r="AY340" i="48" s="1"/>
  <c r="AR340" i="48"/>
  <c r="BM340" i="48"/>
  <c r="AX332" i="48"/>
  <c r="BI332" i="48" s="1"/>
  <c r="BO230" i="48"/>
  <c r="AR230" i="48"/>
  <c r="BN230" i="48"/>
  <c r="BO463" i="48"/>
  <c r="BN463" i="48"/>
  <c r="BM463" i="48"/>
  <c r="AR463" i="48"/>
  <c r="AQ28" i="48"/>
  <c r="AP28" i="48"/>
  <c r="AY28" i="48" s="1"/>
  <c r="AX28" i="48" s="1"/>
  <c r="BN5" i="48"/>
  <c r="AR5" i="48"/>
  <c r="AQ207" i="48"/>
  <c r="AP207" i="48"/>
  <c r="AY207" i="48" s="1"/>
  <c r="AX207" i="48" s="1"/>
  <c r="AR419" i="48"/>
  <c r="BO419" i="48"/>
  <c r="BM419" i="48"/>
  <c r="BN419" i="48"/>
  <c r="AP243" i="48"/>
  <c r="AY243" i="48" s="1"/>
  <c r="AX243" i="48" s="1"/>
  <c r="BH243" i="48" s="1"/>
  <c r="BO243" i="48"/>
  <c r="BO29" i="48"/>
  <c r="AR29" i="48"/>
  <c r="BN29" i="48"/>
  <c r="AR15" i="48"/>
  <c r="BM138" i="48"/>
  <c r="BM181" i="48"/>
  <c r="BM199" i="48"/>
  <c r="BM230" i="48"/>
  <c r="BN243" i="48"/>
  <c r="AP437" i="48"/>
  <c r="AY437" i="48" s="1"/>
  <c r="BO325" i="48"/>
  <c r="BK92" i="48"/>
  <c r="BK106" i="48"/>
  <c r="BM234" i="48"/>
  <c r="AP130" i="48"/>
  <c r="AY130" i="48" s="1"/>
  <c r="AX130" i="48" s="1"/>
  <c r="BH130" i="48" s="1"/>
  <c r="AQ130" i="48"/>
  <c r="AP183" i="48"/>
  <c r="AY183" i="48" s="1"/>
  <c r="AX183" i="48" s="1"/>
  <c r="AQ183" i="48"/>
  <c r="BO428" i="48"/>
  <c r="BM428" i="48"/>
  <c r="BN428" i="48"/>
  <c r="AR428" i="48"/>
  <c r="BO4" i="48"/>
  <c r="BN4" i="48"/>
  <c r="AP110" i="48"/>
  <c r="AY110" i="48" s="1"/>
  <c r="AX110" i="48" s="1"/>
  <c r="AP134" i="48"/>
  <c r="AY134" i="48" s="1"/>
  <c r="AX134" i="48" s="1"/>
  <c r="BO134" i="48"/>
  <c r="BM341" i="48"/>
  <c r="BN49" i="48"/>
  <c r="BO49" i="48"/>
  <c r="AP49" i="48"/>
  <c r="AY49" i="48" s="1"/>
  <c r="AX49" i="48" s="1"/>
  <c r="BN454" i="48"/>
  <c r="BM454" i="48"/>
  <c r="BJ280" i="48"/>
  <c r="BM2" i="48"/>
  <c r="BM6" i="48"/>
  <c r="AR6" i="48"/>
  <c r="BN6" i="48"/>
  <c r="AQ85" i="48"/>
  <c r="AP85" i="48"/>
  <c r="AY85" i="48" s="1"/>
  <c r="BO229" i="48"/>
  <c r="AP389" i="48"/>
  <c r="AY389" i="48" s="1"/>
  <c r="AQ389" i="48"/>
  <c r="AR389" i="48"/>
  <c r="BO389" i="48"/>
  <c r="AQ426" i="48"/>
  <c r="AP426" i="48"/>
  <c r="AY426" i="48" s="1"/>
  <c r="AX426" i="48" s="1"/>
  <c r="BH426" i="48" s="1"/>
  <c r="BM36" i="48"/>
  <c r="BO36" i="48"/>
  <c r="AR36" i="48"/>
  <c r="BM135" i="48"/>
  <c r="AR138" i="48"/>
  <c r="AR181" i="48"/>
  <c r="AR199" i="48"/>
  <c r="BM243" i="48"/>
  <c r="BN443" i="48"/>
  <c r="BM5" i="48"/>
  <c r="BN85" i="48"/>
  <c r="BO107" i="48"/>
  <c r="BO209" i="48"/>
  <c r="BM209" i="48"/>
  <c r="AP81" i="48"/>
  <c r="AY81" i="48" s="1"/>
  <c r="BM274" i="48"/>
  <c r="AR274" i="48"/>
  <c r="AP199" i="48"/>
  <c r="AY199" i="48" s="1"/>
  <c r="AX199" i="48" s="1"/>
  <c r="BJ468" i="48"/>
  <c r="BN50" i="48"/>
  <c r="BN108" i="48"/>
  <c r="AR133" i="48"/>
  <c r="BN180" i="48"/>
  <c r="AP118" i="48"/>
  <c r="AY118" i="48" s="1"/>
  <c r="AX118" i="48" s="1"/>
  <c r="BI118" i="48" s="1"/>
  <c r="AP138" i="48"/>
  <c r="AY138" i="48" s="1"/>
  <c r="AP286" i="48"/>
  <c r="AY286" i="48" s="1"/>
  <c r="BK16" i="48"/>
  <c r="BN84" i="48"/>
  <c r="BN131" i="48"/>
  <c r="BH364" i="48"/>
  <c r="BH400" i="48"/>
  <c r="BH255" i="48"/>
  <c r="AP188" i="48"/>
  <c r="AY188" i="48" s="1"/>
  <c r="BJ459" i="48"/>
  <c r="BN95" i="48"/>
  <c r="BK102" i="48"/>
  <c r="BK348" i="48"/>
  <c r="BK463" i="48"/>
  <c r="AR9" i="48"/>
  <c r="BN343" i="48"/>
  <c r="BN359" i="48"/>
  <c r="AQ124" i="48"/>
  <c r="BN172" i="48"/>
  <c r="BK50" i="48"/>
  <c r="AP303" i="48"/>
  <c r="AY303" i="48" s="1"/>
  <c r="BM123" i="48"/>
  <c r="BJ60" i="48"/>
  <c r="BK340" i="48"/>
  <c r="BJ402" i="48"/>
  <c r="BJ472" i="48"/>
  <c r="BJ452" i="48"/>
  <c r="AQ140" i="48"/>
  <c r="BJ72" i="48"/>
  <c r="BO135" i="48"/>
  <c r="BK266" i="48"/>
  <c r="AP294" i="48"/>
  <c r="AY294" i="48" s="1"/>
  <c r="AX294" i="48" s="1"/>
  <c r="BK45" i="48"/>
  <c r="BK76" i="48"/>
  <c r="BN231" i="48"/>
  <c r="BK146" i="48"/>
  <c r="BK149" i="48"/>
  <c r="BK158" i="48"/>
  <c r="AR177" i="48"/>
  <c r="AR184" i="48"/>
  <c r="AR192" i="48"/>
  <c r="AP213" i="48"/>
  <c r="AY213" i="48" s="1"/>
  <c r="AP239" i="48"/>
  <c r="AY239" i="48" s="1"/>
  <c r="BJ259" i="48"/>
  <c r="AP333" i="48"/>
  <c r="AY333" i="48" s="1"/>
  <c r="BM94" i="48"/>
  <c r="BO104" i="48"/>
  <c r="BJ85" i="48"/>
  <c r="BJ95" i="48"/>
  <c r="BK105" i="48"/>
  <c r="AP107" i="48"/>
  <c r="AY107" i="48" s="1"/>
  <c r="BO111" i="48"/>
  <c r="BK119" i="48"/>
  <c r="BK127" i="48"/>
  <c r="AR84" i="48"/>
  <c r="AR142" i="48"/>
  <c r="AR149" i="48"/>
  <c r="BN173" i="48"/>
  <c r="BM184" i="48"/>
  <c r="BM213" i="48"/>
  <c r="BO381" i="48"/>
  <c r="BN472" i="48"/>
  <c r="AQ456" i="48"/>
  <c r="BK466" i="48"/>
  <c r="BO65" i="48"/>
  <c r="BM95" i="48"/>
  <c r="BN104" i="48"/>
  <c r="AR115" i="48"/>
  <c r="BN123" i="48"/>
  <c r="AR65" i="48"/>
  <c r="BM177" i="48"/>
  <c r="BO213" i="48"/>
  <c r="AR239" i="48"/>
  <c r="AR287" i="48"/>
  <c r="AR467" i="48"/>
  <c r="BI454" i="48"/>
  <c r="BK130" i="48"/>
  <c r="BJ16" i="48"/>
  <c r="BN149" i="48"/>
  <c r="AP173" i="48"/>
  <c r="AY173" i="48" s="1"/>
  <c r="AX173" i="48" s="1"/>
  <c r="BI173" i="48" s="1"/>
  <c r="BO53" i="48"/>
  <c r="BM111" i="48"/>
  <c r="AR213" i="48"/>
  <c r="AR248" i="48"/>
  <c r="BM287" i="48"/>
  <c r="AR411" i="48"/>
  <c r="BN451" i="48"/>
  <c r="BM9" i="48"/>
  <c r="AR53" i="48"/>
  <c r="BO84" i="48"/>
  <c r="BN94" i="48"/>
  <c r="BM104" i="48"/>
  <c r="AR111" i="48"/>
  <c r="BK113" i="48"/>
  <c r="BN115" i="48"/>
  <c r="BM173" i="48"/>
  <c r="BN167" i="48"/>
  <c r="BK64" i="48"/>
  <c r="BO115" i="48"/>
  <c r="BK217" i="48"/>
  <c r="BK88" i="48"/>
  <c r="BN287" i="48"/>
  <c r="BK306" i="48"/>
  <c r="BK286" i="48"/>
  <c r="BK221" i="48"/>
  <c r="AQ454" i="48"/>
  <c r="BN9" i="48"/>
  <c r="AR164" i="48"/>
  <c r="AR180" i="48"/>
  <c r="BN248" i="48"/>
  <c r="BO290" i="48"/>
  <c r="BN370" i="48"/>
  <c r="BN386" i="48"/>
  <c r="BN420" i="48"/>
  <c r="BN327" i="48"/>
  <c r="BN394" i="48"/>
  <c r="AP411" i="48"/>
  <c r="AY411" i="48" s="1"/>
  <c r="BM411" i="48"/>
  <c r="BN11" i="48"/>
  <c r="AR104" i="48"/>
  <c r="BN111" i="48"/>
  <c r="BM233" i="48"/>
  <c r="BN239" i="48"/>
  <c r="BM248" i="48"/>
  <c r="BN290" i="48"/>
  <c r="AP210" i="48"/>
  <c r="AY210" i="48" s="1"/>
  <c r="AX210" i="48" s="1"/>
  <c r="AP287" i="48"/>
  <c r="AY287" i="48" s="1"/>
  <c r="AP9" i="48"/>
  <c r="AY9" i="48" s="1"/>
  <c r="BI9" i="48" s="1"/>
  <c r="BK129" i="48"/>
  <c r="BO239" i="48"/>
  <c r="AP95" i="48"/>
  <c r="AY95" i="48" s="1"/>
  <c r="AP142" i="48"/>
  <c r="AY142" i="48" s="1"/>
  <c r="AX142" i="48" s="1"/>
  <c r="AP222" i="48"/>
  <c r="AY222" i="48" s="1"/>
  <c r="AP248" i="48"/>
  <c r="AY248" i="48" s="1"/>
  <c r="AX248" i="48" s="1"/>
  <c r="BK67" i="48"/>
  <c r="BK71" i="48"/>
  <c r="BK95" i="48"/>
  <c r="BK133" i="48"/>
  <c r="BJ196" i="48"/>
  <c r="AP5" i="48"/>
  <c r="AY5" i="48" s="1"/>
  <c r="AX5" i="48" s="1"/>
  <c r="AP12" i="48"/>
  <c r="AY12" i="48" s="1"/>
  <c r="AP15" i="48"/>
  <c r="AY15" i="48" s="1"/>
  <c r="AX15" i="48" s="1"/>
  <c r="AP321" i="48"/>
  <c r="AY321" i="48" s="1"/>
  <c r="AP324" i="48"/>
  <c r="AY324" i="48" s="1"/>
  <c r="AX324" i="48" s="1"/>
  <c r="BH324" i="48" s="1"/>
  <c r="BO408" i="48"/>
  <c r="BO273" i="48"/>
  <c r="BO289" i="48"/>
  <c r="BO305" i="48"/>
  <c r="BO185" i="48"/>
  <c r="BM141" i="48"/>
  <c r="BN171" i="48"/>
  <c r="BM41" i="48"/>
  <c r="AP143" i="48"/>
  <c r="AY143" i="48" s="1"/>
  <c r="BK316" i="48"/>
  <c r="BK376" i="48"/>
  <c r="BI426" i="48"/>
  <c r="BH314" i="48"/>
  <c r="BO43" i="48"/>
  <c r="BO236" i="48"/>
  <c r="BO51" i="48"/>
  <c r="BN63" i="48"/>
  <c r="BO83" i="48"/>
  <c r="BO99" i="48"/>
  <c r="BN179" i="48"/>
  <c r="AP101" i="48"/>
  <c r="AY101" i="48" s="1"/>
  <c r="AX101" i="48" s="1"/>
  <c r="BI251" i="48"/>
  <c r="AP93" i="48"/>
  <c r="AY93" i="48" s="1"/>
  <c r="AP131" i="48"/>
  <c r="AY131" i="48" s="1"/>
  <c r="BK138" i="48"/>
  <c r="BK142" i="48"/>
  <c r="BI199" i="48"/>
  <c r="BH298" i="48"/>
  <c r="BH316" i="48"/>
  <c r="BK388" i="48"/>
  <c r="BH410" i="48"/>
  <c r="AP234" i="48"/>
  <c r="AY234" i="48" s="1"/>
  <c r="AX234" i="48" s="1"/>
  <c r="AP10" i="48"/>
  <c r="AY10" i="48" s="1"/>
  <c r="AX10" i="48" s="1"/>
  <c r="BH187" i="48"/>
  <c r="BO72" i="48"/>
  <c r="BH348" i="48"/>
  <c r="AP177" i="48"/>
  <c r="AY177" i="48" s="1"/>
  <c r="AP181" i="48"/>
  <c r="AY181" i="48" s="1"/>
  <c r="AX181" i="48" s="1"/>
  <c r="BH181" i="48" s="1"/>
  <c r="AP184" i="48"/>
  <c r="AY184" i="48" s="1"/>
  <c r="AP192" i="48"/>
  <c r="AY192" i="48" s="1"/>
  <c r="AP104" i="48"/>
  <c r="AY104" i="48" s="1"/>
  <c r="AX104" i="48" s="1"/>
  <c r="BH104" i="48" s="1"/>
  <c r="AR101" i="48"/>
  <c r="AP325" i="48"/>
  <c r="AY325" i="48" s="1"/>
  <c r="AQ416" i="48"/>
  <c r="BK292" i="48"/>
  <c r="BI229" i="48"/>
  <c r="AP149" i="48"/>
  <c r="AY149" i="48" s="1"/>
  <c r="AX149" i="48" s="1"/>
  <c r="BK2" i="48"/>
  <c r="BK20" i="48"/>
  <c r="BJ37" i="48"/>
  <c r="BK240" i="48"/>
  <c r="BJ231" i="48"/>
  <c r="AQ292" i="48"/>
  <c r="BN46" i="50"/>
  <c r="BP66" i="50"/>
  <c r="BM31" i="49"/>
  <c r="BM55" i="49"/>
  <c r="BR60" i="47"/>
  <c r="BT60" i="47" s="1"/>
  <c r="BM59" i="47"/>
  <c r="BN5" i="47"/>
  <c r="AU76" i="47"/>
  <c r="BP63" i="47"/>
  <c r="FI63" i="47" s="1"/>
  <c r="BP80" i="47"/>
  <c r="BP202" i="47"/>
  <c r="BN4" i="47"/>
  <c r="AT178" i="47"/>
  <c r="AU169" i="47"/>
  <c r="AU176" i="47"/>
  <c r="BP176" i="47"/>
  <c r="BP31" i="47"/>
  <c r="BP33" i="47"/>
  <c r="AU21" i="47"/>
  <c r="AU135" i="47"/>
  <c r="BP159" i="47"/>
  <c r="FI159" i="47" s="1"/>
  <c r="AU154" i="47"/>
  <c r="BM126" i="47"/>
  <c r="AU69" i="47"/>
  <c r="BP94" i="47"/>
  <c r="BN116" i="47"/>
  <c r="BP3" i="47"/>
  <c r="BM52" i="47"/>
  <c r="BN125" i="47"/>
  <c r="BP89" i="47"/>
  <c r="AT3" i="47"/>
  <c r="AT127" i="47"/>
  <c r="AS42" i="47"/>
  <c r="BB42" i="47" s="1"/>
  <c r="AU174" i="47"/>
  <c r="AT23" i="47"/>
  <c r="AU211" i="47"/>
  <c r="AU144" i="47"/>
  <c r="BP77" i="47"/>
  <c r="AS120" i="47"/>
  <c r="BB120" i="47" s="1"/>
  <c r="BN106" i="47"/>
  <c r="AT69" i="47"/>
  <c r="AU40" i="47"/>
  <c r="AU163" i="47"/>
  <c r="AU167" i="47"/>
  <c r="BN28" i="47"/>
  <c r="BR187" i="47"/>
  <c r="BR183" i="47"/>
  <c r="AU99" i="47"/>
  <c r="AS146" i="47"/>
  <c r="BB146" i="47" s="1"/>
  <c r="BA146" i="47" s="1"/>
  <c r="V146" i="47" s="1"/>
  <c r="BN53" i="50"/>
  <c r="BP79" i="50"/>
  <c r="BN12" i="50"/>
  <c r="BM36" i="50"/>
  <c r="BP23" i="50"/>
  <c r="AU54" i="50"/>
  <c r="AU59" i="50"/>
  <c r="BP77" i="50"/>
  <c r="AU6" i="50"/>
  <c r="AT94" i="50"/>
  <c r="BP84" i="47"/>
  <c r="BP10" i="47"/>
  <c r="BM125" i="47"/>
  <c r="CB111" i="47"/>
  <c r="CD111" i="47" s="1"/>
  <c r="AS195" i="47"/>
  <c r="BB195" i="47" s="1"/>
  <c r="AS185" i="47"/>
  <c r="BB185" i="47" s="1"/>
  <c r="BA185" i="47" s="1"/>
  <c r="AT193" i="47"/>
  <c r="AS148" i="47"/>
  <c r="BB148" i="47" s="1"/>
  <c r="BP65" i="47"/>
  <c r="AU89" i="47"/>
  <c r="AS81" i="47"/>
  <c r="BB81" i="47" s="1"/>
  <c r="BA81" i="47" s="1"/>
  <c r="U81" i="47" s="1"/>
  <c r="AT79" i="47"/>
  <c r="AS107" i="47"/>
  <c r="BB107" i="47" s="1"/>
  <c r="BA107" i="47" s="1"/>
  <c r="AS11" i="47"/>
  <c r="BB11" i="47" s="1"/>
  <c r="BA11" i="47" s="1"/>
  <c r="AS176" i="47"/>
  <c r="BB176" i="47" s="1"/>
  <c r="CB176" i="47" s="1"/>
  <c r="CC176" i="47" s="1"/>
  <c r="CF176" i="47" s="1"/>
  <c r="BP8" i="47"/>
  <c r="BP123" i="47"/>
  <c r="BP88" i="47"/>
  <c r="BP90" i="47"/>
  <c r="BP136" i="47"/>
  <c r="BP204" i="47"/>
  <c r="BR126" i="47"/>
  <c r="BP43" i="47"/>
  <c r="BP160" i="47"/>
  <c r="BP166" i="47"/>
  <c r="AS194" i="47"/>
  <c r="BB194" i="47" s="1"/>
  <c r="BA194" i="47" s="1"/>
  <c r="AT209" i="47"/>
  <c r="AU133" i="47"/>
  <c r="AT15" i="47"/>
  <c r="BP201" i="47"/>
  <c r="BP192" i="47"/>
  <c r="AS9" i="47"/>
  <c r="BB9" i="47" s="1"/>
  <c r="BP18" i="47"/>
  <c r="FI109" i="47"/>
  <c r="BR48" i="47"/>
  <c r="BU48" i="47" s="1"/>
  <c r="BV48" i="47" s="1"/>
  <c r="BX48" i="47" s="1"/>
  <c r="BY48" i="47" s="1"/>
  <c r="BP184" i="47"/>
  <c r="BP124" i="47"/>
  <c r="BR54" i="47"/>
  <c r="AT7" i="47"/>
  <c r="BN129" i="47"/>
  <c r="AU156" i="47"/>
  <c r="BP165" i="47"/>
  <c r="AT123" i="47"/>
  <c r="BM47" i="47"/>
  <c r="BM122" i="47"/>
  <c r="AS62" i="47"/>
  <c r="BB62" i="47" s="1"/>
  <c r="AU140" i="47"/>
  <c r="AU48" i="47"/>
  <c r="AU105" i="47"/>
  <c r="BP98" i="47"/>
  <c r="FI98" i="47" s="1"/>
  <c r="BQ124" i="47"/>
  <c r="BR124" i="47" s="1"/>
  <c r="BU124" i="47" s="1"/>
  <c r="BV124" i="47" s="1"/>
  <c r="BX124" i="47" s="1"/>
  <c r="BY124" i="47" s="1"/>
  <c r="BP59" i="47"/>
  <c r="BM54" i="47"/>
  <c r="AS77" i="47"/>
  <c r="BB77" i="47" s="1"/>
  <c r="BA77" i="47" s="1"/>
  <c r="CM77" i="47" s="1"/>
  <c r="AT52" i="47"/>
  <c r="BR50" i="47"/>
  <c r="BT50" i="47" s="1"/>
  <c r="AU187" i="47"/>
  <c r="BT6" i="47"/>
  <c r="BP16" i="47"/>
  <c r="BP143" i="47"/>
  <c r="AU148" i="47"/>
  <c r="AS15" i="47"/>
  <c r="BB15" i="47" s="1"/>
  <c r="CB15" i="47" s="1"/>
  <c r="CD15" i="47" s="1"/>
  <c r="FO67" i="47"/>
  <c r="BN206" i="47"/>
  <c r="BP46" i="47"/>
  <c r="FO46" i="47" s="1"/>
  <c r="AS201" i="47"/>
  <c r="BB201" i="47" s="1"/>
  <c r="CB201" i="47" s="1"/>
  <c r="CD201" i="47" s="1"/>
  <c r="BP19" i="47"/>
  <c r="AS20" i="47"/>
  <c r="BB20" i="47" s="1"/>
  <c r="BA20" i="47" s="1"/>
  <c r="V20" i="47" s="1"/>
  <c r="AU101" i="47"/>
  <c r="BP11" i="47"/>
  <c r="AT42" i="47"/>
  <c r="AT47" i="47"/>
  <c r="AT54" i="47"/>
  <c r="AU77" i="47"/>
  <c r="BP178" i="47"/>
  <c r="BP101" i="47"/>
  <c r="BQ47" i="47"/>
  <c r="BR47" i="47" s="1"/>
  <c r="BT47" i="47" s="1"/>
  <c r="AS126" i="47"/>
  <c r="BB126" i="47" s="1"/>
  <c r="CB126" i="47" s="1"/>
  <c r="CD126" i="47" s="1"/>
  <c r="BR4" i="47"/>
  <c r="FO63" i="47"/>
  <c r="BT53" i="47"/>
  <c r="AS65" i="47"/>
  <c r="BB65" i="47" s="1"/>
  <c r="BA65" i="47" s="1"/>
  <c r="V65" i="47" s="1"/>
  <c r="AT61" i="49"/>
  <c r="BA61" i="49" s="1"/>
  <c r="AZ61" i="49" s="1"/>
  <c r="V61" i="49" s="1"/>
  <c r="BM41" i="49"/>
  <c r="AS55" i="50"/>
  <c r="BB55" i="50" s="1"/>
  <c r="BN48" i="50"/>
  <c r="BN31" i="50"/>
  <c r="AU50" i="50"/>
  <c r="BP14" i="50"/>
  <c r="BN26" i="50"/>
  <c r="BN43" i="50"/>
  <c r="AU107" i="50"/>
  <c r="BN6" i="50"/>
  <c r="FG70" i="50"/>
  <c r="BP63" i="50"/>
  <c r="AS103" i="50"/>
  <c r="BB103" i="50" s="1"/>
  <c r="AS100" i="50"/>
  <c r="BB100" i="50" s="1"/>
  <c r="AT99" i="50"/>
  <c r="AU99" i="50"/>
  <c r="BN72" i="50"/>
  <c r="BN36" i="50"/>
  <c r="BN25" i="50"/>
  <c r="AS62" i="50"/>
  <c r="BB62" i="50" s="1"/>
  <c r="BN55" i="50"/>
  <c r="BN47" i="50"/>
  <c r="AS95" i="50"/>
  <c r="BB95" i="50" s="1"/>
  <c r="AV241" i="52"/>
  <c r="AU132" i="52"/>
  <c r="BM24" i="49"/>
  <c r="BM28" i="49"/>
  <c r="BM32" i="49"/>
  <c r="AS122" i="47"/>
  <c r="BB122" i="47" s="1"/>
  <c r="BP114" i="47"/>
  <c r="FO114" i="47" s="1"/>
  <c r="BP70" i="47"/>
  <c r="BP208" i="47"/>
  <c r="FI208" i="47" s="1"/>
  <c r="BP137" i="47"/>
  <c r="BP139" i="47"/>
  <c r="BP162" i="47"/>
  <c r="FI162" i="47" s="1"/>
  <c r="AS79" i="50"/>
  <c r="BB79" i="50" s="1"/>
  <c r="ER27" i="50"/>
  <c r="EW27" i="50"/>
  <c r="BO89" i="48"/>
  <c r="AR89" i="48"/>
  <c r="AX213" i="48"/>
  <c r="BI213" i="48" s="1"/>
  <c r="BM69" i="48"/>
  <c r="BO69" i="48"/>
  <c r="AP153" i="48"/>
  <c r="AY153" i="48" s="1"/>
  <c r="AX153" i="48" s="1"/>
  <c r="BH153" i="48" s="1"/>
  <c r="AR153" i="48"/>
  <c r="BN153" i="48"/>
  <c r="BI100" i="48"/>
  <c r="AP203" i="48"/>
  <c r="AY203" i="48" s="1"/>
  <c r="AX203" i="48" s="1"/>
  <c r="BH203" i="48" s="1"/>
  <c r="AS6" i="50"/>
  <c r="BB6" i="50" s="1"/>
  <c r="BP6" i="50"/>
  <c r="AV89" i="52"/>
  <c r="AV76" i="52"/>
  <c r="AU96" i="52"/>
  <c r="BM20" i="49"/>
  <c r="BM13" i="49"/>
  <c r="BM17" i="49"/>
  <c r="BM58" i="49"/>
  <c r="BP78" i="47"/>
  <c r="BP116" i="47"/>
  <c r="BP26" i="47"/>
  <c r="BP210" i="47"/>
  <c r="BP141" i="47"/>
  <c r="AS63" i="50"/>
  <c r="BB63" i="50" s="1"/>
  <c r="AS180" i="47"/>
  <c r="BB180" i="47" s="1"/>
  <c r="BA180" i="47" s="1"/>
  <c r="CK180" i="47" s="1"/>
  <c r="AP381" i="48"/>
  <c r="AY381" i="48" s="1"/>
  <c r="AP69" i="48"/>
  <c r="AY69" i="48" s="1"/>
  <c r="AP418" i="48"/>
  <c r="AY418" i="48" s="1"/>
  <c r="AX418" i="48" s="1"/>
  <c r="BN372" i="48"/>
  <c r="AR372" i="48"/>
  <c r="AU95" i="52"/>
  <c r="AU22" i="52"/>
  <c r="AU89" i="52"/>
  <c r="BM22" i="49"/>
  <c r="BM26" i="49"/>
  <c r="BM30" i="49"/>
  <c r="BP112" i="47"/>
  <c r="BP24" i="47"/>
  <c r="BN164" i="47"/>
  <c r="BN69" i="50"/>
  <c r="AT49" i="50"/>
  <c r="BP29" i="47"/>
  <c r="AS29" i="47"/>
  <c r="BB29" i="47" s="1"/>
  <c r="BA29" i="47" s="1"/>
  <c r="AR114" i="48"/>
  <c r="BM114" i="48"/>
  <c r="EA114" i="48" s="1"/>
  <c r="AU87" i="52"/>
  <c r="BH384" i="48"/>
  <c r="AP89" i="48"/>
  <c r="AY89" i="48" s="1"/>
  <c r="AS89" i="47"/>
  <c r="BB89" i="47" s="1"/>
  <c r="BA89" i="47" s="1"/>
  <c r="BR125" i="47"/>
  <c r="BT125" i="47" s="1"/>
  <c r="BN101" i="50"/>
  <c r="BO73" i="48"/>
  <c r="BM73" i="48"/>
  <c r="AP73" i="48"/>
  <c r="AY73" i="48" s="1"/>
  <c r="AX73" i="48" s="1"/>
  <c r="BN73" i="48"/>
  <c r="BN204" i="48"/>
  <c r="BM204" i="48"/>
  <c r="AP204" i="48"/>
  <c r="AY204" i="48" s="1"/>
  <c r="AR204" i="48"/>
  <c r="BO3" i="48"/>
  <c r="BM3" i="48"/>
  <c r="AP3" i="48"/>
  <c r="AY3" i="48" s="1"/>
  <c r="AX3" i="48" s="1"/>
  <c r="BN3" i="48"/>
  <c r="BO48" i="48"/>
  <c r="AP48" i="48"/>
  <c r="AY48" i="48" s="1"/>
  <c r="AX48" i="48" s="1"/>
  <c r="BH48" i="48" s="1"/>
  <c r="AR48" i="48"/>
  <c r="BN48" i="48"/>
  <c r="BM48" i="48"/>
  <c r="AR217" i="48"/>
  <c r="BO217" i="48"/>
  <c r="AP217" i="48"/>
  <c r="AY217" i="48" s="1"/>
  <c r="AX217" i="48" s="1"/>
  <c r="BH217" i="48" s="1"/>
  <c r="BM217" i="48"/>
  <c r="BN217" i="48"/>
  <c r="BM418" i="48"/>
  <c r="BN418" i="48"/>
  <c r="BO418" i="48"/>
  <c r="BN55" i="52"/>
  <c r="AT168" i="52"/>
  <c r="BC168" i="52" s="1"/>
  <c r="BB168" i="52" s="1"/>
  <c r="V168" i="52" s="1"/>
  <c r="AT225" i="52"/>
  <c r="BC225" i="52" s="1"/>
  <c r="BB225" i="52" s="1"/>
  <c r="AT59" i="52"/>
  <c r="BC59" i="52" s="1"/>
  <c r="BB59" i="52" s="1"/>
  <c r="W59" i="52" s="1"/>
  <c r="AU126" i="52"/>
  <c r="BM130" i="47"/>
  <c r="BQ130" i="47"/>
  <c r="BR130" i="47" s="1"/>
  <c r="BU130" i="47" s="1"/>
  <c r="BV130" i="47" s="1"/>
  <c r="BX130" i="47" s="1"/>
  <c r="BY130" i="47" s="1"/>
  <c r="BM128" i="47"/>
  <c r="BQ128" i="47"/>
  <c r="BR128" i="47" s="1"/>
  <c r="AR3" i="48"/>
  <c r="BO204" i="48"/>
  <c r="BH247" i="48"/>
  <c r="BO203" i="48"/>
  <c r="AR203" i="48"/>
  <c r="BM203" i="48"/>
  <c r="BN203" i="48"/>
  <c r="BO143" i="48"/>
  <c r="BN143" i="48"/>
  <c r="AP444" i="48"/>
  <c r="AY444" i="48" s="1"/>
  <c r="AX444" i="48" s="1"/>
  <c r="BO444" i="48"/>
  <c r="BM444" i="48"/>
  <c r="BP106" i="47"/>
  <c r="BR118" i="47"/>
  <c r="BM197" i="47"/>
  <c r="BP10" i="50"/>
  <c r="BM306" i="48"/>
  <c r="BO306" i="48"/>
  <c r="AR306" i="48"/>
  <c r="BO25" i="48"/>
  <c r="AR25" i="48"/>
  <c r="AP25" i="48"/>
  <c r="AY25" i="48" s="1"/>
  <c r="BM25" i="48"/>
  <c r="BJ153" i="48"/>
  <c r="BN226" i="48"/>
  <c r="BO226" i="48"/>
  <c r="AP226" i="48"/>
  <c r="AY226" i="48" s="1"/>
  <c r="BM226" i="48"/>
  <c r="AR226" i="48"/>
  <c r="BN37" i="48"/>
  <c r="BO37" i="48"/>
  <c r="AP37" i="48"/>
  <c r="AY37" i="48" s="1"/>
  <c r="AX37" i="48" s="1"/>
  <c r="BI37" i="48" s="1"/>
  <c r="BM37" i="48"/>
  <c r="AQ157" i="48"/>
  <c r="AP157" i="48"/>
  <c r="AY157" i="48" s="1"/>
  <c r="AV82" i="52"/>
  <c r="BM18" i="49"/>
  <c r="BM11" i="49"/>
  <c r="BM15" i="49"/>
  <c r="BM56" i="49"/>
  <c r="BP108" i="47"/>
  <c r="BP110" i="47"/>
  <c r="BP22" i="47"/>
  <c r="BO91" i="48"/>
  <c r="BO148" i="48"/>
  <c r="BP28" i="47"/>
  <c r="FI28" i="47" s="1"/>
  <c r="BP168" i="47"/>
  <c r="AU152" i="47"/>
  <c r="AT14" i="49"/>
  <c r="BA14" i="49" s="1"/>
  <c r="AZ14" i="49" s="1"/>
  <c r="V14" i="49" s="1"/>
  <c r="AU2" i="50"/>
  <c r="FA35" i="50"/>
  <c r="BM54" i="50"/>
  <c r="BN73" i="50"/>
  <c r="AS77" i="50"/>
  <c r="BB77" i="50" s="1"/>
  <c r="AS91" i="50"/>
  <c r="BB91" i="50" s="1"/>
  <c r="BN59" i="50"/>
  <c r="AU79" i="50"/>
  <c r="AU138" i="47"/>
  <c r="AU109" i="47"/>
  <c r="AU113" i="47"/>
  <c r="BO113" i="48"/>
  <c r="AR131" i="48"/>
  <c r="AR290" i="48"/>
  <c r="BH36" i="48"/>
  <c r="BK207" i="48"/>
  <c r="BH134" i="48"/>
  <c r="BO14" i="52"/>
  <c r="BN42" i="52"/>
  <c r="BN47" i="52"/>
  <c r="BN269" i="52"/>
  <c r="BO122" i="52"/>
  <c r="AS93" i="47"/>
  <c r="BB93" i="47" s="1"/>
  <c r="BA93" i="47" s="1"/>
  <c r="CL93" i="47" s="1"/>
  <c r="AS32" i="50"/>
  <c r="BB32" i="50" s="1"/>
  <c r="BM59" i="50"/>
  <c r="BM93" i="50"/>
  <c r="BT187" i="47"/>
  <c r="BP35" i="47"/>
  <c r="FI35" i="47" s="1"/>
  <c r="BM61" i="47"/>
  <c r="AT101" i="50"/>
  <c r="AU45" i="50"/>
  <c r="BM6" i="47"/>
  <c r="AU180" i="47"/>
  <c r="BN378" i="48"/>
  <c r="BK451" i="48"/>
  <c r="BN351" i="48"/>
  <c r="BN387" i="48"/>
  <c r="AQ446" i="48"/>
  <c r="BN17" i="48"/>
  <c r="BN56" i="48"/>
  <c r="BK74" i="48"/>
  <c r="BK37" i="48"/>
  <c r="AV198" i="52"/>
  <c r="AU220" i="52"/>
  <c r="AU228" i="52"/>
  <c r="BN69" i="52"/>
  <c r="AU142" i="52"/>
  <c r="AV154" i="52"/>
  <c r="BO34" i="52"/>
  <c r="AV176" i="52"/>
  <c r="AT62" i="52"/>
  <c r="BC62" i="52" s="1"/>
  <c r="BB62" i="52" s="1"/>
  <c r="AV143" i="52"/>
  <c r="AT197" i="52"/>
  <c r="BC197" i="52" s="1"/>
  <c r="BB197" i="52" s="1"/>
  <c r="AU221" i="52"/>
  <c r="BO13" i="52"/>
  <c r="BO269" i="52"/>
  <c r="AT60" i="52"/>
  <c r="BC60" i="52" s="1"/>
  <c r="BB60" i="52" s="1"/>
  <c r="AV280" i="52"/>
  <c r="BO70" i="52"/>
  <c r="BM7" i="47"/>
  <c r="AU49" i="47"/>
  <c r="AU67" i="47"/>
  <c r="BP94" i="50"/>
  <c r="BM39" i="50"/>
  <c r="AU77" i="50"/>
  <c r="BN61" i="50"/>
  <c r="BN15" i="50"/>
  <c r="BN110" i="50"/>
  <c r="BN93" i="50"/>
  <c r="AT14" i="50"/>
  <c r="BP148" i="47"/>
  <c r="BN468" i="48"/>
  <c r="BH282" i="48"/>
  <c r="AP311" i="48"/>
  <c r="AY311" i="48" s="1"/>
  <c r="AS117" i="47"/>
  <c r="BB117" i="47" s="1"/>
  <c r="CB117" i="47" s="1"/>
  <c r="CC117" i="47" s="1"/>
  <c r="CF117" i="47" s="1"/>
  <c r="AT10" i="50"/>
  <c r="BP26" i="50"/>
  <c r="EZ26" i="50" s="1"/>
  <c r="BN95" i="50"/>
  <c r="BM129" i="47"/>
  <c r="AU87" i="47"/>
  <c r="AU15" i="47"/>
  <c r="BN395" i="48"/>
  <c r="BN82" i="48"/>
  <c r="BN106" i="48"/>
  <c r="BN193" i="48"/>
  <c r="BO101" i="48"/>
  <c r="AV180" i="52"/>
  <c r="AU148" i="52"/>
  <c r="AV164" i="52"/>
  <c r="AT170" i="52"/>
  <c r="BC170" i="52" s="1"/>
  <c r="BB170" i="52" s="1"/>
  <c r="AT223" i="52"/>
  <c r="BC223" i="52" s="1"/>
  <c r="BB223" i="52" s="1"/>
  <c r="AV227" i="52"/>
  <c r="BO137" i="52"/>
  <c r="BN12" i="52"/>
  <c r="BO209" i="52"/>
  <c r="BN260" i="52"/>
  <c r="BR123" i="47"/>
  <c r="BU123" i="47" s="1"/>
  <c r="BV123" i="47" s="1"/>
  <c r="AT65" i="47"/>
  <c r="BP57" i="47"/>
  <c r="FO57" i="47" s="1"/>
  <c r="BR51" i="47"/>
  <c r="BU51" i="47" s="1"/>
  <c r="BV51" i="47" s="1"/>
  <c r="BX51" i="47" s="1"/>
  <c r="BY51" i="47" s="1"/>
  <c r="BN130" i="47"/>
  <c r="BP9" i="47"/>
  <c r="AT131" i="47"/>
  <c r="AS72" i="47"/>
  <c r="BB72" i="47" s="1"/>
  <c r="BA72" i="47" s="1"/>
  <c r="V72" i="47" s="1"/>
  <c r="AS83" i="47"/>
  <c r="BB83" i="47" s="1"/>
  <c r="BA83" i="47" s="1"/>
  <c r="BK83" i="47" s="1"/>
  <c r="AS207" i="47"/>
  <c r="BB207" i="47" s="1"/>
  <c r="BI88" i="48"/>
  <c r="AQ94" i="48"/>
  <c r="AS169" i="47"/>
  <c r="BB169" i="47" s="1"/>
  <c r="CB169" i="47" s="1"/>
  <c r="CD169" i="47" s="1"/>
  <c r="AU117" i="47"/>
  <c r="AS56" i="47"/>
  <c r="BB56" i="47" s="1"/>
  <c r="BA56" i="47" s="1"/>
  <c r="BN81" i="50"/>
  <c r="BN4" i="50"/>
  <c r="BN10" i="50"/>
  <c r="BN77" i="50"/>
  <c r="BM3" i="49"/>
  <c r="BM21" i="49"/>
  <c r="CB77" i="47"/>
  <c r="CD77" i="47" s="1"/>
  <c r="BR186" i="47"/>
  <c r="BP37" i="47"/>
  <c r="FO37" i="47" s="1"/>
  <c r="BP164" i="47"/>
  <c r="BP170" i="47"/>
  <c r="AT27" i="47"/>
  <c r="BR55" i="47"/>
  <c r="BT55" i="47" s="1"/>
  <c r="AU34" i="50"/>
  <c r="AU62" i="50"/>
  <c r="AT107" i="50"/>
  <c r="BP103" i="47"/>
  <c r="AU9" i="47"/>
  <c r="BK262" i="48"/>
  <c r="BN322" i="48"/>
  <c r="BN412" i="48"/>
  <c r="BO439" i="48"/>
  <c r="BO71" i="48"/>
  <c r="BO96" i="48"/>
  <c r="AP65" i="48"/>
  <c r="AY65" i="48" s="1"/>
  <c r="AX65" i="48" s="1"/>
  <c r="BJ366" i="48"/>
  <c r="BI348" i="48"/>
  <c r="BK49" i="48"/>
  <c r="BK118" i="48"/>
  <c r="AV7" i="52"/>
  <c r="BN203" i="52"/>
  <c r="AU224" i="52"/>
  <c r="AV114" i="52"/>
  <c r="AT150" i="52"/>
  <c r="BC150" i="52" s="1"/>
  <c r="BB150" i="52" s="1"/>
  <c r="V150" i="52" s="1"/>
  <c r="AT107" i="52"/>
  <c r="BC107" i="52" s="1"/>
  <c r="AV113" i="52"/>
  <c r="AT199" i="52"/>
  <c r="BC199" i="52" s="1"/>
  <c r="BB199" i="52" s="1"/>
  <c r="W199" i="52" s="1"/>
  <c r="BO102" i="52"/>
  <c r="BN138" i="52"/>
  <c r="BN64" i="52"/>
  <c r="AV261" i="52"/>
  <c r="AU65" i="52"/>
  <c r="AT128" i="47"/>
  <c r="AU121" i="47"/>
  <c r="BP128" i="47"/>
  <c r="BP23" i="47"/>
  <c r="AT180" i="47"/>
  <c r="AU83" i="47"/>
  <c r="AS63" i="47"/>
  <c r="BB63" i="47" s="1"/>
  <c r="BA63" i="47" s="1"/>
  <c r="BR5" i="47"/>
  <c r="BU5" i="47" s="1"/>
  <c r="BV5" i="47" s="1"/>
  <c r="BX5" i="47" s="1"/>
  <c r="BY5" i="47" s="1"/>
  <c r="BR94" i="47"/>
  <c r="BT94" i="47" s="1"/>
  <c r="BP45" i="47"/>
  <c r="AT91" i="47"/>
  <c r="AU165" i="47"/>
  <c r="AU89" i="50"/>
  <c r="AS9" i="50"/>
  <c r="BB9" i="50" s="1"/>
  <c r="BN96" i="50"/>
  <c r="BN70" i="50"/>
  <c r="AS14" i="50"/>
  <c r="BB14" i="50" s="1"/>
  <c r="BN75" i="50"/>
  <c r="AS81" i="50"/>
  <c r="BB81" i="50" s="1"/>
  <c r="AU36" i="50"/>
  <c r="AU70" i="50"/>
  <c r="BM61" i="50"/>
  <c r="BM12" i="50"/>
  <c r="BM69" i="50"/>
  <c r="AU13" i="47"/>
  <c r="BO57" i="48"/>
  <c r="BO265" i="48"/>
  <c r="BO281" i="48"/>
  <c r="BO297" i="48"/>
  <c r="BO313" i="48"/>
  <c r="BI243" i="48"/>
  <c r="BI191" i="48"/>
  <c r="AP372" i="48"/>
  <c r="AY372" i="48" s="1"/>
  <c r="AX372" i="48" s="1"/>
  <c r="BN69" i="48"/>
  <c r="BN234" i="48"/>
  <c r="AV197" i="52"/>
  <c r="AS48" i="47"/>
  <c r="BB48" i="47" s="1"/>
  <c r="BA48" i="47" s="1"/>
  <c r="CK48" i="47" s="1"/>
  <c r="AT67" i="47"/>
  <c r="BM57" i="50"/>
  <c r="AU104" i="50"/>
  <c r="BN89" i="50"/>
  <c r="AT33" i="49"/>
  <c r="BA33" i="49" s="1"/>
  <c r="AZ33" i="49" s="1"/>
  <c r="V33" i="49" s="1"/>
  <c r="AT44" i="49"/>
  <c r="BA44" i="49" s="1"/>
  <c r="AT40" i="49"/>
  <c r="BA40" i="49" s="1"/>
  <c r="AT21" i="49"/>
  <c r="BA21" i="49" s="1"/>
  <c r="AZ21" i="49" s="1"/>
  <c r="V21" i="49" s="1"/>
  <c r="AT12" i="49"/>
  <c r="BA12" i="49" s="1"/>
  <c r="AZ12" i="49" s="1"/>
  <c r="V12" i="49" s="1"/>
  <c r="AT35" i="49"/>
  <c r="BA35" i="49" s="1"/>
  <c r="AZ35" i="49" s="1"/>
  <c r="V35" i="49" s="1"/>
  <c r="BM52" i="49"/>
  <c r="BM9" i="49"/>
  <c r="BM39" i="49"/>
  <c r="BM60" i="49"/>
  <c r="AT3" i="49"/>
  <c r="BA3" i="49" s="1"/>
  <c r="BM54" i="49"/>
  <c r="BO58" i="48"/>
  <c r="BO59" i="48"/>
  <c r="BO62" i="48"/>
  <c r="AR63" i="48"/>
  <c r="BO74" i="48"/>
  <c r="BO76" i="48"/>
  <c r="BO78" i="48"/>
  <c r="BO102" i="48"/>
  <c r="BO116" i="48"/>
  <c r="AP124" i="48"/>
  <c r="AY124" i="48" s="1"/>
  <c r="AX124" i="48" s="1"/>
  <c r="BI124" i="48" s="1"/>
  <c r="BO124" i="48"/>
  <c r="AR148" i="48"/>
  <c r="BO164" i="48"/>
  <c r="AR172" i="48"/>
  <c r="BO180" i="48"/>
  <c r="BN160" i="48"/>
  <c r="BN176" i="48"/>
  <c r="BN159" i="48"/>
  <c r="BN163" i="48"/>
  <c r="BI207" i="48"/>
  <c r="BN209" i="48"/>
  <c r="AR209" i="48"/>
  <c r="BN233" i="48"/>
  <c r="AR233" i="48"/>
  <c r="BH266" i="48"/>
  <c r="BM369" i="48"/>
  <c r="BM385" i="48"/>
  <c r="BI52" i="48"/>
  <c r="AP123" i="48"/>
  <c r="AY123" i="48" s="1"/>
  <c r="BM89" i="48"/>
  <c r="AP41" i="48"/>
  <c r="AY41" i="48" s="1"/>
  <c r="AX41" i="48" s="1"/>
  <c r="AP53" i="48"/>
  <c r="AY53" i="48" s="1"/>
  <c r="BH122" i="48"/>
  <c r="BK203" i="48"/>
  <c r="BJ64" i="48"/>
  <c r="BJ130" i="48"/>
  <c r="AP135" i="48"/>
  <c r="AY135" i="48" s="1"/>
  <c r="AP146" i="48"/>
  <c r="AY146" i="48" s="1"/>
  <c r="AX146" i="48" s="1"/>
  <c r="BI146" i="48" s="1"/>
  <c r="BJ183" i="48"/>
  <c r="BJ191" i="48"/>
  <c r="BJ229" i="48"/>
  <c r="BJ251" i="48"/>
  <c r="AP290" i="48"/>
  <c r="AY290" i="48" s="1"/>
  <c r="AX290" i="48" s="1"/>
  <c r="AP317" i="48"/>
  <c r="AY317" i="48" s="1"/>
  <c r="BJ328" i="48"/>
  <c r="BJ332" i="48"/>
  <c r="BK80" i="48"/>
  <c r="BK134" i="48"/>
  <c r="BJ28" i="48"/>
  <c r="BJ36" i="48"/>
  <c r="BK169" i="48"/>
  <c r="BK410" i="48"/>
  <c r="BN25" i="48"/>
  <c r="AS59" i="50"/>
  <c r="BB59" i="50" s="1"/>
  <c r="BA59" i="50" s="1"/>
  <c r="V59" i="50" s="1"/>
  <c r="AS36" i="50"/>
  <c r="BB36" i="50" s="1"/>
  <c r="AT59" i="50"/>
  <c r="BP38" i="50"/>
  <c r="FJ71" i="50" s="1"/>
  <c r="BP44" i="50"/>
  <c r="AU96" i="50"/>
  <c r="AU52" i="50"/>
  <c r="AS43" i="50"/>
  <c r="BB43" i="50" s="1"/>
  <c r="BA43" i="50" s="1"/>
  <c r="V43" i="50" s="1"/>
  <c r="AT23" i="50"/>
  <c r="FJ70" i="50"/>
  <c r="FI70" i="50"/>
  <c r="BN86" i="50"/>
  <c r="BN90" i="50"/>
  <c r="BP62" i="50"/>
  <c r="BP54" i="50"/>
  <c r="AS104" i="50"/>
  <c r="BB104" i="50" s="1"/>
  <c r="BA104" i="50" s="1"/>
  <c r="V104" i="50" s="1"/>
  <c r="BN58" i="50"/>
  <c r="BN66" i="50"/>
  <c r="BN9" i="50"/>
  <c r="BM84" i="50"/>
  <c r="AS99" i="50"/>
  <c r="BB99" i="50" s="1"/>
  <c r="BA99" i="50" s="1"/>
  <c r="V99" i="50" s="1"/>
  <c r="AS31" i="50"/>
  <c r="BB31" i="50" s="1"/>
  <c r="AS35" i="50"/>
  <c r="BB35" i="50" s="1"/>
  <c r="BN51" i="50"/>
  <c r="BN18" i="50"/>
  <c r="AS87" i="50"/>
  <c r="BB87" i="50" s="1"/>
  <c r="AT33" i="50"/>
  <c r="BN56" i="50"/>
  <c r="AS67" i="50"/>
  <c r="BB67" i="50" s="1"/>
  <c r="BN7" i="50"/>
  <c r="AS10" i="50"/>
  <c r="BB10" i="50" s="1"/>
  <c r="AU26" i="50"/>
  <c r="BP103" i="50"/>
  <c r="FF103" i="50" s="1"/>
  <c r="AU14" i="50"/>
  <c r="AU83" i="50"/>
  <c r="FI9" i="47"/>
  <c r="FO9" i="47"/>
  <c r="FI85" i="47"/>
  <c r="FO85" i="47"/>
  <c r="CB207" i="47"/>
  <c r="BA207" i="47"/>
  <c r="BL207" i="47" s="1"/>
  <c r="CB72" i="47"/>
  <c r="CD72" i="47" s="1"/>
  <c r="CB83" i="47"/>
  <c r="CD83" i="47" s="1"/>
  <c r="AS118" i="47"/>
  <c r="BB118" i="47" s="1"/>
  <c r="BN100" i="47"/>
  <c r="BN2" i="47"/>
  <c r="AU74" i="47"/>
  <c r="AU91" i="47"/>
  <c r="AS159" i="47"/>
  <c r="BB159" i="47" s="1"/>
  <c r="BA159" i="47" s="1"/>
  <c r="BK159" i="47" s="1"/>
  <c r="AS135" i="47"/>
  <c r="BB135" i="47" s="1"/>
  <c r="BA135" i="47" s="1"/>
  <c r="BK135" i="47" s="1"/>
  <c r="AS103" i="47"/>
  <c r="BB103" i="47" s="1"/>
  <c r="BA103" i="47" s="1"/>
  <c r="CM103" i="47" s="1"/>
  <c r="AS23" i="47"/>
  <c r="BB23" i="47" s="1"/>
  <c r="AS17" i="47"/>
  <c r="BB17" i="47" s="1"/>
  <c r="BA17" i="47" s="1"/>
  <c r="CM17" i="47" s="1"/>
  <c r="AU158" i="47"/>
  <c r="BN7" i="47"/>
  <c r="AS154" i="47"/>
  <c r="BB154" i="47" s="1"/>
  <c r="BA154" i="47" s="1"/>
  <c r="BP180" i="47"/>
  <c r="FI180" i="47" s="1"/>
  <c r="BP146" i="47"/>
  <c r="AT118" i="47"/>
  <c r="BN86" i="47"/>
  <c r="BN110" i="47"/>
  <c r="BM2" i="47"/>
  <c r="BR8" i="47"/>
  <c r="BT8" i="47" s="1"/>
  <c r="BQ122" i="47"/>
  <c r="BR122" i="47" s="1"/>
  <c r="BT122" i="47" s="1"/>
  <c r="BM123" i="47"/>
  <c r="BQ129" i="47"/>
  <c r="BR129" i="47" s="1"/>
  <c r="FO154" i="47"/>
  <c r="BN12" i="47"/>
  <c r="FO203" i="47"/>
  <c r="BN139" i="47"/>
  <c r="CB11" i="47"/>
  <c r="CD11" i="47" s="1"/>
  <c r="BP197" i="47"/>
  <c r="BR92" i="47"/>
  <c r="BU92" i="47" s="1"/>
  <c r="BV92" i="47" s="1"/>
  <c r="FI97" i="47"/>
  <c r="BM118" i="47"/>
  <c r="BM51" i="47"/>
  <c r="AS174" i="47"/>
  <c r="BB174" i="47" s="1"/>
  <c r="BA174" i="47" s="1"/>
  <c r="CM174" i="47" s="1"/>
  <c r="AS49" i="47"/>
  <c r="BB49" i="47" s="1"/>
  <c r="BA49" i="47" s="1"/>
  <c r="AU203" i="47"/>
  <c r="AT32" i="47"/>
  <c r="BN22" i="47"/>
  <c r="AS85" i="47"/>
  <c r="BB85" i="47" s="1"/>
  <c r="BA85" i="47" s="1"/>
  <c r="V85" i="47" s="1"/>
  <c r="AS67" i="47"/>
  <c r="BB67" i="47" s="1"/>
  <c r="BA67" i="47" s="1"/>
  <c r="U67" i="47" s="1"/>
  <c r="AS131" i="47"/>
  <c r="BB131" i="47" s="1"/>
  <c r="BA131" i="47" s="1"/>
  <c r="BK131" i="47" s="1"/>
  <c r="AS79" i="47"/>
  <c r="BB79" i="47" s="1"/>
  <c r="BA79" i="47" s="1"/>
  <c r="U79" i="47" s="1"/>
  <c r="BR58" i="47"/>
  <c r="BT58" i="47" s="1"/>
  <c r="AT138" i="47"/>
  <c r="BP99" i="47"/>
  <c r="FO99" i="47" s="1"/>
  <c r="BP126" i="47"/>
  <c r="FI126" i="47" s="1"/>
  <c r="AS209" i="47"/>
  <c r="BB209" i="47" s="1"/>
  <c r="AT148" i="47"/>
  <c r="AS113" i="47"/>
  <c r="BB113" i="47" s="1"/>
  <c r="BA113" i="47" s="1"/>
  <c r="AT95" i="47"/>
  <c r="BR57" i="47"/>
  <c r="BM94" i="47"/>
  <c r="AS57" i="47"/>
  <c r="BB57" i="47" s="1"/>
  <c r="CB57" i="47" s="1"/>
  <c r="AT83" i="47"/>
  <c r="AT63" i="47"/>
  <c r="FI15" i="47"/>
  <c r="FO15" i="47"/>
  <c r="FO180" i="47"/>
  <c r="BP4" i="47"/>
  <c r="FO4" i="47" s="1"/>
  <c r="BP6" i="47"/>
  <c r="FI6" i="47" s="1"/>
  <c r="FO54" i="47"/>
  <c r="BN66" i="47"/>
  <c r="BN134" i="47"/>
  <c r="AT8" i="47"/>
  <c r="BT127" i="47"/>
  <c r="CB154" i="47"/>
  <c r="CD154" i="47" s="1"/>
  <c r="CB85" i="47"/>
  <c r="CD85" i="47" s="1"/>
  <c r="AS172" i="47"/>
  <c r="BB172" i="47" s="1"/>
  <c r="BA172" i="47" s="1"/>
  <c r="CB20" i="47"/>
  <c r="CD20" i="47" s="1"/>
  <c r="AS183" i="47"/>
  <c r="BB183" i="47" s="1"/>
  <c r="CB183" i="47" s="1"/>
  <c r="CC183" i="47" s="1"/>
  <c r="CF183" i="47" s="1"/>
  <c r="FO159" i="47"/>
  <c r="BT186" i="47"/>
  <c r="AU39" i="47"/>
  <c r="BP150" i="47"/>
  <c r="BP91" i="47"/>
  <c r="BP13" i="47"/>
  <c r="AT13" i="47"/>
  <c r="AT203" i="47"/>
  <c r="AT140" i="47"/>
  <c r="AU36" i="47"/>
  <c r="AS163" i="47"/>
  <c r="BB163" i="47" s="1"/>
  <c r="BA163" i="47" s="1"/>
  <c r="AS121" i="47"/>
  <c r="BB121" i="47" s="1"/>
  <c r="CB121" i="47" s="1"/>
  <c r="BP158" i="47"/>
  <c r="BP133" i="47"/>
  <c r="BN30" i="47"/>
  <c r="BM46" i="47"/>
  <c r="BM53" i="47"/>
  <c r="BM58" i="47"/>
  <c r="BM57" i="47"/>
  <c r="FO65" i="47"/>
  <c r="FI65" i="47"/>
  <c r="AS97" i="47"/>
  <c r="BB97" i="47" s="1"/>
  <c r="BA97" i="47" s="1"/>
  <c r="U97" i="47" s="1"/>
  <c r="AS44" i="47"/>
  <c r="BB44" i="47" s="1"/>
  <c r="BA44" i="47" s="1"/>
  <c r="U44" i="47" s="1"/>
  <c r="BP189" i="47"/>
  <c r="BP113" i="47"/>
  <c r="BP144" i="47"/>
  <c r="BN98" i="47"/>
  <c r="FI120" i="47"/>
  <c r="AU31" i="47"/>
  <c r="BB107" i="52"/>
  <c r="V107" i="52" s="1"/>
  <c r="AT264" i="52"/>
  <c r="BC264" i="52" s="1"/>
  <c r="AV87" i="52"/>
  <c r="AV91" i="52"/>
  <c r="AV93" i="52"/>
  <c r="AV99" i="52"/>
  <c r="AV212" i="52"/>
  <c r="AV190" i="52"/>
  <c r="AT4" i="52"/>
  <c r="BC4" i="52" s="1"/>
  <c r="BB4" i="52" s="1"/>
  <c r="V4" i="52" s="1"/>
  <c r="BO248" i="52"/>
  <c r="BO203" i="52"/>
  <c r="AU213" i="52"/>
  <c r="AU242" i="52"/>
  <c r="BO4" i="52"/>
  <c r="BO201" i="52"/>
  <c r="AV118" i="52"/>
  <c r="AV148" i="52"/>
  <c r="AV196" i="52"/>
  <c r="AV200" i="52"/>
  <c r="AT202" i="52"/>
  <c r="BC202" i="52" s="1"/>
  <c r="AV228" i="52"/>
  <c r="AV169" i="52"/>
  <c r="AV177" i="52"/>
  <c r="AT152" i="52"/>
  <c r="BC152" i="52" s="1"/>
  <c r="AV268" i="52"/>
  <c r="AV226" i="52"/>
  <c r="AU277" i="52"/>
  <c r="AU281" i="52"/>
  <c r="BN62" i="52"/>
  <c r="BO69" i="52"/>
  <c r="AU63" i="52"/>
  <c r="AV260" i="52"/>
  <c r="AV43" i="52"/>
  <c r="AV173" i="52"/>
  <c r="AV175" i="52"/>
  <c r="AV142" i="52"/>
  <c r="AV144" i="52"/>
  <c r="AV150" i="52"/>
  <c r="AV152" i="52"/>
  <c r="AT154" i="52"/>
  <c r="BC154" i="52" s="1"/>
  <c r="AV266" i="52"/>
  <c r="AV275" i="52"/>
  <c r="AV277" i="52"/>
  <c r="AV220" i="52"/>
  <c r="AV224" i="52"/>
  <c r="BN50" i="52"/>
  <c r="BO50" i="52"/>
  <c r="BN274" i="52"/>
  <c r="BO124" i="52"/>
  <c r="BO139" i="52"/>
  <c r="BN10" i="52"/>
  <c r="BN14" i="52"/>
  <c r="BO104" i="52"/>
  <c r="BO43" i="52"/>
  <c r="BO11" i="52"/>
  <c r="BO42" i="52"/>
  <c r="BO16" i="52"/>
  <c r="BO110" i="52"/>
  <c r="BN110" i="52"/>
  <c r="BN33" i="52"/>
  <c r="BN35" i="52"/>
  <c r="BO35" i="52"/>
  <c r="BO37" i="52"/>
  <c r="BN39" i="52"/>
  <c r="BN267" i="52"/>
  <c r="AV2" i="52"/>
  <c r="AT2" i="52"/>
  <c r="BC2" i="52" s="1"/>
  <c r="BB2" i="52" s="1"/>
  <c r="V2" i="52" s="1"/>
  <c r="AV111" i="52"/>
  <c r="AV147" i="52"/>
  <c r="AT151" i="52"/>
  <c r="BC151" i="52" s="1"/>
  <c r="AV151" i="52"/>
  <c r="AT153" i="52"/>
  <c r="BC153" i="52" s="1"/>
  <c r="AT155" i="52"/>
  <c r="BC155" i="52" s="1"/>
  <c r="AV155" i="52"/>
  <c r="AT18" i="52"/>
  <c r="BC18" i="52" s="1"/>
  <c r="BO17" i="52"/>
  <c r="BO202" i="52"/>
  <c r="BN207" i="52"/>
  <c r="BO109" i="52"/>
  <c r="BO46" i="52"/>
  <c r="BO49" i="52"/>
  <c r="BO194" i="52"/>
  <c r="BO273" i="52"/>
  <c r="AV234" i="52"/>
  <c r="AV162" i="52"/>
  <c r="AT115" i="52"/>
  <c r="BC115" i="52" s="1"/>
  <c r="AU232" i="52"/>
  <c r="BO61" i="52"/>
  <c r="BO64" i="52"/>
  <c r="BO65" i="52"/>
  <c r="BO67" i="52"/>
  <c r="AV62" i="52"/>
  <c r="AU2" i="52"/>
  <c r="AV4" i="52"/>
  <c r="AV115" i="52"/>
  <c r="AV42" i="52"/>
  <c r="AV158" i="52"/>
  <c r="AV166" i="52"/>
  <c r="AV170" i="52"/>
  <c r="AV174" i="52"/>
  <c r="AV178" i="52"/>
  <c r="AV153" i="52"/>
  <c r="AV195" i="52"/>
  <c r="AU199" i="52"/>
  <c r="AV199" i="52"/>
  <c r="AU201" i="52"/>
  <c r="AV265" i="52"/>
  <c r="AV221" i="52"/>
  <c r="AV225" i="52"/>
  <c r="BN102" i="52"/>
  <c r="BO123" i="52"/>
  <c r="BO138" i="52"/>
  <c r="BN9" i="52"/>
  <c r="BN13" i="52"/>
  <c r="BO105" i="52"/>
  <c r="BN44" i="52"/>
  <c r="BO60" i="52"/>
  <c r="AT149" i="52"/>
  <c r="BC149" i="52" s="1"/>
  <c r="AT203" i="52"/>
  <c r="BC203" i="52" s="1"/>
  <c r="AT111" i="52"/>
  <c r="BC111" i="52" s="1"/>
  <c r="BB111" i="52" s="1"/>
  <c r="AT64" i="52"/>
  <c r="BC64" i="52" s="1"/>
  <c r="BB64" i="52" s="1"/>
  <c r="AU261" i="52"/>
  <c r="AU4" i="52"/>
  <c r="AT113" i="52"/>
  <c r="BC113" i="52" s="1"/>
  <c r="AT42" i="52"/>
  <c r="BC42" i="52" s="1"/>
  <c r="AT44" i="52"/>
  <c r="BC44" i="52" s="1"/>
  <c r="AU209" i="52"/>
  <c r="AU278" i="52"/>
  <c r="AT280" i="52"/>
  <c r="BC280" i="52" s="1"/>
  <c r="AT230" i="52"/>
  <c r="BC230" i="52" s="1"/>
  <c r="AT234" i="52"/>
  <c r="BC234" i="52" s="1"/>
  <c r="AT156" i="52"/>
  <c r="BC156" i="52" s="1"/>
  <c r="AT158" i="52"/>
  <c r="BC158" i="52" s="1"/>
  <c r="BB158" i="52" s="1"/>
  <c r="V158" i="52" s="1"/>
  <c r="AT164" i="52"/>
  <c r="BC164" i="52" s="1"/>
  <c r="AT166" i="52"/>
  <c r="BC166" i="52" s="1"/>
  <c r="BB166" i="52" s="1"/>
  <c r="V166" i="52" s="1"/>
  <c r="AT172" i="52"/>
  <c r="BC172" i="52" s="1"/>
  <c r="AT174" i="52"/>
  <c r="BC174" i="52" s="1"/>
  <c r="AT141" i="52"/>
  <c r="BC141" i="52" s="1"/>
  <c r="AT143" i="52"/>
  <c r="BC143" i="52" s="1"/>
  <c r="AT145" i="52"/>
  <c r="BC145" i="52" s="1"/>
  <c r="AT147" i="52"/>
  <c r="BC147" i="52" s="1"/>
  <c r="AT195" i="52"/>
  <c r="BC195" i="52" s="1"/>
  <c r="AT276" i="52"/>
  <c r="BC276" i="52" s="1"/>
  <c r="AT219" i="52"/>
  <c r="BC219" i="52" s="1"/>
  <c r="AT221" i="52"/>
  <c r="BC221" i="52" s="1"/>
  <c r="AU223" i="52"/>
  <c r="AT227" i="52"/>
  <c r="BC227" i="52" s="1"/>
  <c r="BN224" i="52"/>
  <c r="AT114" i="52"/>
  <c r="BC114" i="52" s="1"/>
  <c r="BB114" i="52" s="1"/>
  <c r="V114" i="52" s="1"/>
  <c r="AT148" i="52"/>
  <c r="BC148" i="52" s="1"/>
  <c r="AT108" i="52"/>
  <c r="BC108" i="52" s="1"/>
  <c r="BB108" i="52" s="1"/>
  <c r="V108" i="52" s="1"/>
  <c r="BN73" i="52"/>
  <c r="AT260" i="52"/>
  <c r="BC260" i="52" s="1"/>
  <c r="AT112" i="52"/>
  <c r="BC112" i="52" s="1"/>
  <c r="AT118" i="52"/>
  <c r="BC118" i="52" s="1"/>
  <c r="AT142" i="52"/>
  <c r="BC142" i="52" s="1"/>
  <c r="AT144" i="52"/>
  <c r="BC144" i="52" s="1"/>
  <c r="AT146" i="52"/>
  <c r="BC146" i="52" s="1"/>
  <c r="AU194" i="52"/>
  <c r="AU198" i="52"/>
  <c r="AV202" i="52"/>
  <c r="AV214" i="52"/>
  <c r="AV264" i="52"/>
  <c r="BO41" i="52"/>
  <c r="BO195" i="52"/>
  <c r="BO197" i="52"/>
  <c r="BO246" i="52"/>
  <c r="AU112" i="52"/>
  <c r="AU114" i="52"/>
  <c r="BN275" i="52"/>
  <c r="AV78" i="52"/>
  <c r="AV84" i="52"/>
  <c r="AU83" i="52"/>
  <c r="AU19" i="52"/>
  <c r="AU23" i="52"/>
  <c r="AU189" i="52"/>
  <c r="AU75" i="52"/>
  <c r="AU81" i="52"/>
  <c r="AU86" i="52"/>
  <c r="AU94" i="52"/>
  <c r="AU100" i="52"/>
  <c r="AU30" i="52"/>
  <c r="AU249" i="52"/>
  <c r="AU253" i="52"/>
  <c r="AU257" i="52"/>
  <c r="AU21" i="52"/>
  <c r="AV112" i="52"/>
  <c r="AV116" i="52"/>
  <c r="AT116" i="52"/>
  <c r="BC116" i="52" s="1"/>
  <c r="AV122" i="52"/>
  <c r="AV124" i="52"/>
  <c r="AV137" i="52"/>
  <c r="AV139" i="52"/>
  <c r="AV140" i="52"/>
  <c r="AV14" i="52"/>
  <c r="AV106" i="52"/>
  <c r="AV243" i="52"/>
  <c r="AV247" i="52"/>
  <c r="AV184" i="52"/>
  <c r="AV188" i="52"/>
  <c r="BN143" i="52"/>
  <c r="BN147" i="52"/>
  <c r="BN151" i="52"/>
  <c r="BN155" i="52"/>
  <c r="BN228" i="52"/>
  <c r="BN230" i="52"/>
  <c r="BN218" i="52"/>
  <c r="BN226" i="52"/>
  <c r="AU7" i="52"/>
  <c r="BO208" i="52"/>
  <c r="AT263" i="52"/>
  <c r="BC263" i="52" s="1"/>
  <c r="BB263" i="52" s="1"/>
  <c r="V263" i="52" s="1"/>
  <c r="AT267" i="52"/>
  <c r="BC267" i="52" s="1"/>
  <c r="AT265" i="52"/>
  <c r="BC265" i="52" s="1"/>
  <c r="AT261" i="52"/>
  <c r="BC261" i="52" s="1"/>
  <c r="BO207" i="52"/>
  <c r="AV209" i="52"/>
  <c r="AV267" i="52"/>
  <c r="BN16" i="52"/>
  <c r="BN11" i="52"/>
  <c r="AV208" i="52"/>
  <c r="BO270" i="52"/>
  <c r="BO274" i="52"/>
  <c r="AX340" i="48"/>
  <c r="BI340" i="48" s="1"/>
  <c r="AX239" i="48"/>
  <c r="BI239" i="48" s="1"/>
  <c r="BJ100" i="48"/>
  <c r="BJ134" i="48"/>
  <c r="BJ142" i="48"/>
  <c r="BJ187" i="48"/>
  <c r="BJ199" i="48"/>
  <c r="BJ207" i="48"/>
  <c r="BJ213" i="48"/>
  <c r="BJ225" i="48"/>
  <c r="BJ233" i="48"/>
  <c r="BK233" i="48"/>
  <c r="BK247" i="48"/>
  <c r="BJ239" i="48"/>
  <c r="BJ247" i="48"/>
  <c r="BJ255" i="48"/>
  <c r="BJ260" i="48"/>
  <c r="BK260" i="48"/>
  <c r="BJ266" i="48"/>
  <c r="BJ282" i="48"/>
  <c r="BJ298" i="48"/>
  <c r="BJ314" i="48"/>
  <c r="BJ316" i="48"/>
  <c r="BK418" i="48"/>
  <c r="AP260" i="48"/>
  <c r="AY260" i="48" s="1"/>
  <c r="AP463" i="48"/>
  <c r="AY463" i="48" s="1"/>
  <c r="AX463" i="48" s="1"/>
  <c r="BH463" i="48" s="1"/>
  <c r="BJ336" i="48"/>
  <c r="BJ165" i="48"/>
  <c r="BK259" i="48"/>
  <c r="BK270" i="48"/>
  <c r="BK302" i="48"/>
  <c r="BJ320" i="48"/>
  <c r="BJ84" i="48"/>
  <c r="BK205" i="48"/>
  <c r="BN189" i="48"/>
  <c r="BO205" i="48"/>
  <c r="BO331" i="48"/>
  <c r="BK223" i="48"/>
  <c r="AP231" i="48"/>
  <c r="AY231" i="48" s="1"/>
  <c r="AX231" i="48" s="1"/>
  <c r="BN374" i="48"/>
  <c r="BK382" i="48"/>
  <c r="AP390" i="48"/>
  <c r="AY390" i="48" s="1"/>
  <c r="AX390" i="48" s="1"/>
  <c r="BN390" i="48"/>
  <c r="BK183" i="48"/>
  <c r="BK229" i="48"/>
  <c r="BK368" i="48"/>
  <c r="BK406" i="48"/>
  <c r="BO184" i="48"/>
  <c r="BO192" i="48"/>
  <c r="AU74" i="52"/>
  <c r="BO244" i="52"/>
  <c r="BN246" i="52"/>
  <c r="BN280" i="52"/>
  <c r="BN244" i="52"/>
  <c r="AT194" i="52"/>
  <c r="BC194" i="52" s="1"/>
  <c r="BN41" i="52"/>
  <c r="AT200" i="52"/>
  <c r="BC200" i="52" s="1"/>
  <c r="BN215" i="52"/>
  <c r="AV279" i="52"/>
  <c r="BO53" i="52"/>
  <c r="BO57" i="52"/>
  <c r="BO73" i="52"/>
  <c r="AT63" i="52"/>
  <c r="BC63" i="52" s="1"/>
  <c r="BN53" i="52"/>
  <c r="BN57" i="52"/>
  <c r="AT65" i="52"/>
  <c r="BC65" i="52" s="1"/>
  <c r="AU260" i="52"/>
  <c r="AT3" i="52"/>
  <c r="BC3" i="52" s="1"/>
  <c r="BB3" i="52" s="1"/>
  <c r="V3" i="52" s="1"/>
  <c r="AV3" i="52"/>
  <c r="AV281" i="52"/>
  <c r="AV231" i="52"/>
  <c r="AV218" i="52"/>
  <c r="AT209" i="52"/>
  <c r="BC209" i="52" s="1"/>
  <c r="BB209" i="52" s="1"/>
  <c r="V209" i="52" s="1"/>
  <c r="AT43" i="52"/>
  <c r="BC43" i="52" s="1"/>
  <c r="AV245" i="52"/>
  <c r="AV271" i="52"/>
  <c r="BN220" i="52"/>
  <c r="BN222" i="52"/>
  <c r="AT61" i="52"/>
  <c r="BC61" i="52" s="1"/>
  <c r="BO267" i="52"/>
  <c r="AT233" i="52"/>
  <c r="BC233" i="52" s="1"/>
  <c r="AT268" i="52"/>
  <c r="BC268" i="52" s="1"/>
  <c r="AT275" i="52"/>
  <c r="BC275" i="52" s="1"/>
  <c r="AT218" i="52"/>
  <c r="BC218" i="52" s="1"/>
  <c r="AT220" i="52"/>
  <c r="BC220" i="52" s="1"/>
  <c r="AT222" i="52"/>
  <c r="BC222" i="52" s="1"/>
  <c r="AT224" i="52"/>
  <c r="BC224" i="52" s="1"/>
  <c r="AT226" i="52"/>
  <c r="BC226" i="52" s="1"/>
  <c r="AT228" i="52"/>
  <c r="BC228" i="52" s="1"/>
  <c r="AT231" i="52"/>
  <c r="BC231" i="52" s="1"/>
  <c r="AT235" i="52"/>
  <c r="BC235" i="52" s="1"/>
  <c r="AT157" i="52"/>
  <c r="BC157" i="52" s="1"/>
  <c r="AT159" i="52"/>
  <c r="BC159" i="52" s="1"/>
  <c r="AT161" i="52"/>
  <c r="BC161" i="52" s="1"/>
  <c r="AT163" i="52"/>
  <c r="BC163" i="52" s="1"/>
  <c r="AT165" i="52"/>
  <c r="BC165" i="52" s="1"/>
  <c r="AT167" i="52"/>
  <c r="BC167" i="52" s="1"/>
  <c r="AT169" i="52"/>
  <c r="BC169" i="52" s="1"/>
  <c r="AT171" i="52"/>
  <c r="BC171" i="52" s="1"/>
  <c r="AT173" i="52"/>
  <c r="BC173" i="52" s="1"/>
  <c r="AT175" i="52"/>
  <c r="BC175" i="52" s="1"/>
  <c r="AT177" i="52"/>
  <c r="BC177" i="52" s="1"/>
  <c r="AT179" i="52"/>
  <c r="BC179" i="52" s="1"/>
  <c r="BB179" i="52" s="1"/>
  <c r="V179" i="52" s="1"/>
  <c r="AT180" i="52"/>
  <c r="BC180" i="52" s="1"/>
  <c r="AT279" i="52"/>
  <c r="BC279" i="52" s="1"/>
  <c r="AT281" i="52"/>
  <c r="BC281" i="52" s="1"/>
  <c r="AU196" i="52"/>
  <c r="AU200" i="52"/>
  <c r="AT277" i="52"/>
  <c r="BC277" i="52" s="1"/>
  <c r="BN141" i="52"/>
  <c r="BN145" i="52"/>
  <c r="BN149" i="52"/>
  <c r="BN153" i="52"/>
  <c r="AV237" i="52"/>
  <c r="AV239" i="52"/>
  <c r="BN278" i="52"/>
  <c r="BN232" i="52"/>
  <c r="AV80" i="52"/>
  <c r="AU208" i="52"/>
  <c r="BO26" i="52"/>
  <c r="AU92" i="52"/>
  <c r="AT208" i="52"/>
  <c r="BC208" i="52" s="1"/>
  <c r="BN371" i="48"/>
  <c r="AP70" i="48"/>
  <c r="AY70" i="48" s="1"/>
  <c r="AX70" i="48" s="1"/>
  <c r="AP82" i="48"/>
  <c r="AY82" i="48" s="1"/>
  <c r="AX82" i="48" s="1"/>
  <c r="AP90" i="48"/>
  <c r="AY90" i="48" s="1"/>
  <c r="AP96" i="48"/>
  <c r="AY96" i="48" s="1"/>
  <c r="AX96" i="48" s="1"/>
  <c r="AP98" i="48"/>
  <c r="AY98" i="48" s="1"/>
  <c r="AP106" i="48"/>
  <c r="AY106" i="48" s="1"/>
  <c r="AX106" i="48" s="1"/>
  <c r="BO109" i="48"/>
  <c r="BK245" i="48"/>
  <c r="AP253" i="48"/>
  <c r="AY253" i="48" s="1"/>
  <c r="AX253" i="48" s="1"/>
  <c r="BH253" i="48" s="1"/>
  <c r="BN253" i="48"/>
  <c r="BN262" i="48"/>
  <c r="BK268" i="48"/>
  <c r="AP276" i="48"/>
  <c r="AY276" i="48" s="1"/>
  <c r="BN276" i="48"/>
  <c r="BN292" i="48"/>
  <c r="BK300" i="48"/>
  <c r="AP308" i="48"/>
  <c r="AY308" i="48" s="1"/>
  <c r="AX308" i="48" s="1"/>
  <c r="BN308" i="48"/>
  <c r="BI68" i="48"/>
  <c r="BH142" i="48"/>
  <c r="BI316" i="48"/>
  <c r="BH356" i="48"/>
  <c r="BI380" i="48"/>
  <c r="BI418" i="48"/>
  <c r="BI444" i="48"/>
  <c r="BK84" i="48"/>
  <c r="BK126" i="48"/>
  <c r="BK94" i="48"/>
  <c r="AP24" i="48"/>
  <c r="AY24" i="48" s="1"/>
  <c r="AX24" i="48" s="1"/>
  <c r="BI24" i="48" s="1"/>
  <c r="AP92" i="48"/>
  <c r="AY92" i="48" s="1"/>
  <c r="AX92" i="48" s="1"/>
  <c r="BH92" i="48" s="1"/>
  <c r="BK114" i="48"/>
  <c r="BK239" i="48"/>
  <c r="BK161" i="48"/>
  <c r="BK177" i="48"/>
  <c r="BK181" i="48"/>
  <c r="AP209" i="48"/>
  <c r="AY209" i="48" s="1"/>
  <c r="AX209" i="48" s="1"/>
  <c r="BH209" i="48" s="1"/>
  <c r="AP320" i="48"/>
  <c r="AY320" i="48" s="1"/>
  <c r="AX320" i="48" s="1"/>
  <c r="BH320" i="48" s="1"/>
  <c r="BK400" i="48"/>
  <c r="BK59" i="48"/>
  <c r="AP40" i="48"/>
  <c r="AY40" i="48" s="1"/>
  <c r="AX40" i="48" s="1"/>
  <c r="BO131" i="48"/>
  <c r="BK243" i="48"/>
  <c r="BK392" i="48"/>
  <c r="BJ426" i="48"/>
  <c r="BK428" i="48"/>
  <c r="BK454" i="48"/>
  <c r="BJ454" i="48"/>
  <c r="BK470" i="48"/>
  <c r="BJ470" i="48"/>
  <c r="AQ286" i="48"/>
  <c r="BJ149" i="48"/>
  <c r="BJ440" i="48"/>
  <c r="BJ448" i="48"/>
  <c r="BK165" i="48"/>
  <c r="BO177" i="48"/>
  <c r="AQ104" i="48"/>
  <c r="BK61" i="48"/>
  <c r="BK85" i="48"/>
  <c r="BN22" i="48"/>
  <c r="BO66" i="48"/>
  <c r="BO86" i="48"/>
  <c r="BN96" i="48"/>
  <c r="BO132" i="48"/>
  <c r="AP140" i="48"/>
  <c r="AY140" i="48" s="1"/>
  <c r="AX140" i="48" s="1"/>
  <c r="BO140" i="48"/>
  <c r="BK272" i="48"/>
  <c r="AP288" i="48"/>
  <c r="AY288" i="48" s="1"/>
  <c r="BN288" i="48"/>
  <c r="BK304" i="48"/>
  <c r="BK339" i="48"/>
  <c r="BK163" i="48"/>
  <c r="BK171" i="48"/>
  <c r="BK179" i="48"/>
  <c r="AP219" i="48"/>
  <c r="AY219" i="48" s="1"/>
  <c r="AX219" i="48" s="1"/>
  <c r="BH219" i="48" s="1"/>
  <c r="BO219" i="48"/>
  <c r="BO215" i="48"/>
  <c r="AP241" i="48"/>
  <c r="AY241" i="48" s="1"/>
  <c r="AX241" i="48" s="1"/>
  <c r="AP264" i="48"/>
  <c r="AY264" i="48" s="1"/>
  <c r="AX264" i="48" s="1"/>
  <c r="AP296" i="48"/>
  <c r="AY296" i="48" s="1"/>
  <c r="AX296" i="48" s="1"/>
  <c r="BH296" i="48" s="1"/>
  <c r="BO245" i="48"/>
  <c r="BO268" i="48"/>
  <c r="AP300" i="48"/>
  <c r="AY300" i="48" s="1"/>
  <c r="BO300" i="48"/>
  <c r="BK390" i="48"/>
  <c r="AP326" i="48"/>
  <c r="AY326" i="48" s="1"/>
  <c r="AX326" i="48" s="1"/>
  <c r="BH326" i="48" s="1"/>
  <c r="BN326" i="48"/>
  <c r="AP330" i="48"/>
  <c r="AY330" i="48" s="1"/>
  <c r="AX330" i="48" s="1"/>
  <c r="AP334" i="48"/>
  <c r="AY334" i="48" s="1"/>
  <c r="AX334" i="48" s="1"/>
  <c r="BH334" i="48" s="1"/>
  <c r="BN334" i="48"/>
  <c r="AP338" i="48"/>
  <c r="AY338" i="48" s="1"/>
  <c r="AX338" i="48" s="1"/>
  <c r="BH338" i="48" s="1"/>
  <c r="BN342" i="48"/>
  <c r="AP346" i="48"/>
  <c r="AY346" i="48" s="1"/>
  <c r="AX346" i="48" s="1"/>
  <c r="BN350" i="48"/>
  <c r="AP354" i="48"/>
  <c r="AY354" i="48" s="1"/>
  <c r="AX354" i="48" s="1"/>
  <c r="BH354" i="48" s="1"/>
  <c r="BN358" i="48"/>
  <c r="AP362" i="48"/>
  <c r="AY362" i="48" s="1"/>
  <c r="AX362" i="48" s="1"/>
  <c r="BH362" i="48" s="1"/>
  <c r="BN366" i="48"/>
  <c r="AP475" i="48"/>
  <c r="AY475" i="48" s="1"/>
  <c r="AX475" i="48" s="1"/>
  <c r="BO475" i="48"/>
  <c r="BN457" i="48"/>
  <c r="BK461" i="48"/>
  <c r="BN465" i="48"/>
  <c r="BN30" i="48"/>
  <c r="BK148" i="48"/>
  <c r="BK164" i="48"/>
  <c r="BK180" i="48"/>
  <c r="BM117" i="48"/>
  <c r="AR125" i="48"/>
  <c r="BM133" i="48"/>
  <c r="AR141" i="48"/>
  <c r="BK168" i="48"/>
  <c r="AP211" i="48"/>
  <c r="AY211" i="48" s="1"/>
  <c r="AX211" i="48" s="1"/>
  <c r="BH211" i="48" s="1"/>
  <c r="BN211" i="48"/>
  <c r="BO339" i="48"/>
  <c r="BK72" i="48"/>
  <c r="BH239" i="48"/>
  <c r="BI122" i="48"/>
  <c r="BH418" i="48"/>
  <c r="AP259" i="48"/>
  <c r="AY259" i="48" s="1"/>
  <c r="AX259" i="48" s="1"/>
  <c r="BH259" i="48" s="1"/>
  <c r="BK396" i="48"/>
  <c r="BI428" i="48"/>
  <c r="BI384" i="48"/>
  <c r="BH422" i="48"/>
  <c r="BI470" i="48"/>
  <c r="BK36" i="48"/>
  <c r="BK48" i="48"/>
  <c r="AP72" i="48"/>
  <c r="AY72" i="48" s="1"/>
  <c r="AX72" i="48" s="1"/>
  <c r="BH72" i="48" s="1"/>
  <c r="BK187" i="48"/>
  <c r="BJ344" i="48"/>
  <c r="AX286" i="48"/>
  <c r="AX388" i="48"/>
  <c r="BH388" i="48" s="1"/>
  <c r="AX414" i="48"/>
  <c r="BI414" i="48" s="1"/>
  <c r="AX126" i="48"/>
  <c r="BI126" i="48" s="1"/>
  <c r="AX165" i="48"/>
  <c r="BH165" i="48" s="1"/>
  <c r="AX138" i="48"/>
  <c r="BH290" i="48"/>
  <c r="AX376" i="48"/>
  <c r="BI376" i="48" s="1"/>
  <c r="BM43" i="48"/>
  <c r="EA43" i="48" s="1"/>
  <c r="AP76" i="48"/>
  <c r="AY76" i="48" s="1"/>
  <c r="AX76" i="48" s="1"/>
  <c r="AP78" i="48"/>
  <c r="AY78" i="48" s="1"/>
  <c r="AP86" i="48"/>
  <c r="AY86" i="48" s="1"/>
  <c r="AX86" i="48" s="1"/>
  <c r="AP102" i="48"/>
  <c r="AY102" i="48" s="1"/>
  <c r="AX102" i="48" s="1"/>
  <c r="AP116" i="48"/>
  <c r="AY116" i="48" s="1"/>
  <c r="AX116" i="48" s="1"/>
  <c r="AP245" i="48"/>
  <c r="AY245" i="48" s="1"/>
  <c r="AX245" i="48" s="1"/>
  <c r="BH245" i="48" s="1"/>
  <c r="AP342" i="48"/>
  <c r="AY342" i="48" s="1"/>
  <c r="AX342" i="48" s="1"/>
  <c r="AP457" i="48"/>
  <c r="AY457" i="48" s="1"/>
  <c r="AX457" i="48" s="1"/>
  <c r="AP465" i="48"/>
  <c r="AY465" i="48" s="1"/>
  <c r="AX465" i="48" s="1"/>
  <c r="AP108" i="48"/>
  <c r="AY108" i="48" s="1"/>
  <c r="AX108" i="48" s="1"/>
  <c r="BI108" i="48" s="1"/>
  <c r="AP185" i="48"/>
  <c r="AY185" i="48" s="1"/>
  <c r="AX185" i="48" s="1"/>
  <c r="BI185" i="48" s="1"/>
  <c r="AP205" i="48"/>
  <c r="AY205" i="48" s="1"/>
  <c r="AX205" i="48" s="1"/>
  <c r="AP370" i="48"/>
  <c r="AY370" i="48" s="1"/>
  <c r="AX370" i="48" s="1"/>
  <c r="BH370" i="48" s="1"/>
  <c r="AP386" i="48"/>
  <c r="AY386" i="48" s="1"/>
  <c r="AX386" i="48" s="1"/>
  <c r="AP416" i="48"/>
  <c r="AY416" i="48" s="1"/>
  <c r="AX416" i="48" s="1"/>
  <c r="BH416" i="48" s="1"/>
  <c r="AP412" i="48"/>
  <c r="AY412" i="48" s="1"/>
  <c r="AX412" i="48" s="1"/>
  <c r="AP420" i="48"/>
  <c r="AY420" i="48" s="1"/>
  <c r="AX420" i="48" s="1"/>
  <c r="BH420" i="48" s="1"/>
  <c r="BH332" i="48"/>
  <c r="BH68" i="48"/>
  <c r="BJ68" i="48"/>
  <c r="BJ88" i="48"/>
  <c r="BK380" i="48"/>
  <c r="BJ356" i="48"/>
  <c r="BJ360" i="48"/>
  <c r="BJ364" i="48"/>
  <c r="BJ406" i="48"/>
  <c r="BK83" i="48"/>
  <c r="AP114" i="48"/>
  <c r="AY114" i="48" s="1"/>
  <c r="BK28" i="48"/>
  <c r="AQ92" i="48"/>
  <c r="BN165" i="48"/>
  <c r="AP195" i="48"/>
  <c r="AY195" i="48" s="1"/>
  <c r="BJ110" i="48"/>
  <c r="BJ418" i="48"/>
  <c r="AP84" i="48"/>
  <c r="AY84" i="48" s="1"/>
  <c r="AQ24" i="48"/>
  <c r="BN65" i="48"/>
  <c r="BO153" i="48"/>
  <c r="AP221" i="48"/>
  <c r="AY221" i="48" s="1"/>
  <c r="AP274" i="48"/>
  <c r="AY274" i="48" s="1"/>
  <c r="AX274" i="48" s="1"/>
  <c r="AP306" i="48"/>
  <c r="AY306" i="48" s="1"/>
  <c r="AX306" i="48" s="1"/>
  <c r="BN381" i="48"/>
  <c r="AP467" i="48"/>
  <c r="AY467" i="48" s="1"/>
  <c r="BO24" i="48"/>
  <c r="BN41" i="48"/>
  <c r="AP233" i="48"/>
  <c r="AY233" i="48" s="1"/>
  <c r="AP270" i="48"/>
  <c r="AY270" i="48" s="1"/>
  <c r="AP302" i="48"/>
  <c r="AY302" i="48" s="1"/>
  <c r="AP58" i="48"/>
  <c r="AY58" i="48" s="1"/>
  <c r="AX58" i="48" s="1"/>
  <c r="AP74" i="48"/>
  <c r="AY74" i="48" s="1"/>
  <c r="AX74" i="48" s="1"/>
  <c r="AP132" i="48"/>
  <c r="AY132" i="48" s="1"/>
  <c r="AX132" i="48" s="1"/>
  <c r="AP215" i="48"/>
  <c r="AY215" i="48" s="1"/>
  <c r="AX215" i="48" s="1"/>
  <c r="AP268" i="48"/>
  <c r="AY268" i="48" s="1"/>
  <c r="AX268" i="48" s="1"/>
  <c r="BH268" i="48" s="1"/>
  <c r="AP408" i="48"/>
  <c r="AY408" i="48" s="1"/>
  <c r="AX408" i="48" s="1"/>
  <c r="AP350" i="48"/>
  <c r="AY350" i="48" s="1"/>
  <c r="AP358" i="48"/>
  <c r="AY358" i="48" s="1"/>
  <c r="AX358" i="48" s="1"/>
  <c r="AP366" i="48"/>
  <c r="AY366" i="48" s="1"/>
  <c r="AX366" i="48" s="1"/>
  <c r="BH366" i="48" s="1"/>
  <c r="AP461" i="48"/>
  <c r="AY461" i="48" s="1"/>
  <c r="AX461" i="48" s="1"/>
  <c r="BO26" i="48"/>
  <c r="BN7" i="48"/>
  <c r="BN18" i="48"/>
  <c r="BN21" i="48"/>
  <c r="BO22" i="48"/>
  <c r="BO31" i="48"/>
  <c r="BN34" i="48"/>
  <c r="BO35" i="48"/>
  <c r="BN38" i="48"/>
  <c r="BO42" i="48"/>
  <c r="BM63" i="48"/>
  <c r="AP112" i="48"/>
  <c r="AY112" i="48" s="1"/>
  <c r="AX112" i="48" s="1"/>
  <c r="BN112" i="48"/>
  <c r="BK185" i="48"/>
  <c r="AP201" i="48"/>
  <c r="AY201" i="48" s="1"/>
  <c r="AX201" i="48" s="1"/>
  <c r="BH201" i="48" s="1"/>
  <c r="BO201" i="48"/>
  <c r="AP120" i="48"/>
  <c r="AY120" i="48" s="1"/>
  <c r="AX120" i="48" s="1"/>
  <c r="BO120" i="48"/>
  <c r="AP128" i="48"/>
  <c r="AY128" i="48" s="1"/>
  <c r="AX128" i="48" s="1"/>
  <c r="BO128" i="48"/>
  <c r="AP136" i="48"/>
  <c r="AY136" i="48" s="1"/>
  <c r="AX136" i="48" s="1"/>
  <c r="BO136" i="48"/>
  <c r="AP144" i="48"/>
  <c r="AY144" i="48" s="1"/>
  <c r="AX144" i="48" s="1"/>
  <c r="BO144" i="48"/>
  <c r="BM148" i="48"/>
  <c r="BM164" i="48"/>
  <c r="BM172" i="48"/>
  <c r="BM180" i="48"/>
  <c r="AP237" i="48"/>
  <c r="AY237" i="48" s="1"/>
  <c r="AX237" i="48" s="1"/>
  <c r="BH237" i="48" s="1"/>
  <c r="BO237" i="48"/>
  <c r="AP151" i="48"/>
  <c r="AY151" i="48" s="1"/>
  <c r="AX151" i="48" s="1"/>
  <c r="BH151" i="48" s="1"/>
  <c r="BN151" i="48"/>
  <c r="AP155" i="48"/>
  <c r="AY155" i="48" s="1"/>
  <c r="BK193" i="48"/>
  <c r="AP227" i="48"/>
  <c r="AY227" i="48" s="1"/>
  <c r="AX227" i="48" s="1"/>
  <c r="BH227" i="48" s="1"/>
  <c r="BN227" i="48"/>
  <c r="AP197" i="48"/>
  <c r="AY197" i="48" s="1"/>
  <c r="AX197" i="48" s="1"/>
  <c r="BH197" i="48" s="1"/>
  <c r="BN205" i="48"/>
  <c r="AP235" i="48"/>
  <c r="AY235" i="48" s="1"/>
  <c r="AX235" i="48" s="1"/>
  <c r="BH235" i="48" s="1"/>
  <c r="BN235" i="48"/>
  <c r="AP223" i="48"/>
  <c r="AY223" i="48" s="1"/>
  <c r="AX223" i="48" s="1"/>
  <c r="BH223" i="48" s="1"/>
  <c r="BO223" i="48"/>
  <c r="AP257" i="48"/>
  <c r="AY257" i="48" s="1"/>
  <c r="AX257" i="48" s="1"/>
  <c r="BH257" i="48" s="1"/>
  <c r="BO257" i="48"/>
  <c r="AP280" i="48"/>
  <c r="AY280" i="48" s="1"/>
  <c r="AX280" i="48" s="1"/>
  <c r="BO280" i="48"/>
  <c r="AP312" i="48"/>
  <c r="AY312" i="48" s="1"/>
  <c r="AX312" i="48" s="1"/>
  <c r="BH312" i="48" s="1"/>
  <c r="BO312" i="48"/>
  <c r="AP284" i="48"/>
  <c r="AY284" i="48" s="1"/>
  <c r="AX284" i="48" s="1"/>
  <c r="BH284" i="48" s="1"/>
  <c r="BN284" i="48"/>
  <c r="AP382" i="48"/>
  <c r="AY382" i="48" s="1"/>
  <c r="AX382" i="48" s="1"/>
  <c r="BH382" i="48" s="1"/>
  <c r="BN382" i="48"/>
  <c r="AP318" i="48"/>
  <c r="AY318" i="48" s="1"/>
  <c r="AX318" i="48" s="1"/>
  <c r="BH318" i="48" s="1"/>
  <c r="BO318" i="48"/>
  <c r="BK343" i="48"/>
  <c r="BK359" i="48"/>
  <c r="BK370" i="48"/>
  <c r="BK378" i="48"/>
  <c r="BK386" i="48"/>
  <c r="BN416" i="48"/>
  <c r="AP424" i="48"/>
  <c r="AY424" i="48" s="1"/>
  <c r="AX424" i="48" s="1"/>
  <c r="BO258" i="48"/>
  <c r="AR265" i="48"/>
  <c r="BM273" i="48"/>
  <c r="AR281" i="48"/>
  <c r="BM289" i="48"/>
  <c r="AR297" i="48"/>
  <c r="BM305" i="48"/>
  <c r="AR313" i="48"/>
  <c r="BM381" i="48"/>
  <c r="BK412" i="48"/>
  <c r="BK420" i="48"/>
  <c r="BK453" i="48"/>
  <c r="BN398" i="48"/>
  <c r="BN402" i="48"/>
  <c r="BN411" i="48"/>
  <c r="AP430" i="48"/>
  <c r="AY430" i="48" s="1"/>
  <c r="AX430" i="48" s="1"/>
  <c r="BH430" i="48" s="1"/>
  <c r="BN430" i="48"/>
  <c r="AP434" i="48"/>
  <c r="AY434" i="48" s="1"/>
  <c r="AX434" i="48" s="1"/>
  <c r="BN434" i="48"/>
  <c r="BN413" i="48"/>
  <c r="AP438" i="48"/>
  <c r="AY438" i="48" s="1"/>
  <c r="AP442" i="48"/>
  <c r="AY442" i="48" s="1"/>
  <c r="AX442" i="48" s="1"/>
  <c r="BN442" i="48"/>
  <c r="AP446" i="48"/>
  <c r="AY446" i="48" s="1"/>
  <c r="AX446" i="48" s="1"/>
  <c r="BN446" i="48"/>
  <c r="AP450" i="48"/>
  <c r="AY450" i="48" s="1"/>
  <c r="AX450" i="48" s="1"/>
  <c r="BN450" i="48"/>
  <c r="AP452" i="48"/>
  <c r="AY452" i="48" s="1"/>
  <c r="AX452" i="48" s="1"/>
  <c r="BN452" i="48"/>
  <c r="BN467" i="48"/>
  <c r="BN435" i="48"/>
  <c r="BO467" i="48"/>
  <c r="BN469" i="48"/>
  <c r="BK447" i="48"/>
  <c r="BK462" i="48"/>
  <c r="BK452" i="48"/>
  <c r="BN24" i="48"/>
  <c r="AR41" i="48"/>
  <c r="BN101" i="48"/>
  <c r="BI130" i="48"/>
  <c r="BK152" i="48"/>
  <c r="BK201" i="48"/>
  <c r="BI64" i="48"/>
  <c r="BK237" i="48"/>
  <c r="BN117" i="48"/>
  <c r="BN125" i="48"/>
  <c r="BN133" i="48"/>
  <c r="BN141" i="48"/>
  <c r="BK151" i="48"/>
  <c r="AP193" i="48"/>
  <c r="AY193" i="48" s="1"/>
  <c r="AX193" i="48" s="1"/>
  <c r="BO193" i="48"/>
  <c r="BK227" i="48"/>
  <c r="AP272" i="48"/>
  <c r="AY272" i="48" s="1"/>
  <c r="AX272" i="48" s="1"/>
  <c r="BH272" i="48" s="1"/>
  <c r="BO272" i="48"/>
  <c r="AP304" i="48"/>
  <c r="AY304" i="48" s="1"/>
  <c r="AX304" i="48" s="1"/>
  <c r="BO304" i="48"/>
  <c r="AP159" i="48"/>
  <c r="AY159" i="48" s="1"/>
  <c r="AX159" i="48" s="1"/>
  <c r="BH159" i="48" s="1"/>
  <c r="BO159" i="48"/>
  <c r="AP163" i="48"/>
  <c r="AY163" i="48" s="1"/>
  <c r="AX163" i="48" s="1"/>
  <c r="AP167" i="48"/>
  <c r="AY167" i="48" s="1"/>
  <c r="AX167" i="48" s="1"/>
  <c r="BH167" i="48" s="1"/>
  <c r="BO167" i="48"/>
  <c r="AP171" i="48"/>
  <c r="AY171" i="48" s="1"/>
  <c r="AX171" i="48" s="1"/>
  <c r="BH171" i="48" s="1"/>
  <c r="AP175" i="48"/>
  <c r="AY175" i="48" s="1"/>
  <c r="AX175" i="48" s="1"/>
  <c r="BH175" i="48" s="1"/>
  <c r="BO175" i="48"/>
  <c r="AP179" i="48"/>
  <c r="AY179" i="48" s="1"/>
  <c r="AX179" i="48" s="1"/>
  <c r="AP189" i="48"/>
  <c r="AY189" i="48" s="1"/>
  <c r="AX189" i="48" s="1"/>
  <c r="BH189" i="48" s="1"/>
  <c r="BO189" i="48"/>
  <c r="BK219" i="48"/>
  <c r="BK235" i="48"/>
  <c r="AP249" i="48"/>
  <c r="AY249" i="48" s="1"/>
  <c r="AX249" i="48" s="1"/>
  <c r="BI183" i="48"/>
  <c r="BK215" i="48"/>
  <c r="BK241" i="48"/>
  <c r="BK257" i="48"/>
  <c r="BK264" i="48"/>
  <c r="BK280" i="48"/>
  <c r="BK296" i="48"/>
  <c r="BK312" i="48"/>
  <c r="BH225" i="48"/>
  <c r="AP262" i="48"/>
  <c r="AY262" i="48" s="1"/>
  <c r="AX262" i="48" s="1"/>
  <c r="BK284" i="48"/>
  <c r="AP292" i="48"/>
  <c r="AY292" i="48" s="1"/>
  <c r="AX292" i="48" s="1"/>
  <c r="BI356" i="48"/>
  <c r="AP374" i="48"/>
  <c r="AY374" i="48" s="1"/>
  <c r="AX374" i="48" s="1"/>
  <c r="BM267" i="48"/>
  <c r="BN274" i="48"/>
  <c r="BI278" i="48"/>
  <c r="BM299" i="48"/>
  <c r="BN306" i="48"/>
  <c r="BI310" i="48"/>
  <c r="AP322" i="48"/>
  <c r="AY322" i="48" s="1"/>
  <c r="AX322" i="48" s="1"/>
  <c r="BH322" i="48" s="1"/>
  <c r="AP378" i="48"/>
  <c r="AY378" i="48" s="1"/>
  <c r="AX378" i="48" s="1"/>
  <c r="BH378" i="48" s="1"/>
  <c r="BO399" i="48"/>
  <c r="BI400" i="48"/>
  <c r="BI406" i="48"/>
  <c r="BH428" i="48"/>
  <c r="BK403" i="48"/>
  <c r="BO453" i="48"/>
  <c r="BH80" i="48"/>
  <c r="BH110" i="48"/>
  <c r="BI247" i="48"/>
  <c r="BH278" i="48"/>
  <c r="BH310" i="48"/>
  <c r="BI364" i="48"/>
  <c r="BI410" i="48"/>
  <c r="BI422" i="48"/>
  <c r="BH64" i="48"/>
  <c r="BI80" i="48"/>
  <c r="BI134" i="48"/>
  <c r="BI187" i="48"/>
  <c r="BH444" i="48"/>
  <c r="BJ122" i="48"/>
  <c r="BJ161" i="48"/>
  <c r="BJ177" i="48"/>
  <c r="BJ181" i="48"/>
  <c r="BJ203" i="48"/>
  <c r="BJ217" i="48"/>
  <c r="BJ324" i="48"/>
  <c r="BK432" i="48"/>
  <c r="BJ384" i="48"/>
  <c r="BJ422" i="48"/>
  <c r="BJ436" i="48"/>
  <c r="AP32" i="48"/>
  <c r="AY32" i="48" s="1"/>
  <c r="BN89" i="48"/>
  <c r="AP94" i="48"/>
  <c r="AY94" i="48" s="1"/>
  <c r="BK68" i="48"/>
  <c r="AQ72" i="48"/>
  <c r="BK73" i="48"/>
  <c r="BO93" i="48"/>
  <c r="BO123" i="48"/>
  <c r="AP60" i="48"/>
  <c r="AY60" i="48" s="1"/>
  <c r="AQ40" i="48"/>
  <c r="BJ48" i="48"/>
  <c r="BK52" i="48"/>
  <c r="BJ52" i="48"/>
  <c r="BK60" i="48"/>
  <c r="BJ80" i="48"/>
  <c r="BJ169" i="48"/>
  <c r="BK372" i="48"/>
  <c r="BK404" i="48"/>
  <c r="BJ380" i="48"/>
  <c r="BJ410" i="48"/>
  <c r="BJ428" i="48"/>
  <c r="AX78" i="48"/>
  <c r="AX288" i="48"/>
  <c r="BH288" i="48" s="1"/>
  <c r="AX300" i="48"/>
  <c r="BI300" i="48" s="1"/>
  <c r="AX350" i="48"/>
  <c r="BH350" i="48" s="1"/>
  <c r="AX438" i="48"/>
  <c r="BI438" i="48" s="1"/>
  <c r="AX155" i="48"/>
  <c r="AX276" i="48"/>
  <c r="AX9" i="48"/>
  <c r="EA14" i="48"/>
  <c r="EY14" i="48" s="1"/>
  <c r="BM55" i="48"/>
  <c r="AR55" i="48"/>
  <c r="AX2" i="48"/>
  <c r="BI2" i="48" s="1"/>
  <c r="AX8" i="48"/>
  <c r="AX12" i="48"/>
  <c r="BI12" i="48" s="1"/>
  <c r="AX16" i="48"/>
  <c r="BI16" i="48" s="1"/>
  <c r="AX20" i="48"/>
  <c r="BI20" i="48" s="1"/>
  <c r="BO7" i="48"/>
  <c r="AP7" i="48"/>
  <c r="AY7" i="48" s="1"/>
  <c r="AQ7" i="48"/>
  <c r="AR13" i="48"/>
  <c r="BM13" i="48"/>
  <c r="AQ18" i="48"/>
  <c r="AP18" i="48"/>
  <c r="AY18" i="48" s="1"/>
  <c r="BO18" i="48"/>
  <c r="AQ21" i="48"/>
  <c r="AP21" i="48"/>
  <c r="AY21" i="48" s="1"/>
  <c r="BM21" i="48"/>
  <c r="AR21" i="48"/>
  <c r="AX81" i="48"/>
  <c r="BI81" i="48" s="1"/>
  <c r="EA92" i="48"/>
  <c r="EO92" i="48" s="1"/>
  <c r="EA93" i="48"/>
  <c r="EO93" i="48" s="1"/>
  <c r="AX95" i="48"/>
  <c r="AX107" i="48"/>
  <c r="BI107" i="48" s="1"/>
  <c r="BJ3" i="48"/>
  <c r="BK3" i="48"/>
  <c r="BK10" i="48"/>
  <c r="BJ15" i="48"/>
  <c r="BK15" i="48"/>
  <c r="BO34" i="48"/>
  <c r="BO38" i="48"/>
  <c r="BM39" i="48"/>
  <c r="AR39" i="48"/>
  <c r="AQ39" i="48"/>
  <c r="AP39" i="48"/>
  <c r="AY39" i="48" s="1"/>
  <c r="BN39" i="48"/>
  <c r="AR46" i="48"/>
  <c r="BM46" i="48"/>
  <c r="BN54" i="48"/>
  <c r="BO54" i="48"/>
  <c r="BO55" i="48"/>
  <c r="AR58" i="48"/>
  <c r="BM58" i="48"/>
  <c r="AQ59" i="48"/>
  <c r="AP59" i="48"/>
  <c r="AY59" i="48" s="1"/>
  <c r="BN59" i="48"/>
  <c r="AR62" i="48"/>
  <c r="BM62" i="48"/>
  <c r="AR66" i="48"/>
  <c r="BM66" i="48"/>
  <c r="BO67" i="48"/>
  <c r="AR74" i="48"/>
  <c r="BM74" i="48"/>
  <c r="BO75" i="48"/>
  <c r="AR76" i="48"/>
  <c r="BM76" i="48"/>
  <c r="BO77" i="48"/>
  <c r="AR78" i="48"/>
  <c r="BM78" i="48"/>
  <c r="BO79" i="48"/>
  <c r="AR86" i="48"/>
  <c r="BM86" i="48"/>
  <c r="BO87" i="48"/>
  <c r="AX90" i="48"/>
  <c r="AX98" i="48"/>
  <c r="AR102" i="48"/>
  <c r="BM102" i="48"/>
  <c r="BO103" i="48"/>
  <c r="BK108" i="48"/>
  <c r="BO112" i="48"/>
  <c r="BM121" i="48"/>
  <c r="AR121" i="48"/>
  <c r="BM137" i="48"/>
  <c r="AR137" i="48"/>
  <c r="BO152" i="48"/>
  <c r="AR201" i="48"/>
  <c r="BM201" i="48"/>
  <c r="BI28" i="48"/>
  <c r="AX61" i="48"/>
  <c r="AR116" i="48"/>
  <c r="BM116" i="48"/>
  <c r="AR120" i="48"/>
  <c r="BM120" i="48"/>
  <c r="AR124" i="48"/>
  <c r="BM124" i="48"/>
  <c r="AR128" i="48"/>
  <c r="BM128" i="48"/>
  <c r="AR132" i="48"/>
  <c r="BM132" i="48"/>
  <c r="AR136" i="48"/>
  <c r="BM136" i="48"/>
  <c r="AR140" i="48"/>
  <c r="BM140" i="48"/>
  <c r="AR144" i="48"/>
  <c r="BM144" i="48"/>
  <c r="BK156" i="48"/>
  <c r="AR237" i="48"/>
  <c r="BM237" i="48"/>
  <c r="AQ113" i="48"/>
  <c r="AP113" i="48"/>
  <c r="AY113" i="48" s="1"/>
  <c r="BN113" i="48"/>
  <c r="BO121" i="48"/>
  <c r="AQ129" i="48"/>
  <c r="AP129" i="48"/>
  <c r="AY129" i="48" s="1"/>
  <c r="BN129" i="48"/>
  <c r="BO137" i="48"/>
  <c r="AQ145" i="48"/>
  <c r="AP145" i="48"/>
  <c r="AY145" i="48" s="1"/>
  <c r="BN145" i="48"/>
  <c r="BO151" i="48"/>
  <c r="AQ151" i="48"/>
  <c r="BO155" i="48"/>
  <c r="BK160" i="48"/>
  <c r="BO168" i="48"/>
  <c r="BK176" i="48"/>
  <c r="BK211" i="48"/>
  <c r="BO227" i="48"/>
  <c r="BO288" i="48"/>
  <c r="AX325" i="48"/>
  <c r="BJ339" i="48"/>
  <c r="AX341" i="48"/>
  <c r="BK159" i="48"/>
  <c r="BK167" i="48"/>
  <c r="BK175" i="48"/>
  <c r="BK189" i="48"/>
  <c r="BO197" i="48"/>
  <c r="AR219" i="48"/>
  <c r="BM219" i="48"/>
  <c r="BO235" i="48"/>
  <c r="BK249" i="48"/>
  <c r="BK331" i="48"/>
  <c r="AQ160" i="48"/>
  <c r="AP160" i="48"/>
  <c r="AY160" i="48" s="1"/>
  <c r="AQ176" i="48"/>
  <c r="AP176" i="48"/>
  <c r="AY176" i="48" s="1"/>
  <c r="AX188" i="48"/>
  <c r="BM190" i="48"/>
  <c r="AR190" i="48"/>
  <c r="AX204" i="48"/>
  <c r="BI204" i="48" s="1"/>
  <c r="BM206" i="48"/>
  <c r="AR206" i="48"/>
  <c r="EA208" i="48"/>
  <c r="EO208" i="48" s="1"/>
  <c r="BM212" i="48"/>
  <c r="AR212" i="48"/>
  <c r="AR215" i="48"/>
  <c r="BM215" i="48"/>
  <c r="AR223" i="48"/>
  <c r="BM223" i="48"/>
  <c r="BK231" i="48"/>
  <c r="BO241" i="48"/>
  <c r="AR257" i="48"/>
  <c r="BM257" i="48"/>
  <c r="BO264" i="48"/>
  <c r="AR280" i="48"/>
  <c r="BM280" i="48"/>
  <c r="BO296" i="48"/>
  <c r="AR312" i="48"/>
  <c r="BM312" i="48"/>
  <c r="AX218" i="48"/>
  <c r="BM220" i="48"/>
  <c r="AR220" i="48"/>
  <c r="AR245" i="48"/>
  <c r="BM245" i="48"/>
  <c r="BK253" i="48"/>
  <c r="AR268" i="48"/>
  <c r="BM268" i="48"/>
  <c r="BK276" i="48"/>
  <c r="BO284" i="48"/>
  <c r="AR300" i="48"/>
  <c r="BM300" i="48"/>
  <c r="BK308" i="48"/>
  <c r="BO347" i="48"/>
  <c r="BK355" i="48"/>
  <c r="BO363" i="48"/>
  <c r="EA368" i="48"/>
  <c r="EO368" i="48" s="1"/>
  <c r="BK374" i="48"/>
  <c r="BO382" i="48"/>
  <c r="AX256" i="48"/>
  <c r="BI256" i="48" s="1"/>
  <c r="BM258" i="48"/>
  <c r="AR258" i="48"/>
  <c r="AX275" i="48"/>
  <c r="BM277" i="48"/>
  <c r="AR277" i="48"/>
  <c r="AX291" i="48"/>
  <c r="BM293" i="48"/>
  <c r="AR293" i="48"/>
  <c r="AX307" i="48"/>
  <c r="BM309" i="48"/>
  <c r="AR309" i="48"/>
  <c r="AR318" i="48"/>
  <c r="BM318" i="48"/>
  <c r="BK322" i="48"/>
  <c r="BK327" i="48"/>
  <c r="BO335" i="48"/>
  <c r="BJ343" i="48"/>
  <c r="BJ351" i="48"/>
  <c r="BJ359" i="48"/>
  <c r="BK399" i="48"/>
  <c r="AX401" i="48"/>
  <c r="AX404" i="48"/>
  <c r="AR408" i="48"/>
  <c r="BM408" i="48"/>
  <c r="BK416" i="48"/>
  <c r="BO424" i="48"/>
  <c r="BK469" i="48"/>
  <c r="AX471" i="48"/>
  <c r="BI471" i="48" s="1"/>
  <c r="AQ186" i="48"/>
  <c r="AP186" i="48"/>
  <c r="AY186" i="48" s="1"/>
  <c r="BN186" i="48"/>
  <c r="AQ194" i="48"/>
  <c r="AP194" i="48"/>
  <c r="AY194" i="48" s="1"/>
  <c r="BN194" i="48"/>
  <c r="AQ202" i="48"/>
  <c r="AP202" i="48"/>
  <c r="AY202" i="48" s="1"/>
  <c r="BN202" i="48"/>
  <c r="AQ212" i="48"/>
  <c r="AP212" i="48"/>
  <c r="AY212" i="48" s="1"/>
  <c r="BN212" i="48"/>
  <c r="BO220" i="48"/>
  <c r="AQ220" i="48"/>
  <c r="AP220" i="48"/>
  <c r="AY220" i="48" s="1"/>
  <c r="BN220" i="48"/>
  <c r="BO228" i="48"/>
  <c r="AQ228" i="48"/>
  <c r="AP228" i="48"/>
  <c r="AY228" i="48" s="1"/>
  <c r="BN228" i="48"/>
  <c r="AQ236" i="48"/>
  <c r="AP236" i="48"/>
  <c r="AY236" i="48" s="1"/>
  <c r="BN236" i="48"/>
  <c r="BO326" i="48"/>
  <c r="BO330" i="48"/>
  <c r="AQ330" i="48"/>
  <c r="BO334" i="48"/>
  <c r="BO338" i="48"/>
  <c r="AQ338" i="48"/>
  <c r="BO342" i="48"/>
  <c r="BO346" i="48"/>
  <c r="AQ346" i="48"/>
  <c r="BO350" i="48"/>
  <c r="BO354" i="48"/>
  <c r="AQ354" i="48"/>
  <c r="BO358" i="48"/>
  <c r="BO362" i="48"/>
  <c r="AQ362" i="48"/>
  <c r="BO366" i="48"/>
  <c r="AX369" i="48"/>
  <c r="BM371" i="48"/>
  <c r="AR371" i="48"/>
  <c r="AX385" i="48"/>
  <c r="BM387" i="48"/>
  <c r="AR387" i="48"/>
  <c r="BK395" i="48"/>
  <c r="BO403" i="48"/>
  <c r="EA405" i="48"/>
  <c r="EO405" i="48" s="1"/>
  <c r="BK431" i="48"/>
  <c r="BK443" i="48"/>
  <c r="AX445" i="48"/>
  <c r="AX448" i="48"/>
  <c r="BI448" i="48" s="1"/>
  <c r="BJ451" i="48"/>
  <c r="BJ453" i="48"/>
  <c r="BO371" i="48"/>
  <c r="BO379" i="48"/>
  <c r="BO387" i="48"/>
  <c r="BK398" i="48"/>
  <c r="AX411" i="48"/>
  <c r="BM413" i="48"/>
  <c r="AR413" i="48"/>
  <c r="BO430" i="48"/>
  <c r="BO434" i="48"/>
  <c r="AQ434" i="48"/>
  <c r="BK439" i="48"/>
  <c r="BO447" i="48"/>
  <c r="BO462" i="48"/>
  <c r="AQ395" i="48"/>
  <c r="AP395" i="48"/>
  <c r="AY395" i="48" s="1"/>
  <c r="AQ403" i="48"/>
  <c r="AP403" i="48"/>
  <c r="AY403" i="48" s="1"/>
  <c r="BN403" i="48"/>
  <c r="BO413" i="48"/>
  <c r="BO421" i="48"/>
  <c r="BO438" i="48"/>
  <c r="BO442" i="48"/>
  <c r="AQ442" i="48"/>
  <c r="BO446" i="48"/>
  <c r="BO450" i="48"/>
  <c r="AQ450" i="48"/>
  <c r="BO452" i="48"/>
  <c r="AQ452" i="48"/>
  <c r="BK458" i="48"/>
  <c r="BO466" i="48"/>
  <c r="AR475" i="48"/>
  <c r="BM475" i="48"/>
  <c r="BO435" i="48"/>
  <c r="BK457" i="48"/>
  <c r="BN461" i="48"/>
  <c r="BK465" i="48"/>
  <c r="AQ462" i="48"/>
  <c r="AP462" i="48"/>
  <c r="AY462" i="48" s="1"/>
  <c r="BN462" i="48"/>
  <c r="BK468" i="48"/>
  <c r="AP398" i="48"/>
  <c r="AY398" i="48" s="1"/>
  <c r="AQ398" i="48"/>
  <c r="AP402" i="48"/>
  <c r="AY402" i="48" s="1"/>
  <c r="AQ402" i="48"/>
  <c r="AX407" i="48"/>
  <c r="BI407" i="48" s="1"/>
  <c r="BM409" i="48"/>
  <c r="AR409" i="48"/>
  <c r="AX415" i="48"/>
  <c r="BM417" i="48"/>
  <c r="AR417" i="48"/>
  <c r="BK430" i="48"/>
  <c r="AX456" i="48"/>
  <c r="BM435" i="48"/>
  <c r="BK442" i="48"/>
  <c r="BJ475" i="48"/>
  <c r="AQ447" i="48"/>
  <c r="AP447" i="48"/>
  <c r="AY447" i="48" s="1"/>
  <c r="BN447" i="48"/>
  <c r="BO457" i="48"/>
  <c r="BO461" i="48"/>
  <c r="BO465" i="48"/>
  <c r="AQ458" i="48"/>
  <c r="AP458" i="48"/>
  <c r="AY458" i="48" s="1"/>
  <c r="BN458" i="48"/>
  <c r="AP468" i="48"/>
  <c r="AY468" i="48" s="1"/>
  <c r="AQ468" i="48"/>
  <c r="AP472" i="48"/>
  <c r="AY472" i="48" s="1"/>
  <c r="AQ472" i="48"/>
  <c r="AX473" i="48"/>
  <c r="BN26" i="48"/>
  <c r="AX4" i="48"/>
  <c r="AR11" i="48"/>
  <c r="BM11" i="48"/>
  <c r="AR17" i="48"/>
  <c r="BM17" i="48"/>
  <c r="BO19" i="48"/>
  <c r="EA68" i="48"/>
  <c r="EO68" i="48" s="1"/>
  <c r="AX85" i="48"/>
  <c r="AX93" i="48"/>
  <c r="BM109" i="48"/>
  <c r="AR109" i="48"/>
  <c r="BJ109" i="48"/>
  <c r="AX111" i="48"/>
  <c r="BJ5" i="48"/>
  <c r="BK5" i="48"/>
  <c r="BK14" i="48"/>
  <c r="AQ22" i="48"/>
  <c r="AP22" i="48"/>
  <c r="AY22" i="48" s="1"/>
  <c r="AR26" i="48"/>
  <c r="BM26" i="48"/>
  <c r="AQ27" i="48"/>
  <c r="AP27" i="48"/>
  <c r="AY27" i="48" s="1"/>
  <c r="BN27" i="48"/>
  <c r="AP30" i="48"/>
  <c r="AY30" i="48" s="1"/>
  <c r="AQ30" i="48"/>
  <c r="AR30" i="48"/>
  <c r="BM30" i="48"/>
  <c r="AP42" i="48"/>
  <c r="AY42" i="48" s="1"/>
  <c r="AQ42" i="48"/>
  <c r="BN44" i="48"/>
  <c r="BO44" i="48"/>
  <c r="BO45" i="48"/>
  <c r="AP50" i="48"/>
  <c r="AY50" i="48" s="1"/>
  <c r="AQ50" i="48"/>
  <c r="BO50" i="48"/>
  <c r="BM51" i="48"/>
  <c r="AR51" i="48"/>
  <c r="AQ51" i="48"/>
  <c r="AP51" i="48"/>
  <c r="AY51" i="48" s="1"/>
  <c r="BN51" i="48"/>
  <c r="AP56" i="48"/>
  <c r="AY56" i="48" s="1"/>
  <c r="AQ56" i="48"/>
  <c r="AR56" i="48"/>
  <c r="BM56" i="48"/>
  <c r="BN58" i="48"/>
  <c r="BO63" i="48"/>
  <c r="BO70" i="48"/>
  <c r="BM71" i="48"/>
  <c r="AR71" i="48"/>
  <c r="AQ71" i="48"/>
  <c r="AP71" i="48"/>
  <c r="AY71" i="48" s="1"/>
  <c r="BN71" i="48"/>
  <c r="BN74" i="48"/>
  <c r="BN78" i="48"/>
  <c r="BO82" i="48"/>
  <c r="BM83" i="48"/>
  <c r="AR83" i="48"/>
  <c r="AQ83" i="48"/>
  <c r="AP83" i="48"/>
  <c r="AY83" i="48" s="1"/>
  <c r="BN83" i="48"/>
  <c r="BN86" i="48"/>
  <c r="BO90" i="48"/>
  <c r="BM91" i="48"/>
  <c r="AR91" i="48"/>
  <c r="AQ91" i="48"/>
  <c r="AP91" i="48"/>
  <c r="AY91" i="48" s="1"/>
  <c r="BN91" i="48"/>
  <c r="AR96" i="48"/>
  <c r="BM96" i="48"/>
  <c r="BO97" i="48"/>
  <c r="BO98" i="48"/>
  <c r="BM99" i="48"/>
  <c r="AR99" i="48"/>
  <c r="AQ99" i="48"/>
  <c r="AP99" i="48"/>
  <c r="AY99" i="48" s="1"/>
  <c r="BN99" i="48"/>
  <c r="BN102" i="48"/>
  <c r="BO106" i="48"/>
  <c r="BO108" i="48"/>
  <c r="AX127" i="48"/>
  <c r="AX143" i="48"/>
  <c r="BJ152" i="48"/>
  <c r="AR185" i="48"/>
  <c r="BM185" i="48"/>
  <c r="AX33" i="48"/>
  <c r="AX53" i="48"/>
  <c r="BK116" i="48"/>
  <c r="BK120" i="48"/>
  <c r="BK124" i="48"/>
  <c r="BK128" i="48"/>
  <c r="BK132" i="48"/>
  <c r="BK136" i="48"/>
  <c r="BK140" i="48"/>
  <c r="BK144" i="48"/>
  <c r="BJ148" i="48"/>
  <c r="BO156" i="48"/>
  <c r="AX158" i="48"/>
  <c r="BI158" i="48" s="1"/>
  <c r="AX161" i="48"/>
  <c r="BJ164" i="48"/>
  <c r="BK172" i="48"/>
  <c r="AX174" i="48"/>
  <c r="AX177" i="48"/>
  <c r="BJ180" i="48"/>
  <c r="BO117" i="48"/>
  <c r="BO125" i="48"/>
  <c r="BO133" i="48"/>
  <c r="BO141" i="48"/>
  <c r="BJ168" i="48"/>
  <c r="BO176" i="48"/>
  <c r="AX178" i="48"/>
  <c r="AR193" i="48"/>
  <c r="BM193" i="48"/>
  <c r="BO211" i="48"/>
  <c r="AR272" i="48"/>
  <c r="BM272" i="48"/>
  <c r="BK288" i="48"/>
  <c r="AR304" i="48"/>
  <c r="BM304" i="48"/>
  <c r="BM339" i="48"/>
  <c r="AR339" i="48"/>
  <c r="AQ148" i="48"/>
  <c r="AP148" i="48"/>
  <c r="AY148" i="48" s="1"/>
  <c r="AQ156" i="48"/>
  <c r="AP156" i="48"/>
  <c r="AY156" i="48" s="1"/>
  <c r="BN156" i="48"/>
  <c r="AR159" i="48"/>
  <c r="BM159" i="48"/>
  <c r="BO163" i="48"/>
  <c r="AQ163" i="48"/>
  <c r="AR167" i="48"/>
  <c r="BM167" i="48"/>
  <c r="BO171" i="48"/>
  <c r="AQ171" i="48"/>
  <c r="AR175" i="48"/>
  <c r="BM175" i="48"/>
  <c r="BO179" i="48"/>
  <c r="AQ179" i="48"/>
  <c r="AR189" i="48"/>
  <c r="BM189" i="48"/>
  <c r="BK197" i="48"/>
  <c r="AR205" i="48"/>
  <c r="BM205" i="48"/>
  <c r="BO249" i="48"/>
  <c r="BM331" i="48"/>
  <c r="AR331" i="48"/>
  <c r="AQ164" i="48"/>
  <c r="AP164" i="48"/>
  <c r="AY164" i="48" s="1"/>
  <c r="AQ172" i="48"/>
  <c r="AP172" i="48"/>
  <c r="AY172" i="48" s="1"/>
  <c r="AQ180" i="48"/>
  <c r="AP180" i="48"/>
  <c r="AY180" i="48" s="1"/>
  <c r="AX214" i="48"/>
  <c r="BO231" i="48"/>
  <c r="AX328" i="48"/>
  <c r="BM216" i="48"/>
  <c r="AR216" i="48"/>
  <c r="AX222" i="48"/>
  <c r="BM224" i="48"/>
  <c r="AR224" i="48"/>
  <c r="AX230" i="48"/>
  <c r="BM232" i="48"/>
  <c r="AR232" i="48"/>
  <c r="BO253" i="48"/>
  <c r="BO262" i="48"/>
  <c r="BO276" i="48"/>
  <c r="BO292" i="48"/>
  <c r="BO308" i="48"/>
  <c r="BK347" i="48"/>
  <c r="BO355" i="48"/>
  <c r="BK363" i="48"/>
  <c r="BO374" i="48"/>
  <c r="BO390" i="48"/>
  <c r="AX271" i="48"/>
  <c r="AX279" i="48"/>
  <c r="AX287" i="48"/>
  <c r="AX295" i="48"/>
  <c r="AX303" i="48"/>
  <c r="AX311" i="48"/>
  <c r="EA314" i="48"/>
  <c r="EO314" i="48" s="1"/>
  <c r="BK318" i="48"/>
  <c r="BO322" i="48"/>
  <c r="BO327" i="48"/>
  <c r="AX329" i="48"/>
  <c r="BK335" i="48"/>
  <c r="BO343" i="48"/>
  <c r="AX352" i="48"/>
  <c r="BI352" i="48" s="1"/>
  <c r="AX353" i="48"/>
  <c r="BO359" i="48"/>
  <c r="AR370" i="48"/>
  <c r="BM370" i="48"/>
  <c r="BO378" i="48"/>
  <c r="AR386" i="48"/>
  <c r="BM386" i="48"/>
  <c r="BM399" i="48"/>
  <c r="AR399" i="48"/>
  <c r="BK408" i="48"/>
  <c r="AR416" i="48"/>
  <c r="BM416" i="48"/>
  <c r="BK424" i="48"/>
  <c r="BO469" i="48"/>
  <c r="BO190" i="48"/>
  <c r="AQ198" i="48"/>
  <c r="AP198" i="48"/>
  <c r="AY198" i="48" s="1"/>
  <c r="BN198" i="48"/>
  <c r="BO206" i="48"/>
  <c r="AQ216" i="48"/>
  <c r="AP216" i="48"/>
  <c r="AY216" i="48" s="1"/>
  <c r="BN216" i="48"/>
  <c r="BO224" i="48"/>
  <c r="AQ232" i="48"/>
  <c r="AP232" i="48"/>
  <c r="AY232" i="48" s="1"/>
  <c r="BN232" i="48"/>
  <c r="BO238" i="48"/>
  <c r="AQ246" i="48"/>
  <c r="AP246" i="48"/>
  <c r="AY246" i="48" s="1"/>
  <c r="BN246" i="48"/>
  <c r="BO254" i="48"/>
  <c r="BO263" i="48"/>
  <c r="AQ269" i="48"/>
  <c r="AP269" i="48"/>
  <c r="AY269" i="48" s="1"/>
  <c r="BN269" i="48"/>
  <c r="BO277" i="48"/>
  <c r="AQ285" i="48"/>
  <c r="AP285" i="48"/>
  <c r="AY285" i="48" s="1"/>
  <c r="BN285" i="48"/>
  <c r="BO293" i="48"/>
  <c r="AQ301" i="48"/>
  <c r="AP301" i="48"/>
  <c r="AY301" i="48" s="1"/>
  <c r="BN301" i="48"/>
  <c r="BO309" i="48"/>
  <c r="EA324" i="48"/>
  <c r="EO324" i="48" s="1"/>
  <c r="BK330" i="48"/>
  <c r="BK338" i="48"/>
  <c r="BK346" i="48"/>
  <c r="BK354" i="48"/>
  <c r="BK362" i="48"/>
  <c r="AR395" i="48"/>
  <c r="BO395" i="48"/>
  <c r="AX397" i="48"/>
  <c r="BJ403" i="48"/>
  <c r="AR412" i="48"/>
  <c r="BM412" i="48"/>
  <c r="BO420" i="48"/>
  <c r="BM431" i="48"/>
  <c r="AX433" i="48"/>
  <c r="BM443" i="48"/>
  <c r="BM451" i="48"/>
  <c r="BM453" i="48"/>
  <c r="AR453" i="48"/>
  <c r="BO315" i="48"/>
  <c r="AQ315" i="48"/>
  <c r="AP315" i="48"/>
  <c r="AY315" i="48" s="1"/>
  <c r="BN315" i="48"/>
  <c r="BO323" i="48"/>
  <c r="AQ347" i="48"/>
  <c r="AP347" i="48"/>
  <c r="AY347" i="48" s="1"/>
  <c r="BN347" i="48"/>
  <c r="AQ363" i="48"/>
  <c r="AP363" i="48"/>
  <c r="AY363" i="48" s="1"/>
  <c r="BN363" i="48"/>
  <c r="BO375" i="48"/>
  <c r="AQ375" i="48"/>
  <c r="AP375" i="48"/>
  <c r="AY375" i="48" s="1"/>
  <c r="BN375" i="48"/>
  <c r="BO391" i="48"/>
  <c r="AQ391" i="48"/>
  <c r="AP391" i="48"/>
  <c r="AY391" i="48" s="1"/>
  <c r="BN391" i="48"/>
  <c r="BO394" i="48"/>
  <c r="BO398" i="48"/>
  <c r="BO402" i="48"/>
  <c r="BK434" i="48"/>
  <c r="AX464" i="48"/>
  <c r="BO409" i="48"/>
  <c r="AQ409" i="48"/>
  <c r="AP409" i="48"/>
  <c r="AY409" i="48" s="1"/>
  <c r="BN409" i="48"/>
  <c r="BK450" i="48"/>
  <c r="BK475" i="48"/>
  <c r="BN475" i="48"/>
  <c r="AQ453" i="48"/>
  <c r="AP453" i="48"/>
  <c r="AY453" i="48" s="1"/>
  <c r="BN453" i="48"/>
  <c r="AR468" i="48"/>
  <c r="BM468" i="48"/>
  <c r="AR472" i="48"/>
  <c r="BM472" i="48"/>
  <c r="AX474" i="48"/>
  <c r="AR59" i="48"/>
  <c r="BN66" i="48"/>
  <c r="BH100" i="48"/>
  <c r="BM113" i="48"/>
  <c r="AR160" i="48"/>
  <c r="AR176" i="48"/>
  <c r="BN223" i="48"/>
  <c r="BN257" i="48"/>
  <c r="BN280" i="48"/>
  <c r="BN312" i="48"/>
  <c r="BH191" i="48"/>
  <c r="BH207" i="48"/>
  <c r="BI217" i="48"/>
  <c r="BH454" i="48"/>
  <c r="BH52" i="48"/>
  <c r="BI149" i="48"/>
  <c r="AR186" i="48"/>
  <c r="BM194" i="48"/>
  <c r="AR202" i="48"/>
  <c r="AR236" i="48"/>
  <c r="BI266" i="48"/>
  <c r="BI282" i="48"/>
  <c r="BI298" i="48"/>
  <c r="BI314" i="48"/>
  <c r="AR327" i="48"/>
  <c r="AR343" i="48"/>
  <c r="BM351" i="48"/>
  <c r="AR359" i="48"/>
  <c r="BH372" i="48"/>
  <c r="BH406" i="48"/>
  <c r="BH470" i="48"/>
  <c r="BM31" i="48"/>
  <c r="AR31" i="48"/>
  <c r="BM45" i="48"/>
  <c r="AR45" i="48"/>
  <c r="BM35" i="48"/>
  <c r="AR35" i="48"/>
  <c r="BM7" i="48"/>
  <c r="AR7" i="48"/>
  <c r="BO13" i="48"/>
  <c r="AP13" i="48"/>
  <c r="AY13" i="48" s="1"/>
  <c r="AQ13" i="48"/>
  <c r="BN13" i="48"/>
  <c r="BM18" i="48"/>
  <c r="AR18" i="48"/>
  <c r="BO21" i="48"/>
  <c r="AX69" i="48"/>
  <c r="AX89" i="48"/>
  <c r="AX105" i="48"/>
  <c r="BJ10" i="48"/>
  <c r="AR22" i="48"/>
  <c r="BM22" i="48"/>
  <c r="BM23" i="48"/>
  <c r="AR23" i="48"/>
  <c r="BO23" i="48"/>
  <c r="AQ23" i="48"/>
  <c r="AP23" i="48"/>
  <c r="AY23" i="48" s="1"/>
  <c r="BN23" i="48"/>
  <c r="AQ31" i="48"/>
  <c r="AP31" i="48"/>
  <c r="AY31" i="48" s="1"/>
  <c r="BN31" i="48"/>
  <c r="AP34" i="48"/>
  <c r="AY34" i="48" s="1"/>
  <c r="AQ34" i="48"/>
  <c r="AR34" i="48"/>
  <c r="BM34" i="48"/>
  <c r="AQ35" i="48"/>
  <c r="AP35" i="48"/>
  <c r="AY35" i="48" s="1"/>
  <c r="BN35" i="48"/>
  <c r="AP38" i="48"/>
  <c r="AY38" i="48" s="1"/>
  <c r="AQ38" i="48"/>
  <c r="AR38" i="48"/>
  <c r="BM38" i="48"/>
  <c r="BO39" i="48"/>
  <c r="AR42" i="48"/>
  <c r="BM42" i="48"/>
  <c r="AQ43" i="48"/>
  <c r="AP43" i="48"/>
  <c r="AY43" i="48" s="1"/>
  <c r="BN43" i="48"/>
  <c r="AP46" i="48"/>
  <c r="AY46" i="48" s="1"/>
  <c r="AQ46" i="48"/>
  <c r="BO46" i="48"/>
  <c r="BM47" i="48"/>
  <c r="AR47" i="48"/>
  <c r="BO47" i="48"/>
  <c r="AQ47" i="48"/>
  <c r="AP47" i="48"/>
  <c r="AY47" i="48" s="1"/>
  <c r="BN47" i="48"/>
  <c r="AP54" i="48"/>
  <c r="AY54" i="48" s="1"/>
  <c r="AQ54" i="48"/>
  <c r="AR54" i="48"/>
  <c r="BM54" i="48"/>
  <c r="AQ55" i="48"/>
  <c r="AP55" i="48"/>
  <c r="AY55" i="48" s="1"/>
  <c r="BN55" i="48"/>
  <c r="AQ57" i="48"/>
  <c r="AP57" i="48"/>
  <c r="AY57" i="48" s="1"/>
  <c r="BN57" i="48"/>
  <c r="BM67" i="48"/>
  <c r="AR67" i="48"/>
  <c r="AQ67" i="48"/>
  <c r="AP67" i="48"/>
  <c r="AY67" i="48" s="1"/>
  <c r="BN67" i="48"/>
  <c r="BM75" i="48"/>
  <c r="AR75" i="48"/>
  <c r="AQ75" i="48"/>
  <c r="AP75" i="48"/>
  <c r="AY75" i="48" s="1"/>
  <c r="BN75" i="48"/>
  <c r="BM77" i="48"/>
  <c r="AR77" i="48"/>
  <c r="AQ77" i="48"/>
  <c r="AP77" i="48"/>
  <c r="AY77" i="48" s="1"/>
  <c r="BN77" i="48"/>
  <c r="BM79" i="48"/>
  <c r="AR79" i="48"/>
  <c r="AQ79" i="48"/>
  <c r="AP79" i="48"/>
  <c r="AY79" i="48" s="1"/>
  <c r="BN79" i="48"/>
  <c r="BM87" i="48"/>
  <c r="AR87" i="48"/>
  <c r="AQ87" i="48"/>
  <c r="AP87" i="48"/>
  <c r="AY87" i="48" s="1"/>
  <c r="BN87" i="48"/>
  <c r="BM103" i="48"/>
  <c r="AR103" i="48"/>
  <c r="AQ103" i="48"/>
  <c r="AP103" i="48"/>
  <c r="AY103" i="48" s="1"/>
  <c r="BN103" i="48"/>
  <c r="AR112" i="48"/>
  <c r="BM112" i="48"/>
  <c r="BM129" i="48"/>
  <c r="AR129" i="48"/>
  <c r="BM145" i="48"/>
  <c r="AR145" i="48"/>
  <c r="BM152" i="48"/>
  <c r="AR152" i="48"/>
  <c r="AX154" i="48"/>
  <c r="AX150" i="48"/>
  <c r="BJ156" i="48"/>
  <c r="BN237" i="48"/>
  <c r="AQ121" i="48"/>
  <c r="AP121" i="48"/>
  <c r="AY121" i="48" s="1"/>
  <c r="BN121" i="48"/>
  <c r="BO129" i="48"/>
  <c r="AQ137" i="48"/>
  <c r="AP137" i="48"/>
  <c r="AY137" i="48" s="1"/>
  <c r="BN137" i="48"/>
  <c r="BO145" i="48"/>
  <c r="AR151" i="48"/>
  <c r="BM151" i="48"/>
  <c r="AR155" i="48"/>
  <c r="BM155" i="48"/>
  <c r="BJ160" i="48"/>
  <c r="BM168" i="48"/>
  <c r="AR168" i="48"/>
  <c r="AX170" i="48"/>
  <c r="BJ176" i="48"/>
  <c r="AR227" i="48"/>
  <c r="BM227" i="48"/>
  <c r="AR288" i="48"/>
  <c r="BM288" i="48"/>
  <c r="AQ152" i="48"/>
  <c r="AP152" i="48"/>
  <c r="AY152" i="48" s="1"/>
  <c r="BN152" i="48"/>
  <c r="AR197" i="48"/>
  <c r="BM197" i="48"/>
  <c r="AR235" i="48"/>
  <c r="BM235" i="48"/>
  <c r="BJ331" i="48"/>
  <c r="AX333" i="48"/>
  <c r="BI333" i="48" s="1"/>
  <c r="AQ168" i="48"/>
  <c r="AP168" i="48"/>
  <c r="AY168" i="48" s="1"/>
  <c r="BN168" i="48"/>
  <c r="AX196" i="48"/>
  <c r="BM198" i="48"/>
  <c r="AR198" i="48"/>
  <c r="AR241" i="48"/>
  <c r="BM241" i="48"/>
  <c r="AR264" i="48"/>
  <c r="BM264" i="48"/>
  <c r="AR296" i="48"/>
  <c r="BM296" i="48"/>
  <c r="AX226" i="48"/>
  <c r="BI226" i="48" s="1"/>
  <c r="BM228" i="48"/>
  <c r="AR228" i="48"/>
  <c r="AR284" i="48"/>
  <c r="BM284" i="48"/>
  <c r="BM347" i="48"/>
  <c r="AR347" i="48"/>
  <c r="AX349" i="48"/>
  <c r="BI349" i="48" s="1"/>
  <c r="BJ355" i="48"/>
  <c r="BM363" i="48"/>
  <c r="AR363" i="48"/>
  <c r="AX365" i="48"/>
  <c r="AR382" i="48"/>
  <c r="BM382" i="48"/>
  <c r="AX240" i="48"/>
  <c r="BM242" i="48"/>
  <c r="AR242" i="48"/>
  <c r="BM250" i="48"/>
  <c r="AR250" i="48"/>
  <c r="AX267" i="48"/>
  <c r="BM269" i="48"/>
  <c r="AR269" i="48"/>
  <c r="AX283" i="48"/>
  <c r="BM285" i="48"/>
  <c r="AR285" i="48"/>
  <c r="AX299" i="48"/>
  <c r="BM301" i="48"/>
  <c r="AR301" i="48"/>
  <c r="BJ327" i="48"/>
  <c r="BM335" i="48"/>
  <c r="AR335" i="48"/>
  <c r="AX337" i="48"/>
  <c r="AX393" i="48"/>
  <c r="AX396" i="48"/>
  <c r="BI396" i="48" s="1"/>
  <c r="BJ399" i="48"/>
  <c r="AR424" i="48"/>
  <c r="BM424" i="48"/>
  <c r="AX429" i="48"/>
  <c r="BI429" i="48" s="1"/>
  <c r="BJ469" i="48"/>
  <c r="BO212" i="48"/>
  <c r="BO242" i="48"/>
  <c r="AQ242" i="48"/>
  <c r="AP242" i="48"/>
  <c r="AY242" i="48" s="1"/>
  <c r="BN242" i="48"/>
  <c r="BO250" i="48"/>
  <c r="AQ250" i="48"/>
  <c r="AP250" i="48"/>
  <c r="AY250" i="48" s="1"/>
  <c r="BN250" i="48"/>
  <c r="AQ258" i="48"/>
  <c r="AP258" i="48"/>
  <c r="AY258" i="48" s="1"/>
  <c r="BN258" i="48"/>
  <c r="AQ265" i="48"/>
  <c r="AP265" i="48"/>
  <c r="AY265" i="48" s="1"/>
  <c r="BN265" i="48"/>
  <c r="AQ273" i="48"/>
  <c r="AP273" i="48"/>
  <c r="AY273" i="48" s="1"/>
  <c r="BN273" i="48"/>
  <c r="AQ281" i="48"/>
  <c r="AP281" i="48"/>
  <c r="AY281" i="48" s="1"/>
  <c r="BN281" i="48"/>
  <c r="AQ289" i="48"/>
  <c r="AP289" i="48"/>
  <c r="AY289" i="48" s="1"/>
  <c r="BN289" i="48"/>
  <c r="AQ297" i="48"/>
  <c r="AP297" i="48"/>
  <c r="AY297" i="48" s="1"/>
  <c r="BN297" i="48"/>
  <c r="AQ305" i="48"/>
  <c r="AP305" i="48"/>
  <c r="AY305" i="48" s="1"/>
  <c r="BN305" i="48"/>
  <c r="AQ313" i="48"/>
  <c r="AP313" i="48"/>
  <c r="AY313" i="48" s="1"/>
  <c r="BN313" i="48"/>
  <c r="AX317" i="48"/>
  <c r="BM319" i="48"/>
  <c r="AR319" i="48"/>
  <c r="AR326" i="48"/>
  <c r="BM326" i="48"/>
  <c r="AR330" i="48"/>
  <c r="BM330" i="48"/>
  <c r="AR334" i="48"/>
  <c r="BM334" i="48"/>
  <c r="AR338" i="48"/>
  <c r="BM338" i="48"/>
  <c r="AR342" i="48"/>
  <c r="BM342" i="48"/>
  <c r="AR346" i="48"/>
  <c r="BM346" i="48"/>
  <c r="AR350" i="48"/>
  <c r="BM350" i="48"/>
  <c r="AR354" i="48"/>
  <c r="BM354" i="48"/>
  <c r="AR358" i="48"/>
  <c r="BM358" i="48"/>
  <c r="AR362" i="48"/>
  <c r="BM362" i="48"/>
  <c r="AR366" i="48"/>
  <c r="BM366" i="48"/>
  <c r="AX377" i="48"/>
  <c r="BM379" i="48"/>
  <c r="AR379" i="48"/>
  <c r="AX392" i="48"/>
  <c r="BJ395" i="48"/>
  <c r="BM403" i="48"/>
  <c r="AR403" i="48"/>
  <c r="AX405" i="48"/>
  <c r="EA427" i="48"/>
  <c r="EO427" i="48" s="1"/>
  <c r="BJ431" i="48"/>
  <c r="AX437" i="48"/>
  <c r="BI437" i="48" s="1"/>
  <c r="AX440" i="48"/>
  <c r="BJ443" i="48"/>
  <c r="AX455" i="48"/>
  <c r="BO319" i="48"/>
  <c r="AQ319" i="48"/>
  <c r="AP319" i="48"/>
  <c r="AY319" i="48" s="1"/>
  <c r="BN319" i="48"/>
  <c r="AQ327" i="48"/>
  <c r="AP327" i="48"/>
  <c r="AY327" i="48" s="1"/>
  <c r="AQ335" i="48"/>
  <c r="AP335" i="48"/>
  <c r="AY335" i="48" s="1"/>
  <c r="BN335" i="48"/>
  <c r="AQ343" i="48"/>
  <c r="AP343" i="48"/>
  <c r="AY343" i="48" s="1"/>
  <c r="AQ351" i="48"/>
  <c r="AP351" i="48"/>
  <c r="AY351" i="48" s="1"/>
  <c r="AQ359" i="48"/>
  <c r="AP359" i="48"/>
  <c r="AY359" i="48" s="1"/>
  <c r="AQ371" i="48"/>
  <c r="AP371" i="48"/>
  <c r="AY371" i="48" s="1"/>
  <c r="AQ379" i="48"/>
  <c r="AP379" i="48"/>
  <c r="AY379" i="48" s="1"/>
  <c r="BN379" i="48"/>
  <c r="AQ387" i="48"/>
  <c r="AP387" i="48"/>
  <c r="AY387" i="48" s="1"/>
  <c r="BK394" i="48"/>
  <c r="BK402" i="48"/>
  <c r="AX419" i="48"/>
  <c r="BM421" i="48"/>
  <c r="AR421" i="48"/>
  <c r="AR430" i="48"/>
  <c r="BM430" i="48"/>
  <c r="AR434" i="48"/>
  <c r="BM434" i="48"/>
  <c r="BJ439" i="48"/>
  <c r="BM447" i="48"/>
  <c r="AR447" i="48"/>
  <c r="AX449" i="48"/>
  <c r="BM462" i="48"/>
  <c r="AR462" i="48"/>
  <c r="AQ413" i="48"/>
  <c r="AP413" i="48"/>
  <c r="AY413" i="48" s="1"/>
  <c r="AQ421" i="48"/>
  <c r="AP421" i="48"/>
  <c r="AY421" i="48" s="1"/>
  <c r="BN421" i="48"/>
  <c r="AQ431" i="48"/>
  <c r="AP431" i="48"/>
  <c r="AY431" i="48" s="1"/>
  <c r="AR438" i="48"/>
  <c r="BM438" i="48"/>
  <c r="AR442" i="48"/>
  <c r="BM442" i="48"/>
  <c r="AR446" i="48"/>
  <c r="BM446" i="48"/>
  <c r="AR450" i="48"/>
  <c r="BM450" i="48"/>
  <c r="AR452" i="48"/>
  <c r="BM452" i="48"/>
  <c r="BJ458" i="48"/>
  <c r="BM466" i="48"/>
  <c r="AR466" i="48"/>
  <c r="AQ435" i="48"/>
  <c r="AP435" i="48"/>
  <c r="AY435" i="48" s="1"/>
  <c r="AQ443" i="48"/>
  <c r="AP443" i="48"/>
  <c r="AY443" i="48" s="1"/>
  <c r="AQ451" i="48"/>
  <c r="AP451" i="48"/>
  <c r="AY451" i="48" s="1"/>
  <c r="BK472" i="48"/>
  <c r="AQ469" i="48"/>
  <c r="AP469" i="48"/>
  <c r="AY469" i="48" s="1"/>
  <c r="AP394" i="48"/>
  <c r="AY394" i="48" s="1"/>
  <c r="AQ394" i="48"/>
  <c r="AX423" i="48"/>
  <c r="BM425" i="48"/>
  <c r="AR425" i="48"/>
  <c r="EA426" i="48"/>
  <c r="EO426" i="48" s="1"/>
  <c r="BJ434" i="48"/>
  <c r="BM439" i="48"/>
  <c r="AR439" i="48"/>
  <c r="AX441" i="48"/>
  <c r="BJ447" i="48"/>
  <c r="BO425" i="48"/>
  <c r="AQ425" i="48"/>
  <c r="AP425" i="48"/>
  <c r="AY425" i="48" s="1"/>
  <c r="BN425" i="48"/>
  <c r="AR435" i="48"/>
  <c r="BK438" i="48"/>
  <c r="BJ446" i="48"/>
  <c r="BM458" i="48"/>
  <c r="AR458" i="48"/>
  <c r="AQ439" i="48"/>
  <c r="AP439" i="48"/>
  <c r="AY439" i="48" s="1"/>
  <c r="BN439" i="48"/>
  <c r="AR457" i="48"/>
  <c r="BM457" i="48"/>
  <c r="AR461" i="48"/>
  <c r="BM461" i="48"/>
  <c r="AR465" i="48"/>
  <c r="BM465" i="48"/>
  <c r="BM476" i="48"/>
  <c r="AR476" i="48"/>
  <c r="BO476" i="48"/>
  <c r="AQ476" i="48"/>
  <c r="AP476" i="48"/>
  <c r="AY476" i="48" s="1"/>
  <c r="BN476" i="48"/>
  <c r="EA10" i="48"/>
  <c r="FE10" i="48" s="1"/>
  <c r="AX6" i="48"/>
  <c r="EA8" i="48"/>
  <c r="FC8" i="48" s="1"/>
  <c r="BM27" i="48"/>
  <c r="AR27" i="48"/>
  <c r="AQ11" i="48"/>
  <c r="AP11" i="48"/>
  <c r="AY11" i="48" s="1"/>
  <c r="BO11" i="48"/>
  <c r="BO17" i="48"/>
  <c r="AP17" i="48"/>
  <c r="AY17" i="48" s="1"/>
  <c r="AQ17" i="48"/>
  <c r="AP19" i="48"/>
  <c r="AY19" i="48" s="1"/>
  <c r="AQ19" i="48"/>
  <c r="AR19" i="48"/>
  <c r="BM19" i="48"/>
  <c r="BN19" i="48"/>
  <c r="AX29" i="48"/>
  <c r="BI29" i="48" s="1"/>
  <c r="BJ113" i="48"/>
  <c r="BJ14" i="48"/>
  <c r="AX14" i="48"/>
  <c r="BH14" i="48" s="1"/>
  <c r="AP26" i="48"/>
  <c r="AY26" i="48" s="1"/>
  <c r="AQ26" i="48"/>
  <c r="BO27" i="48"/>
  <c r="BO30" i="48"/>
  <c r="AP44" i="48"/>
  <c r="AY44" i="48" s="1"/>
  <c r="AQ44" i="48"/>
  <c r="AR44" i="48"/>
  <c r="BM44" i="48"/>
  <c r="AQ45" i="48"/>
  <c r="AP45" i="48"/>
  <c r="AY45" i="48" s="1"/>
  <c r="BN45" i="48"/>
  <c r="AR50" i="48"/>
  <c r="BM50" i="48"/>
  <c r="BO56" i="48"/>
  <c r="BM57" i="48"/>
  <c r="AR57" i="48"/>
  <c r="AP62" i="48"/>
  <c r="AY62" i="48" s="1"/>
  <c r="AQ62" i="48"/>
  <c r="AQ63" i="48"/>
  <c r="AP63" i="48"/>
  <c r="AY63" i="48" s="1"/>
  <c r="AP66" i="48"/>
  <c r="AY66" i="48" s="1"/>
  <c r="AQ66" i="48"/>
  <c r="AR70" i="48"/>
  <c r="BM70" i="48"/>
  <c r="BN76" i="48"/>
  <c r="AR82" i="48"/>
  <c r="BM82" i="48"/>
  <c r="AR90" i="48"/>
  <c r="BM90" i="48"/>
  <c r="BM97" i="48"/>
  <c r="AR97" i="48"/>
  <c r="AQ97" i="48"/>
  <c r="AP97" i="48"/>
  <c r="AY97" i="48" s="1"/>
  <c r="BN97" i="48"/>
  <c r="AR98" i="48"/>
  <c r="BM98" i="48"/>
  <c r="AR106" i="48"/>
  <c r="BM106" i="48"/>
  <c r="AR108" i="48"/>
  <c r="BM108" i="48"/>
  <c r="BK112" i="48"/>
  <c r="AX115" i="48"/>
  <c r="AX119" i="48"/>
  <c r="AX123" i="48"/>
  <c r="AX131" i="48"/>
  <c r="AX135" i="48"/>
  <c r="AX139" i="48"/>
  <c r="AX147" i="48"/>
  <c r="AX25" i="48"/>
  <c r="BN116" i="48"/>
  <c r="BN120" i="48"/>
  <c r="BN124" i="48"/>
  <c r="BN128" i="48"/>
  <c r="BN132" i="48"/>
  <c r="BN136" i="48"/>
  <c r="BN140" i="48"/>
  <c r="BN144" i="48"/>
  <c r="BM156" i="48"/>
  <c r="AR156" i="48"/>
  <c r="AX166" i="48"/>
  <c r="AX169" i="48"/>
  <c r="BJ172" i="48"/>
  <c r="AX182" i="48"/>
  <c r="AQ109" i="48"/>
  <c r="AP109" i="48"/>
  <c r="AY109" i="48" s="1"/>
  <c r="BN109" i="48"/>
  <c r="AQ117" i="48"/>
  <c r="AP117" i="48"/>
  <c r="AY117" i="48" s="1"/>
  <c r="AQ125" i="48"/>
  <c r="AP125" i="48"/>
  <c r="AY125" i="48" s="1"/>
  <c r="AQ133" i="48"/>
  <c r="AP133" i="48"/>
  <c r="AY133" i="48" s="1"/>
  <c r="AQ141" i="48"/>
  <c r="AP141" i="48"/>
  <c r="AY141" i="48" s="1"/>
  <c r="BK155" i="48"/>
  <c r="BH155" i="48"/>
  <c r="BO160" i="48"/>
  <c r="AX162" i="48"/>
  <c r="AR211" i="48"/>
  <c r="BM211" i="48"/>
  <c r="BN272" i="48"/>
  <c r="BN304" i="48"/>
  <c r="AR163" i="48"/>
  <c r="BM163" i="48"/>
  <c r="AR171" i="48"/>
  <c r="BM171" i="48"/>
  <c r="AR179" i="48"/>
  <c r="BM179" i="48"/>
  <c r="AR249" i="48"/>
  <c r="BM249" i="48"/>
  <c r="AX184" i="48"/>
  <c r="AX192" i="48"/>
  <c r="AX200" i="48"/>
  <c r="AX208" i="48"/>
  <c r="AR231" i="48"/>
  <c r="BM231" i="48"/>
  <c r="AX336" i="48"/>
  <c r="AR253" i="48"/>
  <c r="BM253" i="48"/>
  <c r="AR262" i="48"/>
  <c r="BM262" i="48"/>
  <c r="AR276" i="48"/>
  <c r="BM276" i="48"/>
  <c r="AR292" i="48"/>
  <c r="BM292" i="48"/>
  <c r="AR308" i="48"/>
  <c r="BM308" i="48"/>
  <c r="BJ347" i="48"/>
  <c r="BM355" i="48"/>
  <c r="AR355" i="48"/>
  <c r="AX357" i="48"/>
  <c r="BJ363" i="48"/>
  <c r="EA367" i="48"/>
  <c r="EO367" i="48" s="1"/>
  <c r="AX367" i="48"/>
  <c r="BI367" i="48" s="1"/>
  <c r="AR374" i="48"/>
  <c r="BM374" i="48"/>
  <c r="AR390" i="48"/>
  <c r="BM390" i="48"/>
  <c r="BM238" i="48"/>
  <c r="AR238" i="48"/>
  <c r="AX244" i="48"/>
  <c r="BM246" i="48"/>
  <c r="AR246" i="48"/>
  <c r="AX252" i="48"/>
  <c r="BM254" i="48"/>
  <c r="AR254" i="48"/>
  <c r="AX261" i="48"/>
  <c r="BM263" i="48"/>
  <c r="AR263" i="48"/>
  <c r="BN318" i="48"/>
  <c r="AR322" i="48"/>
  <c r="BM322" i="48"/>
  <c r="BI325" i="48"/>
  <c r="BJ335" i="48"/>
  <c r="BI341" i="48"/>
  <c r="AX344" i="48"/>
  <c r="BI344" i="48" s="1"/>
  <c r="AX345" i="48"/>
  <c r="BO351" i="48"/>
  <c r="AX360" i="48"/>
  <c r="AX361" i="48"/>
  <c r="AX368" i="48"/>
  <c r="BI368" i="48" s="1"/>
  <c r="BO370" i="48"/>
  <c r="AR378" i="48"/>
  <c r="BM378" i="48"/>
  <c r="BO386" i="48"/>
  <c r="BN408" i="48"/>
  <c r="BO416" i="48"/>
  <c r="BN424" i="48"/>
  <c r="BM469" i="48"/>
  <c r="AR469" i="48"/>
  <c r="AQ190" i="48"/>
  <c r="AP190" i="48"/>
  <c r="AY190" i="48" s="1"/>
  <c r="BN190" i="48"/>
  <c r="BO198" i="48"/>
  <c r="AQ206" i="48"/>
  <c r="AP206" i="48"/>
  <c r="AY206" i="48" s="1"/>
  <c r="BN206" i="48"/>
  <c r="BO216" i="48"/>
  <c r="AQ224" i="48"/>
  <c r="AP224" i="48"/>
  <c r="AY224" i="48" s="1"/>
  <c r="BN224" i="48"/>
  <c r="BO232" i="48"/>
  <c r="AQ238" i="48"/>
  <c r="AP238" i="48"/>
  <c r="AY238" i="48" s="1"/>
  <c r="BN238" i="48"/>
  <c r="BO246" i="48"/>
  <c r="AQ254" i="48"/>
  <c r="AP254" i="48"/>
  <c r="AY254" i="48" s="1"/>
  <c r="BN254" i="48"/>
  <c r="AQ263" i="48"/>
  <c r="AP263" i="48"/>
  <c r="AY263" i="48" s="1"/>
  <c r="BN263" i="48"/>
  <c r="BO269" i="48"/>
  <c r="AQ277" i="48"/>
  <c r="AP277" i="48"/>
  <c r="AY277" i="48" s="1"/>
  <c r="BN277" i="48"/>
  <c r="BO285" i="48"/>
  <c r="AQ293" i="48"/>
  <c r="AP293" i="48"/>
  <c r="AY293" i="48" s="1"/>
  <c r="BN293" i="48"/>
  <c r="BO301" i="48"/>
  <c r="AQ309" i="48"/>
  <c r="AP309" i="48"/>
  <c r="AY309" i="48" s="1"/>
  <c r="BN309" i="48"/>
  <c r="BM315" i="48"/>
  <c r="AR315" i="48"/>
  <c r="AX321" i="48"/>
  <c r="BM323" i="48"/>
  <c r="AR323" i="48"/>
  <c r="BK326" i="48"/>
  <c r="BN330" i="48"/>
  <c r="BK334" i="48"/>
  <c r="BN338" i="48"/>
  <c r="BK342" i="48"/>
  <c r="BN346" i="48"/>
  <c r="BK350" i="48"/>
  <c r="BN354" i="48"/>
  <c r="BK358" i="48"/>
  <c r="BN362" i="48"/>
  <c r="BK366" i="48"/>
  <c r="AX373" i="48"/>
  <c r="BM375" i="48"/>
  <c r="AR375" i="48"/>
  <c r="AX381" i="48"/>
  <c r="BM383" i="48"/>
  <c r="AR383" i="48"/>
  <c r="AX389" i="48"/>
  <c r="BM391" i="48"/>
  <c r="AR391" i="48"/>
  <c r="BI393" i="48"/>
  <c r="BM395" i="48"/>
  <c r="EA406" i="48"/>
  <c r="EO406" i="48" s="1"/>
  <c r="BO412" i="48"/>
  <c r="AR420" i="48"/>
  <c r="BM420" i="48"/>
  <c r="AX427" i="48"/>
  <c r="AR431" i="48"/>
  <c r="BO431" i="48"/>
  <c r="AX432" i="48"/>
  <c r="AR443" i="48"/>
  <c r="BO443" i="48"/>
  <c r="AR451" i="48"/>
  <c r="BO451" i="48"/>
  <c r="AQ323" i="48"/>
  <c r="AP323" i="48"/>
  <c r="AY323" i="48" s="1"/>
  <c r="BN323" i="48"/>
  <c r="AQ331" i="48"/>
  <c r="AP331" i="48"/>
  <c r="AY331" i="48" s="1"/>
  <c r="BN331" i="48"/>
  <c r="AQ339" i="48"/>
  <c r="AP339" i="48"/>
  <c r="AY339" i="48" s="1"/>
  <c r="BN339" i="48"/>
  <c r="AQ355" i="48"/>
  <c r="AP355" i="48"/>
  <c r="AY355" i="48" s="1"/>
  <c r="BN355" i="48"/>
  <c r="BO383" i="48"/>
  <c r="AQ383" i="48"/>
  <c r="AP383" i="48"/>
  <c r="AY383" i="48" s="1"/>
  <c r="BN383" i="48"/>
  <c r="AR394" i="48"/>
  <c r="BM394" i="48"/>
  <c r="AR398" i="48"/>
  <c r="BM398" i="48"/>
  <c r="AR402" i="48"/>
  <c r="BM402" i="48"/>
  <c r="AX459" i="48"/>
  <c r="BJ462" i="48"/>
  <c r="AQ399" i="48"/>
  <c r="AP399" i="48"/>
  <c r="AY399" i="48" s="1"/>
  <c r="BN399" i="48"/>
  <c r="BO417" i="48"/>
  <c r="AQ417" i="48"/>
  <c r="AP417" i="48"/>
  <c r="AY417" i="48" s="1"/>
  <c r="BN417" i="48"/>
  <c r="EA436" i="48"/>
  <c r="EO436" i="48" s="1"/>
  <c r="BN438" i="48"/>
  <c r="BK446" i="48"/>
  <c r="BI459" i="48"/>
  <c r="AX460" i="48"/>
  <c r="BJ466" i="48"/>
  <c r="AQ466" i="48"/>
  <c r="AP466" i="48"/>
  <c r="AY466" i="48" s="1"/>
  <c r="BN466" i="48"/>
  <c r="BO468" i="48"/>
  <c r="BO472" i="48"/>
  <c r="AR43" i="48"/>
  <c r="BN46" i="48"/>
  <c r="BM59" i="48"/>
  <c r="BN62" i="48"/>
  <c r="BN201" i="48"/>
  <c r="AR113" i="48"/>
  <c r="BN155" i="48"/>
  <c r="BH149" i="48"/>
  <c r="BN219" i="48"/>
  <c r="BM160" i="48"/>
  <c r="BM176" i="48"/>
  <c r="BI181" i="48"/>
  <c r="BN241" i="48"/>
  <c r="BN264" i="48"/>
  <c r="BN296" i="48"/>
  <c r="BN245" i="48"/>
  <c r="BN268" i="48"/>
  <c r="BN300" i="48"/>
  <c r="BH183" i="48"/>
  <c r="BH199" i="48"/>
  <c r="BI225" i="48"/>
  <c r="BI255" i="48"/>
  <c r="BH286" i="48"/>
  <c r="BH340" i="48"/>
  <c r="BI372" i="48"/>
  <c r="BI388" i="48"/>
  <c r="BH436" i="48"/>
  <c r="BH28" i="48"/>
  <c r="BI36" i="48"/>
  <c r="BN42" i="48"/>
  <c r="BH88" i="48"/>
  <c r="BI110" i="48"/>
  <c r="BN197" i="48"/>
  <c r="BN215" i="48"/>
  <c r="BM186" i="48"/>
  <c r="AR194" i="48"/>
  <c r="BM202" i="48"/>
  <c r="BH229" i="48"/>
  <c r="BM236" i="48"/>
  <c r="BH251" i="48"/>
  <c r="BM265" i="48"/>
  <c r="AR273" i="48"/>
  <c r="BI274" i="48"/>
  <c r="BM281" i="48"/>
  <c r="AR289" i="48"/>
  <c r="BM297" i="48"/>
  <c r="AR305" i="48"/>
  <c r="BM313" i="48"/>
  <c r="BM327" i="48"/>
  <c r="BI336" i="48"/>
  <c r="BM343" i="48"/>
  <c r="AR351" i="48"/>
  <c r="BM359" i="48"/>
  <c r="BH380" i="48"/>
  <c r="BI404" i="48"/>
  <c r="BI436" i="48"/>
  <c r="BO458" i="48"/>
  <c r="FI27" i="47"/>
  <c r="FO27" i="47"/>
  <c r="AS54" i="47"/>
  <c r="BB54" i="47" s="1"/>
  <c r="AS94" i="47"/>
  <c r="BB94" i="47" s="1"/>
  <c r="BA94" i="47" s="1"/>
  <c r="CB44" i="47"/>
  <c r="CD44" i="47" s="1"/>
  <c r="AS119" i="47"/>
  <c r="BB119" i="47" s="1"/>
  <c r="BA119" i="47" s="1"/>
  <c r="AT163" i="47"/>
  <c r="AT44" i="47"/>
  <c r="BR179" i="47"/>
  <c r="BT179" i="47" s="1"/>
  <c r="AS198" i="47"/>
  <c r="BB198" i="47" s="1"/>
  <c r="CB198" i="47" s="1"/>
  <c r="CD198" i="47" s="1"/>
  <c r="AS158" i="47"/>
  <c r="BB158" i="47" s="1"/>
  <c r="BA158" i="47" s="1"/>
  <c r="V158" i="47" s="1"/>
  <c r="AS192" i="47"/>
  <c r="BB192" i="47" s="1"/>
  <c r="CB192" i="47" s="1"/>
  <c r="CC192" i="47" s="1"/>
  <c r="CF192" i="47" s="1"/>
  <c r="AU188" i="47"/>
  <c r="AS188" i="47"/>
  <c r="BB188" i="47" s="1"/>
  <c r="BA188" i="47" s="1"/>
  <c r="BP211" i="47"/>
  <c r="AS144" i="47"/>
  <c r="BB144" i="47" s="1"/>
  <c r="BA144" i="47" s="1"/>
  <c r="CM144" i="47" s="1"/>
  <c r="AS156" i="47"/>
  <c r="BB156" i="47" s="1"/>
  <c r="BA156" i="47" s="1"/>
  <c r="CM156" i="47" s="1"/>
  <c r="BM191" i="47"/>
  <c r="AS115" i="47"/>
  <c r="BB115" i="47" s="1"/>
  <c r="BA115" i="47" s="1"/>
  <c r="V115" i="47" s="1"/>
  <c r="AS138" i="47"/>
  <c r="BB138" i="47" s="1"/>
  <c r="AS187" i="47"/>
  <c r="BB187" i="47" s="1"/>
  <c r="AT113" i="47"/>
  <c r="FI76" i="47"/>
  <c r="FO76" i="47"/>
  <c r="FO209" i="47"/>
  <c r="FI209" i="47"/>
  <c r="AS3" i="47"/>
  <c r="BB3" i="47" s="1"/>
  <c r="BA3" i="47" s="1"/>
  <c r="V3" i="47" s="1"/>
  <c r="AS7" i="47"/>
  <c r="BB7" i="47" s="1"/>
  <c r="CB7" i="47" s="1"/>
  <c r="CC7" i="47" s="1"/>
  <c r="CF7" i="47" s="1"/>
  <c r="AS124" i="47"/>
  <c r="BB124" i="47" s="1"/>
  <c r="BA124" i="47" s="1"/>
  <c r="V124" i="47" s="1"/>
  <c r="AS128" i="47"/>
  <c r="BB128" i="47" s="1"/>
  <c r="CB128" i="47" s="1"/>
  <c r="CB171" i="47"/>
  <c r="CD171" i="47" s="1"/>
  <c r="BT175" i="47"/>
  <c r="FI95" i="47"/>
  <c r="FI48" i="47"/>
  <c r="BR61" i="47"/>
  <c r="BU61" i="47" s="1"/>
  <c r="CD207" i="47"/>
  <c r="AU171" i="47"/>
  <c r="AT109" i="47"/>
  <c r="AS27" i="47"/>
  <c r="BB27" i="47" s="1"/>
  <c r="BQ196" i="47"/>
  <c r="BR196" i="47" s="1"/>
  <c r="BM196" i="47"/>
  <c r="AS91" i="47"/>
  <c r="BB91" i="47" s="1"/>
  <c r="BA91" i="47" s="1"/>
  <c r="CM91" i="47" s="1"/>
  <c r="AS101" i="47"/>
  <c r="BB101" i="47" s="1"/>
  <c r="BA101" i="47" s="1"/>
  <c r="CM101" i="47" s="1"/>
  <c r="AT59" i="47"/>
  <c r="AT197" i="47"/>
  <c r="AS95" i="47"/>
  <c r="BB95" i="47" s="1"/>
  <c r="AT99" i="47"/>
  <c r="AS99" i="47"/>
  <c r="BB99" i="47" s="1"/>
  <c r="BA99" i="47" s="1"/>
  <c r="BK99" i="47" s="1"/>
  <c r="AS177" i="47"/>
  <c r="BB177" i="47" s="1"/>
  <c r="CB177" i="47" s="1"/>
  <c r="CD177" i="47" s="1"/>
  <c r="AS173" i="47"/>
  <c r="BB173" i="47" s="1"/>
  <c r="BU176" i="47"/>
  <c r="BV176" i="47" s="1"/>
  <c r="BX176" i="47" s="1"/>
  <c r="BY176" i="47" s="1"/>
  <c r="BT176" i="47"/>
  <c r="AT133" i="47"/>
  <c r="AS133" i="47"/>
  <c r="BB133" i="47" s="1"/>
  <c r="BA133" i="47" s="1"/>
  <c r="AS211" i="47"/>
  <c r="BB211" i="47" s="1"/>
  <c r="BA211" i="47" s="1"/>
  <c r="U211" i="47" s="1"/>
  <c r="CD144" i="47"/>
  <c r="AT211" i="47"/>
  <c r="BM188" i="47"/>
  <c r="BR188" i="47"/>
  <c r="BW105" i="47"/>
  <c r="AS105" i="47"/>
  <c r="BB105" i="47" s="1"/>
  <c r="BA105" i="47" s="1"/>
  <c r="BR30" i="47"/>
  <c r="BR62" i="47"/>
  <c r="BU62" i="47" s="1"/>
  <c r="BR195" i="47"/>
  <c r="BT195" i="47" s="1"/>
  <c r="AS150" i="47"/>
  <c r="BB150" i="47" s="1"/>
  <c r="AS178" i="47"/>
  <c r="BB178" i="47" s="1"/>
  <c r="BN188" i="47"/>
  <c r="AS13" i="47"/>
  <c r="BB13" i="47" s="1"/>
  <c r="CB13" i="47" s="1"/>
  <c r="AS69" i="47"/>
  <c r="BB69" i="47" s="1"/>
  <c r="AS203" i="47"/>
  <c r="BB203" i="47" s="1"/>
  <c r="BA203" i="47" s="1"/>
  <c r="CM203" i="47" s="1"/>
  <c r="AS140" i="47"/>
  <c r="BB140" i="47" s="1"/>
  <c r="CB140" i="47" s="1"/>
  <c r="AS167" i="47"/>
  <c r="BB167" i="47" s="1"/>
  <c r="AS36" i="47"/>
  <c r="BB36" i="47" s="1"/>
  <c r="CB36" i="47" s="1"/>
  <c r="CD36" i="47" s="1"/>
  <c r="AS38" i="47"/>
  <c r="BB38" i="47" s="1"/>
  <c r="AS165" i="47"/>
  <c r="BB165" i="47" s="1"/>
  <c r="BA165" i="47" s="1"/>
  <c r="CL165" i="47" s="1"/>
  <c r="AS76" i="47"/>
  <c r="BB76" i="47" s="1"/>
  <c r="BA76" i="47" s="1"/>
  <c r="CK76" i="47" s="1"/>
  <c r="BR198" i="47"/>
  <c r="BT198" i="47" s="1"/>
  <c r="AT173" i="47"/>
  <c r="BM184" i="47"/>
  <c r="BR191" i="47"/>
  <c r="BT191" i="47" s="1"/>
  <c r="AS58" i="50"/>
  <c r="BB58" i="50" s="1"/>
  <c r="BM6" i="50"/>
  <c r="AS13" i="50"/>
  <c r="BB13" i="50" s="1"/>
  <c r="BA13" i="50" s="1"/>
  <c r="V13" i="50" s="1"/>
  <c r="AU13" i="50"/>
  <c r="AT67" i="50"/>
  <c r="BP75" i="50"/>
  <c r="AU75" i="50"/>
  <c r="BP78" i="50"/>
  <c r="AU78" i="50"/>
  <c r="BP82" i="50"/>
  <c r="AU82" i="50"/>
  <c r="AS39" i="50"/>
  <c r="BB39" i="50" s="1"/>
  <c r="BA39" i="50" s="1"/>
  <c r="V39" i="50" s="1"/>
  <c r="AU39" i="50"/>
  <c r="AS44" i="50"/>
  <c r="BB44" i="50" s="1"/>
  <c r="BA44" i="50" s="1"/>
  <c r="V44" i="50" s="1"/>
  <c r="AU44" i="50"/>
  <c r="AS83" i="50"/>
  <c r="BB83" i="50" s="1"/>
  <c r="BA83" i="50" s="1"/>
  <c r="V83" i="50" s="1"/>
  <c r="AS33" i="50"/>
  <c r="BB33" i="50" s="1"/>
  <c r="BA33" i="50" s="1"/>
  <c r="V33" i="50" s="1"/>
  <c r="AU33" i="50"/>
  <c r="EZ35" i="50"/>
  <c r="FB35" i="50"/>
  <c r="EV35" i="50"/>
  <c r="FE70" i="50"/>
  <c r="FD26" i="50"/>
  <c r="FA26" i="50"/>
  <c r="AU25" i="50"/>
  <c r="AU61" i="50"/>
  <c r="AT62" i="50"/>
  <c r="AS90" i="50"/>
  <c r="BB90" i="50" s="1"/>
  <c r="AU81" i="50"/>
  <c r="AS37" i="50"/>
  <c r="BB37" i="50" s="1"/>
  <c r="BN107" i="50"/>
  <c r="BP58" i="50"/>
  <c r="BP9" i="50"/>
  <c r="AS23" i="50"/>
  <c r="BB23" i="50" s="1"/>
  <c r="BA23" i="50" s="1"/>
  <c r="AU56" i="50"/>
  <c r="BP57" i="50"/>
  <c r="AU65" i="50"/>
  <c r="BP39" i="50"/>
  <c r="FJ72" i="50" s="1"/>
  <c r="FH103" i="50"/>
  <c r="FD27" i="50"/>
  <c r="FB27" i="50"/>
  <c r="FJ103" i="50"/>
  <c r="EV27" i="50"/>
  <c r="FA27" i="50"/>
  <c r="FE103" i="50"/>
  <c r="AT84" i="50"/>
  <c r="AU102" i="50"/>
  <c r="AU109" i="50"/>
  <c r="BP110" i="50"/>
  <c r="AU93" i="50"/>
  <c r="AU105" i="50"/>
  <c r="AU106" i="50"/>
  <c r="BP33" i="50"/>
  <c r="BP19" i="50"/>
  <c r="FD35" i="50"/>
  <c r="EW35" i="50"/>
  <c r="FF70" i="50"/>
  <c r="ER35" i="50"/>
  <c r="EX35" i="50"/>
  <c r="FC35" i="50"/>
  <c r="AU88" i="50"/>
  <c r="AS47" i="50"/>
  <c r="BB47" i="50" s="1"/>
  <c r="AS26" i="50"/>
  <c r="BB26" i="50" s="1"/>
  <c r="BA26" i="50" s="1"/>
  <c r="V26" i="50" s="1"/>
  <c r="EW26" i="50"/>
  <c r="ER26" i="50"/>
  <c r="EX26" i="50"/>
  <c r="FC26" i="50"/>
  <c r="BP12" i="50"/>
  <c r="BN42" i="50"/>
  <c r="AT54" i="50"/>
  <c r="AT70" i="50"/>
  <c r="BP13" i="50"/>
  <c r="BN98" i="50"/>
  <c r="BN13" i="50"/>
  <c r="BN54" i="50"/>
  <c r="BM70" i="50"/>
  <c r="BP7" i="50"/>
  <c r="AU7" i="50"/>
  <c r="BP8" i="50"/>
  <c r="AS15" i="50"/>
  <c r="BB15" i="50" s="1"/>
  <c r="BA15" i="50" s="1"/>
  <c r="AU16" i="50"/>
  <c r="AU17" i="50"/>
  <c r="AS38" i="50"/>
  <c r="BB38" i="50" s="1"/>
  <c r="BA38" i="50" s="1"/>
  <c r="AU38" i="50"/>
  <c r="AS40" i="50"/>
  <c r="BB40" i="50" s="1"/>
  <c r="BA40" i="50" s="1"/>
  <c r="V40" i="50" s="1"/>
  <c r="AU40" i="50"/>
  <c r="AS49" i="50"/>
  <c r="BB49" i="50" s="1"/>
  <c r="BA49" i="50" s="1"/>
  <c r="AU49" i="50"/>
  <c r="BP52" i="50"/>
  <c r="AU53" i="50"/>
  <c r="AU68" i="50"/>
  <c r="AU69" i="50"/>
  <c r="BP73" i="50"/>
  <c r="AU73" i="50"/>
  <c r="BP76" i="50"/>
  <c r="AU76" i="50"/>
  <c r="BP80" i="50"/>
  <c r="FE80" i="50" s="1"/>
  <c r="AU80" i="50"/>
  <c r="AS84" i="50"/>
  <c r="BB84" i="50" s="1"/>
  <c r="BA84" i="50" s="1"/>
  <c r="AS101" i="50"/>
  <c r="BB101" i="50" s="1"/>
  <c r="BA101" i="50" s="1"/>
  <c r="V101" i="50" s="1"/>
  <c r="BP109" i="50"/>
  <c r="AS109" i="50"/>
  <c r="BB109" i="50" s="1"/>
  <c r="AS92" i="50"/>
  <c r="BB92" i="50" s="1"/>
  <c r="BA92" i="50" s="1"/>
  <c r="V92" i="50" s="1"/>
  <c r="AT37" i="50"/>
  <c r="AS70" i="50"/>
  <c r="BB70" i="50" s="1"/>
  <c r="BM18" i="50"/>
  <c r="BM98" i="50"/>
  <c r="AS107" i="50"/>
  <c r="BB107" i="50" s="1"/>
  <c r="AU42" i="50"/>
  <c r="BM21" i="50"/>
  <c r="BP56" i="50"/>
  <c r="AS64" i="50"/>
  <c r="BB64" i="50" s="1"/>
  <c r="BA64" i="50" s="1"/>
  <c r="AS7" i="50"/>
  <c r="BB7" i="50" s="1"/>
  <c r="BA7" i="50" s="1"/>
  <c r="BP84" i="50"/>
  <c r="AU84" i="50"/>
  <c r="BP85" i="50"/>
  <c r="FG30" i="50" s="1"/>
  <c r="BP97" i="50"/>
  <c r="BP50" i="50"/>
  <c r="BP2" i="50"/>
  <c r="AU19" i="50"/>
  <c r="AU23" i="50"/>
  <c r="BP24" i="50"/>
  <c r="FG100" i="50" s="1"/>
  <c r="AU3" i="50"/>
  <c r="BP20" i="50"/>
  <c r="BP34" i="50"/>
  <c r="BM58" i="50"/>
  <c r="BM66" i="50"/>
  <c r="BM9" i="50"/>
  <c r="BM86" i="50"/>
  <c r="BP37" i="50"/>
  <c r="AS54" i="50"/>
  <c r="BB54" i="50" s="1"/>
  <c r="BM103" i="50"/>
  <c r="BM94" i="50"/>
  <c r="BM46" i="50"/>
  <c r="BM51" i="50"/>
  <c r="BM4" i="50"/>
  <c r="BN21" i="50"/>
  <c r="BA109" i="50"/>
  <c r="AT65" i="50"/>
  <c r="AS65" i="50"/>
  <c r="BB65" i="50" s="1"/>
  <c r="AT16" i="50"/>
  <c r="AS16" i="50"/>
  <c r="BB16" i="50" s="1"/>
  <c r="AT17" i="50"/>
  <c r="AS17" i="50"/>
  <c r="BB17" i="50" s="1"/>
  <c r="BA87" i="50"/>
  <c r="V87" i="50" s="1"/>
  <c r="BA27" i="50"/>
  <c r="V27" i="50" s="1"/>
  <c r="BA58" i="50"/>
  <c r="V58" i="50" s="1"/>
  <c r="BA9" i="50"/>
  <c r="V9" i="50" s="1"/>
  <c r="AS96" i="50"/>
  <c r="BB96" i="50" s="1"/>
  <c r="AT96" i="50"/>
  <c r="FD96" i="50"/>
  <c r="FB96" i="50"/>
  <c r="EZ96" i="50"/>
  <c r="EW96" i="50"/>
  <c r="FC96" i="50"/>
  <c r="EX96" i="50"/>
  <c r="FA96" i="50"/>
  <c r="EV96" i="50"/>
  <c r="ER96" i="50"/>
  <c r="AS68" i="50"/>
  <c r="BB68" i="50" s="1"/>
  <c r="AT68" i="50"/>
  <c r="AT69" i="50"/>
  <c r="AS69" i="50"/>
  <c r="BB69" i="50" s="1"/>
  <c r="BN3" i="50"/>
  <c r="AS105" i="50"/>
  <c r="BB105" i="50" s="1"/>
  <c r="AT105" i="50"/>
  <c r="AT106" i="50"/>
  <c r="AS106" i="50"/>
  <c r="BB106" i="50" s="1"/>
  <c r="BT42" i="50"/>
  <c r="U42" i="50"/>
  <c r="BR42" i="50"/>
  <c r="BL42" i="50"/>
  <c r="BS42" i="50"/>
  <c r="V42" i="50"/>
  <c r="BA5" i="50"/>
  <c r="V5" i="50" s="1"/>
  <c r="BN38" i="50"/>
  <c r="BN40" i="50"/>
  <c r="BN49" i="50"/>
  <c r="AS88" i="50"/>
  <c r="BB88" i="50" s="1"/>
  <c r="AT88" i="50"/>
  <c r="AT89" i="50"/>
  <c r="AS89" i="50"/>
  <c r="BB89" i="50" s="1"/>
  <c r="AT45" i="50"/>
  <c r="AS45" i="50"/>
  <c r="BB45" i="50" s="1"/>
  <c r="BN19" i="50"/>
  <c r="AT25" i="50"/>
  <c r="AS25" i="50"/>
  <c r="BB25" i="50" s="1"/>
  <c r="AS30" i="50"/>
  <c r="BB30" i="50" s="1"/>
  <c r="BA67" i="50"/>
  <c r="V67" i="50" s="1"/>
  <c r="BA10" i="50"/>
  <c r="V10" i="50" s="1"/>
  <c r="AS56" i="50"/>
  <c r="BB56" i="50" s="1"/>
  <c r="FJ20" i="50"/>
  <c r="FF20" i="50"/>
  <c r="FG20" i="50"/>
  <c r="FC75" i="50"/>
  <c r="FI33" i="50"/>
  <c r="FG33" i="50"/>
  <c r="FE33" i="50"/>
  <c r="FC99" i="50"/>
  <c r="FA99" i="50"/>
  <c r="EX99" i="50"/>
  <c r="EV99" i="50"/>
  <c r="ER99" i="50"/>
  <c r="FJ33" i="50"/>
  <c r="FF33" i="50"/>
  <c r="FB99" i="50"/>
  <c r="EW99" i="50"/>
  <c r="FH33" i="50"/>
  <c r="FD99" i="50"/>
  <c r="EZ99" i="50"/>
  <c r="BM20" i="50"/>
  <c r="BA63" i="50"/>
  <c r="V63" i="50" s="1"/>
  <c r="BA14" i="50"/>
  <c r="V14" i="50" s="1"/>
  <c r="BA72" i="50"/>
  <c r="V72" i="50" s="1"/>
  <c r="BA79" i="50"/>
  <c r="V79" i="50" s="1"/>
  <c r="FA52" i="50"/>
  <c r="AT53" i="50"/>
  <c r="AS53" i="50"/>
  <c r="BB53" i="50" s="1"/>
  <c r="FF30" i="50"/>
  <c r="AT102" i="50"/>
  <c r="AS102" i="50"/>
  <c r="BB102" i="50" s="1"/>
  <c r="AT93" i="50"/>
  <c r="AS93" i="50"/>
  <c r="BB93" i="50" s="1"/>
  <c r="FI80" i="50"/>
  <c r="FG80" i="50"/>
  <c r="FC47" i="50"/>
  <c r="FA47" i="50"/>
  <c r="EX47" i="50"/>
  <c r="EV47" i="50"/>
  <c r="ER47" i="50"/>
  <c r="FJ80" i="50"/>
  <c r="FF80" i="50"/>
  <c r="FB47" i="50"/>
  <c r="EW47" i="50"/>
  <c r="FH80" i="50"/>
  <c r="EZ47" i="50"/>
  <c r="FD47" i="50"/>
  <c r="BA48" i="50"/>
  <c r="V48" i="50" s="1"/>
  <c r="AT41" i="50"/>
  <c r="AS41" i="50"/>
  <c r="BB41" i="50" s="1"/>
  <c r="AU41" i="50"/>
  <c r="BK42" i="50"/>
  <c r="AS19" i="50"/>
  <c r="BB19" i="50" s="1"/>
  <c r="AT3" i="50"/>
  <c r="AS3" i="50"/>
  <c r="BB3" i="50" s="1"/>
  <c r="BN30" i="50"/>
  <c r="BA29" i="50"/>
  <c r="V29" i="50" s="1"/>
  <c r="BA46" i="50"/>
  <c r="V46" i="50" s="1"/>
  <c r="BM24" i="50"/>
  <c r="FI104" i="50"/>
  <c r="FG104" i="50"/>
  <c r="FE104" i="50"/>
  <c r="FC28" i="50"/>
  <c r="FA28" i="50"/>
  <c r="EX28" i="50"/>
  <c r="EV28" i="50"/>
  <c r="ER28" i="50"/>
  <c r="FJ104" i="50"/>
  <c r="FF104" i="50"/>
  <c r="FB28" i="50"/>
  <c r="EW28" i="50"/>
  <c r="FD28" i="50"/>
  <c r="FH104" i="50"/>
  <c r="EZ28" i="50"/>
  <c r="BA32" i="50"/>
  <c r="V32" i="50" s="1"/>
  <c r="AT61" i="50"/>
  <c r="AS61" i="50"/>
  <c r="BB61" i="50" s="1"/>
  <c r="BA74" i="50"/>
  <c r="V74" i="50" s="1"/>
  <c r="BA77" i="50"/>
  <c r="V77" i="50" s="1"/>
  <c r="BA81" i="50"/>
  <c r="V81" i="50" s="1"/>
  <c r="AU57" i="50"/>
  <c r="AT57" i="50"/>
  <c r="AS57" i="50"/>
  <c r="BB57" i="50" s="1"/>
  <c r="BP64" i="50"/>
  <c r="AU64" i="50"/>
  <c r="BP65" i="50"/>
  <c r="AU8" i="50"/>
  <c r="AT8" i="50"/>
  <c r="AS8" i="50"/>
  <c r="BB8" i="50" s="1"/>
  <c r="BP15" i="50"/>
  <c r="AU15" i="50"/>
  <c r="BP16" i="50"/>
  <c r="BP17" i="50"/>
  <c r="AS75" i="50"/>
  <c r="BB75" i="50" s="1"/>
  <c r="AT75" i="50"/>
  <c r="AS78" i="50"/>
  <c r="BB78" i="50" s="1"/>
  <c r="AT78" i="50"/>
  <c r="AS82" i="50"/>
  <c r="BB82" i="50" s="1"/>
  <c r="AT82" i="50"/>
  <c r="BA95" i="50"/>
  <c r="V95" i="50" s="1"/>
  <c r="BA35" i="50"/>
  <c r="V35" i="50" s="1"/>
  <c r="BA36" i="50"/>
  <c r="V36" i="50" s="1"/>
  <c r="FH71" i="50"/>
  <c r="FD38" i="50"/>
  <c r="EZ38" i="50"/>
  <c r="FG71" i="50"/>
  <c r="EX38" i="50"/>
  <c r="EV38" i="50"/>
  <c r="FI71" i="50"/>
  <c r="FD39" i="50"/>
  <c r="EV39" i="50"/>
  <c r="BN20" i="50"/>
  <c r="BA22" i="50"/>
  <c r="V22" i="50" s="1"/>
  <c r="BA55" i="50"/>
  <c r="V55" i="50" s="1"/>
  <c r="BA6" i="50"/>
  <c r="V6" i="50" s="1"/>
  <c r="BA66" i="50"/>
  <c r="V66" i="50" s="1"/>
  <c r="BA18" i="50"/>
  <c r="V18" i="50" s="1"/>
  <c r="AS71" i="50"/>
  <c r="BB71" i="50" s="1"/>
  <c r="AT71" i="50"/>
  <c r="AU71" i="50"/>
  <c r="AT52" i="50"/>
  <c r="AS52" i="50"/>
  <c r="BB52" i="50" s="1"/>
  <c r="BP53" i="50"/>
  <c r="BP69" i="50"/>
  <c r="AS73" i="50"/>
  <c r="BB73" i="50" s="1"/>
  <c r="AT73" i="50"/>
  <c r="AS76" i="50"/>
  <c r="BB76" i="50" s="1"/>
  <c r="AT76" i="50"/>
  <c r="AS80" i="50"/>
  <c r="BB80" i="50" s="1"/>
  <c r="AT80" i="50"/>
  <c r="BA100" i="50"/>
  <c r="V100" i="50" s="1"/>
  <c r="BA103" i="50"/>
  <c r="V103" i="50" s="1"/>
  <c r="BA86" i="50"/>
  <c r="V86" i="50" s="1"/>
  <c r="BA94" i="50"/>
  <c r="V94" i="50" s="1"/>
  <c r="BM25" i="50"/>
  <c r="AU85" i="50"/>
  <c r="AT85" i="50"/>
  <c r="AS85" i="50"/>
  <c r="BB85" i="50" s="1"/>
  <c r="AU97" i="50"/>
  <c r="AT97" i="50"/>
  <c r="AS97" i="50"/>
  <c r="BB97" i="50" s="1"/>
  <c r="BP101" i="50"/>
  <c r="AU101" i="50"/>
  <c r="BP102" i="50"/>
  <c r="FJ102" i="50" s="1"/>
  <c r="AU110" i="50"/>
  <c r="AT110" i="50"/>
  <c r="AS110" i="50"/>
  <c r="BB110" i="50" s="1"/>
  <c r="BP92" i="50"/>
  <c r="AU92" i="50"/>
  <c r="BP93" i="50"/>
  <c r="BM3" i="50"/>
  <c r="BA108" i="50"/>
  <c r="V108" i="50" s="1"/>
  <c r="BA91" i="50"/>
  <c r="V91" i="50" s="1"/>
  <c r="BP106" i="50"/>
  <c r="AU24" i="50"/>
  <c r="BP41" i="50"/>
  <c r="AT50" i="50"/>
  <c r="AS50" i="50"/>
  <c r="BB50" i="50" s="1"/>
  <c r="AT2" i="50"/>
  <c r="AS2" i="50"/>
  <c r="BB2" i="50" s="1"/>
  <c r="BA28" i="50"/>
  <c r="V28" i="50" s="1"/>
  <c r="BP3" i="50"/>
  <c r="AT24" i="50"/>
  <c r="AS24" i="50"/>
  <c r="BB24" i="50" s="1"/>
  <c r="AS60" i="50"/>
  <c r="BB60" i="50" s="1"/>
  <c r="AT60" i="50"/>
  <c r="BP60" i="50"/>
  <c r="AU60" i="50"/>
  <c r="AS11" i="50"/>
  <c r="BB11" i="50" s="1"/>
  <c r="AT11" i="50"/>
  <c r="BP11" i="50"/>
  <c r="AU11" i="50"/>
  <c r="BA98" i="50"/>
  <c r="V98" i="50" s="1"/>
  <c r="BN39" i="50"/>
  <c r="BN44" i="50"/>
  <c r="BP89" i="50"/>
  <c r="BA47" i="50"/>
  <c r="V47" i="50" s="1"/>
  <c r="BA51" i="50"/>
  <c r="V51" i="50" s="1"/>
  <c r="BA4" i="50"/>
  <c r="V4" i="50" s="1"/>
  <c r="BA21" i="50"/>
  <c r="V21" i="50" s="1"/>
  <c r="BN24" i="50"/>
  <c r="BN33" i="50"/>
  <c r="BP45" i="50"/>
  <c r="BN23" i="50"/>
  <c r="AT20" i="50"/>
  <c r="AS20" i="50"/>
  <c r="BB20" i="50" s="1"/>
  <c r="BP25" i="50"/>
  <c r="AU30" i="50"/>
  <c r="BA31" i="50"/>
  <c r="V31" i="50" s="1"/>
  <c r="AT34" i="50"/>
  <c r="AS34" i="50"/>
  <c r="BB34" i="50" s="1"/>
  <c r="BA62" i="50"/>
  <c r="V62" i="50" s="1"/>
  <c r="BP61" i="50"/>
  <c r="AU12" i="50"/>
  <c r="AT12" i="50"/>
  <c r="AS12" i="50"/>
  <c r="BB12" i="50" s="1"/>
  <c r="BL21" i="50"/>
  <c r="BM8" i="49"/>
  <c r="AT54" i="49"/>
  <c r="BA54" i="49" s="1"/>
  <c r="AZ54" i="49" s="1"/>
  <c r="AT31" i="49"/>
  <c r="BA31" i="49" s="1"/>
  <c r="AZ31" i="49" s="1"/>
  <c r="V31" i="49" s="1"/>
  <c r="AT57" i="49"/>
  <c r="BA57" i="49" s="1"/>
  <c r="AZ57" i="49" s="1"/>
  <c r="V57" i="49" s="1"/>
  <c r="BM59" i="49"/>
  <c r="AT59" i="49"/>
  <c r="BA59" i="49" s="1"/>
  <c r="AZ59" i="49" s="1"/>
  <c r="V59" i="49" s="1"/>
  <c r="AT23" i="49"/>
  <c r="BA23" i="49" s="1"/>
  <c r="AZ23" i="49" s="1"/>
  <c r="V23" i="49" s="1"/>
  <c r="AT53" i="49"/>
  <c r="BA53" i="49" s="1"/>
  <c r="AZ53" i="49" s="1"/>
  <c r="V53" i="49" s="1"/>
  <c r="BM10" i="49"/>
  <c r="BK39" i="49"/>
  <c r="AT41" i="49"/>
  <c r="BA41" i="49" s="1"/>
  <c r="AT43" i="49"/>
  <c r="BA43" i="49" s="1"/>
  <c r="AZ43" i="49" s="1"/>
  <c r="V43" i="49" s="1"/>
  <c r="AT9" i="49"/>
  <c r="BA9" i="49" s="1"/>
  <c r="AZ9" i="49" s="1"/>
  <c r="V9" i="49" s="1"/>
  <c r="AT47" i="49"/>
  <c r="BA47" i="49" s="1"/>
  <c r="AZ47" i="49" s="1"/>
  <c r="V47" i="49" s="1"/>
  <c r="AT45" i="49"/>
  <c r="BA45" i="49" s="1"/>
  <c r="AZ45" i="49" s="1"/>
  <c r="V45" i="49" s="1"/>
  <c r="BM23" i="49"/>
  <c r="AS2" i="47"/>
  <c r="BB2" i="47" s="1"/>
  <c r="AS123" i="47"/>
  <c r="BB123" i="47" s="1"/>
  <c r="CB123" i="47" s="1"/>
  <c r="AS4" i="47"/>
  <c r="BB4" i="47" s="1"/>
  <c r="CB4" i="47" s="1"/>
  <c r="AS8" i="47"/>
  <c r="BB8" i="47" s="1"/>
  <c r="CB8" i="47" s="1"/>
  <c r="CD8" i="47" s="1"/>
  <c r="AS125" i="47"/>
  <c r="BB125" i="47" s="1"/>
  <c r="CB125" i="47" s="1"/>
  <c r="AS129" i="47"/>
  <c r="BB129" i="47" s="1"/>
  <c r="BA129" i="47" s="1"/>
  <c r="V129" i="47" s="1"/>
  <c r="BN149" i="47"/>
  <c r="BN151" i="47"/>
  <c r="BN153" i="47"/>
  <c r="BN155" i="47"/>
  <c r="BN157" i="47"/>
  <c r="BN71" i="47"/>
  <c r="BN73" i="47"/>
  <c r="BN75" i="47"/>
  <c r="AS47" i="47"/>
  <c r="BB47" i="47" s="1"/>
  <c r="CB47" i="47" s="1"/>
  <c r="AS59" i="47"/>
  <c r="BB59" i="47" s="1"/>
  <c r="CB59" i="47" s="1"/>
  <c r="CD59" i="47" s="1"/>
  <c r="AS61" i="47"/>
  <c r="BB61" i="47" s="1"/>
  <c r="CB61" i="47" s="1"/>
  <c r="CD61" i="47" s="1"/>
  <c r="BR197" i="47"/>
  <c r="BT197" i="47" s="1"/>
  <c r="AS197" i="47"/>
  <c r="BB197" i="47" s="1"/>
  <c r="BA197" i="47" s="1"/>
  <c r="BP149" i="47"/>
  <c r="FI149" i="47" s="1"/>
  <c r="BP73" i="47"/>
  <c r="FI73" i="47" s="1"/>
  <c r="CB107" i="47"/>
  <c r="CD107" i="47" s="1"/>
  <c r="CB25" i="47"/>
  <c r="CD25" i="47" s="1"/>
  <c r="BR46" i="47"/>
  <c r="BT46" i="47" s="1"/>
  <c r="BR184" i="47"/>
  <c r="BU184" i="47" s="1"/>
  <c r="BV184" i="47" s="1"/>
  <c r="BX184" i="47" s="1"/>
  <c r="BY184" i="47" s="1"/>
  <c r="AS189" i="47"/>
  <c r="BB189" i="47" s="1"/>
  <c r="BA189" i="47" s="1"/>
  <c r="AS196" i="47"/>
  <c r="BB196" i="47" s="1"/>
  <c r="CB196" i="47" s="1"/>
  <c r="BM50" i="47"/>
  <c r="BM55" i="47"/>
  <c r="BM60" i="47"/>
  <c r="AU35" i="47"/>
  <c r="BM198" i="47"/>
  <c r="AT74" i="47"/>
  <c r="AS74" i="47"/>
  <c r="BB74" i="47" s="1"/>
  <c r="BA74" i="47" s="1"/>
  <c r="BK74" i="47" s="1"/>
  <c r="BN172" i="47"/>
  <c r="AT150" i="47"/>
  <c r="AS32" i="47"/>
  <c r="BB32" i="47" s="1"/>
  <c r="AS40" i="47"/>
  <c r="BB40" i="47" s="1"/>
  <c r="BA40" i="47" s="1"/>
  <c r="CK40" i="47" s="1"/>
  <c r="BP152" i="47"/>
  <c r="AS152" i="47"/>
  <c r="BB152" i="47" s="1"/>
  <c r="BA152" i="47" s="1"/>
  <c r="V152" i="47" s="1"/>
  <c r="AS21" i="47"/>
  <c r="BB21" i="47" s="1"/>
  <c r="CB21" i="47" s="1"/>
  <c r="CD21" i="47" s="1"/>
  <c r="AT21" i="47"/>
  <c r="AT144" i="47"/>
  <c r="AT165" i="47"/>
  <c r="AS6" i="47"/>
  <c r="BB6" i="47" s="1"/>
  <c r="CD6" i="47" s="1"/>
  <c r="AS127" i="47"/>
  <c r="BB127" i="47" s="1"/>
  <c r="CB127" i="47" s="1"/>
  <c r="AS52" i="47"/>
  <c r="BB52" i="47" s="1"/>
  <c r="BA52" i="47" s="1"/>
  <c r="CB150" i="47"/>
  <c r="CD150" i="47" s="1"/>
  <c r="AS193" i="47"/>
  <c r="BB193" i="47" s="1"/>
  <c r="CB193" i="47" s="1"/>
  <c r="CD193" i="47" s="1"/>
  <c r="AS199" i="47"/>
  <c r="BB199" i="47" s="1"/>
  <c r="BA199" i="47" s="1"/>
  <c r="BP96" i="47"/>
  <c r="FO96" i="47" s="1"/>
  <c r="AT34" i="47"/>
  <c r="AS34" i="47"/>
  <c r="BB34" i="47" s="1"/>
  <c r="BA34" i="47" s="1"/>
  <c r="BK34" i="47" s="1"/>
  <c r="AS161" i="47"/>
  <c r="BB161" i="47" s="1"/>
  <c r="BA161" i="47" s="1"/>
  <c r="U161" i="47" s="1"/>
  <c r="BP161" i="47"/>
  <c r="FI161" i="47" s="1"/>
  <c r="BM172" i="47"/>
  <c r="BQ172" i="47"/>
  <c r="BR172" i="47" s="1"/>
  <c r="AT38" i="47"/>
  <c r="AS87" i="47"/>
  <c r="BB87" i="47" s="1"/>
  <c r="BA87" i="47" s="1"/>
  <c r="AS109" i="47"/>
  <c r="BB109" i="47" s="1"/>
  <c r="BA109" i="47" s="1"/>
  <c r="BK109" i="47" s="1"/>
  <c r="BP173" i="47"/>
  <c r="BT117" i="47"/>
  <c r="BU117" i="47"/>
  <c r="BV117" i="47" s="1"/>
  <c r="U89" i="47"/>
  <c r="CM89" i="47"/>
  <c r="CB189" i="47"/>
  <c r="BU192" i="47"/>
  <c r="BT192" i="47"/>
  <c r="FO127" i="47"/>
  <c r="FI127" i="47"/>
  <c r="FO6" i="47"/>
  <c r="FO126" i="47"/>
  <c r="FO129" i="47"/>
  <c r="FI129" i="47"/>
  <c r="AU2" i="47"/>
  <c r="AU6" i="47"/>
  <c r="AU123" i="47"/>
  <c r="AU127" i="47"/>
  <c r="BQ149" i="47"/>
  <c r="BR149" i="47" s="1"/>
  <c r="BT149" i="47" s="1"/>
  <c r="BM149" i="47"/>
  <c r="BQ153" i="47"/>
  <c r="BR153" i="47" s="1"/>
  <c r="BM153" i="47"/>
  <c r="BQ157" i="47"/>
  <c r="BR157" i="47" s="1"/>
  <c r="BM157" i="47"/>
  <c r="BQ73" i="47"/>
  <c r="BR73" i="47" s="1"/>
  <c r="BU73" i="47" s="1"/>
  <c r="BM73" i="47"/>
  <c r="BN78" i="47"/>
  <c r="BQ78" i="47"/>
  <c r="BR78" i="47" s="1"/>
  <c r="BT78" i="47" s="1"/>
  <c r="BM78" i="47"/>
  <c r="BQ104" i="47"/>
  <c r="BR104" i="47" s="1"/>
  <c r="BM104" i="47"/>
  <c r="AU108" i="47"/>
  <c r="BQ64" i="47"/>
  <c r="BR64" i="47" s="1"/>
  <c r="BM64" i="47"/>
  <c r="AU68" i="47"/>
  <c r="AU132" i="47"/>
  <c r="CB5" i="47"/>
  <c r="CD5" i="47" s="1"/>
  <c r="BA5" i="47"/>
  <c r="V5" i="47" s="1"/>
  <c r="CB122" i="47"/>
  <c r="CD122" i="47" s="1"/>
  <c r="BA122" i="47"/>
  <c r="V122" i="47" s="1"/>
  <c r="CB124" i="47"/>
  <c r="BA126" i="47"/>
  <c r="V126" i="47" s="1"/>
  <c r="BA128" i="47"/>
  <c r="V128" i="47" s="1"/>
  <c r="AT130" i="47"/>
  <c r="AS130" i="47"/>
  <c r="BB130" i="47" s="1"/>
  <c r="BT130" i="47"/>
  <c r="BQ131" i="47"/>
  <c r="BR131" i="47" s="1"/>
  <c r="BL131" i="47"/>
  <c r="BM131" i="47"/>
  <c r="BN131" i="47"/>
  <c r="CK131" i="47"/>
  <c r="BQ152" i="47"/>
  <c r="BR152" i="47" s="1"/>
  <c r="BM152" i="47"/>
  <c r="BN152" i="47"/>
  <c r="BQ156" i="47"/>
  <c r="BR156" i="47" s="1"/>
  <c r="BM156" i="47"/>
  <c r="BN156" i="47"/>
  <c r="BQ72" i="47"/>
  <c r="BR72" i="47" s="1"/>
  <c r="BL72" i="47"/>
  <c r="BK72" i="47"/>
  <c r="BM72" i="47"/>
  <c r="BN72" i="47"/>
  <c r="CK72" i="47"/>
  <c r="AU80" i="47"/>
  <c r="AU114" i="47"/>
  <c r="CB9" i="47"/>
  <c r="CD9" i="47" s="1"/>
  <c r="BQ14" i="47"/>
  <c r="BR14" i="47" s="1"/>
  <c r="BM14" i="47"/>
  <c r="CB23" i="47"/>
  <c r="CD23" i="47" s="1"/>
  <c r="BQ84" i="47"/>
  <c r="BR84" i="47" s="1"/>
  <c r="BM84" i="47"/>
  <c r="AU88" i="47"/>
  <c r="BQ90" i="47"/>
  <c r="BR90" i="47" s="1"/>
  <c r="BU90" i="47" s="1"/>
  <c r="BM90" i="47"/>
  <c r="AU112" i="47"/>
  <c r="BN10" i="47"/>
  <c r="BN18" i="47"/>
  <c r="BN24" i="47"/>
  <c r="BQ137" i="47"/>
  <c r="BR137" i="47" s="1"/>
  <c r="BT137" i="47" s="1"/>
  <c r="BM137" i="47"/>
  <c r="BQ141" i="47"/>
  <c r="BR141" i="47" s="1"/>
  <c r="BM141" i="47"/>
  <c r="AU145" i="47"/>
  <c r="CB148" i="47"/>
  <c r="CD148" i="47" s="1"/>
  <c r="CD118" i="47"/>
  <c r="CB118" i="47"/>
  <c r="BA118" i="47"/>
  <c r="V118" i="47" s="1"/>
  <c r="AU59" i="47"/>
  <c r="BN61" i="47"/>
  <c r="BQ96" i="47"/>
  <c r="BR96" i="47" s="1"/>
  <c r="BM96" i="47"/>
  <c r="AS84" i="47"/>
  <c r="BB84" i="47" s="1"/>
  <c r="AT84" i="47"/>
  <c r="AS86" i="47"/>
  <c r="BB86" i="47" s="1"/>
  <c r="AT86" i="47"/>
  <c r="AS88" i="47"/>
  <c r="BB88" i="47" s="1"/>
  <c r="AT88" i="47"/>
  <c r="AS90" i="47"/>
  <c r="BB90" i="47" s="1"/>
  <c r="AT90" i="47"/>
  <c r="AS104" i="47"/>
  <c r="BB104" i="47" s="1"/>
  <c r="AT104" i="47"/>
  <c r="AS106" i="47"/>
  <c r="BB106" i="47" s="1"/>
  <c r="AT106" i="47"/>
  <c r="AS108" i="47"/>
  <c r="BB108" i="47" s="1"/>
  <c r="AT108" i="47"/>
  <c r="AS110" i="47"/>
  <c r="BB110" i="47" s="1"/>
  <c r="AT110" i="47"/>
  <c r="AS112" i="47"/>
  <c r="BB112" i="47" s="1"/>
  <c r="AT112" i="47"/>
  <c r="AS114" i="47"/>
  <c r="BB114" i="47" s="1"/>
  <c r="AT114" i="47"/>
  <c r="AS116" i="47"/>
  <c r="BB116" i="47" s="1"/>
  <c r="AT116" i="47"/>
  <c r="AS10" i="47"/>
  <c r="BB10" i="47" s="1"/>
  <c r="AT10" i="47"/>
  <c r="AS12" i="47"/>
  <c r="BB12" i="47" s="1"/>
  <c r="AT12" i="47"/>
  <c r="AS14" i="47"/>
  <c r="BB14" i="47" s="1"/>
  <c r="AT14" i="47"/>
  <c r="AS16" i="47"/>
  <c r="BB16" i="47" s="1"/>
  <c r="AT16" i="47"/>
  <c r="AS18" i="47"/>
  <c r="BB18" i="47" s="1"/>
  <c r="AT18" i="47"/>
  <c r="AS64" i="47"/>
  <c r="BB64" i="47" s="1"/>
  <c r="AT64" i="47"/>
  <c r="AS66" i="47"/>
  <c r="BB66" i="47" s="1"/>
  <c r="AT66" i="47"/>
  <c r="AS68" i="47"/>
  <c r="BB68" i="47" s="1"/>
  <c r="AT68" i="47"/>
  <c r="AS70" i="47"/>
  <c r="BB70" i="47" s="1"/>
  <c r="AT70" i="47"/>
  <c r="AS22" i="47"/>
  <c r="BB22" i="47" s="1"/>
  <c r="AT22" i="47"/>
  <c r="AS24" i="47"/>
  <c r="BB24" i="47" s="1"/>
  <c r="AT24" i="47"/>
  <c r="AS26" i="47"/>
  <c r="BB26" i="47" s="1"/>
  <c r="AT26" i="47"/>
  <c r="AS132" i="47"/>
  <c r="BB132" i="47" s="1"/>
  <c r="AT132" i="47"/>
  <c r="AS134" i="47"/>
  <c r="BB134" i="47" s="1"/>
  <c r="AT134" i="47"/>
  <c r="AS136" i="47"/>
  <c r="BB136" i="47" s="1"/>
  <c r="AT136" i="47"/>
  <c r="BN208" i="47"/>
  <c r="BN143" i="47"/>
  <c r="BQ102" i="47"/>
  <c r="BR102" i="47" s="1"/>
  <c r="BM102" i="47"/>
  <c r="BN94" i="47"/>
  <c r="CB30" i="47"/>
  <c r="CD30" i="47" s="1"/>
  <c r="BA30" i="47"/>
  <c r="V30" i="47" s="1"/>
  <c r="FI137" i="47"/>
  <c r="FO137" i="47"/>
  <c r="FI139" i="47"/>
  <c r="FO139" i="47"/>
  <c r="FI145" i="47"/>
  <c r="FO145" i="47"/>
  <c r="BU7" i="47"/>
  <c r="BV7" i="47" s="1"/>
  <c r="BX7" i="47" s="1"/>
  <c r="BY7" i="47" s="1"/>
  <c r="BT7" i="47"/>
  <c r="BT124" i="47"/>
  <c r="AU5" i="47"/>
  <c r="AU122" i="47"/>
  <c r="AU126" i="47"/>
  <c r="AU78" i="47"/>
  <c r="AU82" i="47"/>
  <c r="AU86" i="47"/>
  <c r="AU106" i="47"/>
  <c r="BN108" i="47"/>
  <c r="BQ110" i="47"/>
  <c r="BM110" i="47"/>
  <c r="BN64" i="47"/>
  <c r="BQ66" i="47"/>
  <c r="BR66" i="47" s="1"/>
  <c r="BM66" i="47"/>
  <c r="AU26" i="47"/>
  <c r="BN132" i="47"/>
  <c r="BQ134" i="47"/>
  <c r="BR134" i="47" s="1"/>
  <c r="BM134" i="47"/>
  <c r="BQ150" i="47"/>
  <c r="BR150" i="47" s="1"/>
  <c r="BM150" i="47"/>
  <c r="BN150" i="47"/>
  <c r="BP153" i="47"/>
  <c r="AS153" i="47"/>
  <c r="BB153" i="47" s="1"/>
  <c r="AT153" i="47"/>
  <c r="BQ154" i="47"/>
  <c r="BR154" i="47" s="1"/>
  <c r="BL154" i="47"/>
  <c r="BK154" i="47"/>
  <c r="BM154" i="47"/>
  <c r="BN154" i="47"/>
  <c r="CK154" i="47"/>
  <c r="BP157" i="47"/>
  <c r="AS157" i="47"/>
  <c r="BB157" i="47" s="1"/>
  <c r="AT157" i="47"/>
  <c r="BQ74" i="47"/>
  <c r="BR74" i="47" s="1"/>
  <c r="BL74" i="47"/>
  <c r="BM74" i="47"/>
  <c r="BN74" i="47"/>
  <c r="BN80" i="47"/>
  <c r="BN114" i="47"/>
  <c r="BQ116" i="47"/>
  <c r="BR116" i="47" s="1"/>
  <c r="BM116" i="47"/>
  <c r="AU12" i="47"/>
  <c r="BN14" i="47"/>
  <c r="BQ22" i="47"/>
  <c r="BR22" i="47" s="1"/>
  <c r="BM22" i="47"/>
  <c r="U77" i="47"/>
  <c r="BQ77" i="47"/>
  <c r="BR77" i="47" s="1"/>
  <c r="BK77" i="47"/>
  <c r="BM77" i="47"/>
  <c r="BN79" i="47"/>
  <c r="CL79" i="47"/>
  <c r="BQ81" i="47"/>
  <c r="BR81" i="47" s="1"/>
  <c r="BM81" i="47"/>
  <c r="BQ83" i="47"/>
  <c r="BR83" i="47" s="1"/>
  <c r="BL83" i="47"/>
  <c r="BM83" i="47"/>
  <c r="CM83" i="47"/>
  <c r="AU84" i="47"/>
  <c r="BN88" i="47"/>
  <c r="AU90" i="47"/>
  <c r="BQ112" i="47"/>
  <c r="BR112" i="47" s="1"/>
  <c r="BM112" i="47"/>
  <c r="BN16" i="47"/>
  <c r="AU18" i="47"/>
  <c r="BN70" i="47"/>
  <c r="AU24" i="47"/>
  <c r="BQ136" i="47"/>
  <c r="BR136" i="47" s="1"/>
  <c r="BM136" i="47"/>
  <c r="AU206" i="47"/>
  <c r="AU139" i="47"/>
  <c r="BN141" i="47"/>
  <c r="CB142" i="47"/>
  <c r="CD142" i="47" s="1"/>
  <c r="BN145" i="47"/>
  <c r="BQ147" i="47"/>
  <c r="BR147" i="47" s="1"/>
  <c r="BT147" i="47" s="1"/>
  <c r="BM147" i="47"/>
  <c r="BU118" i="47"/>
  <c r="BV118" i="47" s="1"/>
  <c r="BX118" i="47" s="1"/>
  <c r="BY118" i="47" s="1"/>
  <c r="AU57" i="47"/>
  <c r="BT57" i="47"/>
  <c r="BN59" i="47"/>
  <c r="FO59" i="47"/>
  <c r="FI59" i="47"/>
  <c r="BQ28" i="47"/>
  <c r="BM28" i="47"/>
  <c r="BQ85" i="47"/>
  <c r="BR85" i="47" s="1"/>
  <c r="BK85" i="47"/>
  <c r="BM85" i="47"/>
  <c r="BN87" i="47"/>
  <c r="BN89" i="47"/>
  <c r="CK89" i="47"/>
  <c r="BN91" i="47"/>
  <c r="BQ105" i="47"/>
  <c r="BR105" i="47" s="1"/>
  <c r="BM105" i="47"/>
  <c r="U107" i="47"/>
  <c r="CM107" i="47"/>
  <c r="BN107" i="47"/>
  <c r="CK107" i="47"/>
  <c r="CL107" i="47"/>
  <c r="BQ109" i="47"/>
  <c r="BR109" i="47" s="1"/>
  <c r="BM109" i="47"/>
  <c r="BN111" i="47"/>
  <c r="CK111" i="47"/>
  <c r="CL111" i="47"/>
  <c r="U113" i="47"/>
  <c r="CM113" i="47"/>
  <c r="BQ113" i="47"/>
  <c r="BR113" i="47" s="1"/>
  <c r="BL113" i="47"/>
  <c r="BK113" i="47"/>
  <c r="BM113" i="47"/>
  <c r="BN115" i="47"/>
  <c r="CK115" i="47"/>
  <c r="BN9" i="47"/>
  <c r="BA9" i="47"/>
  <c r="CK9" i="47" s="1"/>
  <c r="BN11" i="47"/>
  <c r="CK11" i="47"/>
  <c r="CL11" i="47"/>
  <c r="BQ13" i="47"/>
  <c r="BR13" i="47" s="1"/>
  <c r="BM13" i="47"/>
  <c r="BQ15" i="47"/>
  <c r="BR15" i="47" s="1"/>
  <c r="BM15" i="47"/>
  <c r="BN17" i="47"/>
  <c r="U63" i="47"/>
  <c r="CM63" i="47"/>
  <c r="BN63" i="47"/>
  <c r="CK63" i="47"/>
  <c r="CL63" i="47"/>
  <c r="BQ65" i="47"/>
  <c r="BR65" i="47" s="1"/>
  <c r="BM65" i="47"/>
  <c r="BN67" i="47"/>
  <c r="CK67" i="47"/>
  <c r="BQ69" i="47"/>
  <c r="BR69" i="47" s="1"/>
  <c r="BM69" i="47"/>
  <c r="BN21" i="47"/>
  <c r="BN23" i="47"/>
  <c r="BA23" i="47"/>
  <c r="V23" i="47" s="1"/>
  <c r="U25" i="47"/>
  <c r="CM25" i="47"/>
  <c r="BN25" i="47"/>
  <c r="CK25" i="47"/>
  <c r="CL25" i="47"/>
  <c r="BQ27" i="47"/>
  <c r="BR27" i="47" s="1"/>
  <c r="BM27" i="47"/>
  <c r="BN133" i="47"/>
  <c r="BQ135" i="47"/>
  <c r="BR135" i="47" s="1"/>
  <c r="BL135" i="47"/>
  <c r="BM135" i="47"/>
  <c r="CM135" i="47"/>
  <c r="BQ203" i="47"/>
  <c r="BR203" i="47" s="1"/>
  <c r="BM203" i="47"/>
  <c r="BQ204" i="47"/>
  <c r="BR204" i="47" s="1"/>
  <c r="BT204" i="47" s="1"/>
  <c r="BM204" i="47"/>
  <c r="BQ210" i="47"/>
  <c r="BR210" i="47" s="1"/>
  <c r="BM210" i="47"/>
  <c r="BR52" i="47"/>
  <c r="AU54" i="47"/>
  <c r="BT54" i="47"/>
  <c r="BQ98" i="47"/>
  <c r="BR98" i="47" s="1"/>
  <c r="BU98" i="47" s="1"/>
  <c r="BM98" i="47"/>
  <c r="AU94" i="47"/>
  <c r="CB42" i="47"/>
  <c r="CD42" i="47" s="1"/>
  <c r="BN162" i="47"/>
  <c r="U205" i="47"/>
  <c r="CM205" i="47"/>
  <c r="BN205" i="47"/>
  <c r="CK205" i="47"/>
  <c r="CL205" i="47"/>
  <c r="BQ207" i="47"/>
  <c r="BM207" i="47"/>
  <c r="BR207" i="47"/>
  <c r="BQ209" i="47"/>
  <c r="BR209" i="47" s="1"/>
  <c r="BM209" i="47"/>
  <c r="CM211" i="47"/>
  <c r="BQ211" i="47"/>
  <c r="BR211" i="47" s="1"/>
  <c r="BL211" i="47"/>
  <c r="BM211" i="47"/>
  <c r="BN138" i="47"/>
  <c r="BQ140" i="47"/>
  <c r="BR140" i="47" s="1"/>
  <c r="BM140" i="47"/>
  <c r="BQ142" i="47"/>
  <c r="BR142" i="47" s="1"/>
  <c r="BM142" i="47"/>
  <c r="U144" i="47"/>
  <c r="BQ144" i="47"/>
  <c r="BR144" i="47" s="1"/>
  <c r="BM144" i="47"/>
  <c r="BN146" i="47"/>
  <c r="CK146" i="47"/>
  <c r="FT107" i="47" s="1"/>
  <c r="CL146" i="47"/>
  <c r="BN148" i="47"/>
  <c r="BA148" i="47"/>
  <c r="CK148" i="47" s="1"/>
  <c r="BN46" i="47"/>
  <c r="AT50" i="47"/>
  <c r="AS50" i="47"/>
  <c r="BB50" i="47" s="1"/>
  <c r="AT53" i="47"/>
  <c r="AS53" i="47"/>
  <c r="BB53" i="47" s="1"/>
  <c r="FO53" i="47"/>
  <c r="FI53" i="47"/>
  <c r="AT55" i="47"/>
  <c r="AS55" i="47"/>
  <c r="BB55" i="47" s="1"/>
  <c r="AT58" i="47"/>
  <c r="AS58" i="47"/>
  <c r="BB58" i="47" s="1"/>
  <c r="FO58" i="47"/>
  <c r="FI58" i="47"/>
  <c r="AT60" i="47"/>
  <c r="AS60" i="47"/>
  <c r="BB60" i="47" s="1"/>
  <c r="FO60" i="47"/>
  <c r="FI60" i="47"/>
  <c r="BN92" i="47"/>
  <c r="FI32" i="47"/>
  <c r="FO32" i="47"/>
  <c r="FI34" i="47"/>
  <c r="FO34" i="47"/>
  <c r="FI36" i="47"/>
  <c r="FO36" i="47"/>
  <c r="BM177" i="47"/>
  <c r="BQ177" i="47"/>
  <c r="BR177" i="47" s="1"/>
  <c r="BN182" i="47"/>
  <c r="BA117" i="47"/>
  <c r="BK117" i="47" s="1"/>
  <c r="FO119" i="47"/>
  <c r="FI119" i="47"/>
  <c r="BN120" i="47"/>
  <c r="BN48" i="47"/>
  <c r="BN51" i="47"/>
  <c r="BN62" i="47"/>
  <c r="BQ95" i="47"/>
  <c r="BR95" i="47" s="1"/>
  <c r="BM95" i="47"/>
  <c r="BN97" i="47"/>
  <c r="CK97" i="47"/>
  <c r="BQ99" i="47"/>
  <c r="BR99" i="47" s="1"/>
  <c r="BM99" i="47"/>
  <c r="BN101" i="47"/>
  <c r="BQ103" i="47"/>
  <c r="BM103" i="47"/>
  <c r="BR103" i="47"/>
  <c r="BN20" i="47"/>
  <c r="CK20" i="47"/>
  <c r="CL20" i="47"/>
  <c r="AS28" i="47"/>
  <c r="BB28" i="47" s="1"/>
  <c r="AT28" i="47"/>
  <c r="BN160" i="47"/>
  <c r="BQ160" i="47"/>
  <c r="BR160" i="47" s="1"/>
  <c r="BM160" i="47"/>
  <c r="BN186" i="47"/>
  <c r="BN32" i="47"/>
  <c r="BQ34" i="47"/>
  <c r="BR34" i="47" s="1"/>
  <c r="BM34" i="47"/>
  <c r="BN36" i="47"/>
  <c r="BQ38" i="47"/>
  <c r="BR38" i="47" s="1"/>
  <c r="BM38" i="47"/>
  <c r="BN40" i="47"/>
  <c r="BN42" i="47"/>
  <c r="BA42" i="47"/>
  <c r="V42" i="47" s="1"/>
  <c r="CM44" i="47"/>
  <c r="BN44" i="47"/>
  <c r="CK44" i="47"/>
  <c r="BQ159" i="47"/>
  <c r="BR159" i="47" s="1"/>
  <c r="BL159" i="47"/>
  <c r="BM159" i="47"/>
  <c r="CM159" i="47"/>
  <c r="BN161" i="47"/>
  <c r="BQ163" i="47"/>
  <c r="BL163" i="47"/>
  <c r="BK163" i="47"/>
  <c r="BM163" i="47"/>
  <c r="BR163" i="47"/>
  <c r="BN165" i="47"/>
  <c r="CK165" i="47"/>
  <c r="BQ167" i="47"/>
  <c r="BR167" i="47" s="1"/>
  <c r="BM167" i="47"/>
  <c r="BQ169" i="47"/>
  <c r="BM169" i="47"/>
  <c r="BQ171" i="47"/>
  <c r="BL171" i="47"/>
  <c r="BK171" i="47"/>
  <c r="BM171" i="47"/>
  <c r="BR171" i="47"/>
  <c r="BN175" i="47"/>
  <c r="BN191" i="47"/>
  <c r="BN176" i="47"/>
  <c r="BN180" i="47"/>
  <c r="BN183" i="47"/>
  <c r="BN187" i="47"/>
  <c r="CB188" i="47"/>
  <c r="CD188" i="47" s="1"/>
  <c r="BN192" i="47"/>
  <c r="FO194" i="47"/>
  <c r="FI194" i="47"/>
  <c r="BN195" i="47"/>
  <c r="AS200" i="47"/>
  <c r="BB200" i="47" s="1"/>
  <c r="AT200" i="47"/>
  <c r="BU182" i="47"/>
  <c r="BV182" i="47" s="1"/>
  <c r="BX182" i="47" s="1"/>
  <c r="BY182" i="47" s="1"/>
  <c r="CL119" i="47"/>
  <c r="CB119" i="47"/>
  <c r="CD119" i="47" s="1"/>
  <c r="V119" i="47"/>
  <c r="V135" i="47"/>
  <c r="CM49" i="47"/>
  <c r="U49" i="47"/>
  <c r="BM49" i="47"/>
  <c r="BK49" i="47"/>
  <c r="BQ49" i="47"/>
  <c r="BR49" i="47" s="1"/>
  <c r="BL49" i="47"/>
  <c r="CL49" i="47"/>
  <c r="CB56" i="47"/>
  <c r="CD56" i="47" s="1"/>
  <c r="U93" i="47"/>
  <c r="BM93" i="47"/>
  <c r="BQ93" i="47"/>
  <c r="BR93" i="47" s="1"/>
  <c r="BL93" i="47"/>
  <c r="V97" i="47"/>
  <c r="BQ166" i="47"/>
  <c r="BR166" i="47" s="1"/>
  <c r="BM166" i="47"/>
  <c r="BN173" i="47"/>
  <c r="AT186" i="47"/>
  <c r="AS186" i="47"/>
  <c r="BB186" i="47" s="1"/>
  <c r="AT175" i="47"/>
  <c r="AS175" i="47"/>
  <c r="BB175" i="47" s="1"/>
  <c r="AU175" i="47"/>
  <c r="BM174" i="47"/>
  <c r="BK174" i="47"/>
  <c r="BQ174" i="47"/>
  <c r="BR174" i="47" s="1"/>
  <c r="CB178" i="47"/>
  <c r="CD178" i="47" s="1"/>
  <c r="CK181" i="47"/>
  <c r="BN181" i="47"/>
  <c r="BM189" i="47"/>
  <c r="BQ189" i="47"/>
  <c r="BR189" i="47" s="1"/>
  <c r="BN189" i="47"/>
  <c r="BM193" i="47"/>
  <c r="BQ193" i="47"/>
  <c r="BR193" i="47" s="1"/>
  <c r="BN193" i="47"/>
  <c r="CB190" i="47"/>
  <c r="CD190" i="47" s="1"/>
  <c r="CM194" i="47"/>
  <c r="U194" i="47"/>
  <c r="BM194" i="47"/>
  <c r="BK194" i="47"/>
  <c r="BQ194" i="47"/>
  <c r="BL194" i="47"/>
  <c r="CK194" i="47"/>
  <c r="BN194" i="47"/>
  <c r="BQ202" i="47"/>
  <c r="BR202" i="47" s="1"/>
  <c r="BT202" i="47" s="1"/>
  <c r="BM202" i="47"/>
  <c r="BQ201" i="47"/>
  <c r="BR201" i="47" s="1"/>
  <c r="BM201" i="47"/>
  <c r="BT2" i="47"/>
  <c r="BT4" i="47"/>
  <c r="V205" i="47"/>
  <c r="V211" i="47"/>
  <c r="BN121" i="47"/>
  <c r="BN56" i="47"/>
  <c r="AU96" i="47"/>
  <c r="AS96" i="47"/>
  <c r="BB96" i="47" s="1"/>
  <c r="AT96" i="47"/>
  <c r="AS98" i="47"/>
  <c r="BB98" i="47" s="1"/>
  <c r="AT98" i="47"/>
  <c r="AS100" i="47"/>
  <c r="BB100" i="47" s="1"/>
  <c r="AT100" i="47"/>
  <c r="AU102" i="47"/>
  <c r="AS102" i="47"/>
  <c r="BB102" i="47" s="1"/>
  <c r="AT102" i="47"/>
  <c r="AU19" i="47"/>
  <c r="AS19" i="47"/>
  <c r="BB19" i="47" s="1"/>
  <c r="AT19" i="47"/>
  <c r="U29" i="47"/>
  <c r="CM29" i="47"/>
  <c r="BN29" i="47"/>
  <c r="CK29" i="47"/>
  <c r="CL29" i="47"/>
  <c r="BQ33" i="47"/>
  <c r="BR33" i="47" s="1"/>
  <c r="BU33" i="47" s="1"/>
  <c r="BM33" i="47"/>
  <c r="BQ37" i="47"/>
  <c r="BR37" i="47" s="1"/>
  <c r="BU37" i="47" s="1"/>
  <c r="BM37" i="47"/>
  <c r="BQ43" i="47"/>
  <c r="BR43" i="47" s="1"/>
  <c r="BM43" i="47"/>
  <c r="FI31" i="47"/>
  <c r="FO31" i="47"/>
  <c r="FI33" i="47"/>
  <c r="FO33" i="47"/>
  <c r="FI37" i="47"/>
  <c r="AU164" i="47"/>
  <c r="AU168" i="47"/>
  <c r="AT179" i="47"/>
  <c r="AS179" i="47"/>
  <c r="BB179" i="47" s="1"/>
  <c r="AU179" i="47"/>
  <c r="AU191" i="47"/>
  <c r="BN178" i="47"/>
  <c r="CM185" i="47"/>
  <c r="U185" i="47"/>
  <c r="BM185" i="47"/>
  <c r="BK185" i="47"/>
  <c r="BQ185" i="47"/>
  <c r="BR185" i="47" s="1"/>
  <c r="BL185" i="47"/>
  <c r="CK185" i="47"/>
  <c r="BN185" i="47"/>
  <c r="CB194" i="47"/>
  <c r="CD194" i="47" s="1"/>
  <c r="V194" i="47"/>
  <c r="BN200" i="47"/>
  <c r="BQ200" i="47"/>
  <c r="BR200" i="47" s="1"/>
  <c r="BU200" i="47" s="1"/>
  <c r="BM200" i="47"/>
  <c r="V107" i="47"/>
  <c r="V25" i="47"/>
  <c r="V161" i="47"/>
  <c r="FO124" i="47"/>
  <c r="FI124" i="47"/>
  <c r="FO2" i="47"/>
  <c r="FI2" i="47"/>
  <c r="AU4" i="47"/>
  <c r="AU8" i="47"/>
  <c r="AU125" i="47"/>
  <c r="AU129" i="47"/>
  <c r="BQ151" i="47"/>
  <c r="BR151" i="47" s="1"/>
  <c r="BM151" i="47"/>
  <c r="BQ155" i="47"/>
  <c r="BR155" i="47" s="1"/>
  <c r="BM155" i="47"/>
  <c r="BQ71" i="47"/>
  <c r="BR71" i="47" s="1"/>
  <c r="BM71" i="47"/>
  <c r="BQ75" i="47"/>
  <c r="BR75" i="47" s="1"/>
  <c r="BM75" i="47"/>
  <c r="BN82" i="47"/>
  <c r="BQ82" i="47"/>
  <c r="BR82" i="47" s="1"/>
  <c r="BM82" i="47"/>
  <c r="AU104" i="47"/>
  <c r="BQ108" i="47"/>
  <c r="BM108" i="47"/>
  <c r="AU64" i="47"/>
  <c r="BQ68" i="47"/>
  <c r="BR68" i="47" s="1"/>
  <c r="BM68" i="47"/>
  <c r="BQ132" i="47"/>
  <c r="BR132" i="47" s="1"/>
  <c r="BM132" i="47"/>
  <c r="AU130" i="47"/>
  <c r="BP130" i="47"/>
  <c r="CM131" i="47"/>
  <c r="BP151" i="47"/>
  <c r="AS151" i="47"/>
  <c r="BB151" i="47" s="1"/>
  <c r="AT151" i="47"/>
  <c r="BP155" i="47"/>
  <c r="AS155" i="47"/>
  <c r="BB155" i="47" s="1"/>
  <c r="AT155" i="47"/>
  <c r="BP71" i="47"/>
  <c r="AS71" i="47"/>
  <c r="BB71" i="47" s="1"/>
  <c r="AT71" i="47"/>
  <c r="U72" i="47"/>
  <c r="W72" i="47" s="1"/>
  <c r="CM72" i="47"/>
  <c r="CL72" i="47"/>
  <c r="BP75" i="47"/>
  <c r="AS75" i="47"/>
  <c r="BB75" i="47" s="1"/>
  <c r="AT75" i="47"/>
  <c r="BQ76" i="47"/>
  <c r="BR76" i="47" s="1"/>
  <c r="BM76" i="47"/>
  <c r="BN76" i="47"/>
  <c r="BQ114" i="47"/>
  <c r="BM114" i="47"/>
  <c r="AU14" i="47"/>
  <c r="AS78" i="47"/>
  <c r="BB78" i="47" s="1"/>
  <c r="AT78" i="47"/>
  <c r="AS80" i="47"/>
  <c r="BB80" i="47" s="1"/>
  <c r="AT80" i="47"/>
  <c r="AS82" i="47"/>
  <c r="BB82" i="47" s="1"/>
  <c r="AT82" i="47"/>
  <c r="BN84" i="47"/>
  <c r="BN90" i="47"/>
  <c r="BQ10" i="47"/>
  <c r="BR10" i="47" s="1"/>
  <c r="BM10" i="47"/>
  <c r="AU16" i="47"/>
  <c r="BQ18" i="47"/>
  <c r="BR18" i="47" s="1"/>
  <c r="BM18" i="47"/>
  <c r="AU70" i="47"/>
  <c r="BQ24" i="47"/>
  <c r="BR24" i="47" s="1"/>
  <c r="BM24" i="47"/>
  <c r="AU136" i="47"/>
  <c r="AU137" i="47"/>
  <c r="AU141" i="47"/>
  <c r="BQ145" i="47"/>
  <c r="BM145" i="47"/>
  <c r="CK118" i="47"/>
  <c r="BN118" i="47"/>
  <c r="AU47" i="47"/>
  <c r="BN57" i="47"/>
  <c r="BQ45" i="47"/>
  <c r="BR45" i="47" s="1"/>
  <c r="BM45" i="47"/>
  <c r="FI88" i="47"/>
  <c r="FO88" i="47"/>
  <c r="FI104" i="47"/>
  <c r="FO104" i="47"/>
  <c r="FI106" i="47"/>
  <c r="FO106" i="47"/>
  <c r="FI108" i="47"/>
  <c r="FO108" i="47"/>
  <c r="FI114" i="47"/>
  <c r="FI12" i="47"/>
  <c r="FO12" i="47"/>
  <c r="FI16" i="47"/>
  <c r="FO16" i="47"/>
  <c r="FI64" i="47"/>
  <c r="FO64" i="47"/>
  <c r="FI66" i="47"/>
  <c r="FO66" i="47"/>
  <c r="FI26" i="47"/>
  <c r="FO26" i="47"/>
  <c r="FI132" i="47"/>
  <c r="FO132" i="47"/>
  <c r="FI136" i="47"/>
  <c r="FO136" i="47"/>
  <c r="AU204" i="47"/>
  <c r="BQ208" i="47"/>
  <c r="BR208" i="47" s="1"/>
  <c r="BT208" i="47" s="1"/>
  <c r="BM208" i="47"/>
  <c r="AU210" i="47"/>
  <c r="BQ143" i="47"/>
  <c r="BR143" i="47" s="1"/>
  <c r="BT143" i="47" s="1"/>
  <c r="BM143" i="47"/>
  <c r="AU52" i="47"/>
  <c r="BN54" i="47"/>
  <c r="BQ162" i="47"/>
  <c r="BM162" i="47"/>
  <c r="AU197" i="47"/>
  <c r="AS204" i="47"/>
  <c r="BB204" i="47" s="1"/>
  <c r="AT204" i="47"/>
  <c r="AS206" i="47"/>
  <c r="BB206" i="47" s="1"/>
  <c r="AT206" i="47"/>
  <c r="AS208" i="47"/>
  <c r="BB208" i="47" s="1"/>
  <c r="AT208" i="47"/>
  <c r="AS210" i="47"/>
  <c r="BB210" i="47" s="1"/>
  <c r="AT210" i="47"/>
  <c r="AS137" i="47"/>
  <c r="BB137" i="47" s="1"/>
  <c r="AT137" i="47"/>
  <c r="AS139" i="47"/>
  <c r="BB139" i="47" s="1"/>
  <c r="AT139" i="47"/>
  <c r="AS141" i="47"/>
  <c r="BB141" i="47" s="1"/>
  <c r="AT141" i="47"/>
  <c r="AS143" i="47"/>
  <c r="BB143" i="47" s="1"/>
  <c r="AT143" i="47"/>
  <c r="AS145" i="47"/>
  <c r="BB145" i="47" s="1"/>
  <c r="AT145" i="47"/>
  <c r="AS147" i="47"/>
  <c r="BB147" i="47" s="1"/>
  <c r="AT147" i="47"/>
  <c r="BU3" i="47"/>
  <c r="BV3" i="47" s="1"/>
  <c r="BX3" i="47" s="1"/>
  <c r="BY3" i="47" s="1"/>
  <c r="BT3" i="47"/>
  <c r="BU122" i="47"/>
  <c r="BU126" i="47"/>
  <c r="BT126" i="47"/>
  <c r="AU3" i="47"/>
  <c r="AU7" i="47"/>
  <c r="AU124" i="47"/>
  <c r="AU128" i="47"/>
  <c r="AU149" i="47"/>
  <c r="AU151" i="47"/>
  <c r="AU153" i="47"/>
  <c r="AU155" i="47"/>
  <c r="AU157" i="47"/>
  <c r="AU71" i="47"/>
  <c r="AU73" i="47"/>
  <c r="AU75" i="47"/>
  <c r="BQ86" i="47"/>
  <c r="BR86" i="47" s="1"/>
  <c r="BM86" i="47"/>
  <c r="BN104" i="47"/>
  <c r="BQ106" i="47"/>
  <c r="BM106" i="47"/>
  <c r="AU110" i="47"/>
  <c r="BR110" i="47"/>
  <c r="BU110" i="47" s="1"/>
  <c r="AU66" i="47"/>
  <c r="BN68" i="47"/>
  <c r="BQ26" i="47"/>
  <c r="BM26" i="47"/>
  <c r="AU134" i="47"/>
  <c r="AS149" i="47"/>
  <c r="BB149" i="47" s="1"/>
  <c r="AT149" i="47"/>
  <c r="U154" i="47"/>
  <c r="CM154" i="47"/>
  <c r="CL154" i="47"/>
  <c r="BQ158" i="47"/>
  <c r="BR158" i="47" s="1"/>
  <c r="BM158" i="47"/>
  <c r="BN158" i="47"/>
  <c r="FO73" i="47"/>
  <c r="AS73" i="47"/>
  <c r="BB73" i="47" s="1"/>
  <c r="AT73" i="47"/>
  <c r="CM74" i="47"/>
  <c r="BQ80" i="47"/>
  <c r="BR80" i="47" s="1"/>
  <c r="BM80" i="47"/>
  <c r="V89" i="47"/>
  <c r="CB89" i="47"/>
  <c r="AU116" i="47"/>
  <c r="BQ12" i="47"/>
  <c r="BM12" i="47"/>
  <c r="AU22" i="47"/>
  <c r="BN77" i="47"/>
  <c r="CK77" i="47"/>
  <c r="BQ79" i="47"/>
  <c r="BK79" i="47"/>
  <c r="BM79" i="47"/>
  <c r="BR79" i="47"/>
  <c r="BN81" i="47"/>
  <c r="BN83" i="47"/>
  <c r="BQ88" i="47"/>
  <c r="BR88" i="47" s="1"/>
  <c r="BM88" i="47"/>
  <c r="BN112" i="47"/>
  <c r="AU10" i="47"/>
  <c r="BQ16" i="47"/>
  <c r="BM16" i="47"/>
  <c r="BQ70" i="47"/>
  <c r="BR70" i="47" s="1"/>
  <c r="BM70" i="47"/>
  <c r="BN136" i="47"/>
  <c r="BQ206" i="47"/>
  <c r="BR206" i="47" s="1"/>
  <c r="BM206" i="47"/>
  <c r="CB209" i="47"/>
  <c r="CD209" i="47" s="1"/>
  <c r="BN137" i="47"/>
  <c r="BQ139" i="47"/>
  <c r="BM139" i="47"/>
  <c r="AU147" i="47"/>
  <c r="AU118" i="47"/>
  <c r="BT118" i="47"/>
  <c r="BN47" i="47"/>
  <c r="BU57" i="47"/>
  <c r="BV57" i="47" s="1"/>
  <c r="BR59" i="47"/>
  <c r="AU61" i="47"/>
  <c r="BN96" i="47"/>
  <c r="BQ100" i="47"/>
  <c r="BR100" i="47" s="1"/>
  <c r="BT100" i="47" s="1"/>
  <c r="BM100" i="47"/>
  <c r="AU28" i="47"/>
  <c r="BR28" i="47"/>
  <c r="BN45" i="47"/>
  <c r="U85" i="47"/>
  <c r="W85" i="47" s="1"/>
  <c r="BN85" i="47"/>
  <c r="CL85" i="47"/>
  <c r="BQ87" i="47"/>
  <c r="BR87" i="47" s="1"/>
  <c r="BM87" i="47"/>
  <c r="BQ89" i="47"/>
  <c r="BR89" i="47" s="1"/>
  <c r="BL89" i="47"/>
  <c r="BK89" i="47"/>
  <c r="BM89" i="47"/>
  <c r="CL89" i="47"/>
  <c r="BQ91" i="47"/>
  <c r="BR91" i="47" s="1"/>
  <c r="BL91" i="47"/>
  <c r="BM91" i="47"/>
  <c r="BN105" i="47"/>
  <c r="BQ107" i="47"/>
  <c r="BR107" i="47" s="1"/>
  <c r="BL107" i="47"/>
  <c r="BK107" i="47"/>
  <c r="BM107" i="47"/>
  <c r="BN109" i="47"/>
  <c r="BQ111" i="47"/>
  <c r="BR111" i="47" s="1"/>
  <c r="BL111" i="47"/>
  <c r="BK111" i="47"/>
  <c r="BM111" i="47"/>
  <c r="U111" i="47"/>
  <c r="W111" i="47" s="1"/>
  <c r="CM111" i="47"/>
  <c r="BN113" i="47"/>
  <c r="CK113" i="47"/>
  <c r="CL113" i="47"/>
  <c r="CM115" i="47"/>
  <c r="BQ115" i="47"/>
  <c r="BR115" i="47" s="1"/>
  <c r="BM115" i="47"/>
  <c r="BQ9" i="47"/>
  <c r="BL9" i="47"/>
  <c r="BK9" i="47"/>
  <c r="BM9" i="47"/>
  <c r="CL9" i="47"/>
  <c r="U11" i="47"/>
  <c r="CM11" i="47"/>
  <c r="BQ11" i="47"/>
  <c r="BR11" i="47" s="1"/>
  <c r="BL11" i="47"/>
  <c r="BK11" i="47"/>
  <c r="BM11" i="47"/>
  <c r="BN13" i="47"/>
  <c r="BN15" i="47"/>
  <c r="BQ17" i="47"/>
  <c r="BR17" i="47" s="1"/>
  <c r="BM17" i="47"/>
  <c r="BQ63" i="47"/>
  <c r="BL63" i="47"/>
  <c r="BK63" i="47"/>
  <c r="BM63" i="47"/>
  <c r="BN65" i="47"/>
  <c r="BQ67" i="47"/>
  <c r="BL67" i="47"/>
  <c r="BM67" i="47"/>
  <c r="BR67" i="47"/>
  <c r="BN69" i="47"/>
  <c r="BQ21" i="47"/>
  <c r="BR21" i="47" s="1"/>
  <c r="BM21" i="47"/>
  <c r="BQ23" i="47"/>
  <c r="BR23" i="47" s="1"/>
  <c r="BM23" i="47"/>
  <c r="BQ25" i="47"/>
  <c r="BR25" i="47" s="1"/>
  <c r="BL25" i="47"/>
  <c r="BK25" i="47"/>
  <c r="BM25" i="47"/>
  <c r="BN27" i="47"/>
  <c r="BQ133" i="47"/>
  <c r="BR133" i="47" s="1"/>
  <c r="BM133" i="47"/>
  <c r="BN135" i="47"/>
  <c r="CK135" i="47"/>
  <c r="BN203" i="47"/>
  <c r="BN204" i="47"/>
  <c r="AU208" i="47"/>
  <c r="BN210" i="47"/>
  <c r="AU143" i="47"/>
  <c r="BN52" i="47"/>
  <c r="FO52" i="47"/>
  <c r="FI52" i="47"/>
  <c r="BU54" i="47"/>
  <c r="BN102" i="47"/>
  <c r="BU94" i="47"/>
  <c r="BV94" i="47" s="1"/>
  <c r="BQ164" i="47"/>
  <c r="BR164" i="47" s="1"/>
  <c r="BM164" i="47"/>
  <c r="BN197" i="47"/>
  <c r="BQ205" i="47"/>
  <c r="BR205" i="47" s="1"/>
  <c r="BL205" i="47"/>
  <c r="BK205" i="47"/>
  <c r="BM205" i="47"/>
  <c r="BN207" i="47"/>
  <c r="BN209" i="47"/>
  <c r="BA209" i="47"/>
  <c r="BL209" i="47" s="1"/>
  <c r="BN211" i="47"/>
  <c r="CK211" i="47"/>
  <c r="CL211" i="47"/>
  <c r="BQ138" i="47"/>
  <c r="BR138" i="47" s="1"/>
  <c r="BM138" i="47"/>
  <c r="BN140" i="47"/>
  <c r="BN142" i="47"/>
  <c r="BA142" i="47"/>
  <c r="BK142" i="47" s="1"/>
  <c r="BN144" i="47"/>
  <c r="CL144" i="47"/>
  <c r="U146" i="47"/>
  <c r="W146" i="47" s="1"/>
  <c r="CM146" i="47"/>
  <c r="BQ146" i="47"/>
  <c r="BR146" i="47" s="1"/>
  <c r="BL146" i="47"/>
  <c r="BK146" i="47"/>
  <c r="BM146" i="47"/>
  <c r="BQ148" i="47"/>
  <c r="BR148" i="47" s="1"/>
  <c r="BL148" i="47"/>
  <c r="BM148" i="47"/>
  <c r="AT46" i="47"/>
  <c r="AS46" i="47"/>
  <c r="BB46" i="47" s="1"/>
  <c r="BN50" i="47"/>
  <c r="BN53" i="47"/>
  <c r="BN55" i="47"/>
  <c r="BN58" i="47"/>
  <c r="BN60" i="47"/>
  <c r="AT92" i="47"/>
  <c r="AS92" i="47"/>
  <c r="BB92" i="47" s="1"/>
  <c r="BQ41" i="47"/>
  <c r="BR41" i="47" s="1"/>
  <c r="BM41" i="47"/>
  <c r="BN168" i="47"/>
  <c r="AU177" i="47"/>
  <c r="AT182" i="47"/>
  <c r="AS182" i="47"/>
  <c r="BB182" i="47" s="1"/>
  <c r="BN117" i="47"/>
  <c r="BM119" i="47"/>
  <c r="BK119" i="47"/>
  <c r="BQ119" i="47"/>
  <c r="BL119" i="47"/>
  <c r="CM119" i="47"/>
  <c r="U119" i="47"/>
  <c r="CD120" i="47"/>
  <c r="CB120" i="47"/>
  <c r="BA120" i="47"/>
  <c r="CK120" i="47" s="1"/>
  <c r="CB48" i="47"/>
  <c r="CD48" i="47" s="1"/>
  <c r="CB51" i="47"/>
  <c r="BA51" i="47"/>
  <c r="BK51" i="47" s="1"/>
  <c r="CB62" i="47"/>
  <c r="BA62" i="47"/>
  <c r="BK62" i="47" s="1"/>
  <c r="BN95" i="47"/>
  <c r="BQ97" i="47"/>
  <c r="BR97" i="47" s="1"/>
  <c r="BL97" i="47"/>
  <c r="BM97" i="47"/>
  <c r="BN99" i="47"/>
  <c r="BQ101" i="47"/>
  <c r="BR101" i="47" s="1"/>
  <c r="BL101" i="47"/>
  <c r="BM101" i="47"/>
  <c r="BN103" i="47"/>
  <c r="CK103" i="47"/>
  <c r="U20" i="47"/>
  <c r="W20" i="47" s="1"/>
  <c r="CM20" i="47"/>
  <c r="BQ20" i="47"/>
  <c r="BR20" i="47" s="1"/>
  <c r="BL20" i="47"/>
  <c r="BK20" i="47"/>
  <c r="BM20" i="47"/>
  <c r="BN31" i="47"/>
  <c r="BQ31" i="47"/>
  <c r="BM31" i="47"/>
  <c r="BN35" i="47"/>
  <c r="BQ35" i="47"/>
  <c r="BR35" i="47" s="1"/>
  <c r="BM35" i="47"/>
  <c r="BN39" i="47"/>
  <c r="BQ39" i="47"/>
  <c r="BR39" i="47" s="1"/>
  <c r="BM39" i="47"/>
  <c r="BN170" i="47"/>
  <c r="BQ170" i="47"/>
  <c r="BR170" i="47" s="1"/>
  <c r="BM170" i="47"/>
  <c r="AU173" i="47"/>
  <c r="BQ32" i="47"/>
  <c r="BR32" i="47" s="1"/>
  <c r="BM32" i="47"/>
  <c r="BN34" i="47"/>
  <c r="BQ36" i="47"/>
  <c r="BR36" i="47" s="1"/>
  <c r="BM36" i="47"/>
  <c r="BN38" i="47"/>
  <c r="CM40" i="47"/>
  <c r="BQ40" i="47"/>
  <c r="BR40" i="47" s="1"/>
  <c r="BL40" i="47"/>
  <c r="BM40" i="47"/>
  <c r="BQ42" i="47"/>
  <c r="BR42" i="47" s="1"/>
  <c r="BM42" i="47"/>
  <c r="BQ44" i="47"/>
  <c r="BR44" i="47" s="1"/>
  <c r="BK44" i="47"/>
  <c r="BM44" i="47"/>
  <c r="BN159" i="47"/>
  <c r="BQ161" i="47"/>
  <c r="BR161" i="47" s="1"/>
  <c r="BM161" i="47"/>
  <c r="U163" i="47"/>
  <c r="CM163" i="47"/>
  <c r="BN163" i="47"/>
  <c r="CK163" i="47"/>
  <c r="CL163" i="47"/>
  <c r="BQ165" i="47"/>
  <c r="BL165" i="47"/>
  <c r="BM165" i="47"/>
  <c r="CM165" i="47"/>
  <c r="BR165" i="47"/>
  <c r="BN167" i="47"/>
  <c r="BN169" i="47"/>
  <c r="BR169" i="47"/>
  <c r="U171" i="47"/>
  <c r="W171" i="47" s="1"/>
  <c r="CM171" i="47"/>
  <c r="BN171" i="47"/>
  <c r="CK171" i="47"/>
  <c r="CL171" i="47"/>
  <c r="BN179" i="47"/>
  <c r="BN184" i="47"/>
  <c r="CB180" i="47"/>
  <c r="CB187" i="47"/>
  <c r="BA187" i="47"/>
  <c r="BL187" i="47" s="1"/>
  <c r="BU187" i="47"/>
  <c r="BV187" i="47" s="1"/>
  <c r="AU189" i="47"/>
  <c r="AU193" i="47"/>
  <c r="CB195" i="47"/>
  <c r="BA195" i="47"/>
  <c r="BK195" i="47" s="1"/>
  <c r="AU199" i="47"/>
  <c r="BN198" i="47"/>
  <c r="AU202" i="47"/>
  <c r="BP200" i="47"/>
  <c r="AS202" i="47"/>
  <c r="BB202" i="47" s="1"/>
  <c r="AT202" i="47"/>
  <c r="AU46" i="47"/>
  <c r="AU50" i="47"/>
  <c r="BU50" i="47"/>
  <c r="BV50" i="47" s="1"/>
  <c r="AU53" i="47"/>
  <c r="BU53" i="47"/>
  <c r="BV53" i="47" s="1"/>
  <c r="AU55" i="47"/>
  <c r="AU58" i="47"/>
  <c r="BU58" i="47"/>
  <c r="BV58" i="47" s="1"/>
  <c r="AU60" i="47"/>
  <c r="BU60" i="47"/>
  <c r="BV60" i="47" s="1"/>
  <c r="AU92" i="47"/>
  <c r="BN19" i="47"/>
  <c r="BQ19" i="47"/>
  <c r="BR19" i="47" s="1"/>
  <c r="BT19" i="47" s="1"/>
  <c r="BM19" i="47"/>
  <c r="BQ168" i="47"/>
  <c r="BR168" i="47" s="1"/>
  <c r="BM168" i="47"/>
  <c r="BN177" i="47"/>
  <c r="AU182" i="47"/>
  <c r="BT182" i="47"/>
  <c r="CK119" i="47"/>
  <c r="BN119" i="47"/>
  <c r="V133" i="47"/>
  <c r="CD121" i="47"/>
  <c r="CK49" i="47"/>
  <c r="BN49" i="47"/>
  <c r="BL62" i="47"/>
  <c r="BN93" i="47"/>
  <c r="V103" i="47"/>
  <c r="BN166" i="47"/>
  <c r="BM173" i="47"/>
  <c r="BQ173" i="47"/>
  <c r="BR173" i="47" s="1"/>
  <c r="AU186" i="47"/>
  <c r="BU186" i="47"/>
  <c r="BV186" i="47" s="1"/>
  <c r="V44" i="47"/>
  <c r="V165" i="47"/>
  <c r="BU175" i="47"/>
  <c r="BV175" i="47" s="1"/>
  <c r="AT184" i="47"/>
  <c r="AS184" i="47"/>
  <c r="BB184" i="47" s="1"/>
  <c r="AU184" i="47"/>
  <c r="BT184" i="47"/>
  <c r="BN174" i="47"/>
  <c r="BR180" i="47"/>
  <c r="CM181" i="47"/>
  <c r="U181" i="47"/>
  <c r="BM181" i="47"/>
  <c r="BK181" i="47"/>
  <c r="BQ181" i="47"/>
  <c r="BR181" i="47" s="1"/>
  <c r="BL181" i="47"/>
  <c r="CL181" i="47"/>
  <c r="CB185" i="47"/>
  <c r="CD185" i="47" s="1"/>
  <c r="V185" i="47"/>
  <c r="CL194" i="47"/>
  <c r="BN202" i="47"/>
  <c r="BN201" i="47"/>
  <c r="BA201" i="47"/>
  <c r="BL201" i="47" s="1"/>
  <c r="BU2" i="47"/>
  <c r="BV2" i="47" s="1"/>
  <c r="BU4" i="47"/>
  <c r="BV4" i="47" s="1"/>
  <c r="BX4" i="47" s="1"/>
  <c r="BY4" i="47" s="1"/>
  <c r="BU6" i="47"/>
  <c r="BU8" i="47"/>
  <c r="BV8" i="47" s="1"/>
  <c r="BU125" i="47"/>
  <c r="BU127" i="47"/>
  <c r="V131" i="47"/>
  <c r="BL118" i="47"/>
  <c r="V144" i="47"/>
  <c r="BR120" i="47"/>
  <c r="BM121" i="47"/>
  <c r="BQ121" i="47"/>
  <c r="BR121" i="47" s="1"/>
  <c r="CB49" i="47"/>
  <c r="CD49" i="47" s="1"/>
  <c r="V49" i="47"/>
  <c r="BM56" i="47"/>
  <c r="BQ56" i="47"/>
  <c r="BR56" i="47" s="1"/>
  <c r="AU98" i="47"/>
  <c r="AU100" i="47"/>
  <c r="FI100" i="47"/>
  <c r="FO100" i="47"/>
  <c r="V29" i="47"/>
  <c r="CB29" i="47"/>
  <c r="BQ29" i="47"/>
  <c r="BR29" i="47" s="1"/>
  <c r="BL29" i="47"/>
  <c r="BK29" i="47"/>
  <c r="BM29" i="47"/>
  <c r="BN33" i="47"/>
  <c r="BN37" i="47"/>
  <c r="BN43" i="47"/>
  <c r="AU160" i="47"/>
  <c r="AS31" i="47"/>
  <c r="BB31" i="47" s="1"/>
  <c r="AT31" i="47"/>
  <c r="AU33" i="47"/>
  <c r="AS33" i="47"/>
  <c r="BB33" i="47" s="1"/>
  <c r="AT33" i="47"/>
  <c r="AS35" i="47"/>
  <c r="BB35" i="47" s="1"/>
  <c r="AT35" i="47"/>
  <c r="AU37" i="47"/>
  <c r="AS37" i="47"/>
  <c r="BB37" i="47" s="1"/>
  <c r="AT37" i="47"/>
  <c r="AS39" i="47"/>
  <c r="BB39" i="47" s="1"/>
  <c r="AT39" i="47"/>
  <c r="AU41" i="47"/>
  <c r="AS41" i="47"/>
  <c r="BB41" i="47" s="1"/>
  <c r="AT41" i="47"/>
  <c r="AU43" i="47"/>
  <c r="AS43" i="47"/>
  <c r="BB43" i="47" s="1"/>
  <c r="AT43" i="47"/>
  <c r="AU45" i="47"/>
  <c r="AS45" i="47"/>
  <c r="BB45" i="47" s="1"/>
  <c r="AT45" i="47"/>
  <c r="AS160" i="47"/>
  <c r="BB160" i="47" s="1"/>
  <c r="AT160" i="47"/>
  <c r="AU162" i="47"/>
  <c r="AS162" i="47"/>
  <c r="BB162" i="47" s="1"/>
  <c r="AT162" i="47"/>
  <c r="AS164" i="47"/>
  <c r="BB164" i="47" s="1"/>
  <c r="AT164" i="47"/>
  <c r="AU166" i="47"/>
  <c r="AS166" i="47"/>
  <c r="BB166" i="47" s="1"/>
  <c r="AT166" i="47"/>
  <c r="AS168" i="47"/>
  <c r="BB168" i="47" s="1"/>
  <c r="AT168" i="47"/>
  <c r="AS170" i="47"/>
  <c r="BB170" i="47" s="1"/>
  <c r="AT170" i="47"/>
  <c r="BU179" i="47"/>
  <c r="BV179" i="47" s="1"/>
  <c r="AT191" i="47"/>
  <c r="AS191" i="47"/>
  <c r="BB191" i="47" s="1"/>
  <c r="BA178" i="47"/>
  <c r="V178" i="47" s="1"/>
  <c r="BM178" i="47"/>
  <c r="BQ178" i="47"/>
  <c r="BR178" i="47" s="1"/>
  <c r="CB181" i="47"/>
  <c r="CD181" i="47" s="1"/>
  <c r="V181" i="47"/>
  <c r="CL185" i="47"/>
  <c r="BA190" i="47"/>
  <c r="CK190" i="47" s="1"/>
  <c r="BM190" i="47"/>
  <c r="BQ190" i="47"/>
  <c r="BR190" i="47" s="1"/>
  <c r="BN190" i="47"/>
  <c r="BM199" i="47"/>
  <c r="BQ199" i="47"/>
  <c r="BR199" i="47" s="1"/>
  <c r="BN199" i="47"/>
  <c r="AU200" i="47"/>
  <c r="V154" i="47"/>
  <c r="V74" i="47"/>
  <c r="V109" i="47"/>
  <c r="V113" i="47"/>
  <c r="V11" i="47"/>
  <c r="V63" i="47"/>
  <c r="V67" i="47"/>
  <c r="V40" i="47"/>
  <c r="V163" i="47"/>
  <c r="AT37" i="49"/>
  <c r="BA37" i="49" s="1"/>
  <c r="AZ37" i="49" s="1"/>
  <c r="V37" i="49" s="1"/>
  <c r="AT7" i="49"/>
  <c r="BA7" i="49" s="1"/>
  <c r="AZ7" i="49" s="1"/>
  <c r="V7" i="49" s="1"/>
  <c r="BM2" i="49"/>
  <c r="BM6" i="49"/>
  <c r="BM46" i="49"/>
  <c r="BM48" i="49"/>
  <c r="AT52" i="49"/>
  <c r="BA52" i="49" s="1"/>
  <c r="AT50" i="49"/>
  <c r="BA50" i="49" s="1"/>
  <c r="AT2" i="49"/>
  <c r="BA2" i="49" s="1"/>
  <c r="AZ3" i="49"/>
  <c r="V3" i="49" s="1"/>
  <c r="BJ5" i="49"/>
  <c r="BK5" i="49"/>
  <c r="AT6" i="49"/>
  <c r="BA6" i="49" s="1"/>
  <c r="AT8" i="49"/>
  <c r="BA8" i="49" s="1"/>
  <c r="AT10" i="49"/>
  <c r="BA10" i="49" s="1"/>
  <c r="AT46" i="49"/>
  <c r="BA46" i="49" s="1"/>
  <c r="AT48" i="49"/>
  <c r="BA48" i="49" s="1"/>
  <c r="AZ49" i="49"/>
  <c r="V49" i="49" s="1"/>
  <c r="BJ51" i="49"/>
  <c r="BK51" i="49"/>
  <c r="AT18" i="49"/>
  <c r="BA18" i="49" s="1"/>
  <c r="AT11" i="49"/>
  <c r="BA11" i="49" s="1"/>
  <c r="AT13" i="49"/>
  <c r="BA13" i="49" s="1"/>
  <c r="AT15" i="49"/>
  <c r="BA15" i="49" s="1"/>
  <c r="AT17" i="49"/>
  <c r="BA17" i="49" s="1"/>
  <c r="AT56" i="49"/>
  <c r="BA56" i="49" s="1"/>
  <c r="AT58" i="49"/>
  <c r="BA58" i="49" s="1"/>
  <c r="BK61" i="49"/>
  <c r="BJ61" i="49"/>
  <c r="AT4" i="49"/>
  <c r="BA4" i="49" s="1"/>
  <c r="AT20" i="49"/>
  <c r="BA20" i="49" s="1"/>
  <c r="BJ59" i="49"/>
  <c r="AT22" i="49"/>
  <c r="BA22" i="49" s="1"/>
  <c r="AT24" i="49"/>
  <c r="BA24" i="49" s="1"/>
  <c r="AT26" i="49"/>
  <c r="BA26" i="49" s="1"/>
  <c r="AT28" i="49"/>
  <c r="BA28" i="49" s="1"/>
  <c r="AT30" i="49"/>
  <c r="BA30" i="49" s="1"/>
  <c r="AT32" i="49"/>
  <c r="BA32" i="49" s="1"/>
  <c r="BK33" i="49"/>
  <c r="BJ33" i="49"/>
  <c r="BK35" i="49"/>
  <c r="BJ35" i="49"/>
  <c r="AZ40" i="49"/>
  <c r="V40" i="49" s="1"/>
  <c r="BM50" i="49"/>
  <c r="W5" i="49"/>
  <c r="X5" i="49" s="1"/>
  <c r="BK45" i="49"/>
  <c r="AZ19" i="49"/>
  <c r="V19" i="49" s="1"/>
  <c r="BK12" i="49"/>
  <c r="AZ16" i="49"/>
  <c r="V16" i="49" s="1"/>
  <c r="BJ57" i="49"/>
  <c r="AT60" i="49"/>
  <c r="BA60" i="49" s="1"/>
  <c r="AZ25" i="49"/>
  <c r="V25" i="49" s="1"/>
  <c r="BK29" i="49"/>
  <c r="BJ29" i="49"/>
  <c r="AT34" i="49"/>
  <c r="BA34" i="49" s="1"/>
  <c r="AT38" i="49"/>
  <c r="BA38" i="49" s="1"/>
  <c r="BJ42" i="49"/>
  <c r="BK42" i="49"/>
  <c r="AZ44" i="49"/>
  <c r="W44" i="49" s="1"/>
  <c r="W31" i="49"/>
  <c r="X31" i="49" s="1"/>
  <c r="BJ39" i="49"/>
  <c r="W21" i="49"/>
  <c r="X21" i="49" s="1"/>
  <c r="W55" i="49"/>
  <c r="X55" i="49" s="1"/>
  <c r="W39" i="49"/>
  <c r="X39" i="49" s="1"/>
  <c r="W29" i="49"/>
  <c r="X29" i="49" s="1"/>
  <c r="AZ41" i="49"/>
  <c r="V41" i="49" s="1"/>
  <c r="W42" i="49"/>
  <c r="X42" i="49" s="1"/>
  <c r="BM4" i="49"/>
  <c r="BK9" i="49"/>
  <c r="BJ47" i="49"/>
  <c r="W51" i="49"/>
  <c r="X51" i="49" s="1"/>
  <c r="W57" i="49"/>
  <c r="X57" i="49" s="1"/>
  <c r="W35" i="49"/>
  <c r="X35" i="49" s="1"/>
  <c r="BK21" i="49"/>
  <c r="BJ21" i="49"/>
  <c r="BK14" i="49"/>
  <c r="BJ14" i="49"/>
  <c r="BK55" i="49"/>
  <c r="BJ55" i="49"/>
  <c r="BK23" i="49"/>
  <c r="BK27" i="49"/>
  <c r="BJ27" i="49"/>
  <c r="BJ31" i="49"/>
  <c r="AT36" i="49"/>
  <c r="BA36" i="49" s="1"/>
  <c r="W27" i="49"/>
  <c r="X27" i="49" s="1"/>
  <c r="W53" i="49"/>
  <c r="X53" i="49" s="1"/>
  <c r="W14" i="49"/>
  <c r="X14" i="49" s="1"/>
  <c r="W61" i="49"/>
  <c r="X61" i="49" s="1"/>
  <c r="W33" i="49"/>
  <c r="X33" i="49" s="1"/>
  <c r="BO6" i="52"/>
  <c r="BN6" i="52"/>
  <c r="BN5" i="52"/>
  <c r="BO5" i="52"/>
  <c r="AU82" i="52"/>
  <c r="AU78" i="52"/>
  <c r="BN192" i="52"/>
  <c r="BN209" i="52"/>
  <c r="BN248" i="52"/>
  <c r="BN214" i="52"/>
  <c r="BN264" i="52"/>
  <c r="BN266" i="52"/>
  <c r="BN261" i="52"/>
  <c r="BN208" i="52"/>
  <c r="BN26" i="52"/>
  <c r="AV102" i="52"/>
  <c r="AV33" i="52"/>
  <c r="AV37" i="52"/>
  <c r="AV182" i="52"/>
  <c r="AV186" i="52"/>
  <c r="AU25" i="52"/>
  <c r="AV269" i="52"/>
  <c r="AV273" i="52"/>
  <c r="AT192" i="52"/>
  <c r="BC192" i="52" s="1"/>
  <c r="BB192" i="52" s="1"/>
  <c r="V192" i="52" s="1"/>
  <c r="AV12" i="52"/>
  <c r="BO257" i="52"/>
  <c r="AT6" i="52"/>
  <c r="BC6" i="52" s="1"/>
  <c r="AT7" i="52"/>
  <c r="AT248" i="52"/>
  <c r="BC248" i="52" s="1"/>
  <c r="AV125" i="52"/>
  <c r="AV131" i="52"/>
  <c r="AV135" i="52"/>
  <c r="AV21" i="52"/>
  <c r="AV262" i="52"/>
  <c r="BO236" i="52"/>
  <c r="BO240" i="52"/>
  <c r="AV119" i="52"/>
  <c r="AV104" i="52"/>
  <c r="AV105" i="52"/>
  <c r="BO212" i="52"/>
  <c r="BO128" i="52"/>
  <c r="BO132" i="52"/>
  <c r="BO27" i="52"/>
  <c r="BO31" i="52"/>
  <c r="AV17" i="52"/>
  <c r="AV8" i="52"/>
  <c r="AV236" i="52"/>
  <c r="AT238" i="52"/>
  <c r="BC238" i="52" s="1"/>
  <c r="AT242" i="52"/>
  <c r="BC242" i="52" s="1"/>
  <c r="AT189" i="52"/>
  <c r="BC189" i="52" s="1"/>
  <c r="BO75" i="52"/>
  <c r="BO79" i="52"/>
  <c r="BO85" i="52"/>
  <c r="BO96" i="52"/>
  <c r="BO181" i="52"/>
  <c r="BO182" i="52"/>
  <c r="BO183" i="52"/>
  <c r="BO184" i="52"/>
  <c r="BO185" i="52"/>
  <c r="BO186" i="52"/>
  <c r="BO187" i="52"/>
  <c r="BO188" i="52"/>
  <c r="BO250" i="52"/>
  <c r="AV77" i="52"/>
  <c r="AV81" i="52"/>
  <c r="BO88" i="52"/>
  <c r="AV90" i="52"/>
  <c r="AV94" i="52"/>
  <c r="AV98" i="52"/>
  <c r="AT26" i="52"/>
  <c r="BC26" i="52" s="1"/>
  <c r="AV13" i="52"/>
  <c r="BO3" i="52"/>
  <c r="AV191" i="52"/>
  <c r="AT236" i="52"/>
  <c r="BC236" i="52" s="1"/>
  <c r="AT240" i="52"/>
  <c r="BC240" i="52" s="1"/>
  <c r="AV10" i="52"/>
  <c r="AV15" i="52"/>
  <c r="AV244" i="52"/>
  <c r="AV246" i="52"/>
  <c r="AV117" i="52"/>
  <c r="AV123" i="52"/>
  <c r="AV136" i="52"/>
  <c r="AV138" i="52"/>
  <c r="AV109" i="52"/>
  <c r="AV32" i="52"/>
  <c r="AV34" i="52"/>
  <c r="AV36" i="52"/>
  <c r="AV38" i="52"/>
  <c r="AV48" i="52"/>
  <c r="AV205" i="52"/>
  <c r="AT211" i="52"/>
  <c r="BC211" i="52" s="1"/>
  <c r="BO210" i="52"/>
  <c r="AV216" i="52"/>
  <c r="AV270" i="52"/>
  <c r="AV272" i="52"/>
  <c r="AV274" i="52"/>
  <c r="AV229" i="52"/>
  <c r="BO77" i="52"/>
  <c r="BO81" i="52"/>
  <c r="BO86" i="52"/>
  <c r="AT88" i="52"/>
  <c r="BC88" i="52" s="1"/>
  <c r="BO90" i="52"/>
  <c r="AT89" i="52"/>
  <c r="BC89" i="52" s="1"/>
  <c r="AT93" i="52"/>
  <c r="BC93" i="52" s="1"/>
  <c r="AT97" i="52"/>
  <c r="BC97" i="52" s="1"/>
  <c r="AT101" i="52"/>
  <c r="BC101" i="52" s="1"/>
  <c r="BO30" i="52"/>
  <c r="AT128" i="52"/>
  <c r="BC128" i="52" s="1"/>
  <c r="AT132" i="52"/>
  <c r="BC132" i="52" s="1"/>
  <c r="AT125" i="52"/>
  <c r="BC125" i="52" s="1"/>
  <c r="AV127" i="52"/>
  <c r="AV129" i="52"/>
  <c r="AT131" i="52"/>
  <c r="BC131" i="52" s="1"/>
  <c r="AV133" i="52"/>
  <c r="AT135" i="52"/>
  <c r="BC135" i="52" s="1"/>
  <c r="AV19" i="52"/>
  <c r="AT21" i="52"/>
  <c r="BC21" i="52" s="1"/>
  <c r="AV23" i="52"/>
  <c r="AT29" i="52"/>
  <c r="BC29" i="52" s="1"/>
  <c r="AV55" i="52"/>
  <c r="AT249" i="52"/>
  <c r="BC249" i="52" s="1"/>
  <c r="AT253" i="52"/>
  <c r="BC253" i="52" s="1"/>
  <c r="AT257" i="52"/>
  <c r="BC257" i="52" s="1"/>
  <c r="AT262" i="52"/>
  <c r="BC262" i="52" s="1"/>
  <c r="AT256" i="52"/>
  <c r="BC256" i="52" s="1"/>
  <c r="AT250" i="52"/>
  <c r="BC250" i="52" s="1"/>
  <c r="BO255" i="52"/>
  <c r="BO238" i="52"/>
  <c r="BO242" i="52"/>
  <c r="AT193" i="52"/>
  <c r="BC193" i="52" s="1"/>
  <c r="AT239" i="52"/>
  <c r="BC239" i="52" s="1"/>
  <c r="AT213" i="52"/>
  <c r="BC213" i="52" s="1"/>
  <c r="AT212" i="52"/>
  <c r="BC212" i="52" s="1"/>
  <c r="AT75" i="52"/>
  <c r="BC75" i="52" s="1"/>
  <c r="AV75" i="52"/>
  <c r="AT79" i="52"/>
  <c r="BC79" i="52" s="1"/>
  <c r="AV79" i="52"/>
  <c r="AT83" i="52"/>
  <c r="BC83" i="52" s="1"/>
  <c r="BB83" i="52" s="1"/>
  <c r="V83" i="52" s="1"/>
  <c r="AV83" i="52"/>
  <c r="AT86" i="52"/>
  <c r="BC86" i="52" s="1"/>
  <c r="AV86" i="52"/>
  <c r="AT92" i="52"/>
  <c r="BC92" i="52" s="1"/>
  <c r="AV92" i="52"/>
  <c r="AT96" i="52"/>
  <c r="BC96" i="52" s="1"/>
  <c r="AV96" i="52"/>
  <c r="AT100" i="52"/>
  <c r="BC100" i="52" s="1"/>
  <c r="AV100" i="52"/>
  <c r="AT190" i="52"/>
  <c r="BC190" i="52" s="1"/>
  <c r="AT76" i="52"/>
  <c r="BC76" i="52" s="1"/>
  <c r="AT80" i="52"/>
  <c r="BC80" i="52" s="1"/>
  <c r="AT84" i="52"/>
  <c r="BC84" i="52" s="1"/>
  <c r="AT126" i="52"/>
  <c r="BC126" i="52" s="1"/>
  <c r="AT30" i="52"/>
  <c r="BC30" i="52" s="1"/>
  <c r="BO130" i="52"/>
  <c r="BO134" i="52"/>
  <c r="AV25" i="52"/>
  <c r="BO29" i="52"/>
  <c r="AV6" i="52"/>
  <c r="AV215" i="52"/>
  <c r="AT87" i="52"/>
  <c r="BC87" i="52" s="1"/>
  <c r="AT91" i="52"/>
  <c r="BC91" i="52" s="1"/>
  <c r="AT95" i="52"/>
  <c r="BC95" i="52" s="1"/>
  <c r="AT99" i="52"/>
  <c r="BC99" i="52" s="1"/>
  <c r="AT20" i="52"/>
  <c r="BC20" i="52" s="1"/>
  <c r="AT24" i="52"/>
  <c r="BC24" i="52" s="1"/>
  <c r="AT127" i="52"/>
  <c r="BC127" i="52" s="1"/>
  <c r="AT129" i="52"/>
  <c r="BC129" i="52" s="1"/>
  <c r="AT133" i="52"/>
  <c r="BC133" i="52" s="1"/>
  <c r="AT19" i="52"/>
  <c r="BC19" i="52" s="1"/>
  <c r="AT23" i="52"/>
  <c r="BC23" i="52" s="1"/>
  <c r="AT27" i="52"/>
  <c r="BC27" i="52" s="1"/>
  <c r="AT31" i="52"/>
  <c r="BC31" i="52" s="1"/>
  <c r="AT251" i="52"/>
  <c r="BC251" i="52" s="1"/>
  <c r="AT255" i="52"/>
  <c r="BC255" i="52" s="1"/>
  <c r="AT259" i="52"/>
  <c r="BC259" i="52" s="1"/>
  <c r="AT252" i="52"/>
  <c r="BC252" i="52" s="1"/>
  <c r="AT237" i="52"/>
  <c r="BC237" i="52" s="1"/>
  <c r="AT241" i="52"/>
  <c r="BC241" i="52" s="1"/>
  <c r="AT210" i="52"/>
  <c r="BC210" i="52" s="1"/>
  <c r="AT77" i="52"/>
  <c r="BC77" i="52" s="1"/>
  <c r="AT81" i="52"/>
  <c r="BC81" i="52" s="1"/>
  <c r="AT85" i="52"/>
  <c r="BC85" i="52" s="1"/>
  <c r="AT90" i="52"/>
  <c r="BC90" i="52" s="1"/>
  <c r="AT94" i="52"/>
  <c r="BC94" i="52" s="1"/>
  <c r="AT98" i="52"/>
  <c r="BC98" i="52" s="1"/>
  <c r="AT74" i="52"/>
  <c r="BC74" i="52" s="1"/>
  <c r="AT78" i="52"/>
  <c r="BC78" i="52" s="1"/>
  <c r="AT82" i="52"/>
  <c r="BC82" i="52" s="1"/>
  <c r="AT25" i="52"/>
  <c r="BC25" i="52" s="1"/>
  <c r="AV238" i="52"/>
  <c r="AV240" i="52"/>
  <c r="AV242" i="52"/>
  <c r="BO113" i="52"/>
  <c r="AU117" i="52"/>
  <c r="AT117" i="52"/>
  <c r="BC117" i="52" s="1"/>
  <c r="AU119" i="52"/>
  <c r="AT119" i="52"/>
  <c r="AU121" i="52"/>
  <c r="AT121" i="52"/>
  <c r="AU123" i="52"/>
  <c r="AT123" i="52"/>
  <c r="BC123" i="52" s="1"/>
  <c r="AU136" i="52"/>
  <c r="AT136" i="52"/>
  <c r="BC136" i="52" s="1"/>
  <c r="AU138" i="52"/>
  <c r="AT138" i="52"/>
  <c r="BC138" i="52" s="1"/>
  <c r="BO143" i="52"/>
  <c r="BO147" i="52"/>
  <c r="BO151" i="52"/>
  <c r="BO108" i="52"/>
  <c r="AU41" i="52"/>
  <c r="AT41" i="52"/>
  <c r="BC41" i="52" s="1"/>
  <c r="AV41" i="52"/>
  <c r="AU45" i="52"/>
  <c r="AT45" i="52"/>
  <c r="BC45" i="52" s="1"/>
  <c r="AV45" i="52"/>
  <c r="AV211" i="52"/>
  <c r="BN213" i="52"/>
  <c r="BO213" i="52"/>
  <c r="BN210" i="52"/>
  <c r="BN212" i="52"/>
  <c r="AU270" i="52"/>
  <c r="AT270" i="52"/>
  <c r="BC270" i="52" s="1"/>
  <c r="AU272" i="52"/>
  <c r="AT272" i="52"/>
  <c r="BC272" i="52" s="1"/>
  <c r="AU274" i="52"/>
  <c r="AT274" i="52"/>
  <c r="BC274" i="52" s="1"/>
  <c r="BO278" i="52"/>
  <c r="BO222" i="52"/>
  <c r="BO226" i="52"/>
  <c r="BO230" i="52"/>
  <c r="BO234" i="52"/>
  <c r="BO158" i="52"/>
  <c r="BO162" i="52"/>
  <c r="BO166" i="52"/>
  <c r="BO169" i="52"/>
  <c r="BO173" i="52"/>
  <c r="BO177" i="52"/>
  <c r="BO180" i="52"/>
  <c r="BN86" i="52"/>
  <c r="BN268" i="52"/>
  <c r="BN276" i="52"/>
  <c r="BN231" i="52"/>
  <c r="BN233" i="52"/>
  <c r="BN235" i="52"/>
  <c r="BN156" i="52"/>
  <c r="BN170" i="52"/>
  <c r="BN172" i="52"/>
  <c r="BN174" i="52"/>
  <c r="BN176" i="52"/>
  <c r="BN178" i="52"/>
  <c r="BN181" i="52"/>
  <c r="BN183" i="52"/>
  <c r="BN185" i="52"/>
  <c r="BN187" i="52"/>
  <c r="BO126" i="52"/>
  <c r="BO28" i="52"/>
  <c r="BN30" i="52"/>
  <c r="AV128" i="52"/>
  <c r="AV132" i="52"/>
  <c r="AV20" i="52"/>
  <c r="AV24" i="52"/>
  <c r="BN25" i="52"/>
  <c r="BO25" i="52"/>
  <c r="AV27" i="52"/>
  <c r="AV29" i="52"/>
  <c r="AV31" i="52"/>
  <c r="AU53" i="52"/>
  <c r="AT53" i="52"/>
  <c r="BC53" i="52" s="1"/>
  <c r="AV53" i="52"/>
  <c r="AU55" i="52"/>
  <c r="AT55" i="52"/>
  <c r="BC55" i="52" s="1"/>
  <c r="AU57" i="52"/>
  <c r="AT57" i="52"/>
  <c r="BC57" i="52" s="1"/>
  <c r="AV57" i="52"/>
  <c r="AU68" i="52"/>
  <c r="AT68" i="52"/>
  <c r="BC68" i="52" s="1"/>
  <c r="AV68" i="52"/>
  <c r="AU70" i="52"/>
  <c r="AT70" i="52"/>
  <c r="BC70" i="52" s="1"/>
  <c r="AV70" i="52"/>
  <c r="AU72" i="52"/>
  <c r="AT72" i="52"/>
  <c r="BC72" i="52" s="1"/>
  <c r="AV72" i="52"/>
  <c r="BN252" i="52"/>
  <c r="BO252" i="52"/>
  <c r="BN254" i="52"/>
  <c r="BO254" i="52"/>
  <c r="BN256" i="52"/>
  <c r="BO256" i="52"/>
  <c r="BN258" i="52"/>
  <c r="BO258" i="52"/>
  <c r="AT254" i="52"/>
  <c r="BC254" i="52" s="1"/>
  <c r="AU254" i="52"/>
  <c r="AV256" i="52"/>
  <c r="AV250" i="52"/>
  <c r="BN253" i="52"/>
  <c r="BO253" i="52"/>
  <c r="BN259" i="52"/>
  <c r="AV5" i="52"/>
  <c r="AV121" i="52"/>
  <c r="AV9" i="52"/>
  <c r="AV11" i="52"/>
  <c r="AV103" i="52"/>
  <c r="BO2" i="52"/>
  <c r="AU5" i="52"/>
  <c r="AT5" i="52"/>
  <c r="BC5" i="52" s="1"/>
  <c r="BN191" i="52"/>
  <c r="AV120" i="52"/>
  <c r="AV16" i="52"/>
  <c r="BO111" i="52"/>
  <c r="BO112" i="52"/>
  <c r="BO118" i="52"/>
  <c r="AU120" i="52"/>
  <c r="AT120" i="52"/>
  <c r="AU122" i="52"/>
  <c r="AT122" i="52"/>
  <c r="BC122" i="52" s="1"/>
  <c r="AU124" i="52"/>
  <c r="AT124" i="52"/>
  <c r="BC124" i="52" s="1"/>
  <c r="AU137" i="52"/>
  <c r="AT137" i="52"/>
  <c r="BC137" i="52" s="1"/>
  <c r="AU139" i="52"/>
  <c r="AT139" i="52"/>
  <c r="BC139" i="52" s="1"/>
  <c r="AU140" i="52"/>
  <c r="AT140" i="52"/>
  <c r="BC140" i="52" s="1"/>
  <c r="BO144" i="52"/>
  <c r="BO148" i="52"/>
  <c r="BO152" i="52"/>
  <c r="BO154" i="52"/>
  <c r="AU9" i="52"/>
  <c r="AT9" i="52"/>
  <c r="BC9" i="52" s="1"/>
  <c r="AU11" i="52"/>
  <c r="AT11" i="52"/>
  <c r="BC11" i="52" s="1"/>
  <c r="AU14" i="52"/>
  <c r="AT14" i="52"/>
  <c r="BC14" i="52" s="1"/>
  <c r="AU16" i="52"/>
  <c r="AT16" i="52"/>
  <c r="BC16" i="52" s="1"/>
  <c r="BO107" i="52"/>
  <c r="AV40" i="52"/>
  <c r="AU49" i="52"/>
  <c r="AT49" i="52"/>
  <c r="BC49" i="52" s="1"/>
  <c r="AV49" i="52"/>
  <c r="AU206" i="52"/>
  <c r="AT206" i="52"/>
  <c r="BC206" i="52" s="1"/>
  <c r="AV206" i="52"/>
  <c r="AV213" i="52"/>
  <c r="BO276" i="52"/>
  <c r="BO281" i="52"/>
  <c r="BO223" i="52"/>
  <c r="BO227" i="52"/>
  <c r="BO233" i="52"/>
  <c r="BO156" i="52"/>
  <c r="BO159" i="52"/>
  <c r="BO163" i="52"/>
  <c r="BO167" i="52"/>
  <c r="BO170" i="52"/>
  <c r="BO174" i="52"/>
  <c r="BO178" i="52"/>
  <c r="BN189" i="52"/>
  <c r="BO189" i="52"/>
  <c r="AV85" i="52"/>
  <c r="BB180" i="52"/>
  <c r="AU181" i="52"/>
  <c r="AT181" i="52"/>
  <c r="BC181" i="52" s="1"/>
  <c r="AU182" i="52"/>
  <c r="AT182" i="52"/>
  <c r="BC182" i="52" s="1"/>
  <c r="AU183" i="52"/>
  <c r="AT183" i="52"/>
  <c r="BC183" i="52" s="1"/>
  <c r="AU184" i="52"/>
  <c r="AT184" i="52"/>
  <c r="BC184" i="52" s="1"/>
  <c r="AU185" i="52"/>
  <c r="AT185" i="52"/>
  <c r="BC185" i="52" s="1"/>
  <c r="AU186" i="52"/>
  <c r="AT186" i="52"/>
  <c r="BC186" i="52" s="1"/>
  <c r="AU187" i="52"/>
  <c r="AT187" i="52"/>
  <c r="BC187" i="52" s="1"/>
  <c r="AU188" i="52"/>
  <c r="AT188" i="52"/>
  <c r="BC188" i="52" s="1"/>
  <c r="BN89" i="52"/>
  <c r="BO89" i="52"/>
  <c r="AV28" i="52"/>
  <c r="AT28" i="52"/>
  <c r="BC28" i="52" s="1"/>
  <c r="AV30" i="52"/>
  <c r="BN128" i="52"/>
  <c r="BN130" i="52"/>
  <c r="BN132" i="52"/>
  <c r="BN134" i="52"/>
  <c r="BN20" i="52"/>
  <c r="BO20" i="52"/>
  <c r="BN22" i="52"/>
  <c r="BO22" i="52"/>
  <c r="BN24" i="52"/>
  <c r="BO24" i="52"/>
  <c r="BN125" i="52"/>
  <c r="BO125" i="52"/>
  <c r="BN127" i="52"/>
  <c r="BO127" i="52"/>
  <c r="BN129" i="52"/>
  <c r="BO129" i="52"/>
  <c r="BN131" i="52"/>
  <c r="BO131" i="52"/>
  <c r="BN133" i="52"/>
  <c r="BO133" i="52"/>
  <c r="BN135" i="52"/>
  <c r="BO135" i="52"/>
  <c r="AU54" i="52"/>
  <c r="AT54" i="52"/>
  <c r="BC54" i="52" s="1"/>
  <c r="AV54" i="52"/>
  <c r="AU58" i="52"/>
  <c r="AT58" i="52"/>
  <c r="BC58" i="52" s="1"/>
  <c r="AV58" i="52"/>
  <c r="AU67" i="52"/>
  <c r="AT67" i="52"/>
  <c r="BC67" i="52" s="1"/>
  <c r="AV67" i="52"/>
  <c r="AU71" i="52"/>
  <c r="AT71" i="52"/>
  <c r="BC71" i="52" s="1"/>
  <c r="AV71" i="52"/>
  <c r="AV254" i="52"/>
  <c r="AV258" i="52"/>
  <c r="BO251" i="52"/>
  <c r="BN257" i="52"/>
  <c r="BO259" i="52"/>
  <c r="AU8" i="52"/>
  <c r="AT8" i="52"/>
  <c r="AU191" i="52"/>
  <c r="AT191" i="52"/>
  <c r="BC191" i="52" s="1"/>
  <c r="BN193" i="52"/>
  <c r="BO193" i="52"/>
  <c r="BN237" i="52"/>
  <c r="BO237" i="52"/>
  <c r="BN239" i="52"/>
  <c r="BO239" i="52"/>
  <c r="BN241" i="52"/>
  <c r="BO241" i="52"/>
  <c r="AU244" i="52"/>
  <c r="AT244" i="52"/>
  <c r="BC244" i="52" s="1"/>
  <c r="AU246" i="52"/>
  <c r="AT246" i="52"/>
  <c r="BC246" i="52" s="1"/>
  <c r="BO115" i="52"/>
  <c r="BO141" i="52"/>
  <c r="BO145" i="52"/>
  <c r="BO149" i="52"/>
  <c r="BO153" i="52"/>
  <c r="BO155" i="52"/>
  <c r="AU10" i="52"/>
  <c r="AT10" i="52"/>
  <c r="BC10" i="52" s="1"/>
  <c r="AU12" i="52"/>
  <c r="AT12" i="52"/>
  <c r="BC12" i="52" s="1"/>
  <c r="AU13" i="52"/>
  <c r="AT13" i="52"/>
  <c r="BC13" i="52" s="1"/>
  <c r="AU15" i="52"/>
  <c r="AT15" i="52"/>
  <c r="AU17" i="52"/>
  <c r="AT17" i="52"/>
  <c r="BC17" i="52" s="1"/>
  <c r="AU102" i="52"/>
  <c r="AT102" i="52"/>
  <c r="BC102" i="52" s="1"/>
  <c r="AU104" i="52"/>
  <c r="AT104" i="52"/>
  <c r="BC104" i="52" s="1"/>
  <c r="AU105" i="52"/>
  <c r="AT105" i="52"/>
  <c r="BC105" i="52" s="1"/>
  <c r="AU109" i="52"/>
  <c r="AT109" i="52"/>
  <c r="BC109" i="52" s="1"/>
  <c r="AU32" i="52"/>
  <c r="AT32" i="52"/>
  <c r="BC32" i="52" s="1"/>
  <c r="AU34" i="52"/>
  <c r="AT34" i="52"/>
  <c r="BC34" i="52" s="1"/>
  <c r="AU36" i="52"/>
  <c r="AT36" i="52"/>
  <c r="BC36" i="52" s="1"/>
  <c r="AU38" i="52"/>
  <c r="AT38" i="52"/>
  <c r="BC38" i="52" s="1"/>
  <c r="AU48" i="52"/>
  <c r="AT48" i="52"/>
  <c r="BC48" i="52" s="1"/>
  <c r="AU50" i="52"/>
  <c r="AT50" i="52"/>
  <c r="BC50" i="52" s="1"/>
  <c r="AV50" i="52"/>
  <c r="AU204" i="52"/>
  <c r="AT204" i="52"/>
  <c r="BC204" i="52" s="1"/>
  <c r="AV204" i="52"/>
  <c r="AU205" i="52"/>
  <c r="AT205" i="52"/>
  <c r="BC205" i="52" s="1"/>
  <c r="AU207" i="52"/>
  <c r="AT207" i="52"/>
  <c r="BC207" i="52" s="1"/>
  <c r="AV207" i="52"/>
  <c r="BB266" i="52"/>
  <c r="V266" i="52" s="1"/>
  <c r="BO275" i="52"/>
  <c r="BO280" i="52"/>
  <c r="AU215" i="52"/>
  <c r="AT215" i="52"/>
  <c r="BC215" i="52" s="1"/>
  <c r="AU216" i="52"/>
  <c r="AT216" i="52"/>
  <c r="BO218" i="52"/>
  <c r="BO220" i="52"/>
  <c r="BO224" i="52"/>
  <c r="BO228" i="52"/>
  <c r="AU229" i="52"/>
  <c r="AT229" i="52"/>
  <c r="BC229" i="52" s="1"/>
  <c r="BO232" i="52"/>
  <c r="BO157" i="52"/>
  <c r="BO160" i="52"/>
  <c r="BO164" i="52"/>
  <c r="BO168" i="52"/>
  <c r="BO171" i="52"/>
  <c r="BO175" i="52"/>
  <c r="BO179" i="52"/>
  <c r="AV189" i="52"/>
  <c r="BN75" i="52"/>
  <c r="BN77" i="52"/>
  <c r="BN79" i="52"/>
  <c r="BN81" i="52"/>
  <c r="BN83" i="52"/>
  <c r="BO83" i="52"/>
  <c r="BN85" i="52"/>
  <c r="AV88" i="52"/>
  <c r="BN90" i="52"/>
  <c r="BN92" i="52"/>
  <c r="BO92" i="52"/>
  <c r="BN94" i="52"/>
  <c r="BO94" i="52"/>
  <c r="BN96" i="52"/>
  <c r="BN98" i="52"/>
  <c r="BO98" i="52"/>
  <c r="BN100" i="52"/>
  <c r="BO100" i="52"/>
  <c r="BN182" i="52"/>
  <c r="BN184" i="52"/>
  <c r="BN186" i="52"/>
  <c r="BN188" i="52"/>
  <c r="BN190" i="52"/>
  <c r="BO190" i="52"/>
  <c r="BN74" i="52"/>
  <c r="BO74" i="52"/>
  <c r="BN76" i="52"/>
  <c r="BO76" i="52"/>
  <c r="BN78" i="52"/>
  <c r="BO78" i="52"/>
  <c r="BN80" i="52"/>
  <c r="BO80" i="52"/>
  <c r="BN82" i="52"/>
  <c r="BO82" i="52"/>
  <c r="BN84" i="52"/>
  <c r="BO84" i="52"/>
  <c r="BN126" i="52"/>
  <c r="BN28" i="52"/>
  <c r="AV130" i="52"/>
  <c r="AT130" i="52"/>
  <c r="BC130" i="52" s="1"/>
  <c r="AV134" i="52"/>
  <c r="AT134" i="52"/>
  <c r="BC134" i="52" s="1"/>
  <c r="AV22" i="52"/>
  <c r="AT22" i="52"/>
  <c r="BC22" i="52" s="1"/>
  <c r="BN250" i="52"/>
  <c r="AV249" i="52"/>
  <c r="AV251" i="52"/>
  <c r="AV253" i="52"/>
  <c r="AV255" i="52"/>
  <c r="AV257" i="52"/>
  <c r="AV259" i="52"/>
  <c r="AV252" i="52"/>
  <c r="AT258" i="52"/>
  <c r="BC258" i="52" s="1"/>
  <c r="AU258" i="52"/>
  <c r="BN249" i="52"/>
  <c r="BO249" i="52"/>
  <c r="BN236" i="52"/>
  <c r="BN238" i="52"/>
  <c r="BN240" i="52"/>
  <c r="BN242" i="52"/>
  <c r="BO191" i="52"/>
  <c r="AU243" i="52"/>
  <c r="AT243" i="52"/>
  <c r="BC243" i="52" s="1"/>
  <c r="AU245" i="52"/>
  <c r="AT245" i="52"/>
  <c r="BC245" i="52" s="1"/>
  <c r="AU247" i="52"/>
  <c r="AT247" i="52"/>
  <c r="BC247" i="52" s="1"/>
  <c r="BO114" i="52"/>
  <c r="BO116" i="52"/>
  <c r="BO142" i="52"/>
  <c r="BO146" i="52"/>
  <c r="BO150" i="52"/>
  <c r="BO18" i="52"/>
  <c r="AU103" i="52"/>
  <c r="AT103" i="52"/>
  <c r="BC103" i="52" s="1"/>
  <c r="AU106" i="52"/>
  <c r="AT106" i="52"/>
  <c r="BC106" i="52" s="1"/>
  <c r="AU110" i="52"/>
  <c r="AT110" i="52"/>
  <c r="BC110" i="52" s="1"/>
  <c r="AU33" i="52"/>
  <c r="AT33" i="52"/>
  <c r="BC33" i="52" s="1"/>
  <c r="AU35" i="52"/>
  <c r="AT35" i="52"/>
  <c r="BC35" i="52" s="1"/>
  <c r="AU37" i="52"/>
  <c r="AT37" i="52"/>
  <c r="BC37" i="52" s="1"/>
  <c r="AU39" i="52"/>
  <c r="AT39" i="52"/>
  <c r="BC39" i="52" s="1"/>
  <c r="AU40" i="52"/>
  <c r="AT40" i="52"/>
  <c r="BC40" i="52" s="1"/>
  <c r="AU46" i="52"/>
  <c r="AT46" i="52"/>
  <c r="BC46" i="52" s="1"/>
  <c r="AV46" i="52"/>
  <c r="AU47" i="52"/>
  <c r="AT47" i="52"/>
  <c r="BC47" i="52" s="1"/>
  <c r="AV47" i="52"/>
  <c r="AU51" i="52"/>
  <c r="AT51" i="52"/>
  <c r="BC51" i="52" s="1"/>
  <c r="AV51" i="52"/>
  <c r="BN211" i="52"/>
  <c r="BO211" i="52"/>
  <c r="AV217" i="52"/>
  <c r="BO268" i="52"/>
  <c r="AU269" i="52"/>
  <c r="AT269" i="52"/>
  <c r="BC269" i="52" s="1"/>
  <c r="AU271" i="52"/>
  <c r="AT271" i="52"/>
  <c r="BC271" i="52" s="1"/>
  <c r="AU273" i="52"/>
  <c r="AT273" i="52"/>
  <c r="BC273" i="52" s="1"/>
  <c r="BO277" i="52"/>
  <c r="BO279" i="52"/>
  <c r="AU217" i="52"/>
  <c r="AT217" i="52"/>
  <c r="BC217" i="52" s="1"/>
  <c r="BO219" i="52"/>
  <c r="BO221" i="52"/>
  <c r="BO225" i="52"/>
  <c r="BO231" i="52"/>
  <c r="BO235" i="52"/>
  <c r="BO161" i="52"/>
  <c r="BO165" i="52"/>
  <c r="BO172" i="52"/>
  <c r="BO176" i="52"/>
  <c r="AV181" i="52"/>
  <c r="AV183" i="52"/>
  <c r="AV185" i="52"/>
  <c r="AV187" i="52"/>
  <c r="BN88" i="52"/>
  <c r="BN87" i="52"/>
  <c r="BO87" i="52"/>
  <c r="BN91" i="52"/>
  <c r="BO91" i="52"/>
  <c r="BN93" i="52"/>
  <c r="BO93" i="52"/>
  <c r="BN95" i="52"/>
  <c r="BO95" i="52"/>
  <c r="BN97" i="52"/>
  <c r="BO97" i="52"/>
  <c r="BN99" i="52"/>
  <c r="BO99" i="52"/>
  <c r="BN101" i="52"/>
  <c r="BO101" i="52"/>
  <c r="AV126" i="52"/>
  <c r="BN19" i="52"/>
  <c r="BO19" i="52"/>
  <c r="BN21" i="52"/>
  <c r="BO21" i="52"/>
  <c r="BN23" i="52"/>
  <c r="BO23" i="52"/>
  <c r="BN27" i="52"/>
  <c r="BN29" i="52"/>
  <c r="BN31" i="52"/>
  <c r="AU52" i="52"/>
  <c r="AT52" i="52"/>
  <c r="BC52" i="52" s="1"/>
  <c r="AV52" i="52"/>
  <c r="AU56" i="52"/>
  <c r="AT56" i="52"/>
  <c r="BC56" i="52" s="1"/>
  <c r="AV56" i="52"/>
  <c r="AU69" i="52"/>
  <c r="AT69" i="52"/>
  <c r="BC69" i="52" s="1"/>
  <c r="AV69" i="52"/>
  <c r="AU73" i="52"/>
  <c r="AT73" i="52"/>
  <c r="BC73" i="52" s="1"/>
  <c r="AV73" i="52"/>
  <c r="BN251" i="52"/>
  <c r="BN262" i="52"/>
  <c r="BO262" i="52"/>
  <c r="BB160" i="52"/>
  <c r="V160" i="52" s="1"/>
  <c r="BM107" i="52" l="1"/>
  <c r="BL107" i="52"/>
  <c r="V232" i="52"/>
  <c r="BL232" i="52"/>
  <c r="BM232" i="52"/>
  <c r="V170" i="52"/>
  <c r="BL170" i="52"/>
  <c r="BL178" i="52"/>
  <c r="BM178" i="52"/>
  <c r="W107" i="52"/>
  <c r="X107" i="52" s="1"/>
  <c r="V225" i="52"/>
  <c r="BM225" i="52"/>
  <c r="BL225" i="52"/>
  <c r="BM170" i="52"/>
  <c r="BB278" i="52"/>
  <c r="V278" i="52" s="1"/>
  <c r="BL176" i="52"/>
  <c r="BM176" i="52"/>
  <c r="W170" i="52"/>
  <c r="W162" i="52"/>
  <c r="W150" i="52"/>
  <c r="X150" i="52" s="1"/>
  <c r="W232" i="52"/>
  <c r="BH342" i="48"/>
  <c r="BI342" i="48"/>
  <c r="BH173" i="48"/>
  <c r="BI324" i="48"/>
  <c r="BI209" i="48"/>
  <c r="EN405" i="48"/>
  <c r="EY208" i="48"/>
  <c r="BI142" i="48"/>
  <c r="EV208" i="48"/>
  <c r="EN208" i="48"/>
  <c r="BH124" i="48"/>
  <c r="BI48" i="48"/>
  <c r="BH438" i="48"/>
  <c r="EW406" i="48"/>
  <c r="ES406" i="48"/>
  <c r="EW92" i="48"/>
  <c r="BI104" i="48"/>
  <c r="EO114" i="48"/>
  <c r="EL114" i="48"/>
  <c r="BH414" i="48"/>
  <c r="BI153" i="48"/>
  <c r="FC406" i="48"/>
  <c r="ES114" i="48"/>
  <c r="EC93" i="48"/>
  <c r="BI203" i="48"/>
  <c r="BH213" i="48"/>
  <c r="EL68" i="48"/>
  <c r="EC14" i="48"/>
  <c r="EL406" i="48"/>
  <c r="EU406" i="48"/>
  <c r="ER367" i="48"/>
  <c r="FC426" i="48"/>
  <c r="EW68" i="48"/>
  <c r="FA405" i="48"/>
  <c r="EL92" i="48"/>
  <c r="EW14" i="48"/>
  <c r="V99" i="47"/>
  <c r="BL30" i="47"/>
  <c r="BA192" i="47"/>
  <c r="BK192" i="47" s="1"/>
  <c r="BA183" i="47"/>
  <c r="V183" i="47" s="1"/>
  <c r="BA176" i="47"/>
  <c r="V176" i="47" s="1"/>
  <c r="CK99" i="47"/>
  <c r="CM65" i="47"/>
  <c r="BA15" i="47"/>
  <c r="V15" i="47" s="1"/>
  <c r="V81" i="47"/>
  <c r="CM93" i="47"/>
  <c r="BK103" i="47"/>
  <c r="BK65" i="47"/>
  <c r="U83" i="47"/>
  <c r="CB103" i="47"/>
  <c r="CD103" i="47" s="1"/>
  <c r="CB81" i="47"/>
  <c r="CD81" i="47" s="1"/>
  <c r="V93" i="47"/>
  <c r="BA121" i="47"/>
  <c r="V121" i="47" s="1"/>
  <c r="V83" i="47"/>
  <c r="BU55" i="47"/>
  <c r="BV55" i="47" s="1"/>
  <c r="BA169" i="47"/>
  <c r="CK169" i="47" s="1"/>
  <c r="CL65" i="47"/>
  <c r="U65" i="47"/>
  <c r="W65" i="47" s="1"/>
  <c r="CL83" i="47"/>
  <c r="FI4" i="47"/>
  <c r="BT123" i="47"/>
  <c r="BK93" i="47"/>
  <c r="BK144" i="47"/>
  <c r="CM67" i="47"/>
  <c r="BL65" i="47"/>
  <c r="FO208" i="47"/>
  <c r="CC124" i="47"/>
  <c r="CF124" i="47" s="1"/>
  <c r="CB93" i="47"/>
  <c r="V76" i="47"/>
  <c r="CK93" i="47"/>
  <c r="CM99" i="47"/>
  <c r="BK67" i="47"/>
  <c r="CK65" i="47"/>
  <c r="CK83" i="47"/>
  <c r="U103" i="47"/>
  <c r="CL67" i="47"/>
  <c r="BL81" i="47"/>
  <c r="CB65" i="47"/>
  <c r="CD65" i="47" s="1"/>
  <c r="BK190" i="47"/>
  <c r="BT183" i="47"/>
  <c r="BU183" i="47"/>
  <c r="BV183" i="47" s="1"/>
  <c r="BX183" i="47" s="1"/>
  <c r="BY183" i="47" s="1"/>
  <c r="CB146" i="47"/>
  <c r="CD146" i="47" s="1"/>
  <c r="V56" i="47"/>
  <c r="BL56" i="47"/>
  <c r="FI96" i="47"/>
  <c r="CK174" i="47"/>
  <c r="CL159" i="47"/>
  <c r="FO28" i="47"/>
  <c r="FI46" i="47"/>
  <c r="CL17" i="47"/>
  <c r="CL81" i="47"/>
  <c r="CM79" i="47"/>
  <c r="BL79" i="47"/>
  <c r="BV61" i="47"/>
  <c r="BX61" i="47" s="1"/>
  <c r="BY61" i="47" s="1"/>
  <c r="BT92" i="47"/>
  <c r="U159" i="47"/>
  <c r="BK207" i="47"/>
  <c r="CK79" i="47"/>
  <c r="BL77" i="47"/>
  <c r="BL126" i="47"/>
  <c r="BU47" i="47"/>
  <c r="BV47" i="47" s="1"/>
  <c r="BX47" i="47" s="1"/>
  <c r="BY47" i="47" s="1"/>
  <c r="U17" i="47"/>
  <c r="CC47" i="47"/>
  <c r="CF47" i="47" s="1"/>
  <c r="BT48" i="47"/>
  <c r="V174" i="47"/>
  <c r="FO161" i="47"/>
  <c r="FO98" i="47"/>
  <c r="V79" i="47"/>
  <c r="BU46" i="47"/>
  <c r="BV46" i="47" s="1"/>
  <c r="CK159" i="47"/>
  <c r="CB172" i="47"/>
  <c r="CD172" i="47" s="1"/>
  <c r="BL115" i="47"/>
  <c r="CK81" i="47"/>
  <c r="FO149" i="47"/>
  <c r="FO162" i="47"/>
  <c r="FO35" i="47"/>
  <c r="BL174" i="47"/>
  <c r="U174" i="47"/>
  <c r="V159" i="47"/>
  <c r="CM97" i="47"/>
  <c r="CM81" i="47"/>
  <c r="CB97" i="47"/>
  <c r="CD97" i="47" s="1"/>
  <c r="CB159" i="47"/>
  <c r="CD159" i="47" s="1"/>
  <c r="V105" i="47"/>
  <c r="CB174" i="47"/>
  <c r="V207" i="47"/>
  <c r="V77" i="47"/>
  <c r="CC195" i="47"/>
  <c r="CF195" i="47" s="1"/>
  <c r="BK97" i="47"/>
  <c r="CL207" i="47"/>
  <c r="BK17" i="47"/>
  <c r="BT61" i="47"/>
  <c r="CL77" i="47"/>
  <c r="V17" i="47"/>
  <c r="CL97" i="47"/>
  <c r="U207" i="47"/>
  <c r="BL105" i="47"/>
  <c r="BK81" i="47"/>
  <c r="CC118" i="47"/>
  <c r="CF118" i="47" s="1"/>
  <c r="CB3" i="47"/>
  <c r="BK56" i="47"/>
  <c r="BK178" i="47"/>
  <c r="CB67" i="47"/>
  <c r="CD67" i="47" s="1"/>
  <c r="EV24" i="50"/>
  <c r="FB26" i="50"/>
  <c r="EZ24" i="50"/>
  <c r="BL18" i="50"/>
  <c r="EV26" i="50"/>
  <c r="FG103" i="50"/>
  <c r="FH102" i="50"/>
  <c r="FI102" i="50"/>
  <c r="FG102" i="50"/>
  <c r="FI103" i="50"/>
  <c r="FE102" i="50"/>
  <c r="FF102" i="50"/>
  <c r="FH20" i="50"/>
  <c r="BI264" i="48"/>
  <c r="BH264" i="48"/>
  <c r="V223" i="52"/>
  <c r="BL223" i="52"/>
  <c r="BM223" i="52"/>
  <c r="BT128" i="47"/>
  <c r="BU128" i="47"/>
  <c r="BV128" i="47" s="1"/>
  <c r="BX128" i="47" s="1"/>
  <c r="BY128" i="47" s="1"/>
  <c r="BI358" i="48"/>
  <c r="BH358" i="48"/>
  <c r="CD57" i="47"/>
  <c r="CC57" i="47"/>
  <c r="CF57" i="47" s="1"/>
  <c r="V156" i="47"/>
  <c r="FH30" i="50"/>
  <c r="BK152" i="47"/>
  <c r="BL150" i="52"/>
  <c r="BM150" i="52"/>
  <c r="V87" i="47"/>
  <c r="BL117" i="47"/>
  <c r="CL109" i="47"/>
  <c r="CM34" i="47"/>
  <c r="BU197" i="47"/>
  <c r="BV197" i="47" s="1"/>
  <c r="BX197" i="47" s="1"/>
  <c r="BY197" i="47" s="1"/>
  <c r="BL109" i="47"/>
  <c r="BA57" i="47"/>
  <c r="V57" i="47" s="1"/>
  <c r="FE100" i="50"/>
  <c r="FA85" i="50"/>
  <c r="EW75" i="50"/>
  <c r="BH146" i="48"/>
  <c r="BT51" i="47"/>
  <c r="BL190" i="47"/>
  <c r="BL178" i="47"/>
  <c r="BL120" i="47"/>
  <c r="CC62" i="47"/>
  <c r="CF62" i="47" s="1"/>
  <c r="BR63" i="47"/>
  <c r="BA198" i="47"/>
  <c r="CK198" i="47" s="1"/>
  <c r="CM76" i="47"/>
  <c r="BT62" i="47"/>
  <c r="FI30" i="50"/>
  <c r="FB75" i="50"/>
  <c r="CC128" i="47"/>
  <c r="CF128" i="47" s="1"/>
  <c r="BI306" i="48"/>
  <c r="EL14" i="48"/>
  <c r="CB113" i="47"/>
  <c r="CD113" i="47" s="1"/>
  <c r="CB63" i="47"/>
  <c r="CD63" i="47" s="1"/>
  <c r="U109" i="47"/>
  <c r="BL76" i="47"/>
  <c r="BL34" i="47"/>
  <c r="BT5" i="47"/>
  <c r="BH300" i="48"/>
  <c r="W178" i="52"/>
  <c r="X178" i="52" s="1"/>
  <c r="W225" i="52"/>
  <c r="FI99" i="47"/>
  <c r="W45" i="49"/>
  <c r="X45" i="49" s="1"/>
  <c r="BL121" i="47"/>
  <c r="CL34" i="47"/>
  <c r="CL101" i="47"/>
  <c r="FI57" i="47"/>
  <c r="AX157" i="48"/>
  <c r="BH157" i="48" s="1"/>
  <c r="BJ7" i="49"/>
  <c r="V203" i="47"/>
  <c r="CK34" i="47"/>
  <c r="CB6" i="47"/>
  <c r="CC6" i="47" s="1"/>
  <c r="CF6" i="47" s="1"/>
  <c r="ER75" i="50"/>
  <c r="BI290" i="48"/>
  <c r="BI463" i="48"/>
  <c r="EC10" i="48"/>
  <c r="W176" i="52"/>
  <c r="W223" i="52"/>
  <c r="BK121" i="47"/>
  <c r="CL203" i="47"/>
  <c r="CB94" i="47"/>
  <c r="U101" i="47"/>
  <c r="FB24" i="50"/>
  <c r="EX75" i="50"/>
  <c r="ER208" i="48"/>
  <c r="W12" i="49"/>
  <c r="X12" i="49" s="1"/>
  <c r="W59" i="49"/>
  <c r="X59" i="49" s="1"/>
  <c r="BK57" i="49"/>
  <c r="BJ12" i="49"/>
  <c r="BK59" i="49"/>
  <c r="BK31" i="49"/>
  <c r="BJ23" i="49"/>
  <c r="BJ9" i="49"/>
  <c r="W23" i="49"/>
  <c r="X23" i="49" s="1"/>
  <c r="W9" i="49"/>
  <c r="X9" i="49" s="1"/>
  <c r="BI249" i="48"/>
  <c r="BH249" i="48"/>
  <c r="BI193" i="48"/>
  <c r="BH193" i="48"/>
  <c r="BI446" i="48"/>
  <c r="BH446" i="48"/>
  <c r="BI346" i="48"/>
  <c r="BH346" i="48"/>
  <c r="EN367" i="48"/>
  <c r="EC8" i="48"/>
  <c r="EL10" i="48"/>
  <c r="EW10" i="48"/>
  <c r="EL426" i="48"/>
  <c r="FA427" i="48"/>
  <c r="ES68" i="48"/>
  <c r="FC68" i="48"/>
  <c r="EU68" i="48"/>
  <c r="EN93" i="48"/>
  <c r="BI362" i="48"/>
  <c r="BI132" i="48"/>
  <c r="BI420" i="48"/>
  <c r="BI326" i="48"/>
  <c r="BI96" i="48"/>
  <c r="BI231" i="48"/>
  <c r="FG72" i="50"/>
  <c r="FA38" i="50"/>
  <c r="ER38" i="50"/>
  <c r="FE71" i="50"/>
  <c r="FC38" i="50"/>
  <c r="EW38" i="50"/>
  <c r="FB38" i="50"/>
  <c r="FF71" i="50"/>
  <c r="EW85" i="50"/>
  <c r="EZ85" i="50"/>
  <c r="EV85" i="50"/>
  <c r="FE30" i="50"/>
  <c r="BK40" i="50"/>
  <c r="BU43" i="47"/>
  <c r="BT43" i="47"/>
  <c r="BK189" i="47"/>
  <c r="CL189" i="47"/>
  <c r="BT129" i="47"/>
  <c r="BU129" i="47"/>
  <c r="BV129" i="47" s="1"/>
  <c r="BX129" i="47" s="1"/>
  <c r="BY129" i="47" s="1"/>
  <c r="V188" i="47"/>
  <c r="BL188" i="47"/>
  <c r="BK94" i="47"/>
  <c r="BL94" i="47"/>
  <c r="FI146" i="47"/>
  <c r="FO146" i="47"/>
  <c r="BL161" i="47"/>
  <c r="BL44" i="47"/>
  <c r="CL42" i="47"/>
  <c r="BK42" i="47"/>
  <c r="CL103" i="47"/>
  <c r="CL99" i="47"/>
  <c r="U99" i="47"/>
  <c r="CK144" i="47"/>
  <c r="CK207" i="47"/>
  <c r="V172" i="47"/>
  <c r="CL135" i="47"/>
  <c r="BL23" i="47"/>
  <c r="BL17" i="47"/>
  <c r="BK115" i="47"/>
  <c r="U115" i="47"/>
  <c r="W115" i="47" s="1"/>
  <c r="CK85" i="47"/>
  <c r="CM85" i="47"/>
  <c r="CB17" i="47"/>
  <c r="CM152" i="47"/>
  <c r="CL131" i="47"/>
  <c r="U131" i="47"/>
  <c r="CL174" i="47"/>
  <c r="CL44" i="47"/>
  <c r="BL103" i="47"/>
  <c r="BL99" i="47"/>
  <c r="BL144" i="47"/>
  <c r="CM207" i="47"/>
  <c r="U135" i="47"/>
  <c r="CK17" i="47"/>
  <c r="CL115" i="47"/>
  <c r="BL85" i="47"/>
  <c r="BL5" i="47"/>
  <c r="BU191" i="47"/>
  <c r="BV191" i="47" s="1"/>
  <c r="BA125" i="47"/>
  <c r="V125" i="47" s="1"/>
  <c r="CB74" i="47"/>
  <c r="CD74" i="47" s="1"/>
  <c r="CB144" i="47"/>
  <c r="CB135" i="47"/>
  <c r="CD135" i="47" s="1"/>
  <c r="CB79" i="47"/>
  <c r="CD79" i="47" s="1"/>
  <c r="CB131" i="47"/>
  <c r="CD131" i="47" s="1"/>
  <c r="FO13" i="47"/>
  <c r="FI13" i="47"/>
  <c r="CB197" i="47"/>
  <c r="CC197" i="47" s="1"/>
  <c r="CF197" i="47" s="1"/>
  <c r="BA193" i="47"/>
  <c r="V193" i="47" s="1"/>
  <c r="CB211" i="47"/>
  <c r="CD211" i="47" s="1"/>
  <c r="CB163" i="47"/>
  <c r="CD163" i="47" s="1"/>
  <c r="CB91" i="47"/>
  <c r="CD91" i="47" s="1"/>
  <c r="CB203" i="47"/>
  <c r="CD203" i="47" s="1"/>
  <c r="FO133" i="47"/>
  <c r="FI133" i="47"/>
  <c r="CD196" i="47"/>
  <c r="CC196" i="47"/>
  <c r="CF196" i="47" s="1"/>
  <c r="BK193" i="47"/>
  <c r="CK87" i="47"/>
  <c r="CL87" i="47"/>
  <c r="BK87" i="47"/>
  <c r="U87" i="47"/>
  <c r="W87" i="47" s="1"/>
  <c r="CD127" i="47"/>
  <c r="CC127" i="47"/>
  <c r="CF127" i="47" s="1"/>
  <c r="BA21" i="47"/>
  <c r="V21" i="47" s="1"/>
  <c r="CD2" i="47"/>
  <c r="BA2" i="47"/>
  <c r="V2" i="47" s="1"/>
  <c r="CM158" i="47"/>
  <c r="CL158" i="47"/>
  <c r="BT37" i="47"/>
  <c r="BT33" i="47"/>
  <c r="CL56" i="47"/>
  <c r="BA196" i="47"/>
  <c r="V196" i="47" s="1"/>
  <c r="CM87" i="47"/>
  <c r="BL87" i="47"/>
  <c r="BK158" i="47"/>
  <c r="CC8" i="47"/>
  <c r="CF8" i="47" s="1"/>
  <c r="CK189" i="47"/>
  <c r="BL189" i="47"/>
  <c r="CK161" i="47"/>
  <c r="CM161" i="47"/>
  <c r="CD3" i="47"/>
  <c r="CC3" i="47"/>
  <c r="CF3" i="47" s="1"/>
  <c r="CB129" i="47"/>
  <c r="BA8" i="47"/>
  <c r="V8" i="47" s="1"/>
  <c r="BA177" i="47"/>
  <c r="CL177" i="47" s="1"/>
  <c r="BA127" i="47"/>
  <c r="V127" i="47" s="1"/>
  <c r="CB2" i="47"/>
  <c r="CC2" i="47" s="1"/>
  <c r="CF2" i="47" s="1"/>
  <c r="U76" i="47"/>
  <c r="CL76" i="47"/>
  <c r="BK76" i="47"/>
  <c r="BA38" i="47"/>
  <c r="V38" i="47" s="1"/>
  <c r="BA167" i="47"/>
  <c r="V167" i="47" s="1"/>
  <c r="CB167" i="47"/>
  <c r="CD167" i="47" s="1"/>
  <c r="CD140" i="47"/>
  <c r="BA140" i="47"/>
  <c r="BK140" i="47" s="1"/>
  <c r="BA69" i="47"/>
  <c r="CB69" i="47"/>
  <c r="CD69" i="47" s="1"/>
  <c r="BA150" i="47"/>
  <c r="BL150" i="47" s="1"/>
  <c r="BK105" i="47"/>
  <c r="U105" i="47"/>
  <c r="W105" i="47" s="1"/>
  <c r="CL105" i="47"/>
  <c r="CM133" i="47"/>
  <c r="U133" i="47"/>
  <c r="W133" i="47" s="1"/>
  <c r="CL133" i="47"/>
  <c r="BK133" i="47"/>
  <c r="CB173" i="47"/>
  <c r="CD173" i="47" s="1"/>
  <c r="BA173" i="47"/>
  <c r="CM173" i="47" s="1"/>
  <c r="BA95" i="47"/>
  <c r="CB95" i="47"/>
  <c r="CD95" i="47" s="1"/>
  <c r="BA27" i="47"/>
  <c r="BL27" i="47" s="1"/>
  <c r="CB76" i="47"/>
  <c r="CD76" i="47" s="1"/>
  <c r="CK156" i="47"/>
  <c r="BK156" i="47"/>
  <c r="U156" i="47"/>
  <c r="CL156" i="47"/>
  <c r="CD158" i="47"/>
  <c r="CB158" i="47"/>
  <c r="CB54" i="47"/>
  <c r="CD54" i="47" s="1"/>
  <c r="BA54" i="47"/>
  <c r="CK54" i="47" s="1"/>
  <c r="CD189" i="47"/>
  <c r="CC30" i="47"/>
  <c r="CB115" i="47"/>
  <c r="CD115" i="47" s="1"/>
  <c r="FI113" i="47"/>
  <c r="FO113" i="47"/>
  <c r="BM198" i="52"/>
  <c r="V198" i="52"/>
  <c r="BM111" i="52"/>
  <c r="V111" i="52"/>
  <c r="BB25" i="52"/>
  <c r="V25" i="52" s="1"/>
  <c r="BB98" i="52"/>
  <c r="V98" i="52" s="1"/>
  <c r="BB210" i="52"/>
  <c r="V210" i="52" s="1"/>
  <c r="BB259" i="52"/>
  <c r="V259" i="52" s="1"/>
  <c r="BB27" i="52"/>
  <c r="V27" i="52" s="1"/>
  <c r="BB99" i="52"/>
  <c r="V99" i="52" s="1"/>
  <c r="BB84" i="52"/>
  <c r="V84" i="52" s="1"/>
  <c r="BB193" i="52"/>
  <c r="V193" i="52" s="1"/>
  <c r="BB262" i="52"/>
  <c r="V262" i="52" s="1"/>
  <c r="BB125" i="52"/>
  <c r="V125" i="52" s="1"/>
  <c r="BB101" i="52"/>
  <c r="BB236" i="52"/>
  <c r="V236" i="52" s="1"/>
  <c r="BB189" i="52"/>
  <c r="V189" i="52" s="1"/>
  <c r="BB281" i="52"/>
  <c r="BB218" i="52"/>
  <c r="BM218" i="52" s="1"/>
  <c r="BM66" i="52"/>
  <c r="V66" i="52"/>
  <c r="BM64" i="52"/>
  <c r="V64" i="52"/>
  <c r="BM60" i="52"/>
  <c r="V60" i="52"/>
  <c r="BM214" i="52"/>
  <c r="V214" i="52"/>
  <c r="BM180" i="52"/>
  <c r="V180" i="52"/>
  <c r="BM201" i="52"/>
  <c r="V201" i="52"/>
  <c r="BM196" i="52"/>
  <c r="V196" i="52"/>
  <c r="BB78" i="52"/>
  <c r="V78" i="52" s="1"/>
  <c r="BB90" i="52"/>
  <c r="V90" i="52" s="1"/>
  <c r="BB81" i="52"/>
  <c r="V81" i="52" s="1"/>
  <c r="BB237" i="52"/>
  <c r="V237" i="52" s="1"/>
  <c r="BB251" i="52"/>
  <c r="V251" i="52" s="1"/>
  <c r="BB19" i="52"/>
  <c r="V19" i="52" s="1"/>
  <c r="BB24" i="52"/>
  <c r="V24" i="52" s="1"/>
  <c r="BB91" i="52"/>
  <c r="V91" i="52" s="1"/>
  <c r="BB30" i="52"/>
  <c r="V30" i="52" s="1"/>
  <c r="BB76" i="52"/>
  <c r="V76" i="52" s="1"/>
  <c r="BB213" i="52"/>
  <c r="V213" i="52" s="1"/>
  <c r="BB250" i="52"/>
  <c r="V250" i="52" s="1"/>
  <c r="BB253" i="52"/>
  <c r="V253" i="52" s="1"/>
  <c r="BB128" i="52"/>
  <c r="V128" i="52" s="1"/>
  <c r="BB93" i="52"/>
  <c r="V93" i="52" s="1"/>
  <c r="BB211" i="52"/>
  <c r="V211" i="52" s="1"/>
  <c r="BB26" i="52"/>
  <c r="V26" i="52" s="1"/>
  <c r="BB238" i="52"/>
  <c r="V238" i="52" s="1"/>
  <c r="W192" i="52"/>
  <c r="X192" i="52" s="1"/>
  <c r="W180" i="52"/>
  <c r="BB177" i="52"/>
  <c r="W177" i="52" s="1"/>
  <c r="BB173" i="52"/>
  <c r="W173" i="52" s="1"/>
  <c r="BB169" i="52"/>
  <c r="W169" i="52" s="1"/>
  <c r="BB165" i="52"/>
  <c r="W165" i="52" s="1"/>
  <c r="BB161" i="52"/>
  <c r="W161" i="52" s="1"/>
  <c r="BB231" i="52"/>
  <c r="BM231" i="52" s="1"/>
  <c r="BB226" i="52"/>
  <c r="BB222" i="52"/>
  <c r="BM222" i="52" s="1"/>
  <c r="BB268" i="52"/>
  <c r="W209" i="52"/>
  <c r="X209" i="52" s="1"/>
  <c r="W3" i="52"/>
  <c r="X3" i="52" s="1"/>
  <c r="BB146" i="52"/>
  <c r="W146" i="52" s="1"/>
  <c r="BB142" i="52"/>
  <c r="W142" i="52" s="1"/>
  <c r="BB148" i="52"/>
  <c r="BB219" i="52"/>
  <c r="BB145" i="52"/>
  <c r="W145" i="52" s="1"/>
  <c r="BB141" i="52"/>
  <c r="BM141" i="52" s="1"/>
  <c r="BB172" i="52"/>
  <c r="W172" i="52" s="1"/>
  <c r="BB156" i="52"/>
  <c r="BB230" i="52"/>
  <c r="BM230" i="52" s="1"/>
  <c r="W111" i="52"/>
  <c r="BB149" i="52"/>
  <c r="BM149" i="52" s="1"/>
  <c r="BB115" i="52"/>
  <c r="W115" i="52" s="1"/>
  <c r="BB18" i="52"/>
  <c r="W18" i="52" s="1"/>
  <c r="BB155" i="52"/>
  <c r="W155" i="52" s="1"/>
  <c r="W2" i="52"/>
  <c r="X2" i="52" s="1"/>
  <c r="BB154" i="52"/>
  <c r="W4" i="52"/>
  <c r="X4" i="52" s="1"/>
  <c r="W198" i="52"/>
  <c r="W266" i="52"/>
  <c r="X266" i="52" s="1"/>
  <c r="W168" i="52"/>
  <c r="X168" i="52" s="1"/>
  <c r="BB164" i="52"/>
  <c r="V164" i="52" s="1"/>
  <c r="BB157" i="52"/>
  <c r="V157" i="52" s="1"/>
  <c r="BB113" i="52"/>
  <c r="V113" i="52" s="1"/>
  <c r="BB65" i="52"/>
  <c r="W65" i="52" s="1"/>
  <c r="BM62" i="52"/>
  <c r="V62" i="52"/>
  <c r="BM59" i="52"/>
  <c r="V59" i="52"/>
  <c r="X59" i="52" s="1"/>
  <c r="BB112" i="52"/>
  <c r="V112" i="52" s="1"/>
  <c r="BL278" i="52"/>
  <c r="BB264" i="52"/>
  <c r="W264" i="52" s="1"/>
  <c r="X162" i="52"/>
  <c r="BM199" i="52"/>
  <c r="V199" i="52"/>
  <c r="X199" i="52" s="1"/>
  <c r="BM197" i="52"/>
  <c r="V197" i="52"/>
  <c r="BB195" i="52"/>
  <c r="BB44" i="52"/>
  <c r="V44" i="52" s="1"/>
  <c r="BB261" i="52"/>
  <c r="V261" i="52" s="1"/>
  <c r="BB267" i="52"/>
  <c r="V267" i="52" s="1"/>
  <c r="BB202" i="52"/>
  <c r="V202" i="52" s="1"/>
  <c r="BB82" i="52"/>
  <c r="V82" i="52" s="1"/>
  <c r="BB74" i="52"/>
  <c r="V74" i="52" s="1"/>
  <c r="BB94" i="52"/>
  <c r="V94" i="52" s="1"/>
  <c r="BB77" i="52"/>
  <c r="V77" i="52" s="1"/>
  <c r="BB241" i="52"/>
  <c r="V241" i="52" s="1"/>
  <c r="BB252" i="52"/>
  <c r="V252" i="52" s="1"/>
  <c r="BB255" i="52"/>
  <c r="V255" i="52" s="1"/>
  <c r="BB31" i="52"/>
  <c r="V31" i="52" s="1"/>
  <c r="BB23" i="52"/>
  <c r="V23" i="52" s="1"/>
  <c r="BB133" i="52"/>
  <c r="BM133" i="52" s="1"/>
  <c r="BB127" i="52"/>
  <c r="V127" i="52" s="1"/>
  <c r="BB20" i="52"/>
  <c r="V20" i="52" s="1"/>
  <c r="BB95" i="52"/>
  <c r="V95" i="52" s="1"/>
  <c r="BB87" i="52"/>
  <c r="V87" i="52" s="1"/>
  <c r="BB126" i="52"/>
  <c r="V126" i="52" s="1"/>
  <c r="BB80" i="52"/>
  <c r="V80" i="52" s="1"/>
  <c r="BB190" i="52"/>
  <c r="V190" i="52" s="1"/>
  <c r="BB100" i="52"/>
  <c r="V100" i="52" s="1"/>
  <c r="BB96" i="52"/>
  <c r="V96" i="52" s="1"/>
  <c r="BB92" i="52"/>
  <c r="V92" i="52" s="1"/>
  <c r="BB86" i="52"/>
  <c r="V86" i="52" s="1"/>
  <c r="W83" i="52"/>
  <c r="X83" i="52" s="1"/>
  <c r="BB79" i="52"/>
  <c r="V79" i="52" s="1"/>
  <c r="BB75" i="52"/>
  <c r="V75" i="52" s="1"/>
  <c r="BB212" i="52"/>
  <c r="V212" i="52" s="1"/>
  <c r="BB239" i="52"/>
  <c r="V239" i="52" s="1"/>
  <c r="BB256" i="52"/>
  <c r="V256" i="52" s="1"/>
  <c r="BB257" i="52"/>
  <c r="V257" i="52" s="1"/>
  <c r="BB249" i="52"/>
  <c r="V249" i="52" s="1"/>
  <c r="BB29" i="52"/>
  <c r="V29" i="52" s="1"/>
  <c r="BB21" i="52"/>
  <c r="V21" i="52" s="1"/>
  <c r="BB135" i="52"/>
  <c r="V135" i="52" s="1"/>
  <c r="BB131" i="52"/>
  <c r="V131" i="52" s="1"/>
  <c r="BB132" i="52"/>
  <c r="V132" i="52" s="1"/>
  <c r="BB97" i="52"/>
  <c r="V97" i="52" s="1"/>
  <c r="BB89" i="52"/>
  <c r="V89" i="52" s="1"/>
  <c r="BB88" i="52"/>
  <c r="V88" i="52" s="1"/>
  <c r="BB240" i="52"/>
  <c r="V240" i="52" s="1"/>
  <c r="BB242" i="52"/>
  <c r="V242" i="52" s="1"/>
  <c r="BB248" i="52"/>
  <c r="V248" i="52" s="1"/>
  <c r="BM281" i="52"/>
  <c r="BB208" i="52"/>
  <c r="W208" i="52" s="1"/>
  <c r="BB277" i="52"/>
  <c r="W277" i="52" s="1"/>
  <c r="BB279" i="52"/>
  <c r="V279" i="52" s="1"/>
  <c r="W179" i="52"/>
  <c r="X179" i="52" s="1"/>
  <c r="BB175" i="52"/>
  <c r="V175" i="52" s="1"/>
  <c r="BB171" i="52"/>
  <c r="V171" i="52" s="1"/>
  <c r="BB167" i="52"/>
  <c r="V167" i="52" s="1"/>
  <c r="BB163" i="52"/>
  <c r="V163" i="52" s="1"/>
  <c r="BB159" i="52"/>
  <c r="V159" i="52" s="1"/>
  <c r="BB235" i="52"/>
  <c r="V235" i="52" s="1"/>
  <c r="BB228" i="52"/>
  <c r="BB224" i="52"/>
  <c r="BB220" i="52"/>
  <c r="BB275" i="52"/>
  <c r="BM275" i="52" s="1"/>
  <c r="BB233" i="52"/>
  <c r="BB61" i="52"/>
  <c r="BL61" i="52" s="1"/>
  <c r="BB43" i="52"/>
  <c r="V43" i="52" s="1"/>
  <c r="BB63" i="52"/>
  <c r="BL63" i="52" s="1"/>
  <c r="BB200" i="52"/>
  <c r="BL200" i="52" s="1"/>
  <c r="BB194" i="52"/>
  <c r="BL194" i="52" s="1"/>
  <c r="BB265" i="52"/>
  <c r="BL265" i="52" s="1"/>
  <c r="W263" i="52"/>
  <c r="X263" i="52" s="1"/>
  <c r="BB116" i="52"/>
  <c r="W116" i="52" s="1"/>
  <c r="BB144" i="52"/>
  <c r="W144" i="52" s="1"/>
  <c r="BB118" i="52"/>
  <c r="W118" i="52" s="1"/>
  <c r="BB260" i="52"/>
  <c r="W260" i="52" s="1"/>
  <c r="W108" i="52"/>
  <c r="X108" i="52" s="1"/>
  <c r="W114" i="52"/>
  <c r="X114" i="52" s="1"/>
  <c r="BB227" i="52"/>
  <c r="W227" i="52" s="1"/>
  <c r="BB221" i="52"/>
  <c r="W221" i="52" s="1"/>
  <c r="BB276" i="52"/>
  <c r="W276" i="52" s="1"/>
  <c r="BB147" i="52"/>
  <c r="W147" i="52" s="1"/>
  <c r="BB143" i="52"/>
  <c r="W143" i="52" s="1"/>
  <c r="BB174" i="52"/>
  <c r="W174" i="52" s="1"/>
  <c r="W166" i="52"/>
  <c r="X166" i="52" s="1"/>
  <c r="W158" i="52"/>
  <c r="X158" i="52" s="1"/>
  <c r="BB234" i="52"/>
  <c r="W234" i="52" s="1"/>
  <c r="BB280" i="52"/>
  <c r="W280" i="52" s="1"/>
  <c r="BB42" i="52"/>
  <c r="V42" i="52" s="1"/>
  <c r="W64" i="52"/>
  <c r="BB203" i="52"/>
  <c r="V203" i="52" s="1"/>
  <c r="BB153" i="52"/>
  <c r="BB151" i="52"/>
  <c r="BB152" i="52"/>
  <c r="W66" i="52"/>
  <c r="X176" i="52"/>
  <c r="W160" i="52"/>
  <c r="X160" i="52" s="1"/>
  <c r="W278" i="52"/>
  <c r="X278" i="52" s="1"/>
  <c r="W201" i="52"/>
  <c r="W196" i="52"/>
  <c r="W214" i="52"/>
  <c r="W60" i="52"/>
  <c r="X225" i="52"/>
  <c r="W197" i="52"/>
  <c r="W62" i="52"/>
  <c r="BH280" i="48"/>
  <c r="BI280" i="48"/>
  <c r="BH330" i="48"/>
  <c r="BI330" i="48"/>
  <c r="BH241" i="48"/>
  <c r="BI241" i="48"/>
  <c r="BI140" i="48"/>
  <c r="BH140" i="48"/>
  <c r="AX260" i="48"/>
  <c r="BH260" i="48" s="1"/>
  <c r="EY406" i="48"/>
  <c r="EC367" i="48"/>
  <c r="EY367" i="48"/>
  <c r="EN427" i="48"/>
  <c r="ES324" i="48"/>
  <c r="EY68" i="48"/>
  <c r="EC405" i="48"/>
  <c r="EY405" i="48"/>
  <c r="EC208" i="48"/>
  <c r="FA208" i="48"/>
  <c r="ET208" i="48"/>
  <c r="FE208" i="48"/>
  <c r="EL208" i="48"/>
  <c r="EV93" i="48"/>
  <c r="EY93" i="48"/>
  <c r="EV14" i="48"/>
  <c r="ES14" i="48"/>
  <c r="FC14" i="48"/>
  <c r="BI382" i="48"/>
  <c r="BI268" i="48"/>
  <c r="BI296" i="48"/>
  <c r="BI320" i="48"/>
  <c r="BL167" i="52"/>
  <c r="EZ367" i="48"/>
  <c r="EZ93" i="48"/>
  <c r="BI245" i="48"/>
  <c r="ES436" i="48"/>
  <c r="EN406" i="48"/>
  <c r="FA367" i="48"/>
  <c r="EV367" i="48"/>
  <c r="ET367" i="48"/>
  <c r="FE367" i="48"/>
  <c r="EL367" i="48"/>
  <c r="EU8" i="48"/>
  <c r="EL324" i="48"/>
  <c r="BI177" i="48"/>
  <c r="EN68" i="48"/>
  <c r="BI61" i="48"/>
  <c r="EL368" i="48"/>
  <c r="EZ208" i="48"/>
  <c r="ER93" i="48"/>
  <c r="FA93" i="48"/>
  <c r="ET93" i="48"/>
  <c r="FE93" i="48"/>
  <c r="EL93" i="48"/>
  <c r="ET14" i="48"/>
  <c r="FA14" i="48"/>
  <c r="EN14" i="48"/>
  <c r="EU14" i="48"/>
  <c r="EZ14" i="48"/>
  <c r="FF14" i="48"/>
  <c r="ER14" i="48"/>
  <c r="BI354" i="48"/>
  <c r="BI338" i="48"/>
  <c r="BI312" i="48"/>
  <c r="BI257" i="48"/>
  <c r="BI288" i="48"/>
  <c r="BH374" i="48"/>
  <c r="BH292" i="48"/>
  <c r="BH262" i="48"/>
  <c r="BH179" i="48"/>
  <c r="BH163" i="48"/>
  <c r="BH304" i="48"/>
  <c r="BH452" i="48"/>
  <c r="BH442" i="48"/>
  <c r="BI434" i="48"/>
  <c r="BH434" i="48"/>
  <c r="BH424" i="48"/>
  <c r="BH112" i="48"/>
  <c r="BH461" i="48"/>
  <c r="BH215" i="48"/>
  <c r="BI215" i="48"/>
  <c r="BI412" i="48"/>
  <c r="BH412" i="48"/>
  <c r="BH386" i="48"/>
  <c r="BH205" i="48"/>
  <c r="EO43" i="48"/>
  <c r="EL43" i="48"/>
  <c r="EY43" i="48"/>
  <c r="FA43" i="48"/>
  <c r="ER43" i="48"/>
  <c r="FE43" i="48"/>
  <c r="ET8" i="48"/>
  <c r="BI5" i="48"/>
  <c r="BI15" i="48"/>
  <c r="FF114" i="48"/>
  <c r="ET114" i="48"/>
  <c r="FE114" i="48"/>
  <c r="FF92" i="48"/>
  <c r="ET92" i="48"/>
  <c r="FE92" i="48"/>
  <c r="AX302" i="48"/>
  <c r="BI302" i="48" s="1"/>
  <c r="AX233" i="48"/>
  <c r="BH274" i="48"/>
  <c r="AX195" i="48"/>
  <c r="AX114" i="48"/>
  <c r="BH294" i="48"/>
  <c r="BH138" i="48"/>
  <c r="BH40" i="48"/>
  <c r="FE8" i="48"/>
  <c r="FF8" i="48"/>
  <c r="EL436" i="48"/>
  <c r="FF406" i="48"/>
  <c r="ET406" i="48"/>
  <c r="FE406" i="48"/>
  <c r="EU367" i="48"/>
  <c r="FF367" i="48"/>
  <c r="EN8" i="48"/>
  <c r="EZ8" i="48"/>
  <c r="EL8" i="48"/>
  <c r="EY8" i="48"/>
  <c r="EW8" i="48"/>
  <c r="EV10" i="48"/>
  <c r="ES10" i="48"/>
  <c r="FC10" i="48"/>
  <c r="EC427" i="48"/>
  <c r="EY427" i="48"/>
  <c r="BH390" i="48"/>
  <c r="BH185" i="48"/>
  <c r="BI473" i="48"/>
  <c r="BI328" i="48"/>
  <c r="BI188" i="48"/>
  <c r="BH132" i="48"/>
  <c r="BH116" i="48"/>
  <c r="FF68" i="48"/>
  <c r="ET68" i="48"/>
  <c r="FE68" i="48"/>
  <c r="BH465" i="48"/>
  <c r="ES368" i="48"/>
  <c r="BH308" i="48"/>
  <c r="BH231" i="48"/>
  <c r="EU208" i="48"/>
  <c r="FF208" i="48"/>
  <c r="BH108" i="48"/>
  <c r="EW114" i="48"/>
  <c r="FC114" i="48"/>
  <c r="EU114" i="48"/>
  <c r="EN114" i="48"/>
  <c r="EY114" i="48"/>
  <c r="EU93" i="48"/>
  <c r="FF93" i="48"/>
  <c r="ES92" i="48"/>
  <c r="FC92" i="48"/>
  <c r="EU92" i="48"/>
  <c r="EN92" i="48"/>
  <c r="EY92" i="48"/>
  <c r="FE14" i="48"/>
  <c r="BI318" i="48"/>
  <c r="BI442" i="48"/>
  <c r="BI416" i="48"/>
  <c r="BI366" i="48"/>
  <c r="BI350" i="48"/>
  <c r="BI334" i="48"/>
  <c r="BI424" i="48"/>
  <c r="BI219" i="48"/>
  <c r="BI116" i="48"/>
  <c r="BI452" i="48"/>
  <c r="BI102" i="48"/>
  <c r="BI78" i="48"/>
  <c r="BI74" i="48"/>
  <c r="ET43" i="48"/>
  <c r="EC43" i="48"/>
  <c r="EV43" i="48"/>
  <c r="EN43" i="48"/>
  <c r="AX60" i="48"/>
  <c r="AX94" i="48"/>
  <c r="BI94" i="48" s="1"/>
  <c r="AX32" i="48"/>
  <c r="AX270" i="48"/>
  <c r="AX467" i="48"/>
  <c r="BI467" i="48" s="1"/>
  <c r="BH306" i="48"/>
  <c r="AX221" i="48"/>
  <c r="AX84" i="48"/>
  <c r="BI84" i="48" s="1"/>
  <c r="BI72" i="48"/>
  <c r="BH376" i="48"/>
  <c r="BI294" i="48"/>
  <c r="BI259" i="48"/>
  <c r="BI138" i="48"/>
  <c r="BH118" i="48"/>
  <c r="BI165" i="48"/>
  <c r="BH126" i="48"/>
  <c r="BI40" i="48"/>
  <c r="BI286" i="48"/>
  <c r="BI92" i="48"/>
  <c r="BH24" i="48"/>
  <c r="EA263" i="48"/>
  <c r="EO263" i="48" s="1"/>
  <c r="BH357" i="48"/>
  <c r="BH336" i="48"/>
  <c r="BH208" i="48"/>
  <c r="BI200" i="48"/>
  <c r="BH200" i="48"/>
  <c r="BI192" i="48"/>
  <c r="BH192" i="48"/>
  <c r="BH184" i="48"/>
  <c r="BI184" i="48"/>
  <c r="EA171" i="48"/>
  <c r="EO171" i="48" s="1"/>
  <c r="EA163" i="48"/>
  <c r="EO163" i="48" s="1"/>
  <c r="AX109" i="48"/>
  <c r="BI182" i="48"/>
  <c r="BH182" i="48"/>
  <c r="BI147" i="48"/>
  <c r="BH147" i="48"/>
  <c r="BH139" i="48"/>
  <c r="BI135" i="48"/>
  <c r="BH135" i="48"/>
  <c r="BI131" i="48"/>
  <c r="BH131" i="48"/>
  <c r="BH123" i="48"/>
  <c r="BI119" i="48"/>
  <c r="BH119" i="48"/>
  <c r="BI115" i="48"/>
  <c r="BH115" i="48"/>
  <c r="EA97" i="48"/>
  <c r="EO97" i="48" s="1"/>
  <c r="AX66" i="48"/>
  <c r="AX62" i="48"/>
  <c r="EA57" i="48"/>
  <c r="EO57" i="48" s="1"/>
  <c r="AX44" i="48"/>
  <c r="AX26" i="48"/>
  <c r="BI26" i="48" s="1"/>
  <c r="AX11" i="48"/>
  <c r="EY10" i="48"/>
  <c r="EZ426" i="48"/>
  <c r="EC426" i="48"/>
  <c r="ER426" i="48"/>
  <c r="EV426" i="48"/>
  <c r="FA426" i="48"/>
  <c r="BH423" i="48"/>
  <c r="AX469" i="48"/>
  <c r="BI469" i="48" s="1"/>
  <c r="AX431" i="48"/>
  <c r="BI431" i="48" s="1"/>
  <c r="BI419" i="48"/>
  <c r="BH419" i="48"/>
  <c r="AX387" i="48"/>
  <c r="AX335" i="48"/>
  <c r="AX327" i="48"/>
  <c r="BH455" i="48"/>
  <c r="ES427" i="48"/>
  <c r="EW427" i="48"/>
  <c r="FC427" i="48"/>
  <c r="BH405" i="48"/>
  <c r="BI405" i="48"/>
  <c r="AX313" i="48"/>
  <c r="BI313" i="48" s="1"/>
  <c r="AX297" i="48"/>
  <c r="AX281" i="48"/>
  <c r="BI281" i="48" s="1"/>
  <c r="AX265" i="48"/>
  <c r="AX250" i="48"/>
  <c r="BI250" i="48" s="1"/>
  <c r="AX242" i="48"/>
  <c r="BH396" i="48"/>
  <c r="BH393" i="48"/>
  <c r="BI337" i="48"/>
  <c r="BH337" i="48"/>
  <c r="BH299" i="48"/>
  <c r="BH283" i="48"/>
  <c r="BI283" i="48"/>
  <c r="BH267" i="48"/>
  <c r="BH248" i="48"/>
  <c r="BH240" i="48"/>
  <c r="BH365" i="48"/>
  <c r="AX168" i="48"/>
  <c r="BI168" i="48" s="1"/>
  <c r="BH333" i="48"/>
  <c r="AX152" i="48"/>
  <c r="BH170" i="48"/>
  <c r="BI170" i="48"/>
  <c r="BH154" i="48"/>
  <c r="EA112" i="48"/>
  <c r="EO112" i="48" s="1"/>
  <c r="AX87" i="48"/>
  <c r="AX77" i="48"/>
  <c r="EA75" i="48"/>
  <c r="EO75" i="48" s="1"/>
  <c r="AX67" i="48"/>
  <c r="BI67" i="48" s="1"/>
  <c r="AX55" i="48"/>
  <c r="AX46" i="48"/>
  <c r="BI46" i="48" s="1"/>
  <c r="AX43" i="48"/>
  <c r="AX38" i="48"/>
  <c r="BI38" i="48" s="1"/>
  <c r="AX35" i="48"/>
  <c r="AX23" i="48"/>
  <c r="BI23" i="48" s="1"/>
  <c r="BI10" i="48"/>
  <c r="EA18" i="48"/>
  <c r="EY18" i="48" s="1"/>
  <c r="EA45" i="48"/>
  <c r="EO45" i="48" s="1"/>
  <c r="BH474" i="48"/>
  <c r="BI474" i="48"/>
  <c r="AX453" i="48"/>
  <c r="BI453" i="48" s="1"/>
  <c r="AX409" i="48"/>
  <c r="AX391" i="48"/>
  <c r="AX375" i="48"/>
  <c r="AX315" i="48"/>
  <c r="BI397" i="48"/>
  <c r="BH397" i="48"/>
  <c r="EZ324" i="48"/>
  <c r="EC324" i="48"/>
  <c r="ER324" i="48"/>
  <c r="EV324" i="48"/>
  <c r="FA324" i="48"/>
  <c r="AX301" i="48"/>
  <c r="AX285" i="48"/>
  <c r="AX269" i="48"/>
  <c r="AX246" i="48"/>
  <c r="AX232" i="48"/>
  <c r="AX216" i="48"/>
  <c r="AX198" i="48"/>
  <c r="BH353" i="48"/>
  <c r="BI353" i="48"/>
  <c r="BH352" i="48"/>
  <c r="BH329" i="48"/>
  <c r="BI329" i="48"/>
  <c r="FF314" i="48"/>
  <c r="ES314" i="48"/>
  <c r="FC314" i="48"/>
  <c r="EN314" i="48"/>
  <c r="ET314" i="48"/>
  <c r="EY314" i="48"/>
  <c r="FE314" i="48"/>
  <c r="BH214" i="48"/>
  <c r="BI214" i="48"/>
  <c r="AX180" i="48"/>
  <c r="AX172" i="48"/>
  <c r="AX164" i="48"/>
  <c r="AX156" i="48"/>
  <c r="AX148" i="48"/>
  <c r="BH178" i="48"/>
  <c r="BI178" i="48"/>
  <c r="BH143" i="48"/>
  <c r="BI143" i="48"/>
  <c r="BH127" i="48"/>
  <c r="BI127" i="48"/>
  <c r="AX99" i="48"/>
  <c r="AX83" i="48"/>
  <c r="AX71" i="48"/>
  <c r="BI111" i="48"/>
  <c r="BH111" i="48"/>
  <c r="BI4" i="48"/>
  <c r="BH4" i="48"/>
  <c r="AX472" i="48"/>
  <c r="AX468" i="48"/>
  <c r="AX458" i="48"/>
  <c r="AX447" i="48"/>
  <c r="BH415" i="48"/>
  <c r="BH407" i="48"/>
  <c r="AX462" i="48"/>
  <c r="BH448" i="48"/>
  <c r="BI445" i="48"/>
  <c r="BH445" i="48"/>
  <c r="ES405" i="48"/>
  <c r="EW405" i="48"/>
  <c r="FC405" i="48"/>
  <c r="BI385" i="48"/>
  <c r="BH385" i="48"/>
  <c r="BH369" i="48"/>
  <c r="BI369" i="48"/>
  <c r="AX236" i="48"/>
  <c r="AX202" i="48"/>
  <c r="AX186" i="48"/>
  <c r="BH471" i="48"/>
  <c r="BH404" i="48"/>
  <c r="BI401" i="48"/>
  <c r="BH401" i="48"/>
  <c r="EZ368" i="48"/>
  <c r="EC368" i="48"/>
  <c r="ER368" i="48"/>
  <c r="EV368" i="48"/>
  <c r="FA368" i="48"/>
  <c r="BI234" i="48"/>
  <c r="BH234" i="48"/>
  <c r="BH218" i="48"/>
  <c r="BI218" i="48"/>
  <c r="AX160" i="48"/>
  <c r="BH325" i="48"/>
  <c r="AX129" i="48"/>
  <c r="BH106" i="48"/>
  <c r="BH98" i="48"/>
  <c r="BH90" i="48"/>
  <c r="BH82" i="48"/>
  <c r="BH70" i="48"/>
  <c r="AX59" i="48"/>
  <c r="AX39" i="48"/>
  <c r="BH3" i="48"/>
  <c r="AX18" i="48"/>
  <c r="EA13" i="48"/>
  <c r="EY13" i="48" s="1"/>
  <c r="BH12" i="48"/>
  <c r="BI8" i="48"/>
  <c r="BH8" i="48"/>
  <c r="EA55" i="48"/>
  <c r="EO55" i="48" s="1"/>
  <c r="BH9" i="48"/>
  <c r="BI139" i="48"/>
  <c r="BI461" i="48"/>
  <c r="BI408" i="48"/>
  <c r="BI227" i="48"/>
  <c r="BI237" i="48"/>
  <c r="BI144" i="48"/>
  <c r="BI128" i="48"/>
  <c r="BH450" i="48"/>
  <c r="BI378" i="48"/>
  <c r="BI322" i="48"/>
  <c r="BI248" i="48"/>
  <c r="BI390" i="48"/>
  <c r="BI365" i="48"/>
  <c r="BI292" i="48"/>
  <c r="BI262" i="48"/>
  <c r="BI205" i="48"/>
  <c r="BI179" i="48"/>
  <c r="BI171" i="48"/>
  <c r="BI163" i="48"/>
  <c r="BI304" i="48"/>
  <c r="BI211" i="48"/>
  <c r="BH86" i="48"/>
  <c r="BH76" i="48"/>
  <c r="BH58" i="48"/>
  <c r="ES43" i="48"/>
  <c r="EW43" i="48"/>
  <c r="FC43" i="48"/>
  <c r="EA236" i="48"/>
  <c r="EO236" i="48" s="1"/>
  <c r="BI460" i="48"/>
  <c r="BH460" i="48"/>
  <c r="EZ436" i="48"/>
  <c r="EC436" i="48"/>
  <c r="ER436" i="48"/>
  <c r="EV436" i="48"/>
  <c r="FA436" i="48"/>
  <c r="AX399" i="48"/>
  <c r="AX383" i="48"/>
  <c r="AX331" i="48"/>
  <c r="BH432" i="48"/>
  <c r="BH427" i="48"/>
  <c r="BI427" i="48"/>
  <c r="AX309" i="48"/>
  <c r="BI309" i="48" s="1"/>
  <c r="AX277" i="48"/>
  <c r="AX254" i="48"/>
  <c r="BI254" i="48" s="1"/>
  <c r="AX224" i="48"/>
  <c r="AX190" i="48"/>
  <c r="BI190" i="48" s="1"/>
  <c r="BI432" i="48"/>
  <c r="AX466" i="48"/>
  <c r="BI466" i="48" s="1"/>
  <c r="FC436" i="48"/>
  <c r="EW436" i="48"/>
  <c r="EU436" i="48"/>
  <c r="FF436" i="48"/>
  <c r="EN436" i="48"/>
  <c r="ET436" i="48"/>
  <c r="EY436" i="48"/>
  <c r="FE436" i="48"/>
  <c r="AX417" i="48"/>
  <c r="BI417" i="48" s="1"/>
  <c r="BH459" i="48"/>
  <c r="BI455" i="48"/>
  <c r="AX355" i="48"/>
  <c r="AX339" i="48"/>
  <c r="BI339" i="48" s="1"/>
  <c r="AX323" i="48"/>
  <c r="BI323" i="48" s="1"/>
  <c r="EZ406" i="48"/>
  <c r="EC406" i="48"/>
  <c r="ER406" i="48"/>
  <c r="EV406" i="48"/>
  <c r="FA406" i="48"/>
  <c r="BH389" i="48"/>
  <c r="BI389" i="48"/>
  <c r="BI381" i="48"/>
  <c r="BH381" i="48"/>
  <c r="BI373" i="48"/>
  <c r="BH373" i="48"/>
  <c r="BH321" i="48"/>
  <c r="BI321" i="48"/>
  <c r="AX293" i="48"/>
  <c r="BI293" i="48" s="1"/>
  <c r="AX263" i="48"/>
  <c r="AX238" i="48"/>
  <c r="BI238" i="48" s="1"/>
  <c r="AX206" i="48"/>
  <c r="BH368" i="48"/>
  <c r="BH361" i="48"/>
  <c r="BI361" i="48"/>
  <c r="BH360" i="48"/>
  <c r="BI357" i="48"/>
  <c r="BH345" i="48"/>
  <c r="BI345" i="48"/>
  <c r="BH344" i="48"/>
  <c r="BI261" i="48"/>
  <c r="BH261" i="48"/>
  <c r="BI252" i="48"/>
  <c r="BH252" i="48"/>
  <c r="BI244" i="48"/>
  <c r="BH244" i="48"/>
  <c r="BH367" i="48"/>
  <c r="ES367" i="48"/>
  <c r="EW367" i="48"/>
  <c r="FC367" i="48"/>
  <c r="BI299" i="48"/>
  <c r="BI267" i="48"/>
  <c r="EA211" i="48"/>
  <c r="EO211" i="48" s="1"/>
  <c r="BI162" i="48"/>
  <c r="BH162" i="48"/>
  <c r="AX141" i="48"/>
  <c r="AX133" i="48"/>
  <c r="AX125" i="48"/>
  <c r="AX117" i="48"/>
  <c r="BH169" i="48"/>
  <c r="BH166" i="48"/>
  <c r="BI166" i="48"/>
  <c r="BI49" i="48"/>
  <c r="BH49" i="48"/>
  <c r="BI25" i="48"/>
  <c r="BH25" i="48"/>
  <c r="AX97" i="48"/>
  <c r="AX63" i="48"/>
  <c r="AX45" i="48"/>
  <c r="BI14" i="48"/>
  <c r="BI101" i="48"/>
  <c r="BH101" i="48"/>
  <c r="BH29" i="48"/>
  <c r="AX19" i="48"/>
  <c r="AX17" i="48"/>
  <c r="BI17" i="48" s="1"/>
  <c r="ER8" i="48"/>
  <c r="EV8" i="48"/>
  <c r="FA8" i="48"/>
  <c r="ES8" i="48"/>
  <c r="BI6" i="48"/>
  <c r="BH6" i="48"/>
  <c r="ET10" i="48"/>
  <c r="FA10" i="48"/>
  <c r="EN10" i="48"/>
  <c r="EU10" i="48"/>
  <c r="EZ10" i="48"/>
  <c r="FF10" i="48"/>
  <c r="ER10" i="48"/>
  <c r="AX476" i="48"/>
  <c r="AX439" i="48"/>
  <c r="AX425" i="48"/>
  <c r="BI425" i="48" s="1"/>
  <c r="BI441" i="48"/>
  <c r="BH441" i="48"/>
  <c r="ES426" i="48"/>
  <c r="EW426" i="48"/>
  <c r="EU426" i="48"/>
  <c r="FF426" i="48"/>
  <c r="EN426" i="48"/>
  <c r="ET426" i="48"/>
  <c r="EY426" i="48"/>
  <c r="FE426" i="48"/>
  <c r="AX394" i="48"/>
  <c r="AX451" i="48"/>
  <c r="AX443" i="48"/>
  <c r="AX435" i="48"/>
  <c r="AX421" i="48"/>
  <c r="AX413" i="48"/>
  <c r="BH449" i="48"/>
  <c r="BI449" i="48"/>
  <c r="BI439" i="48"/>
  <c r="AX379" i="48"/>
  <c r="AX371" i="48"/>
  <c r="AX359" i="48"/>
  <c r="AX351" i="48"/>
  <c r="BI351" i="48" s="1"/>
  <c r="AX343" i="48"/>
  <c r="AX319" i="48"/>
  <c r="BH440" i="48"/>
  <c r="BH437" i="48"/>
  <c r="ER427" i="48"/>
  <c r="EV427" i="48"/>
  <c r="ET427" i="48"/>
  <c r="FE427" i="48"/>
  <c r="EL427" i="48"/>
  <c r="EU427" i="48"/>
  <c r="EZ427" i="48"/>
  <c r="FF427" i="48"/>
  <c r="BH392" i="48"/>
  <c r="BH377" i="48"/>
  <c r="BI377" i="48"/>
  <c r="BH317" i="48"/>
  <c r="BI317" i="48"/>
  <c r="AX305" i="48"/>
  <c r="AX289" i="48"/>
  <c r="AX273" i="48"/>
  <c r="AX258" i="48"/>
  <c r="BH429" i="48"/>
  <c r="BI327" i="48"/>
  <c r="BH349" i="48"/>
  <c r="BH226" i="48"/>
  <c r="BH196" i="48"/>
  <c r="AX137" i="48"/>
  <c r="AX121" i="48"/>
  <c r="BH150" i="48"/>
  <c r="BH37" i="48"/>
  <c r="AX103" i="48"/>
  <c r="AX79" i="48"/>
  <c r="EA77" i="48"/>
  <c r="EO77" i="48" s="1"/>
  <c r="EV77" i="48"/>
  <c r="EC77" i="48"/>
  <c r="EY77" i="48"/>
  <c r="EN77" i="48"/>
  <c r="AX75" i="48"/>
  <c r="AX57" i="48"/>
  <c r="AX54" i="48"/>
  <c r="AX47" i="48"/>
  <c r="AX34" i="48"/>
  <c r="AX31" i="48"/>
  <c r="BH10" i="48"/>
  <c r="BI105" i="48"/>
  <c r="BH105" i="48"/>
  <c r="BH89" i="48"/>
  <c r="BI89" i="48"/>
  <c r="BI69" i="48"/>
  <c r="BH69" i="48"/>
  <c r="AX13" i="48"/>
  <c r="BI464" i="48"/>
  <c r="BH464" i="48"/>
  <c r="AX363" i="48"/>
  <c r="AX347" i="48"/>
  <c r="EA451" i="48"/>
  <c r="EO451" i="48" s="1"/>
  <c r="BI433" i="48"/>
  <c r="BH433" i="48"/>
  <c r="FC324" i="48"/>
  <c r="EW324" i="48"/>
  <c r="EU324" i="48"/>
  <c r="FF324" i="48"/>
  <c r="EN324" i="48"/>
  <c r="ET324" i="48"/>
  <c r="EY324" i="48"/>
  <c r="FE324" i="48"/>
  <c r="BH408" i="48"/>
  <c r="EZ314" i="48"/>
  <c r="EU314" i="48"/>
  <c r="EL314" i="48"/>
  <c r="EW314" i="48"/>
  <c r="EC314" i="48"/>
  <c r="ER314" i="48"/>
  <c r="EV314" i="48"/>
  <c r="FA314" i="48"/>
  <c r="BH311" i="48"/>
  <c r="BI311" i="48"/>
  <c r="BH303" i="48"/>
  <c r="BI303" i="48"/>
  <c r="BI295" i="48"/>
  <c r="BH295" i="48"/>
  <c r="BH287" i="48"/>
  <c r="BI287" i="48"/>
  <c r="BH279" i="48"/>
  <c r="BI279" i="48"/>
  <c r="BH271" i="48"/>
  <c r="BI271" i="48"/>
  <c r="BI415" i="48"/>
  <c r="BH230" i="48"/>
  <c r="BI230" i="48"/>
  <c r="BI222" i="48"/>
  <c r="BH222" i="48"/>
  <c r="BH328" i="48"/>
  <c r="BH177" i="48"/>
  <c r="BI174" i="48"/>
  <c r="BH174" i="48"/>
  <c r="BI161" i="48"/>
  <c r="BH161" i="48"/>
  <c r="BH158" i="48"/>
  <c r="BH144" i="48"/>
  <c r="BH136" i="48"/>
  <c r="BH128" i="48"/>
  <c r="BH120" i="48"/>
  <c r="BH65" i="48"/>
  <c r="BI65" i="48"/>
  <c r="BH53" i="48"/>
  <c r="BI53" i="48"/>
  <c r="BH41" i="48"/>
  <c r="BI41" i="48"/>
  <c r="BH33" i="48"/>
  <c r="BI33" i="48"/>
  <c r="AX91" i="48"/>
  <c r="AX56" i="48"/>
  <c r="AX51" i="48"/>
  <c r="AX50" i="48"/>
  <c r="AX42" i="48"/>
  <c r="AX30" i="48"/>
  <c r="AX27" i="48"/>
  <c r="AX22" i="48"/>
  <c r="BH5" i="48"/>
  <c r="BI93" i="48"/>
  <c r="BH93" i="48"/>
  <c r="BI85" i="48"/>
  <c r="BH85" i="48"/>
  <c r="BH73" i="48"/>
  <c r="BI73" i="48"/>
  <c r="EZ68" i="48"/>
  <c r="EC68" i="48"/>
  <c r="ER68" i="48"/>
  <c r="EV68" i="48"/>
  <c r="FA68" i="48"/>
  <c r="EA17" i="48"/>
  <c r="EV17" i="48" s="1"/>
  <c r="BH473" i="48"/>
  <c r="BH475" i="48"/>
  <c r="BI475" i="48"/>
  <c r="BI456" i="48"/>
  <c r="BH456" i="48"/>
  <c r="AX402" i="48"/>
  <c r="AX398" i="48"/>
  <c r="BH457" i="48"/>
  <c r="AX403" i="48"/>
  <c r="AX395" i="48"/>
  <c r="BH411" i="48"/>
  <c r="BI411" i="48"/>
  <c r="ER405" i="48"/>
  <c r="EV405" i="48"/>
  <c r="ET405" i="48"/>
  <c r="FE405" i="48"/>
  <c r="EL405" i="48"/>
  <c r="EU405" i="48"/>
  <c r="EZ405" i="48"/>
  <c r="FF405" i="48"/>
  <c r="AX228" i="48"/>
  <c r="AX220" i="48"/>
  <c r="AX212" i="48"/>
  <c r="AX194" i="48"/>
  <c r="EA318" i="48"/>
  <c r="EO318" i="48" s="1"/>
  <c r="BI307" i="48"/>
  <c r="BH307" i="48"/>
  <c r="BH291" i="48"/>
  <c r="BI291" i="48"/>
  <c r="BI275" i="48"/>
  <c r="BH275" i="48"/>
  <c r="BH256" i="48"/>
  <c r="EW368" i="48"/>
  <c r="FC368" i="48"/>
  <c r="EU368" i="48"/>
  <c r="FF368" i="48"/>
  <c r="EN368" i="48"/>
  <c r="ET368" i="48"/>
  <c r="EY368" i="48"/>
  <c r="FE368" i="48"/>
  <c r="BH276" i="48"/>
  <c r="BI210" i="48"/>
  <c r="BH210" i="48"/>
  <c r="ES208" i="48"/>
  <c r="EW208" i="48"/>
  <c r="FC208" i="48"/>
  <c r="BH204" i="48"/>
  <c r="BH188" i="48"/>
  <c r="AX176" i="48"/>
  <c r="BH341" i="48"/>
  <c r="AX145" i="48"/>
  <c r="AX113" i="48"/>
  <c r="EA237" i="48"/>
  <c r="EO237" i="48" s="1"/>
  <c r="EA132" i="48"/>
  <c r="EO132" i="48" s="1"/>
  <c r="BH61" i="48"/>
  <c r="BI106" i="48"/>
  <c r="BI98" i="48"/>
  <c r="BH96" i="48"/>
  <c r="BI90" i="48"/>
  <c r="BI82" i="48"/>
  <c r="BI70" i="48"/>
  <c r="BH15" i="48"/>
  <c r="BI3" i="48"/>
  <c r="EZ114" i="48"/>
  <c r="EC114" i="48"/>
  <c r="ER114" i="48"/>
  <c r="EV114" i="48"/>
  <c r="FA114" i="48"/>
  <c r="BH107" i="48"/>
  <c r="BH95" i="48"/>
  <c r="BI95" i="48"/>
  <c r="ES93" i="48"/>
  <c r="EW93" i="48"/>
  <c r="FC93" i="48"/>
  <c r="EZ92" i="48"/>
  <c r="EC92" i="48"/>
  <c r="ER92" i="48"/>
  <c r="EV92" i="48"/>
  <c r="FA92" i="48"/>
  <c r="BH81" i="48"/>
  <c r="AX21" i="48"/>
  <c r="AX7" i="48"/>
  <c r="BI7" i="48" s="1"/>
  <c r="BH20" i="48"/>
  <c r="BH16" i="48"/>
  <c r="BH2" i="48"/>
  <c r="BI360" i="48"/>
  <c r="BI208" i="48"/>
  <c r="BI155" i="48"/>
  <c r="BI201" i="48"/>
  <c r="BI123" i="48"/>
  <c r="BI430" i="48"/>
  <c r="BI465" i="48"/>
  <c r="BI457" i="48"/>
  <c r="BI154" i="48"/>
  <c r="BI284" i="48"/>
  <c r="BI223" i="48"/>
  <c r="BI235" i="48"/>
  <c r="BI197" i="48"/>
  <c r="BI151" i="48"/>
  <c r="BI169" i="48"/>
  <c r="BI136" i="48"/>
  <c r="BI120" i="48"/>
  <c r="BI112" i="48"/>
  <c r="BI423" i="48"/>
  <c r="BI450" i="48"/>
  <c r="BI440" i="48"/>
  <c r="BI392" i="48"/>
  <c r="BI386" i="48"/>
  <c r="BI370" i="48"/>
  <c r="BI240" i="48"/>
  <c r="BI374" i="48"/>
  <c r="BI308" i="48"/>
  <c r="BI276" i="48"/>
  <c r="BI253" i="48"/>
  <c r="BI196" i="48"/>
  <c r="BI189" i="48"/>
  <c r="BI175" i="48"/>
  <c r="BI167" i="48"/>
  <c r="BI159" i="48"/>
  <c r="BI272" i="48"/>
  <c r="BI150" i="48"/>
  <c r="BH102" i="48"/>
  <c r="BI86" i="48"/>
  <c r="BH78" i="48"/>
  <c r="BI76" i="48"/>
  <c r="BH74" i="48"/>
  <c r="BI58" i="48"/>
  <c r="EU43" i="48"/>
  <c r="EZ43" i="48"/>
  <c r="FF43" i="48"/>
  <c r="BL192" i="47"/>
  <c r="BL180" i="47"/>
  <c r="CB138" i="47"/>
  <c r="CC138" i="47" s="1"/>
  <c r="CF138" i="47" s="1"/>
  <c r="CD138" i="47"/>
  <c r="BA138" i="47"/>
  <c r="W119" i="47"/>
  <c r="CK142" i="47"/>
  <c r="FT103" i="47" s="1"/>
  <c r="FS103" i="47" s="1"/>
  <c r="CK15" i="47"/>
  <c r="FT65" i="47" s="1"/>
  <c r="FS65" i="47" s="1"/>
  <c r="BK211" i="47"/>
  <c r="BK203" i="47"/>
  <c r="U203" i="47"/>
  <c r="CL91" i="47"/>
  <c r="U91" i="47"/>
  <c r="U158" i="47"/>
  <c r="W158" i="47" s="1"/>
  <c r="BL156" i="47"/>
  <c r="BA7" i="47"/>
  <c r="BU195" i="47"/>
  <c r="BV195" i="47" s="1"/>
  <c r="BX195" i="47" s="1"/>
  <c r="V189" i="47"/>
  <c r="BA47" i="47"/>
  <c r="BL47" i="47" s="1"/>
  <c r="CB199" i="47"/>
  <c r="CD199" i="47" s="1"/>
  <c r="BA123" i="47"/>
  <c r="V123" i="47" s="1"/>
  <c r="CB165" i="47"/>
  <c r="CD165" i="47" s="1"/>
  <c r="CD13" i="47"/>
  <c r="CB99" i="47"/>
  <c r="CD99" i="47" s="1"/>
  <c r="CB156" i="47"/>
  <c r="CD156" i="47" s="1"/>
  <c r="CD125" i="47"/>
  <c r="CC125" i="47"/>
  <c r="CF125" i="47" s="1"/>
  <c r="CD4" i="47"/>
  <c r="CC4" i="47"/>
  <c r="CF4" i="47" s="1"/>
  <c r="CD123" i="47"/>
  <c r="CC123" i="47"/>
  <c r="CF123" i="47" s="1"/>
  <c r="U165" i="47"/>
  <c r="W165" i="47" s="1"/>
  <c r="BK165" i="47"/>
  <c r="BK161" i="47"/>
  <c r="BL42" i="47"/>
  <c r="BK40" i="47"/>
  <c r="U40" i="47"/>
  <c r="W40" i="47" s="1"/>
  <c r="BK101" i="47"/>
  <c r="CL148" i="47"/>
  <c r="BK148" i="47"/>
  <c r="CK203" i="47"/>
  <c r="FT89" i="47" s="1"/>
  <c r="FV89" i="47" s="1"/>
  <c r="BL133" i="47"/>
  <c r="CK109" i="47"/>
  <c r="CM109" i="47"/>
  <c r="CK105" i="47"/>
  <c r="CM105" i="47"/>
  <c r="BK91" i="47"/>
  <c r="CK47" i="47"/>
  <c r="CL74" i="47"/>
  <c r="U74" i="47"/>
  <c r="W74" i="47" s="1"/>
  <c r="CK158" i="47"/>
  <c r="BL158" i="47"/>
  <c r="BL3" i="47"/>
  <c r="V94" i="47"/>
  <c r="CC61" i="47"/>
  <c r="CF61" i="47" s="1"/>
  <c r="CG61" i="47" s="1"/>
  <c r="BA61" i="47"/>
  <c r="CL61" i="47" s="1"/>
  <c r="CL152" i="47"/>
  <c r="U152" i="47"/>
  <c r="W152" i="47" s="1"/>
  <c r="V91" i="47"/>
  <c r="BU100" i="47"/>
  <c r="BV100" i="47" s="1"/>
  <c r="BX100" i="47" s="1"/>
  <c r="BY100" i="47" s="1"/>
  <c r="V101" i="47"/>
  <c r="CF30" i="47"/>
  <c r="CL161" i="47"/>
  <c r="CK42" i="47"/>
  <c r="CL40" i="47"/>
  <c r="CK101" i="47"/>
  <c r="CL142" i="47"/>
  <c r="BL140" i="47"/>
  <c r="BL203" i="47"/>
  <c r="CK133" i="47"/>
  <c r="FT85" i="47" s="1"/>
  <c r="CK91" i="47"/>
  <c r="CK74" i="47"/>
  <c r="BL122" i="47"/>
  <c r="BA4" i="47"/>
  <c r="CB52" i="47"/>
  <c r="CD52" i="47" s="1"/>
  <c r="CB161" i="47"/>
  <c r="CD161" i="47" s="1"/>
  <c r="BU198" i="47"/>
  <c r="BV198" i="47" s="1"/>
  <c r="BX198" i="47" s="1"/>
  <c r="BY198" i="47" s="1"/>
  <c r="BA36" i="47"/>
  <c r="BA13" i="47"/>
  <c r="V13" i="47" s="1"/>
  <c r="CB38" i="47"/>
  <c r="CD38" i="47" s="1"/>
  <c r="CB133" i="47"/>
  <c r="CD133" i="47" s="1"/>
  <c r="CB101" i="47"/>
  <c r="CD101" i="47" s="1"/>
  <c r="CB27" i="47"/>
  <c r="CD27" i="47" s="1"/>
  <c r="GD85" i="47"/>
  <c r="FL133" i="47" s="1"/>
  <c r="BU30" i="47"/>
  <c r="BV30" i="47" s="1"/>
  <c r="BX30" i="47" s="1"/>
  <c r="BY30" i="47" s="1"/>
  <c r="BT30" i="47"/>
  <c r="BU188" i="47"/>
  <c r="BV188" i="47" s="1"/>
  <c r="BX188" i="47" s="1"/>
  <c r="BY188" i="47" s="1"/>
  <c r="BT188" i="47"/>
  <c r="CB105" i="47"/>
  <c r="CD105" i="47" s="1"/>
  <c r="BT196" i="47"/>
  <c r="BU196" i="47"/>
  <c r="BV196" i="47" s="1"/>
  <c r="BX196" i="47" s="1"/>
  <c r="BY196" i="47" s="1"/>
  <c r="BL94" i="50"/>
  <c r="BL103" i="50"/>
  <c r="FI72" i="50"/>
  <c r="EX39" i="50"/>
  <c r="EZ39" i="50"/>
  <c r="FH72" i="50"/>
  <c r="BL77" i="50"/>
  <c r="EW24" i="50"/>
  <c r="FH100" i="50"/>
  <c r="FA24" i="50"/>
  <c r="FI100" i="50"/>
  <c r="EW52" i="50"/>
  <c r="EZ52" i="50"/>
  <c r="EV52" i="50"/>
  <c r="EV75" i="50"/>
  <c r="FA75" i="50"/>
  <c r="FE20" i="50"/>
  <c r="FI20" i="50"/>
  <c r="EZ75" i="50"/>
  <c r="FD75" i="50"/>
  <c r="BL33" i="50"/>
  <c r="V64" i="50"/>
  <c r="V109" i="50"/>
  <c r="BL15" i="50"/>
  <c r="BA37" i="50"/>
  <c r="BL37" i="50" s="1"/>
  <c r="BA90" i="50"/>
  <c r="BL90" i="50" s="1"/>
  <c r="V23" i="50"/>
  <c r="BK23" i="50"/>
  <c r="BR23" i="50"/>
  <c r="BK33" i="50"/>
  <c r="BR33" i="50"/>
  <c r="BK39" i="50"/>
  <c r="BR39" i="50"/>
  <c r="FA39" i="50"/>
  <c r="ER39" i="50"/>
  <c r="FE72" i="50"/>
  <c r="FC39" i="50"/>
  <c r="EW39" i="50"/>
  <c r="FB39" i="50"/>
  <c r="FF72" i="50"/>
  <c r="BL81" i="50"/>
  <c r="BL39" i="50"/>
  <c r="FB85" i="50"/>
  <c r="FJ30" i="50"/>
  <c r="FD85" i="50"/>
  <c r="ER85" i="50"/>
  <c r="EX85" i="50"/>
  <c r="FC85" i="50"/>
  <c r="BL83" i="50"/>
  <c r="BL99" i="50"/>
  <c r="BL64" i="50"/>
  <c r="BL109" i="50"/>
  <c r="V7" i="50"/>
  <c r="BL40" i="50"/>
  <c r="V84" i="50"/>
  <c r="BL84" i="50"/>
  <c r="V49" i="50"/>
  <c r="BR49" i="50"/>
  <c r="BS49" i="50"/>
  <c r="BL49" i="50"/>
  <c r="BK49" i="50"/>
  <c r="V38" i="50"/>
  <c r="BR38" i="50"/>
  <c r="BS38" i="50"/>
  <c r="BL38" i="50"/>
  <c r="BK38" i="50"/>
  <c r="BA107" i="50"/>
  <c r="V107" i="50" s="1"/>
  <c r="BL13" i="50"/>
  <c r="BL86" i="50"/>
  <c r="BK44" i="50"/>
  <c r="BR44" i="50"/>
  <c r="BL23" i="50"/>
  <c r="BL44" i="50"/>
  <c r="FJ100" i="50"/>
  <c r="FF100" i="50"/>
  <c r="FD24" i="50"/>
  <c r="ER24" i="50"/>
  <c r="EX24" i="50"/>
  <c r="FC24" i="50"/>
  <c r="FB52" i="50"/>
  <c r="FD52" i="50"/>
  <c r="ER52" i="50"/>
  <c r="EX52" i="50"/>
  <c r="FC52" i="50"/>
  <c r="BL72" i="50"/>
  <c r="BS40" i="50"/>
  <c r="BR40" i="50"/>
  <c r="BL5" i="50"/>
  <c r="BL58" i="50"/>
  <c r="BL7" i="50"/>
  <c r="BA54" i="50"/>
  <c r="V54" i="50" s="1"/>
  <c r="BA70" i="50"/>
  <c r="BK37" i="50"/>
  <c r="BS37" i="50"/>
  <c r="BA12" i="50"/>
  <c r="BT98" i="50"/>
  <c r="U98" i="50"/>
  <c r="W98" i="50" s="1"/>
  <c r="BR98" i="50"/>
  <c r="BK98" i="50"/>
  <c r="BS98" i="50"/>
  <c r="BL98" i="50"/>
  <c r="BA24" i="50"/>
  <c r="V24" i="50" s="1"/>
  <c r="BT91" i="50"/>
  <c r="U91" i="50"/>
  <c r="W91" i="50" s="1"/>
  <c r="BL91" i="50"/>
  <c r="BS91" i="50"/>
  <c r="BR91" i="50"/>
  <c r="BK91" i="50"/>
  <c r="BT108" i="50"/>
  <c r="U108" i="50"/>
  <c r="W108" i="50" s="1"/>
  <c r="BR108" i="50"/>
  <c r="BS108" i="50"/>
  <c r="BK108" i="50"/>
  <c r="BL108" i="50"/>
  <c r="BT43" i="50"/>
  <c r="U43" i="50"/>
  <c r="W43" i="50" s="1"/>
  <c r="BL43" i="50"/>
  <c r="BK43" i="50"/>
  <c r="BR43" i="50"/>
  <c r="BS43" i="50"/>
  <c r="BA85" i="50"/>
  <c r="V85" i="50" s="1"/>
  <c r="BA80" i="50"/>
  <c r="BA76" i="50"/>
  <c r="V76" i="50" s="1"/>
  <c r="BA73" i="50"/>
  <c r="BL66" i="50"/>
  <c r="BA52" i="50"/>
  <c r="BA71" i="50"/>
  <c r="V71" i="50" s="1"/>
  <c r="BA82" i="50"/>
  <c r="BA78" i="50"/>
  <c r="V78" i="50" s="1"/>
  <c r="BA75" i="50"/>
  <c r="FI14" i="50"/>
  <c r="FG14" i="50"/>
  <c r="FE14" i="50"/>
  <c r="FC16" i="50"/>
  <c r="FA16" i="50"/>
  <c r="EX16" i="50"/>
  <c r="EV16" i="50"/>
  <c r="ER16" i="50"/>
  <c r="FH14" i="50"/>
  <c r="FD16" i="50"/>
  <c r="EZ16" i="50"/>
  <c r="FJ14" i="50"/>
  <c r="FF14" i="50"/>
  <c r="FB16" i="50"/>
  <c r="EW16" i="50"/>
  <c r="BT81" i="50"/>
  <c r="U81" i="50"/>
  <c r="W81" i="50" s="1"/>
  <c r="BR81" i="50"/>
  <c r="BS81" i="50"/>
  <c r="BK81" i="50"/>
  <c r="BT77" i="50"/>
  <c r="U77" i="50"/>
  <c r="W77" i="50" s="1"/>
  <c r="BR77" i="50"/>
  <c r="BS77" i="50"/>
  <c r="BK77" i="50"/>
  <c r="BT74" i="50"/>
  <c r="U74" i="50"/>
  <c r="W74" i="50" s="1"/>
  <c r="BR74" i="50"/>
  <c r="BS74" i="50"/>
  <c r="BK74" i="50"/>
  <c r="BL74" i="50"/>
  <c r="BL29" i="50"/>
  <c r="BA41" i="50"/>
  <c r="V41" i="50" s="1"/>
  <c r="BL48" i="50"/>
  <c r="BA93" i="50"/>
  <c r="BA102" i="50"/>
  <c r="V102" i="50" s="1"/>
  <c r="BA53" i="50"/>
  <c r="BT72" i="50"/>
  <c r="U72" i="50"/>
  <c r="W72" i="50" s="1"/>
  <c r="BR72" i="50"/>
  <c r="BS72" i="50"/>
  <c r="BK72" i="50"/>
  <c r="BT14" i="50"/>
  <c r="U14" i="50"/>
  <c r="W14" i="50" s="1"/>
  <c r="BK14" i="50"/>
  <c r="BS14" i="50"/>
  <c r="BR14" i="50"/>
  <c r="BL14" i="50"/>
  <c r="BT63" i="50"/>
  <c r="U63" i="50"/>
  <c r="W63" i="50" s="1"/>
  <c r="BK63" i="50"/>
  <c r="BS63" i="50"/>
  <c r="BR63" i="50"/>
  <c r="BL63" i="50"/>
  <c r="BA56" i="50"/>
  <c r="BT10" i="50"/>
  <c r="U10" i="50"/>
  <c r="W10" i="50" s="1"/>
  <c r="BR10" i="50"/>
  <c r="BK10" i="50"/>
  <c r="BS10" i="50"/>
  <c r="BL10" i="50"/>
  <c r="BL67" i="50"/>
  <c r="BA25" i="50"/>
  <c r="BA45" i="50"/>
  <c r="BA88" i="50"/>
  <c r="V88" i="50" s="1"/>
  <c r="BT5" i="50"/>
  <c r="U5" i="50"/>
  <c r="W5" i="50" s="1"/>
  <c r="BS5" i="50"/>
  <c r="BK5" i="50"/>
  <c r="BR5" i="50"/>
  <c r="W42" i="50"/>
  <c r="BA106" i="50"/>
  <c r="V106" i="50" s="1"/>
  <c r="BA68" i="50"/>
  <c r="V68" i="50" s="1"/>
  <c r="BL9" i="50"/>
  <c r="BT58" i="50"/>
  <c r="U58" i="50"/>
  <c r="W58" i="50" s="1"/>
  <c r="BS58" i="50"/>
  <c r="BR58" i="50"/>
  <c r="BK58" i="50"/>
  <c r="BL27" i="50"/>
  <c r="BT7" i="50"/>
  <c r="U7" i="50"/>
  <c r="BK7" i="50"/>
  <c r="BR7" i="50"/>
  <c r="BS7" i="50"/>
  <c r="BA65" i="50"/>
  <c r="BT64" i="50"/>
  <c r="U64" i="50"/>
  <c r="BK64" i="50"/>
  <c r="BR64" i="50"/>
  <c r="BS64" i="50"/>
  <c r="BL92" i="50"/>
  <c r="BT109" i="50"/>
  <c r="U109" i="50"/>
  <c r="BK109" i="50"/>
  <c r="BS109" i="50"/>
  <c r="BR109" i="50"/>
  <c r="BL101" i="50"/>
  <c r="BT15" i="50"/>
  <c r="U15" i="50"/>
  <c r="BK15" i="50"/>
  <c r="BR15" i="50"/>
  <c r="BS15" i="50"/>
  <c r="BT62" i="50"/>
  <c r="U62" i="50"/>
  <c r="W62" i="50" s="1"/>
  <c r="BR62" i="50"/>
  <c r="BK62" i="50"/>
  <c r="BL62" i="50"/>
  <c r="BS62" i="50"/>
  <c r="BA34" i="50"/>
  <c r="BT31" i="50"/>
  <c r="U31" i="50"/>
  <c r="W31" i="50" s="1"/>
  <c r="BK31" i="50"/>
  <c r="BS31" i="50"/>
  <c r="BL31" i="50"/>
  <c r="BR31" i="50"/>
  <c r="BA20" i="50"/>
  <c r="V20" i="50" s="1"/>
  <c r="BT26" i="50"/>
  <c r="U26" i="50"/>
  <c r="W26" i="50" s="1"/>
  <c r="BS26" i="50"/>
  <c r="BK26" i="50"/>
  <c r="BR26" i="50"/>
  <c r="BL26" i="50"/>
  <c r="BT21" i="50"/>
  <c r="U21" i="50"/>
  <c r="W21" i="50" s="1"/>
  <c r="BK21" i="50"/>
  <c r="BS21" i="50"/>
  <c r="BR21" i="50"/>
  <c r="BT4" i="50"/>
  <c r="U4" i="50"/>
  <c r="W4" i="50" s="1"/>
  <c r="BR4" i="50"/>
  <c r="BS4" i="50"/>
  <c r="BL4" i="50"/>
  <c r="BK4" i="50"/>
  <c r="BT51" i="50"/>
  <c r="U51" i="50"/>
  <c r="W51" i="50" s="1"/>
  <c r="BR51" i="50"/>
  <c r="BL51" i="50"/>
  <c r="BK51" i="50"/>
  <c r="BS51" i="50"/>
  <c r="BT47" i="50"/>
  <c r="U47" i="50"/>
  <c r="W47" i="50" s="1"/>
  <c r="BR47" i="50"/>
  <c r="BS47" i="50"/>
  <c r="BK47" i="50"/>
  <c r="BL47" i="50"/>
  <c r="BA11" i="50"/>
  <c r="BA60" i="50"/>
  <c r="V60" i="50" s="1"/>
  <c r="BT28" i="50"/>
  <c r="U28" i="50"/>
  <c r="W28" i="50" s="1"/>
  <c r="BS28" i="50"/>
  <c r="BK28" i="50"/>
  <c r="BR28" i="50"/>
  <c r="BL28" i="50"/>
  <c r="BA2" i="50"/>
  <c r="BA50" i="50"/>
  <c r="V50" i="50" s="1"/>
  <c r="BA110" i="50"/>
  <c r="V110" i="50" s="1"/>
  <c r="BA97" i="50"/>
  <c r="BT94" i="50"/>
  <c r="U94" i="50"/>
  <c r="W94" i="50" s="1"/>
  <c r="BS94" i="50"/>
  <c r="BK94" i="50"/>
  <c r="BR94" i="50"/>
  <c r="BT86" i="50"/>
  <c r="U86" i="50"/>
  <c r="W86" i="50" s="1"/>
  <c r="BR86" i="50"/>
  <c r="BK86" i="50"/>
  <c r="BS86" i="50"/>
  <c r="BT103" i="50"/>
  <c r="U103" i="50"/>
  <c r="W103" i="50" s="1"/>
  <c r="BS103" i="50"/>
  <c r="BK103" i="50"/>
  <c r="BR103" i="50"/>
  <c r="BT100" i="50"/>
  <c r="U100" i="50"/>
  <c r="W100" i="50" s="1"/>
  <c r="BL100" i="50"/>
  <c r="BR100" i="50"/>
  <c r="BS100" i="50"/>
  <c r="BK100" i="50"/>
  <c r="BT18" i="50"/>
  <c r="U18" i="50"/>
  <c r="W18" i="50" s="1"/>
  <c r="BK18" i="50"/>
  <c r="BR18" i="50"/>
  <c r="BS18" i="50"/>
  <c r="BT66" i="50"/>
  <c r="U66" i="50"/>
  <c r="W66" i="50" s="1"/>
  <c r="BR66" i="50"/>
  <c r="BK66" i="50"/>
  <c r="BS66" i="50"/>
  <c r="BT6" i="50"/>
  <c r="U6" i="50"/>
  <c r="W6" i="50" s="1"/>
  <c r="BL6" i="50"/>
  <c r="BR6" i="50"/>
  <c r="BK6" i="50"/>
  <c r="BS6" i="50"/>
  <c r="BT55" i="50"/>
  <c r="U55" i="50"/>
  <c r="W55" i="50" s="1"/>
  <c r="BL55" i="50"/>
  <c r="BR55" i="50"/>
  <c r="BK55" i="50"/>
  <c r="BS55" i="50"/>
  <c r="BT22" i="50"/>
  <c r="U22" i="50"/>
  <c r="W22" i="50" s="1"/>
  <c r="BR22" i="50"/>
  <c r="BK22" i="50"/>
  <c r="BS22" i="50"/>
  <c r="BL22" i="50"/>
  <c r="BT36" i="50"/>
  <c r="U36" i="50"/>
  <c r="W36" i="50" s="1"/>
  <c r="BK36" i="50"/>
  <c r="BL36" i="50"/>
  <c r="BR36" i="50"/>
  <c r="BS36" i="50"/>
  <c r="BT35" i="50"/>
  <c r="U35" i="50"/>
  <c r="W35" i="50" s="1"/>
  <c r="BS35" i="50"/>
  <c r="BL35" i="50"/>
  <c r="BR35" i="50"/>
  <c r="BK35" i="50"/>
  <c r="BT95" i="50"/>
  <c r="U95" i="50"/>
  <c r="W95" i="50" s="1"/>
  <c r="BS95" i="50"/>
  <c r="BL95" i="50"/>
  <c r="BR95" i="50"/>
  <c r="BK95" i="50"/>
  <c r="BT104" i="50"/>
  <c r="U104" i="50"/>
  <c r="W104" i="50" s="1"/>
  <c r="BS104" i="50"/>
  <c r="BL104" i="50"/>
  <c r="BR104" i="50"/>
  <c r="BK104" i="50"/>
  <c r="BA8" i="50"/>
  <c r="V8" i="50" s="1"/>
  <c r="BA57" i="50"/>
  <c r="BA61" i="50"/>
  <c r="V61" i="50" s="1"/>
  <c r="BT13" i="50"/>
  <c r="U13" i="50"/>
  <c r="W13" i="50" s="1"/>
  <c r="BR13" i="50"/>
  <c r="BK13" i="50"/>
  <c r="BS13" i="50"/>
  <c r="BT32" i="50"/>
  <c r="U32" i="50"/>
  <c r="W32" i="50" s="1"/>
  <c r="BS32" i="50"/>
  <c r="BK32" i="50"/>
  <c r="BL32" i="50"/>
  <c r="BR32" i="50"/>
  <c r="BL24" i="50"/>
  <c r="BT46" i="50"/>
  <c r="U46" i="50"/>
  <c r="W46" i="50" s="1"/>
  <c r="BK46" i="50"/>
  <c r="BR46" i="50"/>
  <c r="BS46" i="50"/>
  <c r="BL46" i="50"/>
  <c r="BT29" i="50"/>
  <c r="U29" i="50"/>
  <c r="W29" i="50" s="1"/>
  <c r="BR29" i="50"/>
  <c r="BK29" i="50"/>
  <c r="BS29" i="50"/>
  <c r="BA3" i="50"/>
  <c r="V3" i="50" s="1"/>
  <c r="BA19" i="50"/>
  <c r="V19" i="50" s="1"/>
  <c r="BT48" i="50"/>
  <c r="U48" i="50"/>
  <c r="W48" i="50" s="1"/>
  <c r="BR48" i="50"/>
  <c r="BS48" i="50"/>
  <c r="BK48" i="50"/>
  <c r="BT83" i="50"/>
  <c r="U83" i="50"/>
  <c r="W83" i="50" s="1"/>
  <c r="BR83" i="50"/>
  <c r="BS83" i="50"/>
  <c r="BK83" i="50"/>
  <c r="BT79" i="50"/>
  <c r="U79" i="50"/>
  <c r="W79" i="50" s="1"/>
  <c r="BR79" i="50"/>
  <c r="BS79" i="50"/>
  <c r="BK79" i="50"/>
  <c r="BL79" i="50"/>
  <c r="BT67" i="50"/>
  <c r="U67" i="50"/>
  <c r="W67" i="50" s="1"/>
  <c r="BR67" i="50"/>
  <c r="BK67" i="50"/>
  <c r="BS67" i="50"/>
  <c r="BT59" i="50"/>
  <c r="U59" i="50"/>
  <c r="W59" i="50" s="1"/>
  <c r="BK59" i="50"/>
  <c r="BS59" i="50"/>
  <c r="BR59" i="50"/>
  <c r="BL59" i="50"/>
  <c r="BA30" i="50"/>
  <c r="BA89" i="50"/>
  <c r="V89" i="50" s="1"/>
  <c r="BT23" i="50"/>
  <c r="U23" i="50"/>
  <c r="BS23" i="50"/>
  <c r="BA105" i="50"/>
  <c r="BT84" i="50"/>
  <c r="U84" i="50"/>
  <c r="W84" i="50" s="1"/>
  <c r="BS84" i="50"/>
  <c r="BR84" i="50"/>
  <c r="BK84" i="50"/>
  <c r="BT99" i="50"/>
  <c r="U99" i="50"/>
  <c r="W99" i="50" s="1"/>
  <c r="BR99" i="50"/>
  <c r="BK99" i="50"/>
  <c r="BS99" i="50"/>
  <c r="BA69" i="50"/>
  <c r="V69" i="50" s="1"/>
  <c r="BA96" i="50"/>
  <c r="BT9" i="50"/>
  <c r="U9" i="50"/>
  <c r="W9" i="50" s="1"/>
  <c r="BK9" i="50"/>
  <c r="BS9" i="50"/>
  <c r="BR9" i="50"/>
  <c r="BT27" i="50"/>
  <c r="U27" i="50"/>
  <c r="W27" i="50" s="1"/>
  <c r="BS27" i="50"/>
  <c r="BK27" i="50"/>
  <c r="BR27" i="50"/>
  <c r="BT87" i="50"/>
  <c r="U87" i="50"/>
  <c r="W87" i="50" s="1"/>
  <c r="BK87" i="50"/>
  <c r="BR87" i="50"/>
  <c r="BS87" i="50"/>
  <c r="BL87" i="50"/>
  <c r="BA17" i="50"/>
  <c r="V17" i="50" s="1"/>
  <c r="BA16" i="50"/>
  <c r="BT44" i="50"/>
  <c r="U44" i="50"/>
  <c r="W44" i="50" s="1"/>
  <c r="BS44" i="50"/>
  <c r="BT39" i="50"/>
  <c r="U39" i="50"/>
  <c r="W39" i="50" s="1"/>
  <c r="BS39" i="50"/>
  <c r="BT33" i="50"/>
  <c r="U33" i="50"/>
  <c r="W33" i="50" s="1"/>
  <c r="BS33" i="50"/>
  <c r="BT92" i="50"/>
  <c r="U92" i="50"/>
  <c r="W92" i="50" s="1"/>
  <c r="BK92" i="50"/>
  <c r="BR92" i="50"/>
  <c r="BS92" i="50"/>
  <c r="BT101" i="50"/>
  <c r="U101" i="50"/>
  <c r="W101" i="50" s="1"/>
  <c r="BK101" i="50"/>
  <c r="BR101" i="50"/>
  <c r="BS101" i="50"/>
  <c r="BT49" i="50"/>
  <c r="U49" i="50"/>
  <c r="BT40" i="50"/>
  <c r="U40" i="50"/>
  <c r="W40" i="50" s="1"/>
  <c r="BT38" i="50"/>
  <c r="U38" i="50"/>
  <c r="V15" i="50"/>
  <c r="V54" i="49"/>
  <c r="BJ54" i="49"/>
  <c r="W54" i="49"/>
  <c r="BJ25" i="49"/>
  <c r="BJ16" i="49"/>
  <c r="AZ52" i="49"/>
  <c r="BK52" i="49" s="1"/>
  <c r="BJ53" i="49"/>
  <c r="W7" i="49"/>
  <c r="X7" i="49" s="1"/>
  <c r="W47" i="49"/>
  <c r="X47" i="49" s="1"/>
  <c r="BK53" i="49"/>
  <c r="BK47" i="49"/>
  <c r="BJ45" i="49"/>
  <c r="BK7" i="49"/>
  <c r="BK54" i="49"/>
  <c r="BU45" i="47"/>
  <c r="BV45" i="47" s="1"/>
  <c r="BX45" i="47" s="1"/>
  <c r="BY45" i="47" s="1"/>
  <c r="BT45" i="47"/>
  <c r="BT24" i="47"/>
  <c r="BU24" i="47"/>
  <c r="BV24" i="47" s="1"/>
  <c r="BX24" i="47" s="1"/>
  <c r="BY24" i="47" s="1"/>
  <c r="BT132" i="47"/>
  <c r="BU132" i="47"/>
  <c r="BV132" i="47" s="1"/>
  <c r="BX132" i="47" s="1"/>
  <c r="BY132" i="47" s="1"/>
  <c r="BT75" i="47"/>
  <c r="BU75" i="47"/>
  <c r="BT155" i="47"/>
  <c r="BU155" i="47"/>
  <c r="BV155" i="47" s="1"/>
  <c r="BX155" i="47" s="1"/>
  <c r="BY155" i="47" s="1"/>
  <c r="BU210" i="47"/>
  <c r="BT210" i="47"/>
  <c r="CG57" i="47"/>
  <c r="V199" i="47"/>
  <c r="BK199" i="47"/>
  <c r="BL199" i="47"/>
  <c r="CK199" i="47"/>
  <c r="V197" i="47"/>
  <c r="CK197" i="47"/>
  <c r="BU35" i="47"/>
  <c r="BT35" i="47"/>
  <c r="BU71" i="47"/>
  <c r="BV71" i="47" s="1"/>
  <c r="BX71" i="47" s="1"/>
  <c r="BY71" i="47" s="1"/>
  <c r="BT71" i="47"/>
  <c r="BU151" i="47"/>
  <c r="BT151" i="47"/>
  <c r="V52" i="47"/>
  <c r="CK52" i="47"/>
  <c r="V62" i="47"/>
  <c r="CD62" i="47"/>
  <c r="CG62" i="47" s="1"/>
  <c r="V48" i="47"/>
  <c r="V169" i="47"/>
  <c r="CK209" i="47"/>
  <c r="W185" i="47"/>
  <c r="V34" i="47"/>
  <c r="CK183" i="47"/>
  <c r="BZ176" i="47"/>
  <c r="CL169" i="47"/>
  <c r="BK169" i="47"/>
  <c r="U34" i="47"/>
  <c r="W103" i="47"/>
  <c r="CK62" i="47"/>
  <c r="W205" i="47"/>
  <c r="CL15" i="47"/>
  <c r="BK15" i="47"/>
  <c r="V142" i="47"/>
  <c r="CK94" i="47"/>
  <c r="CK152" i="47"/>
  <c r="BL152" i="47"/>
  <c r="BK176" i="47"/>
  <c r="BA59" i="47"/>
  <c r="CM59" i="47" s="1"/>
  <c r="CD47" i="47"/>
  <c r="CG47" i="47" s="1"/>
  <c r="CI47" i="47" s="1"/>
  <c r="BL127" i="47"/>
  <c r="BA6" i="47"/>
  <c r="BL6" i="47" s="1"/>
  <c r="CB87" i="47"/>
  <c r="CD87" i="47" s="1"/>
  <c r="CB32" i="47"/>
  <c r="CD32" i="47" s="1"/>
  <c r="BA32" i="47"/>
  <c r="CB40" i="47"/>
  <c r="CD40" i="47" s="1"/>
  <c r="CB109" i="47"/>
  <c r="CD109" i="47" s="1"/>
  <c r="CB152" i="47"/>
  <c r="CD152" i="47" s="1"/>
  <c r="V192" i="47"/>
  <c r="CD192" i="47"/>
  <c r="CG192" i="47" s="1"/>
  <c r="CD183" i="47"/>
  <c r="CG183" i="47" s="1"/>
  <c r="CD176" i="47"/>
  <c r="CG176" i="47" s="1"/>
  <c r="CH176" i="47" s="1"/>
  <c r="BX57" i="47"/>
  <c r="BY57" i="47" s="1"/>
  <c r="W154" i="47"/>
  <c r="CK56" i="47"/>
  <c r="W93" i="47"/>
  <c r="CC48" i="47"/>
  <c r="CF48" i="47" s="1"/>
  <c r="CG48" i="47" s="1"/>
  <c r="W203" i="47"/>
  <c r="W25" i="47"/>
  <c r="W81" i="47"/>
  <c r="BT172" i="47"/>
  <c r="BU172" i="47"/>
  <c r="BV172" i="47" s="1"/>
  <c r="BX172" i="47" s="1"/>
  <c r="BY172" i="47" s="1"/>
  <c r="CB34" i="47"/>
  <c r="CD34" i="47" s="1"/>
  <c r="CC190" i="47"/>
  <c r="CF190" i="47" s="1"/>
  <c r="CG190" i="47" s="1"/>
  <c r="BT190" i="47"/>
  <c r="BU190" i="47"/>
  <c r="BV190" i="47" s="1"/>
  <c r="CC178" i="47"/>
  <c r="CF178" i="47" s="1"/>
  <c r="CG178" i="47" s="1"/>
  <c r="BT178" i="47"/>
  <c r="BU178" i="47"/>
  <c r="CC56" i="47"/>
  <c r="CF56" i="47" s="1"/>
  <c r="CG56" i="47" s="1"/>
  <c r="BT56" i="47"/>
  <c r="BU56" i="47"/>
  <c r="CC121" i="47"/>
  <c r="CF121" i="47" s="1"/>
  <c r="CG121" i="47" s="1"/>
  <c r="BU121" i="47"/>
  <c r="BT121" i="47"/>
  <c r="CC181" i="47"/>
  <c r="CF181" i="47" s="1"/>
  <c r="CG181" i="47" s="1"/>
  <c r="BU181" i="47"/>
  <c r="BT181" i="47"/>
  <c r="BT168" i="47"/>
  <c r="BU168" i="47"/>
  <c r="BV168" i="47" s="1"/>
  <c r="FT189" i="47"/>
  <c r="GD189" i="47"/>
  <c r="FL180" i="47" s="1"/>
  <c r="BT170" i="47"/>
  <c r="BU170" i="47"/>
  <c r="CC148" i="47"/>
  <c r="CF148" i="47" s="1"/>
  <c r="CG148" i="47" s="1"/>
  <c r="BT148" i="47"/>
  <c r="BU148" i="47"/>
  <c r="BV148" i="47" s="1"/>
  <c r="BT164" i="47"/>
  <c r="BU164" i="47"/>
  <c r="CC23" i="47"/>
  <c r="CF23" i="47" s="1"/>
  <c r="CG23" i="47" s="1"/>
  <c r="BU23" i="47"/>
  <c r="BT23" i="47"/>
  <c r="BU206" i="47"/>
  <c r="BT206" i="47"/>
  <c r="BU80" i="47"/>
  <c r="BT80" i="47"/>
  <c r="CC158" i="47"/>
  <c r="CF158" i="47" s="1"/>
  <c r="BT158" i="47"/>
  <c r="BU158" i="47"/>
  <c r="BV158" i="47" s="1"/>
  <c r="BU86" i="47"/>
  <c r="BT86" i="47"/>
  <c r="BU18" i="47"/>
  <c r="BT18" i="47"/>
  <c r="BT166" i="47"/>
  <c r="BU166" i="47"/>
  <c r="BV166" i="47" s="1"/>
  <c r="BT160" i="47"/>
  <c r="BU160" i="47"/>
  <c r="BU136" i="47"/>
  <c r="BT136" i="47"/>
  <c r="BU112" i="47"/>
  <c r="BT112" i="47"/>
  <c r="CC154" i="47"/>
  <c r="CF154" i="47" s="1"/>
  <c r="CG154" i="47" s="1"/>
  <c r="BT154" i="47"/>
  <c r="BU154" i="47"/>
  <c r="BT102" i="47"/>
  <c r="BU102" i="47"/>
  <c r="BV102" i="47" s="1"/>
  <c r="BU141" i="47"/>
  <c r="BT141" i="47"/>
  <c r="BU84" i="47"/>
  <c r="BT84" i="47"/>
  <c r="BT156" i="47"/>
  <c r="BU156" i="47"/>
  <c r="BU64" i="47"/>
  <c r="BT64" i="47"/>
  <c r="BX8" i="47"/>
  <c r="BY8" i="47" s="1"/>
  <c r="CC42" i="47"/>
  <c r="CF42" i="47" s="1"/>
  <c r="CG42" i="47" s="1"/>
  <c r="BU42" i="47"/>
  <c r="BT42" i="47"/>
  <c r="BT39" i="47"/>
  <c r="BU39" i="47"/>
  <c r="BV39" i="47" s="1"/>
  <c r="FT113" i="47"/>
  <c r="GD113" i="47"/>
  <c r="FL120" i="47" s="1"/>
  <c r="BT41" i="47"/>
  <c r="BU41" i="47"/>
  <c r="BV41" i="47" s="1"/>
  <c r="BU70" i="47"/>
  <c r="BT70" i="47"/>
  <c r="BU68" i="47"/>
  <c r="BT68" i="47"/>
  <c r="BU82" i="47"/>
  <c r="BT82" i="47"/>
  <c r="CC201" i="47"/>
  <c r="CF201" i="47" s="1"/>
  <c r="CG201" i="47" s="1"/>
  <c r="BU201" i="47"/>
  <c r="BT201" i="47"/>
  <c r="BU134" i="47"/>
  <c r="BT134" i="47"/>
  <c r="CG118" i="47"/>
  <c r="BT131" i="47"/>
  <c r="BU131" i="47"/>
  <c r="BV131" i="47" s="1"/>
  <c r="BU104" i="47"/>
  <c r="BT104" i="47"/>
  <c r="CC142" i="47"/>
  <c r="CF142" i="47" s="1"/>
  <c r="CG142" i="47" s="1"/>
  <c r="BT142" i="47"/>
  <c r="BU142" i="47"/>
  <c r="FV103" i="47"/>
  <c r="FU103" i="47"/>
  <c r="CC209" i="47"/>
  <c r="CF209" i="47" s="1"/>
  <c r="CG209" i="47" s="1"/>
  <c r="BT209" i="47"/>
  <c r="BU209" i="47"/>
  <c r="CM172" i="47"/>
  <c r="U172" i="47"/>
  <c r="W172" i="47" s="1"/>
  <c r="BK172" i="47"/>
  <c r="CL172" i="47"/>
  <c r="CK172" i="47"/>
  <c r="FS89" i="47"/>
  <c r="CC25" i="47"/>
  <c r="CF25" i="47" s="1"/>
  <c r="CG25" i="47" s="1"/>
  <c r="BU25" i="47"/>
  <c r="BT25" i="47"/>
  <c r="CC21" i="47"/>
  <c r="CF21" i="47" s="1"/>
  <c r="CG21" i="47" s="1"/>
  <c r="BT21" i="47"/>
  <c r="BU21" i="47"/>
  <c r="CC63" i="47"/>
  <c r="CF63" i="47" s="1"/>
  <c r="CG63" i="47" s="1"/>
  <c r="BU63" i="47"/>
  <c r="BT63" i="47"/>
  <c r="CC15" i="47"/>
  <c r="CF15" i="47" s="1"/>
  <c r="CG15" i="47" s="1"/>
  <c r="BT15" i="47"/>
  <c r="BU15" i="47"/>
  <c r="CC111" i="47"/>
  <c r="CF111" i="47" s="1"/>
  <c r="CG111" i="47" s="1"/>
  <c r="BT111" i="47"/>
  <c r="BU111" i="47"/>
  <c r="BV111" i="47" s="1"/>
  <c r="W109" i="47"/>
  <c r="BU91" i="47"/>
  <c r="BT91" i="47"/>
  <c r="BU87" i="47"/>
  <c r="BT87" i="47"/>
  <c r="CC59" i="47"/>
  <c r="CF59" i="47" s="1"/>
  <c r="CG59" i="47" s="1"/>
  <c r="BU59" i="47"/>
  <c r="BT59" i="47"/>
  <c r="BZ118" i="47"/>
  <c r="CB149" i="47"/>
  <c r="CD149" i="47" s="1"/>
  <c r="BA149" i="47"/>
  <c r="CB147" i="47"/>
  <c r="CC147" i="47" s="1"/>
  <c r="CF147" i="47" s="1"/>
  <c r="CD147" i="47"/>
  <c r="BA147" i="47"/>
  <c r="CB145" i="47"/>
  <c r="CD145" i="47" s="1"/>
  <c r="BA145" i="47"/>
  <c r="BL145" i="47" s="1"/>
  <c r="CB143" i="47"/>
  <c r="CD143" i="47"/>
  <c r="BA143" i="47"/>
  <c r="V143" i="47" s="1"/>
  <c r="CB141" i="47"/>
  <c r="BA141" i="47"/>
  <c r="V141" i="47" s="1"/>
  <c r="CB139" i="47"/>
  <c r="BA139" i="47"/>
  <c r="V139" i="47" s="1"/>
  <c r="CB137" i="47"/>
  <c r="CD137" i="47" s="1"/>
  <c r="BA137" i="47"/>
  <c r="CB210" i="47"/>
  <c r="BA210" i="47"/>
  <c r="V210" i="47" s="1"/>
  <c r="CB208" i="47"/>
  <c r="CD208" i="47" s="1"/>
  <c r="BA208" i="47"/>
  <c r="CB206" i="47"/>
  <c r="CC206" i="47" s="1"/>
  <c r="CF206" i="47" s="1"/>
  <c r="CD206" i="47"/>
  <c r="BA206" i="47"/>
  <c r="BL206" i="47" s="1"/>
  <c r="CB204" i="47"/>
  <c r="CC204" i="47" s="1"/>
  <c r="CF204" i="47" s="1"/>
  <c r="BA204" i="47"/>
  <c r="V204" i="47" s="1"/>
  <c r="BL143" i="47"/>
  <c r="BL208" i="47"/>
  <c r="CB82" i="47"/>
  <c r="CC82" i="47" s="1"/>
  <c r="CF82" i="47" s="1"/>
  <c r="BA82" i="47"/>
  <c r="BL82" i="47" s="1"/>
  <c r="CB80" i="47"/>
  <c r="CD80" i="47" s="1"/>
  <c r="BA80" i="47"/>
  <c r="BL80" i="47" s="1"/>
  <c r="CB78" i="47"/>
  <c r="BA78" i="47"/>
  <c r="V78" i="47" s="1"/>
  <c r="BT76" i="47"/>
  <c r="BU76" i="47"/>
  <c r="BV76" i="47" s="1"/>
  <c r="CB71" i="47"/>
  <c r="CD71" i="47" s="1"/>
  <c r="BA71" i="47"/>
  <c r="CB151" i="47"/>
  <c r="CC151" i="47" s="1"/>
  <c r="CF151" i="47" s="1"/>
  <c r="BA151" i="47"/>
  <c r="V151" i="47" s="1"/>
  <c r="BV73" i="47"/>
  <c r="BX73" i="47" s="1"/>
  <c r="BY73" i="47" s="1"/>
  <c r="BV126" i="47"/>
  <c r="BX126" i="47" s="1"/>
  <c r="BV6" i="47"/>
  <c r="BX6" i="47" s="1"/>
  <c r="BY6" i="47" s="1"/>
  <c r="BV127" i="47"/>
  <c r="BV122" i="47"/>
  <c r="BX122" i="47" s="1"/>
  <c r="CK178" i="47"/>
  <c r="CB179" i="47"/>
  <c r="BA179" i="47"/>
  <c r="BL179" i="47" s="1"/>
  <c r="BU19" i="47"/>
  <c r="BU96" i="47"/>
  <c r="CC51" i="47"/>
  <c r="CF51" i="47" s="1"/>
  <c r="CK121" i="47"/>
  <c r="BZ4" i="47"/>
  <c r="CL201" i="47"/>
  <c r="BK201" i="47"/>
  <c r="GD203" i="47"/>
  <c r="FL194" i="47" s="1"/>
  <c r="CC193" i="47"/>
  <c r="CF193" i="47" s="1"/>
  <c r="CG193" i="47" s="1"/>
  <c r="BU193" i="47"/>
  <c r="BT193" i="47"/>
  <c r="BK187" i="47"/>
  <c r="BX175" i="47"/>
  <c r="BY175" i="47" s="1"/>
  <c r="CB186" i="47"/>
  <c r="BA186" i="47"/>
  <c r="W49" i="47"/>
  <c r="BT200" i="47"/>
  <c r="U198" i="47"/>
  <c r="CC199" i="47"/>
  <c r="CF199" i="47" s="1"/>
  <c r="CG199" i="47" s="1"/>
  <c r="BU199" i="47"/>
  <c r="BT199" i="47"/>
  <c r="BL195" i="47"/>
  <c r="CM190" i="47"/>
  <c r="U190" i="47"/>
  <c r="CC185" i="47"/>
  <c r="CF185" i="47" s="1"/>
  <c r="CG185" i="47" s="1"/>
  <c r="BU185" i="47"/>
  <c r="BT185" i="47"/>
  <c r="CL178" i="47"/>
  <c r="CD174" i="47"/>
  <c r="CD29" i="47"/>
  <c r="CD93" i="47"/>
  <c r="CM56" i="47"/>
  <c r="U56" i="47"/>
  <c r="W56" i="47" s="1"/>
  <c r="CL121" i="47"/>
  <c r="CC120" i="47"/>
  <c r="CF120" i="47" s="1"/>
  <c r="CG120" i="47" s="1"/>
  <c r="BU120" i="47"/>
  <c r="BT120" i="47"/>
  <c r="CK201" i="47"/>
  <c r="BR194" i="47"/>
  <c r="CL193" i="47"/>
  <c r="W181" i="47"/>
  <c r="CC180" i="47"/>
  <c r="CF180" i="47" s="1"/>
  <c r="BU180" i="47"/>
  <c r="BT180" i="47"/>
  <c r="BZ184" i="47"/>
  <c r="BX186" i="47"/>
  <c r="BY186" i="47" s="1"/>
  <c r="BT173" i="47"/>
  <c r="BU173" i="47"/>
  <c r="CC49" i="47"/>
  <c r="CF49" i="47" s="1"/>
  <c r="CG49" i="47" s="1"/>
  <c r="BU49" i="47"/>
  <c r="BT49" i="47"/>
  <c r="BX92" i="47"/>
  <c r="BY92" i="47" s="1"/>
  <c r="BX60" i="47"/>
  <c r="BY60" i="47" s="1"/>
  <c r="BX58" i="47"/>
  <c r="BY58" i="47" s="1"/>
  <c r="BX55" i="47"/>
  <c r="BY55" i="47" s="1"/>
  <c r="BX53" i="47"/>
  <c r="BY53" i="47" s="1"/>
  <c r="BX50" i="47"/>
  <c r="BY50" i="47" s="1"/>
  <c r="CB202" i="47"/>
  <c r="CD202" i="47" s="1"/>
  <c r="BA202" i="47"/>
  <c r="V202" i="47" s="1"/>
  <c r="V195" i="47"/>
  <c r="CD195" i="47"/>
  <c r="CG195" i="47" s="1"/>
  <c r="CM192" i="47"/>
  <c r="U192" i="47"/>
  <c r="CL192" i="47"/>
  <c r="V201" i="47"/>
  <c r="CM196" i="47"/>
  <c r="U196" i="47"/>
  <c r="W196" i="47" s="1"/>
  <c r="BK196" i="47"/>
  <c r="CL196" i="47"/>
  <c r="CK196" i="47"/>
  <c r="BL196" i="47"/>
  <c r="BX187" i="47"/>
  <c r="BY187" i="47" s="1"/>
  <c r="V187" i="47"/>
  <c r="CD187" i="47"/>
  <c r="CM183" i="47"/>
  <c r="U183" i="47"/>
  <c r="W183" i="47" s="1"/>
  <c r="CL183" i="47"/>
  <c r="V180" i="47"/>
  <c r="CD180" i="47"/>
  <c r="CM176" i="47"/>
  <c r="U176" i="47"/>
  <c r="W176" i="47" s="1"/>
  <c r="CL176" i="47"/>
  <c r="U169" i="47"/>
  <c r="CM169" i="47"/>
  <c r="BU165" i="47"/>
  <c r="BT165" i="47"/>
  <c r="W163" i="47"/>
  <c r="CC44" i="47"/>
  <c r="CF44" i="47" s="1"/>
  <c r="CG44" i="47" s="1"/>
  <c r="BT44" i="47"/>
  <c r="BU44" i="47"/>
  <c r="BU40" i="47"/>
  <c r="BT40" i="47"/>
  <c r="BT32" i="47"/>
  <c r="BU32" i="47"/>
  <c r="BV32" i="47" s="1"/>
  <c r="CC20" i="47"/>
  <c r="CF20" i="47" s="1"/>
  <c r="CG20" i="47" s="1"/>
  <c r="BT20" i="47"/>
  <c r="BU20" i="47"/>
  <c r="CC97" i="47"/>
  <c r="CF97" i="47" s="1"/>
  <c r="CG97" i="47" s="1"/>
  <c r="BU97" i="47"/>
  <c r="BT97" i="47"/>
  <c r="CM62" i="47"/>
  <c r="U62" i="47"/>
  <c r="CL62" i="47"/>
  <c r="V51" i="47"/>
  <c r="CD51" i="47"/>
  <c r="CM48" i="47"/>
  <c r="U48" i="47"/>
  <c r="CL48" i="47"/>
  <c r="V120" i="47"/>
  <c r="CK117" i="47"/>
  <c r="FT117" i="47" s="1"/>
  <c r="CB182" i="47"/>
  <c r="BA182" i="47"/>
  <c r="CB92" i="47"/>
  <c r="BA92" i="47"/>
  <c r="CB46" i="47"/>
  <c r="BA46" i="47"/>
  <c r="CC146" i="47"/>
  <c r="CF146" i="47" s="1"/>
  <c r="CG146" i="47" s="1"/>
  <c r="BU146" i="47"/>
  <c r="BT146" i="47"/>
  <c r="GD107" i="47"/>
  <c r="FL146" i="47" s="1"/>
  <c r="U142" i="47"/>
  <c r="CM142" i="47"/>
  <c r="BT138" i="47"/>
  <c r="BU138" i="47"/>
  <c r="BV138" i="47" s="1"/>
  <c r="U209" i="47"/>
  <c r="CM209" i="47"/>
  <c r="CC205" i="47"/>
  <c r="CF205" i="47" s="1"/>
  <c r="CG205" i="47" s="1"/>
  <c r="BT205" i="47"/>
  <c r="BU205" i="47"/>
  <c r="BV205" i="47" s="1"/>
  <c r="BL172" i="47"/>
  <c r="CC172" i="47"/>
  <c r="CF172" i="47" s="1"/>
  <c r="CG172" i="47" s="1"/>
  <c r="BV98" i="47"/>
  <c r="BX98" i="47" s="1"/>
  <c r="BY98" i="47" s="1"/>
  <c r="CL52" i="47"/>
  <c r="CC133" i="47"/>
  <c r="CF133" i="47" s="1"/>
  <c r="CG133" i="47" s="1"/>
  <c r="BU133" i="47"/>
  <c r="BT133" i="47"/>
  <c r="CL23" i="47"/>
  <c r="BK23" i="47"/>
  <c r="CC67" i="47"/>
  <c r="CF67" i="47" s="1"/>
  <c r="CG67" i="47" s="1"/>
  <c r="BU67" i="47"/>
  <c r="BT67" i="47"/>
  <c r="U15" i="47"/>
  <c r="W15" i="47" s="1"/>
  <c r="CM15" i="47"/>
  <c r="CC11" i="47"/>
  <c r="CF11" i="47" s="1"/>
  <c r="CG11" i="47" s="1"/>
  <c r="BU11" i="47"/>
  <c r="BT11" i="47"/>
  <c r="W11" i="47"/>
  <c r="BT115" i="47"/>
  <c r="BU115" i="47"/>
  <c r="BV115" i="47" s="1"/>
  <c r="CC107" i="47"/>
  <c r="CF107" i="47" s="1"/>
  <c r="CG107" i="47" s="1"/>
  <c r="BU107" i="47"/>
  <c r="BT107" i="47"/>
  <c r="BZ61" i="47"/>
  <c r="V209" i="47"/>
  <c r="BR16" i="47"/>
  <c r="BU79" i="47"/>
  <c r="BT79" i="47"/>
  <c r="W79" i="47"/>
  <c r="CD89" i="47"/>
  <c r="BT73" i="47"/>
  <c r="CB73" i="47"/>
  <c r="CC73" i="47" s="1"/>
  <c r="CF73" i="47" s="1"/>
  <c r="BA73" i="47"/>
  <c r="V73" i="47" s="1"/>
  <c r="BU149" i="47"/>
  <c r="BL128" i="47"/>
  <c r="BL124" i="47"/>
  <c r="BV110" i="47"/>
  <c r="BX110" i="47" s="1"/>
  <c r="BY110" i="47" s="1"/>
  <c r="BZ3" i="47"/>
  <c r="BU147" i="47"/>
  <c r="BU143" i="47"/>
  <c r="BU137" i="47"/>
  <c r="BU208" i="47"/>
  <c r="BU204" i="47"/>
  <c r="BV204" i="47" s="1"/>
  <c r="CM94" i="47"/>
  <c r="U94" i="47"/>
  <c r="U61" i="47"/>
  <c r="CL118" i="47"/>
  <c r="BV90" i="47"/>
  <c r="BX90" i="47" s="1"/>
  <c r="BY90" i="47" s="1"/>
  <c r="BU78" i="47"/>
  <c r="CD17" i="47"/>
  <c r="CB75" i="47"/>
  <c r="CD75" i="47" s="1"/>
  <c r="BA75" i="47"/>
  <c r="V75" i="47" s="1"/>
  <c r="FI71" i="47"/>
  <c r="FO71" i="47"/>
  <c r="W156" i="47"/>
  <c r="CB155" i="47"/>
  <c r="CD155" i="47" s="1"/>
  <c r="BA155" i="47"/>
  <c r="V155" i="47" s="1"/>
  <c r="W131" i="47"/>
  <c r="CC126" i="47"/>
  <c r="CF126" i="47" s="1"/>
  <c r="CG126" i="47" s="1"/>
  <c r="BV125" i="47"/>
  <c r="BX125" i="47" s="1"/>
  <c r="BY125" i="47" s="1"/>
  <c r="CC122" i="47"/>
  <c r="CF122" i="47" s="1"/>
  <c r="CG122" i="47" s="1"/>
  <c r="CC198" i="47"/>
  <c r="CF198" i="47" s="1"/>
  <c r="CG198" i="47" s="1"/>
  <c r="CL199" i="47"/>
  <c r="CL190" i="47"/>
  <c r="BL183" i="47"/>
  <c r="BL176" i="47"/>
  <c r="BX179" i="47"/>
  <c r="BY179" i="47" s="1"/>
  <c r="W29" i="47"/>
  <c r="CB19" i="47"/>
  <c r="CD19" i="47" s="1"/>
  <c r="BA19" i="47"/>
  <c r="V19" i="47" s="1"/>
  <c r="CB102" i="47"/>
  <c r="CD102" i="47" s="1"/>
  <c r="BA102" i="47"/>
  <c r="V102" i="47" s="1"/>
  <c r="CB100" i="47"/>
  <c r="CD100" i="47" s="1"/>
  <c r="BA100" i="47"/>
  <c r="V100" i="47" s="1"/>
  <c r="BT98" i="47"/>
  <c r="CB98" i="47"/>
  <c r="CC98" i="47" s="1"/>
  <c r="CF98" i="47" s="1"/>
  <c r="BA98" i="47"/>
  <c r="V98" i="47" s="1"/>
  <c r="BT96" i="47"/>
  <c r="CB96" i="47"/>
  <c r="CD96" i="47" s="1"/>
  <c r="BA96" i="47"/>
  <c r="V96" i="47" s="1"/>
  <c r="BL51" i="47"/>
  <c r="W194" i="47"/>
  <c r="V190" i="47"/>
  <c r="CK193" i="47"/>
  <c r="BL193" i="47"/>
  <c r="CC189" i="47"/>
  <c r="CF189" i="47" s="1"/>
  <c r="CG189" i="47" s="1"/>
  <c r="BU189" i="47"/>
  <c r="BV189" i="47" s="1"/>
  <c r="BT189" i="47"/>
  <c r="CC187" i="47"/>
  <c r="CF187" i="47" s="1"/>
  <c r="W174" i="47"/>
  <c r="CB175" i="47"/>
  <c r="CD175" i="47" s="1"/>
  <c r="BA175" i="47"/>
  <c r="V175" i="47" s="1"/>
  <c r="BL48" i="47"/>
  <c r="CB200" i="47"/>
  <c r="CD200" i="47" s="1"/>
  <c r="BA200" i="47"/>
  <c r="CK195" i="47"/>
  <c r="CK192" i="47"/>
  <c r="CM188" i="47"/>
  <c r="U188" i="47"/>
  <c r="CL188" i="47"/>
  <c r="BK188" i="47"/>
  <c r="CK188" i="47"/>
  <c r="BZ183" i="47"/>
  <c r="CK176" i="47"/>
  <c r="CC171" i="47"/>
  <c r="CF171" i="47" s="1"/>
  <c r="CG171" i="47" s="1"/>
  <c r="BU171" i="47"/>
  <c r="BT171" i="47"/>
  <c r="BL169" i="47"/>
  <c r="CC167" i="47"/>
  <c r="CF167" i="47" s="1"/>
  <c r="CG167" i="47" s="1"/>
  <c r="BT167" i="47"/>
  <c r="BU167" i="47"/>
  <c r="BV167" i="47" s="1"/>
  <c r="CC159" i="47"/>
  <c r="CF159" i="47" s="1"/>
  <c r="CG159" i="47" s="1"/>
  <c r="BU159" i="47"/>
  <c r="BT159" i="47"/>
  <c r="W159" i="47"/>
  <c r="W44" i="47"/>
  <c r="U42" i="47"/>
  <c r="W42" i="47" s="1"/>
  <c r="CM42" i="47"/>
  <c r="CC38" i="47"/>
  <c r="CF38" i="47" s="1"/>
  <c r="CG38" i="47" s="1"/>
  <c r="BT38" i="47"/>
  <c r="BU38" i="47"/>
  <c r="BV38" i="47" s="1"/>
  <c r="BR31" i="47"/>
  <c r="BT28" i="47"/>
  <c r="CB28" i="47"/>
  <c r="CC28" i="47" s="1"/>
  <c r="CF28" i="47" s="1"/>
  <c r="BA28" i="47"/>
  <c r="V28" i="47" s="1"/>
  <c r="CC99" i="47"/>
  <c r="CF99" i="47" s="1"/>
  <c r="CG99" i="47" s="1"/>
  <c r="BU99" i="47"/>
  <c r="BT99" i="47"/>
  <c r="W97" i="47"/>
  <c r="BZ51" i="47"/>
  <c r="BZ48" i="47"/>
  <c r="BR119" i="47"/>
  <c r="V117" i="47"/>
  <c r="CD117" i="47"/>
  <c r="CG117" i="47" s="1"/>
  <c r="BL177" i="47"/>
  <c r="BK177" i="47"/>
  <c r="CB55" i="47"/>
  <c r="CD55" i="47" s="1"/>
  <c r="BA55" i="47"/>
  <c r="V55" i="47" s="1"/>
  <c r="CB53" i="47"/>
  <c r="CD53" i="47" s="1"/>
  <c r="BA53" i="47"/>
  <c r="V53" i="47" s="1"/>
  <c r="U148" i="47"/>
  <c r="CM148" i="47"/>
  <c r="CC144" i="47"/>
  <c r="CF144" i="47" s="1"/>
  <c r="CG144" i="47" s="1"/>
  <c r="BU144" i="47"/>
  <c r="BT144" i="47"/>
  <c r="W144" i="47"/>
  <c r="BL142" i="47"/>
  <c r="CC140" i="47"/>
  <c r="CF140" i="47" s="1"/>
  <c r="CG140" i="47" s="1"/>
  <c r="BT140" i="47"/>
  <c r="BU140" i="47"/>
  <c r="BV140" i="47" s="1"/>
  <c r="CL209" i="47"/>
  <c r="BK209" i="47"/>
  <c r="BZ197" i="47"/>
  <c r="CC52" i="47"/>
  <c r="CF52" i="47" s="1"/>
  <c r="CG52" i="47" s="1"/>
  <c r="BT52" i="47"/>
  <c r="BU52" i="47"/>
  <c r="CC135" i="47"/>
  <c r="CF135" i="47" s="1"/>
  <c r="CG135" i="47" s="1"/>
  <c r="BU135" i="47"/>
  <c r="BT135" i="47"/>
  <c r="W135" i="47"/>
  <c r="FV85" i="47"/>
  <c r="FS85" i="47"/>
  <c r="FU85" i="47"/>
  <c r="CK23" i="47"/>
  <c r="CC65" i="47"/>
  <c r="CF65" i="47" s="1"/>
  <c r="CG65" i="47" s="1"/>
  <c r="BU65" i="47"/>
  <c r="BT65" i="47"/>
  <c r="W63" i="47"/>
  <c r="BL15" i="47"/>
  <c r="CC13" i="47"/>
  <c r="CF13" i="47" s="1"/>
  <c r="CG13" i="47" s="1"/>
  <c r="BU13" i="47"/>
  <c r="BT13" i="47"/>
  <c r="U9" i="47"/>
  <c r="CM9" i="47"/>
  <c r="BT113" i="47"/>
  <c r="BU113" i="47"/>
  <c r="BV113" i="47" s="1"/>
  <c r="W113" i="47"/>
  <c r="BU105" i="47"/>
  <c r="BT105" i="47"/>
  <c r="BR139" i="47"/>
  <c r="CC83" i="47"/>
  <c r="CF83" i="47" s="1"/>
  <c r="CG83" i="47" s="1"/>
  <c r="BU83" i="47"/>
  <c r="BT83" i="47"/>
  <c r="W83" i="47"/>
  <c r="CC77" i="47"/>
  <c r="CF77" i="47" s="1"/>
  <c r="CG77" i="47" s="1"/>
  <c r="BT77" i="47"/>
  <c r="BU77" i="47"/>
  <c r="BV77" i="47" s="1"/>
  <c r="W77" i="47"/>
  <c r="BR12" i="47"/>
  <c r="BT157" i="47"/>
  <c r="CB157" i="47"/>
  <c r="CD157" i="47" s="1"/>
  <c r="BA157" i="47"/>
  <c r="V157" i="47" s="1"/>
  <c r="BU153" i="47"/>
  <c r="FI153" i="47"/>
  <c r="FO153" i="47"/>
  <c r="BR106" i="47"/>
  <c r="BZ5" i="47"/>
  <c r="BZ124" i="47"/>
  <c r="BZ7" i="47"/>
  <c r="BR162" i="47"/>
  <c r="CL94" i="47"/>
  <c r="BV54" i="47"/>
  <c r="BX54" i="47" s="1"/>
  <c r="CB136" i="47"/>
  <c r="CD136" i="47" s="1"/>
  <c r="BA136" i="47"/>
  <c r="CB134" i="47"/>
  <c r="CC134" i="47" s="1"/>
  <c r="CF134" i="47" s="1"/>
  <c r="CD134" i="47"/>
  <c r="BA134" i="47"/>
  <c r="V134" i="47" s="1"/>
  <c r="CB132" i="47"/>
  <c r="CD132" i="47" s="1"/>
  <c r="BA132" i="47"/>
  <c r="V132" i="47" s="1"/>
  <c r="CB26" i="47"/>
  <c r="CD26" i="47" s="1"/>
  <c r="BA26" i="47"/>
  <c r="V26" i="47" s="1"/>
  <c r="CB24" i="47"/>
  <c r="CD24" i="47" s="1"/>
  <c r="BA24" i="47"/>
  <c r="V24" i="47" s="1"/>
  <c r="BT22" i="47"/>
  <c r="CB22" i="47"/>
  <c r="CD22" i="47" s="1"/>
  <c r="BA22" i="47"/>
  <c r="V22" i="47" s="1"/>
  <c r="CB70" i="47"/>
  <c r="CD70" i="47" s="1"/>
  <c r="BA70" i="47"/>
  <c r="V70" i="47" s="1"/>
  <c r="CB68" i="47"/>
  <c r="CD68" i="47" s="1"/>
  <c r="BA68" i="47"/>
  <c r="V68" i="47" s="1"/>
  <c r="BT66" i="47"/>
  <c r="CB66" i="47"/>
  <c r="CC66" i="47" s="1"/>
  <c r="CF66" i="47" s="1"/>
  <c r="BA66" i="47"/>
  <c r="V66" i="47" s="1"/>
  <c r="CB64" i="47"/>
  <c r="CC64" i="47" s="1"/>
  <c r="CF64" i="47" s="1"/>
  <c r="BA64" i="47"/>
  <c r="V64" i="47" s="1"/>
  <c r="CB18" i="47"/>
  <c r="CC18" i="47" s="1"/>
  <c r="CF18" i="47" s="1"/>
  <c r="BA18" i="47"/>
  <c r="V18" i="47" s="1"/>
  <c r="CB16" i="47"/>
  <c r="CD16" i="47" s="1"/>
  <c r="BA16" i="47"/>
  <c r="V16" i="47" s="1"/>
  <c r="BT14" i="47"/>
  <c r="CB14" i="47"/>
  <c r="CD14" i="47" s="1"/>
  <c r="BA14" i="47"/>
  <c r="V14" i="47" s="1"/>
  <c r="CB12" i="47"/>
  <c r="CD12" i="47" s="1"/>
  <c r="BA12" i="47"/>
  <c r="V12" i="47" s="1"/>
  <c r="BT10" i="47"/>
  <c r="CB10" i="47"/>
  <c r="CC10" i="47" s="1"/>
  <c r="CF10" i="47" s="1"/>
  <c r="BA10" i="47"/>
  <c r="V10" i="47" s="1"/>
  <c r="BT116" i="47"/>
  <c r="CB116" i="47"/>
  <c r="CD116" i="47" s="1"/>
  <c r="BA116" i="47"/>
  <c r="V116" i="47" s="1"/>
  <c r="CB114" i="47"/>
  <c r="CD114" i="47" s="1"/>
  <c r="BA114" i="47"/>
  <c r="V114" i="47" s="1"/>
  <c r="CB112" i="47"/>
  <c r="CD112" i="47" s="1"/>
  <c r="BA112" i="47"/>
  <c r="V112" i="47" s="1"/>
  <c r="BT110" i="47"/>
  <c r="CB110" i="47"/>
  <c r="CC110" i="47" s="1"/>
  <c r="CF110" i="47" s="1"/>
  <c r="BA110" i="47"/>
  <c r="V110" i="47" s="1"/>
  <c r="CB108" i="47"/>
  <c r="CD108" i="47" s="1"/>
  <c r="BA108" i="47"/>
  <c r="V108" i="47" s="1"/>
  <c r="CB106" i="47"/>
  <c r="CD106" i="47" s="1"/>
  <c r="BA106" i="47"/>
  <c r="V106" i="47" s="1"/>
  <c r="CB104" i="47"/>
  <c r="CC104" i="47" s="1"/>
  <c r="CF104" i="47" s="1"/>
  <c r="CD104" i="47"/>
  <c r="BA104" i="47"/>
  <c r="V104" i="47" s="1"/>
  <c r="BT90" i="47"/>
  <c r="CB90" i="47"/>
  <c r="CD90" i="47" s="1"/>
  <c r="BA90" i="47"/>
  <c r="V90" i="47" s="1"/>
  <c r="BT88" i="47"/>
  <c r="CB88" i="47"/>
  <c r="CD88" i="47" s="1"/>
  <c r="BA88" i="47"/>
  <c r="V88" i="47" s="1"/>
  <c r="CB86" i="47"/>
  <c r="CC86" i="47" s="1"/>
  <c r="CF86" i="47" s="1"/>
  <c r="BA86" i="47"/>
  <c r="V86" i="47" s="1"/>
  <c r="CB84" i="47"/>
  <c r="CC84" i="47" s="1"/>
  <c r="CF84" i="47" s="1"/>
  <c r="BA84" i="47"/>
  <c r="V84" i="47" s="1"/>
  <c r="CM57" i="47"/>
  <c r="V148" i="47"/>
  <c r="BR145" i="47"/>
  <c r="BL141" i="47"/>
  <c r="V9" i="47"/>
  <c r="BR114" i="47"/>
  <c r="CD128" i="47"/>
  <c r="CD124" i="47"/>
  <c r="CG124" i="47" s="1"/>
  <c r="CD7" i="47"/>
  <c r="CG7" i="47" s="1"/>
  <c r="BR108" i="47"/>
  <c r="BL78" i="47"/>
  <c r="BX123" i="47"/>
  <c r="BY123" i="47" s="1"/>
  <c r="BX2" i="47"/>
  <c r="BY2" i="47" s="1"/>
  <c r="CM189" i="47"/>
  <c r="U189" i="47"/>
  <c r="W189" i="47" s="1"/>
  <c r="BK183" i="47"/>
  <c r="BL197" i="47"/>
  <c r="BK59" i="47"/>
  <c r="CM47" i="47"/>
  <c r="U47" i="47"/>
  <c r="BK47" i="47"/>
  <c r="BL129" i="47"/>
  <c r="BK125" i="47"/>
  <c r="CG125" i="47"/>
  <c r="BL8" i="47"/>
  <c r="CM4" i="47"/>
  <c r="U4" i="47"/>
  <c r="CL4" i="47"/>
  <c r="CK4" i="47"/>
  <c r="BK4" i="47"/>
  <c r="BX117" i="47"/>
  <c r="BY117" i="47" s="1"/>
  <c r="BK198" i="47"/>
  <c r="BK48" i="47"/>
  <c r="BZ58" i="47"/>
  <c r="BL52" i="47"/>
  <c r="W17" i="47"/>
  <c r="CM127" i="47"/>
  <c r="U127" i="47"/>
  <c r="W127" i="47" s="1"/>
  <c r="BK127" i="47"/>
  <c r="CL127" i="47"/>
  <c r="CK127" i="47"/>
  <c r="CG127" i="47"/>
  <c r="CM6" i="47"/>
  <c r="U6" i="47"/>
  <c r="BK6" i="47"/>
  <c r="CL6" i="47"/>
  <c r="CK6" i="47"/>
  <c r="CG6" i="47"/>
  <c r="CC200" i="47"/>
  <c r="CF200" i="47" s="1"/>
  <c r="BV200" i="47"/>
  <c r="BX200" i="47" s="1"/>
  <c r="BY200" i="47" s="1"/>
  <c r="CM178" i="47"/>
  <c r="U178" i="47"/>
  <c r="W178" i="47" s="1"/>
  <c r="CB191" i="47"/>
  <c r="CD191" i="47" s="1"/>
  <c r="BA191" i="47"/>
  <c r="V191" i="47" s="1"/>
  <c r="CB170" i="47"/>
  <c r="CD170" i="47" s="1"/>
  <c r="BA170" i="47"/>
  <c r="V170" i="47" s="1"/>
  <c r="CB168" i="47"/>
  <c r="CD168" i="47" s="1"/>
  <c r="BA168" i="47"/>
  <c r="V168" i="47" s="1"/>
  <c r="CB166" i="47"/>
  <c r="CD166" i="47" s="1"/>
  <c r="BA166" i="47"/>
  <c r="BL166" i="47" s="1"/>
  <c r="CB164" i="47"/>
  <c r="CD164" i="47" s="1"/>
  <c r="BA164" i="47"/>
  <c r="BL164" i="47" s="1"/>
  <c r="CB162" i="47"/>
  <c r="CD162" i="47" s="1"/>
  <c r="BA162" i="47"/>
  <c r="V162" i="47" s="1"/>
  <c r="CB160" i="47"/>
  <c r="CD160" i="47" s="1"/>
  <c r="BA160" i="47"/>
  <c r="V160" i="47" s="1"/>
  <c r="CB45" i="47"/>
  <c r="CD45" i="47" s="1"/>
  <c r="BA45" i="47"/>
  <c r="V45" i="47" s="1"/>
  <c r="CB43" i="47"/>
  <c r="CD43" i="47" s="1"/>
  <c r="BA43" i="47"/>
  <c r="V43" i="47" s="1"/>
  <c r="CB41" i="47"/>
  <c r="CD41" i="47" s="1"/>
  <c r="BA41" i="47"/>
  <c r="V41" i="47" s="1"/>
  <c r="CB39" i="47"/>
  <c r="CD39" i="47" s="1"/>
  <c r="BA39" i="47"/>
  <c r="BL39" i="47" s="1"/>
  <c r="CB37" i="47"/>
  <c r="CD37" i="47" s="1"/>
  <c r="BA37" i="47"/>
  <c r="V37" i="47" s="1"/>
  <c r="CB35" i="47"/>
  <c r="CD35" i="47" s="1"/>
  <c r="BA35" i="47"/>
  <c r="V35" i="47" s="1"/>
  <c r="CB33" i="47"/>
  <c r="CD33" i="47" s="1"/>
  <c r="BA33" i="47"/>
  <c r="V33" i="47" s="1"/>
  <c r="CB31" i="47"/>
  <c r="CD31" i="47" s="1"/>
  <c r="BA31" i="47"/>
  <c r="V31" i="47" s="1"/>
  <c r="BV43" i="47"/>
  <c r="BV37" i="47"/>
  <c r="BX37" i="47" s="1"/>
  <c r="BY37" i="47" s="1"/>
  <c r="BV33" i="47"/>
  <c r="BX33" i="47" s="1"/>
  <c r="BY33" i="47" s="1"/>
  <c r="CC29" i="47"/>
  <c r="CF29" i="47" s="1"/>
  <c r="BU29" i="47"/>
  <c r="BT29" i="47"/>
  <c r="CM121" i="47"/>
  <c r="U121" i="47"/>
  <c r="W121" i="47" s="1"/>
  <c r="U201" i="47"/>
  <c r="W201" i="47" s="1"/>
  <c r="CM201" i="47"/>
  <c r="CC174" i="47"/>
  <c r="CF174" i="47" s="1"/>
  <c r="BU174" i="47"/>
  <c r="BT174" i="47"/>
  <c r="CB184" i="47"/>
  <c r="CD184" i="47" s="1"/>
  <c r="BA184" i="47"/>
  <c r="V184" i="47" s="1"/>
  <c r="CC93" i="47"/>
  <c r="CF93" i="47" s="1"/>
  <c r="BU93" i="47"/>
  <c r="BT93" i="47"/>
  <c r="BZ182" i="47"/>
  <c r="BV19" i="47"/>
  <c r="BU202" i="47"/>
  <c r="CM195" i="47"/>
  <c r="U195" i="47"/>
  <c r="CL195" i="47"/>
  <c r="CM187" i="47"/>
  <c r="U187" i="47"/>
  <c r="CL187" i="47"/>
  <c r="CM180" i="47"/>
  <c r="U180" i="47"/>
  <c r="CL180" i="47"/>
  <c r="CC169" i="47"/>
  <c r="CF169" i="47" s="1"/>
  <c r="CG169" i="47" s="1"/>
  <c r="BT169" i="47"/>
  <c r="BU169" i="47"/>
  <c r="CC161" i="47"/>
  <c r="CF161" i="47" s="1"/>
  <c r="CG161" i="47" s="1"/>
  <c r="BU161" i="47"/>
  <c r="BT161" i="47"/>
  <c r="CC36" i="47"/>
  <c r="CF36" i="47" s="1"/>
  <c r="CG36" i="47" s="1"/>
  <c r="BT36" i="47"/>
  <c r="BU36" i="47"/>
  <c r="BV36" i="47" s="1"/>
  <c r="BL35" i="47"/>
  <c r="CC101" i="47"/>
  <c r="CF101" i="47" s="1"/>
  <c r="CG101" i="47" s="1"/>
  <c r="BU101" i="47"/>
  <c r="BT101" i="47"/>
  <c r="W99" i="47"/>
  <c r="CM51" i="47"/>
  <c r="U51" i="47"/>
  <c r="CL51" i="47"/>
  <c r="CM120" i="47"/>
  <c r="U120" i="47"/>
  <c r="W120" i="47" s="1"/>
  <c r="CL120" i="47"/>
  <c r="CC188" i="47"/>
  <c r="CF188" i="47" s="1"/>
  <c r="CG188" i="47" s="1"/>
  <c r="CK187" i="47"/>
  <c r="BU163" i="47"/>
  <c r="BT163" i="47"/>
  <c r="W161" i="47"/>
  <c r="BT34" i="47"/>
  <c r="BU34" i="47"/>
  <c r="BV34" i="47" s="1"/>
  <c r="GD156" i="47"/>
  <c r="FL34" i="47" s="1"/>
  <c r="BV35" i="47"/>
  <c r="BX35" i="47" s="1"/>
  <c r="BY35" i="47" s="1"/>
  <c r="BU28" i="47"/>
  <c r="CC103" i="47"/>
  <c r="CF103" i="47" s="1"/>
  <c r="CG103" i="47" s="1"/>
  <c r="BU103" i="47"/>
  <c r="BT103" i="47"/>
  <c r="W101" i="47"/>
  <c r="CC95" i="47"/>
  <c r="CF95" i="47" s="1"/>
  <c r="CG95" i="47" s="1"/>
  <c r="BU95" i="47"/>
  <c r="BT95" i="47"/>
  <c r="CK51" i="47"/>
  <c r="CM117" i="47"/>
  <c r="U117" i="47"/>
  <c r="CL117" i="47"/>
  <c r="CC177" i="47"/>
  <c r="CF177" i="47" s="1"/>
  <c r="CG177" i="47" s="1"/>
  <c r="BT177" i="47"/>
  <c r="BU177" i="47"/>
  <c r="CB60" i="47"/>
  <c r="CD60" i="47" s="1"/>
  <c r="BA60" i="47"/>
  <c r="V60" i="47" s="1"/>
  <c r="CB58" i="47"/>
  <c r="CD58" i="47" s="1"/>
  <c r="BA58" i="47"/>
  <c r="V58" i="47" s="1"/>
  <c r="CB50" i="47"/>
  <c r="CD50" i="47" s="1"/>
  <c r="BA50" i="47"/>
  <c r="V50" i="47" s="1"/>
  <c r="FV107" i="47"/>
  <c r="FS107" i="47"/>
  <c r="FU107" i="47"/>
  <c r="GD103" i="47"/>
  <c r="FL142" i="47" s="1"/>
  <c r="CC211" i="47"/>
  <c r="CF211" i="47" s="1"/>
  <c r="CG211" i="47" s="1"/>
  <c r="BT211" i="47"/>
  <c r="BU211" i="47"/>
  <c r="BV211" i="47" s="1"/>
  <c r="W211" i="47"/>
  <c r="CC207" i="47"/>
  <c r="CF207" i="47" s="1"/>
  <c r="CG207" i="47" s="1"/>
  <c r="BU207" i="47"/>
  <c r="BT207" i="47"/>
  <c r="W207" i="47"/>
  <c r="BX94" i="47"/>
  <c r="BY94" i="47" s="1"/>
  <c r="CC210" i="47"/>
  <c r="CF210" i="47" s="1"/>
  <c r="BV210" i="47"/>
  <c r="BL204" i="47"/>
  <c r="CC203" i="47"/>
  <c r="CF203" i="47" s="1"/>
  <c r="CG203" i="47" s="1"/>
  <c r="BU203" i="47"/>
  <c r="BT203" i="47"/>
  <c r="GD89" i="47"/>
  <c r="FL203" i="47" s="1"/>
  <c r="BU27" i="47"/>
  <c r="BT27" i="47"/>
  <c r="U23" i="47"/>
  <c r="W23" i="47" s="1"/>
  <c r="CM23" i="47"/>
  <c r="CC69" i="47"/>
  <c r="CF69" i="47" s="1"/>
  <c r="CG69" i="47" s="1"/>
  <c r="BU69" i="47"/>
  <c r="BT69" i="47"/>
  <c r="W67" i="47"/>
  <c r="CC17" i="47"/>
  <c r="CF17" i="47" s="1"/>
  <c r="BT17" i="47"/>
  <c r="BU17" i="47"/>
  <c r="BV17" i="47" s="1"/>
  <c r="GD65" i="47"/>
  <c r="FL15" i="47" s="1"/>
  <c r="BR9" i="47"/>
  <c r="BU109" i="47"/>
  <c r="BT109" i="47"/>
  <c r="GD51" i="47"/>
  <c r="FL109" i="47" s="1"/>
  <c r="W107" i="47"/>
  <c r="CC89" i="47"/>
  <c r="CF89" i="47" s="1"/>
  <c r="BT89" i="47"/>
  <c r="BU89" i="47"/>
  <c r="BV89" i="47" s="1"/>
  <c r="CC85" i="47"/>
  <c r="CF85" i="47" s="1"/>
  <c r="CG85" i="47" s="1"/>
  <c r="BU85" i="47"/>
  <c r="BT85" i="47"/>
  <c r="BL147" i="47"/>
  <c r="CC81" i="47"/>
  <c r="CF81" i="47" s="1"/>
  <c r="CG81" i="47" s="1"/>
  <c r="BT81" i="47"/>
  <c r="BU81" i="47"/>
  <c r="BV81" i="47" s="1"/>
  <c r="CC74" i="47"/>
  <c r="CF74" i="47" s="1"/>
  <c r="CG74" i="47" s="1"/>
  <c r="BT74" i="47"/>
  <c r="BU74" i="47"/>
  <c r="BU157" i="47"/>
  <c r="BT153" i="47"/>
  <c r="CB153" i="47"/>
  <c r="CD153" i="47" s="1"/>
  <c r="BA153" i="47"/>
  <c r="BL153" i="47" s="1"/>
  <c r="CC150" i="47"/>
  <c r="CF150" i="47" s="1"/>
  <c r="CG150" i="47" s="1"/>
  <c r="BT150" i="47"/>
  <c r="BU150" i="47"/>
  <c r="BV150" i="47" s="1"/>
  <c r="BR26" i="47"/>
  <c r="CM30" i="47"/>
  <c r="U30" i="47"/>
  <c r="W30" i="47" s="1"/>
  <c r="BK30" i="47"/>
  <c r="CL30" i="47"/>
  <c r="CK30" i="47"/>
  <c r="FT30" i="47" s="1"/>
  <c r="CG30" i="47"/>
  <c r="U54" i="47"/>
  <c r="BU22" i="47"/>
  <c r="BU66" i="47"/>
  <c r="BU14" i="47"/>
  <c r="BU10" i="47"/>
  <c r="BU116" i="47"/>
  <c r="BV116" i="47" s="1"/>
  <c r="BU88" i="47"/>
  <c r="CM118" i="47"/>
  <c r="U118" i="47"/>
  <c r="W118" i="47" s="1"/>
  <c r="BL137" i="47"/>
  <c r="W76" i="47"/>
  <c r="CC72" i="47"/>
  <c r="CF72" i="47" s="1"/>
  <c r="CG72" i="47" s="1"/>
  <c r="BT72" i="47"/>
  <c r="BU72" i="47"/>
  <c r="BT152" i="47"/>
  <c r="BU152" i="47"/>
  <c r="BV152" i="47" s="1"/>
  <c r="BZ130" i="47"/>
  <c r="CB130" i="47"/>
  <c r="CD130" i="47" s="1"/>
  <c r="BA130" i="47"/>
  <c r="CM128" i="47"/>
  <c r="U128" i="47"/>
  <c r="W128" i="47" s="1"/>
  <c r="BK128" i="47"/>
  <c r="CL128" i="47"/>
  <c r="CK128" i="47"/>
  <c r="CM126" i="47"/>
  <c r="U126" i="47"/>
  <c r="W126" i="47" s="1"/>
  <c r="BK126" i="47"/>
  <c r="CL126" i="47"/>
  <c r="CK126" i="47"/>
  <c r="CM124" i="47"/>
  <c r="U124" i="47"/>
  <c r="W124" i="47" s="1"/>
  <c r="BK124" i="47"/>
  <c r="CL124" i="47"/>
  <c r="CK124" i="47"/>
  <c r="CM122" i="47"/>
  <c r="U122" i="47"/>
  <c r="W122" i="47" s="1"/>
  <c r="BK122" i="47"/>
  <c r="CL122" i="47"/>
  <c r="CK122" i="47"/>
  <c r="CM7" i="47"/>
  <c r="U7" i="47"/>
  <c r="BK7" i="47"/>
  <c r="CL7" i="47"/>
  <c r="CK7" i="47"/>
  <c r="CM5" i="47"/>
  <c r="U5" i="47"/>
  <c r="W5" i="47" s="1"/>
  <c r="CL5" i="47"/>
  <c r="CK5" i="47"/>
  <c r="BK5" i="47"/>
  <c r="CM3" i="47"/>
  <c r="U3" i="47"/>
  <c r="W3" i="47" s="1"/>
  <c r="BK3" i="47"/>
  <c r="CL3" i="47"/>
  <c r="CK3" i="47"/>
  <c r="CC75" i="47"/>
  <c r="CF75" i="47" s="1"/>
  <c r="BV75" i="47"/>
  <c r="BX75" i="47" s="1"/>
  <c r="BY75" i="47" s="1"/>
  <c r="CC71" i="47"/>
  <c r="CF71" i="47" s="1"/>
  <c r="BV151" i="47"/>
  <c r="BL149" i="47"/>
  <c r="CC5" i="47"/>
  <c r="CF5" i="47" s="1"/>
  <c r="CG5" i="47" s="1"/>
  <c r="BV192" i="47"/>
  <c r="BV62" i="47"/>
  <c r="BK120" i="47"/>
  <c r="W89" i="47"/>
  <c r="CM197" i="47"/>
  <c r="U197" i="47"/>
  <c r="CL197" i="47"/>
  <c r="BK197" i="47"/>
  <c r="BK118" i="47"/>
  <c r="CM129" i="47"/>
  <c r="U129" i="47"/>
  <c r="W129" i="47" s="1"/>
  <c r="BK129" i="47"/>
  <c r="CL129" i="47"/>
  <c r="CK129" i="47"/>
  <c r="CM8" i="47"/>
  <c r="U8" i="47"/>
  <c r="W8" i="47" s="1"/>
  <c r="BK8" i="47"/>
  <c r="CL8" i="47"/>
  <c r="CK8" i="47"/>
  <c r="CG8" i="47"/>
  <c r="BZ117" i="47"/>
  <c r="CM199" i="47"/>
  <c r="U199" i="47"/>
  <c r="CM193" i="47"/>
  <c r="U193" i="47"/>
  <c r="BK180" i="47"/>
  <c r="CM177" i="47"/>
  <c r="U177" i="47"/>
  <c r="CM52" i="47"/>
  <c r="U52" i="47"/>
  <c r="BK52" i="47"/>
  <c r="CG123" i="47"/>
  <c r="V6" i="47"/>
  <c r="CM2" i="47"/>
  <c r="U2" i="47"/>
  <c r="W2" i="47" s="1"/>
  <c r="BK2" i="47"/>
  <c r="CL2" i="47"/>
  <c r="CK2" i="47"/>
  <c r="CG2" i="47"/>
  <c r="BL211" i="52"/>
  <c r="BJ37" i="49"/>
  <c r="W37" i="49"/>
  <c r="X37" i="49" s="1"/>
  <c r="W43" i="49"/>
  <c r="X43" i="49" s="1"/>
  <c r="W41" i="49"/>
  <c r="X41" i="49" s="1"/>
  <c r="BK37" i="49"/>
  <c r="BK40" i="49"/>
  <c r="BK43" i="49"/>
  <c r="BK16" i="49"/>
  <c r="BJ19" i="49"/>
  <c r="BK41" i="49"/>
  <c r="AZ38" i="49"/>
  <c r="W38" i="49" s="1"/>
  <c r="AZ34" i="49"/>
  <c r="W34" i="49" s="1"/>
  <c r="AZ60" i="49"/>
  <c r="W60" i="49" s="1"/>
  <c r="AZ32" i="49"/>
  <c r="W32" i="49" s="1"/>
  <c r="AZ30" i="49"/>
  <c r="W30" i="49" s="1"/>
  <c r="AZ28" i="49"/>
  <c r="W28" i="49" s="1"/>
  <c r="AZ26" i="49"/>
  <c r="W26" i="49" s="1"/>
  <c r="AZ24" i="49"/>
  <c r="W24" i="49" s="1"/>
  <c r="AZ22" i="49"/>
  <c r="W22" i="49" s="1"/>
  <c r="W25" i="49"/>
  <c r="X25" i="49" s="1"/>
  <c r="AZ20" i="49"/>
  <c r="W20" i="49" s="1"/>
  <c r="BK26" i="49"/>
  <c r="AZ4" i="49"/>
  <c r="W4" i="49" s="1"/>
  <c r="BJ40" i="49"/>
  <c r="BK3" i="49"/>
  <c r="AZ36" i="49"/>
  <c r="W36" i="49" s="1"/>
  <c r="BJ41" i="49"/>
  <c r="V44" i="49"/>
  <c r="X44" i="49" s="1"/>
  <c r="BK44" i="49"/>
  <c r="BJ44" i="49"/>
  <c r="BK25" i="49"/>
  <c r="BK19" i="49"/>
  <c r="W16" i="49"/>
  <c r="X16" i="49" s="1"/>
  <c r="W19" i="49"/>
  <c r="X19" i="49" s="1"/>
  <c r="BK49" i="49"/>
  <c r="BJ3" i="49"/>
  <c r="W40" i="49"/>
  <c r="X40" i="49" s="1"/>
  <c r="AZ58" i="49"/>
  <c r="W58" i="49" s="1"/>
  <c r="AZ56" i="49"/>
  <c r="W56" i="49" s="1"/>
  <c r="AZ17" i="49"/>
  <c r="W17" i="49" s="1"/>
  <c r="AZ15" i="49"/>
  <c r="W15" i="49" s="1"/>
  <c r="AZ13" i="49"/>
  <c r="W13" i="49" s="1"/>
  <c r="AZ11" i="49"/>
  <c r="W11" i="49" s="1"/>
  <c r="AZ18" i="49"/>
  <c r="W18" i="49" s="1"/>
  <c r="W49" i="49"/>
  <c r="X49" i="49" s="1"/>
  <c r="AZ48" i="49"/>
  <c r="W48" i="49" s="1"/>
  <c r="AZ46" i="49"/>
  <c r="W46" i="49" s="1"/>
  <c r="AZ10" i="49"/>
  <c r="W10" i="49" s="1"/>
  <c r="AZ8" i="49"/>
  <c r="W8" i="49" s="1"/>
  <c r="AZ6" i="49"/>
  <c r="W6" i="49" s="1"/>
  <c r="W3" i="49"/>
  <c r="X3" i="49" s="1"/>
  <c r="AZ2" i="49"/>
  <c r="W2" i="49" s="1"/>
  <c r="AZ50" i="49"/>
  <c r="W50" i="49" s="1"/>
  <c r="BJ43" i="49"/>
  <c r="BJ49" i="49"/>
  <c r="BK50" i="49"/>
  <c r="BB5" i="52"/>
  <c r="V5" i="52" s="1"/>
  <c r="BB6" i="52"/>
  <c r="V6" i="52" s="1"/>
  <c r="BM83" i="52"/>
  <c r="BM257" i="52"/>
  <c r="BM211" i="52"/>
  <c r="BM192" i="52"/>
  <c r="BM75" i="52"/>
  <c r="BM251" i="52"/>
  <c r="BM125" i="52"/>
  <c r="BM250" i="52"/>
  <c r="BM92" i="52"/>
  <c r="BM179" i="52"/>
  <c r="BM158" i="52"/>
  <c r="BM160" i="52"/>
  <c r="BM255" i="52"/>
  <c r="BM108" i="52"/>
  <c r="BL135" i="52"/>
  <c r="BB85" i="52"/>
  <c r="V85" i="52" s="1"/>
  <c r="BM4" i="52"/>
  <c r="BM266" i="52"/>
  <c r="BM2" i="52"/>
  <c r="BM78" i="52"/>
  <c r="BM209" i="52"/>
  <c r="BM114" i="52"/>
  <c r="BM98" i="52"/>
  <c r="BM168" i="52"/>
  <c r="BM162" i="52"/>
  <c r="BM166" i="52"/>
  <c r="BM263" i="52"/>
  <c r="BM42" i="52"/>
  <c r="BM3" i="52"/>
  <c r="BL180" i="52"/>
  <c r="BL111" i="52"/>
  <c r="BL251" i="52"/>
  <c r="BL78" i="52"/>
  <c r="BL125" i="52"/>
  <c r="BL162" i="52"/>
  <c r="BB129" i="52"/>
  <c r="BL166" i="52"/>
  <c r="BL158" i="52"/>
  <c r="BL83" i="52"/>
  <c r="BL75" i="52"/>
  <c r="BL114" i="52"/>
  <c r="BL98" i="52"/>
  <c r="BL92" i="52"/>
  <c r="BL250" i="52"/>
  <c r="BB73" i="52"/>
  <c r="V73" i="52" s="1"/>
  <c r="BB69" i="52"/>
  <c r="V69" i="52" s="1"/>
  <c r="BL66" i="52"/>
  <c r="BL64" i="52"/>
  <c r="BL62" i="52"/>
  <c r="BL60" i="52"/>
  <c r="BL59" i="52"/>
  <c r="BB217" i="52"/>
  <c r="V217" i="52" s="1"/>
  <c r="BB46" i="52"/>
  <c r="V46" i="52" s="1"/>
  <c r="BB258" i="52"/>
  <c r="V258" i="52" s="1"/>
  <c r="BB134" i="52"/>
  <c r="V134" i="52" s="1"/>
  <c r="BB130" i="52"/>
  <c r="V130" i="52" s="1"/>
  <c r="BL168" i="52"/>
  <c r="BL160" i="52"/>
  <c r="BB229" i="52"/>
  <c r="V229" i="52" s="1"/>
  <c r="BB215" i="52"/>
  <c r="V215" i="52" s="1"/>
  <c r="BL214" i="52"/>
  <c r="BB207" i="52"/>
  <c r="V207" i="52" s="1"/>
  <c r="BB205" i="52"/>
  <c r="V205" i="52" s="1"/>
  <c r="BB50" i="52"/>
  <c r="V50" i="52" s="1"/>
  <c r="BB48" i="52"/>
  <c r="V48" i="52" s="1"/>
  <c r="BB17" i="52"/>
  <c r="V17" i="52" s="1"/>
  <c r="X17" i="52" s="1"/>
  <c r="BB13" i="52"/>
  <c r="V13" i="52" s="1"/>
  <c r="BB12" i="52"/>
  <c r="V12" i="52" s="1"/>
  <c r="BB10" i="52"/>
  <c r="V10" i="52" s="1"/>
  <c r="BB71" i="52"/>
  <c r="V71" i="52" s="1"/>
  <c r="BB67" i="52"/>
  <c r="V67" i="52" s="1"/>
  <c r="BB187" i="52"/>
  <c r="V187" i="52" s="1"/>
  <c r="BB185" i="52"/>
  <c r="V185" i="52" s="1"/>
  <c r="BB183" i="52"/>
  <c r="V183" i="52" s="1"/>
  <c r="BB181" i="52"/>
  <c r="V181" i="52" s="1"/>
  <c r="BB206" i="52"/>
  <c r="V206" i="52" s="1"/>
  <c r="BB49" i="52"/>
  <c r="V49" i="52" s="1"/>
  <c r="BB11" i="52"/>
  <c r="V11" i="52" s="1"/>
  <c r="BB9" i="52"/>
  <c r="V9" i="52" s="1"/>
  <c r="BB140" i="52"/>
  <c r="V140" i="52" s="1"/>
  <c r="BL201" i="52"/>
  <c r="BL199" i="52"/>
  <c r="BL198" i="52"/>
  <c r="BL197" i="52"/>
  <c r="BL196" i="52"/>
  <c r="BL192" i="52"/>
  <c r="BL2" i="52"/>
  <c r="BB254" i="52"/>
  <c r="V254" i="52" s="1"/>
  <c r="BB70" i="52"/>
  <c r="V70" i="52" s="1"/>
  <c r="BB57" i="52"/>
  <c r="V57" i="52" s="1"/>
  <c r="BB55" i="52"/>
  <c r="V55" i="52" s="1"/>
  <c r="BL179" i="52"/>
  <c r="BB274" i="52"/>
  <c r="V274" i="52" s="1"/>
  <c r="BB272" i="52"/>
  <c r="V272" i="52" s="1"/>
  <c r="BB270" i="52"/>
  <c r="V270" i="52" s="1"/>
  <c r="BB41" i="52"/>
  <c r="V41" i="52" s="1"/>
  <c r="BB138" i="52"/>
  <c r="V138" i="52" s="1"/>
  <c r="BB136" i="52"/>
  <c r="V136" i="52" s="1"/>
  <c r="BB123" i="52"/>
  <c r="V123" i="52" s="1"/>
  <c r="BB117" i="52"/>
  <c r="V117" i="52" s="1"/>
  <c r="BB56" i="52"/>
  <c r="V56" i="52" s="1"/>
  <c r="BB52" i="52"/>
  <c r="V52" i="52" s="1"/>
  <c r="BB273" i="52"/>
  <c r="V273" i="52" s="1"/>
  <c r="BB271" i="52"/>
  <c r="V271" i="52" s="1"/>
  <c r="BB269" i="52"/>
  <c r="V269" i="52" s="1"/>
  <c r="BB51" i="52"/>
  <c r="V51" i="52" s="1"/>
  <c r="BB47" i="52"/>
  <c r="V47" i="52" s="1"/>
  <c r="BB40" i="52"/>
  <c r="V40" i="52" s="1"/>
  <c r="BB39" i="52"/>
  <c r="V39" i="52" s="1"/>
  <c r="BB37" i="52"/>
  <c r="V37" i="52" s="1"/>
  <c r="BB35" i="52"/>
  <c r="V35" i="52" s="1"/>
  <c r="BB33" i="52"/>
  <c r="V33" i="52" s="1"/>
  <c r="BB110" i="52"/>
  <c r="V110" i="52" s="1"/>
  <c r="BB106" i="52"/>
  <c r="V106" i="52" s="1"/>
  <c r="BB103" i="52"/>
  <c r="V103" i="52" s="1"/>
  <c r="BB247" i="52"/>
  <c r="V247" i="52" s="1"/>
  <c r="BB245" i="52"/>
  <c r="V245" i="52" s="1"/>
  <c r="BB243" i="52"/>
  <c r="V243" i="52" s="1"/>
  <c r="BL3" i="52"/>
  <c r="BB22" i="52"/>
  <c r="V22" i="52" s="1"/>
  <c r="BL266" i="52"/>
  <c r="BB204" i="52"/>
  <c r="V204" i="52" s="1"/>
  <c r="BB38" i="52"/>
  <c r="V38" i="52" s="1"/>
  <c r="BB36" i="52"/>
  <c r="V36" i="52" s="1"/>
  <c r="BB34" i="52"/>
  <c r="V34" i="52" s="1"/>
  <c r="BB32" i="52"/>
  <c r="V32" i="52" s="1"/>
  <c r="BB109" i="52"/>
  <c r="V109" i="52" s="1"/>
  <c r="BB105" i="52"/>
  <c r="V105" i="52" s="1"/>
  <c r="BB104" i="52"/>
  <c r="V104" i="52" s="1"/>
  <c r="BB102" i="52"/>
  <c r="V102" i="52" s="1"/>
  <c r="BB246" i="52"/>
  <c r="V246" i="52" s="1"/>
  <c r="BB244" i="52"/>
  <c r="V244" i="52" s="1"/>
  <c r="BB191" i="52"/>
  <c r="V191" i="52" s="1"/>
  <c r="BB58" i="52"/>
  <c r="V58" i="52" s="1"/>
  <c r="BB54" i="52"/>
  <c r="V54" i="52" s="1"/>
  <c r="BB28" i="52"/>
  <c r="V28" i="52" s="1"/>
  <c r="BB188" i="52"/>
  <c r="V188" i="52" s="1"/>
  <c r="BB186" i="52"/>
  <c r="V186" i="52" s="1"/>
  <c r="BB184" i="52"/>
  <c r="V184" i="52" s="1"/>
  <c r="BB182" i="52"/>
  <c r="V182" i="52" s="1"/>
  <c r="BL108" i="52"/>
  <c r="BB16" i="52"/>
  <c r="V16" i="52" s="1"/>
  <c r="BB14" i="52"/>
  <c r="V14" i="52" s="1"/>
  <c r="BB139" i="52"/>
  <c r="V139" i="52" s="1"/>
  <c r="BB137" i="52"/>
  <c r="V137" i="52" s="1"/>
  <c r="BB124" i="52"/>
  <c r="V124" i="52" s="1"/>
  <c r="BB122" i="52"/>
  <c r="V122" i="52" s="1"/>
  <c r="BB72" i="52"/>
  <c r="V72" i="52" s="1"/>
  <c r="BB68" i="52"/>
  <c r="V68" i="52" s="1"/>
  <c r="BB53" i="52"/>
  <c r="V53" i="52" s="1"/>
  <c r="BL263" i="52"/>
  <c r="BL209" i="52"/>
  <c r="BB45" i="52"/>
  <c r="BL4" i="52"/>
  <c r="BL202" i="52"/>
  <c r="BL175" i="52" l="1"/>
  <c r="BL235" i="52"/>
  <c r="BM235" i="52"/>
  <c r="BL157" i="52"/>
  <c r="BL90" i="52"/>
  <c r="X223" i="52"/>
  <c r="BM19" i="52"/>
  <c r="BM90" i="52"/>
  <c r="BM210" i="52"/>
  <c r="BM253" i="52"/>
  <c r="BM26" i="52"/>
  <c r="BL95" i="52"/>
  <c r="BM212" i="52"/>
  <c r="BL210" i="52"/>
  <c r="BL23" i="52"/>
  <c r="BM44" i="52"/>
  <c r="BM177" i="52"/>
  <c r="BM132" i="52"/>
  <c r="BM87" i="52"/>
  <c r="BL259" i="52"/>
  <c r="BL21" i="52"/>
  <c r="BM203" i="52"/>
  <c r="BM97" i="52"/>
  <c r="BM175" i="52"/>
  <c r="BL97" i="52"/>
  <c r="BM21" i="52"/>
  <c r="BM242" i="52"/>
  <c r="BL65" i="52"/>
  <c r="BL25" i="52"/>
  <c r="BL237" i="52"/>
  <c r="BM239" i="52"/>
  <c r="BM94" i="52"/>
  <c r="BM27" i="52"/>
  <c r="BL94" i="52"/>
  <c r="BL91" i="52"/>
  <c r="BL239" i="52"/>
  <c r="BM91" i="52"/>
  <c r="BM237" i="52"/>
  <c r="BL242" i="52"/>
  <c r="BM115" i="52"/>
  <c r="BL261" i="52"/>
  <c r="BL113" i="52"/>
  <c r="BL260" i="52"/>
  <c r="BL252" i="52"/>
  <c r="BL74" i="52"/>
  <c r="BL88" i="52"/>
  <c r="BM24" i="52"/>
  <c r="BM131" i="52"/>
  <c r="BM249" i="52"/>
  <c r="BM236" i="52"/>
  <c r="BM169" i="52"/>
  <c r="BL264" i="52"/>
  <c r="BL193" i="52"/>
  <c r="BL131" i="52"/>
  <c r="BL24" i="52"/>
  <c r="BM74" i="52"/>
  <c r="BM88" i="52"/>
  <c r="BM261" i="52"/>
  <c r="BL236" i="52"/>
  <c r="BL29" i="52"/>
  <c r="BM174" i="52"/>
  <c r="BL212" i="52"/>
  <c r="BL249" i="52"/>
  <c r="BM259" i="52"/>
  <c r="BM113" i="52"/>
  <c r="BM252" i="52"/>
  <c r="BM193" i="52"/>
  <c r="BM277" i="52"/>
  <c r="X170" i="52"/>
  <c r="BL253" i="52"/>
  <c r="BM82" i="52"/>
  <c r="BM25" i="52"/>
  <c r="BM76" i="52"/>
  <c r="BM248" i="52"/>
  <c r="X232" i="52"/>
  <c r="BL248" i="52"/>
  <c r="BL81" i="52"/>
  <c r="BL262" i="52"/>
  <c r="BM81" i="52"/>
  <c r="BL257" i="52"/>
  <c r="BM142" i="52"/>
  <c r="W78" i="52"/>
  <c r="X78" i="52" s="1"/>
  <c r="BL26" i="52"/>
  <c r="BL76" i="52"/>
  <c r="BM20" i="52"/>
  <c r="W81" i="52"/>
  <c r="X81" i="52" s="1"/>
  <c r="BL213" i="52"/>
  <c r="BL238" i="52"/>
  <c r="BL112" i="52"/>
  <c r="BM238" i="52"/>
  <c r="BM202" i="52"/>
  <c r="BM165" i="52"/>
  <c r="BM118" i="52"/>
  <c r="W248" i="52"/>
  <c r="X248" i="52" s="1"/>
  <c r="W249" i="52"/>
  <c r="W26" i="52"/>
  <c r="X26" i="52" s="1"/>
  <c r="BL256" i="52"/>
  <c r="BL93" i="52"/>
  <c r="BM93" i="52"/>
  <c r="BM29" i="52"/>
  <c r="W24" i="52"/>
  <c r="X24" i="52" s="1"/>
  <c r="W237" i="52"/>
  <c r="W90" i="52"/>
  <c r="W27" i="52"/>
  <c r="X27" i="52" s="1"/>
  <c r="BL132" i="52"/>
  <c r="BL84" i="52"/>
  <c r="BM213" i="52"/>
  <c r="BM112" i="52"/>
  <c r="BM147" i="52"/>
  <c r="BM18" i="52"/>
  <c r="W238" i="52"/>
  <c r="BL42" i="52"/>
  <c r="BL208" i="52"/>
  <c r="BL30" i="52"/>
  <c r="BL128" i="52"/>
  <c r="BL79" i="52"/>
  <c r="BL19" i="52"/>
  <c r="BM240" i="52"/>
  <c r="BM234" i="52"/>
  <c r="BM172" i="52"/>
  <c r="W88" i="52"/>
  <c r="X88" i="52" s="1"/>
  <c r="W94" i="52"/>
  <c r="X94" i="52" s="1"/>
  <c r="W141" i="52"/>
  <c r="BL44" i="52"/>
  <c r="BL240" i="52"/>
  <c r="BM157" i="52"/>
  <c r="BM256" i="52"/>
  <c r="BM89" i="52"/>
  <c r="W29" i="52"/>
  <c r="X29" i="52" s="1"/>
  <c r="W257" i="52"/>
  <c r="X257" i="52" s="1"/>
  <c r="W76" i="52"/>
  <c r="BL82" i="52"/>
  <c r="BL89" i="52"/>
  <c r="BL126" i="52"/>
  <c r="BL77" i="52"/>
  <c r="BM126" i="52"/>
  <c r="BM128" i="52"/>
  <c r="BM79" i="52"/>
  <c r="BM135" i="52"/>
  <c r="BM31" i="52"/>
  <c r="BM30" i="52"/>
  <c r="W240" i="52"/>
  <c r="X240" i="52" s="1"/>
  <c r="W89" i="52"/>
  <c r="X89" i="52" s="1"/>
  <c r="BM278" i="52"/>
  <c r="W213" i="52"/>
  <c r="X213" i="52" s="1"/>
  <c r="W131" i="52"/>
  <c r="X131" i="52" s="1"/>
  <c r="W239" i="52"/>
  <c r="X239" i="52" s="1"/>
  <c r="W75" i="52"/>
  <c r="X75" i="52" s="1"/>
  <c r="W93" i="52"/>
  <c r="X93" i="52" s="1"/>
  <c r="W253" i="52"/>
  <c r="X253" i="52" s="1"/>
  <c r="W36" i="52"/>
  <c r="X36" i="52" s="1"/>
  <c r="W98" i="52"/>
  <c r="X98" i="52" s="1"/>
  <c r="W132" i="52"/>
  <c r="X132" i="52" s="1"/>
  <c r="W135" i="52"/>
  <c r="X135" i="52" s="1"/>
  <c r="W212" i="52"/>
  <c r="X212" i="52" s="1"/>
  <c r="W82" i="52"/>
  <c r="X82" i="52" s="1"/>
  <c r="W124" i="52"/>
  <c r="X124" i="52" s="1"/>
  <c r="W149" i="52"/>
  <c r="W128" i="52"/>
  <c r="X128" i="52" s="1"/>
  <c r="W91" i="52"/>
  <c r="X91" i="52" s="1"/>
  <c r="W19" i="52"/>
  <c r="X19" i="52" s="1"/>
  <c r="W210" i="52"/>
  <c r="X210" i="52" s="1"/>
  <c r="W25" i="52"/>
  <c r="X25" i="52" s="1"/>
  <c r="EC45" i="48"/>
  <c r="EV75" i="48"/>
  <c r="EY75" i="48"/>
  <c r="EL45" i="48"/>
  <c r="EY45" i="48"/>
  <c r="EC263" i="48"/>
  <c r="FA45" i="48"/>
  <c r="EY97" i="48"/>
  <c r="EU171" i="48"/>
  <c r="ET263" i="48"/>
  <c r="EN97" i="48"/>
  <c r="ET236" i="48"/>
  <c r="ET45" i="48"/>
  <c r="FE45" i="48"/>
  <c r="EC97" i="48"/>
  <c r="EV97" i="48"/>
  <c r="FF171" i="48"/>
  <c r="BI157" i="48"/>
  <c r="W49" i="50"/>
  <c r="W197" i="47"/>
  <c r="CG4" i="47"/>
  <c r="BZ187" i="47"/>
  <c r="CG3" i="47"/>
  <c r="CH3" i="47" s="1"/>
  <c r="BL21" i="47"/>
  <c r="BZ128" i="47"/>
  <c r="FV30" i="47"/>
  <c r="FX30" i="47" s="1"/>
  <c r="FS30" i="47"/>
  <c r="FR30" i="47" s="1"/>
  <c r="FU30" i="47"/>
  <c r="FV117" i="47"/>
  <c r="FU117" i="47"/>
  <c r="FS117" i="47"/>
  <c r="FQ117" i="47" s="1"/>
  <c r="CG196" i="47"/>
  <c r="GD117" i="47"/>
  <c r="W91" i="47"/>
  <c r="W193" i="47"/>
  <c r="FT51" i="47"/>
  <c r="FT156" i="47"/>
  <c r="FT203" i="47"/>
  <c r="GD30" i="47"/>
  <c r="FL76" i="47" s="1"/>
  <c r="CM54" i="47"/>
  <c r="BZ53" i="47"/>
  <c r="U125" i="47"/>
  <c r="W125" i="47" s="1"/>
  <c r="CD197" i="47"/>
  <c r="W188" i="47"/>
  <c r="V198" i="47"/>
  <c r="CL173" i="47"/>
  <c r="CM61" i="47"/>
  <c r="BL54" i="47"/>
  <c r="CM198" i="47"/>
  <c r="FV65" i="47"/>
  <c r="FX65" i="47" s="1"/>
  <c r="BL125" i="47"/>
  <c r="U140" i="47"/>
  <c r="BL198" i="47"/>
  <c r="BL50" i="47"/>
  <c r="U173" i="47"/>
  <c r="BZ47" i="47"/>
  <c r="BK61" i="47"/>
  <c r="CK125" i="47"/>
  <c r="CM125" i="47"/>
  <c r="BL84" i="47"/>
  <c r="V54" i="47"/>
  <c r="CC113" i="47"/>
  <c r="CF113" i="47" s="1"/>
  <c r="CG113" i="47" s="1"/>
  <c r="CI113" i="47" s="1"/>
  <c r="BX46" i="47"/>
  <c r="BY46" i="47" s="1"/>
  <c r="CK140" i="47"/>
  <c r="BL60" i="47"/>
  <c r="CC27" i="47"/>
  <c r="CF27" i="47" s="1"/>
  <c r="CG27" i="47" s="1"/>
  <c r="CH27" i="47" s="1"/>
  <c r="CC163" i="47"/>
  <c r="CF163" i="47" s="1"/>
  <c r="CG163" i="47" s="1"/>
  <c r="CH163" i="47" s="1"/>
  <c r="CL125" i="47"/>
  <c r="CC79" i="47"/>
  <c r="CF79" i="47" s="1"/>
  <c r="CG79" i="47" s="1"/>
  <c r="CL198" i="47"/>
  <c r="CG128" i="47"/>
  <c r="CI128" i="47" s="1"/>
  <c r="BL123" i="47"/>
  <c r="CL57" i="47"/>
  <c r="CG138" i="47"/>
  <c r="CI138" i="47" s="1"/>
  <c r="BL279" i="52"/>
  <c r="BM144" i="52"/>
  <c r="W139" i="52"/>
  <c r="X139" i="52" s="1"/>
  <c r="BK38" i="49"/>
  <c r="CK123" i="47"/>
  <c r="ER45" i="48"/>
  <c r="BL159" i="52"/>
  <c r="BM143" i="52"/>
  <c r="W242" i="52"/>
  <c r="X242" i="52" s="1"/>
  <c r="W97" i="52"/>
  <c r="X97" i="52" s="1"/>
  <c r="W21" i="52"/>
  <c r="X21" i="52" s="1"/>
  <c r="W256" i="52"/>
  <c r="X256" i="52" s="1"/>
  <c r="W79" i="52"/>
  <c r="X79" i="52" s="1"/>
  <c r="W74" i="52"/>
  <c r="X74" i="52" s="1"/>
  <c r="W9" i="52"/>
  <c r="X9" i="52" s="1"/>
  <c r="W245" i="52"/>
  <c r="X245" i="52" s="1"/>
  <c r="W211" i="52"/>
  <c r="X211" i="52" s="1"/>
  <c r="W250" i="52"/>
  <c r="X250" i="52" s="1"/>
  <c r="W30" i="52"/>
  <c r="X30" i="52" s="1"/>
  <c r="W251" i="52"/>
  <c r="X251" i="52" s="1"/>
  <c r="W259" i="52"/>
  <c r="X259" i="52" s="1"/>
  <c r="BK11" i="49"/>
  <c r="BK20" i="49"/>
  <c r="CL123" i="47"/>
  <c r="W52" i="49"/>
  <c r="EN451" i="48"/>
  <c r="EV45" i="48"/>
  <c r="EN75" i="48"/>
  <c r="BM221" i="52"/>
  <c r="W103" i="52"/>
  <c r="X103" i="52" s="1"/>
  <c r="W44" i="52"/>
  <c r="X44" i="52" s="1"/>
  <c r="W270" i="52"/>
  <c r="X270" i="52" s="1"/>
  <c r="BL167" i="47"/>
  <c r="BK123" i="47"/>
  <c r="CC152" i="47"/>
  <c r="CF152" i="47" s="1"/>
  <c r="CG152" i="47" s="1"/>
  <c r="CI152" i="47" s="1"/>
  <c r="CI57" i="47"/>
  <c r="X54" i="49"/>
  <c r="W71" i="52"/>
  <c r="X71" i="52" s="1"/>
  <c r="W110" i="52"/>
  <c r="X110" i="52" s="1"/>
  <c r="W244" i="52"/>
  <c r="X244" i="52" s="1"/>
  <c r="W269" i="52"/>
  <c r="X269" i="52" s="1"/>
  <c r="BM100" i="52"/>
  <c r="U123" i="47"/>
  <c r="W123" i="47" s="1"/>
  <c r="CC137" i="47"/>
  <c r="CF137" i="47" s="1"/>
  <c r="CG137" i="47" s="1"/>
  <c r="CI176" i="47"/>
  <c r="EC236" i="48"/>
  <c r="ET55" i="48"/>
  <c r="EN45" i="48"/>
  <c r="EC75" i="48"/>
  <c r="BL27" i="52"/>
  <c r="BM227" i="52"/>
  <c r="W42" i="52"/>
  <c r="X42" i="52" s="1"/>
  <c r="W35" i="52"/>
  <c r="X35" i="52" s="1"/>
  <c r="W56" i="52"/>
  <c r="X56" i="52" s="1"/>
  <c r="W102" i="52"/>
  <c r="X102" i="52" s="1"/>
  <c r="W273" i="52"/>
  <c r="X273" i="52" s="1"/>
  <c r="CD94" i="47"/>
  <c r="CC94" i="47"/>
  <c r="CF94" i="47" s="1"/>
  <c r="BL100" i="52"/>
  <c r="CM123" i="47"/>
  <c r="BK57" i="47"/>
  <c r="BX191" i="47"/>
  <c r="BY191" i="47" s="1"/>
  <c r="CC131" i="47"/>
  <c r="CF131" i="47" s="1"/>
  <c r="CG131" i="47" s="1"/>
  <c r="CI131" i="47" s="1"/>
  <c r="BM159" i="52"/>
  <c r="W204" i="52"/>
  <c r="X204" i="52" s="1"/>
  <c r="W39" i="52"/>
  <c r="X39" i="52" s="1"/>
  <c r="W105" i="52"/>
  <c r="X105" i="52" s="1"/>
  <c r="BL57" i="47"/>
  <c r="CK57" i="47"/>
  <c r="BL41" i="47"/>
  <c r="W195" i="47"/>
  <c r="U57" i="47"/>
  <c r="W57" i="47" s="1"/>
  <c r="CC105" i="47"/>
  <c r="CF105" i="47" s="1"/>
  <c r="CG105" i="47" s="1"/>
  <c r="CI105" i="47" s="1"/>
  <c r="BL151" i="47"/>
  <c r="W23" i="50"/>
  <c r="BM279" i="52"/>
  <c r="BM280" i="52"/>
  <c r="W279" i="52"/>
  <c r="X279" i="52" s="1"/>
  <c r="W46" i="52"/>
  <c r="X46" i="52" s="1"/>
  <c r="W202" i="52"/>
  <c r="X202" i="52" s="1"/>
  <c r="W32" i="52"/>
  <c r="X32" i="52" s="1"/>
  <c r="BK34" i="49"/>
  <c r="EV55" i="48"/>
  <c r="EN263" i="48"/>
  <c r="EV263" i="48"/>
  <c r="BI260" i="48"/>
  <c r="W64" i="50"/>
  <c r="W180" i="47"/>
  <c r="CG197" i="47"/>
  <c r="CI197" i="47" s="1"/>
  <c r="BL102" i="47"/>
  <c r="W62" i="47"/>
  <c r="CC165" i="47"/>
  <c r="CF165" i="47" s="1"/>
  <c r="CG165" i="47" s="1"/>
  <c r="CH165" i="47" s="1"/>
  <c r="CC173" i="47"/>
  <c r="CF173" i="47" s="1"/>
  <c r="CG173" i="47" s="1"/>
  <c r="CH173" i="47" s="1"/>
  <c r="CC76" i="47"/>
  <c r="CF76" i="47" s="1"/>
  <c r="CG76" i="47" s="1"/>
  <c r="CC91" i="47"/>
  <c r="CF91" i="47" s="1"/>
  <c r="CG91" i="47" s="1"/>
  <c r="CI91" i="47" s="1"/>
  <c r="CC156" i="47"/>
  <c r="CF156" i="47" s="1"/>
  <c r="CG156" i="47" s="1"/>
  <c r="CI156" i="47" s="1"/>
  <c r="BL2" i="47"/>
  <c r="CC54" i="47"/>
  <c r="CF54" i="47" s="1"/>
  <c r="CG54" i="47" s="1"/>
  <c r="CC132" i="47"/>
  <c r="CF132" i="47" s="1"/>
  <c r="CG132" i="47" s="1"/>
  <c r="CC24" i="47"/>
  <c r="CF24" i="47" s="1"/>
  <c r="CG24" i="47" s="1"/>
  <c r="W54" i="47"/>
  <c r="W117" i="47"/>
  <c r="BL191" i="47"/>
  <c r="CC33" i="47"/>
  <c r="CF33" i="47" s="1"/>
  <c r="BL104" i="47"/>
  <c r="CC115" i="47"/>
  <c r="CF115" i="47" s="1"/>
  <c r="CG115" i="47" s="1"/>
  <c r="CI115" i="47" s="1"/>
  <c r="CC149" i="47"/>
  <c r="CF149" i="47" s="1"/>
  <c r="CG149" i="47" s="1"/>
  <c r="FU51" i="47"/>
  <c r="FU65" i="47"/>
  <c r="FU89" i="47"/>
  <c r="CH47" i="47"/>
  <c r="CH57" i="47"/>
  <c r="CG158" i="47"/>
  <c r="CI158" i="47" s="1"/>
  <c r="BZ172" i="47"/>
  <c r="BZ188" i="47"/>
  <c r="CI61" i="47"/>
  <c r="BK54" i="47"/>
  <c r="CL54" i="47"/>
  <c r="BK95" i="47"/>
  <c r="BL95" i="47"/>
  <c r="CM95" i="47"/>
  <c r="CK95" i="47"/>
  <c r="FT95" i="47" s="1"/>
  <c r="U95" i="47"/>
  <c r="CL95" i="47"/>
  <c r="V95" i="47"/>
  <c r="CM140" i="47"/>
  <c r="CL140" i="47"/>
  <c r="V140" i="47"/>
  <c r="W140" i="47" s="1"/>
  <c r="CM38" i="47"/>
  <c r="CL38" i="47"/>
  <c r="BK38" i="47"/>
  <c r="U38" i="47"/>
  <c r="W38" i="47" s="1"/>
  <c r="CK38" i="47"/>
  <c r="V177" i="47"/>
  <c r="W177" i="47" s="1"/>
  <c r="CK177" i="47"/>
  <c r="CD129" i="47"/>
  <c r="CC129" i="47"/>
  <c r="CF129" i="47" s="1"/>
  <c r="V27" i="47"/>
  <c r="U27" i="47"/>
  <c r="CL27" i="47"/>
  <c r="BK27" i="47"/>
  <c r="CM27" i="47"/>
  <c r="CK27" i="47"/>
  <c r="V173" i="47"/>
  <c r="CK173" i="47"/>
  <c r="BK173" i="47"/>
  <c r="BL173" i="47"/>
  <c r="V150" i="47"/>
  <c r="CK150" i="47"/>
  <c r="U150" i="47"/>
  <c r="CL150" i="47"/>
  <c r="BK150" i="47"/>
  <c r="CM150" i="47"/>
  <c r="BK69" i="47"/>
  <c r="U69" i="47"/>
  <c r="CL69" i="47"/>
  <c r="BL69" i="47"/>
  <c r="CM69" i="47"/>
  <c r="CK69" i="47"/>
  <c r="V69" i="47"/>
  <c r="CM167" i="47"/>
  <c r="U167" i="47"/>
  <c r="W167" i="47" s="1"/>
  <c r="BK167" i="47"/>
  <c r="CK167" i="47"/>
  <c r="CL167" i="47"/>
  <c r="BL38" i="47"/>
  <c r="CK21" i="47"/>
  <c r="CM21" i="47"/>
  <c r="CL21" i="47"/>
  <c r="U21" i="47"/>
  <c r="W21" i="47" s="1"/>
  <c r="BK21" i="47"/>
  <c r="BM45" i="52"/>
  <c r="V45" i="52"/>
  <c r="BM129" i="52"/>
  <c r="V129" i="52"/>
  <c r="V152" i="52"/>
  <c r="BM152" i="52"/>
  <c r="BL152" i="52"/>
  <c r="V151" i="52"/>
  <c r="BM151" i="52"/>
  <c r="BL151" i="52"/>
  <c r="V153" i="52"/>
  <c r="BM153" i="52"/>
  <c r="BL153" i="52"/>
  <c r="BM265" i="52"/>
  <c r="V265" i="52"/>
  <c r="BM194" i="52"/>
  <c r="V194" i="52"/>
  <c r="BM200" i="52"/>
  <c r="V200" i="52"/>
  <c r="BM63" i="52"/>
  <c r="V63" i="52"/>
  <c r="BM61" i="52"/>
  <c r="V61" i="52"/>
  <c r="V233" i="52"/>
  <c r="BM233" i="52"/>
  <c r="BL233" i="52"/>
  <c r="BL275" i="52"/>
  <c r="V275" i="52"/>
  <c r="V220" i="52"/>
  <c r="BL220" i="52"/>
  <c r="V224" i="52"/>
  <c r="BM224" i="52"/>
  <c r="BL224" i="52"/>
  <c r="V228" i="52"/>
  <c r="X228" i="52" s="1"/>
  <c r="BM228" i="52"/>
  <c r="BL228" i="52"/>
  <c r="V133" i="52"/>
  <c r="BL133" i="52"/>
  <c r="W117" i="52"/>
  <c r="X117" i="52" s="1"/>
  <c r="W136" i="52"/>
  <c r="X136" i="52" s="1"/>
  <c r="W68" i="52"/>
  <c r="X68" i="52" s="1"/>
  <c r="BM195" i="52"/>
  <c r="V195" i="52"/>
  <c r="W14" i="52"/>
  <c r="X14" i="52" s="1"/>
  <c r="W134" i="52"/>
  <c r="X134" i="52" s="1"/>
  <c r="V154" i="52"/>
  <c r="BL154" i="52"/>
  <c r="BM154" i="52"/>
  <c r="V230" i="52"/>
  <c r="BL230" i="52"/>
  <c r="V156" i="52"/>
  <c r="BL156" i="52"/>
  <c r="W195" i="52"/>
  <c r="V219" i="52"/>
  <c r="BL219" i="52"/>
  <c r="V148" i="52"/>
  <c r="BL148" i="52"/>
  <c r="W267" i="52"/>
  <c r="X267" i="52" s="1"/>
  <c r="V268" i="52"/>
  <c r="BL268" i="52"/>
  <c r="V222" i="52"/>
  <c r="BL222" i="52"/>
  <c r="V226" i="52"/>
  <c r="BL226" i="52"/>
  <c r="V231" i="52"/>
  <c r="BL231" i="52"/>
  <c r="W45" i="52"/>
  <c r="W272" i="52"/>
  <c r="X272" i="52" s="1"/>
  <c r="W70" i="52"/>
  <c r="X70" i="52" s="1"/>
  <c r="X180" i="52"/>
  <c r="W182" i="52"/>
  <c r="X182" i="52" s="1"/>
  <c r="W186" i="52"/>
  <c r="X186" i="52" s="1"/>
  <c r="W28" i="52"/>
  <c r="X28" i="52" s="1"/>
  <c r="W67" i="52"/>
  <c r="X67" i="52" s="1"/>
  <c r="W10" i="52"/>
  <c r="X10" i="52" s="1"/>
  <c r="W13" i="52"/>
  <c r="X13" i="52" s="1"/>
  <c r="W48" i="52"/>
  <c r="X48" i="52" s="1"/>
  <c r="W205" i="52"/>
  <c r="X205" i="52" s="1"/>
  <c r="X214" i="52"/>
  <c r="W215" i="52"/>
  <c r="X215" i="52" s="1"/>
  <c r="W258" i="52"/>
  <c r="X258" i="52" s="1"/>
  <c r="W69" i="52"/>
  <c r="X69" i="52" s="1"/>
  <c r="V218" i="52"/>
  <c r="BL218" i="52"/>
  <c r="V281" i="52"/>
  <c r="BL281" i="52"/>
  <c r="BL101" i="52"/>
  <c r="V101" i="52"/>
  <c r="W55" i="52"/>
  <c r="X55" i="52" s="1"/>
  <c r="X198" i="52"/>
  <c r="W181" i="52"/>
  <c r="X181" i="52" s="1"/>
  <c r="W185" i="52"/>
  <c r="X185" i="52" s="1"/>
  <c r="BL255" i="52"/>
  <c r="BL267" i="52"/>
  <c r="BL203" i="52"/>
  <c r="BL43" i="52"/>
  <c r="BL171" i="52"/>
  <c r="BL195" i="52"/>
  <c r="BL164" i="52"/>
  <c r="BL86" i="52"/>
  <c r="BL96" i="52"/>
  <c r="BL87" i="52"/>
  <c r="BL20" i="52"/>
  <c r="BL99" i="52"/>
  <c r="BL31" i="52"/>
  <c r="BL241" i="52"/>
  <c r="BL80" i="52"/>
  <c r="BL127" i="52"/>
  <c r="BL190" i="52"/>
  <c r="BM43" i="52"/>
  <c r="BM127" i="52"/>
  <c r="BM77" i="52"/>
  <c r="BM189" i="52"/>
  <c r="BM23" i="52"/>
  <c r="BM267" i="52"/>
  <c r="BM171" i="52"/>
  <c r="BM241" i="52"/>
  <c r="BM164" i="52"/>
  <c r="BM86" i="52"/>
  <c r="BM96" i="52"/>
  <c r="BM190" i="52"/>
  <c r="BM262" i="52"/>
  <c r="BM95" i="52"/>
  <c r="BM84" i="52"/>
  <c r="BM80" i="52"/>
  <c r="BM99" i="52"/>
  <c r="BM101" i="52"/>
  <c r="BM167" i="52"/>
  <c r="BM220" i="52"/>
  <c r="BL163" i="52"/>
  <c r="BL189" i="52"/>
  <c r="BM226" i="52"/>
  <c r="BM163" i="52"/>
  <c r="W152" i="52"/>
  <c r="W151" i="52"/>
  <c r="W153" i="52"/>
  <c r="W203" i="52"/>
  <c r="X203" i="52" s="1"/>
  <c r="V280" i="52"/>
  <c r="X280" i="52" s="1"/>
  <c r="BL280" i="52"/>
  <c r="V234" i="52"/>
  <c r="X234" i="52" s="1"/>
  <c r="BL234" i="52"/>
  <c r="BL174" i="52"/>
  <c r="V174" i="52"/>
  <c r="X174" i="52" s="1"/>
  <c r="BL143" i="52"/>
  <c r="V143" i="52"/>
  <c r="X143" i="52" s="1"/>
  <c r="BL147" i="52"/>
  <c r="V147" i="52"/>
  <c r="X147" i="52" s="1"/>
  <c r="V276" i="52"/>
  <c r="X276" i="52" s="1"/>
  <c r="BL276" i="52"/>
  <c r="BM276" i="52"/>
  <c r="V221" i="52"/>
  <c r="X221" i="52" s="1"/>
  <c r="BL221" i="52"/>
  <c r="BL227" i="52"/>
  <c r="V227" i="52"/>
  <c r="X227" i="52" s="1"/>
  <c r="BM260" i="52"/>
  <c r="V260" i="52"/>
  <c r="X260" i="52" s="1"/>
  <c r="BL118" i="52"/>
  <c r="V118" i="52"/>
  <c r="X118" i="52" s="1"/>
  <c r="BL144" i="52"/>
  <c r="V144" i="52"/>
  <c r="X144" i="52" s="1"/>
  <c r="BL116" i="52"/>
  <c r="V116" i="52"/>
  <c r="X116" i="52" s="1"/>
  <c r="BM116" i="52"/>
  <c r="W265" i="52"/>
  <c r="W194" i="52"/>
  <c r="W200" i="52"/>
  <c r="W63" i="52"/>
  <c r="W43" i="52"/>
  <c r="X43" i="52" s="1"/>
  <c r="W61" i="52"/>
  <c r="W233" i="52"/>
  <c r="W275" i="52"/>
  <c r="W220" i="52"/>
  <c r="W224" i="52"/>
  <c r="W228" i="52"/>
  <c r="W235" i="52"/>
  <c r="X235" i="52" s="1"/>
  <c r="W159" i="52"/>
  <c r="X159" i="52" s="1"/>
  <c r="W163" i="52"/>
  <c r="X163" i="52" s="1"/>
  <c r="W167" i="52"/>
  <c r="X167" i="52" s="1"/>
  <c r="W171" i="52"/>
  <c r="X171" i="52" s="1"/>
  <c r="W175" i="52"/>
  <c r="X175" i="52" s="1"/>
  <c r="BL277" i="52"/>
  <c r="V277" i="52"/>
  <c r="X277" i="52" s="1"/>
  <c r="BM208" i="52"/>
  <c r="V208" i="52"/>
  <c r="X208" i="52" s="1"/>
  <c r="BM268" i="52"/>
  <c r="BM156" i="52"/>
  <c r="BM148" i="52"/>
  <c r="BM219" i="52"/>
  <c r="W6" i="52"/>
  <c r="X6" i="52" s="1"/>
  <c r="X249" i="52"/>
  <c r="W86" i="52"/>
  <c r="X86" i="52" s="1"/>
  <c r="W92" i="52"/>
  <c r="X92" i="52" s="1"/>
  <c r="W96" i="52"/>
  <c r="X96" i="52" s="1"/>
  <c r="W100" i="52"/>
  <c r="X100" i="52" s="1"/>
  <c r="W190" i="52"/>
  <c r="X190" i="52" s="1"/>
  <c r="W80" i="52"/>
  <c r="X80" i="52" s="1"/>
  <c r="W126" i="52"/>
  <c r="X126" i="52" s="1"/>
  <c r="W87" i="52"/>
  <c r="X87" i="52" s="1"/>
  <c r="W95" i="52"/>
  <c r="X95" i="52" s="1"/>
  <c r="W20" i="52"/>
  <c r="X20" i="52" s="1"/>
  <c r="W127" i="52"/>
  <c r="X127" i="52" s="1"/>
  <c r="W133" i="52"/>
  <c r="W23" i="52"/>
  <c r="X23" i="52" s="1"/>
  <c r="W31" i="52"/>
  <c r="X31" i="52" s="1"/>
  <c r="W255" i="52"/>
  <c r="X255" i="52" s="1"/>
  <c r="W252" i="52"/>
  <c r="X252" i="52" s="1"/>
  <c r="W241" i="52"/>
  <c r="X241" i="52" s="1"/>
  <c r="W77" i="52"/>
  <c r="X77" i="52" s="1"/>
  <c r="W85" i="52"/>
  <c r="X85" i="52" s="1"/>
  <c r="W123" i="52"/>
  <c r="X123" i="52" s="1"/>
  <c r="W138" i="52"/>
  <c r="X138" i="52" s="1"/>
  <c r="W41" i="52"/>
  <c r="X41" i="52" s="1"/>
  <c r="W53" i="52"/>
  <c r="X53" i="52" s="1"/>
  <c r="W72" i="52"/>
  <c r="X72" i="52" s="1"/>
  <c r="X197" i="52"/>
  <c r="W122" i="52"/>
  <c r="X122" i="52" s="1"/>
  <c r="W137" i="52"/>
  <c r="X137" i="52" s="1"/>
  <c r="W140" i="52"/>
  <c r="X140" i="52" s="1"/>
  <c r="W11" i="52"/>
  <c r="X11" i="52" s="1"/>
  <c r="W16" i="52"/>
  <c r="X16" i="52" s="1"/>
  <c r="W206" i="52"/>
  <c r="X206" i="52" s="1"/>
  <c r="W58" i="52"/>
  <c r="X58" i="52" s="1"/>
  <c r="BM264" i="52"/>
  <c r="V264" i="52"/>
  <c r="X264" i="52" s="1"/>
  <c r="W130" i="52"/>
  <c r="X130" i="52" s="1"/>
  <c r="W22" i="52"/>
  <c r="X22" i="52" s="1"/>
  <c r="W243" i="52"/>
  <c r="X243" i="52" s="1"/>
  <c r="W247" i="52"/>
  <c r="X247" i="52" s="1"/>
  <c r="W106" i="52"/>
  <c r="X106" i="52" s="1"/>
  <c r="W33" i="52"/>
  <c r="X33" i="52" s="1"/>
  <c r="W37" i="52"/>
  <c r="X37" i="52" s="1"/>
  <c r="W40" i="52"/>
  <c r="X40" i="52" s="1"/>
  <c r="W51" i="52"/>
  <c r="X51" i="52" s="1"/>
  <c r="X62" i="52"/>
  <c r="BM65" i="52"/>
  <c r="V65" i="52"/>
  <c r="X65" i="52" s="1"/>
  <c r="W73" i="52"/>
  <c r="X73" i="52" s="1"/>
  <c r="W154" i="52"/>
  <c r="V155" i="52"/>
  <c r="X155" i="52" s="1"/>
  <c r="BM155" i="52"/>
  <c r="BL155" i="52"/>
  <c r="V18" i="52"/>
  <c r="X18" i="52" s="1"/>
  <c r="BL18" i="52"/>
  <c r="V115" i="52"/>
  <c r="X115" i="52" s="1"/>
  <c r="BL115" i="52"/>
  <c r="V149" i="52"/>
  <c r="BL149" i="52"/>
  <c r="W113" i="52"/>
  <c r="X113" i="52" s="1"/>
  <c r="W230" i="52"/>
  <c r="W156" i="52"/>
  <c r="W164" i="52"/>
  <c r="X164" i="52" s="1"/>
  <c r="V172" i="52"/>
  <c r="X172" i="52" s="1"/>
  <c r="BL172" i="52"/>
  <c r="V141" i="52"/>
  <c r="BL141" i="52"/>
  <c r="V145" i="52"/>
  <c r="X145" i="52" s="1"/>
  <c r="BL145" i="52"/>
  <c r="BM145" i="52"/>
  <c r="W219" i="52"/>
  <c r="W148" i="52"/>
  <c r="W112" i="52"/>
  <c r="X112" i="52" s="1"/>
  <c r="V142" i="52"/>
  <c r="X142" i="52" s="1"/>
  <c r="BL142" i="52"/>
  <c r="V146" i="52"/>
  <c r="X146" i="52" s="1"/>
  <c r="BM146" i="52"/>
  <c r="BL146" i="52"/>
  <c r="W261" i="52"/>
  <c r="X261" i="52" s="1"/>
  <c r="W268" i="52"/>
  <c r="W222" i="52"/>
  <c r="W226" i="52"/>
  <c r="W231" i="52"/>
  <c r="W157" i="52"/>
  <c r="X157" i="52" s="1"/>
  <c r="V161" i="52"/>
  <c r="X161" i="52" s="1"/>
  <c r="BL161" i="52"/>
  <c r="BM161" i="52"/>
  <c r="V165" i="52"/>
  <c r="X165" i="52" s="1"/>
  <c r="BL165" i="52"/>
  <c r="V169" i="52"/>
  <c r="X169" i="52" s="1"/>
  <c r="BL169" i="52"/>
  <c r="V173" i="52"/>
  <c r="X173" i="52" s="1"/>
  <c r="BM173" i="52"/>
  <c r="BL173" i="52"/>
  <c r="V177" i="52"/>
  <c r="X177" i="52" s="1"/>
  <c r="BL177" i="52"/>
  <c r="X238" i="52"/>
  <c r="X76" i="52"/>
  <c r="X237" i="52"/>
  <c r="X90" i="52"/>
  <c r="W57" i="52"/>
  <c r="X57" i="52" s="1"/>
  <c r="W254" i="52"/>
  <c r="X254" i="52" s="1"/>
  <c r="X196" i="52"/>
  <c r="X201" i="52"/>
  <c r="W49" i="52"/>
  <c r="X49" i="52" s="1"/>
  <c r="W184" i="52"/>
  <c r="X184" i="52" s="1"/>
  <c r="W188" i="52"/>
  <c r="X188" i="52" s="1"/>
  <c r="W54" i="52"/>
  <c r="X54" i="52" s="1"/>
  <c r="W191" i="52"/>
  <c r="X191" i="52" s="1"/>
  <c r="W246" i="52"/>
  <c r="X246" i="52" s="1"/>
  <c r="W12" i="52"/>
  <c r="X12" i="52" s="1"/>
  <c r="W17" i="52"/>
  <c r="W104" i="52"/>
  <c r="X104" i="52" s="1"/>
  <c r="W109" i="52"/>
  <c r="X109" i="52" s="1"/>
  <c r="W34" i="52"/>
  <c r="X34" i="52" s="1"/>
  <c r="W38" i="52"/>
  <c r="X38" i="52" s="1"/>
  <c r="W50" i="52"/>
  <c r="X50" i="52" s="1"/>
  <c r="W207" i="52"/>
  <c r="X207" i="52" s="1"/>
  <c r="W229" i="52"/>
  <c r="X229" i="52" s="1"/>
  <c r="W47" i="52"/>
  <c r="X47" i="52" s="1"/>
  <c r="W271" i="52"/>
  <c r="X271" i="52" s="1"/>
  <c r="W217" i="52"/>
  <c r="X217" i="52" s="1"/>
  <c r="X60" i="52"/>
  <c r="X64" i="52"/>
  <c r="X66" i="52"/>
  <c r="W52" i="52"/>
  <c r="X52" i="52" s="1"/>
  <c r="W218" i="52"/>
  <c r="W281" i="52"/>
  <c r="W189" i="52"/>
  <c r="X189" i="52" s="1"/>
  <c r="W236" i="52"/>
  <c r="X236" i="52" s="1"/>
  <c r="W101" i="52"/>
  <c r="W125" i="52"/>
  <c r="X125" i="52" s="1"/>
  <c r="W262" i="52"/>
  <c r="X262" i="52" s="1"/>
  <c r="W193" i="52"/>
  <c r="X193" i="52" s="1"/>
  <c r="W84" i="52"/>
  <c r="X84" i="52" s="1"/>
  <c r="W99" i="52"/>
  <c r="X99" i="52" s="1"/>
  <c r="W129" i="52"/>
  <c r="W274" i="52"/>
  <c r="X274" i="52" s="1"/>
  <c r="X111" i="52"/>
  <c r="W5" i="52"/>
  <c r="X5" i="52" s="1"/>
  <c r="W183" i="52"/>
  <c r="X183" i="52" s="1"/>
  <c r="W187" i="52"/>
  <c r="X187" i="52" s="1"/>
  <c r="EC451" i="48"/>
  <c r="EN236" i="48"/>
  <c r="EV236" i="48"/>
  <c r="ET75" i="48"/>
  <c r="FE75" i="48"/>
  <c r="ER75" i="48"/>
  <c r="FA75" i="48"/>
  <c r="EL75" i="48"/>
  <c r="ET57" i="48"/>
  <c r="ER171" i="48"/>
  <c r="BI194" i="48"/>
  <c r="BI220" i="48"/>
  <c r="BI451" i="48"/>
  <c r="ER17" i="48"/>
  <c r="EZ17" i="48"/>
  <c r="BI152" i="48"/>
  <c r="ET451" i="48"/>
  <c r="EV451" i="48"/>
  <c r="BI34" i="48"/>
  <c r="BI54" i="48"/>
  <c r="BI75" i="48"/>
  <c r="ET77" i="48"/>
  <c r="FE77" i="48"/>
  <c r="ER77" i="48"/>
  <c r="FA77" i="48"/>
  <c r="EL77" i="48"/>
  <c r="BI458" i="48"/>
  <c r="BI468" i="48"/>
  <c r="BI472" i="48"/>
  <c r="BI18" i="48"/>
  <c r="BI39" i="48"/>
  <c r="BI129" i="48"/>
  <c r="BI202" i="48"/>
  <c r="BI109" i="48"/>
  <c r="BI71" i="48"/>
  <c r="BI99" i="48"/>
  <c r="EZ45" i="48"/>
  <c r="EZ75" i="48"/>
  <c r="EV57" i="48"/>
  <c r="EW171" i="48"/>
  <c r="FA171" i="48"/>
  <c r="EN17" i="48"/>
  <c r="ET17" i="48"/>
  <c r="EZ77" i="48"/>
  <c r="EL237" i="48"/>
  <c r="EC237" i="48"/>
  <c r="EV237" i="48"/>
  <c r="EU236" i="48"/>
  <c r="FF236" i="48"/>
  <c r="FA18" i="48"/>
  <c r="EU18" i="48"/>
  <c r="FF18" i="48"/>
  <c r="FE18" i="48"/>
  <c r="EZ112" i="48"/>
  <c r="FC112" i="48"/>
  <c r="ET112" i="48"/>
  <c r="FE112" i="48"/>
  <c r="EL163" i="48"/>
  <c r="EC163" i="48"/>
  <c r="EV163" i="48"/>
  <c r="EU263" i="48"/>
  <c r="FF263" i="48"/>
  <c r="BH221" i="48"/>
  <c r="BH270" i="48"/>
  <c r="BH32" i="48"/>
  <c r="BH60" i="48"/>
  <c r="BH195" i="48"/>
  <c r="BI195" i="48"/>
  <c r="EZ237" i="48"/>
  <c r="EU237" i="48"/>
  <c r="EW237" i="48"/>
  <c r="ER237" i="48"/>
  <c r="FA237" i="48"/>
  <c r="BI145" i="48"/>
  <c r="FA17" i="48"/>
  <c r="EU17" i="48"/>
  <c r="FF17" i="48"/>
  <c r="FE17" i="48"/>
  <c r="BI27" i="48"/>
  <c r="BI42" i="48"/>
  <c r="BI51" i="48"/>
  <c r="BI91" i="48"/>
  <c r="EU77" i="48"/>
  <c r="FF77" i="48"/>
  <c r="BI103" i="48"/>
  <c r="BI121" i="48"/>
  <c r="BI399" i="48"/>
  <c r="BI289" i="48"/>
  <c r="BI319" i="48"/>
  <c r="BI379" i="48"/>
  <c r="BI413" i="48"/>
  <c r="BI45" i="48"/>
  <c r="BI97" i="48"/>
  <c r="BI117" i="48"/>
  <c r="BI133" i="48"/>
  <c r="BI383" i="48"/>
  <c r="FE236" i="48"/>
  <c r="EY236" i="48"/>
  <c r="ER236" i="48"/>
  <c r="FA236" i="48"/>
  <c r="EL236" i="48"/>
  <c r="EZ236" i="48"/>
  <c r="EC55" i="48"/>
  <c r="EN55" i="48"/>
  <c r="BI164" i="48"/>
  <c r="BI198" i="48"/>
  <c r="BI232" i="48"/>
  <c r="BI285" i="48"/>
  <c r="BI315" i="48"/>
  <c r="BI391" i="48"/>
  <c r="EU45" i="48"/>
  <c r="FF45" i="48"/>
  <c r="ER18" i="48"/>
  <c r="EN18" i="48"/>
  <c r="EZ18" i="48"/>
  <c r="EV18" i="48"/>
  <c r="EU75" i="48"/>
  <c r="FF75" i="48"/>
  <c r="BI87" i="48"/>
  <c r="EU112" i="48"/>
  <c r="ES112" i="48"/>
  <c r="EN112" i="48"/>
  <c r="EY112" i="48"/>
  <c r="EC57" i="48"/>
  <c r="EN57" i="48"/>
  <c r="BI62" i="48"/>
  <c r="EU163" i="48"/>
  <c r="FF163" i="48"/>
  <c r="EW163" i="48"/>
  <c r="ER163" i="48"/>
  <c r="FA163" i="48"/>
  <c r="EL171" i="48"/>
  <c r="EC171" i="48"/>
  <c r="EV171" i="48"/>
  <c r="FE263" i="48"/>
  <c r="EY263" i="48"/>
  <c r="ER263" i="48"/>
  <c r="FA263" i="48"/>
  <c r="EL263" i="48"/>
  <c r="EZ263" i="48"/>
  <c r="BH84" i="48"/>
  <c r="BI221" i="48"/>
  <c r="BH467" i="48"/>
  <c r="BI270" i="48"/>
  <c r="BI32" i="48"/>
  <c r="BH94" i="48"/>
  <c r="BI60" i="48"/>
  <c r="BH114" i="48"/>
  <c r="BI114" i="48"/>
  <c r="BH233" i="48"/>
  <c r="BI233" i="48"/>
  <c r="BH302" i="48"/>
  <c r="BI394" i="48"/>
  <c r="BH7" i="48"/>
  <c r="BI21" i="48"/>
  <c r="EU132" i="48"/>
  <c r="EZ132" i="48"/>
  <c r="ES132" i="48"/>
  <c r="FC132" i="48"/>
  <c r="EN132" i="48"/>
  <c r="ET132" i="48"/>
  <c r="EY132" i="48"/>
  <c r="FE132" i="48"/>
  <c r="FF237" i="48"/>
  <c r="ES237" i="48"/>
  <c r="FC237" i="48"/>
  <c r="EN237" i="48"/>
  <c r="ET237" i="48"/>
  <c r="EY237" i="48"/>
  <c r="FE237" i="48"/>
  <c r="BH145" i="48"/>
  <c r="BI176" i="48"/>
  <c r="BH176" i="48"/>
  <c r="EZ318" i="48"/>
  <c r="EU318" i="48"/>
  <c r="EL318" i="48"/>
  <c r="EW318" i="48"/>
  <c r="EC318" i="48"/>
  <c r="ER318" i="48"/>
  <c r="EV318" i="48"/>
  <c r="FA318" i="48"/>
  <c r="BH194" i="48"/>
  <c r="BI212" i="48"/>
  <c r="BH220" i="48"/>
  <c r="BI228" i="48"/>
  <c r="BH398" i="48"/>
  <c r="BI398" i="48"/>
  <c r="BH402" i="48"/>
  <c r="EY17" i="48"/>
  <c r="EC17" i="48"/>
  <c r="ES17" i="48"/>
  <c r="EW17" i="48"/>
  <c r="FC17" i="48"/>
  <c r="EL17" i="48"/>
  <c r="BI22" i="48"/>
  <c r="BH27" i="48"/>
  <c r="BI30" i="48"/>
  <c r="BH42" i="48"/>
  <c r="BI50" i="48"/>
  <c r="BH51" i="48"/>
  <c r="BI56" i="48"/>
  <c r="BH91" i="48"/>
  <c r="EY451" i="48"/>
  <c r="FE451" i="48"/>
  <c r="ER451" i="48"/>
  <c r="FA451" i="48"/>
  <c r="EL451" i="48"/>
  <c r="EU451" i="48"/>
  <c r="EZ451" i="48"/>
  <c r="FF451" i="48"/>
  <c r="BI13" i="48"/>
  <c r="BI31" i="48"/>
  <c r="BH34" i="48"/>
  <c r="BI47" i="48"/>
  <c r="BH54" i="48"/>
  <c r="BI57" i="48"/>
  <c r="BH75" i="48"/>
  <c r="ES77" i="48"/>
  <c r="EW77" i="48"/>
  <c r="FC77" i="48"/>
  <c r="BI79" i="48"/>
  <c r="BH103" i="48"/>
  <c r="BH121" i="48"/>
  <c r="BI137" i="48"/>
  <c r="BI258" i="48"/>
  <c r="BI273" i="48"/>
  <c r="BH289" i="48"/>
  <c r="BI305" i="48"/>
  <c r="BH319" i="48"/>
  <c r="BH343" i="48"/>
  <c r="BI343" i="48"/>
  <c r="BH351" i="48"/>
  <c r="BH359" i="48"/>
  <c r="BI359" i="48"/>
  <c r="BI371" i="48"/>
  <c r="BH379" i="48"/>
  <c r="BH413" i="48"/>
  <c r="BI421" i="48"/>
  <c r="BI435" i="48"/>
  <c r="BH425" i="48"/>
  <c r="BH439" i="48"/>
  <c r="BI476" i="48"/>
  <c r="BH17" i="48"/>
  <c r="BI19" i="48"/>
  <c r="BH45" i="48"/>
  <c r="BI63" i="48"/>
  <c r="BH97" i="48"/>
  <c r="BH117" i="48"/>
  <c r="BI125" i="48"/>
  <c r="BH133" i="48"/>
  <c r="BI141" i="48"/>
  <c r="EZ211" i="48"/>
  <c r="EU211" i="48"/>
  <c r="EL211" i="48"/>
  <c r="EW211" i="48"/>
  <c r="EC211" i="48"/>
  <c r="ER211" i="48"/>
  <c r="EV211" i="48"/>
  <c r="FA211" i="48"/>
  <c r="BI206" i="48"/>
  <c r="BH238" i="48"/>
  <c r="BI263" i="48"/>
  <c r="BH293" i="48"/>
  <c r="BH323" i="48"/>
  <c r="BH339" i="48"/>
  <c r="BH355" i="48"/>
  <c r="BI355" i="48"/>
  <c r="BH417" i="48"/>
  <c r="BH466" i="48"/>
  <c r="BH190" i="48"/>
  <c r="BI224" i="48"/>
  <c r="BH254" i="48"/>
  <c r="BI277" i="48"/>
  <c r="BH309" i="48"/>
  <c r="BH383" i="48"/>
  <c r="BH399" i="48"/>
  <c r="ES236" i="48"/>
  <c r="EW236" i="48"/>
  <c r="FC236" i="48"/>
  <c r="FE55" i="48"/>
  <c r="ER55" i="48"/>
  <c r="FA55" i="48"/>
  <c r="EY55" i="48"/>
  <c r="EL55" i="48"/>
  <c r="EU55" i="48"/>
  <c r="EZ55" i="48"/>
  <c r="FF55" i="48"/>
  <c r="ER13" i="48"/>
  <c r="FA13" i="48"/>
  <c r="EN13" i="48"/>
  <c r="EU13" i="48"/>
  <c r="EZ13" i="48"/>
  <c r="FF13" i="48"/>
  <c r="ET13" i="48"/>
  <c r="FE13" i="48"/>
  <c r="BH18" i="48"/>
  <c r="BH39" i="48"/>
  <c r="BI59" i="48"/>
  <c r="BH129" i="48"/>
  <c r="BH160" i="48"/>
  <c r="BI160" i="48"/>
  <c r="BI186" i="48"/>
  <c r="BH202" i="48"/>
  <c r="BI236" i="48"/>
  <c r="BH462" i="48"/>
  <c r="BI462" i="48"/>
  <c r="BH447" i="48"/>
  <c r="BI447" i="48"/>
  <c r="BH458" i="48"/>
  <c r="BH468" i="48"/>
  <c r="BH472" i="48"/>
  <c r="BH71" i="48"/>
  <c r="BI83" i="48"/>
  <c r="BH99" i="48"/>
  <c r="BI148" i="48"/>
  <c r="BI180" i="48"/>
  <c r="BH198" i="48"/>
  <c r="BI216" i="48"/>
  <c r="BH232" i="48"/>
  <c r="BI246" i="48"/>
  <c r="BI269" i="48"/>
  <c r="BH285" i="48"/>
  <c r="BI301" i="48"/>
  <c r="BH315" i="48"/>
  <c r="BI375" i="48"/>
  <c r="BH391" i="48"/>
  <c r="BI409" i="48"/>
  <c r="ES45" i="48"/>
  <c r="EW45" i="48"/>
  <c r="FC45" i="48"/>
  <c r="ET18" i="48"/>
  <c r="EC18" i="48"/>
  <c r="ES18" i="48"/>
  <c r="EW18" i="48"/>
  <c r="FC18" i="48"/>
  <c r="EL18" i="48"/>
  <c r="BH23" i="48"/>
  <c r="BI35" i="48"/>
  <c r="BH38" i="48"/>
  <c r="BI43" i="48"/>
  <c r="BH46" i="48"/>
  <c r="BI55" i="48"/>
  <c r="BH67" i="48"/>
  <c r="ES75" i="48"/>
  <c r="EW75" i="48"/>
  <c r="FC75" i="48"/>
  <c r="BI77" i="48"/>
  <c r="BH87" i="48"/>
  <c r="FF112" i="48"/>
  <c r="EL112" i="48"/>
  <c r="EW112" i="48"/>
  <c r="EC112" i="48"/>
  <c r="ER112" i="48"/>
  <c r="EV112" i="48"/>
  <c r="FA112" i="48"/>
  <c r="BI242" i="48"/>
  <c r="BH250" i="48"/>
  <c r="BI265" i="48"/>
  <c r="BH281" i="48"/>
  <c r="BI297" i="48"/>
  <c r="BH313" i="48"/>
  <c r="BH327" i="48"/>
  <c r="BH335" i="48"/>
  <c r="BI335" i="48"/>
  <c r="BI387" i="48"/>
  <c r="BH431" i="48"/>
  <c r="BH469" i="48"/>
  <c r="BI11" i="48"/>
  <c r="BH26" i="48"/>
  <c r="BI44" i="48"/>
  <c r="FE57" i="48"/>
  <c r="ER57" i="48"/>
  <c r="FA57" i="48"/>
  <c r="EY57" i="48"/>
  <c r="EL57" i="48"/>
  <c r="EU57" i="48"/>
  <c r="EZ57" i="48"/>
  <c r="FF57" i="48"/>
  <c r="BH62" i="48"/>
  <c r="BI66" i="48"/>
  <c r="ET97" i="48"/>
  <c r="FE97" i="48"/>
  <c r="ER97" i="48"/>
  <c r="FA97" i="48"/>
  <c r="EL97" i="48"/>
  <c r="EU97" i="48"/>
  <c r="EZ97" i="48"/>
  <c r="FF97" i="48"/>
  <c r="EZ163" i="48"/>
  <c r="ES163" i="48"/>
  <c r="FC163" i="48"/>
  <c r="EN163" i="48"/>
  <c r="ET163" i="48"/>
  <c r="EY163" i="48"/>
  <c r="FE163" i="48"/>
  <c r="EZ171" i="48"/>
  <c r="ES171" i="48"/>
  <c r="FC171" i="48"/>
  <c r="EN171" i="48"/>
  <c r="ET171" i="48"/>
  <c r="EY171" i="48"/>
  <c r="FE171" i="48"/>
  <c r="ES263" i="48"/>
  <c r="EW263" i="48"/>
  <c r="FC263" i="48"/>
  <c r="BI402" i="48"/>
  <c r="BH21" i="48"/>
  <c r="FF132" i="48"/>
  <c r="EL132" i="48"/>
  <c r="EW132" i="48"/>
  <c r="EC132" i="48"/>
  <c r="ER132" i="48"/>
  <c r="EV132" i="48"/>
  <c r="FA132" i="48"/>
  <c r="BH113" i="48"/>
  <c r="BI113" i="48"/>
  <c r="FF318" i="48"/>
  <c r="ES318" i="48"/>
  <c r="FC318" i="48"/>
  <c r="EN318" i="48"/>
  <c r="ET318" i="48"/>
  <c r="EY318" i="48"/>
  <c r="FE318" i="48"/>
  <c r="BH212" i="48"/>
  <c r="BH228" i="48"/>
  <c r="BH395" i="48"/>
  <c r="BI395" i="48"/>
  <c r="BI403" i="48"/>
  <c r="BH403" i="48"/>
  <c r="BH22" i="48"/>
  <c r="BH30" i="48"/>
  <c r="BH50" i="48"/>
  <c r="BH56" i="48"/>
  <c r="ES451" i="48"/>
  <c r="EW451" i="48"/>
  <c r="FC451" i="48"/>
  <c r="BH347" i="48"/>
  <c r="BI347" i="48"/>
  <c r="BI363" i="48"/>
  <c r="BH363" i="48"/>
  <c r="BH13" i="48"/>
  <c r="BH31" i="48"/>
  <c r="BH47" i="48"/>
  <c r="BH57" i="48"/>
  <c r="BH79" i="48"/>
  <c r="BH137" i="48"/>
  <c r="BH258" i="48"/>
  <c r="BH273" i="48"/>
  <c r="BH305" i="48"/>
  <c r="BH371" i="48"/>
  <c r="BH421" i="48"/>
  <c r="BH435" i="48"/>
  <c r="BH443" i="48"/>
  <c r="BI443" i="48"/>
  <c r="BH451" i="48"/>
  <c r="BH394" i="48"/>
  <c r="BH476" i="48"/>
  <c r="BH19" i="48"/>
  <c r="BH63" i="48"/>
  <c r="BH125" i="48"/>
  <c r="BH141" i="48"/>
  <c r="FF211" i="48"/>
  <c r="ES211" i="48"/>
  <c r="FC211" i="48"/>
  <c r="EN211" i="48"/>
  <c r="ET211" i="48"/>
  <c r="EY211" i="48"/>
  <c r="FE211" i="48"/>
  <c r="BH206" i="48"/>
  <c r="BH263" i="48"/>
  <c r="BH224" i="48"/>
  <c r="BH277" i="48"/>
  <c r="BH331" i="48"/>
  <c r="ES55" i="48"/>
  <c r="EW55" i="48"/>
  <c r="FC55" i="48"/>
  <c r="EV13" i="48"/>
  <c r="EC13" i="48"/>
  <c r="ES13" i="48"/>
  <c r="EW13" i="48"/>
  <c r="FC13" i="48"/>
  <c r="EL13" i="48"/>
  <c r="BH59" i="48"/>
  <c r="BH186" i="48"/>
  <c r="BH236" i="48"/>
  <c r="BH83" i="48"/>
  <c r="BH148" i="48"/>
  <c r="BH156" i="48"/>
  <c r="BI156" i="48"/>
  <c r="BH164" i="48"/>
  <c r="BH172" i="48"/>
  <c r="BI172" i="48"/>
  <c r="BH180" i="48"/>
  <c r="BH216" i="48"/>
  <c r="BH246" i="48"/>
  <c r="BH269" i="48"/>
  <c r="BH301" i="48"/>
  <c r="BH375" i="48"/>
  <c r="BH409" i="48"/>
  <c r="BH453" i="48"/>
  <c r="BH35" i="48"/>
  <c r="BH43" i="48"/>
  <c r="BH55" i="48"/>
  <c r="BH77" i="48"/>
  <c r="BH152" i="48"/>
  <c r="BH168" i="48"/>
  <c r="BH242" i="48"/>
  <c r="BH265" i="48"/>
  <c r="BH297" i="48"/>
  <c r="BH387" i="48"/>
  <c r="BH11" i="48"/>
  <c r="BH44" i="48"/>
  <c r="ES57" i="48"/>
  <c r="EW57" i="48"/>
  <c r="FC57" i="48"/>
  <c r="BH66" i="48"/>
  <c r="ES97" i="48"/>
  <c r="EW97" i="48"/>
  <c r="FC97" i="48"/>
  <c r="BH109" i="48"/>
  <c r="BI331" i="48"/>
  <c r="BL170" i="47"/>
  <c r="V7" i="47"/>
  <c r="W7" i="47" s="1"/>
  <c r="BL7" i="47"/>
  <c r="W142" i="47"/>
  <c r="CC32" i="47"/>
  <c r="CF32" i="47" s="1"/>
  <c r="CG32" i="47" s="1"/>
  <c r="CH32" i="47" s="1"/>
  <c r="CC40" i="47"/>
  <c r="CF40" i="47" s="1"/>
  <c r="CG40" i="47" s="1"/>
  <c r="W169" i="47"/>
  <c r="CG180" i="47"/>
  <c r="CH180" i="47" s="1"/>
  <c r="W34" i="47"/>
  <c r="BZ30" i="47"/>
  <c r="V47" i="47"/>
  <c r="W47" i="47" s="1"/>
  <c r="CL47" i="47"/>
  <c r="CK138" i="47"/>
  <c r="U138" i="47"/>
  <c r="BK138" i="47"/>
  <c r="CL138" i="47"/>
  <c r="CM138" i="47"/>
  <c r="BL138" i="47"/>
  <c r="V138" i="47"/>
  <c r="CC155" i="47"/>
  <c r="CF155" i="47" s="1"/>
  <c r="CG155" i="47" s="1"/>
  <c r="CC45" i="47"/>
  <c r="CF45" i="47" s="1"/>
  <c r="CG45" i="47" s="1"/>
  <c r="CC37" i="47"/>
  <c r="CF37" i="47" s="1"/>
  <c r="CG37" i="47" s="1"/>
  <c r="W94" i="47"/>
  <c r="BL139" i="47"/>
  <c r="CG51" i="47"/>
  <c r="CI51" i="47" s="1"/>
  <c r="BZ198" i="47"/>
  <c r="BZ196" i="47"/>
  <c r="CC208" i="47"/>
  <c r="CF208" i="47" s="1"/>
  <c r="CG208" i="47" s="1"/>
  <c r="CC87" i="47"/>
  <c r="CF87" i="47" s="1"/>
  <c r="CG87" i="47" s="1"/>
  <c r="CH87" i="47" s="1"/>
  <c r="CH61" i="47"/>
  <c r="CK36" i="47"/>
  <c r="BL36" i="47"/>
  <c r="CM36" i="47"/>
  <c r="BK36" i="47"/>
  <c r="U36" i="47"/>
  <c r="V36" i="47"/>
  <c r="CL36" i="47"/>
  <c r="V4" i="47"/>
  <c r="W4" i="47" s="1"/>
  <c r="BL4" i="47"/>
  <c r="CK61" i="47"/>
  <c r="BL61" i="47"/>
  <c r="V61" i="47"/>
  <c r="W61" i="47" s="1"/>
  <c r="CM13" i="47"/>
  <c r="BL13" i="47"/>
  <c r="CL13" i="47"/>
  <c r="U13" i="47"/>
  <c r="W13" i="47" s="1"/>
  <c r="BK13" i="47"/>
  <c r="CK13" i="47"/>
  <c r="GD13" i="47" s="1"/>
  <c r="W38" i="50"/>
  <c r="W109" i="50"/>
  <c r="W7" i="50"/>
  <c r="BL102" i="50"/>
  <c r="BL41" i="50"/>
  <c r="BL78" i="50"/>
  <c r="BL71" i="50"/>
  <c r="BL76" i="50"/>
  <c r="BL85" i="50"/>
  <c r="V37" i="50"/>
  <c r="BR37" i="50"/>
  <c r="BL54" i="50"/>
  <c r="BL107" i="50"/>
  <c r="V90" i="50"/>
  <c r="BS90" i="50"/>
  <c r="BT90" i="50"/>
  <c r="BR90" i="50"/>
  <c r="BK90" i="50"/>
  <c r="U90" i="50"/>
  <c r="BT37" i="50"/>
  <c r="U37" i="50"/>
  <c r="BL19" i="50"/>
  <c r="BK70" i="50"/>
  <c r="U70" i="50"/>
  <c r="BR70" i="50"/>
  <c r="BS70" i="50"/>
  <c r="BT70" i="50"/>
  <c r="V70" i="50"/>
  <c r="BL17" i="50"/>
  <c r="BL69" i="50"/>
  <c r="BL89" i="50"/>
  <c r="BL61" i="50"/>
  <c r="BL8" i="50"/>
  <c r="BL110" i="50"/>
  <c r="BL50" i="50"/>
  <c r="BL60" i="50"/>
  <c r="BL68" i="50"/>
  <c r="BL106" i="50"/>
  <c r="BL88" i="50"/>
  <c r="BL70" i="50"/>
  <c r="BS54" i="50"/>
  <c r="BK54" i="50"/>
  <c r="BT54" i="50"/>
  <c r="BR54" i="50"/>
  <c r="U54" i="50"/>
  <c r="W54" i="50" s="1"/>
  <c r="BR107" i="50"/>
  <c r="BK107" i="50"/>
  <c r="BS107" i="50"/>
  <c r="BT107" i="50"/>
  <c r="U107" i="50"/>
  <c r="W107" i="50" s="1"/>
  <c r="BT16" i="50"/>
  <c r="U16" i="50"/>
  <c r="BR16" i="50"/>
  <c r="BS16" i="50"/>
  <c r="BK16" i="50"/>
  <c r="BT96" i="50"/>
  <c r="U96" i="50"/>
  <c r="BS96" i="50"/>
  <c r="BR96" i="50"/>
  <c r="BK96" i="50"/>
  <c r="BT105" i="50"/>
  <c r="U105" i="50"/>
  <c r="BS105" i="50"/>
  <c r="BR105" i="50"/>
  <c r="BK105" i="50"/>
  <c r="BT30" i="50"/>
  <c r="U30" i="50"/>
  <c r="BR30" i="50"/>
  <c r="BS30" i="50"/>
  <c r="BK30" i="50"/>
  <c r="BT57" i="50"/>
  <c r="U57" i="50"/>
  <c r="BS57" i="50"/>
  <c r="BK57" i="50"/>
  <c r="BR57" i="50"/>
  <c r="BT97" i="50"/>
  <c r="U97" i="50"/>
  <c r="BS97" i="50"/>
  <c r="BK97" i="50"/>
  <c r="BR97" i="50"/>
  <c r="BT2" i="50"/>
  <c r="U2" i="50"/>
  <c r="BR2" i="50"/>
  <c r="BS2" i="50"/>
  <c r="BK2" i="50"/>
  <c r="BT11" i="50"/>
  <c r="U11" i="50"/>
  <c r="BS11" i="50"/>
  <c r="BR11" i="50"/>
  <c r="BK11" i="50"/>
  <c r="BT34" i="50"/>
  <c r="U34" i="50"/>
  <c r="BS34" i="50"/>
  <c r="BK34" i="50"/>
  <c r="BR34" i="50"/>
  <c r="BT65" i="50"/>
  <c r="U65" i="50"/>
  <c r="BR65" i="50"/>
  <c r="BS65" i="50"/>
  <c r="BK65" i="50"/>
  <c r="BT45" i="50"/>
  <c r="U45" i="50"/>
  <c r="BR45" i="50"/>
  <c r="BS45" i="50"/>
  <c r="BK45" i="50"/>
  <c r="U25" i="50"/>
  <c r="BT25" i="50"/>
  <c r="BL25" i="50"/>
  <c r="BS25" i="50"/>
  <c r="BK25" i="50"/>
  <c r="BR25" i="50"/>
  <c r="BT56" i="50"/>
  <c r="U56" i="50"/>
  <c r="BK56" i="50"/>
  <c r="BR56" i="50"/>
  <c r="BS56" i="50"/>
  <c r="BT53" i="50"/>
  <c r="U53" i="50"/>
  <c r="BR53" i="50"/>
  <c r="BS53" i="50"/>
  <c r="BK53" i="50"/>
  <c r="BT93" i="50"/>
  <c r="U93" i="50"/>
  <c r="BS93" i="50"/>
  <c r="BK93" i="50"/>
  <c r="BR93" i="50"/>
  <c r="BT75" i="50"/>
  <c r="U75" i="50"/>
  <c r="BK75" i="50"/>
  <c r="BS75" i="50"/>
  <c r="BR75" i="50"/>
  <c r="BT82" i="50"/>
  <c r="U82" i="50"/>
  <c r="BK82" i="50"/>
  <c r="BS82" i="50"/>
  <c r="BR82" i="50"/>
  <c r="BT52" i="50"/>
  <c r="U52" i="50"/>
  <c r="BR52" i="50"/>
  <c r="BS52" i="50"/>
  <c r="BK52" i="50"/>
  <c r="BT73" i="50"/>
  <c r="U73" i="50"/>
  <c r="BR73" i="50"/>
  <c r="BS73" i="50"/>
  <c r="BK73" i="50"/>
  <c r="BT80" i="50"/>
  <c r="U80" i="50"/>
  <c r="BR80" i="50"/>
  <c r="BS80" i="50"/>
  <c r="BK80" i="50"/>
  <c r="BT12" i="50"/>
  <c r="U12" i="50"/>
  <c r="BR12" i="50"/>
  <c r="BS12" i="50"/>
  <c r="BK12" i="50"/>
  <c r="BL16" i="50"/>
  <c r="V16" i="50"/>
  <c r="BT17" i="50"/>
  <c r="U17" i="50"/>
  <c r="W17" i="50" s="1"/>
  <c r="BR17" i="50"/>
  <c r="BS17" i="50"/>
  <c r="BK17" i="50"/>
  <c r="BL96" i="50"/>
  <c r="V96" i="50"/>
  <c r="BT69" i="50"/>
  <c r="U69" i="50"/>
  <c r="W69" i="50" s="1"/>
  <c r="BR69" i="50"/>
  <c r="BS69" i="50"/>
  <c r="BK69" i="50"/>
  <c r="BL105" i="50"/>
  <c r="V105" i="50"/>
  <c r="BT89" i="50"/>
  <c r="U89" i="50"/>
  <c r="W89" i="50" s="1"/>
  <c r="BS89" i="50"/>
  <c r="BK89" i="50"/>
  <c r="BR89" i="50"/>
  <c r="BL30" i="50"/>
  <c r="V30" i="50"/>
  <c r="BT19" i="50"/>
  <c r="U19" i="50"/>
  <c r="W19" i="50" s="1"/>
  <c r="BR19" i="50"/>
  <c r="BS19" i="50"/>
  <c r="BK19" i="50"/>
  <c r="U3" i="50"/>
  <c r="W3" i="50" s="1"/>
  <c r="BT3" i="50"/>
  <c r="BR3" i="50"/>
  <c r="BS3" i="50"/>
  <c r="BK3" i="50"/>
  <c r="BL3" i="50"/>
  <c r="BT61" i="50"/>
  <c r="U61" i="50"/>
  <c r="W61" i="50" s="1"/>
  <c r="BR61" i="50"/>
  <c r="BS61" i="50"/>
  <c r="BK61" i="50"/>
  <c r="BL57" i="50"/>
  <c r="V57" i="50"/>
  <c r="BT8" i="50"/>
  <c r="U8" i="50"/>
  <c r="W8" i="50" s="1"/>
  <c r="BS8" i="50"/>
  <c r="BK8" i="50"/>
  <c r="BR8" i="50"/>
  <c r="BL97" i="50"/>
  <c r="V97" i="50"/>
  <c r="BT110" i="50"/>
  <c r="U110" i="50"/>
  <c r="W110" i="50" s="1"/>
  <c r="BS110" i="50"/>
  <c r="BK110" i="50"/>
  <c r="BR110" i="50"/>
  <c r="BT50" i="50"/>
  <c r="U50" i="50"/>
  <c r="W50" i="50" s="1"/>
  <c r="BR50" i="50"/>
  <c r="BS50" i="50"/>
  <c r="BK50" i="50"/>
  <c r="BL2" i="50"/>
  <c r="V2" i="50"/>
  <c r="BT60" i="50"/>
  <c r="U60" i="50"/>
  <c r="W60" i="50" s="1"/>
  <c r="BS60" i="50"/>
  <c r="BR60" i="50"/>
  <c r="BK60" i="50"/>
  <c r="BL11" i="50"/>
  <c r="V11" i="50"/>
  <c r="U20" i="50"/>
  <c r="W20" i="50" s="1"/>
  <c r="BT20" i="50"/>
  <c r="BS20" i="50"/>
  <c r="BK20" i="50"/>
  <c r="BR20" i="50"/>
  <c r="BL34" i="50"/>
  <c r="V34" i="50"/>
  <c r="W15" i="50"/>
  <c r="BL65" i="50"/>
  <c r="V65" i="50"/>
  <c r="BT68" i="50"/>
  <c r="U68" i="50"/>
  <c r="W68" i="50" s="1"/>
  <c r="BK68" i="50"/>
  <c r="BR68" i="50"/>
  <c r="BS68" i="50"/>
  <c r="BT106" i="50"/>
  <c r="U106" i="50"/>
  <c r="W106" i="50" s="1"/>
  <c r="BS106" i="50"/>
  <c r="BK106" i="50"/>
  <c r="BR106" i="50"/>
  <c r="BT88" i="50"/>
  <c r="U88" i="50"/>
  <c r="W88" i="50" s="1"/>
  <c r="BS88" i="50"/>
  <c r="BK88" i="50"/>
  <c r="BR88" i="50"/>
  <c r="BL45" i="50"/>
  <c r="V45" i="50"/>
  <c r="V25" i="50"/>
  <c r="BL56" i="50"/>
  <c r="V56" i="50"/>
  <c r="BL53" i="50"/>
  <c r="V53" i="50"/>
  <c r="BT102" i="50"/>
  <c r="U102" i="50"/>
  <c r="W102" i="50" s="1"/>
  <c r="BS102" i="50"/>
  <c r="BK102" i="50"/>
  <c r="BR102" i="50"/>
  <c r="BL93" i="50"/>
  <c r="V93" i="50"/>
  <c r="BT41" i="50"/>
  <c r="U41" i="50"/>
  <c r="W41" i="50" s="1"/>
  <c r="BR41" i="50"/>
  <c r="BS41" i="50"/>
  <c r="BK41" i="50"/>
  <c r="BL75" i="50"/>
  <c r="V75" i="50"/>
  <c r="BT78" i="50"/>
  <c r="U78" i="50"/>
  <c r="W78" i="50" s="1"/>
  <c r="BK78" i="50"/>
  <c r="BS78" i="50"/>
  <c r="BR78" i="50"/>
  <c r="BL82" i="50"/>
  <c r="V82" i="50"/>
  <c r="BT71" i="50"/>
  <c r="U71" i="50"/>
  <c r="W71" i="50" s="1"/>
  <c r="BR71" i="50"/>
  <c r="BK71" i="50"/>
  <c r="BS71" i="50"/>
  <c r="BL52" i="50"/>
  <c r="V52" i="50"/>
  <c r="BL73" i="50"/>
  <c r="V73" i="50"/>
  <c r="BT76" i="50"/>
  <c r="U76" i="50"/>
  <c r="W76" i="50" s="1"/>
  <c r="BR76" i="50"/>
  <c r="BS76" i="50"/>
  <c r="BK76" i="50"/>
  <c r="BL80" i="50"/>
  <c r="V80" i="50"/>
  <c r="BT85" i="50"/>
  <c r="U85" i="50"/>
  <c r="W85" i="50" s="1"/>
  <c r="BS85" i="50"/>
  <c r="BK85" i="50"/>
  <c r="BR85" i="50"/>
  <c r="BT24" i="50"/>
  <c r="U24" i="50"/>
  <c r="W24" i="50" s="1"/>
  <c r="BS24" i="50"/>
  <c r="BK24" i="50"/>
  <c r="BR24" i="50"/>
  <c r="BL12" i="50"/>
  <c r="V12" i="50"/>
  <c r="BL20" i="50"/>
  <c r="V52" i="49"/>
  <c r="X52" i="49" s="1"/>
  <c r="BJ52" i="49"/>
  <c r="BY195" i="47"/>
  <c r="BZ195" i="47" s="1"/>
  <c r="CH48" i="47"/>
  <c r="CI48" i="47"/>
  <c r="CH183" i="47"/>
  <c r="CI183" i="47"/>
  <c r="CG17" i="47"/>
  <c r="CH17" i="47" s="1"/>
  <c r="CL32" i="47"/>
  <c r="BL32" i="47"/>
  <c r="CM32" i="47"/>
  <c r="V32" i="47"/>
  <c r="CK32" i="47"/>
  <c r="BK32" i="47"/>
  <c r="U32" i="47"/>
  <c r="V59" i="47"/>
  <c r="BL59" i="47"/>
  <c r="CL59" i="47"/>
  <c r="CK59" i="47"/>
  <c r="W52" i="47"/>
  <c r="BL58" i="47"/>
  <c r="BL184" i="47"/>
  <c r="W199" i="47"/>
  <c r="CC100" i="47"/>
  <c r="CF100" i="47" s="1"/>
  <c r="CG100" i="47" s="1"/>
  <c r="CC109" i="47"/>
  <c r="CF109" i="47" s="1"/>
  <c r="CG109" i="47" s="1"/>
  <c r="CI109" i="47" s="1"/>
  <c r="BL210" i="47"/>
  <c r="CC35" i="47"/>
  <c r="CF35" i="47" s="1"/>
  <c r="CG35" i="47" s="1"/>
  <c r="CC34" i="47"/>
  <c r="CF34" i="47" s="1"/>
  <c r="CG34" i="47" s="1"/>
  <c r="CI34" i="47" s="1"/>
  <c r="W51" i="47"/>
  <c r="BL31" i="47"/>
  <c r="W187" i="47"/>
  <c r="CC19" i="47"/>
  <c r="CF19" i="47" s="1"/>
  <c r="CG19" i="47" s="1"/>
  <c r="CC202" i="47"/>
  <c r="CF202" i="47" s="1"/>
  <c r="CG202" i="47" s="1"/>
  <c r="CC43" i="47"/>
  <c r="CF43" i="47" s="1"/>
  <c r="CG43" i="47" s="1"/>
  <c r="BZ50" i="47"/>
  <c r="BZ55" i="47"/>
  <c r="BZ60" i="47"/>
  <c r="U59" i="47"/>
  <c r="BX127" i="47"/>
  <c r="BY127" i="47" s="1"/>
  <c r="BL64" i="47"/>
  <c r="BZ57" i="47"/>
  <c r="GD95" i="47"/>
  <c r="FL209" i="47" s="1"/>
  <c r="CG89" i="47"/>
  <c r="CI89" i="47" s="1"/>
  <c r="W48" i="47"/>
  <c r="CG187" i="47"/>
  <c r="CH187" i="47" s="1"/>
  <c r="W192" i="47"/>
  <c r="CG29" i="47"/>
  <c r="CH29" i="47" s="1"/>
  <c r="BZ6" i="47"/>
  <c r="CD82" i="47"/>
  <c r="CG82" i="47" s="1"/>
  <c r="GD121" i="47"/>
  <c r="FL52" i="47" s="1"/>
  <c r="FT121" i="47"/>
  <c r="BY54" i="47"/>
  <c r="BZ54" i="47" s="1"/>
  <c r="CH198" i="47"/>
  <c r="CI198" i="47"/>
  <c r="CI180" i="47"/>
  <c r="BY126" i="47"/>
  <c r="BZ126" i="47" s="1"/>
  <c r="CH59" i="47"/>
  <c r="CI59" i="47"/>
  <c r="CI15" i="47"/>
  <c r="CH15" i="47"/>
  <c r="CI209" i="47"/>
  <c r="CH209" i="47"/>
  <c r="CH181" i="47"/>
  <c r="CI181" i="47"/>
  <c r="CH56" i="47"/>
  <c r="CI56" i="47"/>
  <c r="CH190" i="47"/>
  <c r="CI190" i="47"/>
  <c r="CH5" i="47"/>
  <c r="CI5" i="47"/>
  <c r="CH177" i="47"/>
  <c r="CI177" i="47"/>
  <c r="CI169" i="47"/>
  <c r="CH169" i="47"/>
  <c r="CH52" i="47"/>
  <c r="CI52" i="47"/>
  <c r="CH189" i="47"/>
  <c r="CI189" i="47"/>
  <c r="CH195" i="47"/>
  <c r="CI195" i="47"/>
  <c r="CH49" i="47"/>
  <c r="CI49" i="47"/>
  <c r="CH120" i="47"/>
  <c r="CI120" i="47"/>
  <c r="CG93" i="47"/>
  <c r="CG174" i="47"/>
  <c r="CH185" i="47"/>
  <c r="CI185" i="47"/>
  <c r="CH199" i="47"/>
  <c r="CI199" i="47"/>
  <c r="CH193" i="47"/>
  <c r="CI193" i="47"/>
  <c r="BY122" i="47"/>
  <c r="BZ122" i="47" s="1"/>
  <c r="CI142" i="47"/>
  <c r="CH142" i="47"/>
  <c r="CI42" i="47"/>
  <c r="CH42" i="47"/>
  <c r="CH121" i="47"/>
  <c r="CI121" i="47"/>
  <c r="CH178" i="47"/>
  <c r="CI178" i="47"/>
  <c r="GD2" i="47"/>
  <c r="FL2" i="47" s="1"/>
  <c r="FT2" i="47"/>
  <c r="CH123" i="47"/>
  <c r="CI123" i="47"/>
  <c r="CH8" i="47"/>
  <c r="CI8" i="47"/>
  <c r="GD11" i="47"/>
  <c r="FL124" i="47" s="1"/>
  <c r="FT11" i="47"/>
  <c r="FT13" i="47"/>
  <c r="CM130" i="47"/>
  <c r="U130" i="47"/>
  <c r="CK130" i="47"/>
  <c r="CL130" i="47"/>
  <c r="BK130" i="47"/>
  <c r="V130" i="47"/>
  <c r="CI72" i="47"/>
  <c r="CH72" i="47"/>
  <c r="CI30" i="47"/>
  <c r="CH30" i="47"/>
  <c r="CC26" i="47"/>
  <c r="CF26" i="47" s="1"/>
  <c r="CG26" i="47" s="1"/>
  <c r="BU26" i="47"/>
  <c r="BT26" i="47"/>
  <c r="U153" i="47"/>
  <c r="CM153" i="47"/>
  <c r="BK153" i="47"/>
  <c r="CL153" i="47"/>
  <c r="CK153" i="47"/>
  <c r="CI74" i="47"/>
  <c r="CH74" i="47"/>
  <c r="BV85" i="47"/>
  <c r="BX85" i="47" s="1"/>
  <c r="BX89" i="47"/>
  <c r="BY89" i="47" s="1"/>
  <c r="BV109" i="47"/>
  <c r="BX109" i="47" s="1"/>
  <c r="BY109" i="47" s="1"/>
  <c r="BV69" i="47"/>
  <c r="BX69" i="47" s="1"/>
  <c r="BY69" i="47" s="1"/>
  <c r="CI203" i="47"/>
  <c r="CH203" i="47"/>
  <c r="CI207" i="47"/>
  <c r="CH207" i="47"/>
  <c r="BX211" i="47"/>
  <c r="BY211" i="47" s="1"/>
  <c r="CI211" i="47"/>
  <c r="CH211" i="47"/>
  <c r="FX107" i="47"/>
  <c r="FW107" i="47"/>
  <c r="BV177" i="47"/>
  <c r="BX177" i="47" s="1"/>
  <c r="BY177" i="47" s="1"/>
  <c r="CI95" i="47"/>
  <c r="CH95" i="47"/>
  <c r="CI103" i="47"/>
  <c r="CH103" i="47"/>
  <c r="BV163" i="47"/>
  <c r="BX163" i="47" s="1"/>
  <c r="BY163" i="47" s="1"/>
  <c r="CH188" i="47"/>
  <c r="CI188" i="47"/>
  <c r="BV101" i="47"/>
  <c r="BX101" i="47" s="1"/>
  <c r="BV161" i="47"/>
  <c r="BX161" i="47" s="1"/>
  <c r="BY161" i="47" s="1"/>
  <c r="BV93" i="47"/>
  <c r="BX93" i="47" s="1"/>
  <c r="BY93" i="47" s="1"/>
  <c r="CM184" i="47"/>
  <c r="U184" i="47"/>
  <c r="W184" i="47" s="1"/>
  <c r="CK184" i="47"/>
  <c r="CL184" i="47"/>
  <c r="BK184" i="47"/>
  <c r="CC184" i="47"/>
  <c r="CF184" i="47" s="1"/>
  <c r="CG184" i="47" s="1"/>
  <c r="BV174" i="47"/>
  <c r="BX174" i="47" s="1"/>
  <c r="U31" i="47"/>
  <c r="W31" i="47" s="1"/>
  <c r="CM31" i="47"/>
  <c r="CK31" i="47"/>
  <c r="BK31" i="47"/>
  <c r="CL31" i="47"/>
  <c r="U33" i="47"/>
  <c r="W33" i="47" s="1"/>
  <c r="CM33" i="47"/>
  <c r="CL33" i="47"/>
  <c r="CK33" i="47"/>
  <c r="BK33" i="47"/>
  <c r="BZ33" i="47"/>
  <c r="U37" i="47"/>
  <c r="W37" i="47" s="1"/>
  <c r="CM37" i="47"/>
  <c r="BK37" i="47"/>
  <c r="CK37" i="47"/>
  <c r="CL37" i="47"/>
  <c r="BZ37" i="47"/>
  <c r="V39" i="47"/>
  <c r="U45" i="47"/>
  <c r="W45" i="47" s="1"/>
  <c r="CM45" i="47"/>
  <c r="CL45" i="47"/>
  <c r="CK45" i="47"/>
  <c r="BK45" i="47"/>
  <c r="BZ45" i="47"/>
  <c r="V164" i="47"/>
  <c r="V166" i="47"/>
  <c r="CH6" i="47"/>
  <c r="CI6" i="47"/>
  <c r="W6" i="47"/>
  <c r="CH4" i="47"/>
  <c r="CI4" i="47"/>
  <c r="FT4" i="47"/>
  <c r="GD4" i="47"/>
  <c r="FL4" i="47" s="1"/>
  <c r="CC114" i="47"/>
  <c r="CF114" i="47" s="1"/>
  <c r="CG114" i="47" s="1"/>
  <c r="BU114" i="47"/>
  <c r="BT114" i="47"/>
  <c r="U84" i="47"/>
  <c r="W84" i="47" s="1"/>
  <c r="CM84" i="47"/>
  <c r="CL84" i="47"/>
  <c r="BK84" i="47"/>
  <c r="CK84" i="47"/>
  <c r="CD84" i="47"/>
  <c r="U86" i="47"/>
  <c r="W86" i="47" s="1"/>
  <c r="CM86" i="47"/>
  <c r="CK86" i="47"/>
  <c r="BL86" i="47"/>
  <c r="BK86" i="47"/>
  <c r="CL86" i="47"/>
  <c r="CD86" i="47"/>
  <c r="CG86" i="47" s="1"/>
  <c r="U88" i="47"/>
  <c r="W88" i="47" s="1"/>
  <c r="CM88" i="47"/>
  <c r="CK88" i="47"/>
  <c r="CL88" i="47"/>
  <c r="BL88" i="47"/>
  <c r="BK88" i="47"/>
  <c r="U104" i="47"/>
  <c r="W104" i="47" s="1"/>
  <c r="CM104" i="47"/>
  <c r="CL104" i="47"/>
  <c r="BK104" i="47"/>
  <c r="CK104" i="47"/>
  <c r="U106" i="47"/>
  <c r="W106" i="47" s="1"/>
  <c r="CM106" i="47"/>
  <c r="CK106" i="47"/>
  <c r="BL106" i="47"/>
  <c r="BK106" i="47"/>
  <c r="CL106" i="47"/>
  <c r="U108" i="47"/>
  <c r="W108" i="47" s="1"/>
  <c r="CM108" i="47"/>
  <c r="CK108" i="47"/>
  <c r="BL108" i="47"/>
  <c r="BK108" i="47"/>
  <c r="CL108" i="47"/>
  <c r="U110" i="47"/>
  <c r="W110" i="47" s="1"/>
  <c r="CM110" i="47"/>
  <c r="CK110" i="47"/>
  <c r="BL110" i="47"/>
  <c r="BK110" i="47"/>
  <c r="CL110" i="47"/>
  <c r="CD110" i="47"/>
  <c r="CG110" i="47" s="1"/>
  <c r="BZ110" i="47"/>
  <c r="U10" i="47"/>
  <c r="W10" i="47" s="1"/>
  <c r="CM10" i="47"/>
  <c r="CK10" i="47"/>
  <c r="CL10" i="47"/>
  <c r="BL10" i="47"/>
  <c r="BK10" i="47"/>
  <c r="CD10" i="47"/>
  <c r="CG10" i="47" s="1"/>
  <c r="U16" i="47"/>
  <c r="W16" i="47" s="1"/>
  <c r="CM16" i="47"/>
  <c r="CK16" i="47"/>
  <c r="BL16" i="47"/>
  <c r="BK16" i="47"/>
  <c r="CL16" i="47"/>
  <c r="U18" i="47"/>
  <c r="W18" i="47" s="1"/>
  <c r="CM18" i="47"/>
  <c r="CK18" i="47"/>
  <c r="BL18" i="47"/>
  <c r="BK18" i="47"/>
  <c r="CL18" i="47"/>
  <c r="CD18" i="47"/>
  <c r="CG18" i="47" s="1"/>
  <c r="U64" i="47"/>
  <c r="W64" i="47" s="1"/>
  <c r="CM64" i="47"/>
  <c r="CL64" i="47"/>
  <c r="CK64" i="47"/>
  <c r="BK64" i="47"/>
  <c r="CD64" i="47"/>
  <c r="CG64" i="47" s="1"/>
  <c r="U66" i="47"/>
  <c r="W66" i="47" s="1"/>
  <c r="CM66" i="47"/>
  <c r="CK66" i="47"/>
  <c r="BL66" i="47"/>
  <c r="BK66" i="47"/>
  <c r="CL66" i="47"/>
  <c r="CD66" i="47"/>
  <c r="CG66" i="47" s="1"/>
  <c r="U24" i="47"/>
  <c r="W24" i="47" s="1"/>
  <c r="CM24" i="47"/>
  <c r="CK24" i="47"/>
  <c r="CL24" i="47"/>
  <c r="BL24" i="47"/>
  <c r="BK24" i="47"/>
  <c r="U26" i="47"/>
  <c r="W26" i="47" s="1"/>
  <c r="CM26" i="47"/>
  <c r="CK26" i="47"/>
  <c r="BL26" i="47"/>
  <c r="BK26" i="47"/>
  <c r="CL26" i="47"/>
  <c r="U132" i="47"/>
  <c r="W132" i="47" s="1"/>
  <c r="CM132" i="47"/>
  <c r="CK132" i="47"/>
  <c r="CL132" i="47"/>
  <c r="BL132" i="47"/>
  <c r="BK132" i="47"/>
  <c r="U134" i="47"/>
  <c r="W134" i="47" s="1"/>
  <c r="CM134" i="47"/>
  <c r="CK134" i="47"/>
  <c r="CL134" i="47"/>
  <c r="BL134" i="47"/>
  <c r="BK134" i="47"/>
  <c r="U136" i="47"/>
  <c r="CM136" i="47"/>
  <c r="CL136" i="47"/>
  <c r="BL136" i="47"/>
  <c r="BK136" i="47"/>
  <c r="CK136" i="47"/>
  <c r="CC162" i="47"/>
  <c r="CF162" i="47" s="1"/>
  <c r="CG162" i="47" s="1"/>
  <c r="BT162" i="47"/>
  <c r="BU162" i="47"/>
  <c r="BV83" i="47"/>
  <c r="BX83" i="47" s="1"/>
  <c r="CC139" i="47"/>
  <c r="CF139" i="47" s="1"/>
  <c r="BU139" i="47"/>
  <c r="BT139" i="47"/>
  <c r="BV105" i="47"/>
  <c r="BX105" i="47" s="1"/>
  <c r="BY105" i="47" s="1"/>
  <c r="BX113" i="47"/>
  <c r="BY113" i="47" s="1"/>
  <c r="W9" i="47"/>
  <c r="BV13" i="47"/>
  <c r="BX13" i="47" s="1"/>
  <c r="BY13" i="47" s="1"/>
  <c r="CI65" i="47"/>
  <c r="CH65" i="47"/>
  <c r="FX85" i="47"/>
  <c r="FW85" i="47"/>
  <c r="CI135" i="47"/>
  <c r="CH135" i="47"/>
  <c r="BX140" i="47"/>
  <c r="BY140" i="47" s="1"/>
  <c r="CI140" i="47"/>
  <c r="CH140" i="47"/>
  <c r="BV144" i="47"/>
  <c r="BX144" i="47" s="1"/>
  <c r="BY144" i="47" s="1"/>
  <c r="CH62" i="47"/>
  <c r="CI62" i="47"/>
  <c r="BV99" i="47"/>
  <c r="BX99" i="47" s="1"/>
  <c r="U28" i="47"/>
  <c r="W28" i="47" s="1"/>
  <c r="CM28" i="47"/>
  <c r="CK28" i="47"/>
  <c r="BL28" i="47"/>
  <c r="BK28" i="47"/>
  <c r="CL28" i="47"/>
  <c r="CD28" i="47"/>
  <c r="CG28" i="47" s="1"/>
  <c r="BV159" i="47"/>
  <c r="BX159" i="47" s="1"/>
  <c r="BY159" i="47" s="1"/>
  <c r="BV171" i="47"/>
  <c r="BX171" i="47" s="1"/>
  <c r="CG200" i="47"/>
  <c r="CM175" i="47"/>
  <c r="U175" i="47"/>
  <c r="W175" i="47" s="1"/>
  <c r="BL175" i="47"/>
  <c r="CK175" i="47"/>
  <c r="CL175" i="47"/>
  <c r="BK175" i="47"/>
  <c r="CC175" i="47"/>
  <c r="CF175" i="47" s="1"/>
  <c r="CG175" i="47" s="1"/>
  <c r="BZ123" i="47"/>
  <c r="U98" i="47"/>
  <c r="W98" i="47" s="1"/>
  <c r="CM98" i="47"/>
  <c r="CK98" i="47"/>
  <c r="BL98" i="47"/>
  <c r="BK98" i="47"/>
  <c r="CL98" i="47"/>
  <c r="CD98" i="47"/>
  <c r="CG98" i="47" s="1"/>
  <c r="BZ98" i="47"/>
  <c r="BZ179" i="47"/>
  <c r="U155" i="47"/>
  <c r="W155" i="47" s="1"/>
  <c r="CM155" i="47"/>
  <c r="CL155" i="47"/>
  <c r="CK155" i="47"/>
  <c r="BL155" i="47"/>
  <c r="BK155" i="47"/>
  <c r="U75" i="47"/>
  <c r="W75" i="47" s="1"/>
  <c r="CM75" i="47"/>
  <c r="CL75" i="47"/>
  <c r="CK75" i="47"/>
  <c r="BL75" i="47"/>
  <c r="BK75" i="47"/>
  <c r="FQ30" i="47"/>
  <c r="FP76" i="47" s="1"/>
  <c r="U73" i="47"/>
  <c r="W73" i="47" s="1"/>
  <c r="CM73" i="47"/>
  <c r="BL73" i="47"/>
  <c r="BK73" i="47"/>
  <c r="CL73" i="47"/>
  <c r="CK73" i="47"/>
  <c r="CD73" i="47"/>
  <c r="CG73" i="47" s="1"/>
  <c r="BZ73" i="47"/>
  <c r="CI79" i="47"/>
  <c r="CH79" i="47"/>
  <c r="CC16" i="47"/>
  <c r="CF16" i="47" s="1"/>
  <c r="CG16" i="47" s="1"/>
  <c r="BU16" i="47"/>
  <c r="BT16" i="47"/>
  <c r="BV107" i="47"/>
  <c r="BX107" i="47" s="1"/>
  <c r="BV11" i="47"/>
  <c r="BX11" i="47" s="1"/>
  <c r="CI67" i="47"/>
  <c r="CH67" i="47"/>
  <c r="CI133" i="47"/>
  <c r="CH133" i="47"/>
  <c r="CH172" i="47"/>
  <c r="CI172" i="47"/>
  <c r="BV146" i="47"/>
  <c r="BX146" i="47" s="1"/>
  <c r="CM46" i="47"/>
  <c r="U46" i="47"/>
  <c r="BL46" i="47"/>
  <c r="CK46" i="47"/>
  <c r="BK46" i="47"/>
  <c r="CL46" i="47"/>
  <c r="CC46" i="47"/>
  <c r="CF46" i="47" s="1"/>
  <c r="CM92" i="47"/>
  <c r="U92" i="47"/>
  <c r="BL92" i="47"/>
  <c r="CK92" i="47"/>
  <c r="BK92" i="47"/>
  <c r="CL92" i="47"/>
  <c r="CC92" i="47"/>
  <c r="CF92" i="47" s="1"/>
  <c r="CM182" i="47"/>
  <c r="U182" i="47"/>
  <c r="CL182" i="47"/>
  <c r="BK182" i="47"/>
  <c r="CK182" i="47"/>
  <c r="BL182" i="47"/>
  <c r="CC182" i="47"/>
  <c r="CF182" i="47" s="1"/>
  <c r="BV97" i="47"/>
  <c r="BX97" i="47" s="1"/>
  <c r="BY97" i="47" s="1"/>
  <c r="CI20" i="47"/>
  <c r="CH20" i="47"/>
  <c r="BV40" i="47"/>
  <c r="BX40" i="47" s="1"/>
  <c r="BY40" i="47" s="1"/>
  <c r="CI44" i="47"/>
  <c r="CH44" i="47"/>
  <c r="BV165" i="47"/>
  <c r="BX165" i="47" s="1"/>
  <c r="U202" i="47"/>
  <c r="W202" i="47" s="1"/>
  <c r="CM202" i="47"/>
  <c r="CL202" i="47"/>
  <c r="CK202" i="47"/>
  <c r="BL202" i="47"/>
  <c r="BK202" i="47"/>
  <c r="CI201" i="47"/>
  <c r="CH201" i="47"/>
  <c r="BV120" i="47"/>
  <c r="BX120" i="47" s="1"/>
  <c r="BZ46" i="47"/>
  <c r="CM186" i="47"/>
  <c r="U186" i="47"/>
  <c r="CL186" i="47"/>
  <c r="BK186" i="47"/>
  <c r="CK186" i="47"/>
  <c r="BL186" i="47"/>
  <c r="CC186" i="47"/>
  <c r="CF186" i="47" s="1"/>
  <c r="BX19" i="47"/>
  <c r="BY19" i="47" s="1"/>
  <c r="CM179" i="47"/>
  <c r="U179" i="47"/>
  <c r="BK179" i="47"/>
  <c r="CL179" i="47"/>
  <c r="CK179" i="47"/>
  <c r="CC179" i="47"/>
  <c r="CF179" i="47" s="1"/>
  <c r="BV149" i="47"/>
  <c r="BX149" i="47" s="1"/>
  <c r="BY149" i="47" s="1"/>
  <c r="BV153" i="47"/>
  <c r="BX153" i="47" s="1"/>
  <c r="BY153" i="47" s="1"/>
  <c r="CC157" i="47"/>
  <c r="CF157" i="47" s="1"/>
  <c r="CG157" i="47" s="1"/>
  <c r="BV78" i="47"/>
  <c r="BX78" i="47" s="1"/>
  <c r="U71" i="47"/>
  <c r="CM71" i="47"/>
  <c r="CL71" i="47"/>
  <c r="BK71" i="47"/>
  <c r="CK71" i="47"/>
  <c r="BZ71" i="47"/>
  <c r="CC14" i="47"/>
  <c r="CF14" i="47" s="1"/>
  <c r="CG14" i="47" s="1"/>
  <c r="U80" i="47"/>
  <c r="CM80" i="47"/>
  <c r="CK80" i="47"/>
  <c r="BK80" i="47"/>
  <c r="CL80" i="47"/>
  <c r="U82" i="47"/>
  <c r="CM82" i="47"/>
  <c r="CK82" i="47"/>
  <c r="BK82" i="47"/>
  <c r="CL82" i="47"/>
  <c r="BV137" i="47"/>
  <c r="BX137" i="47" s="1"/>
  <c r="BY137" i="47" s="1"/>
  <c r="CC96" i="47"/>
  <c r="CF96" i="47" s="1"/>
  <c r="CG96" i="47" s="1"/>
  <c r="BV208" i="47"/>
  <c r="BX208" i="47" s="1"/>
  <c r="BV143" i="47"/>
  <c r="BX143" i="47" s="1"/>
  <c r="U206" i="47"/>
  <c r="CM206" i="47"/>
  <c r="CK206" i="47"/>
  <c r="BK206" i="47"/>
  <c r="CL206" i="47"/>
  <c r="U208" i="47"/>
  <c r="CM208" i="47"/>
  <c r="CK208" i="47"/>
  <c r="CL208" i="47"/>
  <c r="BK208" i="47"/>
  <c r="U137" i="47"/>
  <c r="CM137" i="47"/>
  <c r="BK137" i="47"/>
  <c r="CL137" i="47"/>
  <c r="CK137" i="47"/>
  <c r="U145" i="47"/>
  <c r="CM145" i="47"/>
  <c r="CK145" i="47"/>
  <c r="BK145" i="47"/>
  <c r="CL145" i="47"/>
  <c r="U147" i="47"/>
  <c r="CM147" i="47"/>
  <c r="CK147" i="47"/>
  <c r="BK147" i="47"/>
  <c r="CL147" i="47"/>
  <c r="U149" i="47"/>
  <c r="CM149" i="47"/>
  <c r="BK149" i="47"/>
  <c r="CL149" i="47"/>
  <c r="CK149" i="47"/>
  <c r="CC22" i="47"/>
  <c r="CF22" i="47" s="1"/>
  <c r="CG22" i="47" s="1"/>
  <c r="BV88" i="47"/>
  <c r="BX88" i="47" s="1"/>
  <c r="BY88" i="47" s="1"/>
  <c r="BV87" i="47"/>
  <c r="BX87" i="47" s="1"/>
  <c r="FR65" i="47"/>
  <c r="FQ65" i="47"/>
  <c r="FP15" i="47" s="1"/>
  <c r="BV63" i="47"/>
  <c r="BX63" i="47" s="1"/>
  <c r="CI21" i="47"/>
  <c r="CH21" i="47"/>
  <c r="BV25" i="47"/>
  <c r="BX25" i="47" s="1"/>
  <c r="BY25" i="47" s="1"/>
  <c r="FX89" i="47"/>
  <c r="FW89" i="47"/>
  <c r="FR103" i="47"/>
  <c r="FQ103" i="47"/>
  <c r="FP142" i="47" s="1"/>
  <c r="BZ155" i="47"/>
  <c r="BZ24" i="47"/>
  <c r="BV201" i="47"/>
  <c r="BX201" i="47" s="1"/>
  <c r="BY201" i="47" s="1"/>
  <c r="BV68" i="47"/>
  <c r="BX68" i="47" s="1"/>
  <c r="BZ94" i="47"/>
  <c r="CC70" i="47"/>
  <c r="CF70" i="47" s="1"/>
  <c r="CG70" i="47" s="1"/>
  <c r="FU113" i="47"/>
  <c r="FS113" i="47"/>
  <c r="FV113" i="47"/>
  <c r="BZ186" i="47"/>
  <c r="BZ125" i="47"/>
  <c r="BX43" i="47"/>
  <c r="BY43" i="47" s="1"/>
  <c r="BL37" i="47"/>
  <c r="BX151" i="47"/>
  <c r="BY151" i="47" s="1"/>
  <c r="BV141" i="47"/>
  <c r="BX141" i="47" s="1"/>
  <c r="BY141" i="47" s="1"/>
  <c r="CI154" i="47"/>
  <c r="CH154" i="47"/>
  <c r="CC112" i="47"/>
  <c r="CF112" i="47" s="1"/>
  <c r="CG112" i="47" s="1"/>
  <c r="BV136" i="47"/>
  <c r="BX136" i="47" s="1"/>
  <c r="BX210" i="47"/>
  <c r="BY210" i="47" s="1"/>
  <c r="CC160" i="47"/>
  <c r="CF160" i="47" s="1"/>
  <c r="CG160" i="47" s="1"/>
  <c r="BV80" i="47"/>
  <c r="BX80" i="47" s="1"/>
  <c r="BY80" i="47" s="1"/>
  <c r="BV23" i="47"/>
  <c r="BX23" i="47" s="1"/>
  <c r="BY23" i="47" s="1"/>
  <c r="CC164" i="47"/>
  <c r="CF164" i="47" s="1"/>
  <c r="CG164" i="47" s="1"/>
  <c r="CC170" i="47"/>
  <c r="CF170" i="47" s="1"/>
  <c r="CG170" i="47" s="1"/>
  <c r="BV121" i="47"/>
  <c r="BX121" i="47" s="1"/>
  <c r="BY121" i="47" s="1"/>
  <c r="BL45" i="47"/>
  <c r="CH2" i="47"/>
  <c r="CI2" i="47"/>
  <c r="FT16" i="47"/>
  <c r="GD16" i="47"/>
  <c r="BX62" i="47"/>
  <c r="BY62" i="47" s="1"/>
  <c r="BX192" i="47"/>
  <c r="BY192" i="47" s="1"/>
  <c r="CH7" i="47"/>
  <c r="CI7" i="47"/>
  <c r="CH122" i="47"/>
  <c r="CI122" i="47"/>
  <c r="CH124" i="47"/>
  <c r="CI124" i="47"/>
  <c r="CH126" i="47"/>
  <c r="CI126" i="47"/>
  <c r="CH128" i="47"/>
  <c r="BL130" i="47"/>
  <c r="CC130" i="47"/>
  <c r="CF130" i="47" s="1"/>
  <c r="CG130" i="47" s="1"/>
  <c r="BX152" i="47"/>
  <c r="BY152" i="47" s="1"/>
  <c r="BV72" i="47"/>
  <c r="BX72" i="47" s="1"/>
  <c r="BX116" i="47"/>
  <c r="BY116" i="47" s="1"/>
  <c r="BX150" i="47"/>
  <c r="BY150" i="47" s="1"/>
  <c r="CI150" i="47"/>
  <c r="CH150" i="47"/>
  <c r="V153" i="47"/>
  <c r="BV74" i="47"/>
  <c r="BX74" i="47" s="1"/>
  <c r="BY74" i="47" s="1"/>
  <c r="BX81" i="47"/>
  <c r="BY81" i="47" s="1"/>
  <c r="CI81" i="47"/>
  <c r="CH81" i="47"/>
  <c r="CI85" i="47"/>
  <c r="CH85" i="47"/>
  <c r="BZ89" i="47"/>
  <c r="CH109" i="47"/>
  <c r="CC9" i="47"/>
  <c r="CF9" i="47" s="1"/>
  <c r="CG9" i="47" s="1"/>
  <c r="BT9" i="47"/>
  <c r="BU9" i="47"/>
  <c r="BV9" i="47" s="1"/>
  <c r="BX17" i="47"/>
  <c r="BY17" i="47" s="1"/>
  <c r="CI69" i="47"/>
  <c r="CH69" i="47"/>
  <c r="BV27" i="47"/>
  <c r="BX27" i="47" s="1"/>
  <c r="BY27" i="47" s="1"/>
  <c r="BV203" i="47"/>
  <c r="BX203" i="47" s="1"/>
  <c r="BY203" i="47" s="1"/>
  <c r="BV207" i="47"/>
  <c r="BX207" i="47" s="1"/>
  <c r="BY207" i="47" s="1"/>
  <c r="FR107" i="47"/>
  <c r="FQ107" i="47"/>
  <c r="FP146" i="47" s="1"/>
  <c r="CM50" i="47"/>
  <c r="U50" i="47"/>
  <c r="W50" i="47" s="1"/>
  <c r="CL50" i="47"/>
  <c r="BK50" i="47"/>
  <c r="CK50" i="47"/>
  <c r="CC50" i="47"/>
  <c r="CF50" i="47" s="1"/>
  <c r="CG50" i="47" s="1"/>
  <c r="CM58" i="47"/>
  <c r="U58" i="47"/>
  <c r="W58" i="47" s="1"/>
  <c r="CL58" i="47"/>
  <c r="CK58" i="47"/>
  <c r="BK58" i="47"/>
  <c r="CC58" i="47"/>
  <c r="CF58" i="47" s="1"/>
  <c r="CG58" i="47" s="1"/>
  <c r="CM60" i="47"/>
  <c r="U60" i="47"/>
  <c r="W60" i="47" s="1"/>
  <c r="CL60" i="47"/>
  <c r="CK60" i="47"/>
  <c r="BK60" i="47"/>
  <c r="CC60" i="47"/>
  <c r="CF60" i="47" s="1"/>
  <c r="CG60" i="47" s="1"/>
  <c r="FW117" i="47"/>
  <c r="FX117" i="47"/>
  <c r="BV95" i="47"/>
  <c r="BX95" i="47" s="1"/>
  <c r="BY95" i="47" s="1"/>
  <c r="BV103" i="47"/>
  <c r="BX34" i="47"/>
  <c r="BY34" i="47" s="1"/>
  <c r="CH34" i="47"/>
  <c r="CI163" i="47"/>
  <c r="CI101" i="47"/>
  <c r="CH101" i="47"/>
  <c r="BX36" i="47"/>
  <c r="BY36" i="47" s="1"/>
  <c r="CI36" i="47"/>
  <c r="CH36" i="47"/>
  <c r="CI161" i="47"/>
  <c r="CH161" i="47"/>
  <c r="BV169" i="47"/>
  <c r="BV202" i="47"/>
  <c r="BX202" i="47" s="1"/>
  <c r="BV29" i="47"/>
  <c r="BX29" i="47" s="1"/>
  <c r="BY29" i="47" s="1"/>
  <c r="CG33" i="47"/>
  <c r="U35" i="47"/>
  <c r="W35" i="47" s="1"/>
  <c r="CM35" i="47"/>
  <c r="CK35" i="47"/>
  <c r="BK35" i="47"/>
  <c r="CL35" i="47"/>
  <c r="BZ35" i="47"/>
  <c r="U39" i="47"/>
  <c r="CM39" i="47"/>
  <c r="CK39" i="47"/>
  <c r="GD39" i="47" s="1"/>
  <c r="FL85" i="47" s="1"/>
  <c r="CL39" i="47"/>
  <c r="BK39" i="47"/>
  <c r="U41" i="47"/>
  <c r="W41" i="47" s="1"/>
  <c r="CM41" i="47"/>
  <c r="BK41" i="47"/>
  <c r="CL41" i="47"/>
  <c r="CK41" i="47"/>
  <c r="U43" i="47"/>
  <c r="W43" i="47" s="1"/>
  <c r="CM43" i="47"/>
  <c r="CL43" i="47"/>
  <c r="CK43" i="47"/>
  <c r="BK43" i="47"/>
  <c r="U160" i="47"/>
  <c r="W160" i="47" s="1"/>
  <c r="CM160" i="47"/>
  <c r="CL160" i="47"/>
  <c r="CK160" i="47"/>
  <c r="BK160" i="47"/>
  <c r="U162" i="47"/>
  <c r="W162" i="47" s="1"/>
  <c r="CM162" i="47"/>
  <c r="CK162" i="47"/>
  <c r="CL162" i="47"/>
  <c r="BK162" i="47"/>
  <c r="U164" i="47"/>
  <c r="CM164" i="47"/>
  <c r="CK164" i="47"/>
  <c r="CL164" i="47"/>
  <c r="BK164" i="47"/>
  <c r="U166" i="47"/>
  <c r="CM166" i="47"/>
  <c r="CK166" i="47"/>
  <c r="BK166" i="47"/>
  <c r="CL166" i="47"/>
  <c r="U168" i="47"/>
  <c r="W168" i="47" s="1"/>
  <c r="CM168" i="47"/>
  <c r="CK168" i="47"/>
  <c r="GD168" i="47" s="1"/>
  <c r="CL168" i="47"/>
  <c r="BK168" i="47"/>
  <c r="U170" i="47"/>
  <c r="W170" i="47" s="1"/>
  <c r="CM170" i="47"/>
  <c r="CK170" i="47"/>
  <c r="FT170" i="47" s="1"/>
  <c r="BK170" i="47"/>
  <c r="CL170" i="47"/>
  <c r="CM191" i="47"/>
  <c r="U191" i="47"/>
  <c r="W191" i="47" s="1"/>
  <c r="CK191" i="47"/>
  <c r="BK191" i="47"/>
  <c r="CL191" i="47"/>
  <c r="CC191" i="47"/>
  <c r="CF191" i="47" s="1"/>
  <c r="CG191" i="47" s="1"/>
  <c r="FT6" i="47"/>
  <c r="GD6" i="47"/>
  <c r="FL6" i="47" s="1"/>
  <c r="CH127" i="47"/>
  <c r="CI127" i="47"/>
  <c r="CH125" i="47"/>
  <c r="CI125" i="47"/>
  <c r="CC108" i="47"/>
  <c r="CF108" i="47" s="1"/>
  <c r="CG108" i="47" s="1"/>
  <c r="BU108" i="47"/>
  <c r="BT108" i="47"/>
  <c r="CC145" i="47"/>
  <c r="CF145" i="47" s="1"/>
  <c r="CG145" i="47" s="1"/>
  <c r="BU145" i="47"/>
  <c r="BT145" i="47"/>
  <c r="CG84" i="47"/>
  <c r="U90" i="47"/>
  <c r="W90" i="47" s="1"/>
  <c r="CM90" i="47"/>
  <c r="BL90" i="47"/>
  <c r="BK90" i="47"/>
  <c r="CL90" i="47"/>
  <c r="CK90" i="47"/>
  <c r="BZ90" i="47"/>
  <c r="CG104" i="47"/>
  <c r="U112" i="47"/>
  <c r="W112" i="47" s="1"/>
  <c r="CM112" i="47"/>
  <c r="CL112" i="47"/>
  <c r="BL112" i="47"/>
  <c r="BK112" i="47"/>
  <c r="CK112" i="47"/>
  <c r="U114" i="47"/>
  <c r="W114" i="47" s="1"/>
  <c r="CM114" i="47"/>
  <c r="CK114" i="47"/>
  <c r="CL114" i="47"/>
  <c r="BL114" i="47"/>
  <c r="BK114" i="47"/>
  <c r="U116" i="47"/>
  <c r="W116" i="47" s="1"/>
  <c r="CM116" i="47"/>
  <c r="CK116" i="47"/>
  <c r="CL116" i="47"/>
  <c r="BL116" i="47"/>
  <c r="BK116" i="47"/>
  <c r="U12" i="47"/>
  <c r="W12" i="47" s="1"/>
  <c r="CM12" i="47"/>
  <c r="CK12" i="47"/>
  <c r="CL12" i="47"/>
  <c r="BL12" i="47"/>
  <c r="BK12" i="47"/>
  <c r="U14" i="47"/>
  <c r="W14" i="47" s="1"/>
  <c r="CM14" i="47"/>
  <c r="BL14" i="47"/>
  <c r="BK14" i="47"/>
  <c r="CK14" i="47"/>
  <c r="FT14" i="47" s="1"/>
  <c r="CL14" i="47"/>
  <c r="U68" i="47"/>
  <c r="W68" i="47" s="1"/>
  <c r="CM68" i="47"/>
  <c r="BL68" i="47"/>
  <c r="BK68" i="47"/>
  <c r="CK68" i="47"/>
  <c r="CL68" i="47"/>
  <c r="U70" i="47"/>
  <c r="W70" i="47" s="1"/>
  <c r="CM70" i="47"/>
  <c r="CK70" i="47"/>
  <c r="BL70" i="47"/>
  <c r="BK70" i="47"/>
  <c r="CL70" i="47"/>
  <c r="U22" i="47"/>
  <c r="W22" i="47" s="1"/>
  <c r="CM22" i="47"/>
  <c r="CK22" i="47"/>
  <c r="CL22" i="47"/>
  <c r="BL22" i="47"/>
  <c r="BK22" i="47"/>
  <c r="CG134" i="47"/>
  <c r="V136" i="47"/>
  <c r="CC106" i="47"/>
  <c r="CF106" i="47" s="1"/>
  <c r="CG106" i="47" s="1"/>
  <c r="BU106" i="47"/>
  <c r="BT106" i="47"/>
  <c r="U157" i="47"/>
  <c r="W157" i="47" s="1"/>
  <c r="CM157" i="47"/>
  <c r="BL157" i="47"/>
  <c r="BK157" i="47"/>
  <c r="CK157" i="47"/>
  <c r="CL157" i="47"/>
  <c r="CC12" i="47"/>
  <c r="CF12" i="47" s="1"/>
  <c r="CG12" i="47" s="1"/>
  <c r="BU12" i="47"/>
  <c r="BT12" i="47"/>
  <c r="BX77" i="47"/>
  <c r="BY77" i="47" s="1"/>
  <c r="CI77" i="47"/>
  <c r="CH77" i="47"/>
  <c r="CI83" i="47"/>
  <c r="CH83" i="47"/>
  <c r="CI13" i="47"/>
  <c r="CH13" i="47"/>
  <c r="BV65" i="47"/>
  <c r="BX65" i="47" s="1"/>
  <c r="BY65" i="47" s="1"/>
  <c r="CI23" i="47"/>
  <c r="CH23" i="47"/>
  <c r="FR85" i="47"/>
  <c r="FQ85" i="47"/>
  <c r="FP133" i="47" s="1"/>
  <c r="BV135" i="47"/>
  <c r="BX135" i="47" s="1"/>
  <c r="BY135" i="47" s="1"/>
  <c r="BV52" i="47"/>
  <c r="BX52" i="47" s="1"/>
  <c r="BY52" i="47" s="1"/>
  <c r="CI144" i="47"/>
  <c r="CH144" i="47"/>
  <c r="W148" i="47"/>
  <c r="CM53" i="47"/>
  <c r="U53" i="47"/>
  <c r="W53" i="47" s="1"/>
  <c r="BL53" i="47"/>
  <c r="CL53" i="47"/>
  <c r="BK53" i="47"/>
  <c r="CK53" i="47"/>
  <c r="CC53" i="47"/>
  <c r="CF53" i="47" s="1"/>
  <c r="CG53" i="47" s="1"/>
  <c r="CM55" i="47"/>
  <c r="U55" i="47"/>
  <c r="W55" i="47" s="1"/>
  <c r="BL55" i="47"/>
  <c r="CL55" i="47"/>
  <c r="CK55" i="47"/>
  <c r="BK55" i="47"/>
  <c r="CC55" i="47"/>
  <c r="CF55" i="47" s="1"/>
  <c r="CG55" i="47" s="1"/>
  <c r="CH117" i="47"/>
  <c r="CI117" i="47"/>
  <c r="CC119" i="47"/>
  <c r="CF119" i="47" s="1"/>
  <c r="CG119" i="47" s="1"/>
  <c r="BT119" i="47"/>
  <c r="BU119" i="47"/>
  <c r="CI99" i="47"/>
  <c r="CH99" i="47"/>
  <c r="CC31" i="47"/>
  <c r="CF31" i="47" s="1"/>
  <c r="CG31" i="47" s="1"/>
  <c r="BT31" i="47"/>
  <c r="BU31" i="47"/>
  <c r="BX38" i="47"/>
  <c r="BY38" i="47" s="1"/>
  <c r="CI38" i="47"/>
  <c r="CH38" i="47"/>
  <c r="CI159" i="47"/>
  <c r="CH159" i="47"/>
  <c r="BX167" i="47"/>
  <c r="BY167" i="47" s="1"/>
  <c r="CI167" i="47"/>
  <c r="CH167" i="47"/>
  <c r="CI171" i="47"/>
  <c r="CH171" i="47"/>
  <c r="CM200" i="47"/>
  <c r="U200" i="47"/>
  <c r="CL200" i="47"/>
  <c r="CK200" i="47"/>
  <c r="BL200" i="47"/>
  <c r="BK200" i="47"/>
  <c r="V200" i="47"/>
  <c r="BX189" i="47"/>
  <c r="BY189" i="47" s="1"/>
  <c r="BZ2" i="47"/>
  <c r="U96" i="47"/>
  <c r="W96" i="47" s="1"/>
  <c r="CM96" i="47"/>
  <c r="BL96" i="47"/>
  <c r="BK96" i="47"/>
  <c r="CL96" i="47"/>
  <c r="CK96" i="47"/>
  <c r="U100" i="47"/>
  <c r="W100" i="47" s="1"/>
  <c r="CM100" i="47"/>
  <c r="CK100" i="47"/>
  <c r="CL100" i="47"/>
  <c r="BL100" i="47"/>
  <c r="BK100" i="47"/>
  <c r="U102" i="47"/>
  <c r="W102" i="47" s="1"/>
  <c r="CM102" i="47"/>
  <c r="CL102" i="47"/>
  <c r="BK102" i="47"/>
  <c r="CK102" i="47"/>
  <c r="U19" i="47"/>
  <c r="W19" i="47" s="1"/>
  <c r="CM19" i="47"/>
  <c r="BL19" i="47"/>
  <c r="BK19" i="47"/>
  <c r="CK19" i="47"/>
  <c r="CL19" i="47"/>
  <c r="CG75" i="47"/>
  <c r="FW30" i="47"/>
  <c r="CC90" i="47"/>
  <c r="CF90" i="47" s="1"/>
  <c r="CG90" i="47" s="1"/>
  <c r="FT123" i="47"/>
  <c r="GD123" i="47"/>
  <c r="FL54" i="47" s="1"/>
  <c r="BX204" i="47"/>
  <c r="BY204" i="47" s="1"/>
  <c r="BV79" i="47"/>
  <c r="BX79" i="47" s="1"/>
  <c r="BY79" i="47" s="1"/>
  <c r="BV147" i="47"/>
  <c r="CI107" i="47"/>
  <c r="CH107" i="47"/>
  <c r="BX115" i="47"/>
  <c r="BY115" i="47" s="1"/>
  <c r="CH115" i="47"/>
  <c r="CI11" i="47"/>
  <c r="CH11" i="47"/>
  <c r="BV67" i="47"/>
  <c r="BV133" i="47"/>
  <c r="BX133" i="47" s="1"/>
  <c r="BY133" i="47" s="1"/>
  <c r="BX205" i="47"/>
  <c r="BY205" i="47" s="1"/>
  <c r="CI205" i="47"/>
  <c r="CH205" i="47"/>
  <c r="W209" i="47"/>
  <c r="BX138" i="47"/>
  <c r="BY138" i="47" s="1"/>
  <c r="CH138" i="47"/>
  <c r="CI146" i="47"/>
  <c r="CH146" i="47"/>
  <c r="V46" i="47"/>
  <c r="CD46" i="47"/>
  <c r="V92" i="47"/>
  <c r="CD92" i="47"/>
  <c r="V182" i="47"/>
  <c r="CD182" i="47"/>
  <c r="CG182" i="47" s="1"/>
  <c r="CI97" i="47"/>
  <c r="CH97" i="47"/>
  <c r="BV20" i="47"/>
  <c r="BX20" i="47" s="1"/>
  <c r="BY20" i="47" s="1"/>
  <c r="BX32" i="47"/>
  <c r="BY32" i="47" s="1"/>
  <c r="CI40" i="47"/>
  <c r="CH40" i="47"/>
  <c r="BV44" i="47"/>
  <c r="BX44" i="47" s="1"/>
  <c r="CI165" i="47"/>
  <c r="CH196" i="47"/>
  <c r="CI196" i="47"/>
  <c r="BV49" i="47"/>
  <c r="BX49" i="47" s="1"/>
  <c r="BY49" i="47" s="1"/>
  <c r="BV173" i="47"/>
  <c r="BV180" i="47"/>
  <c r="BX180" i="47" s="1"/>
  <c r="BY180" i="47" s="1"/>
  <c r="CC194" i="47"/>
  <c r="CF194" i="47" s="1"/>
  <c r="CG194" i="47" s="1"/>
  <c r="BT194" i="47"/>
  <c r="BU194" i="47"/>
  <c r="BV194" i="47" s="1"/>
  <c r="BV185" i="47"/>
  <c r="BX185" i="47" s="1"/>
  <c r="BY185" i="47" s="1"/>
  <c r="W190" i="47"/>
  <c r="BV199" i="47"/>
  <c r="BX199" i="47" s="1"/>
  <c r="BY199" i="47" s="1"/>
  <c r="W198" i="47"/>
  <c r="BZ200" i="47"/>
  <c r="BZ92" i="47"/>
  <c r="V186" i="47"/>
  <c r="CD186" i="47"/>
  <c r="BZ175" i="47"/>
  <c r="BV193" i="47"/>
  <c r="BX193" i="47" s="1"/>
  <c r="BY193" i="47" s="1"/>
  <c r="V179" i="47"/>
  <c r="CD179" i="47"/>
  <c r="CG179" i="47" s="1"/>
  <c r="CC153" i="47"/>
  <c r="CF153" i="47" s="1"/>
  <c r="CG153" i="47" s="1"/>
  <c r="BV157" i="47"/>
  <c r="BL71" i="47"/>
  <c r="CC78" i="47"/>
  <c r="CF78" i="47" s="1"/>
  <c r="U151" i="47"/>
  <c r="W151" i="47" s="1"/>
  <c r="CM151" i="47"/>
  <c r="CL151" i="47"/>
  <c r="BK151" i="47"/>
  <c r="CK151" i="47"/>
  <c r="CD151" i="47"/>
  <c r="CG151" i="47" s="1"/>
  <c r="V71" i="47"/>
  <c r="CG71" i="47"/>
  <c r="BX76" i="47"/>
  <c r="BY76" i="47" s="1"/>
  <c r="CI76" i="47"/>
  <c r="CH76" i="47"/>
  <c r="BV14" i="47"/>
  <c r="BX14" i="47" s="1"/>
  <c r="U78" i="47"/>
  <c r="W78" i="47" s="1"/>
  <c r="CM78" i="47"/>
  <c r="CL78" i="47"/>
  <c r="CK78" i="47"/>
  <c r="BK78" i="47"/>
  <c r="CD78" i="47"/>
  <c r="V80" i="47"/>
  <c r="V82" i="47"/>
  <c r="BV10" i="47"/>
  <c r="BX10" i="47" s="1"/>
  <c r="BY10" i="47" s="1"/>
  <c r="BV96" i="47"/>
  <c r="CC143" i="47"/>
  <c r="CF143" i="47" s="1"/>
  <c r="CG143" i="47" s="1"/>
  <c r="U204" i="47"/>
  <c r="W204" i="47" s="1"/>
  <c r="CM204" i="47"/>
  <c r="BK204" i="47"/>
  <c r="CL204" i="47"/>
  <c r="CK204" i="47"/>
  <c r="CD204" i="47"/>
  <c r="CG204" i="47" s="1"/>
  <c r="V206" i="47"/>
  <c r="CG206" i="47"/>
  <c r="V208" i="47"/>
  <c r="U210" i="47"/>
  <c r="W210" i="47" s="1"/>
  <c r="CM210" i="47"/>
  <c r="BK210" i="47"/>
  <c r="CL210" i="47"/>
  <c r="CK210" i="47"/>
  <c r="CD210" i="47"/>
  <c r="CG210" i="47" s="1"/>
  <c r="V137" i="47"/>
  <c r="U139" i="47"/>
  <c r="W139" i="47" s="1"/>
  <c r="CM139" i="47"/>
  <c r="CK139" i="47"/>
  <c r="BK139" i="47"/>
  <c r="CL139" i="47"/>
  <c r="CD139" i="47"/>
  <c r="U141" i="47"/>
  <c r="W141" i="47" s="1"/>
  <c r="CM141" i="47"/>
  <c r="CL141" i="47"/>
  <c r="CK141" i="47"/>
  <c r="BK141" i="47"/>
  <c r="CD141" i="47"/>
  <c r="U143" i="47"/>
  <c r="W143" i="47" s="1"/>
  <c r="CM143" i="47"/>
  <c r="CK143" i="47"/>
  <c r="CL143" i="47"/>
  <c r="BK143" i="47"/>
  <c r="V145" i="47"/>
  <c r="V147" i="47"/>
  <c r="CG147" i="47"/>
  <c r="BV66" i="47"/>
  <c r="BX66" i="47" s="1"/>
  <c r="BY66" i="47" s="1"/>
  <c r="V149" i="47"/>
  <c r="CC116" i="47"/>
  <c r="CF116" i="47" s="1"/>
  <c r="CG116" i="47" s="1"/>
  <c r="BV22" i="47"/>
  <c r="CC88" i="47"/>
  <c r="CF88" i="47" s="1"/>
  <c r="CG88" i="47" s="1"/>
  <c r="BV59" i="47"/>
  <c r="BX59" i="47" s="1"/>
  <c r="BY59" i="47" s="1"/>
  <c r="BV28" i="47"/>
  <c r="BX28" i="47" s="1"/>
  <c r="BV91" i="47"/>
  <c r="BX91" i="47" s="1"/>
  <c r="BY91" i="47" s="1"/>
  <c r="BX111" i="47"/>
  <c r="BY111" i="47" s="1"/>
  <c r="CI111" i="47"/>
  <c r="CH111" i="47"/>
  <c r="FW65" i="47"/>
  <c r="BV15" i="47"/>
  <c r="CI63" i="47"/>
  <c r="CH63" i="47"/>
  <c r="BV21" i="47"/>
  <c r="BX21" i="47" s="1"/>
  <c r="BY21" i="47" s="1"/>
  <c r="CI25" i="47"/>
  <c r="CH25" i="47"/>
  <c r="FR89" i="47"/>
  <c r="FQ89" i="47"/>
  <c r="BV209" i="47"/>
  <c r="FX103" i="47"/>
  <c r="FW103" i="47"/>
  <c r="BV142" i="47"/>
  <c r="BX142" i="47" s="1"/>
  <c r="BZ75" i="47"/>
  <c r="BV104" i="47"/>
  <c r="BX104" i="47" s="1"/>
  <c r="BY104" i="47" s="1"/>
  <c r="BX131" i="47"/>
  <c r="BY131" i="47" s="1"/>
  <c r="CI148" i="47"/>
  <c r="CH148" i="47"/>
  <c r="CH118" i="47"/>
  <c r="CI118" i="47"/>
  <c r="BV134" i="47"/>
  <c r="BX134" i="47" s="1"/>
  <c r="BY134" i="47" s="1"/>
  <c r="BZ100" i="47"/>
  <c r="BV82" i="47"/>
  <c r="BX82" i="47" s="1"/>
  <c r="BY82" i="47" s="1"/>
  <c r="CC68" i="47"/>
  <c r="CF68" i="47" s="1"/>
  <c r="CG68" i="47" s="1"/>
  <c r="BV70" i="47"/>
  <c r="BX70" i="47" s="1"/>
  <c r="BY70" i="47" s="1"/>
  <c r="BX41" i="47"/>
  <c r="BY41" i="47" s="1"/>
  <c r="CC41" i="47"/>
  <c r="CF41" i="47" s="1"/>
  <c r="CG41" i="47" s="1"/>
  <c r="BX39" i="47"/>
  <c r="BY39" i="47" s="1"/>
  <c r="CC39" i="47"/>
  <c r="CF39" i="47" s="1"/>
  <c r="CG39" i="47" s="1"/>
  <c r="BV42" i="47"/>
  <c r="CH192" i="47"/>
  <c r="CI192" i="47"/>
  <c r="BZ8" i="47"/>
  <c r="BZ129" i="47"/>
  <c r="BL33" i="47"/>
  <c r="BL162" i="47"/>
  <c r="BV64" i="47"/>
  <c r="BZ132" i="47"/>
  <c r="BV156" i="47"/>
  <c r="BX156" i="47" s="1"/>
  <c r="BY156" i="47" s="1"/>
  <c r="BV84" i="47"/>
  <c r="CC141" i="47"/>
  <c r="CF141" i="47" s="1"/>
  <c r="BX102" i="47"/>
  <c r="BY102" i="47" s="1"/>
  <c r="CC102" i="47"/>
  <c r="CF102" i="47" s="1"/>
  <c r="CG102" i="47" s="1"/>
  <c r="BV154" i="47"/>
  <c r="BX154" i="47" s="1"/>
  <c r="BV112" i="47"/>
  <c r="BX112" i="47" s="1"/>
  <c r="BY112" i="47" s="1"/>
  <c r="CC136" i="47"/>
  <c r="CF136" i="47" s="1"/>
  <c r="CG136" i="47" s="1"/>
  <c r="BV160" i="47"/>
  <c r="BX160" i="47" s="1"/>
  <c r="BX166" i="47"/>
  <c r="BY166" i="47" s="1"/>
  <c r="CC166" i="47"/>
  <c r="CF166" i="47" s="1"/>
  <c r="CG166" i="47" s="1"/>
  <c r="BV18" i="47"/>
  <c r="BX18" i="47" s="1"/>
  <c r="BY18" i="47" s="1"/>
  <c r="BV86" i="47"/>
  <c r="BX86" i="47" s="1"/>
  <c r="BY86" i="47" s="1"/>
  <c r="BX158" i="47"/>
  <c r="BY158" i="47" s="1"/>
  <c r="CC80" i="47"/>
  <c r="CF80" i="47" s="1"/>
  <c r="CG80" i="47" s="1"/>
  <c r="BV206" i="47"/>
  <c r="BV164" i="47"/>
  <c r="BX148" i="47"/>
  <c r="BY148" i="47" s="1"/>
  <c r="BV170" i="47"/>
  <c r="BX170" i="47" s="1"/>
  <c r="FU189" i="47"/>
  <c r="FS189" i="47"/>
  <c r="FV189" i="47"/>
  <c r="BX168" i="47"/>
  <c r="BY168" i="47" s="1"/>
  <c r="CC168" i="47"/>
  <c r="CF168" i="47" s="1"/>
  <c r="CG168" i="47" s="1"/>
  <c r="BV181" i="47"/>
  <c r="BV56" i="47"/>
  <c r="BX56" i="47" s="1"/>
  <c r="BY56" i="47" s="1"/>
  <c r="BL43" i="47"/>
  <c r="BL160" i="47"/>
  <c r="BL168" i="47"/>
  <c r="BV178" i="47"/>
  <c r="BX190" i="47"/>
  <c r="BY190" i="47" s="1"/>
  <c r="BK22" i="49"/>
  <c r="V6" i="49"/>
  <c r="X6" i="49" s="1"/>
  <c r="BK6" i="49"/>
  <c r="BJ6" i="49"/>
  <c r="V8" i="49"/>
  <c r="X8" i="49" s="1"/>
  <c r="BK8" i="49"/>
  <c r="BJ8" i="49"/>
  <c r="V10" i="49"/>
  <c r="X10" i="49" s="1"/>
  <c r="BK10" i="49"/>
  <c r="BJ10" i="49"/>
  <c r="V46" i="49"/>
  <c r="X46" i="49" s="1"/>
  <c r="BK46" i="49"/>
  <c r="BJ46" i="49"/>
  <c r="V48" i="49"/>
  <c r="X48" i="49" s="1"/>
  <c r="BK48" i="49"/>
  <c r="BJ48" i="49"/>
  <c r="BK36" i="49"/>
  <c r="BK28" i="49"/>
  <c r="V20" i="49"/>
  <c r="X20" i="49" s="1"/>
  <c r="BJ20" i="49"/>
  <c r="V34" i="49"/>
  <c r="X34" i="49" s="1"/>
  <c r="BJ34" i="49"/>
  <c r="V38" i="49"/>
  <c r="X38" i="49" s="1"/>
  <c r="BJ38" i="49"/>
  <c r="V50" i="49"/>
  <c r="X50" i="49" s="1"/>
  <c r="BJ50" i="49"/>
  <c r="V2" i="49"/>
  <c r="X2" i="49" s="1"/>
  <c r="BK2" i="49"/>
  <c r="BJ2" i="49"/>
  <c r="V18" i="49"/>
  <c r="X18" i="49" s="1"/>
  <c r="BK18" i="49"/>
  <c r="BJ18" i="49"/>
  <c r="V11" i="49"/>
  <c r="X11" i="49" s="1"/>
  <c r="BJ11" i="49"/>
  <c r="V13" i="49"/>
  <c r="X13" i="49" s="1"/>
  <c r="BK13" i="49"/>
  <c r="BJ13" i="49"/>
  <c r="V15" i="49"/>
  <c r="X15" i="49" s="1"/>
  <c r="BK15" i="49"/>
  <c r="BJ15" i="49"/>
  <c r="V17" i="49"/>
  <c r="X17" i="49" s="1"/>
  <c r="BK17" i="49"/>
  <c r="BJ17" i="49"/>
  <c r="V56" i="49"/>
  <c r="X56" i="49" s="1"/>
  <c r="BK56" i="49"/>
  <c r="BJ56" i="49"/>
  <c r="V58" i="49"/>
  <c r="X58" i="49" s="1"/>
  <c r="BK58" i="49"/>
  <c r="BJ58" i="49"/>
  <c r="V36" i="49"/>
  <c r="X36" i="49" s="1"/>
  <c r="BJ36" i="49"/>
  <c r="V4" i="49"/>
  <c r="X4" i="49" s="1"/>
  <c r="BJ4" i="49"/>
  <c r="BK4" i="49"/>
  <c r="V22" i="49"/>
  <c r="X22" i="49" s="1"/>
  <c r="BJ22" i="49"/>
  <c r="V24" i="49"/>
  <c r="X24" i="49" s="1"/>
  <c r="BK24" i="49"/>
  <c r="BJ24" i="49"/>
  <c r="V26" i="49"/>
  <c r="X26" i="49" s="1"/>
  <c r="BJ26" i="49"/>
  <c r="V28" i="49"/>
  <c r="X28" i="49" s="1"/>
  <c r="BJ28" i="49"/>
  <c r="V30" i="49"/>
  <c r="X30" i="49" s="1"/>
  <c r="BK30" i="49"/>
  <c r="BJ30" i="49"/>
  <c r="V32" i="49"/>
  <c r="X32" i="49" s="1"/>
  <c r="BK32" i="49"/>
  <c r="BJ32" i="49"/>
  <c r="V60" i="49"/>
  <c r="X60" i="49" s="1"/>
  <c r="BK60" i="49"/>
  <c r="BJ60" i="49"/>
  <c r="BL85" i="52"/>
  <c r="BM6" i="52"/>
  <c r="BL5" i="52"/>
  <c r="BL6" i="52"/>
  <c r="BM5" i="52"/>
  <c r="BM123" i="52"/>
  <c r="BM138" i="52"/>
  <c r="BM270" i="52"/>
  <c r="BM274" i="52"/>
  <c r="BM55" i="52"/>
  <c r="BM68" i="52"/>
  <c r="BM14" i="52"/>
  <c r="BM71" i="52"/>
  <c r="BM104" i="52"/>
  <c r="BM48" i="52"/>
  <c r="BM205" i="52"/>
  <c r="BM215" i="52"/>
  <c r="BM245" i="52"/>
  <c r="BM110" i="52"/>
  <c r="BM35" i="52"/>
  <c r="BM39" i="52"/>
  <c r="BM51" i="52"/>
  <c r="BM217" i="52"/>
  <c r="BM69" i="52"/>
  <c r="BM47" i="52"/>
  <c r="BM269" i="52"/>
  <c r="BM41" i="52"/>
  <c r="BM124" i="52"/>
  <c r="BM140" i="52"/>
  <c r="BM54" i="52"/>
  <c r="BM67" i="52"/>
  <c r="BM32" i="52"/>
  <c r="BM36" i="52"/>
  <c r="BM204" i="52"/>
  <c r="BM73" i="52"/>
  <c r="BM254" i="52"/>
  <c r="BM11" i="52"/>
  <c r="BM181" i="52"/>
  <c r="BM185" i="52"/>
  <c r="BM246" i="52"/>
  <c r="BM229" i="52"/>
  <c r="BM22" i="52"/>
  <c r="BM85" i="52"/>
  <c r="BM122" i="52"/>
  <c r="BM182" i="52"/>
  <c r="BM186" i="52"/>
  <c r="BM10" i="52"/>
  <c r="BM13" i="52"/>
  <c r="BM134" i="52"/>
  <c r="BM117" i="52"/>
  <c r="BM136" i="52"/>
  <c r="BM272" i="52"/>
  <c r="BM57" i="52"/>
  <c r="BM72" i="52"/>
  <c r="BM9" i="52"/>
  <c r="BM16" i="52"/>
  <c r="BM58" i="52"/>
  <c r="BM102" i="52"/>
  <c r="BM50" i="52"/>
  <c r="BM243" i="52"/>
  <c r="BM247" i="52"/>
  <c r="BM33" i="52"/>
  <c r="BM37" i="52"/>
  <c r="BM40" i="52"/>
  <c r="BM46" i="52"/>
  <c r="BM52" i="52"/>
  <c r="BM106" i="52"/>
  <c r="BM273" i="52"/>
  <c r="BM53" i="52"/>
  <c r="BM70" i="52"/>
  <c r="BM139" i="52"/>
  <c r="BM49" i="52"/>
  <c r="BM206" i="52"/>
  <c r="BM12" i="52"/>
  <c r="BM17" i="52"/>
  <c r="BM109" i="52"/>
  <c r="BM34" i="52"/>
  <c r="BM38" i="52"/>
  <c r="BM271" i="52"/>
  <c r="BM56" i="52"/>
  <c r="BM183" i="52"/>
  <c r="BM187" i="52"/>
  <c r="BM28" i="52"/>
  <c r="BM244" i="52"/>
  <c r="BM207" i="52"/>
  <c r="BM258" i="52"/>
  <c r="BM103" i="52"/>
  <c r="BM137" i="52"/>
  <c r="BM184" i="52"/>
  <c r="BM188" i="52"/>
  <c r="BM191" i="52"/>
  <c r="BM105" i="52"/>
  <c r="BM130" i="52"/>
  <c r="BL129" i="52"/>
  <c r="BL45" i="52"/>
  <c r="BL53" i="52"/>
  <c r="BL68" i="52"/>
  <c r="BL122" i="52"/>
  <c r="BL137" i="52"/>
  <c r="BL16" i="52"/>
  <c r="BL182" i="52"/>
  <c r="BL184" i="52"/>
  <c r="BL186" i="52"/>
  <c r="BL188" i="52"/>
  <c r="BL28" i="52"/>
  <c r="BL58" i="52"/>
  <c r="BL191" i="52"/>
  <c r="BL244" i="52"/>
  <c r="BL102" i="52"/>
  <c r="BL105" i="52"/>
  <c r="BL109" i="52"/>
  <c r="BL34" i="52"/>
  <c r="BL38" i="52"/>
  <c r="BL22" i="52"/>
  <c r="BL245" i="52"/>
  <c r="BL103" i="52"/>
  <c r="BL110" i="52"/>
  <c r="BL35" i="52"/>
  <c r="BL39" i="52"/>
  <c r="BL47" i="52"/>
  <c r="BL269" i="52"/>
  <c r="BL273" i="52"/>
  <c r="BL56" i="52"/>
  <c r="BL123" i="52"/>
  <c r="BL138" i="52"/>
  <c r="BL41" i="52"/>
  <c r="BL272" i="52"/>
  <c r="BL57" i="52"/>
  <c r="BL254" i="52"/>
  <c r="BL140" i="52"/>
  <c r="BL11" i="52"/>
  <c r="BL49" i="52"/>
  <c r="BL206" i="52"/>
  <c r="BL71" i="52"/>
  <c r="BL12" i="52"/>
  <c r="BL13" i="52"/>
  <c r="BL48" i="52"/>
  <c r="BL205" i="52"/>
  <c r="BL215" i="52"/>
  <c r="BL229" i="52"/>
  <c r="BL130" i="52"/>
  <c r="BL134" i="52"/>
  <c r="BL46" i="52"/>
  <c r="BL69" i="52"/>
  <c r="BL72" i="52"/>
  <c r="BL124" i="52"/>
  <c r="BL139" i="52"/>
  <c r="BL14" i="52"/>
  <c r="BL54" i="52"/>
  <c r="BL246" i="52"/>
  <c r="BL104" i="52"/>
  <c r="BL32" i="52"/>
  <c r="BL36" i="52"/>
  <c r="BL204" i="52"/>
  <c r="BL243" i="52"/>
  <c r="BL247" i="52"/>
  <c r="BL106" i="52"/>
  <c r="BL33" i="52"/>
  <c r="BL37" i="52"/>
  <c r="BL40" i="52"/>
  <c r="BL51" i="52"/>
  <c r="BL271" i="52"/>
  <c r="BL52" i="52"/>
  <c r="BL117" i="52"/>
  <c r="BL136" i="52"/>
  <c r="BL270" i="52"/>
  <c r="BL274" i="52"/>
  <c r="BL55" i="52"/>
  <c r="BL70" i="52"/>
  <c r="BL9" i="52"/>
  <c r="BL181" i="52"/>
  <c r="BL183" i="52"/>
  <c r="BL185" i="52"/>
  <c r="BL187" i="52"/>
  <c r="BL67" i="52"/>
  <c r="BL10" i="52"/>
  <c r="BL17" i="52"/>
  <c r="BL50" i="52"/>
  <c r="BL207" i="52"/>
  <c r="BL258" i="52"/>
  <c r="BL217" i="52"/>
  <c r="BL73" i="52"/>
  <c r="X141" i="52" l="1"/>
  <c r="X149" i="52"/>
  <c r="X195" i="52"/>
  <c r="X281" i="52"/>
  <c r="X152" i="52"/>
  <c r="CI3" i="47"/>
  <c r="CH105" i="47"/>
  <c r="CH152" i="47"/>
  <c r="CH156" i="47"/>
  <c r="FR117" i="47"/>
  <c r="CI27" i="47"/>
  <c r="CH131" i="47"/>
  <c r="CI29" i="47"/>
  <c r="W173" i="47"/>
  <c r="CI87" i="47"/>
  <c r="CG186" i="47"/>
  <c r="BZ116" i="47"/>
  <c r="FV170" i="47"/>
  <c r="FS170" i="47"/>
  <c r="FU170" i="47"/>
  <c r="FV95" i="47"/>
  <c r="FS95" i="47"/>
  <c r="FU95" i="47"/>
  <c r="GD55" i="47"/>
  <c r="FL113" i="47" s="1"/>
  <c r="FT55" i="47"/>
  <c r="FT112" i="47"/>
  <c r="GD112" i="47"/>
  <c r="FL119" i="47" s="1"/>
  <c r="FT59" i="47"/>
  <c r="GD59" i="47"/>
  <c r="FL9" i="47" s="1"/>
  <c r="FU203" i="47"/>
  <c r="FS203" i="47"/>
  <c r="FV203" i="47"/>
  <c r="FT168" i="47"/>
  <c r="GD71" i="47"/>
  <c r="FL65" i="47" s="1"/>
  <c r="FT71" i="47"/>
  <c r="FT73" i="47"/>
  <c r="GD73" i="47"/>
  <c r="FL67" i="47" s="1"/>
  <c r="GD170" i="47"/>
  <c r="FL161" i="47" s="1"/>
  <c r="FV156" i="47"/>
  <c r="FS156" i="47"/>
  <c r="FU156" i="47"/>
  <c r="FT39" i="47"/>
  <c r="GD139" i="47"/>
  <c r="FL99" i="47" s="1"/>
  <c r="FT139" i="47"/>
  <c r="GD137" i="47"/>
  <c r="FL97" i="47" s="1"/>
  <c r="FT137" i="47"/>
  <c r="GD14" i="47"/>
  <c r="FT69" i="47"/>
  <c r="GD69" i="47"/>
  <c r="FV51" i="47"/>
  <c r="FS51" i="47"/>
  <c r="CG46" i="47"/>
  <c r="CH113" i="47"/>
  <c r="CH197" i="47"/>
  <c r="CI173" i="47"/>
  <c r="CG94" i="47"/>
  <c r="CH91" i="47"/>
  <c r="CH158" i="47"/>
  <c r="CI32" i="47"/>
  <c r="W150" i="47"/>
  <c r="BZ19" i="47"/>
  <c r="CH54" i="47"/>
  <c r="CI54" i="47"/>
  <c r="CI187" i="47"/>
  <c r="X224" i="52"/>
  <c r="X61" i="52"/>
  <c r="CI94" i="47"/>
  <c r="CH94" i="47"/>
  <c r="CH51" i="47"/>
  <c r="BZ191" i="47"/>
  <c r="FT126" i="47"/>
  <c r="GD126" i="47"/>
  <c r="FL57" i="47" s="1"/>
  <c r="W39" i="47"/>
  <c r="CG78" i="47"/>
  <c r="CH78" i="47" s="1"/>
  <c r="W166" i="47"/>
  <c r="X219" i="52"/>
  <c r="X153" i="52"/>
  <c r="CI17" i="47"/>
  <c r="W37" i="50"/>
  <c r="BZ204" i="47"/>
  <c r="BZ140" i="47"/>
  <c r="BZ211" i="47"/>
  <c r="W164" i="47"/>
  <c r="W69" i="47"/>
  <c r="W27" i="47"/>
  <c r="CG129" i="47"/>
  <c r="CH89" i="47"/>
  <c r="W138" i="47"/>
  <c r="W95" i="47"/>
  <c r="FT83" i="47"/>
  <c r="GD83" i="47"/>
  <c r="FT135" i="47"/>
  <c r="GD135" i="47"/>
  <c r="FL95" i="47" s="1"/>
  <c r="X218" i="52"/>
  <c r="X148" i="52"/>
  <c r="X154" i="52"/>
  <c r="X133" i="52"/>
  <c r="X220" i="52"/>
  <c r="X101" i="52"/>
  <c r="X231" i="52"/>
  <c r="X226" i="52"/>
  <c r="X222" i="52"/>
  <c r="X268" i="52"/>
  <c r="X156" i="52"/>
  <c r="X230" i="52"/>
  <c r="X275" i="52"/>
  <c r="X233" i="52"/>
  <c r="X63" i="52"/>
  <c r="X200" i="52"/>
  <c r="X194" i="52"/>
  <c r="X265" i="52"/>
  <c r="X151" i="52"/>
  <c r="X129" i="52"/>
  <c r="X45" i="52"/>
  <c r="BY87" i="47"/>
  <c r="BZ87" i="47" s="1"/>
  <c r="BY44" i="47"/>
  <c r="BZ44" i="47" s="1"/>
  <c r="W200" i="47"/>
  <c r="BX209" i="47"/>
  <c r="BY209" i="47" s="1"/>
  <c r="BZ152" i="47"/>
  <c r="W36" i="47"/>
  <c r="FT158" i="47"/>
  <c r="GD158" i="47"/>
  <c r="FL36" i="47" s="1"/>
  <c r="FT63" i="47"/>
  <c r="GD63" i="47"/>
  <c r="FL13" i="47" s="1"/>
  <c r="W80" i="50"/>
  <c r="W53" i="50"/>
  <c r="W25" i="50"/>
  <c r="W65" i="50"/>
  <c r="W2" i="50"/>
  <c r="W97" i="50"/>
  <c r="W90" i="50"/>
  <c r="W70" i="50"/>
  <c r="W52" i="50"/>
  <c r="W75" i="50"/>
  <c r="W45" i="50"/>
  <c r="W105" i="50"/>
  <c r="W16" i="50"/>
  <c r="W12" i="50"/>
  <c r="W73" i="50"/>
  <c r="W82" i="50"/>
  <c r="W93" i="50"/>
  <c r="W56" i="50"/>
  <c r="W34" i="50"/>
  <c r="W11" i="50"/>
  <c r="W57" i="50"/>
  <c r="W30" i="50"/>
  <c r="W96" i="50"/>
  <c r="BY136" i="47"/>
  <c r="BZ136" i="47" s="1"/>
  <c r="BY83" i="47"/>
  <c r="BZ83" i="47" s="1"/>
  <c r="BY107" i="47"/>
  <c r="BZ107" i="47" s="1"/>
  <c r="BX22" i="47"/>
  <c r="BY22" i="47" s="1"/>
  <c r="BZ168" i="47"/>
  <c r="BX164" i="47"/>
  <c r="BY164" i="47" s="1"/>
  <c r="BX15" i="47"/>
  <c r="BY15" i="47" s="1"/>
  <c r="W137" i="47"/>
  <c r="W206" i="47"/>
  <c r="BZ167" i="47"/>
  <c r="FU121" i="47"/>
  <c r="FV121" i="47"/>
  <c r="FS121" i="47"/>
  <c r="BZ127" i="47"/>
  <c r="BZ56" i="47"/>
  <c r="BZ86" i="47"/>
  <c r="BZ141" i="47"/>
  <c r="BX84" i="47"/>
  <c r="BY84" i="47" s="1"/>
  <c r="BZ156" i="47"/>
  <c r="BX42" i="47"/>
  <c r="BY42" i="47" s="1"/>
  <c r="BZ134" i="47"/>
  <c r="CG141" i="47"/>
  <c r="CI141" i="47" s="1"/>
  <c r="CG139" i="47"/>
  <c r="CI139" i="47" s="1"/>
  <c r="BZ20" i="47"/>
  <c r="CG92" i="47"/>
  <c r="CH92" i="47" s="1"/>
  <c r="BX147" i="47"/>
  <c r="BY147" i="47" s="1"/>
  <c r="BZ159" i="47"/>
  <c r="BZ52" i="47"/>
  <c r="BZ65" i="47"/>
  <c r="BZ113" i="47"/>
  <c r="BZ161" i="47"/>
  <c r="BZ207" i="47"/>
  <c r="BZ27" i="47"/>
  <c r="BZ109" i="47"/>
  <c r="BX157" i="47"/>
  <c r="BY157" i="47" s="1"/>
  <c r="W145" i="47"/>
  <c r="W82" i="47"/>
  <c r="BZ138" i="47"/>
  <c r="BZ115" i="47"/>
  <c r="BZ81" i="47"/>
  <c r="BZ150" i="47"/>
  <c r="BZ192" i="47"/>
  <c r="W59" i="47"/>
  <c r="FT128" i="47"/>
  <c r="GD128" i="47"/>
  <c r="W32" i="47"/>
  <c r="FT154" i="47"/>
  <c r="GD154" i="47"/>
  <c r="BY170" i="47"/>
  <c r="BZ170" i="47" s="1"/>
  <c r="CI166" i="47"/>
  <c r="CH166" i="47"/>
  <c r="BY160" i="47"/>
  <c r="BZ160" i="47" s="1"/>
  <c r="CI102" i="47"/>
  <c r="CH102" i="47"/>
  <c r="CI39" i="47"/>
  <c r="CH39" i="47"/>
  <c r="CI41" i="47"/>
  <c r="CH41" i="47"/>
  <c r="BY142" i="47"/>
  <c r="BZ142" i="47" s="1"/>
  <c r="CI204" i="47"/>
  <c r="CH204" i="47"/>
  <c r="BY14" i="47"/>
  <c r="BZ14" i="47" s="1"/>
  <c r="CI151" i="47"/>
  <c r="CH151" i="47"/>
  <c r="CH179" i="47"/>
  <c r="CI179" i="47"/>
  <c r="CH186" i="47"/>
  <c r="CI186" i="47"/>
  <c r="CH194" i="47"/>
  <c r="CI194" i="47"/>
  <c r="CH119" i="47"/>
  <c r="CI119" i="47"/>
  <c r="CI12" i="47"/>
  <c r="CH12" i="47"/>
  <c r="CI106" i="47"/>
  <c r="CH106" i="47"/>
  <c r="CH50" i="47"/>
  <c r="CI50" i="47"/>
  <c r="BY72" i="47"/>
  <c r="BZ72" i="47" s="1"/>
  <c r="CI130" i="47"/>
  <c r="CH130" i="47"/>
  <c r="CI170" i="47"/>
  <c r="CH170" i="47"/>
  <c r="CI160" i="47"/>
  <c r="CH160" i="47"/>
  <c r="CI112" i="47"/>
  <c r="CH112" i="47"/>
  <c r="BY68" i="47"/>
  <c r="BZ68" i="47" s="1"/>
  <c r="CI22" i="47"/>
  <c r="CH22" i="47"/>
  <c r="BY208" i="47"/>
  <c r="BZ208" i="47" s="1"/>
  <c r="CI14" i="47"/>
  <c r="CH14" i="47"/>
  <c r="BY120" i="47"/>
  <c r="BZ120" i="47" s="1"/>
  <c r="BY146" i="47"/>
  <c r="BZ146" i="47" s="1"/>
  <c r="BY11" i="47"/>
  <c r="BZ11" i="47" s="1"/>
  <c r="BY99" i="47"/>
  <c r="BZ99" i="47" s="1"/>
  <c r="CI10" i="47"/>
  <c r="CH10" i="47"/>
  <c r="BY85" i="47"/>
  <c r="BZ85" i="47" s="1"/>
  <c r="CI168" i="47"/>
  <c r="CH168" i="47"/>
  <c r="CI80" i="47"/>
  <c r="CH80" i="47"/>
  <c r="CI136" i="47"/>
  <c r="CH136" i="47"/>
  <c r="BY154" i="47"/>
  <c r="BZ154" i="47" s="1"/>
  <c r="CI68" i="47"/>
  <c r="CH68" i="47"/>
  <c r="BY28" i="47"/>
  <c r="BZ28" i="47" s="1"/>
  <c r="CI88" i="47"/>
  <c r="CH88" i="47"/>
  <c r="CI116" i="47"/>
  <c r="CH116" i="47"/>
  <c r="CH141" i="47"/>
  <c r="CH139" i="47"/>
  <c r="CI210" i="47"/>
  <c r="CH210" i="47"/>
  <c r="CI143" i="47"/>
  <c r="CH143" i="47"/>
  <c r="CI153" i="47"/>
  <c r="CH153" i="47"/>
  <c r="CH182" i="47"/>
  <c r="CI182" i="47"/>
  <c r="CH46" i="47"/>
  <c r="CI46" i="47"/>
  <c r="CI90" i="47"/>
  <c r="CH90" i="47"/>
  <c r="CI31" i="47"/>
  <c r="CH31" i="47"/>
  <c r="CH191" i="47"/>
  <c r="CI191" i="47"/>
  <c r="BY202" i="47"/>
  <c r="BZ202" i="47" s="1"/>
  <c r="CH60" i="47"/>
  <c r="CI60" i="47"/>
  <c r="BY63" i="47"/>
  <c r="BZ63" i="47" s="1"/>
  <c r="BY143" i="47"/>
  <c r="BZ143" i="47" s="1"/>
  <c r="CI96" i="47"/>
  <c r="CH96" i="47"/>
  <c r="BY78" i="47"/>
  <c r="BZ78" i="47" s="1"/>
  <c r="BY165" i="47"/>
  <c r="BZ165" i="47" s="1"/>
  <c r="BY171" i="47"/>
  <c r="BZ171" i="47" s="1"/>
  <c r="CI162" i="47"/>
  <c r="CH162" i="47"/>
  <c r="CI64" i="47"/>
  <c r="CH64" i="47"/>
  <c r="BY174" i="47"/>
  <c r="BZ174" i="47" s="1"/>
  <c r="BY101" i="47"/>
  <c r="BZ101" i="47" s="1"/>
  <c r="CH58" i="47"/>
  <c r="CI58" i="47"/>
  <c r="FT127" i="47"/>
  <c r="GD127" i="47"/>
  <c r="FL58" i="47" s="1"/>
  <c r="FU16" i="47"/>
  <c r="FS16" i="47"/>
  <c r="FV16" i="47"/>
  <c r="BX178" i="47"/>
  <c r="BY178" i="47" s="1"/>
  <c r="FK119" i="47"/>
  <c r="BZ148" i="47"/>
  <c r="BZ158" i="47"/>
  <c r="BZ18" i="47"/>
  <c r="BZ112" i="47"/>
  <c r="BZ102" i="47"/>
  <c r="BZ39" i="47"/>
  <c r="FQ113" i="47"/>
  <c r="FP120" i="47" s="1"/>
  <c r="FR113" i="47"/>
  <c r="BZ41" i="47"/>
  <c r="BZ70" i="47"/>
  <c r="BZ82" i="47"/>
  <c r="BZ104" i="47"/>
  <c r="FY89" i="47"/>
  <c r="FZ89" i="47" s="1"/>
  <c r="BZ91" i="47"/>
  <c r="FT19" i="47"/>
  <c r="GD19" i="47"/>
  <c r="FL149" i="47" s="1"/>
  <c r="W149" i="47"/>
  <c r="FT106" i="47"/>
  <c r="GD106" i="47"/>
  <c r="FL145" i="47" s="1"/>
  <c r="FT98" i="47"/>
  <c r="GD98" i="47"/>
  <c r="CI78" i="47"/>
  <c r="BZ76" i="47"/>
  <c r="FT25" i="47"/>
  <c r="GD25" i="47"/>
  <c r="FL71" i="47" s="1"/>
  <c r="W71" i="47"/>
  <c r="W186" i="47"/>
  <c r="BZ185" i="47"/>
  <c r="FK161" i="47"/>
  <c r="BZ180" i="47"/>
  <c r="BZ49" i="47"/>
  <c r="BZ133" i="47"/>
  <c r="BV16" i="47"/>
  <c r="BX16" i="47" s="1"/>
  <c r="BZ79" i="47"/>
  <c r="CI19" i="47"/>
  <c r="CH19" i="47"/>
  <c r="CI100" i="47"/>
  <c r="CH100" i="47"/>
  <c r="FT138" i="47"/>
  <c r="GD138" i="47"/>
  <c r="FL98" i="47" s="1"/>
  <c r="BZ189" i="47"/>
  <c r="CH175" i="47"/>
  <c r="CI175" i="47"/>
  <c r="BZ135" i="47"/>
  <c r="FY85" i="47"/>
  <c r="FZ85" i="47" s="1"/>
  <c r="FK133" i="47"/>
  <c r="CI157" i="47"/>
  <c r="CH157" i="47"/>
  <c r="W136" i="47"/>
  <c r="FT84" i="47"/>
  <c r="GD84" i="47"/>
  <c r="FL132" i="47" s="1"/>
  <c r="FT82" i="47"/>
  <c r="GD82" i="47"/>
  <c r="FL26" i="47" s="1"/>
  <c r="CI70" i="47"/>
  <c r="CH70" i="47"/>
  <c r="BZ66" i="47"/>
  <c r="FT70" i="47"/>
  <c r="GD70" i="47"/>
  <c r="FL64" i="47" s="1"/>
  <c r="FT66" i="47"/>
  <c r="GD66" i="47"/>
  <c r="FL16" i="47" s="1"/>
  <c r="CI114" i="47"/>
  <c r="CH114" i="47"/>
  <c r="FT46" i="47"/>
  <c r="GD46" i="47"/>
  <c r="FL104" i="47" s="1"/>
  <c r="BZ88" i="47"/>
  <c r="FT42" i="47"/>
  <c r="GD42" i="47"/>
  <c r="FU4" i="47"/>
  <c r="FS4" i="47"/>
  <c r="FV4" i="47"/>
  <c r="FU14" i="47"/>
  <c r="FS14" i="47"/>
  <c r="FV14" i="47"/>
  <c r="CI164" i="47"/>
  <c r="CH164" i="47"/>
  <c r="CI43" i="47"/>
  <c r="CH43" i="47"/>
  <c r="FT159" i="47"/>
  <c r="GD159" i="47"/>
  <c r="FL37" i="47" s="1"/>
  <c r="CI35" i="47"/>
  <c r="CH35" i="47"/>
  <c r="BZ29" i="47"/>
  <c r="CH184" i="47"/>
  <c r="CI184" i="47"/>
  <c r="BX169" i="47"/>
  <c r="BY169" i="47" s="1"/>
  <c r="BZ34" i="47"/>
  <c r="BZ95" i="47"/>
  <c r="BZ203" i="47"/>
  <c r="BZ17" i="47"/>
  <c r="FK9" i="47"/>
  <c r="BZ153" i="47"/>
  <c r="BV26" i="47"/>
  <c r="BX26" i="47" s="1"/>
  <c r="FU13" i="47"/>
  <c r="FS13" i="47"/>
  <c r="FV13" i="47"/>
  <c r="CH93" i="47"/>
  <c r="CI93" i="47"/>
  <c r="BZ149" i="47"/>
  <c r="BZ137" i="47"/>
  <c r="BZ151" i="47"/>
  <c r="FW189" i="47"/>
  <c r="FX189" i="47"/>
  <c r="FK34" i="47"/>
  <c r="FK142" i="47"/>
  <c r="FY103" i="47"/>
  <c r="FZ103" i="47" s="1"/>
  <c r="FK209" i="47"/>
  <c r="FK15" i="47"/>
  <c r="FY65" i="47"/>
  <c r="FZ65" i="47" s="1"/>
  <c r="FK85" i="47"/>
  <c r="CI147" i="47"/>
  <c r="CH147" i="47"/>
  <c r="CI145" i="47"/>
  <c r="CH145" i="47"/>
  <c r="CI137" i="47"/>
  <c r="CH137" i="47"/>
  <c r="CI208" i="47"/>
  <c r="CH208" i="47"/>
  <c r="CI206" i="47"/>
  <c r="CH206" i="47"/>
  <c r="CI82" i="47"/>
  <c r="CH82" i="47"/>
  <c r="CI73" i="47"/>
  <c r="CH73" i="47"/>
  <c r="FY30" i="47"/>
  <c r="FZ30" i="47" s="1"/>
  <c r="FK76" i="47"/>
  <c r="CI155" i="47"/>
  <c r="CH155" i="47"/>
  <c r="CI98" i="47"/>
  <c r="CH98" i="47"/>
  <c r="FT136" i="47"/>
  <c r="GD136" i="47"/>
  <c r="FL96" i="47" s="1"/>
  <c r="FK97" i="47"/>
  <c r="CH55" i="47"/>
  <c r="CI55" i="47"/>
  <c r="CH53" i="47"/>
  <c r="CI53" i="47"/>
  <c r="CI132" i="47"/>
  <c r="CH132" i="47"/>
  <c r="CI24" i="47"/>
  <c r="CH24" i="47"/>
  <c r="CI66" i="47"/>
  <c r="CH66" i="47"/>
  <c r="CI18" i="47"/>
  <c r="CH18" i="47"/>
  <c r="FT62" i="47"/>
  <c r="GD62" i="47"/>
  <c r="FL12" i="47" s="1"/>
  <c r="FT56" i="47"/>
  <c r="GD56" i="47"/>
  <c r="FL114" i="47" s="1"/>
  <c r="CI108" i="47"/>
  <c r="CH108" i="47"/>
  <c r="CI104" i="47"/>
  <c r="CH104" i="47"/>
  <c r="CI84" i="47"/>
  <c r="CH84" i="47"/>
  <c r="BV145" i="47"/>
  <c r="BX145" i="47" s="1"/>
  <c r="BY145" i="47" s="1"/>
  <c r="FU6" i="47"/>
  <c r="FS6" i="47"/>
  <c r="FV6" i="47"/>
  <c r="FT171" i="47"/>
  <c r="GD171" i="47"/>
  <c r="FL162" i="47" s="1"/>
  <c r="CI45" i="47"/>
  <c r="CH45" i="47"/>
  <c r="CI37" i="47"/>
  <c r="CH37" i="47"/>
  <c r="FT157" i="47"/>
  <c r="GD157" i="47"/>
  <c r="FL35" i="47" s="1"/>
  <c r="BZ121" i="47"/>
  <c r="BX181" i="47"/>
  <c r="BY181" i="47" s="1"/>
  <c r="FQ189" i="47"/>
  <c r="FP180" i="47" s="1"/>
  <c r="FR189" i="47"/>
  <c r="BZ23" i="47"/>
  <c r="BX206" i="47"/>
  <c r="BY206" i="47" s="1"/>
  <c r="BZ80" i="47"/>
  <c r="BX64" i="47"/>
  <c r="BY64" i="47" s="1"/>
  <c r="BZ201" i="47"/>
  <c r="BZ25" i="47"/>
  <c r="BZ21" i="47"/>
  <c r="BZ59" i="47"/>
  <c r="CI149" i="47"/>
  <c r="CH149" i="47"/>
  <c r="FT100" i="47"/>
  <c r="GD100" i="47"/>
  <c r="FL139" i="47" s="1"/>
  <c r="CI71" i="47"/>
  <c r="CH71" i="47"/>
  <c r="BX96" i="47"/>
  <c r="BY96" i="47" s="1"/>
  <c r="BZ193" i="47"/>
  <c r="BZ199" i="47"/>
  <c r="BX194" i="47"/>
  <c r="BY194" i="47" s="1"/>
  <c r="BX173" i="47"/>
  <c r="BY173" i="47" s="1"/>
  <c r="CI202" i="47"/>
  <c r="CH202" i="47"/>
  <c r="BZ40" i="47"/>
  <c r="BZ97" i="47"/>
  <c r="BX67" i="47"/>
  <c r="BY67" i="47" s="1"/>
  <c r="FU123" i="47"/>
  <c r="FS123" i="47"/>
  <c r="FV123" i="47"/>
  <c r="CI75" i="47"/>
  <c r="CH75" i="47"/>
  <c r="FT140" i="47"/>
  <c r="GD140" i="47"/>
  <c r="BV31" i="47"/>
  <c r="BX31" i="47" s="1"/>
  <c r="CI28" i="47"/>
  <c r="CH28" i="47"/>
  <c r="BV119" i="47"/>
  <c r="BX119" i="47" s="1"/>
  <c r="BY119" i="47" s="1"/>
  <c r="FT122" i="47"/>
  <c r="GD122" i="47"/>
  <c r="FL53" i="47" s="1"/>
  <c r="BZ144" i="47"/>
  <c r="BZ13" i="47"/>
  <c r="BZ105" i="47"/>
  <c r="BV12" i="47"/>
  <c r="BX12" i="47" s="1"/>
  <c r="BY12" i="47" s="1"/>
  <c r="BV106" i="47"/>
  <c r="CI134" i="47"/>
  <c r="CH134" i="47"/>
  <c r="CI26" i="47"/>
  <c r="CH26" i="47"/>
  <c r="CI16" i="47"/>
  <c r="CH16" i="47"/>
  <c r="CI110" i="47"/>
  <c r="CH110" i="47"/>
  <c r="CI86" i="47"/>
  <c r="CH86" i="47"/>
  <c r="BV108" i="47"/>
  <c r="BX108" i="47" s="1"/>
  <c r="BY108" i="47" s="1"/>
  <c r="CI33" i="47"/>
  <c r="CH33" i="47"/>
  <c r="BZ93" i="47"/>
  <c r="BZ163" i="47"/>
  <c r="BX103" i="47"/>
  <c r="BY103" i="47" s="1"/>
  <c r="FY117" i="47"/>
  <c r="FZ117" i="47" s="1"/>
  <c r="BZ177" i="47"/>
  <c r="FT129" i="47"/>
  <c r="GD129" i="47"/>
  <c r="FL60" i="47" s="1"/>
  <c r="BZ69" i="47"/>
  <c r="FK67" i="47"/>
  <c r="BX9" i="47"/>
  <c r="BY9" i="47" s="1"/>
  <c r="CI9" i="47"/>
  <c r="CH9" i="47"/>
  <c r="BZ74" i="47"/>
  <c r="BZ190" i="47"/>
  <c r="BZ166" i="47"/>
  <c r="FW113" i="47"/>
  <c r="FX113" i="47"/>
  <c r="FK113" i="47" s="1"/>
  <c r="FK194" i="47"/>
  <c r="BZ131" i="47"/>
  <c r="BZ111" i="47"/>
  <c r="FK109" i="47"/>
  <c r="W147" i="47"/>
  <c r="FT94" i="47"/>
  <c r="GD94" i="47"/>
  <c r="FL208" i="47" s="1"/>
  <c r="W208" i="47"/>
  <c r="W80" i="47"/>
  <c r="W179" i="47"/>
  <c r="BZ32" i="47"/>
  <c r="W182" i="47"/>
  <c r="W92" i="47"/>
  <c r="FT115" i="47"/>
  <c r="GD115" i="47"/>
  <c r="FL46" i="47" s="1"/>
  <c r="W46" i="47"/>
  <c r="BZ205" i="47"/>
  <c r="FK65" i="47"/>
  <c r="FT27" i="47"/>
  <c r="GD27" i="47"/>
  <c r="CI200" i="47"/>
  <c r="CH200" i="47"/>
  <c r="BZ38" i="47"/>
  <c r="FT150" i="47"/>
  <c r="GD150" i="47"/>
  <c r="FL28" i="47" s="1"/>
  <c r="BV139" i="47"/>
  <c r="BX139" i="47" s="1"/>
  <c r="BY139" i="47" s="1"/>
  <c r="BZ77" i="47"/>
  <c r="BV162" i="47"/>
  <c r="BX162" i="47" s="1"/>
  <c r="BY162" i="47" s="1"/>
  <c r="FT88" i="47"/>
  <c r="GD88" i="47"/>
  <c r="FT72" i="47"/>
  <c r="GD72" i="47"/>
  <c r="FL66" i="47" s="1"/>
  <c r="BZ10" i="47"/>
  <c r="FT50" i="47"/>
  <c r="GD50" i="47"/>
  <c r="FL108" i="47" s="1"/>
  <c r="FT48" i="47"/>
  <c r="GD48" i="47"/>
  <c r="FL106" i="47" s="1"/>
  <c r="BV114" i="47"/>
  <c r="FT155" i="47"/>
  <c r="GD155" i="47"/>
  <c r="FL33" i="47" s="1"/>
  <c r="FT153" i="47"/>
  <c r="GD153" i="47"/>
  <c r="FL31" i="47" s="1"/>
  <c r="BZ36" i="47"/>
  <c r="FK99" i="47"/>
  <c r="FY107" i="47"/>
  <c r="FZ107" i="47" s="1"/>
  <c r="FK146" i="47"/>
  <c r="FL153" i="47"/>
  <c r="W153" i="47"/>
  <c r="W130" i="47"/>
  <c r="FU11" i="47"/>
  <c r="FS11" i="47"/>
  <c r="FV11" i="47"/>
  <c r="FU2" i="47"/>
  <c r="FS2" i="47"/>
  <c r="FV2" i="47"/>
  <c r="CH174" i="47"/>
  <c r="CI174" i="47"/>
  <c r="BZ210" i="47"/>
  <c r="BZ43" i="47"/>
  <c r="BZ62" i="47"/>
  <c r="FL73" i="47" l="1"/>
  <c r="FL137" i="47"/>
  <c r="FL136" i="47"/>
  <c r="FL59" i="47"/>
  <c r="FL32" i="47"/>
  <c r="FL154" i="47"/>
  <c r="FR51" i="47"/>
  <c r="FQ51" i="47"/>
  <c r="FP109" i="47" s="1"/>
  <c r="FL126" i="47"/>
  <c r="FL48" i="47"/>
  <c r="FQ203" i="47"/>
  <c r="FR203" i="47"/>
  <c r="FU55" i="47"/>
  <c r="FV55" i="47"/>
  <c r="FS55" i="47"/>
  <c r="FX95" i="47"/>
  <c r="FY95" i="47" s="1"/>
  <c r="FZ95" i="47" s="1"/>
  <c r="GB95" i="47" s="1"/>
  <c r="GC95" i="47" s="1"/>
  <c r="FW95" i="47"/>
  <c r="FX51" i="47"/>
  <c r="FY51" i="47" s="1"/>
  <c r="FZ51" i="47" s="1"/>
  <c r="FW51" i="47"/>
  <c r="FL127" i="47"/>
  <c r="FV139" i="47"/>
  <c r="FU139" i="47"/>
  <c r="FS139" i="47"/>
  <c r="FL129" i="47"/>
  <c r="FL159" i="47"/>
  <c r="FL100" i="47"/>
  <c r="FL27" i="47"/>
  <c r="FL63" i="47"/>
  <c r="FU137" i="47"/>
  <c r="FV137" i="47"/>
  <c r="FS137" i="47"/>
  <c r="FR156" i="47"/>
  <c r="FQ156" i="47"/>
  <c r="FP34" i="47" s="1"/>
  <c r="FV73" i="47"/>
  <c r="FS73" i="47"/>
  <c r="FU73" i="47"/>
  <c r="FS168" i="47"/>
  <c r="FU168" i="47"/>
  <c r="FV168" i="47"/>
  <c r="FR170" i="47"/>
  <c r="FQ170" i="47"/>
  <c r="FP161" i="47" s="1"/>
  <c r="FL88" i="47"/>
  <c r="FV69" i="47"/>
  <c r="FS69" i="47"/>
  <c r="FU69" i="47"/>
  <c r="FV39" i="47"/>
  <c r="FS39" i="47"/>
  <c r="FU39" i="47"/>
  <c r="FX156" i="47"/>
  <c r="FY156" i="47" s="1"/>
  <c r="FZ156" i="47" s="1"/>
  <c r="GA156" i="47" s="1"/>
  <c r="FW156" i="47"/>
  <c r="FS71" i="47"/>
  <c r="FU71" i="47"/>
  <c r="FV71" i="47"/>
  <c r="FW203" i="47"/>
  <c r="FX203" i="47"/>
  <c r="FV59" i="47"/>
  <c r="FS59" i="47"/>
  <c r="FU59" i="47"/>
  <c r="FU112" i="47"/>
  <c r="FS112" i="47"/>
  <c r="FV112" i="47"/>
  <c r="FR95" i="47"/>
  <c r="FQ95" i="47"/>
  <c r="FP209" i="47" s="1"/>
  <c r="FX170" i="47"/>
  <c r="FY170" i="47" s="1"/>
  <c r="FZ170" i="47" s="1"/>
  <c r="GB170" i="47" s="1"/>
  <c r="GC170" i="47" s="1"/>
  <c r="FW170" i="47"/>
  <c r="CI92" i="47"/>
  <c r="FU126" i="47"/>
  <c r="FS126" i="47"/>
  <c r="FV126" i="47"/>
  <c r="CH129" i="47"/>
  <c r="CI129" i="47"/>
  <c r="FV135" i="47"/>
  <c r="FU135" i="47"/>
  <c r="FS135" i="47"/>
  <c r="FS83" i="47"/>
  <c r="FV83" i="47"/>
  <c r="FU83" i="47"/>
  <c r="BY31" i="47"/>
  <c r="BZ31" i="47" s="1"/>
  <c r="BZ96" i="47"/>
  <c r="BZ157" i="47"/>
  <c r="BZ15" i="47"/>
  <c r="FV63" i="47"/>
  <c r="FU63" i="47"/>
  <c r="FS63" i="47"/>
  <c r="FS158" i="47"/>
  <c r="FV158" i="47"/>
  <c r="FU158" i="47"/>
  <c r="BZ42" i="47"/>
  <c r="BZ209" i="47"/>
  <c r="BY16" i="47"/>
  <c r="BZ16" i="47" s="1"/>
  <c r="FS128" i="47"/>
  <c r="FU128" i="47"/>
  <c r="FV128" i="47"/>
  <c r="FX121" i="47"/>
  <c r="FW121" i="47"/>
  <c r="BX114" i="47"/>
  <c r="BY114" i="47" s="1"/>
  <c r="BZ169" i="47"/>
  <c r="BZ181" i="47"/>
  <c r="FV154" i="47"/>
  <c r="FU154" i="47"/>
  <c r="FS154" i="47"/>
  <c r="BZ147" i="47"/>
  <c r="FR121" i="47"/>
  <c r="FQ121" i="47"/>
  <c r="FP52" i="47" s="1"/>
  <c r="BZ22" i="47"/>
  <c r="BZ84" i="47"/>
  <c r="BZ164" i="47"/>
  <c r="BY26" i="47"/>
  <c r="BZ26" i="47" s="1"/>
  <c r="FQ2" i="47"/>
  <c r="FP2" i="47" s="1"/>
  <c r="FR2" i="47"/>
  <c r="FW11" i="47"/>
  <c r="FX11" i="47"/>
  <c r="FV153" i="47"/>
  <c r="FU153" i="47"/>
  <c r="FS153" i="47"/>
  <c r="FV155" i="47"/>
  <c r="FU155" i="47"/>
  <c r="FS155" i="47"/>
  <c r="FV48" i="47"/>
  <c r="FU48" i="47"/>
  <c r="FS48" i="47"/>
  <c r="FV50" i="47"/>
  <c r="FU50" i="47"/>
  <c r="FS50" i="47"/>
  <c r="FV150" i="47"/>
  <c r="FU150" i="47"/>
  <c r="FS150" i="47"/>
  <c r="FU115" i="47"/>
  <c r="FS115" i="47"/>
  <c r="FV115" i="47"/>
  <c r="FV94" i="47"/>
  <c r="FU94" i="47"/>
  <c r="FS94" i="47"/>
  <c r="FY113" i="47"/>
  <c r="FZ113" i="47" s="1"/>
  <c r="FK120" i="47"/>
  <c r="GA117" i="47"/>
  <c r="GB117" i="47"/>
  <c r="GC117" i="47" s="1"/>
  <c r="FV140" i="47"/>
  <c r="FU140" i="47"/>
  <c r="FS140" i="47"/>
  <c r="FQ123" i="47"/>
  <c r="FP54" i="47" s="1"/>
  <c r="FR123" i="47"/>
  <c r="FV157" i="47"/>
  <c r="FU157" i="47"/>
  <c r="FS157" i="47"/>
  <c r="FV171" i="47"/>
  <c r="FU171" i="47"/>
  <c r="FS171" i="47"/>
  <c r="FQ6" i="47"/>
  <c r="FP6" i="47" s="1"/>
  <c r="FR6" i="47"/>
  <c r="BZ108" i="47"/>
  <c r="FV56" i="47"/>
  <c r="FU56" i="47"/>
  <c r="FS56" i="47"/>
  <c r="FV62" i="47"/>
  <c r="FU62" i="47"/>
  <c r="FS62" i="47"/>
  <c r="BZ12" i="47"/>
  <c r="FV136" i="47"/>
  <c r="FU136" i="47"/>
  <c r="FS136" i="47"/>
  <c r="GB30" i="47"/>
  <c r="GC30" i="47" s="1"/>
  <c r="GA30" i="47"/>
  <c r="GB65" i="47"/>
  <c r="GC65" i="47" s="1"/>
  <c r="GA65" i="47"/>
  <c r="GB103" i="47"/>
  <c r="GC103" i="47" s="1"/>
  <c r="GA103" i="47"/>
  <c r="GB156" i="47"/>
  <c r="GC156" i="47" s="1"/>
  <c r="FY189" i="47"/>
  <c r="FZ189" i="47" s="1"/>
  <c r="FK180" i="47"/>
  <c r="FQ13" i="47"/>
  <c r="FR13" i="47"/>
  <c r="FV159" i="47"/>
  <c r="FU159" i="47"/>
  <c r="FS159" i="47"/>
  <c r="FQ14" i="47"/>
  <c r="FR14" i="47"/>
  <c r="FW4" i="47"/>
  <c r="FX4" i="47"/>
  <c r="FV46" i="47"/>
  <c r="FU46" i="47"/>
  <c r="FS46" i="47"/>
  <c r="FV66" i="47"/>
  <c r="FU66" i="47"/>
  <c r="FS66" i="47"/>
  <c r="FV70" i="47"/>
  <c r="FU70" i="47"/>
  <c r="FS70" i="47"/>
  <c r="BZ139" i="47"/>
  <c r="GB85" i="47"/>
  <c r="GC85" i="47" s="1"/>
  <c r="GA85" i="47"/>
  <c r="FV25" i="47"/>
  <c r="FU25" i="47"/>
  <c r="FS25" i="47"/>
  <c r="FW16" i="47"/>
  <c r="FX16" i="47"/>
  <c r="BZ64" i="47"/>
  <c r="BZ67" i="47"/>
  <c r="FW2" i="47"/>
  <c r="FX2" i="47"/>
  <c r="FQ11" i="47"/>
  <c r="FP124" i="47" s="1"/>
  <c r="FR11" i="47"/>
  <c r="GB107" i="47"/>
  <c r="GC107" i="47" s="1"/>
  <c r="GA107" i="47"/>
  <c r="FV72" i="47"/>
  <c r="FU72" i="47"/>
  <c r="FS72" i="47"/>
  <c r="FV88" i="47"/>
  <c r="FU88" i="47"/>
  <c r="FS88" i="47"/>
  <c r="BZ162" i="47"/>
  <c r="FV27" i="47"/>
  <c r="FU27" i="47"/>
  <c r="FS27" i="47"/>
  <c r="GB51" i="47"/>
  <c r="GC51" i="47" s="1"/>
  <c r="GA51" i="47"/>
  <c r="FU129" i="47"/>
  <c r="FS129" i="47"/>
  <c r="FV129" i="47"/>
  <c r="BZ145" i="47"/>
  <c r="BX106" i="47"/>
  <c r="BY106" i="47" s="1"/>
  <c r="FU122" i="47"/>
  <c r="FS122" i="47"/>
  <c r="FV122" i="47"/>
  <c r="BZ119" i="47"/>
  <c r="FW123" i="47"/>
  <c r="FX123" i="47"/>
  <c r="FV100" i="47"/>
  <c r="FU100" i="47"/>
  <c r="FS100" i="47"/>
  <c r="FW6" i="47"/>
  <c r="FX6" i="47"/>
  <c r="BZ194" i="47"/>
  <c r="FW13" i="47"/>
  <c r="FX13" i="47"/>
  <c r="FW14" i="47"/>
  <c r="FX14" i="47"/>
  <c r="FQ4" i="47"/>
  <c r="FP4" i="47" s="1"/>
  <c r="FR4" i="47"/>
  <c r="FV42" i="47"/>
  <c r="FU42" i="47"/>
  <c r="FS42" i="47"/>
  <c r="FV82" i="47"/>
  <c r="FU82" i="47"/>
  <c r="FS82" i="47"/>
  <c r="FV84" i="47"/>
  <c r="FU84" i="47"/>
  <c r="FS84" i="47"/>
  <c r="FV138" i="47"/>
  <c r="FU138" i="47"/>
  <c r="FS138" i="47"/>
  <c r="GA170" i="47"/>
  <c r="FV98" i="47"/>
  <c r="FU98" i="47"/>
  <c r="FS98" i="47"/>
  <c r="FV106" i="47"/>
  <c r="FU106" i="47"/>
  <c r="FS106" i="47"/>
  <c r="FV19" i="47"/>
  <c r="FU19" i="47"/>
  <c r="FS19" i="47"/>
  <c r="GB89" i="47"/>
  <c r="GC89" i="47" s="1"/>
  <c r="GA89" i="47"/>
  <c r="FQ16" i="47"/>
  <c r="FR16" i="47"/>
  <c r="BZ9" i="47"/>
  <c r="FU127" i="47"/>
  <c r="FS127" i="47"/>
  <c r="FV127" i="47"/>
  <c r="BZ173" i="47"/>
  <c r="BZ103" i="47"/>
  <c r="BZ206" i="47"/>
  <c r="BZ178" i="47"/>
  <c r="GA95" i="47" l="1"/>
  <c r="FQ112" i="47"/>
  <c r="FP119" i="47" s="1"/>
  <c r="FR112" i="47"/>
  <c r="FW59" i="47"/>
  <c r="FX59" i="47"/>
  <c r="FY59" i="47" s="1"/>
  <c r="FZ59" i="47" s="1"/>
  <c r="FR69" i="47"/>
  <c r="FQ69" i="47"/>
  <c r="FY203" i="47"/>
  <c r="FZ203" i="47" s="1"/>
  <c r="FK203" i="47"/>
  <c r="FR71" i="47"/>
  <c r="FQ71" i="47"/>
  <c r="FP65" i="47" s="1"/>
  <c r="FQ39" i="47"/>
  <c r="FP85" i="47" s="1"/>
  <c r="FR39" i="47"/>
  <c r="FW69" i="47"/>
  <c r="FX69" i="47"/>
  <c r="FY69" i="47" s="1"/>
  <c r="FZ69" i="47" s="1"/>
  <c r="FW168" i="47"/>
  <c r="FX168" i="47"/>
  <c r="FY168" i="47" s="1"/>
  <c r="FZ168" i="47" s="1"/>
  <c r="FR73" i="47"/>
  <c r="FQ73" i="47"/>
  <c r="FP67" i="47" s="1"/>
  <c r="FR137" i="47"/>
  <c r="FQ137" i="47"/>
  <c r="FP97" i="47" s="1"/>
  <c r="FR139" i="47"/>
  <c r="FQ139" i="47"/>
  <c r="FP99" i="47" s="1"/>
  <c r="FQ55" i="47"/>
  <c r="FP113" i="47" s="1"/>
  <c r="FR55" i="47"/>
  <c r="FP194" i="47"/>
  <c r="FP203" i="47"/>
  <c r="FX39" i="47"/>
  <c r="FY39" i="47" s="1"/>
  <c r="FZ39" i="47" s="1"/>
  <c r="FW39" i="47"/>
  <c r="FX73" i="47"/>
  <c r="FY73" i="47" s="1"/>
  <c r="FZ73" i="47" s="1"/>
  <c r="FW73" i="47"/>
  <c r="FW137" i="47"/>
  <c r="FX137" i="47"/>
  <c r="FY137" i="47" s="1"/>
  <c r="FZ137" i="47" s="1"/>
  <c r="FW55" i="47"/>
  <c r="FX55" i="47"/>
  <c r="FY55" i="47" s="1"/>
  <c r="FZ55" i="47" s="1"/>
  <c r="FX112" i="47"/>
  <c r="FY112" i="47" s="1"/>
  <c r="FZ112" i="47" s="1"/>
  <c r="FW112" i="47"/>
  <c r="FR59" i="47"/>
  <c r="FQ59" i="47"/>
  <c r="FP9" i="47" s="1"/>
  <c r="FX71" i="47"/>
  <c r="FY71" i="47" s="1"/>
  <c r="FZ71" i="47" s="1"/>
  <c r="FW71" i="47"/>
  <c r="FR168" i="47"/>
  <c r="FQ168" i="47"/>
  <c r="FX139" i="47"/>
  <c r="FY139" i="47" s="1"/>
  <c r="FZ139" i="47" s="1"/>
  <c r="FW139" i="47"/>
  <c r="FW126" i="47"/>
  <c r="FX126" i="47"/>
  <c r="FK126" i="47" s="1"/>
  <c r="FQ126" i="47"/>
  <c r="FP57" i="47" s="1"/>
  <c r="FR126" i="47"/>
  <c r="FR83" i="47"/>
  <c r="FQ83" i="47"/>
  <c r="FX83" i="47"/>
  <c r="FW83" i="47"/>
  <c r="FR135" i="47"/>
  <c r="FQ135" i="47"/>
  <c r="FP95" i="47" s="1"/>
  <c r="FW135" i="47"/>
  <c r="FX135" i="47"/>
  <c r="FX158" i="47"/>
  <c r="FW158" i="47"/>
  <c r="FR63" i="47"/>
  <c r="FQ63" i="47"/>
  <c r="FP13" i="47" s="1"/>
  <c r="FX63" i="47"/>
  <c r="FK63" i="47" s="1"/>
  <c r="FW63" i="47"/>
  <c r="FR158" i="47"/>
  <c r="FQ158" i="47"/>
  <c r="FP36" i="47" s="1"/>
  <c r="FR154" i="47"/>
  <c r="FQ154" i="47"/>
  <c r="FX154" i="47"/>
  <c r="FK154" i="47" s="1"/>
  <c r="FW154" i="47"/>
  <c r="FW128" i="47"/>
  <c r="FX128" i="47"/>
  <c r="FQ128" i="47"/>
  <c r="FP59" i="47" s="1"/>
  <c r="FR128" i="47"/>
  <c r="FK52" i="47"/>
  <c r="FY121" i="47"/>
  <c r="FZ121" i="47" s="1"/>
  <c r="BZ114" i="47"/>
  <c r="FW127" i="47"/>
  <c r="FX127" i="47"/>
  <c r="FR19" i="47"/>
  <c r="FQ19" i="47"/>
  <c r="FP149" i="47" s="1"/>
  <c r="FX19" i="47"/>
  <c r="FW19" i="47"/>
  <c r="FR98" i="47"/>
  <c r="FQ98" i="47"/>
  <c r="FP137" i="47" s="1"/>
  <c r="FX98" i="47"/>
  <c r="FW98" i="47"/>
  <c r="FR84" i="47"/>
  <c r="FQ84" i="47"/>
  <c r="FP132" i="47" s="1"/>
  <c r="FX84" i="47"/>
  <c r="FW84" i="47"/>
  <c r="FR42" i="47"/>
  <c r="FQ42" i="47"/>
  <c r="FP88" i="47" s="1"/>
  <c r="FX42" i="47"/>
  <c r="FW42" i="47"/>
  <c r="FY6" i="47"/>
  <c r="FZ6" i="47" s="1"/>
  <c r="FK6" i="47"/>
  <c r="FR100" i="47"/>
  <c r="FQ100" i="47"/>
  <c r="FP139" i="47" s="1"/>
  <c r="FX100" i="47"/>
  <c r="FW100" i="47"/>
  <c r="FW122" i="47"/>
  <c r="FX122" i="47"/>
  <c r="FQ129" i="47"/>
  <c r="FP60" i="47" s="1"/>
  <c r="FR129" i="47"/>
  <c r="FR27" i="47"/>
  <c r="FQ27" i="47"/>
  <c r="FP73" i="47" s="1"/>
  <c r="FX27" i="47"/>
  <c r="FW27" i="47"/>
  <c r="FR88" i="47"/>
  <c r="FQ88" i="47"/>
  <c r="FX88" i="47"/>
  <c r="FW88" i="47"/>
  <c r="FY16" i="47"/>
  <c r="FZ16" i="47" s="1"/>
  <c r="FR25" i="47"/>
  <c r="FQ25" i="47"/>
  <c r="FP71" i="47" s="1"/>
  <c r="FX25" i="47"/>
  <c r="FW25" i="47"/>
  <c r="FR70" i="47"/>
  <c r="FQ70" i="47"/>
  <c r="FP64" i="47" s="1"/>
  <c r="FX70" i="47"/>
  <c r="FW70" i="47"/>
  <c r="FR46" i="47"/>
  <c r="FQ46" i="47"/>
  <c r="FP104" i="47" s="1"/>
  <c r="FX46" i="47"/>
  <c r="FW46" i="47"/>
  <c r="FR136" i="47"/>
  <c r="FQ136" i="47"/>
  <c r="FP96" i="47" s="1"/>
  <c r="FX136" i="47"/>
  <c r="FW136" i="47"/>
  <c r="FR62" i="47"/>
  <c r="FQ62" i="47"/>
  <c r="FP12" i="47" s="1"/>
  <c r="FX62" i="47"/>
  <c r="FW62" i="47"/>
  <c r="FR157" i="47"/>
  <c r="FQ157" i="47"/>
  <c r="FP35" i="47" s="1"/>
  <c r="FX157" i="47"/>
  <c r="FW157" i="47"/>
  <c r="FR94" i="47"/>
  <c r="FQ94" i="47"/>
  <c r="FP208" i="47" s="1"/>
  <c r="FX94" i="47"/>
  <c r="FW94" i="47"/>
  <c r="FQ115" i="47"/>
  <c r="FR115" i="47"/>
  <c r="FR150" i="47"/>
  <c r="FQ150" i="47"/>
  <c r="FP28" i="47" s="1"/>
  <c r="FX150" i="47"/>
  <c r="FW150" i="47"/>
  <c r="FR48" i="47"/>
  <c r="FQ48" i="47"/>
  <c r="FX48" i="47"/>
  <c r="FK48" i="47" s="1"/>
  <c r="FW48" i="47"/>
  <c r="FR153" i="47"/>
  <c r="FQ153" i="47"/>
  <c r="FP31" i="47" s="1"/>
  <c r="FX153" i="47"/>
  <c r="FW153" i="47"/>
  <c r="FQ127" i="47"/>
  <c r="FP58" i="47" s="1"/>
  <c r="FR127" i="47"/>
  <c r="FR106" i="47"/>
  <c r="FQ106" i="47"/>
  <c r="FP145" i="47" s="1"/>
  <c r="FX106" i="47"/>
  <c r="FW106" i="47"/>
  <c r="FR138" i="47"/>
  <c r="FQ138" i="47"/>
  <c r="FX138" i="47"/>
  <c r="FW138" i="47"/>
  <c r="FR82" i="47"/>
  <c r="FQ82" i="47"/>
  <c r="FP26" i="47" s="1"/>
  <c r="FX82" i="47"/>
  <c r="FW82" i="47"/>
  <c r="FY14" i="47"/>
  <c r="FZ14" i="47" s="1"/>
  <c r="FK127" i="47"/>
  <c r="FY13" i="47"/>
  <c r="FZ13" i="47" s="1"/>
  <c r="FY123" i="47"/>
  <c r="FZ123" i="47" s="1"/>
  <c r="FK54" i="47"/>
  <c r="FQ122" i="47"/>
  <c r="FP53" i="47" s="1"/>
  <c r="FR122" i="47"/>
  <c r="FW129" i="47"/>
  <c r="FX129" i="47"/>
  <c r="FK129" i="47" s="1"/>
  <c r="FR72" i="47"/>
  <c r="FQ72" i="47"/>
  <c r="FX72" i="47"/>
  <c r="FW72" i="47"/>
  <c r="FY2" i="47"/>
  <c r="FZ2" i="47" s="1"/>
  <c r="FK2" i="47"/>
  <c r="FR66" i="47"/>
  <c r="FQ66" i="47"/>
  <c r="FP16" i="47" s="1"/>
  <c r="FX66" i="47"/>
  <c r="FW66" i="47"/>
  <c r="FY4" i="47"/>
  <c r="FZ4" i="47" s="1"/>
  <c r="FK4" i="47"/>
  <c r="FR159" i="47"/>
  <c r="FQ159" i="47"/>
  <c r="FP37" i="47" s="1"/>
  <c r="FX159" i="47"/>
  <c r="FK159" i="47" s="1"/>
  <c r="FW159" i="47"/>
  <c r="GA189" i="47"/>
  <c r="GB189" i="47"/>
  <c r="GC189" i="47" s="1"/>
  <c r="FR56" i="47"/>
  <c r="FQ56" i="47"/>
  <c r="FP114" i="47" s="1"/>
  <c r="FX56" i="47"/>
  <c r="FW56" i="47"/>
  <c r="FR171" i="47"/>
  <c r="FQ171" i="47"/>
  <c r="FP162" i="47" s="1"/>
  <c r="FX171" i="47"/>
  <c r="FW171" i="47"/>
  <c r="FR140" i="47"/>
  <c r="FQ140" i="47"/>
  <c r="FP100" i="47" s="1"/>
  <c r="FX140" i="47"/>
  <c r="FW140" i="47"/>
  <c r="GA113" i="47"/>
  <c r="GB113" i="47"/>
  <c r="GC113" i="47" s="1"/>
  <c r="FW115" i="47"/>
  <c r="FX115" i="47"/>
  <c r="FR50" i="47"/>
  <c r="FQ50" i="47"/>
  <c r="FP108" i="47" s="1"/>
  <c r="FX50" i="47"/>
  <c r="FW50" i="47"/>
  <c r="FR155" i="47"/>
  <c r="FQ155" i="47"/>
  <c r="FP33" i="47" s="1"/>
  <c r="FX155" i="47"/>
  <c r="FW155" i="47"/>
  <c r="FY11" i="47"/>
  <c r="FZ11" i="47" s="1"/>
  <c r="FK124" i="47"/>
  <c r="BZ106" i="47"/>
  <c r="FP98" i="47" l="1"/>
  <c r="FP27" i="47"/>
  <c r="FP159" i="47"/>
  <c r="FP63" i="47"/>
  <c r="GA139" i="47"/>
  <c r="GB139" i="47"/>
  <c r="GC139" i="47" s="1"/>
  <c r="GB55" i="47"/>
  <c r="GC55" i="47" s="1"/>
  <c r="GA55" i="47"/>
  <c r="FP66" i="47"/>
  <c r="FP106" i="47"/>
  <c r="FP48" i="47"/>
  <c r="FP153" i="47"/>
  <c r="FP136" i="47"/>
  <c r="GB73" i="47"/>
  <c r="GC73" i="47" s="1"/>
  <c r="GA73" i="47"/>
  <c r="GB69" i="47"/>
  <c r="GC69" i="47" s="1"/>
  <c r="GA69" i="47"/>
  <c r="FP127" i="47"/>
  <c r="GB59" i="47"/>
  <c r="GC59" i="47" s="1"/>
  <c r="GA59" i="47"/>
  <c r="FP46" i="47"/>
  <c r="FP32" i="47"/>
  <c r="FP154" i="47"/>
  <c r="GA203" i="47"/>
  <c r="GB203" i="47"/>
  <c r="GC203" i="47" s="1"/>
  <c r="GB137" i="47"/>
  <c r="GC137" i="47" s="1"/>
  <c r="GA137" i="47"/>
  <c r="FP129" i="47"/>
  <c r="GB71" i="47"/>
  <c r="GC71" i="47" s="1"/>
  <c r="GA71" i="47"/>
  <c r="GB112" i="47"/>
  <c r="GC112" i="47" s="1"/>
  <c r="GA112" i="47"/>
  <c r="GB168" i="47"/>
  <c r="GC168" i="47" s="1"/>
  <c r="GA168" i="47"/>
  <c r="GB39" i="47"/>
  <c r="GC39" i="47" s="1"/>
  <c r="GA39" i="47"/>
  <c r="FP126" i="47"/>
  <c r="FY126" i="47"/>
  <c r="FZ126" i="47" s="1"/>
  <c r="FK57" i="47"/>
  <c r="FY135" i="47"/>
  <c r="FZ135" i="47" s="1"/>
  <c r="FK95" i="47"/>
  <c r="FK27" i="47"/>
  <c r="FY83" i="47"/>
  <c r="FZ83" i="47" s="1"/>
  <c r="FK13" i="47"/>
  <c r="FY63" i="47"/>
  <c r="FZ63" i="47" s="1"/>
  <c r="FY158" i="47"/>
  <c r="FZ158" i="47" s="1"/>
  <c r="FK36" i="47"/>
  <c r="GA121" i="47"/>
  <c r="GB121" i="47"/>
  <c r="GC121" i="47" s="1"/>
  <c r="FY128" i="47"/>
  <c r="FZ128" i="47" s="1"/>
  <c r="FK59" i="47"/>
  <c r="FY154" i="47"/>
  <c r="FZ154" i="47" s="1"/>
  <c r="FK32" i="47"/>
  <c r="FY115" i="47"/>
  <c r="FZ115" i="47" s="1"/>
  <c r="FK46" i="47"/>
  <c r="FY129" i="47"/>
  <c r="FZ129" i="47" s="1"/>
  <c r="FK60" i="47"/>
  <c r="FY122" i="47"/>
  <c r="FZ122" i="47" s="1"/>
  <c r="FK53" i="47"/>
  <c r="FY127" i="47"/>
  <c r="FZ127" i="47" s="1"/>
  <c r="FK58" i="47"/>
  <c r="GA11" i="47"/>
  <c r="GB11" i="47"/>
  <c r="GC11" i="47" s="1"/>
  <c r="FY155" i="47"/>
  <c r="FZ155" i="47" s="1"/>
  <c r="FK33" i="47"/>
  <c r="FY50" i="47"/>
  <c r="FZ50" i="47" s="1"/>
  <c r="FK108" i="47"/>
  <c r="FY140" i="47"/>
  <c r="FZ140" i="47" s="1"/>
  <c r="FK100" i="47"/>
  <c r="FY171" i="47"/>
  <c r="FZ171" i="47" s="1"/>
  <c r="FK162" i="47"/>
  <c r="FY56" i="47"/>
  <c r="FZ56" i="47" s="1"/>
  <c r="FK114" i="47"/>
  <c r="FY159" i="47"/>
  <c r="FZ159" i="47" s="1"/>
  <c r="FK37" i="47"/>
  <c r="GA4" i="47"/>
  <c r="GB4" i="47"/>
  <c r="GC4" i="47" s="1"/>
  <c r="FY66" i="47"/>
  <c r="FZ66" i="47" s="1"/>
  <c r="FK16" i="47"/>
  <c r="GA2" i="47"/>
  <c r="GB2" i="47"/>
  <c r="GC2" i="47" s="1"/>
  <c r="FY72" i="47"/>
  <c r="FZ72" i="47" s="1"/>
  <c r="FK66" i="47"/>
  <c r="GA123" i="47"/>
  <c r="GB123" i="47"/>
  <c r="GC123" i="47" s="1"/>
  <c r="GA13" i="47"/>
  <c r="GB13" i="47"/>
  <c r="GC13" i="47" s="1"/>
  <c r="GA14" i="47"/>
  <c r="GB14" i="47"/>
  <c r="GC14" i="47" s="1"/>
  <c r="FY82" i="47"/>
  <c r="FZ82" i="47" s="1"/>
  <c r="FK26" i="47"/>
  <c r="FY138" i="47"/>
  <c r="FZ138" i="47" s="1"/>
  <c r="FK98" i="47"/>
  <c r="FY106" i="47"/>
  <c r="FZ106" i="47" s="1"/>
  <c r="FK145" i="47"/>
  <c r="FY153" i="47"/>
  <c r="FZ153" i="47" s="1"/>
  <c r="FK31" i="47"/>
  <c r="FY48" i="47"/>
  <c r="FZ48" i="47" s="1"/>
  <c r="FK106" i="47"/>
  <c r="FY150" i="47"/>
  <c r="FZ150" i="47" s="1"/>
  <c r="FK28" i="47"/>
  <c r="FY94" i="47"/>
  <c r="FZ94" i="47" s="1"/>
  <c r="FK208" i="47"/>
  <c r="FY157" i="47"/>
  <c r="FZ157" i="47" s="1"/>
  <c r="FK35" i="47"/>
  <c r="FY62" i="47"/>
  <c r="FZ62" i="47" s="1"/>
  <c r="FK12" i="47"/>
  <c r="FY136" i="47"/>
  <c r="FZ136" i="47" s="1"/>
  <c r="FK96" i="47"/>
  <c r="FY46" i="47"/>
  <c r="FZ46" i="47" s="1"/>
  <c r="FK104" i="47"/>
  <c r="FY70" i="47"/>
  <c r="FZ70" i="47" s="1"/>
  <c r="FK64" i="47"/>
  <c r="FY25" i="47"/>
  <c r="FZ25" i="47" s="1"/>
  <c r="FK71" i="47"/>
  <c r="GA16" i="47"/>
  <c r="GB16" i="47"/>
  <c r="GC16" i="47" s="1"/>
  <c r="FK153" i="47"/>
  <c r="FY88" i="47"/>
  <c r="FZ88" i="47" s="1"/>
  <c r="FK136" i="47"/>
  <c r="FY27" i="47"/>
  <c r="FZ27" i="47" s="1"/>
  <c r="FK73" i="47"/>
  <c r="FY100" i="47"/>
  <c r="FZ100" i="47" s="1"/>
  <c r="FK139" i="47"/>
  <c r="GA6" i="47"/>
  <c r="GB6" i="47"/>
  <c r="GC6" i="47" s="1"/>
  <c r="FY42" i="47"/>
  <c r="FZ42" i="47" s="1"/>
  <c r="FK88" i="47"/>
  <c r="FY84" i="47"/>
  <c r="FZ84" i="47" s="1"/>
  <c r="FK132" i="47"/>
  <c r="FY98" i="47"/>
  <c r="FZ98" i="47" s="1"/>
  <c r="FK137" i="47"/>
  <c r="FY19" i="47"/>
  <c r="FZ19" i="47" s="1"/>
  <c r="FK149" i="47"/>
  <c r="GA126" i="47" l="1"/>
  <c r="GB126" i="47"/>
  <c r="GC126" i="47" s="1"/>
  <c r="GB83" i="47"/>
  <c r="GC83" i="47" s="1"/>
  <c r="GA83" i="47"/>
  <c r="GB135" i="47"/>
  <c r="GC135" i="47" s="1"/>
  <c r="GA135" i="47"/>
  <c r="GA63" i="47"/>
  <c r="GB63" i="47"/>
  <c r="GC63" i="47" s="1"/>
  <c r="GA158" i="47"/>
  <c r="GB158" i="47"/>
  <c r="GC158" i="47" s="1"/>
  <c r="GA154" i="47"/>
  <c r="GB154" i="47"/>
  <c r="GC154" i="47" s="1"/>
  <c r="GA128" i="47"/>
  <c r="GB128" i="47"/>
  <c r="GC128" i="47" s="1"/>
  <c r="GB19" i="47"/>
  <c r="GC19" i="47" s="1"/>
  <c r="GA19" i="47"/>
  <c r="GB98" i="47"/>
  <c r="GC98" i="47" s="1"/>
  <c r="GA98" i="47"/>
  <c r="GB84" i="47"/>
  <c r="GC84" i="47" s="1"/>
  <c r="GA84" i="47"/>
  <c r="GB42" i="47"/>
  <c r="GC42" i="47" s="1"/>
  <c r="GA42" i="47"/>
  <c r="GB100" i="47"/>
  <c r="GC100" i="47" s="1"/>
  <c r="GA100" i="47"/>
  <c r="GB27" i="47"/>
  <c r="GC27" i="47" s="1"/>
  <c r="GA27" i="47"/>
  <c r="GB88" i="47"/>
  <c r="GC88" i="47" s="1"/>
  <c r="GA88" i="47"/>
  <c r="GB25" i="47"/>
  <c r="GC25" i="47" s="1"/>
  <c r="GA25" i="47"/>
  <c r="GB70" i="47"/>
  <c r="GC70" i="47" s="1"/>
  <c r="GA70" i="47"/>
  <c r="GB46" i="47"/>
  <c r="GC46" i="47" s="1"/>
  <c r="GA46" i="47"/>
  <c r="GB136" i="47"/>
  <c r="GC136" i="47" s="1"/>
  <c r="GA136" i="47"/>
  <c r="GB62" i="47"/>
  <c r="GC62" i="47" s="1"/>
  <c r="GA62" i="47"/>
  <c r="GB157" i="47"/>
  <c r="GC157" i="47" s="1"/>
  <c r="GA157" i="47"/>
  <c r="GB94" i="47"/>
  <c r="GC94" i="47" s="1"/>
  <c r="GA94" i="47"/>
  <c r="GB150" i="47"/>
  <c r="GC150" i="47" s="1"/>
  <c r="GA150" i="47"/>
  <c r="GB48" i="47"/>
  <c r="GC48" i="47" s="1"/>
  <c r="GA48" i="47"/>
  <c r="GB153" i="47"/>
  <c r="GC153" i="47" s="1"/>
  <c r="GA153" i="47"/>
  <c r="GB106" i="47"/>
  <c r="GC106" i="47" s="1"/>
  <c r="GA106" i="47"/>
  <c r="GB138" i="47"/>
  <c r="GC138" i="47" s="1"/>
  <c r="GA138" i="47"/>
  <c r="GB82" i="47"/>
  <c r="GC82" i="47" s="1"/>
  <c r="GA82" i="47"/>
  <c r="GB72" i="47"/>
  <c r="GC72" i="47" s="1"/>
  <c r="GA72" i="47"/>
  <c r="GB66" i="47"/>
  <c r="GC66" i="47" s="1"/>
  <c r="GA66" i="47"/>
  <c r="GB159" i="47"/>
  <c r="GC159" i="47" s="1"/>
  <c r="GA159" i="47"/>
  <c r="GB56" i="47"/>
  <c r="GC56" i="47" s="1"/>
  <c r="GA56" i="47"/>
  <c r="GB171" i="47"/>
  <c r="GC171" i="47" s="1"/>
  <c r="GA171" i="47"/>
  <c r="GB140" i="47"/>
  <c r="GC140" i="47" s="1"/>
  <c r="GA140" i="47"/>
  <c r="GB50" i="47"/>
  <c r="GC50" i="47" s="1"/>
  <c r="GA50" i="47"/>
  <c r="GB155" i="47"/>
  <c r="GC155" i="47" s="1"/>
  <c r="GA155" i="47"/>
  <c r="GA127" i="47"/>
  <c r="GB127" i="47"/>
  <c r="GC127" i="47" s="1"/>
  <c r="GA122" i="47"/>
  <c r="GB122" i="47"/>
  <c r="GC122" i="47" s="1"/>
  <c r="GA129" i="47"/>
  <c r="GB129" i="47"/>
  <c r="GC129" i="47" s="1"/>
  <c r="GA115" i="47"/>
  <c r="GB115" i="47"/>
  <c r="GC115" i="47" s="1"/>
  <c r="H24" i="21" l="1"/>
  <c r="I24" i="21"/>
  <c r="J24" i="21"/>
  <c r="K24" i="21"/>
  <c r="L24" i="21"/>
  <c r="M24" i="21"/>
  <c r="N24" i="21"/>
  <c r="O24" i="21"/>
  <c r="P24" i="21"/>
  <c r="Q24" i="21"/>
  <c r="R24" i="21"/>
  <c r="H25" i="21"/>
  <c r="I25" i="21"/>
  <c r="J25" i="21"/>
  <c r="K25" i="21"/>
  <c r="L25" i="21"/>
  <c r="M25" i="21"/>
  <c r="N25" i="21"/>
  <c r="O25" i="21"/>
  <c r="P25" i="21"/>
  <c r="Q25" i="21"/>
  <c r="R25" i="21"/>
  <c r="H26" i="21"/>
  <c r="I26" i="21"/>
  <c r="J26" i="21"/>
  <c r="K26" i="21"/>
  <c r="L26" i="21"/>
  <c r="M26" i="21"/>
  <c r="N26" i="21"/>
  <c r="O26" i="21"/>
  <c r="P26" i="21"/>
  <c r="Q26" i="21"/>
  <c r="R26" i="21"/>
  <c r="H27" i="21"/>
  <c r="I27" i="21"/>
  <c r="J27" i="21"/>
  <c r="K27" i="21"/>
  <c r="L27" i="21"/>
  <c r="M27" i="21"/>
  <c r="N27" i="21"/>
  <c r="O27" i="21"/>
  <c r="P27" i="21"/>
  <c r="Q27" i="21"/>
  <c r="R27" i="21"/>
  <c r="H28" i="21"/>
  <c r="I28" i="21"/>
  <c r="J28" i="21"/>
  <c r="K28" i="21"/>
  <c r="L28" i="21"/>
  <c r="M28" i="21"/>
  <c r="N28" i="21"/>
  <c r="O28" i="21"/>
  <c r="P28" i="21"/>
  <c r="Q28" i="21"/>
  <c r="R28" i="21"/>
  <c r="H29" i="21"/>
  <c r="I29" i="21"/>
  <c r="J29" i="21"/>
  <c r="K29" i="21"/>
  <c r="L29" i="21"/>
  <c r="M29" i="21"/>
  <c r="N29" i="21"/>
  <c r="O29" i="21"/>
  <c r="P29" i="21"/>
  <c r="Q29" i="21"/>
  <c r="R29" i="21"/>
  <c r="H30" i="21"/>
  <c r="I30" i="21"/>
  <c r="J30" i="21"/>
  <c r="K30" i="21"/>
  <c r="L30" i="21"/>
  <c r="M30" i="21"/>
  <c r="N30" i="21"/>
  <c r="O30" i="21"/>
  <c r="P30" i="21"/>
  <c r="Q30" i="21"/>
  <c r="R30" i="21"/>
  <c r="H31" i="21"/>
  <c r="I31" i="21"/>
  <c r="J31" i="21"/>
  <c r="K31" i="21"/>
  <c r="L31" i="21"/>
  <c r="M31" i="21"/>
  <c r="N31" i="21"/>
  <c r="O31" i="21"/>
  <c r="P31" i="21"/>
  <c r="Q31" i="21"/>
  <c r="R31" i="21"/>
  <c r="H37" i="21"/>
  <c r="I37" i="21"/>
  <c r="J37" i="21"/>
  <c r="K37" i="21"/>
  <c r="L37" i="21"/>
  <c r="M37" i="21"/>
  <c r="N37" i="21"/>
  <c r="O37" i="21"/>
  <c r="P37" i="21"/>
  <c r="Q37" i="21"/>
  <c r="R37" i="21"/>
  <c r="H38" i="21"/>
  <c r="I38" i="21"/>
  <c r="J38" i="21"/>
  <c r="K38" i="21"/>
  <c r="L38" i="21"/>
  <c r="M38" i="21"/>
  <c r="N38" i="21"/>
  <c r="O38" i="21"/>
  <c r="P38" i="21"/>
  <c r="Q38" i="21"/>
  <c r="R38" i="21"/>
  <c r="H39" i="21"/>
  <c r="I39" i="21"/>
  <c r="J39" i="21"/>
  <c r="K39" i="21"/>
  <c r="L39" i="21"/>
  <c r="M39" i="21"/>
  <c r="N39" i="21"/>
  <c r="O39" i="21"/>
  <c r="P39" i="21"/>
  <c r="Q39" i="21"/>
  <c r="R39" i="21"/>
  <c r="H40" i="21"/>
  <c r="I40" i="21"/>
  <c r="J40" i="21"/>
  <c r="K40" i="21"/>
  <c r="L40" i="21"/>
  <c r="M40" i="21"/>
  <c r="N40" i="21"/>
  <c r="O40" i="21"/>
  <c r="P40" i="21"/>
  <c r="Q40" i="21"/>
  <c r="R40" i="21"/>
  <c r="H41" i="21"/>
  <c r="I41" i="21"/>
  <c r="J41" i="21"/>
  <c r="K41" i="21"/>
  <c r="L41" i="21"/>
  <c r="M41" i="21"/>
  <c r="N41" i="21"/>
  <c r="O41" i="21"/>
  <c r="P41" i="21"/>
  <c r="Q41" i="21"/>
  <c r="R41" i="21"/>
  <c r="H46" i="21"/>
  <c r="I46" i="21"/>
  <c r="J46" i="21"/>
  <c r="K46" i="21"/>
  <c r="L46" i="21"/>
  <c r="M46" i="21"/>
  <c r="N46" i="21"/>
  <c r="O46" i="21"/>
  <c r="P46" i="21"/>
  <c r="Q46" i="21"/>
  <c r="R46" i="21"/>
  <c r="H57" i="21"/>
  <c r="I57" i="21"/>
  <c r="J57" i="21"/>
  <c r="K57" i="21"/>
  <c r="L57" i="21"/>
  <c r="M57" i="21"/>
  <c r="N57" i="21"/>
  <c r="O57" i="21"/>
  <c r="P57" i="21"/>
  <c r="Q57" i="21"/>
  <c r="R57" i="21"/>
  <c r="R71" i="21"/>
  <c r="Q71" i="21"/>
  <c r="P71" i="21"/>
  <c r="O71" i="21"/>
  <c r="N71" i="21"/>
  <c r="M71" i="21"/>
  <c r="L71" i="21"/>
  <c r="K71" i="21"/>
  <c r="J71" i="21"/>
  <c r="I71" i="21"/>
  <c r="H71" i="21"/>
  <c r="R70" i="21"/>
  <c r="Q70" i="21"/>
  <c r="P70" i="21"/>
  <c r="O70" i="21"/>
  <c r="N70" i="21"/>
  <c r="M70" i="21"/>
  <c r="L70" i="21"/>
  <c r="K70" i="21"/>
  <c r="J70" i="21"/>
  <c r="I70" i="21"/>
  <c r="H70" i="21"/>
  <c r="R69" i="21"/>
  <c r="Q69" i="21"/>
  <c r="P69" i="21"/>
  <c r="O69" i="21"/>
  <c r="N69" i="21"/>
  <c r="M69" i="21"/>
  <c r="L69" i="21"/>
  <c r="K69" i="21"/>
  <c r="J69" i="21"/>
  <c r="I69" i="21"/>
  <c r="H69" i="21"/>
  <c r="R68" i="21"/>
  <c r="Q68" i="21"/>
  <c r="P68" i="21"/>
  <c r="O68" i="21"/>
  <c r="N68" i="21"/>
  <c r="M68" i="21"/>
  <c r="L68" i="21"/>
  <c r="K68" i="21"/>
  <c r="J68" i="21"/>
  <c r="I68" i="21"/>
  <c r="H68" i="21"/>
  <c r="R67" i="21"/>
  <c r="Q67" i="21"/>
  <c r="P67" i="21"/>
  <c r="O67" i="21"/>
  <c r="N67" i="21"/>
  <c r="M67" i="21"/>
  <c r="L67" i="21"/>
  <c r="K67" i="21"/>
  <c r="J67" i="21"/>
  <c r="I67" i="21"/>
  <c r="H67" i="21"/>
  <c r="R66" i="21"/>
  <c r="Q66" i="21"/>
  <c r="P66" i="21"/>
  <c r="O66" i="21"/>
  <c r="N66" i="21"/>
  <c r="M66" i="21"/>
  <c r="L66" i="21"/>
  <c r="K66" i="21"/>
  <c r="J66" i="21"/>
  <c r="I66" i="21"/>
  <c r="H66" i="21"/>
  <c r="R64" i="21"/>
  <c r="Q64" i="21"/>
  <c r="P64" i="21"/>
  <c r="O64" i="21"/>
  <c r="N64" i="21"/>
  <c r="M64" i="21"/>
  <c r="L64" i="21"/>
  <c r="K64" i="21"/>
  <c r="J64" i="21"/>
  <c r="I64" i="21"/>
  <c r="H64" i="21"/>
  <c r="R63" i="21"/>
  <c r="Q63" i="21"/>
  <c r="P63" i="21"/>
  <c r="O63" i="21"/>
  <c r="N63" i="21"/>
  <c r="M63" i="21"/>
  <c r="L63" i="21"/>
  <c r="K63" i="21"/>
  <c r="J63" i="21"/>
  <c r="I63" i="21"/>
  <c r="H63" i="21"/>
  <c r="R62" i="21"/>
  <c r="Q62" i="21"/>
  <c r="P62" i="21"/>
  <c r="O62" i="21"/>
  <c r="N62" i="21"/>
  <c r="M62" i="21"/>
  <c r="L62" i="21"/>
  <c r="K62" i="21"/>
  <c r="J62" i="21"/>
  <c r="I62" i="21"/>
  <c r="H62" i="21"/>
  <c r="R61" i="21"/>
  <c r="Q61" i="21"/>
  <c r="P61" i="21"/>
  <c r="O61" i="21"/>
  <c r="N61" i="21"/>
  <c r="M61" i="21"/>
  <c r="L61" i="21"/>
  <c r="K61" i="21"/>
  <c r="J61" i="21"/>
  <c r="I61" i="21"/>
  <c r="H61" i="21"/>
  <c r="R60" i="21"/>
  <c r="Q60" i="21"/>
  <c r="P60" i="21"/>
  <c r="O60" i="21"/>
  <c r="N60" i="21"/>
  <c r="M60" i="21"/>
  <c r="L60" i="21"/>
  <c r="K60" i="21"/>
  <c r="J60" i="21"/>
  <c r="I60" i="21"/>
  <c r="H60" i="21"/>
  <c r="R59" i="21"/>
  <c r="Q59" i="21"/>
  <c r="P59" i="21"/>
  <c r="O59" i="21"/>
  <c r="N59" i="21"/>
  <c r="M59" i="21"/>
  <c r="L59" i="21"/>
  <c r="K59" i="21"/>
  <c r="J59" i="21"/>
  <c r="I59" i="21"/>
  <c r="H59" i="21"/>
  <c r="R58" i="21"/>
  <c r="Q58" i="21"/>
  <c r="P58" i="21"/>
  <c r="O58" i="21"/>
  <c r="N58" i="21"/>
  <c r="M58" i="21"/>
  <c r="L58" i="21"/>
  <c r="K58" i="21"/>
  <c r="J58" i="21"/>
  <c r="I58" i="21"/>
  <c r="H58" i="21"/>
  <c r="R53" i="21"/>
  <c r="Q53" i="21"/>
  <c r="P53" i="21"/>
  <c r="O53" i="21"/>
  <c r="N53" i="21"/>
  <c r="M53" i="21"/>
  <c r="L53" i="21"/>
  <c r="K53" i="21"/>
  <c r="J53" i="21"/>
  <c r="I53" i="21"/>
  <c r="H53" i="21"/>
  <c r="R52" i="21"/>
  <c r="Q52" i="21"/>
  <c r="P52" i="21"/>
  <c r="O52" i="21"/>
  <c r="N52" i="21"/>
  <c r="M52" i="21"/>
  <c r="L52" i="21"/>
  <c r="K52" i="21"/>
  <c r="J52" i="21"/>
  <c r="I52" i="21"/>
  <c r="H52" i="21"/>
  <c r="R91" i="21"/>
  <c r="Q91" i="21"/>
  <c r="P91" i="21"/>
  <c r="O91" i="21"/>
  <c r="N91" i="21"/>
  <c r="M91" i="21"/>
  <c r="L91" i="21"/>
  <c r="K91" i="21"/>
  <c r="J91" i="21"/>
  <c r="I91" i="21"/>
  <c r="H91" i="21"/>
  <c r="R90" i="21"/>
  <c r="Q90" i="21"/>
  <c r="P90" i="21"/>
  <c r="O90" i="21"/>
  <c r="N90" i="21"/>
  <c r="M90" i="21"/>
  <c r="L90" i="21"/>
  <c r="K90" i="21"/>
  <c r="J90" i="21"/>
  <c r="I90" i="21"/>
  <c r="H90" i="21"/>
  <c r="R83" i="21"/>
  <c r="Q83" i="21"/>
  <c r="P83" i="21"/>
  <c r="O83" i="21"/>
  <c r="N83" i="21"/>
  <c r="M83" i="21"/>
  <c r="L83" i="21"/>
  <c r="K83" i="21"/>
  <c r="J83" i="21"/>
  <c r="I83" i="21"/>
  <c r="H83" i="21"/>
  <c r="R82" i="21"/>
  <c r="Q82" i="21"/>
  <c r="P82" i="21"/>
  <c r="O82" i="21"/>
  <c r="N82" i="21"/>
  <c r="M82" i="21"/>
  <c r="L82" i="21"/>
  <c r="K82" i="21"/>
  <c r="J82" i="21"/>
  <c r="I82" i="21"/>
  <c r="H82" i="21"/>
  <c r="R81" i="21"/>
  <c r="Q81" i="21"/>
  <c r="P81" i="21"/>
  <c r="O81" i="21"/>
  <c r="N81" i="21"/>
  <c r="M81" i="21"/>
  <c r="L81" i="21"/>
  <c r="K81" i="21"/>
  <c r="J81" i="21"/>
  <c r="I81" i="21"/>
  <c r="H81" i="21"/>
  <c r="R80" i="21"/>
  <c r="Q80" i="21"/>
  <c r="P80" i="21"/>
  <c r="O80" i="21"/>
  <c r="N80" i="21"/>
  <c r="M80" i="21"/>
  <c r="L80" i="21"/>
  <c r="K80" i="21"/>
  <c r="J80" i="21"/>
  <c r="I80" i="21"/>
  <c r="H80" i="21"/>
  <c r="R79" i="21"/>
  <c r="Q79" i="21"/>
  <c r="P79" i="21"/>
  <c r="O79" i="21"/>
  <c r="N79" i="21"/>
  <c r="M79" i="21"/>
  <c r="L79" i="21"/>
  <c r="K79" i="21"/>
  <c r="J79" i="21"/>
  <c r="I79" i="21"/>
  <c r="H79" i="21"/>
  <c r="R78" i="21"/>
  <c r="Q78" i="21"/>
  <c r="P78" i="21"/>
  <c r="O78" i="21"/>
  <c r="N78" i="21"/>
  <c r="M78" i="21"/>
  <c r="L78" i="21"/>
  <c r="K78" i="21"/>
  <c r="J78" i="21"/>
  <c r="I78" i="21"/>
  <c r="H78" i="21"/>
  <c r="R77" i="21"/>
  <c r="Q77" i="21"/>
  <c r="P77" i="21"/>
  <c r="O77" i="21"/>
  <c r="N77" i="21"/>
  <c r="M77" i="21"/>
  <c r="L77" i="21"/>
  <c r="K77" i="21"/>
  <c r="J77" i="21"/>
  <c r="I77" i="21"/>
  <c r="H77" i="21"/>
  <c r="R51" i="21"/>
  <c r="Q51" i="21"/>
  <c r="P51" i="21"/>
  <c r="O51" i="21"/>
  <c r="N51" i="21"/>
  <c r="M51" i="21"/>
  <c r="L51" i="21"/>
  <c r="K51" i="21"/>
  <c r="J51" i="21"/>
  <c r="I51" i="21"/>
  <c r="H51" i="21"/>
  <c r="R50" i="21"/>
  <c r="Q50" i="21"/>
  <c r="P50" i="21"/>
  <c r="O50" i="21"/>
  <c r="N50" i="21"/>
  <c r="M50" i="21"/>
  <c r="L50" i="21"/>
  <c r="K50" i="21"/>
  <c r="J50" i="21"/>
  <c r="I50" i="21"/>
  <c r="H50" i="21"/>
  <c r="R49" i="21"/>
  <c r="Q49" i="21"/>
  <c r="P49" i="21"/>
  <c r="O49" i="21"/>
  <c r="N49" i="21"/>
  <c r="M49" i="21"/>
  <c r="L49" i="21"/>
  <c r="K49" i="21"/>
  <c r="J49" i="21"/>
  <c r="I49" i="21"/>
  <c r="H49" i="21"/>
  <c r="R44" i="21"/>
  <c r="Q44" i="21"/>
  <c r="P44" i="21"/>
  <c r="O44" i="21"/>
  <c r="N44" i="21"/>
  <c r="M44" i="21"/>
  <c r="L44" i="21"/>
  <c r="K44" i="21"/>
  <c r="J44" i="21"/>
  <c r="I44" i="21"/>
  <c r="H44" i="21"/>
  <c r="R43" i="21"/>
  <c r="Q43" i="21"/>
  <c r="P43" i="21"/>
  <c r="O43" i="21"/>
  <c r="N43" i="21"/>
  <c r="M43" i="21"/>
  <c r="L43" i="21"/>
  <c r="K43" i="21"/>
  <c r="J43" i="21"/>
  <c r="I43" i="21"/>
  <c r="H43" i="21"/>
  <c r="R36" i="21"/>
  <c r="Q36" i="21"/>
  <c r="P36" i="21"/>
  <c r="O36" i="21"/>
  <c r="N36" i="21"/>
  <c r="M36" i="21"/>
  <c r="L36" i="21"/>
  <c r="K36" i="21"/>
  <c r="J36" i="21"/>
  <c r="I36" i="21"/>
  <c r="H36" i="21"/>
  <c r="R35" i="21"/>
  <c r="Q35" i="21"/>
  <c r="P35" i="21"/>
  <c r="O35" i="21"/>
  <c r="N35" i="21"/>
  <c r="M35" i="21"/>
  <c r="L35" i="21"/>
  <c r="K35" i="21"/>
  <c r="J35" i="21"/>
  <c r="I35" i="21"/>
  <c r="H35" i="21"/>
  <c r="R15" i="21"/>
  <c r="Q15" i="21"/>
  <c r="P15" i="21"/>
  <c r="O15" i="21"/>
  <c r="N15" i="21"/>
  <c r="M15" i="21"/>
  <c r="L15" i="21"/>
  <c r="K15" i="21"/>
  <c r="J15" i="21"/>
  <c r="I15" i="21"/>
  <c r="H15" i="21"/>
  <c r="I10" i="21"/>
  <c r="J10" i="21"/>
  <c r="K10" i="21"/>
  <c r="L10" i="21"/>
  <c r="M10" i="21"/>
  <c r="N10" i="21"/>
  <c r="O10" i="21"/>
  <c r="P10" i="21"/>
  <c r="Q10" i="21"/>
  <c r="R10" i="21"/>
  <c r="H10" i="21"/>
  <c r="DS91" i="21"/>
  <c r="DR91" i="21"/>
  <c r="DS90" i="21"/>
  <c r="DR90" i="21"/>
  <c r="DT89" i="21"/>
  <c r="DS89" i="21"/>
  <c r="DR89" i="21"/>
  <c r="DT88" i="21"/>
  <c r="DS88" i="21"/>
  <c r="DR88" i="21"/>
  <c r="DT87" i="21"/>
  <c r="DS87" i="21"/>
  <c r="DR87" i="21"/>
  <c r="DS83" i="21"/>
  <c r="DR83" i="21"/>
  <c r="DS82" i="21"/>
  <c r="DR82" i="21"/>
  <c r="DS81" i="21"/>
  <c r="DR81" i="21"/>
  <c r="DS80" i="21"/>
  <c r="DR80" i="21"/>
  <c r="DS79" i="21"/>
  <c r="DR79" i="21"/>
  <c r="DS78" i="21"/>
  <c r="DR78" i="21"/>
  <c r="DS77" i="21"/>
  <c r="DR77" i="21"/>
  <c r="DT77" i="21" l="1"/>
  <c r="DV77" i="21" s="1"/>
  <c r="DT81" i="21"/>
  <c r="DV81" i="21" s="1"/>
  <c r="DT91" i="21"/>
  <c r="DV91" i="21" s="1"/>
  <c r="DV89" i="21"/>
  <c r="DT79" i="21"/>
  <c r="DV79" i="21" s="1"/>
  <c r="DT83" i="21"/>
  <c r="DV83" i="21" s="1"/>
  <c r="DT82" i="21"/>
  <c r="DV82" i="21" s="1"/>
  <c r="DU91" i="21"/>
  <c r="DU78" i="21"/>
  <c r="DU79" i="21"/>
  <c r="DU80" i="21"/>
  <c r="DU82" i="21"/>
  <c r="DU87" i="21"/>
  <c r="DV87" i="21"/>
  <c r="DU90" i="21"/>
  <c r="DU77" i="21"/>
  <c r="DU81" i="21"/>
  <c r="DU83" i="21"/>
  <c r="DU88" i="21"/>
  <c r="DU89" i="21"/>
  <c r="DT90" i="21"/>
  <c r="DV90" i="21" s="1"/>
  <c r="DT80" i="21"/>
  <c r="DV80" i="21" s="1"/>
  <c r="DV88" i="21"/>
  <c r="DT78" i="21"/>
  <c r="DV78" i="21" s="1"/>
  <c r="DQ80" i="21" l="1"/>
  <c r="DP80" i="21"/>
  <c r="DP79" i="21"/>
  <c r="DP76" i="21"/>
  <c r="DQ76" i="21"/>
  <c r="DN91" i="21"/>
  <c r="DQ79" i="21"/>
  <c r="DN79" i="21"/>
  <c r="DN90" i="21"/>
  <c r="DP90" i="21"/>
  <c r="DO76" i="21"/>
  <c r="DP82" i="21"/>
  <c r="DQ81" i="21"/>
  <c r="DN80" i="21"/>
  <c r="DN78" i="21"/>
  <c r="DQ91" i="21"/>
  <c r="DP81" i="21"/>
  <c r="DP77" i="21"/>
  <c r="DP91" i="21"/>
  <c r="DP78" i="21"/>
  <c r="DN82" i="21"/>
  <c r="DQ77" i="21"/>
  <c r="DQ78" i="21"/>
  <c r="DQ82" i="21"/>
  <c r="DQ90" i="21"/>
  <c r="DN81" i="21"/>
  <c r="DN76" i="21"/>
  <c r="DN77" i="21"/>
  <c r="DO80" i="21" l="1"/>
  <c r="DO81" i="21"/>
  <c r="DO82" i="21"/>
  <c r="DO90" i="21" l="1"/>
  <c r="DO91" i="21"/>
  <c r="DO79" i="21"/>
  <c r="DO78" i="21"/>
  <c r="DO77"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Sean</author>
  </authors>
  <commentList>
    <comment ref="Z1" authorId="0" shapeId="0" xr:uid="{00000000-0006-0000-0200-000001000000}">
      <text>
        <r>
          <rPr>
            <b/>
            <sz val="9"/>
            <color indexed="81"/>
            <rFont val="Tahoma"/>
            <family val="2"/>
          </rPr>
          <t>Sean:</t>
        </r>
        <r>
          <rPr>
            <sz val="9"/>
            <color indexed="81"/>
            <rFont val="Tahoma"/>
            <family val="2"/>
          </rPr>
          <t xml:space="preserve">
bold are reversed numbers</t>
        </r>
      </text>
    </comment>
    <comment ref="CO34" authorId="0" shapeId="0" xr:uid="{00000000-0006-0000-0200-000002000000}">
      <text>
        <r>
          <rPr>
            <b/>
            <sz val="9"/>
            <color indexed="81"/>
            <rFont val="Tahoma"/>
            <family val="2"/>
          </rPr>
          <t>Sean:</t>
        </r>
        <r>
          <rPr>
            <sz val="9"/>
            <color indexed="81"/>
            <rFont val="Tahoma"/>
            <family val="2"/>
          </rPr>
          <t xml:space="preserve">
brown because was tagged as opx, keeping brown until confirmed all is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Sean</author>
  </authors>
  <commentList>
    <comment ref="Z1" authorId="0" shapeId="0" xr:uid="{00000000-0006-0000-0300-000001000000}">
      <text>
        <r>
          <rPr>
            <b/>
            <sz val="9"/>
            <color indexed="81"/>
            <rFont val="Tahoma"/>
            <family val="2"/>
          </rPr>
          <t>Sean:</t>
        </r>
        <r>
          <rPr>
            <sz val="9"/>
            <color indexed="81"/>
            <rFont val="Tahoma"/>
            <family val="2"/>
          </rPr>
          <t xml:space="preserve">
bold are reversed numbers</t>
        </r>
      </text>
    </comment>
  </commentList>
</comments>
</file>

<file path=xl/sharedStrings.xml><?xml version="1.0" encoding="utf-8"?>
<sst xmlns="http://schemas.openxmlformats.org/spreadsheetml/2006/main" count="10432" uniqueCount="328">
  <si>
    <t>The workbook is fully functional, not a static snapshot, so modification to the cations and oxygens used for normalisation is possible for experimenting with minerals, or reusing the spreadsheet for your own data. Please give an acknowledgement if you reuse this spreadsheet for presenting your own data.</t>
  </si>
  <si>
    <t>The columns titled Crystal, Line No. and Microns only refer to traverses with ascending line numbers for each numbered crystal.</t>
  </si>
  <si>
    <r>
      <t>All Fe</t>
    </r>
    <r>
      <rPr>
        <vertAlign val="superscript"/>
        <sz val="11"/>
        <color rgb="FF000000"/>
        <rFont val="Calibri"/>
        <family val="2"/>
      </rPr>
      <t xml:space="preserve">3+ </t>
    </r>
    <r>
      <rPr>
        <sz val="11"/>
        <color rgb="FF000000"/>
        <rFont val="Calibri"/>
        <family val="2"/>
      </rPr>
      <t>and Fe</t>
    </r>
    <r>
      <rPr>
        <vertAlign val="superscript"/>
        <sz val="11"/>
        <color rgb="FF000000"/>
        <rFont val="Calibri"/>
        <family val="2"/>
      </rPr>
      <t>2+</t>
    </r>
    <r>
      <rPr>
        <sz val="11"/>
        <color rgb="FF000000"/>
        <rFont val="Calibri"/>
        <family val="2"/>
      </rPr>
      <t xml:space="preserve"> estimates are made using Droop (1987)</t>
    </r>
  </si>
  <si>
    <t>Amphibole data are found here, but all cations calculated and presented in the manuscript come from the spreadsheet of Locock (2014) based on the Hawthorne (2012) classification</t>
  </si>
  <si>
    <t>Partition coefficients were calculated using the methods described in the main text and shown in the appendix.</t>
  </si>
  <si>
    <t>References used are found in the main text and the appendix.</t>
  </si>
  <si>
    <t>Table S1: Standard reference materials measured during the EMPA sessions.</t>
  </si>
  <si>
    <t>Standard</t>
  </si>
  <si>
    <t>Smithsonian A99 Glass</t>
  </si>
  <si>
    <t>USNM2566 Fo83</t>
  </si>
  <si>
    <t>USNM87375 Garnet RV2</t>
  </si>
  <si>
    <t>USNM115900 Labradorite</t>
  </si>
  <si>
    <t>Astimex SPGLASS7 Obsidian</t>
  </si>
  <si>
    <t>Average</t>
  </si>
  <si>
    <t>1σ</t>
  </si>
  <si>
    <t>RSD (%)</t>
  </si>
  <si>
    <t>wt%:</t>
  </si>
  <si>
    <r>
      <t>SiO</t>
    </r>
    <r>
      <rPr>
        <vertAlign val="subscript"/>
        <sz val="11"/>
        <color rgb="FF000000"/>
        <rFont val="Calibri"/>
        <family val="2"/>
      </rPr>
      <t>2</t>
    </r>
  </si>
  <si>
    <r>
      <t>TiO</t>
    </r>
    <r>
      <rPr>
        <vertAlign val="subscript"/>
        <sz val="11"/>
        <color rgb="FF000000"/>
        <rFont val="Calibri"/>
        <family val="2"/>
      </rPr>
      <t>2</t>
    </r>
  </si>
  <si>
    <r>
      <t>Al</t>
    </r>
    <r>
      <rPr>
        <vertAlign val="subscript"/>
        <sz val="11"/>
        <color rgb="FF000000"/>
        <rFont val="Calibri"/>
        <family val="2"/>
      </rPr>
      <t>2</t>
    </r>
    <r>
      <rPr>
        <sz val="11"/>
        <color rgb="FF000000"/>
        <rFont val="Calibri"/>
        <family val="2"/>
      </rPr>
      <t>O</t>
    </r>
    <r>
      <rPr>
        <vertAlign val="subscript"/>
        <sz val="11"/>
        <color rgb="FF000000"/>
        <rFont val="Calibri"/>
        <family val="2"/>
      </rPr>
      <t>3</t>
    </r>
  </si>
  <si>
    <r>
      <t>Cr</t>
    </r>
    <r>
      <rPr>
        <vertAlign val="subscript"/>
        <sz val="11"/>
        <color rgb="FF000000"/>
        <rFont val="Calibri"/>
        <family val="2"/>
      </rPr>
      <t>2</t>
    </r>
    <r>
      <rPr>
        <sz val="11"/>
        <color rgb="FF000000"/>
        <rFont val="Calibri"/>
        <family val="2"/>
      </rPr>
      <t>O</t>
    </r>
    <r>
      <rPr>
        <vertAlign val="subscript"/>
        <sz val="11"/>
        <color rgb="FF000000"/>
        <rFont val="Calibri"/>
        <family val="2"/>
      </rPr>
      <t>3</t>
    </r>
  </si>
  <si>
    <t>FeO</t>
  </si>
  <si>
    <t>MnO</t>
  </si>
  <si>
    <t>MgO</t>
  </si>
  <si>
    <t>CaO</t>
  </si>
  <si>
    <r>
      <t>Na</t>
    </r>
    <r>
      <rPr>
        <vertAlign val="subscript"/>
        <sz val="11"/>
        <color rgb="FF000000"/>
        <rFont val="Calibri"/>
        <family val="2"/>
      </rPr>
      <t>2</t>
    </r>
    <r>
      <rPr>
        <sz val="11"/>
        <color rgb="FF000000"/>
        <rFont val="Calibri"/>
        <family val="2"/>
      </rPr>
      <t>O</t>
    </r>
  </si>
  <si>
    <r>
      <t>K</t>
    </r>
    <r>
      <rPr>
        <vertAlign val="subscript"/>
        <sz val="11"/>
        <color rgb="FF000000"/>
        <rFont val="Calibri"/>
        <family val="2"/>
      </rPr>
      <t>2</t>
    </r>
    <r>
      <rPr>
        <sz val="11"/>
        <color rgb="FF000000"/>
        <rFont val="Calibri"/>
        <family val="2"/>
      </rPr>
      <t>O</t>
    </r>
  </si>
  <si>
    <r>
      <t>P</t>
    </r>
    <r>
      <rPr>
        <vertAlign val="subscript"/>
        <sz val="11"/>
        <color rgb="FF000000"/>
        <rFont val="Calibri"/>
        <family val="2"/>
      </rPr>
      <t>2</t>
    </r>
    <r>
      <rPr>
        <sz val="11"/>
        <color rgb="FF000000"/>
        <rFont val="Calibri"/>
        <family val="2"/>
      </rPr>
      <t>O</t>
    </r>
    <r>
      <rPr>
        <vertAlign val="subscript"/>
        <sz val="11"/>
        <color rgb="FF000000"/>
        <rFont val="Calibri"/>
        <family val="2"/>
      </rPr>
      <t>5</t>
    </r>
  </si>
  <si>
    <t>ppm:</t>
  </si>
  <si>
    <t>Cl</t>
  </si>
  <si>
    <t>S</t>
  </si>
  <si>
    <t>Total</t>
  </si>
  <si>
    <t>Table S2: Standard reference materials measured during the LA-ICP-MS sessions.</t>
  </si>
  <si>
    <t>BCR-2G</t>
  </si>
  <si>
    <t>BHVO-2G</t>
  </si>
  <si>
    <t>Reference value*</t>
  </si>
  <si>
    <t>Average (n=19)</t>
  </si>
  <si>
    <t>SD</t>
  </si>
  <si>
    <t>RSD</t>
  </si>
  <si>
    <t>Isotope</t>
  </si>
  <si>
    <t>[ppm]</t>
  </si>
  <si>
    <t>[%]</t>
  </si>
  <si>
    <r>
      <rPr>
        <vertAlign val="superscript"/>
        <sz val="11"/>
        <color theme="1"/>
        <rFont val="Calibri"/>
        <family val="2"/>
        <scheme val="minor"/>
      </rPr>
      <t>7</t>
    </r>
    <r>
      <rPr>
        <sz val="11"/>
        <color rgb="FF000000"/>
        <rFont val="Calibri"/>
        <family val="2"/>
      </rPr>
      <t>Li</t>
    </r>
  </si>
  <si>
    <r>
      <rPr>
        <vertAlign val="superscript"/>
        <sz val="11"/>
        <color theme="1"/>
        <rFont val="Calibri"/>
        <family val="2"/>
        <scheme val="minor"/>
      </rPr>
      <t>45</t>
    </r>
    <r>
      <rPr>
        <sz val="11"/>
        <color rgb="FF000000"/>
        <rFont val="Calibri"/>
        <family val="2"/>
      </rPr>
      <t>Sc</t>
    </r>
  </si>
  <si>
    <r>
      <rPr>
        <vertAlign val="superscript"/>
        <sz val="11"/>
        <color theme="1"/>
        <rFont val="Calibri"/>
        <family val="2"/>
        <scheme val="minor"/>
      </rPr>
      <t>49</t>
    </r>
    <r>
      <rPr>
        <sz val="11"/>
        <color rgb="FF000000"/>
        <rFont val="Calibri"/>
        <family val="2"/>
      </rPr>
      <t>Ti</t>
    </r>
  </si>
  <si>
    <r>
      <rPr>
        <vertAlign val="superscript"/>
        <sz val="11"/>
        <color theme="1"/>
        <rFont val="Calibri"/>
        <family val="2"/>
        <scheme val="minor"/>
      </rPr>
      <t>51</t>
    </r>
    <r>
      <rPr>
        <sz val="11"/>
        <color rgb="FF000000"/>
        <rFont val="Calibri"/>
        <family val="2"/>
      </rPr>
      <t>V</t>
    </r>
  </si>
  <si>
    <r>
      <rPr>
        <vertAlign val="superscript"/>
        <sz val="11"/>
        <color theme="1"/>
        <rFont val="Calibri"/>
        <family val="2"/>
        <scheme val="minor"/>
      </rPr>
      <t>53</t>
    </r>
    <r>
      <rPr>
        <sz val="11"/>
        <color rgb="FF000000"/>
        <rFont val="Calibri"/>
        <family val="2"/>
      </rPr>
      <t>Cr</t>
    </r>
  </si>
  <si>
    <r>
      <rPr>
        <vertAlign val="superscript"/>
        <sz val="11"/>
        <color theme="1"/>
        <rFont val="Calibri"/>
        <family val="2"/>
        <scheme val="minor"/>
      </rPr>
      <t>55</t>
    </r>
    <r>
      <rPr>
        <sz val="11"/>
        <color rgb="FF000000"/>
        <rFont val="Calibri"/>
        <family val="2"/>
      </rPr>
      <t>Mn</t>
    </r>
  </si>
  <si>
    <r>
      <rPr>
        <vertAlign val="superscript"/>
        <sz val="11"/>
        <color theme="1"/>
        <rFont val="Calibri"/>
        <family val="2"/>
        <scheme val="minor"/>
      </rPr>
      <t>59</t>
    </r>
    <r>
      <rPr>
        <sz val="11"/>
        <color rgb="FF000000"/>
        <rFont val="Calibri"/>
        <family val="2"/>
      </rPr>
      <t>Co</t>
    </r>
  </si>
  <si>
    <r>
      <rPr>
        <vertAlign val="superscript"/>
        <sz val="11"/>
        <color theme="1"/>
        <rFont val="Calibri"/>
        <family val="2"/>
        <scheme val="minor"/>
      </rPr>
      <t>61</t>
    </r>
    <r>
      <rPr>
        <sz val="11"/>
        <color rgb="FF000000"/>
        <rFont val="Calibri"/>
        <family val="2"/>
      </rPr>
      <t>Ni</t>
    </r>
  </si>
  <si>
    <r>
      <rPr>
        <vertAlign val="superscript"/>
        <sz val="11"/>
        <color theme="1"/>
        <rFont val="Calibri"/>
        <family val="2"/>
        <scheme val="minor"/>
      </rPr>
      <t>65</t>
    </r>
    <r>
      <rPr>
        <sz val="11"/>
        <color rgb="FF000000"/>
        <rFont val="Calibri"/>
        <family val="2"/>
      </rPr>
      <t>Cu</t>
    </r>
  </si>
  <si>
    <r>
      <rPr>
        <vertAlign val="superscript"/>
        <sz val="11"/>
        <color theme="1"/>
        <rFont val="Calibri"/>
        <family val="2"/>
        <scheme val="minor"/>
      </rPr>
      <t>66</t>
    </r>
    <r>
      <rPr>
        <sz val="11"/>
        <color rgb="FF000000"/>
        <rFont val="Calibri"/>
        <family val="2"/>
      </rPr>
      <t>Zn</t>
    </r>
  </si>
  <si>
    <r>
      <rPr>
        <vertAlign val="superscript"/>
        <sz val="11"/>
        <color theme="1"/>
        <rFont val="Calibri"/>
        <family val="2"/>
        <scheme val="minor"/>
      </rPr>
      <t>85</t>
    </r>
    <r>
      <rPr>
        <sz val="11"/>
        <color rgb="FF000000"/>
        <rFont val="Calibri"/>
        <family val="2"/>
      </rPr>
      <t>Rb</t>
    </r>
  </si>
  <si>
    <r>
      <rPr>
        <vertAlign val="superscript"/>
        <sz val="11"/>
        <color theme="1"/>
        <rFont val="Calibri"/>
        <family val="2"/>
        <scheme val="minor"/>
      </rPr>
      <t>86</t>
    </r>
    <r>
      <rPr>
        <sz val="11"/>
        <color rgb="FF000000"/>
        <rFont val="Calibri"/>
        <family val="2"/>
      </rPr>
      <t>Sr</t>
    </r>
  </si>
  <si>
    <r>
      <rPr>
        <vertAlign val="superscript"/>
        <sz val="11"/>
        <color theme="1"/>
        <rFont val="Calibri"/>
        <family val="2"/>
        <scheme val="minor"/>
      </rPr>
      <t>88</t>
    </r>
    <r>
      <rPr>
        <sz val="11"/>
        <color rgb="FF000000"/>
        <rFont val="Calibri"/>
        <family val="2"/>
      </rPr>
      <t>Sr</t>
    </r>
  </si>
  <si>
    <r>
      <rPr>
        <vertAlign val="superscript"/>
        <sz val="11"/>
        <color theme="1"/>
        <rFont val="Calibri"/>
        <family val="2"/>
        <scheme val="minor"/>
      </rPr>
      <t>89</t>
    </r>
    <r>
      <rPr>
        <sz val="11"/>
        <color rgb="FF000000"/>
        <rFont val="Calibri"/>
        <family val="2"/>
      </rPr>
      <t>Y</t>
    </r>
  </si>
  <si>
    <r>
      <rPr>
        <vertAlign val="superscript"/>
        <sz val="11"/>
        <color theme="1"/>
        <rFont val="Calibri"/>
        <family val="2"/>
        <scheme val="minor"/>
      </rPr>
      <t>90</t>
    </r>
    <r>
      <rPr>
        <sz val="11"/>
        <color rgb="FF000000"/>
        <rFont val="Calibri"/>
        <family val="2"/>
      </rPr>
      <t>Zr</t>
    </r>
  </si>
  <si>
    <r>
      <rPr>
        <vertAlign val="superscript"/>
        <sz val="11"/>
        <color theme="1"/>
        <rFont val="Calibri"/>
        <family val="2"/>
        <scheme val="minor"/>
      </rPr>
      <t>93</t>
    </r>
    <r>
      <rPr>
        <sz val="11"/>
        <color rgb="FF000000"/>
        <rFont val="Calibri"/>
        <family val="2"/>
      </rPr>
      <t>Nb</t>
    </r>
  </si>
  <si>
    <r>
      <rPr>
        <vertAlign val="superscript"/>
        <sz val="11"/>
        <color theme="1"/>
        <rFont val="Calibri"/>
        <family val="2"/>
        <scheme val="minor"/>
      </rPr>
      <t>133</t>
    </r>
    <r>
      <rPr>
        <sz val="11"/>
        <color rgb="FF000000"/>
        <rFont val="Calibri"/>
        <family val="2"/>
      </rPr>
      <t>Cs</t>
    </r>
  </si>
  <si>
    <r>
      <rPr>
        <vertAlign val="superscript"/>
        <sz val="11"/>
        <color theme="1"/>
        <rFont val="Calibri"/>
        <family val="2"/>
        <scheme val="minor"/>
      </rPr>
      <t>137</t>
    </r>
    <r>
      <rPr>
        <sz val="11"/>
        <color rgb="FF000000"/>
        <rFont val="Calibri"/>
        <family val="2"/>
      </rPr>
      <t>Ba</t>
    </r>
  </si>
  <si>
    <r>
      <rPr>
        <vertAlign val="superscript"/>
        <sz val="11"/>
        <color theme="1"/>
        <rFont val="Calibri"/>
        <family val="2"/>
        <scheme val="minor"/>
      </rPr>
      <t>139</t>
    </r>
    <r>
      <rPr>
        <sz val="11"/>
        <color rgb="FF000000"/>
        <rFont val="Calibri"/>
        <family val="2"/>
      </rPr>
      <t>La</t>
    </r>
  </si>
  <si>
    <r>
      <rPr>
        <vertAlign val="superscript"/>
        <sz val="11"/>
        <color theme="1"/>
        <rFont val="Calibri"/>
        <family val="2"/>
        <scheme val="minor"/>
      </rPr>
      <t>140</t>
    </r>
    <r>
      <rPr>
        <sz val="11"/>
        <color rgb="FF000000"/>
        <rFont val="Calibri"/>
        <family val="2"/>
      </rPr>
      <t>Ce</t>
    </r>
  </si>
  <si>
    <r>
      <rPr>
        <vertAlign val="superscript"/>
        <sz val="11"/>
        <color theme="1"/>
        <rFont val="Calibri"/>
        <family val="2"/>
        <scheme val="minor"/>
      </rPr>
      <t>141</t>
    </r>
    <r>
      <rPr>
        <sz val="11"/>
        <color rgb="FF000000"/>
        <rFont val="Calibri"/>
        <family val="2"/>
      </rPr>
      <t>Pr</t>
    </r>
  </si>
  <si>
    <r>
      <rPr>
        <vertAlign val="superscript"/>
        <sz val="11"/>
        <color theme="1"/>
        <rFont val="Calibri"/>
        <family val="2"/>
        <scheme val="minor"/>
      </rPr>
      <t>146</t>
    </r>
    <r>
      <rPr>
        <sz val="11"/>
        <color rgb="FF000000"/>
        <rFont val="Calibri"/>
        <family val="2"/>
      </rPr>
      <t>Nd</t>
    </r>
  </si>
  <si>
    <r>
      <rPr>
        <vertAlign val="superscript"/>
        <sz val="11"/>
        <color theme="1"/>
        <rFont val="Calibri"/>
        <family val="2"/>
        <scheme val="minor"/>
      </rPr>
      <t>147</t>
    </r>
    <r>
      <rPr>
        <sz val="11"/>
        <color rgb="FF000000"/>
        <rFont val="Calibri"/>
        <family val="2"/>
      </rPr>
      <t>Sm</t>
    </r>
  </si>
  <si>
    <r>
      <rPr>
        <vertAlign val="superscript"/>
        <sz val="11"/>
        <color theme="1"/>
        <rFont val="Calibri"/>
        <family val="2"/>
        <scheme val="minor"/>
      </rPr>
      <t>153</t>
    </r>
    <r>
      <rPr>
        <sz val="11"/>
        <color rgb="FF000000"/>
        <rFont val="Calibri"/>
        <family val="2"/>
      </rPr>
      <t>Eu</t>
    </r>
  </si>
  <si>
    <r>
      <rPr>
        <vertAlign val="superscript"/>
        <sz val="11"/>
        <color theme="1"/>
        <rFont val="Calibri"/>
        <family val="2"/>
        <scheme val="minor"/>
      </rPr>
      <t>157</t>
    </r>
    <r>
      <rPr>
        <sz val="11"/>
        <color rgb="FF000000"/>
        <rFont val="Calibri"/>
        <family val="2"/>
      </rPr>
      <t>Gd</t>
    </r>
  </si>
  <si>
    <r>
      <rPr>
        <vertAlign val="superscript"/>
        <sz val="11"/>
        <color theme="1"/>
        <rFont val="Calibri"/>
        <family val="2"/>
        <scheme val="minor"/>
      </rPr>
      <t>159</t>
    </r>
    <r>
      <rPr>
        <sz val="11"/>
        <color rgb="FF000000"/>
        <rFont val="Calibri"/>
        <family val="2"/>
      </rPr>
      <t>Tb</t>
    </r>
  </si>
  <si>
    <r>
      <rPr>
        <vertAlign val="superscript"/>
        <sz val="11"/>
        <color theme="1"/>
        <rFont val="Calibri"/>
        <family val="2"/>
        <scheme val="minor"/>
      </rPr>
      <t>163</t>
    </r>
    <r>
      <rPr>
        <sz val="11"/>
        <color rgb="FF000000"/>
        <rFont val="Calibri"/>
        <family val="2"/>
      </rPr>
      <t>Dy</t>
    </r>
  </si>
  <si>
    <r>
      <rPr>
        <vertAlign val="superscript"/>
        <sz val="11"/>
        <color theme="1"/>
        <rFont val="Calibri"/>
        <family val="2"/>
        <scheme val="minor"/>
      </rPr>
      <t>165</t>
    </r>
    <r>
      <rPr>
        <sz val="11"/>
        <color rgb="FF000000"/>
        <rFont val="Calibri"/>
        <family val="2"/>
      </rPr>
      <t>Ho</t>
    </r>
  </si>
  <si>
    <r>
      <rPr>
        <vertAlign val="superscript"/>
        <sz val="11"/>
        <color theme="1"/>
        <rFont val="Calibri"/>
        <family val="2"/>
        <scheme val="minor"/>
      </rPr>
      <t>166</t>
    </r>
    <r>
      <rPr>
        <sz val="11"/>
        <color rgb="FF000000"/>
        <rFont val="Calibri"/>
        <family val="2"/>
      </rPr>
      <t>Er</t>
    </r>
  </si>
  <si>
    <r>
      <rPr>
        <vertAlign val="superscript"/>
        <sz val="11"/>
        <color theme="1"/>
        <rFont val="Calibri"/>
        <family val="2"/>
        <scheme val="minor"/>
      </rPr>
      <t>169</t>
    </r>
    <r>
      <rPr>
        <sz val="11"/>
        <color rgb="FF000000"/>
        <rFont val="Calibri"/>
        <family val="2"/>
      </rPr>
      <t>Tm</t>
    </r>
  </si>
  <si>
    <r>
      <rPr>
        <vertAlign val="superscript"/>
        <sz val="11"/>
        <color theme="1"/>
        <rFont val="Calibri"/>
        <family val="2"/>
        <scheme val="minor"/>
      </rPr>
      <t>172</t>
    </r>
    <r>
      <rPr>
        <sz val="11"/>
        <color rgb="FF000000"/>
        <rFont val="Calibri"/>
        <family val="2"/>
      </rPr>
      <t>Yb</t>
    </r>
  </si>
  <si>
    <r>
      <rPr>
        <vertAlign val="superscript"/>
        <sz val="11"/>
        <color theme="1"/>
        <rFont val="Calibri"/>
        <family val="2"/>
        <scheme val="minor"/>
      </rPr>
      <t>175</t>
    </r>
    <r>
      <rPr>
        <sz val="11"/>
        <color rgb="FF000000"/>
        <rFont val="Calibri"/>
        <family val="2"/>
      </rPr>
      <t>Lu</t>
    </r>
  </si>
  <si>
    <r>
      <rPr>
        <vertAlign val="superscript"/>
        <sz val="11"/>
        <color theme="1"/>
        <rFont val="Calibri"/>
        <family val="2"/>
        <scheme val="minor"/>
      </rPr>
      <t>178</t>
    </r>
    <r>
      <rPr>
        <sz val="11"/>
        <color rgb="FF000000"/>
        <rFont val="Calibri"/>
        <family val="2"/>
      </rPr>
      <t>Hf</t>
    </r>
  </si>
  <si>
    <r>
      <rPr>
        <vertAlign val="superscript"/>
        <sz val="11"/>
        <color theme="1"/>
        <rFont val="Calibri"/>
        <family val="2"/>
        <scheme val="minor"/>
      </rPr>
      <t>181</t>
    </r>
    <r>
      <rPr>
        <sz val="11"/>
        <color rgb="FF000000"/>
        <rFont val="Calibri"/>
        <family val="2"/>
      </rPr>
      <t>Ta</t>
    </r>
  </si>
  <si>
    <r>
      <rPr>
        <vertAlign val="superscript"/>
        <sz val="11"/>
        <color theme="1"/>
        <rFont val="Calibri"/>
        <family val="2"/>
        <scheme val="minor"/>
      </rPr>
      <t>208</t>
    </r>
    <r>
      <rPr>
        <sz val="11"/>
        <color rgb="FF000000"/>
        <rFont val="Calibri"/>
        <family val="2"/>
      </rPr>
      <t>Pb</t>
    </r>
  </si>
  <si>
    <r>
      <rPr>
        <vertAlign val="superscript"/>
        <sz val="11"/>
        <color theme="1"/>
        <rFont val="Calibri"/>
        <family val="2"/>
        <scheme val="minor"/>
      </rPr>
      <t>232</t>
    </r>
    <r>
      <rPr>
        <sz val="11"/>
        <color rgb="FF000000"/>
        <rFont val="Calibri"/>
        <family val="2"/>
      </rPr>
      <t>Th</t>
    </r>
  </si>
  <si>
    <r>
      <rPr>
        <vertAlign val="superscript"/>
        <sz val="11"/>
        <color theme="1"/>
        <rFont val="Calibri"/>
        <family val="2"/>
        <scheme val="minor"/>
      </rPr>
      <t>238</t>
    </r>
    <r>
      <rPr>
        <sz val="11"/>
        <color rgb="FF000000"/>
        <rFont val="Calibri"/>
        <family val="2"/>
      </rPr>
      <t>U</t>
    </r>
  </si>
  <si>
    <t>* GeoReM preferred Values (1/ 2009)  [http://georem.mpch-mainz.gwdg.de]</t>
  </si>
  <si>
    <t/>
  </si>
  <si>
    <t>Sample</t>
  </si>
  <si>
    <t>24D</t>
  </si>
  <si>
    <t>SAN 6-5-2-1</t>
  </si>
  <si>
    <t>SAN 4-4c</t>
  </si>
  <si>
    <t>SAN 12-1-8-2</t>
  </si>
  <si>
    <t>SAN 6-5-3</t>
  </si>
  <si>
    <t>SAN 12-1-5</t>
  </si>
  <si>
    <t>SAN 6-4-2</t>
  </si>
  <si>
    <t>SAN 9-3-2</t>
  </si>
  <si>
    <t>28D</t>
  </si>
  <si>
    <t>SAN 9-2-2</t>
  </si>
  <si>
    <t>SAN 12-2-2</t>
  </si>
  <si>
    <t>SAN 5-2-1u</t>
  </si>
  <si>
    <t>Eruption</t>
  </si>
  <si>
    <t>LP2</t>
  </si>
  <si>
    <t>MP</t>
  </si>
  <si>
    <t>MIN</t>
  </si>
  <si>
    <t>US2</t>
  </si>
  <si>
    <t>CR</t>
  </si>
  <si>
    <t>LP1</t>
  </si>
  <si>
    <t>NK</t>
  </si>
  <si>
    <t>Rock Type</t>
  </si>
  <si>
    <t>Olivine Gabbro</t>
  </si>
  <si>
    <t>Gabbro</t>
  </si>
  <si>
    <t>Diorite</t>
  </si>
  <si>
    <t>Gabbronorite</t>
  </si>
  <si>
    <t>Troctolite</t>
  </si>
  <si>
    <t>Sc</t>
  </si>
  <si>
    <t>Sr</t>
  </si>
  <si>
    <t>Y</t>
  </si>
  <si>
    <t>Zr</t>
  </si>
  <si>
    <t>Nb</t>
  </si>
  <si>
    <t>Ba</t>
  </si>
  <si>
    <t>Index</t>
  </si>
  <si>
    <t>Probe Analysis Number</t>
  </si>
  <si>
    <t>Mineral</t>
  </si>
  <si>
    <t>SiO2</t>
  </si>
  <si>
    <t>TiO2</t>
  </si>
  <si>
    <t>Al2O3</t>
  </si>
  <si>
    <t>Cr2O3</t>
  </si>
  <si>
    <t>Na2O</t>
  </si>
  <si>
    <t>K2O</t>
  </si>
  <si>
    <t>P2O5</t>
  </si>
  <si>
    <t>SO3</t>
  </si>
  <si>
    <t>FeO (calc)</t>
  </si>
  <si>
    <t>Fe2O3 (calc)</t>
  </si>
  <si>
    <t>Total (calc)</t>
  </si>
  <si>
    <t>Crystal Number</t>
  </si>
  <si>
    <t>Line Number</t>
  </si>
  <si>
    <t>Distance (microns)</t>
  </si>
  <si>
    <t>Location</t>
  </si>
  <si>
    <t>Host</t>
  </si>
  <si>
    <t>Oxygens</t>
  </si>
  <si>
    <t>Cations</t>
  </si>
  <si>
    <t>O Norm Fe2+</t>
  </si>
  <si>
    <t>Si</t>
  </si>
  <si>
    <t>Ti</t>
  </si>
  <si>
    <t>Al</t>
  </si>
  <si>
    <t>Cr</t>
  </si>
  <si>
    <t>Fe</t>
  </si>
  <si>
    <t>Mn</t>
  </si>
  <si>
    <t>Mg</t>
  </si>
  <si>
    <t>Ca</t>
  </si>
  <si>
    <t>Na</t>
  </si>
  <si>
    <t>K</t>
  </si>
  <si>
    <t>P</t>
  </si>
  <si>
    <t>∑ Cations</t>
  </si>
  <si>
    <t>Cation Norm (Fe3+ est. Droop 1983)</t>
  </si>
  <si>
    <t>Fe2</t>
  </si>
  <si>
    <t>Fe3</t>
  </si>
  <si>
    <t>∑ Oxygens</t>
  </si>
  <si>
    <t>Fo</t>
  </si>
  <si>
    <t>Molecular</t>
  </si>
  <si>
    <t>Cat Norm Fact</t>
  </si>
  <si>
    <t>∑ Ox (Fe2 Form)</t>
  </si>
  <si>
    <t>Trace (ppm)</t>
  </si>
  <si>
    <t>Li</t>
  </si>
  <si>
    <t>V</t>
  </si>
  <si>
    <t>Co</t>
  </si>
  <si>
    <t>Ni</t>
  </si>
  <si>
    <t>Cu</t>
  </si>
  <si>
    <t>Zn</t>
  </si>
  <si>
    <t>Rb</t>
  </si>
  <si>
    <t>Cs</t>
  </si>
  <si>
    <t>La</t>
  </si>
  <si>
    <t>Ce</t>
  </si>
  <si>
    <t>Pr</t>
  </si>
  <si>
    <t>Nd</t>
  </si>
  <si>
    <t>Sm</t>
  </si>
  <si>
    <t>Eu</t>
  </si>
  <si>
    <t>Gd</t>
  </si>
  <si>
    <t>Tb</t>
  </si>
  <si>
    <t>Dy</t>
  </si>
  <si>
    <t>Ho</t>
  </si>
  <si>
    <t>Er</t>
  </si>
  <si>
    <t>Tm</t>
  </si>
  <si>
    <t>Yb</t>
  </si>
  <si>
    <t>Lu</t>
  </si>
  <si>
    <t>Hf</t>
  </si>
  <si>
    <t>Ta</t>
  </si>
  <si>
    <t>Pb</t>
  </si>
  <si>
    <t>Th</t>
  </si>
  <si>
    <t>U</t>
  </si>
  <si>
    <t>Olivine</t>
  </si>
  <si>
    <t>core</t>
  </si>
  <si>
    <t>rim</t>
  </si>
  <si>
    <t>interstitial/microlite</t>
  </si>
  <si>
    <t>SAN 14-1-1-3</t>
  </si>
  <si>
    <t>∑ Al+Si</t>
  </si>
  <si>
    <t>∑ Alkalis</t>
  </si>
  <si>
    <t>Mg#</t>
  </si>
  <si>
    <t>Al IV</t>
  </si>
  <si>
    <t>Al VI</t>
  </si>
  <si>
    <t>Putirka 1996</t>
  </si>
  <si>
    <t>Jd (Put)</t>
  </si>
  <si>
    <t>CaTs</t>
  </si>
  <si>
    <t>CaTi</t>
  </si>
  <si>
    <t>CrCaTs</t>
  </si>
  <si>
    <t xml:space="preserve">DiHd </t>
  </si>
  <si>
    <t>EnFs</t>
  </si>
  <si>
    <t>Sum (Put)</t>
  </si>
  <si>
    <t>Lindsley 1983</t>
  </si>
  <si>
    <t>Ac</t>
  </si>
  <si>
    <t>Jd</t>
  </si>
  <si>
    <t>FeCaTs</t>
  </si>
  <si>
    <t>AlCaTs</t>
  </si>
  <si>
    <t>Wo (Lin)</t>
  </si>
  <si>
    <t>En (Lin)</t>
  </si>
  <si>
    <t>Fs (Lin)</t>
  </si>
  <si>
    <t>Ternary</t>
  </si>
  <si>
    <t>Wo</t>
  </si>
  <si>
    <t>En</t>
  </si>
  <si>
    <t>Fs</t>
  </si>
  <si>
    <t>Eu*</t>
  </si>
  <si>
    <t>LnD Sc</t>
  </si>
  <si>
    <t>LnD Ti</t>
  </si>
  <si>
    <t>LnD V</t>
  </si>
  <si>
    <t>LnD Cr</t>
  </si>
  <si>
    <t>LnD Co</t>
  </si>
  <si>
    <t>LnD Ni</t>
  </si>
  <si>
    <t>LnD Cu</t>
  </si>
  <si>
    <t>LnD Zn</t>
  </si>
  <si>
    <t>LnD Rb</t>
  </si>
  <si>
    <t>LnD Sr</t>
  </si>
  <si>
    <t>LnD Y</t>
  </si>
  <si>
    <t>LnD Zr</t>
  </si>
  <si>
    <t>LnD Nb</t>
  </si>
  <si>
    <t>LnD Cs</t>
  </si>
  <si>
    <t>LnD Ba</t>
  </si>
  <si>
    <t>LnD La</t>
  </si>
  <si>
    <t>LnD Ce</t>
  </si>
  <si>
    <t>LnD Pr</t>
  </si>
  <si>
    <t>LnD Nd</t>
  </si>
  <si>
    <t>LnD Sm</t>
  </si>
  <si>
    <t>LnD Eu</t>
  </si>
  <si>
    <t>LnD Gd</t>
  </si>
  <si>
    <t>LnD Tb</t>
  </si>
  <si>
    <t>LnD Dy</t>
  </si>
  <si>
    <t>LnD Ho</t>
  </si>
  <si>
    <t>LnD Er</t>
  </si>
  <si>
    <t>LnD Tm</t>
  </si>
  <si>
    <t>LnD Yb</t>
  </si>
  <si>
    <t>LnD Lu</t>
  </si>
  <si>
    <t>LnD Hf</t>
  </si>
  <si>
    <t>LnD Ta</t>
  </si>
  <si>
    <t xml:space="preserve">LnD Pb </t>
  </si>
  <si>
    <t>LnD Th</t>
  </si>
  <si>
    <t>LnD U</t>
  </si>
  <si>
    <t>SAN 9-1-8-3</t>
  </si>
  <si>
    <t>SAN 6-3-1</t>
  </si>
  <si>
    <t>CT3</t>
  </si>
  <si>
    <t>inclusion</t>
  </si>
  <si>
    <t>fsp</t>
  </si>
  <si>
    <t>SAN 9-1-1-3</t>
  </si>
  <si>
    <t>US1</t>
  </si>
  <si>
    <t>SAN 5-3-4 (3)</t>
  </si>
  <si>
    <t>SAN 11-2-1-6</t>
  </si>
  <si>
    <t>mid</t>
  </si>
  <si>
    <t>Pyroxene</t>
  </si>
  <si>
    <t>cpx</t>
  </si>
  <si>
    <t>Feldspar</t>
  </si>
  <si>
    <t>An</t>
  </si>
  <si>
    <t>Ab</t>
  </si>
  <si>
    <t>Or</t>
  </si>
  <si>
    <t>Temperature for plag D (see thesis methods, estimated from druitt 2012)</t>
  </si>
  <si>
    <t>olv</t>
  </si>
  <si>
    <t>in pl1</t>
  </si>
  <si>
    <t>in cpx</t>
  </si>
  <si>
    <t>Temperature for plag D</t>
  </si>
  <si>
    <t>Amphibole</t>
  </si>
  <si>
    <t>microlite</t>
  </si>
  <si>
    <t>Magnetite</t>
  </si>
  <si>
    <t>within melt inclusion</t>
  </si>
  <si>
    <t>Titanite</t>
  </si>
  <si>
    <t>Rutile</t>
  </si>
  <si>
    <t>Quartz</t>
  </si>
  <si>
    <t>intercumulus</t>
  </si>
  <si>
    <t>Apatite</t>
  </si>
  <si>
    <t>ilmenite</t>
  </si>
  <si>
    <t>Biotite</t>
  </si>
  <si>
    <t>opx rim</t>
  </si>
  <si>
    <t>PEC corrected</t>
  </si>
  <si>
    <t>No.</t>
  </si>
  <si>
    <t>PEC %</t>
  </si>
  <si>
    <t>Original</t>
  </si>
  <si>
    <t>F</t>
  </si>
  <si>
    <t>(if Fe2O3)</t>
  </si>
  <si>
    <t>Type</t>
  </si>
  <si>
    <t>SUM CaO SiO2</t>
  </si>
  <si>
    <t>Ba/Zr</t>
  </si>
  <si>
    <t>Host Mineral</t>
  </si>
  <si>
    <t>AlIV</t>
  </si>
  <si>
    <t>Fe/Mg_min</t>
  </si>
  <si>
    <t>Fe/Mg_mi</t>
  </si>
  <si>
    <t>Fe/Mg_MI-cor</t>
  </si>
  <si>
    <t>KdFeMg_raw</t>
  </si>
  <si>
    <t>KdFeMg_corrected</t>
  </si>
  <si>
    <t>PEC</t>
  </si>
  <si>
    <t>Al2O3 from MgO</t>
  </si>
  <si>
    <t>Cor Al2O3</t>
  </si>
  <si>
    <t>KdAnAbUncor</t>
  </si>
  <si>
    <t>KdAnAbCor</t>
  </si>
  <si>
    <t>KdAnAbPredCorr</t>
  </si>
  <si>
    <t>Tsat-uncor</t>
  </si>
  <si>
    <t>Tsat-cor</t>
  </si>
  <si>
    <t>T-Pl-liq-uncor</t>
  </si>
  <si>
    <t>T-Pl-liq-cor</t>
  </si>
  <si>
    <t>Glass</t>
  </si>
  <si>
    <t>Olivine gabbro</t>
  </si>
  <si>
    <t>olv-corrected</t>
  </si>
  <si>
    <t>Melt Inclusion</t>
  </si>
  <si>
    <t>cpx-corrected</t>
  </si>
  <si>
    <t>in fsp core</t>
  </si>
  <si>
    <t>fsp-corrected</t>
  </si>
  <si>
    <t>opx-corrected</t>
  </si>
  <si>
    <t>opx</t>
  </si>
  <si>
    <t>Olv-Gabbronorite</t>
  </si>
  <si>
    <t>Olv-Gabbro-norite</t>
  </si>
  <si>
    <t>Gabbro-norite</t>
  </si>
  <si>
    <t>actual / nominal</t>
  </si>
  <si>
    <t>SD = Standard deviation; RSD = Relative standard deviation.</t>
  </si>
  <si>
    <t>Supplementary data for: "A record of magmatic differentiation in plutonic xenoliths from Santorini (Greece)</t>
  </si>
  <si>
    <t>Authors: S. Whitley, R. Halama, R. Gertisser, T. H. Hansteen, M. Frische, T. Vennemann</t>
  </si>
  <si>
    <t>Reference value</t>
  </si>
  <si>
    <t>interstitial</t>
  </si>
  <si>
    <r>
      <t>All data are presented in a format that can be easily filtered, plotted and/or read into statistical software such as R. The data are ordered in the order analysed. To see a specific mineral, sample, SiO</t>
    </r>
    <r>
      <rPr>
        <vertAlign val="subscript"/>
        <sz val="11"/>
        <color rgb="FF000000"/>
        <rFont val="Calibri"/>
        <family val="2"/>
        <scheme val="minor"/>
      </rPr>
      <t>2</t>
    </r>
    <r>
      <rPr>
        <sz val="11"/>
        <color rgb="FF000000"/>
        <rFont val="Calibri"/>
        <family val="2"/>
        <scheme val="minor"/>
      </rPr>
      <t xml:space="preserve"> content, etc., use the filter buttons above the respective column. Cells use conditional formatting (colours scaled by value) so that chemical variations in minerals can be clearly seen at a glance. Dark green colours denote relatively high values, and successively lower values are marked by lighter green colours.</t>
    </r>
  </si>
  <si>
    <t>Interstitial glass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</si>
</sst>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000"/>
    <numFmt numFmtId="166" formatCode="0.0"/>
  </numFmts>
  <fonts count="6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name val="Verdana"/>
      <family val="2"/>
    </font>
    <font>
      <sz val="11"/>
      <color theme="0" tint="-0.499984740745262"/>
      <name val="Calibri"/>
      <family val="2"/>
    </font>
    <font>
      <b/>
      <sz val="10"/>
      <color rgb="FF000000"/>
      <name val="Calibri"/>
      <family val="2"/>
    </font>
    <font>
      <sz val="10"/>
      <color rgb="FF000000"/>
      <name val="Calibri"/>
      <family val="2"/>
    </font>
    <font>
      <sz val="10"/>
      <color theme="0" tint="-0.499984740745262"/>
      <name val="Calibri"/>
      <family val="2"/>
    </font>
    <font>
      <sz val="9"/>
      <color indexed="81"/>
      <name val="Tahoma"/>
      <family val="2"/>
    </font>
    <font>
      <b/>
      <sz val="9"/>
      <color indexed="81"/>
      <name val="Tahoma"/>
      <family val="2"/>
    </font>
    <font>
      <sz val="11"/>
      <color rgb="FF000000"/>
      <name val="Calibri"/>
      <family val="2"/>
      <charset val="1"/>
    </font>
    <font>
      <sz val="10"/>
      <name val="MS Sans Serif"/>
      <family val="2"/>
      <charset val="1"/>
    </font>
    <font>
      <sz val="11"/>
      <color rgb="FF000000"/>
      <name val="Calibri"/>
      <family val="2"/>
    </font>
    <font>
      <u/>
      <sz val="11"/>
      <color theme="10"/>
      <name val="Calibri"/>
      <family val="2"/>
    </font>
    <font>
      <sz val="11"/>
      <color rgb="FF000000"/>
      <name val="Calibri"/>
      <family val="2"/>
    </font>
    <font>
      <sz val="10"/>
      <name val="Arial"/>
      <family val="2"/>
    </font>
    <font>
      <sz val="12"/>
      <color theme="1"/>
      <name val="Calibri"/>
      <family val="2"/>
      <scheme val="minor"/>
    </font>
    <font>
      <sz val="11"/>
      <color theme="1"/>
      <name val="Calibri"/>
      <family val="2"/>
    </font>
    <font>
      <i/>
      <sz val="11"/>
      <color rgb="FF000000"/>
      <name val="Calibri"/>
      <family val="2"/>
    </font>
    <font>
      <sz val="11"/>
      <name val="Calibri"/>
      <family val="2"/>
    </font>
    <font>
      <sz val="11"/>
      <color rgb="FF595959"/>
      <name val="Calibri"/>
      <family val="2"/>
    </font>
    <font>
      <sz val="11"/>
      <color rgb="FF000000"/>
      <name val="Calibri"/>
      <family val="2"/>
      <scheme val="minor"/>
    </font>
    <font>
      <vertAlign val="subscript"/>
      <sz val="11"/>
      <color rgb="FF000000"/>
      <name val="Calibri"/>
      <family val="2"/>
      <scheme val="minor"/>
    </font>
    <font>
      <vertAlign val="superscript"/>
      <sz val="11"/>
      <color theme="1"/>
      <name val="Calibri"/>
      <family val="2"/>
      <scheme val="minor"/>
    </font>
    <font>
      <vertAlign val="subscript"/>
      <sz val="11"/>
      <color rgb="FF000000"/>
      <name val="Calibri"/>
      <family val="2"/>
    </font>
    <font>
      <vertAlign val="superscript"/>
      <sz val="11"/>
      <color rgb="FF000000"/>
      <name val="Calibri"/>
      <family val="2"/>
    </font>
    <font>
      <b/>
      <i/>
      <sz val="11"/>
      <color rgb="FF000000"/>
      <name val="Calibri"/>
      <family val="2"/>
    </font>
    <font>
      <b/>
      <sz val="11"/>
      <name val="Calibri"/>
      <family val="2"/>
      <scheme val="minor"/>
    </font>
    <font>
      <sz val="11"/>
      <color rgb="FF00B050"/>
      <name val="Calibri"/>
      <family val="2"/>
      <scheme val="minor"/>
    </font>
    <font>
      <sz val="11"/>
      <name val="Calibri"/>
      <family val="2"/>
      <scheme val="minor"/>
    </font>
    <font>
      <b/>
      <sz val="16"/>
      <color rgb="FF000000"/>
      <name val="Cambria"/>
      <family val="1"/>
      <scheme val="major"/>
    </font>
    <font>
      <sz val="14"/>
      <color rgb="FF000000"/>
      <name val="Cambria"/>
      <family val="1"/>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E6E6E6"/>
      </patternFill>
    </fill>
    <fill>
      <patternFill patternType="solid">
        <fgColor rgb="FFE6E0EC"/>
        <bgColor rgb="FFE6E6E6"/>
      </patternFill>
    </fill>
    <fill>
      <patternFill patternType="solid">
        <fgColor rgb="FFDBEEF4"/>
        <bgColor rgb="FFDCE6F2"/>
      </patternFill>
    </fill>
    <fill>
      <patternFill patternType="solid">
        <fgColor rgb="FFFDEADA"/>
        <bgColor rgb="FFEBF1DE"/>
      </patternFill>
    </fill>
    <fill>
      <patternFill patternType="solid">
        <fgColor rgb="FFB9CDE5"/>
        <bgColor rgb="FFB7DEE8"/>
      </patternFill>
    </fill>
    <fill>
      <patternFill patternType="solid">
        <fgColor rgb="FFE6B9B8"/>
        <bgColor rgb="FFCCC1DA"/>
      </patternFill>
    </fill>
    <fill>
      <patternFill patternType="solid">
        <fgColor rgb="FFD7E4BD"/>
        <bgColor rgb="FFDDD9C3"/>
      </patternFill>
    </fill>
    <fill>
      <patternFill patternType="solid">
        <fgColor rgb="FFCCC1DA"/>
        <bgColor rgb="FFC0C0C0"/>
      </patternFill>
    </fill>
    <fill>
      <patternFill patternType="solid">
        <fgColor rgb="FFB7DEE8"/>
        <bgColor rgb="FFC9DAF8"/>
      </patternFill>
    </fill>
    <fill>
      <patternFill patternType="solid">
        <fgColor rgb="FFFCD5B5"/>
        <bgColor rgb="FFFFCC99"/>
      </patternFill>
    </fill>
    <fill>
      <patternFill patternType="solid">
        <fgColor rgb="FFFFFFCC"/>
        <bgColor rgb="FFEBF1DE"/>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276">
    <xf numFmtId="0" fontId="0" fillId="0" borderId="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4" applyNumberFormat="0" applyAlignment="0" applyProtection="0"/>
    <xf numFmtId="0" fontId="22" fillId="6" borderId="5" applyNumberFormat="0" applyAlignment="0" applyProtection="0"/>
    <xf numFmtId="0" fontId="23" fillId="6" borderId="4" applyNumberFormat="0" applyAlignment="0" applyProtection="0"/>
    <xf numFmtId="0" fontId="24" fillId="0" borderId="6" applyNumberFormat="0" applyFill="0" applyAlignment="0" applyProtection="0"/>
    <xf numFmtId="0" fontId="25" fillId="7" borderId="7"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9" fillId="32" borderId="0" applyNumberFormat="0" applyBorder="0" applyAlignment="0" applyProtection="0"/>
    <xf numFmtId="0" fontId="30" fillId="0" borderId="0"/>
    <xf numFmtId="0" fontId="11" fillId="0" borderId="0"/>
    <xf numFmtId="0" fontId="11"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3" fillId="0" borderId="0"/>
    <xf numFmtId="0" fontId="13" fillId="0" borderId="0"/>
    <xf numFmtId="0" fontId="31" fillId="0" borderId="0"/>
    <xf numFmtId="0" fontId="9" fillId="0" borderId="0"/>
    <xf numFmtId="0" fontId="31"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39" fillId="0" borderId="0"/>
    <xf numFmtId="0" fontId="38" fillId="38" borderId="0" applyBorder="0" applyProtection="0"/>
    <xf numFmtId="0" fontId="38" fillId="41" borderId="0" applyBorder="0" applyProtection="0"/>
    <xf numFmtId="0" fontId="38" fillId="35" borderId="0" applyBorder="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13" fillId="45" borderId="8"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8" fillId="42" borderId="0" applyBorder="0" applyProtection="0"/>
    <xf numFmtId="0" fontId="7" fillId="30" borderId="0" applyNumberFormat="0" applyBorder="0" applyAlignment="0" applyProtection="0"/>
    <xf numFmtId="0" fontId="7" fillId="31" borderId="0" applyNumberFormat="0" applyBorder="0" applyAlignment="0" applyProtection="0"/>
    <xf numFmtId="0" fontId="13" fillId="45" borderId="8" applyProtection="0"/>
    <xf numFmtId="0" fontId="7" fillId="0" borderId="0"/>
    <xf numFmtId="0" fontId="7" fillId="8" borderId="8" applyNumberFormat="0" applyFont="0" applyAlignment="0" applyProtection="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43" fontId="13" fillId="0" borderId="0" applyFont="0" applyFill="0" applyBorder="0" applyAlignment="0" applyProtection="0"/>
    <xf numFmtId="0" fontId="7" fillId="0" borderId="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8" fillId="39" borderId="0" applyBorder="0" applyProtection="0"/>
    <xf numFmtId="0" fontId="38" fillId="0" borderId="0"/>
    <xf numFmtId="0" fontId="38" fillId="0" borderId="0"/>
    <xf numFmtId="0" fontId="7" fillId="0" borderId="0"/>
    <xf numFmtId="0" fontId="38" fillId="40" borderId="0" applyBorder="0" applyProtection="0"/>
    <xf numFmtId="0" fontId="38" fillId="0" borderId="0"/>
    <xf numFmtId="0" fontId="38" fillId="34" borderId="0" applyBorder="0" applyProtection="0"/>
    <xf numFmtId="0" fontId="38" fillId="43" borderId="0" applyBorder="0" applyProtection="0"/>
    <xf numFmtId="0" fontId="38" fillId="36" borderId="0" applyBorder="0" applyProtection="0"/>
    <xf numFmtId="0" fontId="38" fillId="33" borderId="0" applyBorder="0" applyProtection="0"/>
    <xf numFmtId="0" fontId="38" fillId="37" borderId="0" applyBorder="0" applyProtection="0"/>
    <xf numFmtId="0" fontId="38" fillId="44" borderId="0" applyBorder="0" applyProtection="0"/>
    <xf numFmtId="0" fontId="6" fillId="0" borderId="0"/>
    <xf numFmtId="0" fontId="40" fillId="0" borderId="0"/>
    <xf numFmtId="0" fontId="13" fillId="0" borderId="0"/>
    <xf numFmtId="0" fontId="6" fillId="0" borderId="0"/>
    <xf numFmtId="0" fontId="41" fillId="0" borderId="0" applyNumberFormat="0" applyFill="0" applyBorder="0" applyAlignment="0" applyProtection="0"/>
    <xf numFmtId="0" fontId="30" fillId="0" borderId="0"/>
    <xf numFmtId="0" fontId="6" fillId="0" borderId="0"/>
    <xf numFmtId="0" fontId="5" fillId="0" borderId="0"/>
    <xf numFmtId="0" fontId="43" fillId="0" borderId="0"/>
    <xf numFmtId="0" fontId="44"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2" fillId="0" borderId="0"/>
    <xf numFmtId="0" fontId="30" fillId="0" borderId="0"/>
    <xf numFmtId="0" fontId="5" fillId="0" borderId="0"/>
    <xf numFmtId="0" fontId="5" fillId="8" borderId="8" applyNumberFormat="0" applyFont="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8" applyNumberFormat="0" applyFont="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3" fillId="0" borderId="0"/>
    <xf numFmtId="0" fontId="38" fillId="33" borderId="0" applyBorder="0" applyProtection="0"/>
    <xf numFmtId="0" fontId="38" fillId="34" borderId="0" applyBorder="0" applyProtection="0"/>
    <xf numFmtId="0" fontId="38" fillId="35" borderId="0" applyBorder="0" applyProtection="0"/>
    <xf numFmtId="0" fontId="38" fillId="36" borderId="0" applyBorder="0" applyProtection="0"/>
    <xf numFmtId="0" fontId="38" fillId="37" borderId="0" applyBorder="0" applyProtection="0"/>
    <xf numFmtId="0" fontId="38" fillId="38" borderId="0" applyBorder="0" applyProtection="0"/>
    <xf numFmtId="0" fontId="38" fillId="39" borderId="0" applyBorder="0" applyProtection="0"/>
    <xf numFmtId="0" fontId="38" fillId="40" borderId="0" applyBorder="0" applyProtection="0"/>
    <xf numFmtId="0" fontId="38" fillId="41" borderId="0" applyBorder="0" applyProtection="0"/>
    <xf numFmtId="0" fontId="38" fillId="42" borderId="0" applyBorder="0" applyProtection="0"/>
    <xf numFmtId="0" fontId="38" fillId="43" borderId="0" applyBorder="0" applyProtection="0"/>
    <xf numFmtId="0" fontId="38" fillId="44" borderId="0" applyBorder="0" applyProtection="0"/>
    <xf numFmtId="0" fontId="38" fillId="0" borderId="0"/>
    <xf numFmtId="0" fontId="38" fillId="0" borderId="0"/>
    <xf numFmtId="0" fontId="13" fillId="45" borderId="8" applyProtection="0"/>
    <xf numFmtId="0" fontId="13" fillId="45" borderId="8" applyProtection="0"/>
    <xf numFmtId="0" fontId="13" fillId="0" borderId="0"/>
    <xf numFmtId="0" fontId="3" fillId="0" borderId="0"/>
    <xf numFmtId="0" fontId="3" fillId="8" borderId="8" applyNumberFormat="0" applyFont="0" applyAlignment="0" applyProtection="0"/>
    <xf numFmtId="0" fontId="1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1" fillId="0" borderId="0"/>
  </cellStyleXfs>
  <cellXfs count="107">
    <xf numFmtId="0" fontId="0" fillId="0" borderId="0" xfId="0"/>
    <xf numFmtId="0" fontId="13" fillId="0" borderId="0" xfId="0" applyFont="1"/>
    <xf numFmtId="0" fontId="34" fillId="0" borderId="0" xfId="0" applyFont="1"/>
    <xf numFmtId="2" fontId="32" fillId="0" borderId="0" xfId="0" applyNumberFormat="1" applyFont="1"/>
    <xf numFmtId="0" fontId="12" fillId="0" borderId="0" xfId="0" applyFont="1"/>
    <xf numFmtId="49" fontId="13" fillId="0" borderId="0" xfId="0" applyNumberFormat="1" applyFont="1"/>
    <xf numFmtId="0" fontId="33" fillId="0" borderId="0" xfId="0" applyFont="1"/>
    <xf numFmtId="49" fontId="33" fillId="0" borderId="0" xfId="0" applyNumberFormat="1" applyFont="1"/>
    <xf numFmtId="0" fontId="32" fillId="0" borderId="0" xfId="0" applyFont="1"/>
    <xf numFmtId="2" fontId="35" fillId="0" borderId="0" xfId="0" applyNumberFormat="1" applyFont="1"/>
    <xf numFmtId="2" fontId="34" fillId="0" borderId="0" xfId="0" applyNumberFormat="1" applyFont="1"/>
    <xf numFmtId="2" fontId="12" fillId="0" borderId="0" xfId="0" applyNumberFormat="1" applyFont="1"/>
    <xf numFmtId="0" fontId="13" fillId="0" borderId="0" xfId="58" applyAlignment="1">
      <alignment wrapText="1"/>
    </xf>
    <xf numFmtId="1" fontId="13" fillId="0" borderId="0" xfId="58" applyNumberFormat="1"/>
    <xf numFmtId="1" fontId="13" fillId="0" borderId="0" xfId="0" applyNumberFormat="1" applyFont="1"/>
    <xf numFmtId="0" fontId="13" fillId="0" borderId="0" xfId="58"/>
    <xf numFmtId="2" fontId="13" fillId="0" borderId="0" xfId="58" applyNumberFormat="1"/>
    <xf numFmtId="2" fontId="12" fillId="0" borderId="0" xfId="58" applyNumberFormat="1" applyFont="1"/>
    <xf numFmtId="0" fontId="6" fillId="0" borderId="0" xfId="140"/>
    <xf numFmtId="0" fontId="40" fillId="0" borderId="0" xfId="141"/>
    <xf numFmtId="0" fontId="13" fillId="0" borderId="0" xfId="142"/>
    <xf numFmtId="2" fontId="34" fillId="0" borderId="0" xfId="58" applyNumberFormat="1" applyFont="1"/>
    <xf numFmtId="2" fontId="13" fillId="0" borderId="0" xfId="0" applyNumberFormat="1" applyFont="1"/>
    <xf numFmtId="164" fontId="13" fillId="0" borderId="13" xfId="0" applyNumberFormat="1" applyFont="1" applyBorder="1"/>
    <xf numFmtId="164" fontId="13" fillId="0" borderId="14" xfId="0" applyNumberFormat="1" applyFont="1" applyBorder="1"/>
    <xf numFmtId="164" fontId="13" fillId="0" borderId="12" xfId="0" applyNumberFormat="1" applyFont="1" applyBorder="1"/>
    <xf numFmtId="164" fontId="13" fillId="0" borderId="0" xfId="0" applyNumberFormat="1" applyFont="1"/>
    <xf numFmtId="0" fontId="13" fillId="0" borderId="13" xfId="0" applyFont="1" applyBorder="1"/>
    <xf numFmtId="164" fontId="13" fillId="0" borderId="10" xfId="0" applyNumberFormat="1" applyFont="1" applyBorder="1"/>
    <xf numFmtId="0" fontId="13" fillId="0" borderId="14" xfId="0" applyFont="1" applyBorder="1"/>
    <xf numFmtId="49" fontId="12" fillId="0" borderId="0" xfId="0" applyNumberFormat="1" applyFont="1"/>
    <xf numFmtId="0" fontId="13" fillId="0" borderId="11" xfId="0" applyFont="1" applyBorder="1"/>
    <xf numFmtId="0" fontId="46" fillId="0" borderId="0" xfId="0" applyFont="1"/>
    <xf numFmtId="0" fontId="47" fillId="0" borderId="12" xfId="0" applyFont="1" applyBorder="1"/>
    <xf numFmtId="0" fontId="47" fillId="0" borderId="0" xfId="0" applyFont="1"/>
    <xf numFmtId="49" fontId="13" fillId="0" borderId="0" xfId="58" applyNumberFormat="1"/>
    <xf numFmtId="0" fontId="12" fillId="0" borderId="0" xfId="58" applyFont="1"/>
    <xf numFmtId="0" fontId="13" fillId="0" borderId="14" xfId="58" applyBorder="1"/>
    <xf numFmtId="164" fontId="13" fillId="0" borderId="0" xfId="58" applyNumberFormat="1"/>
    <xf numFmtId="164" fontId="13" fillId="0" borderId="10" xfId="58" applyNumberFormat="1" applyBorder="1"/>
    <xf numFmtId="165" fontId="13" fillId="0" borderId="0" xfId="58" applyNumberFormat="1"/>
    <xf numFmtId="164" fontId="13" fillId="0" borderId="12" xfId="58" applyNumberFormat="1" applyBorder="1"/>
    <xf numFmtId="164" fontId="13" fillId="0" borderId="14" xfId="58" applyNumberFormat="1" applyBorder="1"/>
    <xf numFmtId="3" fontId="13" fillId="0" borderId="0" xfId="58" applyNumberFormat="1"/>
    <xf numFmtId="2" fontId="45" fillId="0" borderId="0" xfId="195" applyNumberFormat="1" applyFont="1"/>
    <xf numFmtId="0" fontId="13" fillId="0" borderId="11" xfId="58" applyBorder="1"/>
    <xf numFmtId="2" fontId="0" fillId="0" borderId="0" xfId="0" applyNumberFormat="1"/>
    <xf numFmtId="165" fontId="13" fillId="0" borderId="0" xfId="0" applyNumberFormat="1" applyFont="1"/>
    <xf numFmtId="49" fontId="0" fillId="0" borderId="0" xfId="0" applyNumberFormat="1"/>
    <xf numFmtId="2" fontId="13" fillId="0" borderId="14" xfId="0" applyNumberFormat="1" applyFont="1" applyBorder="1"/>
    <xf numFmtId="164" fontId="0" fillId="0" borderId="0" xfId="0" applyNumberFormat="1"/>
    <xf numFmtId="164" fontId="12" fillId="0" borderId="0" xfId="0" applyNumberFormat="1" applyFont="1"/>
    <xf numFmtId="2" fontId="48" fillId="0" borderId="0" xfId="0" applyNumberFormat="1" applyFont="1" applyAlignment="1">
      <alignment horizontal="center" vertical="center" readingOrder="1"/>
    </xf>
    <xf numFmtId="0" fontId="0" fillId="0" borderId="0" xfId="0" applyAlignment="1">
      <alignment wrapText="1"/>
    </xf>
    <xf numFmtId="0" fontId="28" fillId="0" borderId="0" xfId="274" applyFont="1" applyAlignment="1">
      <alignment horizontal="left"/>
    </xf>
    <xf numFmtId="0" fontId="13" fillId="0" borderId="0" xfId="58" applyAlignment="1">
      <alignment horizontal="left"/>
    </xf>
    <xf numFmtId="0" fontId="49" fillId="0" borderId="0" xfId="58" applyFont="1" applyAlignment="1">
      <alignment horizontal="left" vertical="center" wrapText="1"/>
    </xf>
    <xf numFmtId="0" fontId="49" fillId="0" borderId="0" xfId="58" applyFont="1" applyAlignment="1">
      <alignment vertical="center" wrapText="1"/>
    </xf>
    <xf numFmtId="0" fontId="13" fillId="0" borderId="0" xfId="58" applyAlignment="1">
      <alignment vertical="center" wrapText="1"/>
    </xf>
    <xf numFmtId="0" fontId="0" fillId="0" borderId="0" xfId="0" applyAlignment="1">
      <alignment vertical="center"/>
    </xf>
    <xf numFmtId="0" fontId="28" fillId="0" borderId="0" xfId="140" applyFont="1" applyAlignment="1">
      <alignment horizontal="right"/>
    </xf>
    <xf numFmtId="0" fontId="28" fillId="0" borderId="0" xfId="143" applyFont="1" applyAlignment="1">
      <alignment horizontal="right"/>
    </xf>
    <xf numFmtId="2" fontId="6" fillId="0" borderId="0" xfId="140" applyNumberFormat="1"/>
    <xf numFmtId="2" fontId="6" fillId="0" borderId="0" xfId="143" applyNumberFormat="1"/>
    <xf numFmtId="1" fontId="6" fillId="0" borderId="0" xfId="140" applyNumberFormat="1"/>
    <xf numFmtId="1" fontId="6" fillId="0" borderId="0" xfId="143" applyNumberFormat="1"/>
    <xf numFmtId="0" fontId="6" fillId="0" borderId="0" xfId="140" applyAlignment="1">
      <alignment vertical="center" wrapText="1"/>
    </xf>
    <xf numFmtId="0" fontId="54" fillId="0" borderId="0" xfId="58" applyFont="1" applyAlignment="1">
      <alignment horizontal="left"/>
    </xf>
    <xf numFmtId="0" fontId="54" fillId="0" borderId="0" xfId="142" applyFont="1"/>
    <xf numFmtId="0" fontId="28" fillId="0" borderId="10" xfId="140" applyFont="1" applyBorder="1"/>
    <xf numFmtId="0" fontId="6" fillId="0" borderId="10" xfId="140" applyBorder="1"/>
    <xf numFmtId="0" fontId="13" fillId="0" borderId="11" xfId="142" applyBorder="1"/>
    <xf numFmtId="0" fontId="28" fillId="0" borderId="11" xfId="140" applyFont="1" applyBorder="1" applyAlignment="1">
      <alignment horizontal="right"/>
    </xf>
    <xf numFmtId="0" fontId="28" fillId="0" borderId="11" xfId="143" applyFont="1" applyBorder="1" applyAlignment="1">
      <alignment horizontal="right"/>
    </xf>
    <xf numFmtId="0" fontId="28" fillId="0" borderId="11" xfId="140" applyFont="1" applyBorder="1" applyAlignment="1">
      <alignment horizontal="right" wrapText="1"/>
    </xf>
    <xf numFmtId="0" fontId="40" fillId="0" borderId="11" xfId="141" applyBorder="1"/>
    <xf numFmtId="0" fontId="55" fillId="0" borderId="0" xfId="274" applyFont="1" applyAlignment="1">
      <alignment horizontal="left"/>
    </xf>
    <xf numFmtId="0" fontId="28" fillId="0" borderId="0" xfId="275" applyFont="1" applyAlignment="1">
      <alignment horizontal="left"/>
    </xf>
    <xf numFmtId="0" fontId="1" fillId="0" borderId="0" xfId="275"/>
    <xf numFmtId="0" fontId="1" fillId="0" borderId="10" xfId="275" applyBorder="1"/>
    <xf numFmtId="0" fontId="28" fillId="0" borderId="10" xfId="275" applyFont="1" applyBorder="1" applyAlignment="1">
      <alignment horizontal="right"/>
    </xf>
    <xf numFmtId="0" fontId="26" fillId="0" borderId="10" xfId="275" applyFont="1" applyBorder="1"/>
    <xf numFmtId="0" fontId="56" fillId="0" borderId="0" xfId="275" applyFont="1"/>
    <xf numFmtId="0" fontId="1" fillId="0" borderId="11" xfId="275" applyBorder="1"/>
    <xf numFmtId="166" fontId="1" fillId="0" borderId="0" xfId="275" applyNumberFormat="1"/>
    <xf numFmtId="166" fontId="57" fillId="0" borderId="0" xfId="275" applyNumberFormat="1" applyFont="1"/>
    <xf numFmtId="1" fontId="1" fillId="0" borderId="0" xfId="275" applyNumberFormat="1"/>
    <xf numFmtId="2" fontId="1" fillId="0" borderId="0" xfId="275" applyNumberFormat="1"/>
    <xf numFmtId="0" fontId="0" fillId="0" borderId="0" xfId="275" applyFont="1"/>
    <xf numFmtId="0" fontId="58" fillId="0" borderId="0" xfId="58" applyFont="1" applyAlignment="1">
      <alignment wrapText="1"/>
    </xf>
    <xf numFmtId="0" fontId="59" fillId="0" borderId="0" xfId="58" applyFont="1" applyAlignment="1">
      <alignment horizontal="left" vertical="center"/>
    </xf>
    <xf numFmtId="2" fontId="57" fillId="0" borderId="0" xfId="275" applyNumberFormat="1" applyFont="1"/>
    <xf numFmtId="1" fontId="57" fillId="0" borderId="0" xfId="275" applyNumberFormat="1" applyFont="1"/>
    <xf numFmtId="0" fontId="1" fillId="0" borderId="0" xfId="275" applyAlignment="1">
      <alignment horizontal="right" wrapText="1"/>
    </xf>
    <xf numFmtId="0" fontId="0" fillId="0" borderId="0" xfId="275" applyFont="1" applyAlignment="1">
      <alignment horizontal="right" wrapText="1"/>
    </xf>
    <xf numFmtId="0" fontId="1" fillId="0" borderId="11" xfId="275" applyBorder="1" applyAlignment="1">
      <alignment horizontal="right" wrapText="1"/>
    </xf>
    <xf numFmtId="166" fontId="13" fillId="0" borderId="0" xfId="0" applyNumberFormat="1" applyFont="1"/>
    <xf numFmtId="0" fontId="12" fillId="0" borderId="0" xfId="0" applyFont="1" applyAlignment="1">
      <alignment horizontal="center"/>
    </xf>
    <xf numFmtId="0" fontId="13" fillId="0" borderId="0" xfId="0" applyFont="1" applyAlignment="1">
      <alignment horizontal="center"/>
    </xf>
    <xf numFmtId="0" fontId="0" fillId="0" borderId="0" xfId="0" applyAlignment="1">
      <alignment horizontal="center"/>
    </xf>
    <xf numFmtId="166" fontId="0" fillId="0" borderId="0" xfId="0" applyNumberFormat="1"/>
    <xf numFmtId="1" fontId="0" fillId="0" borderId="0" xfId="0" applyNumberFormat="1"/>
    <xf numFmtId="0" fontId="13" fillId="0" borderId="0" xfId="58" applyAlignment="1">
      <alignment horizontal="center"/>
    </xf>
    <xf numFmtId="0" fontId="13" fillId="0" borderId="0" xfId="58" applyAlignment="1">
      <alignment horizontal="right"/>
    </xf>
    <xf numFmtId="166" fontId="13" fillId="0" borderId="0" xfId="58" applyNumberFormat="1"/>
    <xf numFmtId="0" fontId="33" fillId="0" borderId="0" xfId="0" applyFont="1" applyAlignment="1">
      <alignment horizontal="center"/>
    </xf>
    <xf numFmtId="0" fontId="28" fillId="0" borderId="10" xfId="140" applyFont="1" applyBorder="1" applyAlignment="1">
      <alignment horizontal="center"/>
    </xf>
  </cellXfs>
  <cellStyles count="276">
    <cellStyle name="20% - Accent1" xfId="18" builtinId="30" customBuiltin="1"/>
    <cellStyle name="20% - Accent1 2" xfId="46" xr:uid="{00000000-0005-0000-0000-000001000000}"/>
    <cellStyle name="20% - Accent1 2 2" xfId="100" xr:uid="{00000000-0005-0000-0000-000002000000}"/>
    <cellStyle name="20% - Accent1 2 2 2" xfId="240" xr:uid="{00000000-0005-0000-0000-000003000000}"/>
    <cellStyle name="20% - Accent1 2 3" xfId="137" xr:uid="{00000000-0005-0000-0000-000004000000}"/>
    <cellStyle name="20% - Accent1 2 3 2" xfId="227" xr:uid="{00000000-0005-0000-0000-000005000000}"/>
    <cellStyle name="20% - Accent1 2 4" xfId="168" xr:uid="{00000000-0005-0000-0000-000006000000}"/>
    <cellStyle name="20% - Accent1 3" xfId="65" xr:uid="{00000000-0005-0000-0000-000007000000}"/>
    <cellStyle name="20% - Accent1 3 2" xfId="116" xr:uid="{00000000-0005-0000-0000-000008000000}"/>
    <cellStyle name="20% - Accent1 3 3" xfId="183" xr:uid="{00000000-0005-0000-0000-000009000000}"/>
    <cellStyle name="20% - Accent1 3 4" xfId="262" xr:uid="{00000000-0005-0000-0000-00000A000000}"/>
    <cellStyle name="20% - Accent1 4" xfId="81" xr:uid="{00000000-0005-0000-0000-00000B000000}"/>
    <cellStyle name="20% - Accent1 4 2" xfId="211" xr:uid="{00000000-0005-0000-0000-00000C000000}"/>
    <cellStyle name="20% - Accent1 5" xfId="150" xr:uid="{00000000-0005-0000-0000-00000D000000}"/>
    <cellStyle name="20% - Accent1 6" xfId="196" xr:uid="{00000000-0005-0000-0000-00000E000000}"/>
    <cellStyle name="20% - Accent2" xfId="22" builtinId="34" customBuiltin="1"/>
    <cellStyle name="20% - Accent2 2" xfId="48" xr:uid="{00000000-0005-0000-0000-000010000000}"/>
    <cellStyle name="20% - Accent2 2 2" xfId="102" xr:uid="{00000000-0005-0000-0000-000011000000}"/>
    <cellStyle name="20% - Accent2 2 2 2" xfId="241" xr:uid="{00000000-0005-0000-0000-000012000000}"/>
    <cellStyle name="20% - Accent2 2 3" xfId="134" xr:uid="{00000000-0005-0000-0000-000013000000}"/>
    <cellStyle name="20% - Accent2 2 3 2" xfId="229" xr:uid="{00000000-0005-0000-0000-000014000000}"/>
    <cellStyle name="20% - Accent2 2 4" xfId="170" xr:uid="{00000000-0005-0000-0000-000015000000}"/>
    <cellStyle name="20% - Accent2 3" xfId="67" xr:uid="{00000000-0005-0000-0000-000016000000}"/>
    <cellStyle name="20% - Accent2 3 2" xfId="118" xr:uid="{00000000-0005-0000-0000-000017000000}"/>
    <cellStyle name="20% - Accent2 3 3" xfId="185" xr:uid="{00000000-0005-0000-0000-000018000000}"/>
    <cellStyle name="20% - Accent2 3 4" xfId="264" xr:uid="{00000000-0005-0000-0000-000019000000}"/>
    <cellStyle name="20% - Accent2 4" xfId="83" xr:uid="{00000000-0005-0000-0000-00001A000000}"/>
    <cellStyle name="20% - Accent2 4 2" xfId="213" xr:uid="{00000000-0005-0000-0000-00001B000000}"/>
    <cellStyle name="20% - Accent2 5" xfId="152" xr:uid="{00000000-0005-0000-0000-00001C000000}"/>
    <cellStyle name="20% - Accent2 6" xfId="198" xr:uid="{00000000-0005-0000-0000-00001D000000}"/>
    <cellStyle name="20% - Accent3" xfId="26" builtinId="38" customBuiltin="1"/>
    <cellStyle name="20% - Accent3 2" xfId="50" xr:uid="{00000000-0005-0000-0000-00001F000000}"/>
    <cellStyle name="20% - Accent3 2 2" xfId="104" xr:uid="{00000000-0005-0000-0000-000020000000}"/>
    <cellStyle name="20% - Accent3 2 2 2" xfId="242" xr:uid="{00000000-0005-0000-0000-000021000000}"/>
    <cellStyle name="20% - Accent3 2 3" xfId="80" xr:uid="{00000000-0005-0000-0000-000022000000}"/>
    <cellStyle name="20% - Accent3 2 3 2" xfId="231" xr:uid="{00000000-0005-0000-0000-000023000000}"/>
    <cellStyle name="20% - Accent3 2 4" xfId="172" xr:uid="{00000000-0005-0000-0000-000024000000}"/>
    <cellStyle name="20% - Accent3 3" xfId="69" xr:uid="{00000000-0005-0000-0000-000025000000}"/>
    <cellStyle name="20% - Accent3 3 2" xfId="120" xr:uid="{00000000-0005-0000-0000-000026000000}"/>
    <cellStyle name="20% - Accent3 3 3" xfId="187" xr:uid="{00000000-0005-0000-0000-000027000000}"/>
    <cellStyle name="20% - Accent3 3 4" xfId="266" xr:uid="{00000000-0005-0000-0000-000028000000}"/>
    <cellStyle name="20% - Accent3 4" xfId="86" xr:uid="{00000000-0005-0000-0000-000029000000}"/>
    <cellStyle name="20% - Accent3 4 2" xfId="215" xr:uid="{00000000-0005-0000-0000-00002A000000}"/>
    <cellStyle name="20% - Accent3 5" xfId="154" xr:uid="{00000000-0005-0000-0000-00002B000000}"/>
    <cellStyle name="20% - Accent3 6" xfId="200" xr:uid="{00000000-0005-0000-0000-00002C000000}"/>
    <cellStyle name="20% - Accent4" xfId="30" builtinId="42" customBuiltin="1"/>
    <cellStyle name="20% - Accent4 2" xfId="52" xr:uid="{00000000-0005-0000-0000-00002E000000}"/>
    <cellStyle name="20% - Accent4 2 2" xfId="106" xr:uid="{00000000-0005-0000-0000-00002F000000}"/>
    <cellStyle name="20% - Accent4 2 2 2" xfId="243" xr:uid="{00000000-0005-0000-0000-000030000000}"/>
    <cellStyle name="20% - Accent4 2 3" xfId="136" xr:uid="{00000000-0005-0000-0000-000031000000}"/>
    <cellStyle name="20% - Accent4 2 3 2" xfId="233" xr:uid="{00000000-0005-0000-0000-000032000000}"/>
    <cellStyle name="20% - Accent4 2 4" xfId="174" xr:uid="{00000000-0005-0000-0000-000033000000}"/>
    <cellStyle name="20% - Accent4 3" xfId="71" xr:uid="{00000000-0005-0000-0000-000034000000}"/>
    <cellStyle name="20% - Accent4 3 2" xfId="122" xr:uid="{00000000-0005-0000-0000-000035000000}"/>
    <cellStyle name="20% - Accent4 3 3" xfId="189" xr:uid="{00000000-0005-0000-0000-000036000000}"/>
    <cellStyle name="20% - Accent4 3 4" xfId="268" xr:uid="{00000000-0005-0000-0000-000037000000}"/>
    <cellStyle name="20% - Accent4 4" xfId="88" xr:uid="{00000000-0005-0000-0000-000038000000}"/>
    <cellStyle name="20% - Accent4 4 2" xfId="217" xr:uid="{00000000-0005-0000-0000-000039000000}"/>
    <cellStyle name="20% - Accent4 5" xfId="156" xr:uid="{00000000-0005-0000-0000-00003A000000}"/>
    <cellStyle name="20% - Accent4 6" xfId="202" xr:uid="{00000000-0005-0000-0000-00003B000000}"/>
    <cellStyle name="20% - Accent5" xfId="34" builtinId="46" customBuiltin="1"/>
    <cellStyle name="20% - Accent5 2" xfId="54" xr:uid="{00000000-0005-0000-0000-00003D000000}"/>
    <cellStyle name="20% - Accent5 2 2" xfId="108" xr:uid="{00000000-0005-0000-0000-00003E000000}"/>
    <cellStyle name="20% - Accent5 2 2 2" xfId="244" xr:uid="{00000000-0005-0000-0000-00003F000000}"/>
    <cellStyle name="20% - Accent5 2 3" xfId="138" xr:uid="{00000000-0005-0000-0000-000040000000}"/>
    <cellStyle name="20% - Accent5 2 3 2" xfId="235" xr:uid="{00000000-0005-0000-0000-000041000000}"/>
    <cellStyle name="20% - Accent5 2 4" xfId="176" xr:uid="{00000000-0005-0000-0000-000042000000}"/>
    <cellStyle name="20% - Accent5 3" xfId="73" xr:uid="{00000000-0005-0000-0000-000043000000}"/>
    <cellStyle name="20% - Accent5 3 2" xfId="124" xr:uid="{00000000-0005-0000-0000-000044000000}"/>
    <cellStyle name="20% - Accent5 3 3" xfId="191" xr:uid="{00000000-0005-0000-0000-000045000000}"/>
    <cellStyle name="20% - Accent5 3 4" xfId="270" xr:uid="{00000000-0005-0000-0000-000046000000}"/>
    <cellStyle name="20% - Accent5 4" xfId="90" xr:uid="{00000000-0005-0000-0000-000047000000}"/>
    <cellStyle name="20% - Accent5 4 2" xfId="219" xr:uid="{00000000-0005-0000-0000-000048000000}"/>
    <cellStyle name="20% - Accent5 5" xfId="158" xr:uid="{00000000-0005-0000-0000-000049000000}"/>
    <cellStyle name="20% - Accent5 6" xfId="204" xr:uid="{00000000-0005-0000-0000-00004A000000}"/>
    <cellStyle name="20% - Accent6" xfId="38" builtinId="50" customBuiltin="1"/>
    <cellStyle name="20% - Accent6 2" xfId="56" xr:uid="{00000000-0005-0000-0000-00004C000000}"/>
    <cellStyle name="20% - Accent6 2 2" xfId="110" xr:uid="{00000000-0005-0000-0000-00004D000000}"/>
    <cellStyle name="20% - Accent6 2 2 2" xfId="245" xr:uid="{00000000-0005-0000-0000-00004E000000}"/>
    <cellStyle name="20% - Accent6 2 3" xfId="78" xr:uid="{00000000-0005-0000-0000-00004F000000}"/>
    <cellStyle name="20% - Accent6 2 3 2" xfId="237" xr:uid="{00000000-0005-0000-0000-000050000000}"/>
    <cellStyle name="20% - Accent6 2 4" xfId="178" xr:uid="{00000000-0005-0000-0000-000051000000}"/>
    <cellStyle name="20% - Accent6 3" xfId="75" xr:uid="{00000000-0005-0000-0000-000052000000}"/>
    <cellStyle name="20% - Accent6 3 2" xfId="126" xr:uid="{00000000-0005-0000-0000-000053000000}"/>
    <cellStyle name="20% - Accent6 3 3" xfId="193" xr:uid="{00000000-0005-0000-0000-000054000000}"/>
    <cellStyle name="20% - Accent6 3 4" xfId="272" xr:uid="{00000000-0005-0000-0000-000055000000}"/>
    <cellStyle name="20% - Accent6 4" xfId="93" xr:uid="{00000000-0005-0000-0000-000056000000}"/>
    <cellStyle name="20% - Accent6 4 2" xfId="221" xr:uid="{00000000-0005-0000-0000-000057000000}"/>
    <cellStyle name="20% - Accent6 5" xfId="160" xr:uid="{00000000-0005-0000-0000-000058000000}"/>
    <cellStyle name="20% - Accent6 6" xfId="206" xr:uid="{00000000-0005-0000-0000-000059000000}"/>
    <cellStyle name="40% - Accent1" xfId="19" builtinId="31" customBuiltin="1"/>
    <cellStyle name="40% - Accent1 2" xfId="47" xr:uid="{00000000-0005-0000-0000-00005B000000}"/>
    <cellStyle name="40% - Accent1 2 2" xfId="101" xr:uid="{00000000-0005-0000-0000-00005C000000}"/>
    <cellStyle name="40% - Accent1 2 2 2" xfId="246" xr:uid="{00000000-0005-0000-0000-00005D000000}"/>
    <cellStyle name="40% - Accent1 2 3" xfId="128" xr:uid="{00000000-0005-0000-0000-00005E000000}"/>
    <cellStyle name="40% - Accent1 2 3 2" xfId="228" xr:uid="{00000000-0005-0000-0000-00005F000000}"/>
    <cellStyle name="40% - Accent1 2 4" xfId="169" xr:uid="{00000000-0005-0000-0000-000060000000}"/>
    <cellStyle name="40% - Accent1 3" xfId="66" xr:uid="{00000000-0005-0000-0000-000061000000}"/>
    <cellStyle name="40% - Accent1 3 2" xfId="117" xr:uid="{00000000-0005-0000-0000-000062000000}"/>
    <cellStyle name="40% - Accent1 3 3" xfId="184" xr:uid="{00000000-0005-0000-0000-000063000000}"/>
    <cellStyle name="40% - Accent1 3 4" xfId="263" xr:uid="{00000000-0005-0000-0000-000064000000}"/>
    <cellStyle name="40% - Accent1 4" xfId="82" xr:uid="{00000000-0005-0000-0000-000065000000}"/>
    <cellStyle name="40% - Accent1 4 2" xfId="212" xr:uid="{00000000-0005-0000-0000-000066000000}"/>
    <cellStyle name="40% - Accent1 5" xfId="151" xr:uid="{00000000-0005-0000-0000-000067000000}"/>
    <cellStyle name="40% - Accent1 6" xfId="197" xr:uid="{00000000-0005-0000-0000-000068000000}"/>
    <cellStyle name="40% - Accent2" xfId="23" builtinId="35" customBuiltin="1"/>
    <cellStyle name="40% - Accent2 2" xfId="49" xr:uid="{00000000-0005-0000-0000-00006A000000}"/>
    <cellStyle name="40% - Accent2 2 2" xfId="103" xr:uid="{00000000-0005-0000-0000-00006B000000}"/>
    <cellStyle name="40% - Accent2 2 2 2" xfId="247" xr:uid="{00000000-0005-0000-0000-00006C000000}"/>
    <cellStyle name="40% - Accent2 2 3" xfId="132" xr:uid="{00000000-0005-0000-0000-00006D000000}"/>
    <cellStyle name="40% - Accent2 2 3 2" xfId="230" xr:uid="{00000000-0005-0000-0000-00006E000000}"/>
    <cellStyle name="40% - Accent2 2 4" xfId="171" xr:uid="{00000000-0005-0000-0000-00006F000000}"/>
    <cellStyle name="40% - Accent2 3" xfId="68" xr:uid="{00000000-0005-0000-0000-000070000000}"/>
    <cellStyle name="40% - Accent2 3 2" xfId="119" xr:uid="{00000000-0005-0000-0000-000071000000}"/>
    <cellStyle name="40% - Accent2 3 3" xfId="186" xr:uid="{00000000-0005-0000-0000-000072000000}"/>
    <cellStyle name="40% - Accent2 3 4" xfId="265" xr:uid="{00000000-0005-0000-0000-000073000000}"/>
    <cellStyle name="40% - Accent2 4" xfId="84" xr:uid="{00000000-0005-0000-0000-000074000000}"/>
    <cellStyle name="40% - Accent2 4 2" xfId="214" xr:uid="{00000000-0005-0000-0000-000075000000}"/>
    <cellStyle name="40% - Accent2 5" xfId="153" xr:uid="{00000000-0005-0000-0000-000076000000}"/>
    <cellStyle name="40% - Accent2 6" xfId="199" xr:uid="{00000000-0005-0000-0000-000077000000}"/>
    <cellStyle name="40% - Accent3" xfId="27" builtinId="39" customBuiltin="1"/>
    <cellStyle name="40% - Accent3 2" xfId="51" xr:uid="{00000000-0005-0000-0000-000079000000}"/>
    <cellStyle name="40% - Accent3 2 2" xfId="105" xr:uid="{00000000-0005-0000-0000-00007A000000}"/>
    <cellStyle name="40% - Accent3 2 2 2" xfId="248" xr:uid="{00000000-0005-0000-0000-00007B000000}"/>
    <cellStyle name="40% - Accent3 2 3" xfId="79" xr:uid="{00000000-0005-0000-0000-00007C000000}"/>
    <cellStyle name="40% - Accent3 2 3 2" xfId="232" xr:uid="{00000000-0005-0000-0000-00007D000000}"/>
    <cellStyle name="40% - Accent3 2 4" xfId="173" xr:uid="{00000000-0005-0000-0000-00007E000000}"/>
    <cellStyle name="40% - Accent3 3" xfId="70" xr:uid="{00000000-0005-0000-0000-00007F000000}"/>
    <cellStyle name="40% - Accent3 3 2" xfId="121" xr:uid="{00000000-0005-0000-0000-000080000000}"/>
    <cellStyle name="40% - Accent3 3 3" xfId="188" xr:uid="{00000000-0005-0000-0000-000081000000}"/>
    <cellStyle name="40% - Accent3 3 4" xfId="267" xr:uid="{00000000-0005-0000-0000-000082000000}"/>
    <cellStyle name="40% - Accent3 4" xfId="87" xr:uid="{00000000-0005-0000-0000-000083000000}"/>
    <cellStyle name="40% - Accent3 4 2" xfId="216" xr:uid="{00000000-0005-0000-0000-000084000000}"/>
    <cellStyle name="40% - Accent3 5" xfId="155" xr:uid="{00000000-0005-0000-0000-000085000000}"/>
    <cellStyle name="40% - Accent3 6" xfId="201" xr:uid="{00000000-0005-0000-0000-000086000000}"/>
    <cellStyle name="40% - Accent4" xfId="31" builtinId="43" customBuiltin="1"/>
    <cellStyle name="40% - Accent4 2" xfId="53" xr:uid="{00000000-0005-0000-0000-000088000000}"/>
    <cellStyle name="40% - Accent4 2 2" xfId="107" xr:uid="{00000000-0005-0000-0000-000089000000}"/>
    <cellStyle name="40% - Accent4 2 2 2" xfId="249" xr:uid="{00000000-0005-0000-0000-00008A000000}"/>
    <cellStyle name="40% - Accent4 2 3" xfId="92" xr:uid="{00000000-0005-0000-0000-00008B000000}"/>
    <cellStyle name="40% - Accent4 2 3 2" xfId="234" xr:uid="{00000000-0005-0000-0000-00008C000000}"/>
    <cellStyle name="40% - Accent4 2 4" xfId="175" xr:uid="{00000000-0005-0000-0000-00008D000000}"/>
    <cellStyle name="40% - Accent4 3" xfId="72" xr:uid="{00000000-0005-0000-0000-00008E000000}"/>
    <cellStyle name="40% - Accent4 3 2" xfId="123" xr:uid="{00000000-0005-0000-0000-00008F000000}"/>
    <cellStyle name="40% - Accent4 3 3" xfId="190" xr:uid="{00000000-0005-0000-0000-000090000000}"/>
    <cellStyle name="40% - Accent4 3 4" xfId="269" xr:uid="{00000000-0005-0000-0000-000091000000}"/>
    <cellStyle name="40% - Accent4 4" xfId="89" xr:uid="{00000000-0005-0000-0000-000092000000}"/>
    <cellStyle name="40% - Accent4 4 2" xfId="218" xr:uid="{00000000-0005-0000-0000-000093000000}"/>
    <cellStyle name="40% - Accent4 5" xfId="157" xr:uid="{00000000-0005-0000-0000-000094000000}"/>
    <cellStyle name="40% - Accent4 6" xfId="203" xr:uid="{00000000-0005-0000-0000-000095000000}"/>
    <cellStyle name="40% - Accent5" xfId="35" builtinId="47" customBuiltin="1"/>
    <cellStyle name="40% - Accent5 2" xfId="55" xr:uid="{00000000-0005-0000-0000-000097000000}"/>
    <cellStyle name="40% - Accent5 2 2" xfId="109" xr:uid="{00000000-0005-0000-0000-000098000000}"/>
    <cellStyle name="40% - Accent5 2 2 2" xfId="250" xr:uid="{00000000-0005-0000-0000-000099000000}"/>
    <cellStyle name="40% - Accent5 2 3" xfId="135" xr:uid="{00000000-0005-0000-0000-00009A000000}"/>
    <cellStyle name="40% - Accent5 2 3 2" xfId="236" xr:uid="{00000000-0005-0000-0000-00009B000000}"/>
    <cellStyle name="40% - Accent5 2 4" xfId="177" xr:uid="{00000000-0005-0000-0000-00009C000000}"/>
    <cellStyle name="40% - Accent5 3" xfId="74" xr:uid="{00000000-0005-0000-0000-00009D000000}"/>
    <cellStyle name="40% - Accent5 3 2" xfId="125" xr:uid="{00000000-0005-0000-0000-00009E000000}"/>
    <cellStyle name="40% - Accent5 3 3" xfId="192" xr:uid="{00000000-0005-0000-0000-00009F000000}"/>
    <cellStyle name="40% - Accent5 3 4" xfId="271" xr:uid="{00000000-0005-0000-0000-0000A0000000}"/>
    <cellStyle name="40% - Accent5 4" xfId="91" xr:uid="{00000000-0005-0000-0000-0000A1000000}"/>
    <cellStyle name="40% - Accent5 4 2" xfId="220" xr:uid="{00000000-0005-0000-0000-0000A2000000}"/>
    <cellStyle name="40% - Accent5 5" xfId="159" xr:uid="{00000000-0005-0000-0000-0000A3000000}"/>
    <cellStyle name="40% - Accent5 6" xfId="205" xr:uid="{00000000-0005-0000-0000-0000A4000000}"/>
    <cellStyle name="40% - Accent6" xfId="39" builtinId="51" customBuiltin="1"/>
    <cellStyle name="40% - Accent6 2" xfId="57" xr:uid="{00000000-0005-0000-0000-0000A6000000}"/>
    <cellStyle name="40% - Accent6 2 2" xfId="111" xr:uid="{00000000-0005-0000-0000-0000A7000000}"/>
    <cellStyle name="40% - Accent6 2 2 2" xfId="251" xr:uid="{00000000-0005-0000-0000-0000A8000000}"/>
    <cellStyle name="40% - Accent6 2 3" xfId="139" xr:uid="{00000000-0005-0000-0000-0000A9000000}"/>
    <cellStyle name="40% - Accent6 2 3 2" xfId="238" xr:uid="{00000000-0005-0000-0000-0000AA000000}"/>
    <cellStyle name="40% - Accent6 2 4" xfId="179" xr:uid="{00000000-0005-0000-0000-0000AB000000}"/>
    <cellStyle name="40% - Accent6 3" xfId="76" xr:uid="{00000000-0005-0000-0000-0000AC000000}"/>
    <cellStyle name="40% - Accent6 3 2" xfId="127" xr:uid="{00000000-0005-0000-0000-0000AD000000}"/>
    <cellStyle name="40% - Accent6 3 3" xfId="194" xr:uid="{00000000-0005-0000-0000-0000AE000000}"/>
    <cellStyle name="40% - Accent6 3 4" xfId="273" xr:uid="{00000000-0005-0000-0000-0000AF000000}"/>
    <cellStyle name="40% - Accent6 4" xfId="94" xr:uid="{00000000-0005-0000-0000-0000B0000000}"/>
    <cellStyle name="40% - Accent6 4 2" xfId="222" xr:uid="{00000000-0005-0000-0000-0000B1000000}"/>
    <cellStyle name="40% - Accent6 5" xfId="161" xr:uid="{00000000-0005-0000-0000-0000B2000000}"/>
    <cellStyle name="40% - Accent6 6" xfId="207" xr:uid="{00000000-0005-0000-0000-0000B3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112" xr:uid="{00000000-0005-0000-0000-0000C300000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144" xr:uid="{00000000-0005-0000-0000-0000CA000000}"/>
    <cellStyle name="Input" xfId="9" builtinId="20" customBuiltin="1"/>
    <cellStyle name="Linked Cell" xfId="12" builtinId="24" customBuiltin="1"/>
    <cellStyle name="Neutral" xfId="8" builtinId="28" customBuiltin="1"/>
    <cellStyle name="Normal" xfId="0" builtinId="0"/>
    <cellStyle name="Normal 10" xfId="140" xr:uid="{00000000-0005-0000-0000-0000CF000000}"/>
    <cellStyle name="Normal 10 2" xfId="210" xr:uid="{00000000-0005-0000-0000-0000D0000000}"/>
    <cellStyle name="Normal 11" xfId="147" xr:uid="{00000000-0005-0000-0000-0000D1000000}"/>
    <cellStyle name="Normal 12" xfId="274" xr:uid="{17335478-C5A8-4F83-9CDE-23ED422CA305}"/>
    <cellStyle name="Normal 12 2" xfId="275" xr:uid="{B47A7191-8357-4E2C-AB9D-F92B65C90CDD}"/>
    <cellStyle name="Normal 2" xfId="41" xr:uid="{00000000-0005-0000-0000-0000D2000000}"/>
    <cellStyle name="Normal 2 2" xfId="77" xr:uid="{00000000-0005-0000-0000-0000D3000000}"/>
    <cellStyle name="Normal 2 2 2" xfId="163" xr:uid="{00000000-0005-0000-0000-0000D4000000}"/>
    <cellStyle name="Normal 2 3" xfId="145" xr:uid="{00000000-0005-0000-0000-0000D5000000}"/>
    <cellStyle name="Normal 2 4" xfId="148" xr:uid="{00000000-0005-0000-0000-0000D6000000}"/>
    <cellStyle name="Normal 3" xfId="42" xr:uid="{00000000-0005-0000-0000-0000D7000000}"/>
    <cellStyle name="Normal 3 2" xfId="96" xr:uid="{00000000-0005-0000-0000-0000D8000000}"/>
    <cellStyle name="Normal 3 2 2" xfId="252" xr:uid="{00000000-0005-0000-0000-0000D9000000}"/>
    <cellStyle name="Normal 3 3" xfId="129" xr:uid="{00000000-0005-0000-0000-0000DA000000}"/>
    <cellStyle name="Normal 3 3 2" xfId="223" xr:uid="{00000000-0005-0000-0000-0000DB000000}"/>
    <cellStyle name="Normal 3 4" xfId="164" xr:uid="{00000000-0005-0000-0000-0000DC000000}"/>
    <cellStyle name="Normal 4" xfId="44" xr:uid="{00000000-0005-0000-0000-0000DD000000}"/>
    <cellStyle name="Normal 4 2" xfId="98" xr:uid="{00000000-0005-0000-0000-0000DE000000}"/>
    <cellStyle name="Normal 4 2 2" xfId="253" xr:uid="{00000000-0005-0000-0000-0000DF000000}"/>
    <cellStyle name="Normal 4 3" xfId="133" xr:uid="{00000000-0005-0000-0000-0000E0000000}"/>
    <cellStyle name="Normal 4 3 2" xfId="143" xr:uid="{00000000-0005-0000-0000-0000E1000000}"/>
    <cellStyle name="Normal 4 3 3" xfId="225" xr:uid="{00000000-0005-0000-0000-0000E2000000}"/>
    <cellStyle name="Normal 4 4" xfId="166" xr:uid="{00000000-0005-0000-0000-0000E3000000}"/>
    <cellStyle name="Normal 5" xfId="58" xr:uid="{00000000-0005-0000-0000-0000E4000000}"/>
    <cellStyle name="Normal 5 2" xfId="130" xr:uid="{00000000-0005-0000-0000-0000E5000000}"/>
    <cellStyle name="Normal 5 3" xfId="142" xr:uid="{00000000-0005-0000-0000-0000E6000000}"/>
    <cellStyle name="Normal 6" xfId="59" xr:uid="{00000000-0005-0000-0000-0000E7000000}"/>
    <cellStyle name="Normal 6 2" xfId="131" xr:uid="{00000000-0005-0000-0000-0000E8000000}"/>
    <cellStyle name="Normal 6 2 2" xfId="259" xr:uid="{00000000-0005-0000-0000-0000E9000000}"/>
    <cellStyle name="Normal 6 3" xfId="146" xr:uid="{00000000-0005-0000-0000-0000EA000000}"/>
    <cellStyle name="Normal 6 3 2" xfId="257" xr:uid="{00000000-0005-0000-0000-0000EB000000}"/>
    <cellStyle name="Normal 6 4" xfId="208" xr:uid="{00000000-0005-0000-0000-0000EC000000}"/>
    <cellStyle name="Normal 7" xfId="61" xr:uid="{00000000-0005-0000-0000-0000ED000000}"/>
    <cellStyle name="Normal 7 2" xfId="62" xr:uid="{00000000-0005-0000-0000-0000EE000000}"/>
    <cellStyle name="Normal 7 3" xfId="113" xr:uid="{00000000-0005-0000-0000-0000EF000000}"/>
    <cellStyle name="Normal 7 3 2" xfId="260" xr:uid="{00000000-0005-0000-0000-0000F0000000}"/>
    <cellStyle name="Normal 7 4" xfId="180" xr:uid="{00000000-0005-0000-0000-0000F1000000}"/>
    <cellStyle name="Normal 7 5" xfId="239" xr:uid="{00000000-0005-0000-0000-0000F2000000}"/>
    <cellStyle name="Normal 8" xfId="63" xr:uid="{00000000-0005-0000-0000-0000F3000000}"/>
    <cellStyle name="Normal 8 2" xfId="114" xr:uid="{00000000-0005-0000-0000-0000F4000000}"/>
    <cellStyle name="Normal 8 3" xfId="181" xr:uid="{00000000-0005-0000-0000-0000F5000000}"/>
    <cellStyle name="Normal 8 4" xfId="195" xr:uid="{00000000-0005-0000-0000-0000F6000000}"/>
    <cellStyle name="Normal 8 5" xfId="261" xr:uid="{00000000-0005-0000-0000-0000F7000000}"/>
    <cellStyle name="Normal 9" xfId="141" xr:uid="{00000000-0005-0000-0000-0000F8000000}"/>
    <cellStyle name="Normal 9 2" xfId="162" xr:uid="{00000000-0005-0000-0000-0000F9000000}"/>
    <cellStyle name="Normal 9 3" xfId="256" xr:uid="{00000000-0005-0000-0000-0000FA000000}"/>
    <cellStyle name="Normale_RiM69_Ch03_cpx_P-T" xfId="60" xr:uid="{00000000-0005-0000-0000-0000FB000000}"/>
    <cellStyle name="Note 2" xfId="43" xr:uid="{00000000-0005-0000-0000-0000FC000000}"/>
    <cellStyle name="Note 2 2" xfId="97" xr:uid="{00000000-0005-0000-0000-0000FD000000}"/>
    <cellStyle name="Note 2 2 2" xfId="254" xr:uid="{00000000-0005-0000-0000-0000FE000000}"/>
    <cellStyle name="Note 2 3" xfId="95" xr:uid="{00000000-0005-0000-0000-0000FF000000}"/>
    <cellStyle name="Note 2 3 2" xfId="224" xr:uid="{00000000-0005-0000-0000-000000010000}"/>
    <cellStyle name="Note 2 4" xfId="165" xr:uid="{00000000-0005-0000-0000-000001010000}"/>
    <cellStyle name="Note 3" xfId="45" xr:uid="{00000000-0005-0000-0000-000002010000}"/>
    <cellStyle name="Note 3 2" xfId="99" xr:uid="{00000000-0005-0000-0000-000003010000}"/>
    <cellStyle name="Note 3 2 2" xfId="255" xr:uid="{00000000-0005-0000-0000-000004010000}"/>
    <cellStyle name="Note 3 3" xfId="85" xr:uid="{00000000-0005-0000-0000-000005010000}"/>
    <cellStyle name="Note 3 3 2" xfId="226" xr:uid="{00000000-0005-0000-0000-000006010000}"/>
    <cellStyle name="Note 3 4" xfId="167" xr:uid="{00000000-0005-0000-0000-000007010000}"/>
    <cellStyle name="Note 4" xfId="64" xr:uid="{00000000-0005-0000-0000-000008010000}"/>
    <cellStyle name="Note 4 2" xfId="115" xr:uid="{00000000-0005-0000-0000-000009010000}"/>
    <cellStyle name="Note 4 2 2" xfId="258" xr:uid="{00000000-0005-0000-0000-00000A010000}"/>
    <cellStyle name="Note 4 3" xfId="182" xr:uid="{00000000-0005-0000-0000-00000B010000}"/>
    <cellStyle name="Note 4 4" xfId="209" xr:uid="{00000000-0005-0000-0000-00000C010000}"/>
    <cellStyle name="Output" xfId="10" builtinId="21" customBuiltin="1"/>
    <cellStyle name="Standard 2" xfId="149" xr:uid="{00000000-0005-0000-0000-00000E010000}"/>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19054</xdr:colOff>
      <xdr:row>3</xdr:row>
      <xdr:rowOff>28570</xdr:rowOff>
    </xdr:from>
    <xdr:to>
      <xdr:col>9</xdr:col>
      <xdr:colOff>285754</xdr:colOff>
      <xdr:row>7</xdr:row>
      <xdr:rowOff>390520</xdr:rowOff>
    </xdr:to>
    <xdr:pic>
      <xdr:nvPicPr>
        <xdr:cNvPr id="5" name="Picture 4">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1"/>
        <a:stretch>
          <a:fillRect/>
        </a:stretch>
      </xdr:blipFill>
      <xdr:spPr>
        <a:xfrm>
          <a:off x="6734179" y="790570"/>
          <a:ext cx="5143500" cy="3028950"/>
        </a:xfrm>
        <a:prstGeom prst="rect">
          <a:avLst/>
        </a:prstGeom>
        <a:ln w="12700">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zoomScaleNormal="100" workbookViewId="0"/>
  </sheetViews>
  <sheetFormatPr defaultRowHeight="15" x14ac:dyDescent="0.25"/>
  <cols>
    <col min="1" max="1" width="100.7109375" customWidth="1"/>
  </cols>
  <sheetData>
    <row r="1" spans="1:1" ht="48" customHeight="1" x14ac:dyDescent="0.3">
      <c r="A1" s="89" t="s">
        <v>322</v>
      </c>
    </row>
    <row r="2" spans="1:1" ht="18" x14ac:dyDescent="0.25">
      <c r="A2" s="90" t="s">
        <v>323</v>
      </c>
    </row>
    <row r="4" spans="1:1" s="53" customFormat="1" ht="96" customHeight="1" x14ac:dyDescent="0.25">
      <c r="A4" s="56" t="s">
        <v>326</v>
      </c>
    </row>
    <row r="5" spans="1:1" s="53" customFormat="1" ht="54" customHeight="1" x14ac:dyDescent="0.25">
      <c r="A5" s="58" t="s">
        <v>0</v>
      </c>
    </row>
    <row r="6" spans="1:1" s="53" customFormat="1" ht="36" customHeight="1" x14ac:dyDescent="0.25">
      <c r="A6" s="57" t="s">
        <v>1</v>
      </c>
    </row>
    <row r="7" spans="1:1" s="53" customFormat="1" ht="24" customHeight="1" x14ac:dyDescent="0.25">
      <c r="A7" s="58" t="s">
        <v>2</v>
      </c>
    </row>
    <row r="8" spans="1:1" ht="36" customHeight="1" x14ac:dyDescent="0.25">
      <c r="A8" s="58" t="s">
        <v>3</v>
      </c>
    </row>
    <row r="9" spans="1:1" s="59" customFormat="1" ht="24" customHeight="1" x14ac:dyDescent="0.25">
      <c r="A9" s="58" t="s">
        <v>4</v>
      </c>
    </row>
    <row r="10" spans="1:1" s="59" customFormat="1" ht="24" customHeight="1" x14ac:dyDescent="0.25">
      <c r="A10" s="58" t="s">
        <v>5</v>
      </c>
    </row>
    <row r="13" spans="1:1" x14ac:dyDescent="0.25">
      <c r="A13" s="1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1"/>
  <sheetViews>
    <sheetView zoomScaleNormal="100" workbookViewId="0">
      <selection activeCell="F18" sqref="F18"/>
    </sheetView>
  </sheetViews>
  <sheetFormatPr defaultColWidth="9" defaultRowHeight="18" customHeight="1" x14ac:dyDescent="0.25"/>
  <cols>
    <col min="1" max="4" width="9.7109375" style="19" customWidth="1"/>
    <col min="5" max="5" width="10.7109375" style="19" customWidth="1"/>
    <col min="6" max="6" width="3.7109375" style="19" customWidth="1"/>
    <col min="7" max="9" width="9.7109375" style="19" customWidth="1"/>
    <col min="10" max="10" width="10.7109375" style="19" customWidth="1"/>
    <col min="11" max="11" width="3.7109375" style="19" customWidth="1"/>
    <col min="12" max="14" width="9.7109375" style="19" customWidth="1"/>
    <col min="15" max="15" width="10.7109375" style="19" customWidth="1"/>
    <col min="16" max="16" width="3.7109375" style="19" customWidth="1"/>
    <col min="17" max="19" width="9.7109375" style="19" customWidth="1"/>
    <col min="20" max="20" width="10.7109375" style="19" customWidth="1"/>
    <col min="21" max="21" width="3.7109375" style="19" customWidth="1"/>
    <col min="22" max="24" width="9.7109375" style="19" customWidth="1"/>
    <col min="25" max="25" width="10.7109375" style="19" customWidth="1"/>
    <col min="26" max="26" width="9.7109375" style="19" customWidth="1"/>
    <col min="27" max="16384" width="9" style="19"/>
  </cols>
  <sheetData>
    <row r="1" spans="1:27" ht="18" customHeight="1" x14ac:dyDescent="0.25">
      <c r="A1" s="76" t="s">
        <v>6</v>
      </c>
    </row>
    <row r="2" spans="1:27" ht="18" customHeight="1" x14ac:dyDescent="0.25">
      <c r="A2" s="54"/>
    </row>
    <row r="3" spans="1:27" ht="18" customHeight="1" x14ac:dyDescent="0.25">
      <c r="A3" s="69" t="s">
        <v>7</v>
      </c>
      <c r="B3" s="106" t="s">
        <v>8</v>
      </c>
      <c r="C3" s="106"/>
      <c r="D3" s="106"/>
      <c r="E3" s="106"/>
      <c r="F3" s="70"/>
      <c r="G3" s="106" t="s">
        <v>9</v>
      </c>
      <c r="H3" s="106"/>
      <c r="I3" s="106"/>
      <c r="J3" s="106"/>
      <c r="K3" s="69"/>
      <c r="L3" s="106" t="s">
        <v>10</v>
      </c>
      <c r="M3" s="106"/>
      <c r="N3" s="106"/>
      <c r="O3" s="106"/>
      <c r="P3" s="69"/>
      <c r="Q3" s="106" t="s">
        <v>11</v>
      </c>
      <c r="R3" s="106"/>
      <c r="S3" s="106"/>
      <c r="T3" s="106"/>
      <c r="U3" s="69"/>
      <c r="V3" s="106" t="s">
        <v>12</v>
      </c>
      <c r="W3" s="106"/>
      <c r="X3" s="106"/>
      <c r="Y3" s="106"/>
      <c r="Z3" s="18"/>
    </row>
    <row r="4" spans="1:27" ht="30" customHeight="1" x14ac:dyDescent="0.25">
      <c r="A4" s="71"/>
      <c r="B4" s="72" t="s">
        <v>13</v>
      </c>
      <c r="C4" s="72" t="s">
        <v>14</v>
      </c>
      <c r="D4" s="73" t="s">
        <v>15</v>
      </c>
      <c r="E4" s="74" t="s">
        <v>324</v>
      </c>
      <c r="F4" s="75"/>
      <c r="G4" s="72" t="s">
        <v>13</v>
      </c>
      <c r="H4" s="72" t="s">
        <v>14</v>
      </c>
      <c r="I4" s="73" t="s">
        <v>15</v>
      </c>
      <c r="J4" s="74" t="s">
        <v>324</v>
      </c>
      <c r="K4" s="75"/>
      <c r="L4" s="72" t="s">
        <v>13</v>
      </c>
      <c r="M4" s="72" t="s">
        <v>14</v>
      </c>
      <c r="N4" s="73" t="s">
        <v>15</v>
      </c>
      <c r="O4" s="74" t="s">
        <v>324</v>
      </c>
      <c r="P4" s="75"/>
      <c r="Q4" s="72" t="s">
        <v>13</v>
      </c>
      <c r="R4" s="72" t="s">
        <v>14</v>
      </c>
      <c r="S4" s="73" t="s">
        <v>15</v>
      </c>
      <c r="T4" s="74" t="s">
        <v>324</v>
      </c>
      <c r="U4" s="75"/>
      <c r="V4" s="72" t="s">
        <v>13</v>
      </c>
      <c r="W4" s="72" t="s">
        <v>14</v>
      </c>
      <c r="X4" s="73" t="s">
        <v>15</v>
      </c>
      <c r="Y4" s="74" t="s">
        <v>324</v>
      </c>
      <c r="AA4" s="18"/>
    </row>
    <row r="5" spans="1:27" ht="18" customHeight="1" x14ac:dyDescent="0.25">
      <c r="A5" s="68" t="s">
        <v>16</v>
      </c>
      <c r="B5" s="60"/>
      <c r="C5" s="60"/>
      <c r="D5" s="61"/>
      <c r="E5" s="60"/>
      <c r="G5" s="60"/>
      <c r="H5" s="60"/>
      <c r="I5" s="61"/>
      <c r="J5" s="60"/>
      <c r="L5" s="60"/>
      <c r="M5" s="60"/>
      <c r="N5" s="61"/>
      <c r="O5" s="60"/>
      <c r="Q5" s="60"/>
      <c r="R5" s="60"/>
      <c r="S5" s="61"/>
      <c r="T5" s="60"/>
      <c r="V5" s="60"/>
      <c r="W5" s="60"/>
      <c r="X5" s="61"/>
      <c r="Y5" s="60"/>
      <c r="AA5" s="18"/>
    </row>
    <row r="6" spans="1:27" ht="18" customHeight="1" x14ac:dyDescent="0.35">
      <c r="A6" s="55" t="s">
        <v>17</v>
      </c>
      <c r="B6" s="62">
        <v>50.762222222222221</v>
      </c>
      <c r="C6" s="62">
        <v>0.42505228436563514</v>
      </c>
      <c r="D6" s="63">
        <v>0.83441751936716757</v>
      </c>
      <c r="E6" s="62">
        <v>50.94</v>
      </c>
      <c r="G6" s="62">
        <v>39.623333333333328</v>
      </c>
      <c r="H6" s="62">
        <v>0.2151743479134999</v>
      </c>
      <c r="I6" s="63">
        <v>0.55243735022721407</v>
      </c>
      <c r="J6" s="62">
        <v>38.950000000000003</v>
      </c>
      <c r="L6" s="62">
        <v>39.382222222222225</v>
      </c>
      <c r="M6" s="62">
        <v>0.36475257976393349</v>
      </c>
      <c r="N6" s="63">
        <v>0.92412612050654563</v>
      </c>
      <c r="O6" s="62">
        <v>39.47</v>
      </c>
      <c r="Q6" s="62">
        <v>51.556666666666679</v>
      </c>
      <c r="R6" s="62">
        <v>0.45912961132996088</v>
      </c>
      <c r="S6" s="63">
        <v>0.8958626562535823</v>
      </c>
      <c r="T6" s="62">
        <v>51.25</v>
      </c>
      <c r="V6" s="62">
        <v>73.282222222222231</v>
      </c>
      <c r="W6" s="62">
        <v>0.60606884464097621</v>
      </c>
      <c r="X6" s="63">
        <v>0.81967655482955948</v>
      </c>
      <c r="Y6" s="62">
        <v>73.94</v>
      </c>
      <c r="AA6" s="20"/>
    </row>
    <row r="7" spans="1:27" ht="18" customHeight="1" x14ac:dyDescent="0.35">
      <c r="A7" s="55" t="s">
        <v>18</v>
      </c>
      <c r="B7" s="62">
        <v>3.8988888888888886</v>
      </c>
      <c r="C7" s="62">
        <v>0.20557507414837808</v>
      </c>
      <c r="D7" s="63">
        <v>5.063425471634929</v>
      </c>
      <c r="E7" s="62">
        <v>4.0599999999999996</v>
      </c>
      <c r="G7" s="62">
        <v>2.3111111111111114E-2</v>
      </c>
      <c r="H7" s="62">
        <v>3.3201823912416481E-2</v>
      </c>
      <c r="I7" s="63"/>
      <c r="J7" s="62"/>
      <c r="L7" s="62">
        <v>0.35800000000000004</v>
      </c>
      <c r="M7" s="62">
        <v>7.5053314383842801E-2</v>
      </c>
      <c r="N7" s="63">
        <v>19.244439585600716</v>
      </c>
      <c r="O7" s="62">
        <v>0.39</v>
      </c>
      <c r="Q7" s="62"/>
      <c r="R7" s="62"/>
      <c r="S7" s="63"/>
      <c r="T7" s="62"/>
      <c r="V7" s="62">
        <v>5.8111111111111113E-2</v>
      </c>
      <c r="W7" s="62">
        <v>4.0414862502687186E-2</v>
      </c>
      <c r="X7" s="63">
        <v>40.414862502687185</v>
      </c>
      <c r="Y7" s="62">
        <v>0.1</v>
      </c>
      <c r="AA7" s="20"/>
    </row>
    <row r="8" spans="1:27" ht="18" customHeight="1" x14ac:dyDescent="0.35">
      <c r="A8" s="55" t="s">
        <v>19</v>
      </c>
      <c r="B8" s="62">
        <v>12.428888888888888</v>
      </c>
      <c r="C8" s="62">
        <v>7.4572857737323334E-2</v>
      </c>
      <c r="D8" s="63">
        <v>0.59706051030683216</v>
      </c>
      <c r="E8" s="62">
        <v>12.49</v>
      </c>
      <c r="G8" s="62">
        <v>1.9333333333333331E-2</v>
      </c>
      <c r="H8" s="62">
        <v>5.9160797830996193E-3</v>
      </c>
      <c r="I8" s="63"/>
      <c r="J8" s="62"/>
      <c r="L8" s="62">
        <v>21.85</v>
      </c>
      <c r="M8" s="62">
        <v>0.34336569426778757</v>
      </c>
      <c r="N8" s="63">
        <v>1.5418306882253596</v>
      </c>
      <c r="O8" s="62">
        <v>22.27</v>
      </c>
      <c r="Q8" s="62">
        <v>30.637777777777774</v>
      </c>
      <c r="R8" s="62">
        <v>0.15785893843696161</v>
      </c>
      <c r="S8" s="63">
        <v>0.51070507420563449</v>
      </c>
      <c r="T8" s="62">
        <v>30.91</v>
      </c>
      <c r="V8" s="62">
        <v>12.828888888888889</v>
      </c>
      <c r="W8" s="62">
        <v>0.12302890355973709</v>
      </c>
      <c r="X8" s="63">
        <v>0.93843557253804033</v>
      </c>
      <c r="Y8" s="62">
        <v>13.11</v>
      </c>
      <c r="AA8" s="20"/>
    </row>
    <row r="9" spans="1:27" ht="18" customHeight="1" x14ac:dyDescent="0.35">
      <c r="A9" s="55" t="s">
        <v>20</v>
      </c>
      <c r="B9" s="62">
        <v>1.4888888888888887E-2</v>
      </c>
      <c r="C9" s="62">
        <v>1.6661665916441581E-2</v>
      </c>
      <c r="D9" s="63"/>
      <c r="E9" s="62"/>
      <c r="G9" s="62">
        <v>4.2777777777777776E-2</v>
      </c>
      <c r="H9" s="62">
        <v>1.7852015136797413E-2</v>
      </c>
      <c r="I9" s="63"/>
      <c r="J9" s="62"/>
      <c r="L9" s="62"/>
      <c r="M9" s="62"/>
      <c r="N9" s="63"/>
      <c r="O9" s="62"/>
      <c r="Q9" s="62"/>
      <c r="R9" s="62"/>
      <c r="S9" s="63"/>
      <c r="T9" s="62"/>
      <c r="V9" s="62">
        <v>1.2E-2</v>
      </c>
      <c r="W9" s="62">
        <v>1.2051970793193948E-2</v>
      </c>
      <c r="X9" s="63"/>
      <c r="Y9" s="62"/>
      <c r="AA9" s="20"/>
    </row>
    <row r="10" spans="1:27" ht="18" customHeight="1" x14ac:dyDescent="0.25">
      <c r="A10" s="55" t="s">
        <v>21</v>
      </c>
      <c r="B10" s="62">
        <v>13.264444444444443</v>
      </c>
      <c r="C10" s="62">
        <v>0.17882331441335561</v>
      </c>
      <c r="D10" s="63">
        <v>1.3445361985966586</v>
      </c>
      <c r="E10" s="62">
        <v>13.3</v>
      </c>
      <c r="G10" s="62">
        <v>16.643333333333334</v>
      </c>
      <c r="H10" s="62">
        <v>0.18993419913222581</v>
      </c>
      <c r="I10" s="63">
        <v>1.1428050489303598</v>
      </c>
      <c r="J10" s="62">
        <v>16.62</v>
      </c>
      <c r="L10" s="62">
        <v>16.228888888888893</v>
      </c>
      <c r="M10" s="62">
        <v>0.22042257395990783</v>
      </c>
      <c r="N10" s="63">
        <v>1.3564466089840483</v>
      </c>
      <c r="O10" s="62">
        <v>16.25</v>
      </c>
      <c r="Q10" s="62">
        <v>0.41850697777777773</v>
      </c>
      <c r="R10" s="62">
        <v>4.7715801915973917E-2</v>
      </c>
      <c r="S10" s="63">
        <v>10.373000416516073</v>
      </c>
      <c r="T10" s="62">
        <v>0.46</v>
      </c>
      <c r="V10" s="62">
        <v>1.4988888888888887</v>
      </c>
      <c r="W10" s="62">
        <v>7.7046162208841446E-2</v>
      </c>
      <c r="X10" s="63">
        <v>4.479428035397758</v>
      </c>
      <c r="Y10" s="62">
        <v>1.72</v>
      </c>
      <c r="AA10" s="20"/>
    </row>
    <row r="11" spans="1:27" ht="18" customHeight="1" x14ac:dyDescent="0.25">
      <c r="A11" s="55" t="s">
        <v>22</v>
      </c>
      <c r="B11" s="62">
        <v>0.192</v>
      </c>
      <c r="C11" s="62">
        <v>3.007906248539011E-2</v>
      </c>
      <c r="D11" s="63">
        <v>20.052708323593407</v>
      </c>
      <c r="E11" s="62">
        <v>0.15</v>
      </c>
      <c r="G11" s="62">
        <v>0.34666666666666668</v>
      </c>
      <c r="H11" s="62">
        <v>2.3906066175763831E-2</v>
      </c>
      <c r="I11" s="63">
        <v>7.968688725254613</v>
      </c>
      <c r="J11" s="62">
        <v>0.3</v>
      </c>
      <c r="L11" s="62">
        <v>0.76977777777777756</v>
      </c>
      <c r="M11" s="62">
        <v>2.470211416952901E-2</v>
      </c>
      <c r="N11" s="63">
        <v>4.1867990117845775</v>
      </c>
      <c r="O11" s="62">
        <v>0.59</v>
      </c>
      <c r="Q11" s="62"/>
      <c r="R11" s="62"/>
      <c r="S11" s="63"/>
      <c r="T11" s="62"/>
      <c r="V11" s="62">
        <v>8.8000000000000023E-2</v>
      </c>
      <c r="W11" s="62">
        <v>2.9402380855978297E-2</v>
      </c>
      <c r="X11" s="63"/>
      <c r="Y11" s="62"/>
      <c r="AA11" s="20"/>
    </row>
    <row r="12" spans="1:27" ht="18" customHeight="1" x14ac:dyDescent="0.25">
      <c r="A12" s="55" t="s">
        <v>23</v>
      </c>
      <c r="B12" s="62">
        <v>4.9111111111111114</v>
      </c>
      <c r="C12" s="62">
        <v>8.9504810547317099E-2</v>
      </c>
      <c r="D12" s="63">
        <v>1.761905719435376</v>
      </c>
      <c r="E12" s="62">
        <v>5.08</v>
      </c>
      <c r="G12" s="62">
        <v>43.526666666666671</v>
      </c>
      <c r="H12" s="62">
        <v>0.30634947364080745</v>
      </c>
      <c r="I12" s="63">
        <v>0.70295886562828702</v>
      </c>
      <c r="J12" s="62">
        <v>43.58</v>
      </c>
      <c r="L12" s="62">
        <v>6.8044444444444441</v>
      </c>
      <c r="M12" s="62">
        <v>0.10051257522209736</v>
      </c>
      <c r="N12" s="63">
        <v>1.5345431331617918</v>
      </c>
      <c r="O12" s="62">
        <v>6.55</v>
      </c>
      <c r="Q12" s="62"/>
      <c r="R12" s="62"/>
      <c r="S12" s="63"/>
      <c r="T12" s="62">
        <v>0.14000000000000001</v>
      </c>
      <c r="V12" s="62">
        <v>5.7111111111111112E-2</v>
      </c>
      <c r="W12" s="62">
        <v>1.1207636285636284E-2</v>
      </c>
      <c r="X12" s="63">
        <v>16.010908979480405</v>
      </c>
      <c r="Y12" s="62">
        <v>7.0000000000000007E-2</v>
      </c>
      <c r="AA12" s="20"/>
    </row>
    <row r="13" spans="1:27" ht="18" customHeight="1" x14ac:dyDescent="0.25">
      <c r="A13" s="55" t="s">
        <v>24</v>
      </c>
      <c r="B13" s="62">
        <v>8.956666666666667</v>
      </c>
      <c r="C13" s="62">
        <v>9.7082439194738385E-2</v>
      </c>
      <c r="D13" s="63">
        <v>1.0438971956423482</v>
      </c>
      <c r="E13" s="62">
        <v>9.3000000000000007</v>
      </c>
      <c r="G13" s="62">
        <v>6.7777777777777775E-3</v>
      </c>
      <c r="H13" s="62">
        <v>1.1702326454361306E-2</v>
      </c>
      <c r="I13" s="63"/>
      <c r="J13" s="62"/>
      <c r="L13" s="62">
        <v>14.386666666666663</v>
      </c>
      <c r="M13" s="62">
        <v>0.15491933384829665</v>
      </c>
      <c r="N13" s="63">
        <v>1.07657632973104</v>
      </c>
      <c r="O13" s="62">
        <v>14.39</v>
      </c>
      <c r="Q13" s="62">
        <v>13.31222222222222</v>
      </c>
      <c r="R13" s="62">
        <v>4.5765100725819706E-2</v>
      </c>
      <c r="S13" s="63">
        <v>0.33552126631832629</v>
      </c>
      <c r="T13" s="62">
        <v>13.64</v>
      </c>
      <c r="V13" s="62">
        <v>0.73788888888888893</v>
      </c>
      <c r="W13" s="62">
        <v>3.7364570265307651E-2</v>
      </c>
      <c r="X13" s="63">
        <v>4.9163908243825851</v>
      </c>
      <c r="Y13" s="62">
        <v>0.76</v>
      </c>
      <c r="AA13" s="20"/>
    </row>
    <row r="14" spans="1:27" ht="18" customHeight="1" x14ac:dyDescent="0.35">
      <c r="A14" s="55" t="s">
        <v>25</v>
      </c>
      <c r="B14" s="62">
        <v>2.8466666666666662</v>
      </c>
      <c r="C14" s="62">
        <v>0.14212670403551897</v>
      </c>
      <c r="D14" s="63">
        <v>5.3431091742676307</v>
      </c>
      <c r="E14" s="62">
        <v>2.66</v>
      </c>
      <c r="G14" s="62">
        <v>1.111111111111111E-2</v>
      </c>
      <c r="H14" s="62">
        <v>1.0982309006357048E-2</v>
      </c>
      <c r="I14" s="63"/>
      <c r="J14" s="62"/>
      <c r="L14" s="62"/>
      <c r="M14" s="62"/>
      <c r="N14" s="63"/>
      <c r="O14" s="63"/>
      <c r="Q14" s="62">
        <v>3.9233333333333338</v>
      </c>
      <c r="R14" s="62">
        <v>8.015609770940714E-2</v>
      </c>
      <c r="S14" s="63">
        <v>2.3233651509973083</v>
      </c>
      <c r="T14" s="62">
        <v>3.45</v>
      </c>
      <c r="V14" s="62">
        <v>4.22</v>
      </c>
      <c r="W14" s="62">
        <v>6.442049363362562E-2</v>
      </c>
      <c r="X14" s="63">
        <v>1.586711665852848</v>
      </c>
      <c r="Y14" s="62">
        <v>4.0599999999999996</v>
      </c>
      <c r="AA14" s="20"/>
    </row>
    <row r="15" spans="1:27" ht="18" customHeight="1" x14ac:dyDescent="0.35">
      <c r="A15" s="55" t="s">
        <v>26</v>
      </c>
      <c r="B15" s="62">
        <v>0.84611111111111115</v>
      </c>
      <c r="C15" s="62">
        <v>3.3122667632772454E-2</v>
      </c>
      <c r="D15" s="63">
        <v>4.0393497113137142</v>
      </c>
      <c r="E15" s="62">
        <v>0.82</v>
      </c>
      <c r="G15" s="62">
        <v>5.0000000000000001E-3</v>
      </c>
      <c r="H15" s="62">
        <v>7.7136243102707567E-3</v>
      </c>
      <c r="I15" s="63"/>
      <c r="J15" s="62"/>
      <c r="L15" s="62"/>
      <c r="M15" s="62"/>
      <c r="N15" s="63"/>
      <c r="O15" s="63"/>
      <c r="Q15" s="62">
        <v>0.11888888888888888</v>
      </c>
      <c r="R15" s="62">
        <v>7.655789385237235E-3</v>
      </c>
      <c r="S15" s="63">
        <v>4.2532163251317971</v>
      </c>
      <c r="T15" s="62">
        <v>0.18</v>
      </c>
      <c r="V15" s="62">
        <v>4.6433333333333326</v>
      </c>
      <c r="W15" s="62">
        <v>0.1663580475961412</v>
      </c>
      <c r="X15" s="63">
        <v>3.3007549126218492</v>
      </c>
      <c r="Y15" s="62">
        <v>5.04</v>
      </c>
      <c r="AA15" s="20"/>
    </row>
    <row r="16" spans="1:27" ht="18" customHeight="1" x14ac:dyDescent="0.35">
      <c r="A16" s="55" t="s">
        <v>27</v>
      </c>
      <c r="B16" s="62">
        <v>0.5159999999999999</v>
      </c>
      <c r="C16" s="62">
        <v>1.701469952717357E-2</v>
      </c>
      <c r="D16" s="63">
        <v>4.4775525071509392</v>
      </c>
      <c r="E16" s="62">
        <v>0.38</v>
      </c>
      <c r="G16" s="62"/>
      <c r="H16" s="62"/>
      <c r="I16" s="63"/>
      <c r="J16" s="62"/>
      <c r="L16" s="62"/>
      <c r="M16" s="62"/>
      <c r="N16" s="63"/>
      <c r="O16" s="63"/>
      <c r="Q16" s="62"/>
      <c r="R16" s="62"/>
      <c r="S16" s="63"/>
      <c r="T16" s="62"/>
      <c r="V16" s="62">
        <v>1.5444444444444446E-2</v>
      </c>
      <c r="W16" s="62">
        <v>7.8120277635053042E-3</v>
      </c>
      <c r="X16" s="63"/>
      <c r="Y16" s="62"/>
      <c r="AA16" s="20"/>
    </row>
    <row r="17" spans="1:27" ht="18" customHeight="1" x14ac:dyDescent="0.25">
      <c r="A17" s="67" t="s">
        <v>28</v>
      </c>
      <c r="B17" s="62"/>
      <c r="C17" s="62"/>
      <c r="D17" s="63"/>
      <c r="E17" s="62"/>
      <c r="G17" s="62"/>
      <c r="H17" s="62"/>
      <c r="I17" s="63"/>
      <c r="J17" s="62"/>
      <c r="L17" s="62"/>
      <c r="M17" s="62"/>
      <c r="N17" s="63"/>
      <c r="O17" s="63"/>
      <c r="Q17" s="62"/>
      <c r="R17" s="62"/>
      <c r="S17" s="63"/>
      <c r="T17" s="62"/>
      <c r="V17" s="62"/>
      <c r="W17" s="62"/>
      <c r="X17" s="63"/>
      <c r="Y17" s="62"/>
      <c r="AA17" s="20"/>
    </row>
    <row r="18" spans="1:27" ht="18" customHeight="1" x14ac:dyDescent="0.25">
      <c r="A18" s="20" t="s">
        <v>29</v>
      </c>
      <c r="B18" s="64">
        <v>2555.5555555555552</v>
      </c>
      <c r="C18" s="64">
        <v>304.59444804161774</v>
      </c>
      <c r="D18" s="63">
        <v>8.0434782608695485</v>
      </c>
      <c r="E18" s="65">
        <v>2350</v>
      </c>
      <c r="G18" s="62"/>
      <c r="H18" s="62"/>
      <c r="I18" s="63"/>
      <c r="J18" s="63"/>
      <c r="L18" s="62"/>
      <c r="M18" s="62"/>
      <c r="N18" s="63"/>
      <c r="O18" s="63"/>
      <c r="Q18" s="62"/>
      <c r="R18" s="62"/>
      <c r="S18" s="63"/>
      <c r="T18" s="63"/>
      <c r="V18" s="64">
        <v>3497.7777777777774</v>
      </c>
      <c r="W18" s="64">
        <v>140.6927306027018</v>
      </c>
      <c r="X18" s="63">
        <v>3.9081314056306056</v>
      </c>
      <c r="Y18" s="64">
        <v>3600</v>
      </c>
      <c r="AA18" s="20"/>
    </row>
    <row r="19" spans="1:27" ht="18" customHeight="1" x14ac:dyDescent="0.25">
      <c r="A19" s="20" t="s">
        <v>30</v>
      </c>
      <c r="B19" s="64">
        <v>102</v>
      </c>
      <c r="C19" s="64">
        <v>43</v>
      </c>
      <c r="D19" s="65">
        <v>21.538461538461533</v>
      </c>
      <c r="E19" s="65">
        <v>130</v>
      </c>
      <c r="G19" s="62"/>
      <c r="H19" s="62"/>
      <c r="I19" s="63"/>
      <c r="J19" s="63"/>
      <c r="L19" s="62"/>
      <c r="M19" s="62"/>
      <c r="N19" s="63"/>
      <c r="O19" s="63"/>
      <c r="Q19" s="62"/>
      <c r="R19" s="62"/>
      <c r="S19" s="63"/>
      <c r="T19" s="63"/>
      <c r="V19" s="18"/>
      <c r="W19" s="18"/>
      <c r="X19" s="18"/>
      <c r="Y19" s="18"/>
      <c r="AA19" s="18"/>
    </row>
    <row r="20" spans="1:27" ht="18" customHeight="1" x14ac:dyDescent="0.25">
      <c r="A20" s="20"/>
      <c r="B20" s="64"/>
      <c r="C20" s="64"/>
      <c r="D20" s="65"/>
      <c r="E20" s="65"/>
      <c r="G20" s="62"/>
      <c r="H20" s="62"/>
      <c r="I20" s="63"/>
      <c r="J20" s="63"/>
      <c r="L20" s="62"/>
      <c r="M20" s="62"/>
      <c r="N20" s="63"/>
      <c r="O20" s="63"/>
      <c r="Q20" s="62"/>
      <c r="R20" s="62"/>
      <c r="S20" s="63"/>
      <c r="T20" s="63"/>
      <c r="V20" s="64">
        <v>704.99999999999989</v>
      </c>
      <c r="W20" s="64">
        <v>100.54849576199527</v>
      </c>
      <c r="X20" s="63">
        <v>0.71428571428569398</v>
      </c>
      <c r="Y20" s="64">
        <v>700.00000000000011</v>
      </c>
      <c r="AA20" s="66"/>
    </row>
    <row r="21" spans="1:27" ht="18" customHeight="1" x14ac:dyDescent="0.25">
      <c r="A21" s="20" t="s">
        <v>31</v>
      </c>
      <c r="B21" s="62">
        <v>98.663444444444451</v>
      </c>
      <c r="C21" s="62">
        <v>0.28329666429380729</v>
      </c>
      <c r="D21" s="63">
        <v>0.52082633147364277</v>
      </c>
      <c r="E21" s="62">
        <v>99.18</v>
      </c>
      <c r="G21" s="62">
        <v>100.24811111111111</v>
      </c>
      <c r="H21" s="62">
        <v>0.49424386693210526</v>
      </c>
      <c r="I21" s="63">
        <v>0.80252499860343107</v>
      </c>
      <c r="J21" s="62">
        <v>99.45</v>
      </c>
      <c r="L21" s="62">
        <v>99.78</v>
      </c>
      <c r="M21" s="62">
        <v>0.55237497328454976</v>
      </c>
      <c r="N21" s="63">
        <v>0.13011710539485932</v>
      </c>
      <c r="O21" s="62">
        <v>99.91</v>
      </c>
      <c r="Q21" s="62">
        <v>99.967395866666678</v>
      </c>
      <c r="R21" s="62">
        <v>0.30748198222937112</v>
      </c>
      <c r="S21" s="63">
        <v>6.2585357726007373E-2</v>
      </c>
      <c r="T21" s="62">
        <v>100.03</v>
      </c>
      <c r="V21" s="62">
        <v>97.791666666666643</v>
      </c>
      <c r="W21" s="62">
        <v>0.38540653139826614</v>
      </c>
      <c r="X21" s="63">
        <v>2.2376620347229448</v>
      </c>
      <c r="Y21" s="62">
        <v>100.03</v>
      </c>
      <c r="AA21" s="20"/>
    </row>
  </sheetData>
  <mergeCells count="5">
    <mergeCell ref="Q3:T3"/>
    <mergeCell ref="V3:Y3"/>
    <mergeCell ref="B3:E3"/>
    <mergeCell ref="L3:O3"/>
    <mergeCell ref="G3:J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F1F3-7A56-47D0-B786-789782502B26}">
  <dimension ref="A1:M46"/>
  <sheetViews>
    <sheetView zoomScaleNormal="100" workbookViewId="0">
      <pane xSplit="1" ySplit="5" topLeftCell="B6" activePane="bottomRight" state="frozen"/>
      <selection pane="topRight" activeCell="B1" sqref="B1"/>
      <selection pane="bottomLeft" activeCell="A6" sqref="A6"/>
      <selection pane="bottomRight" activeCell="D20" sqref="D20"/>
    </sheetView>
  </sheetViews>
  <sheetFormatPr defaultColWidth="9.140625" defaultRowHeight="15" x14ac:dyDescent="0.25"/>
  <cols>
    <col min="1" max="4" width="10.7109375" style="78" customWidth="1"/>
    <col min="5" max="5" width="11.7109375" style="78" customWidth="1"/>
    <col min="6" max="6" width="10.7109375" style="78" customWidth="1"/>
    <col min="7" max="7" width="8.7109375" style="78" customWidth="1"/>
    <col min="8" max="10" width="10.7109375" style="78" customWidth="1"/>
    <col min="11" max="11" width="11.7109375" style="78" customWidth="1"/>
    <col min="12" max="12" width="10.7109375" style="78" customWidth="1"/>
    <col min="13" max="16384" width="9.140625" style="78"/>
  </cols>
  <sheetData>
    <row r="1" spans="1:13" x14ac:dyDescent="0.25">
      <c r="A1" s="77" t="s">
        <v>32</v>
      </c>
    </row>
    <row r="3" spans="1:13" x14ac:dyDescent="0.25">
      <c r="A3" s="79" t="s">
        <v>7</v>
      </c>
      <c r="B3" s="80" t="s">
        <v>33</v>
      </c>
      <c r="C3" s="79"/>
      <c r="D3" s="79"/>
      <c r="E3" s="79"/>
      <c r="F3" s="79"/>
      <c r="G3" s="81"/>
      <c r="H3" s="80" t="s">
        <v>34</v>
      </c>
      <c r="I3" s="79"/>
      <c r="J3" s="79"/>
      <c r="K3" s="79"/>
      <c r="L3" s="81"/>
      <c r="M3" s="82"/>
    </row>
    <row r="4" spans="1:13" ht="30" x14ac:dyDescent="0.25">
      <c r="B4" s="93" t="s">
        <v>36</v>
      </c>
      <c r="C4" s="93" t="s">
        <v>37</v>
      </c>
      <c r="D4" s="93" t="s">
        <v>38</v>
      </c>
      <c r="E4" s="93" t="s">
        <v>35</v>
      </c>
      <c r="F4" s="94" t="s">
        <v>320</v>
      </c>
      <c r="H4" s="93" t="s">
        <v>36</v>
      </c>
      <c r="I4" s="93" t="s">
        <v>37</v>
      </c>
      <c r="J4" s="93" t="s">
        <v>38</v>
      </c>
      <c r="K4" s="93" t="s">
        <v>35</v>
      </c>
      <c r="L4" s="94" t="s">
        <v>320</v>
      </c>
    </row>
    <row r="5" spans="1:13" x14ac:dyDescent="0.25">
      <c r="A5" s="83" t="s">
        <v>39</v>
      </c>
      <c r="B5" s="95" t="s">
        <v>40</v>
      </c>
      <c r="C5" s="95" t="s">
        <v>40</v>
      </c>
      <c r="D5" s="95" t="s">
        <v>41</v>
      </c>
      <c r="E5" s="95" t="s">
        <v>40</v>
      </c>
      <c r="F5" s="95"/>
      <c r="H5" s="95" t="s">
        <v>40</v>
      </c>
      <c r="I5" s="95" t="s">
        <v>40</v>
      </c>
      <c r="J5" s="95" t="s">
        <v>41</v>
      </c>
      <c r="K5" s="95" t="s">
        <v>40</v>
      </c>
      <c r="L5" s="95"/>
    </row>
    <row r="6" spans="1:13" ht="17.25" x14ac:dyDescent="0.25">
      <c r="A6" s="78" t="s">
        <v>42</v>
      </c>
      <c r="B6" s="84">
        <v>10.172126116370507</v>
      </c>
      <c r="C6" s="84">
        <v>0.89644084587066164</v>
      </c>
      <c r="D6" s="84">
        <v>8.8127185567231123</v>
      </c>
      <c r="E6" s="84">
        <v>9</v>
      </c>
      <c r="F6" s="91">
        <v>1.1302362351522786</v>
      </c>
      <c r="H6" s="84">
        <v>4.6563617284026666</v>
      </c>
      <c r="I6" s="84">
        <v>0.61384212801550753</v>
      </c>
      <c r="J6" s="84">
        <v>13.182870314203058</v>
      </c>
      <c r="K6" s="84">
        <v>4.4000000000000004</v>
      </c>
      <c r="L6" s="91">
        <v>1.0582640291824241</v>
      </c>
    </row>
    <row r="7" spans="1:13" ht="17.25" x14ac:dyDescent="0.25">
      <c r="A7" s="78" t="s">
        <v>43</v>
      </c>
      <c r="B7" s="84">
        <v>34.823834584573504</v>
      </c>
      <c r="C7" s="84">
        <v>0.58170528088567908</v>
      </c>
      <c r="D7" s="84">
        <v>1.6704228234054579</v>
      </c>
      <c r="E7" s="84">
        <v>33</v>
      </c>
      <c r="F7" s="91">
        <v>1.0552677146840457</v>
      </c>
      <c r="H7" s="84">
        <v>32.362607030674802</v>
      </c>
      <c r="I7" s="84">
        <v>0.93431131149751512</v>
      </c>
      <c r="J7" s="84">
        <v>2.8870087957126902</v>
      </c>
      <c r="K7" s="84">
        <v>33</v>
      </c>
      <c r="L7" s="91">
        <v>0.98068506153560009</v>
      </c>
    </row>
    <row r="8" spans="1:13" ht="17.25" x14ac:dyDescent="0.25">
      <c r="A8" s="78" t="s">
        <v>44</v>
      </c>
      <c r="B8" s="86">
        <v>14099.807608273592</v>
      </c>
      <c r="C8" s="86">
        <v>235.96862459290676</v>
      </c>
      <c r="D8" s="84">
        <v>1.6735591800163523</v>
      </c>
      <c r="E8" s="78">
        <v>14100</v>
      </c>
      <c r="F8" s="91">
        <v>0.99998635519670864</v>
      </c>
      <c r="H8" s="86">
        <v>16657.995264705754</v>
      </c>
      <c r="I8" s="86">
        <v>385.40808844894167</v>
      </c>
      <c r="J8" s="84">
        <v>2.3136522872324723</v>
      </c>
      <c r="K8" s="86">
        <v>16300</v>
      </c>
      <c r="L8" s="91">
        <v>1.0219628996751997</v>
      </c>
    </row>
    <row r="9" spans="1:13" ht="17.25" x14ac:dyDescent="0.25">
      <c r="A9" s="78" t="s">
        <v>45</v>
      </c>
      <c r="B9" s="86">
        <v>468.1627544651688</v>
      </c>
      <c r="C9" s="92">
        <v>5.7894784077108605</v>
      </c>
      <c r="D9" s="84">
        <v>1.2366379752538808</v>
      </c>
      <c r="E9" s="86">
        <v>425</v>
      </c>
      <c r="F9" s="91">
        <v>1.1015594222709855</v>
      </c>
      <c r="H9" s="86">
        <v>347.0964429873664</v>
      </c>
      <c r="I9" s="84">
        <v>4.8485931438610175</v>
      </c>
      <c r="J9" s="84">
        <v>1.3969008446558746</v>
      </c>
      <c r="K9" s="86">
        <v>308</v>
      </c>
      <c r="L9" s="91">
        <v>1.126936503205735</v>
      </c>
    </row>
    <row r="10" spans="1:13" ht="17.25" x14ac:dyDescent="0.25">
      <c r="A10" s="78" t="s">
        <v>46</v>
      </c>
      <c r="B10" s="84">
        <v>16.630694738611691</v>
      </c>
      <c r="C10" s="85">
        <v>1.288783089536176</v>
      </c>
      <c r="D10" s="84">
        <v>7.7494242410931404</v>
      </c>
      <c r="E10" s="84">
        <v>17</v>
      </c>
      <c r="F10" s="91">
        <v>0.97827616109480531</v>
      </c>
      <c r="H10" s="86">
        <v>312.08050966435792</v>
      </c>
      <c r="I10" s="84">
        <v>7.9088006424144544</v>
      </c>
      <c r="J10" s="84">
        <v>2.5342180615253276</v>
      </c>
      <c r="K10" s="86">
        <v>293</v>
      </c>
      <c r="L10" s="91">
        <v>1.065121193393713</v>
      </c>
    </row>
    <row r="11" spans="1:13" ht="17.25" x14ac:dyDescent="0.25">
      <c r="A11" s="78" t="s">
        <v>47</v>
      </c>
      <c r="B11" s="86">
        <v>1702.1257651616784</v>
      </c>
      <c r="C11" s="86">
        <v>24.659082007023308</v>
      </c>
      <c r="D11" s="84">
        <v>1.4487226802938993</v>
      </c>
      <c r="E11" s="78">
        <v>1550</v>
      </c>
      <c r="F11" s="91">
        <v>1.0981456549430184</v>
      </c>
      <c r="H11" s="86">
        <v>1436.0754229630302</v>
      </c>
      <c r="I11" s="84">
        <v>18.983831570039118</v>
      </c>
      <c r="J11" s="84">
        <v>1.3219244105487231</v>
      </c>
      <c r="K11" s="86">
        <v>1316.5820000000001</v>
      </c>
      <c r="L11" s="91">
        <v>1.0907603346871142</v>
      </c>
    </row>
    <row r="12" spans="1:13" ht="17.25" x14ac:dyDescent="0.25">
      <c r="A12" s="78" t="s">
        <v>48</v>
      </c>
      <c r="B12" s="84">
        <v>41.180901375201444</v>
      </c>
      <c r="C12" s="84">
        <v>0.45162868822576158</v>
      </c>
      <c r="D12" s="84">
        <v>1.0966945189250423</v>
      </c>
      <c r="E12" s="84">
        <v>38</v>
      </c>
      <c r="F12" s="91">
        <v>1.0837079309263538</v>
      </c>
      <c r="H12" s="84">
        <v>49.276397726593551</v>
      </c>
      <c r="I12" s="84">
        <v>0.82164008083978601</v>
      </c>
      <c r="J12" s="84">
        <v>1.6674110096249228</v>
      </c>
      <c r="K12" s="84">
        <v>44</v>
      </c>
      <c r="L12" s="91">
        <v>1.1199181301498535</v>
      </c>
    </row>
    <row r="13" spans="1:13" ht="17.25" x14ac:dyDescent="0.25">
      <c r="A13" s="78" t="s">
        <v>49</v>
      </c>
      <c r="B13" s="86">
        <v>24.064195328166011</v>
      </c>
      <c r="C13" s="85">
        <v>7.1660444015455358</v>
      </c>
      <c r="D13" s="84">
        <v>29.778865670850074</v>
      </c>
      <c r="E13" s="86">
        <v>13</v>
      </c>
      <c r="F13" s="91">
        <v>1.8510919483204624</v>
      </c>
      <c r="H13" s="86">
        <v>142.79302773593892</v>
      </c>
      <c r="I13" s="84">
        <v>19.96506673535665</v>
      </c>
      <c r="J13" s="84">
        <v>13.981821838162293</v>
      </c>
      <c r="K13" s="86">
        <v>116</v>
      </c>
      <c r="L13" s="91">
        <v>1.2309743770339563</v>
      </c>
    </row>
    <row r="14" spans="1:13" ht="17.25" x14ac:dyDescent="0.25">
      <c r="A14" s="78" t="s">
        <v>50</v>
      </c>
      <c r="B14" s="86">
        <v>19.11336519228513</v>
      </c>
      <c r="C14" s="85">
        <v>1.527697649430692</v>
      </c>
      <c r="D14" s="84">
        <v>7.9928240477889672</v>
      </c>
      <c r="E14" s="86">
        <v>21</v>
      </c>
      <c r="F14" s="91">
        <v>0.91016024725167288</v>
      </c>
      <c r="H14" s="86">
        <v>141.56971784031799</v>
      </c>
      <c r="I14" s="84">
        <v>3.4523624114957405</v>
      </c>
      <c r="J14" s="84">
        <v>2.4386305660295196</v>
      </c>
      <c r="K14" s="86">
        <v>127</v>
      </c>
      <c r="L14" s="91">
        <v>1.1147221877190394</v>
      </c>
    </row>
    <row r="15" spans="1:13" ht="17.25" x14ac:dyDescent="0.25">
      <c r="A15" s="78" t="s">
        <v>51</v>
      </c>
      <c r="B15" s="86">
        <v>174.6159344870847</v>
      </c>
      <c r="C15" s="85">
        <v>9.2716611151010593</v>
      </c>
      <c r="D15" s="84">
        <v>5.3097451514580012</v>
      </c>
      <c r="E15" s="86">
        <v>125</v>
      </c>
      <c r="F15" s="91">
        <v>1.3969274758966777</v>
      </c>
      <c r="H15" s="86">
        <v>135.52231126707528</v>
      </c>
      <c r="I15" s="84">
        <v>8.2215247286754476</v>
      </c>
      <c r="J15" s="84">
        <v>6.0665470148846561</v>
      </c>
      <c r="K15" s="86">
        <v>102</v>
      </c>
      <c r="L15" s="91">
        <v>1.3286501104615223</v>
      </c>
    </row>
    <row r="16" spans="1:13" ht="17.25" x14ac:dyDescent="0.25">
      <c r="A16" s="78" t="s">
        <v>52</v>
      </c>
      <c r="B16" s="86">
        <v>52.873549938279375</v>
      </c>
      <c r="C16" s="85">
        <v>1.0698781188553321</v>
      </c>
      <c r="D16" s="84">
        <v>2.0234656460635381</v>
      </c>
      <c r="E16" s="86">
        <v>47</v>
      </c>
      <c r="F16" s="91">
        <v>1.1249691476229655</v>
      </c>
      <c r="H16" s="84">
        <v>10.154082182816138</v>
      </c>
      <c r="I16" s="84">
        <v>0.41276438384481107</v>
      </c>
      <c r="J16" s="84">
        <v>4.0650092880214874</v>
      </c>
      <c r="K16" s="84">
        <v>9.1999999999999993</v>
      </c>
      <c r="L16" s="91">
        <v>1.1037045850887108</v>
      </c>
    </row>
    <row r="17" spans="1:12" ht="17.25" x14ac:dyDescent="0.25">
      <c r="A17" s="78" t="s">
        <v>53</v>
      </c>
      <c r="B17" s="86">
        <v>360.20935798098685</v>
      </c>
      <c r="C17" s="85">
        <v>8.2536155071729382</v>
      </c>
      <c r="D17" s="84">
        <v>2.2913384464621802</v>
      </c>
      <c r="E17" s="86">
        <v>342</v>
      </c>
      <c r="F17" s="91">
        <v>1.0532437367865113</v>
      </c>
      <c r="H17" s="86">
        <v>411.1180341002655</v>
      </c>
      <c r="I17" s="84">
        <v>10.515494598607056</v>
      </c>
      <c r="J17" s="84">
        <v>2.5577799382165964</v>
      </c>
      <c r="K17" s="86">
        <v>396</v>
      </c>
      <c r="L17" s="91">
        <v>1.0381768537885492</v>
      </c>
    </row>
    <row r="18" spans="1:12" ht="17.25" x14ac:dyDescent="0.25">
      <c r="A18" s="78" t="s">
        <v>54</v>
      </c>
      <c r="B18" s="86">
        <v>358.76084226376878</v>
      </c>
      <c r="C18" s="85">
        <v>5.8155560500713168</v>
      </c>
      <c r="D18" s="84">
        <v>1.621011929110032</v>
      </c>
      <c r="E18" s="86">
        <v>342</v>
      </c>
      <c r="F18" s="91">
        <v>1.0490083107127741</v>
      </c>
      <c r="H18" s="86">
        <v>408.40751815550976</v>
      </c>
      <c r="I18" s="84">
        <v>8.220510702243752</v>
      </c>
      <c r="J18" s="84">
        <v>2.0128206109843498</v>
      </c>
      <c r="K18" s="86">
        <v>396</v>
      </c>
      <c r="L18" s="91">
        <v>1.0313321165543177</v>
      </c>
    </row>
    <row r="19" spans="1:12" ht="17.25" x14ac:dyDescent="0.25">
      <c r="A19" s="78" t="s">
        <v>55</v>
      </c>
      <c r="B19" s="84">
        <v>34.947606914720502</v>
      </c>
      <c r="C19" s="84">
        <v>0.93463627364632706</v>
      </c>
      <c r="D19" s="84">
        <v>2.6743927729501928</v>
      </c>
      <c r="E19" s="84">
        <v>35</v>
      </c>
      <c r="F19" s="91">
        <v>0.99850305470630007</v>
      </c>
      <c r="H19" s="84">
        <v>24.834074097445164</v>
      </c>
      <c r="I19" s="84">
        <v>0.78420325818593672</v>
      </c>
      <c r="J19" s="84">
        <v>3.1577712746963758</v>
      </c>
      <c r="K19" s="84">
        <v>26</v>
      </c>
      <c r="L19" s="91">
        <v>0.95515669605558329</v>
      </c>
    </row>
    <row r="20" spans="1:12" ht="17.25" x14ac:dyDescent="0.25">
      <c r="A20" s="78" t="s">
        <v>56</v>
      </c>
      <c r="B20" s="86">
        <v>188.27021272222623</v>
      </c>
      <c r="C20" s="84">
        <v>3.5055791676026358</v>
      </c>
      <c r="D20" s="84">
        <v>1.8619935235186489</v>
      </c>
      <c r="E20" s="86">
        <v>184</v>
      </c>
      <c r="F20" s="91">
        <v>1.023207677838186</v>
      </c>
      <c r="H20" s="86">
        <v>168.36884621020292</v>
      </c>
      <c r="I20" s="84">
        <v>4.126100414720284</v>
      </c>
      <c r="J20" s="84">
        <v>2.4506317573555054</v>
      </c>
      <c r="K20" s="86">
        <v>170</v>
      </c>
      <c r="L20" s="91">
        <v>0.99040497770707603</v>
      </c>
    </row>
    <row r="21" spans="1:12" ht="17.25" x14ac:dyDescent="0.25">
      <c r="A21" s="78" t="s">
        <v>57</v>
      </c>
      <c r="B21" s="84">
        <v>12.504217231428003</v>
      </c>
      <c r="C21" s="84">
        <v>0.35809187674057941</v>
      </c>
      <c r="D21" s="84">
        <v>2.8637688398483196</v>
      </c>
      <c r="E21" s="84">
        <v>12.5</v>
      </c>
      <c r="F21" s="91">
        <v>1.0003373785142402</v>
      </c>
      <c r="H21" s="84">
        <v>18.087617257441249</v>
      </c>
      <c r="I21" s="84">
        <v>0.45773445037888016</v>
      </c>
      <c r="J21" s="84">
        <v>2.5306509080988437</v>
      </c>
      <c r="K21" s="84">
        <v>18.3</v>
      </c>
      <c r="L21" s="91">
        <v>0.98839438565252724</v>
      </c>
    </row>
    <row r="22" spans="1:12" ht="17.25" x14ac:dyDescent="0.25">
      <c r="A22" s="78" t="s">
        <v>58</v>
      </c>
      <c r="B22" s="84">
        <v>1.2568959464531515</v>
      </c>
      <c r="C22" s="84">
        <v>0.13357145030406745</v>
      </c>
      <c r="D22" s="84">
        <v>10.627088955214964</v>
      </c>
      <c r="E22" s="84">
        <v>1.1599999999999999</v>
      </c>
      <c r="F22" s="91">
        <v>1.0835309883216824</v>
      </c>
      <c r="H22" s="84">
        <v>0.13393656109804433</v>
      </c>
      <c r="I22" s="87">
        <v>5.3879148266058573E-2</v>
      </c>
      <c r="J22" s="84">
        <v>40.227364227022314</v>
      </c>
      <c r="K22" s="84">
        <v>9.9618181818181814E-2</v>
      </c>
      <c r="L22" s="91">
        <v>1.3444991532017592</v>
      </c>
    </row>
    <row r="23" spans="1:12" ht="17.25" x14ac:dyDescent="0.25">
      <c r="A23" s="78" t="s">
        <v>59</v>
      </c>
      <c r="B23" s="86">
        <v>721.72642654307379</v>
      </c>
      <c r="C23" s="86">
        <v>18.755841211883101</v>
      </c>
      <c r="D23" s="84">
        <v>2.5987466333635383</v>
      </c>
      <c r="E23" s="86">
        <v>683</v>
      </c>
      <c r="F23" s="91">
        <v>1.0567004781011329</v>
      </c>
      <c r="H23" s="86">
        <v>137.41408785614666</v>
      </c>
      <c r="I23" s="84">
        <v>5.2487030800235379</v>
      </c>
      <c r="J23" s="84">
        <v>3.8196251650108803</v>
      </c>
      <c r="K23" s="86">
        <v>131</v>
      </c>
      <c r="L23" s="91">
        <v>1.0489625027186769</v>
      </c>
    </row>
    <row r="24" spans="1:12" ht="17.25" x14ac:dyDescent="0.25">
      <c r="A24" s="78" t="s">
        <v>60</v>
      </c>
      <c r="B24" s="84">
        <v>26.123311189532082</v>
      </c>
      <c r="C24" s="84">
        <v>0.52088176521351459</v>
      </c>
      <c r="D24" s="84">
        <v>1.9939346947037786</v>
      </c>
      <c r="E24" s="84">
        <v>24.7</v>
      </c>
      <c r="F24" s="91">
        <v>1.0576239347988698</v>
      </c>
      <c r="H24" s="84">
        <v>15.467618262036511</v>
      </c>
      <c r="I24" s="84">
        <v>0.66194094771607503</v>
      </c>
      <c r="J24" s="84">
        <v>4.2795273099073885</v>
      </c>
      <c r="K24" s="84">
        <v>15.2</v>
      </c>
      <c r="L24" s="91">
        <v>1.0176064646076652</v>
      </c>
    </row>
    <row r="25" spans="1:12" ht="17.25" x14ac:dyDescent="0.25">
      <c r="A25" s="78" t="s">
        <v>61</v>
      </c>
      <c r="B25" s="86">
        <v>54.791843554818605</v>
      </c>
      <c r="C25" s="84">
        <v>0.94729943988174814</v>
      </c>
      <c r="D25" s="84">
        <v>1.728905943699423</v>
      </c>
      <c r="E25" s="86">
        <v>53.3</v>
      </c>
      <c r="F25" s="91">
        <v>1.027989560127929</v>
      </c>
      <c r="H25" s="84">
        <v>37.895183511964937</v>
      </c>
      <c r="I25" s="84">
        <v>1.1112808296669436</v>
      </c>
      <c r="J25" s="84">
        <v>2.9325120679678736</v>
      </c>
      <c r="K25" s="84">
        <v>37.6</v>
      </c>
      <c r="L25" s="91">
        <v>1.0078506253182165</v>
      </c>
    </row>
    <row r="26" spans="1:12" ht="17.25" x14ac:dyDescent="0.25">
      <c r="A26" s="78" t="s">
        <v>62</v>
      </c>
      <c r="B26" s="84">
        <v>6.7720461092787243</v>
      </c>
      <c r="C26" s="84">
        <v>0.1991863813782315</v>
      </c>
      <c r="D26" s="84">
        <v>2.9413027933362135</v>
      </c>
      <c r="E26" s="84">
        <v>6.7</v>
      </c>
      <c r="F26" s="91">
        <v>1.0107531506386156</v>
      </c>
      <c r="H26" s="84">
        <v>5.254987034460707</v>
      </c>
      <c r="I26" s="84">
        <v>0.17320607530699492</v>
      </c>
      <c r="J26" s="84">
        <v>3.296032400673091</v>
      </c>
      <c r="K26" s="84">
        <v>5.35</v>
      </c>
      <c r="L26" s="91">
        <v>0.98224056718891728</v>
      </c>
    </row>
    <row r="27" spans="1:12" ht="17.25" x14ac:dyDescent="0.25">
      <c r="A27" s="78" t="s">
        <v>63</v>
      </c>
      <c r="B27" s="86">
        <v>29.131551617438923</v>
      </c>
      <c r="C27" s="84">
        <v>1.0431535627137452</v>
      </c>
      <c r="D27" s="84">
        <v>3.580837630664635</v>
      </c>
      <c r="E27" s="86">
        <v>28.9</v>
      </c>
      <c r="F27" s="91">
        <v>1.0080121666933883</v>
      </c>
      <c r="H27" s="84">
        <v>24.428488617543163</v>
      </c>
      <c r="I27" s="84">
        <v>1.0389730981350962</v>
      </c>
      <c r="J27" s="84">
        <v>4.2531206674364794</v>
      </c>
      <c r="K27" s="84">
        <v>24.5</v>
      </c>
      <c r="L27" s="91">
        <v>0.9970811680629863</v>
      </c>
    </row>
    <row r="28" spans="1:12" ht="17.25" x14ac:dyDescent="0.25">
      <c r="A28" s="78" t="s">
        <v>64</v>
      </c>
      <c r="B28" s="84">
        <v>6.8374579367740056</v>
      </c>
      <c r="C28" s="84">
        <v>0.42448454385873507</v>
      </c>
      <c r="D28" s="84">
        <v>6.208221648804936</v>
      </c>
      <c r="E28" s="84">
        <v>6.59</v>
      </c>
      <c r="F28" s="91">
        <v>1.0375505215135061</v>
      </c>
      <c r="H28" s="84">
        <v>6.3261955986801039</v>
      </c>
      <c r="I28" s="84">
        <v>0.49676728675166415</v>
      </c>
      <c r="J28" s="84">
        <v>7.8525439026151762</v>
      </c>
      <c r="K28" s="84">
        <v>6.1</v>
      </c>
      <c r="L28" s="91">
        <v>1.0370812456852629</v>
      </c>
    </row>
    <row r="29" spans="1:12" ht="17.25" x14ac:dyDescent="0.25">
      <c r="A29" s="78" t="s">
        <v>65</v>
      </c>
      <c r="B29" s="84">
        <v>2.0232297258104102</v>
      </c>
      <c r="C29" s="84">
        <v>0.12737086827608765</v>
      </c>
      <c r="D29" s="84">
        <v>6.2954229394325898</v>
      </c>
      <c r="E29" s="84">
        <v>1.97</v>
      </c>
      <c r="F29" s="91">
        <v>1.0270201653859949</v>
      </c>
      <c r="H29" s="84">
        <v>2.0718897518878565</v>
      </c>
      <c r="I29" s="87">
        <v>0.12005266377219427</v>
      </c>
      <c r="J29" s="84">
        <v>5.7943557886130357</v>
      </c>
      <c r="K29" s="84">
        <v>2.0699999999999998</v>
      </c>
      <c r="L29" s="91">
        <v>1.000912923617322</v>
      </c>
    </row>
    <row r="30" spans="1:12" ht="17.25" x14ac:dyDescent="0.25">
      <c r="A30" s="78" t="s">
        <v>66</v>
      </c>
      <c r="B30" s="84">
        <v>6.8836699311374181</v>
      </c>
      <c r="C30" s="84">
        <v>0.3900091953755993</v>
      </c>
      <c r="D30" s="84">
        <v>5.6657160973311864</v>
      </c>
      <c r="E30" s="84">
        <v>6.71</v>
      </c>
      <c r="F30" s="91">
        <v>1.025882255013028</v>
      </c>
      <c r="H30" s="84">
        <v>6.3175565149375554</v>
      </c>
      <c r="I30" s="84">
        <v>0.3831130438826873</v>
      </c>
      <c r="J30" s="84">
        <v>6.0642598602297442</v>
      </c>
      <c r="K30" s="84">
        <v>6.16</v>
      </c>
      <c r="L30" s="91">
        <v>1.0255773563210318</v>
      </c>
    </row>
    <row r="31" spans="1:12" ht="17.25" x14ac:dyDescent="0.25">
      <c r="A31" s="78" t="s">
        <v>67</v>
      </c>
      <c r="B31" s="87">
        <v>1.0268969356762137</v>
      </c>
      <c r="C31" s="87">
        <v>6.9465985624927784E-2</v>
      </c>
      <c r="D31" s="84">
        <v>6.76465020116009</v>
      </c>
      <c r="E31" s="78">
        <v>1.02</v>
      </c>
      <c r="F31" s="91">
        <v>1.0067617016433468</v>
      </c>
      <c r="H31" s="84">
        <v>0.89756076081180269</v>
      </c>
      <c r="I31" s="87">
        <v>6.4012930691965994E-2</v>
      </c>
      <c r="J31" s="84">
        <v>7.1318771371053726</v>
      </c>
      <c r="K31" s="84">
        <v>0.92</v>
      </c>
      <c r="L31" s="91">
        <v>0.97560952262152467</v>
      </c>
    </row>
    <row r="32" spans="1:12" ht="17.25" x14ac:dyDescent="0.25">
      <c r="A32" s="78" t="s">
        <v>68</v>
      </c>
      <c r="B32" s="84">
        <v>6.5866203554992344</v>
      </c>
      <c r="C32" s="84">
        <v>0.49237470158913976</v>
      </c>
      <c r="D32" s="84">
        <v>7.4753769765711677</v>
      </c>
      <c r="E32" s="84">
        <v>6.44</v>
      </c>
      <c r="F32" s="91">
        <v>1.022767135947086</v>
      </c>
      <c r="H32" s="84">
        <v>5.4718903287207201</v>
      </c>
      <c r="I32" s="84">
        <v>0.38927804496219975</v>
      </c>
      <c r="J32" s="84">
        <v>7.1141419432141575</v>
      </c>
      <c r="K32" s="84">
        <v>5.28</v>
      </c>
      <c r="L32" s="91">
        <v>1.0363428652880151</v>
      </c>
    </row>
    <row r="33" spans="1:12" ht="17.25" x14ac:dyDescent="0.25">
      <c r="A33" s="78" t="s">
        <v>69</v>
      </c>
      <c r="B33" s="87">
        <v>1.3068687718371661</v>
      </c>
      <c r="C33" s="87">
        <v>8.9315210416607102E-2</v>
      </c>
      <c r="D33" s="84">
        <v>6.8342906603430302</v>
      </c>
      <c r="E33" s="78">
        <v>1.27</v>
      </c>
      <c r="F33" s="91">
        <v>1.0290305290056425</v>
      </c>
      <c r="H33" s="84">
        <v>0.97275576771372541</v>
      </c>
      <c r="I33" s="87">
        <v>9.9028169387021026E-2</v>
      </c>
      <c r="J33" s="84">
        <v>10.180167794817358</v>
      </c>
      <c r="K33" s="84">
        <v>0.98</v>
      </c>
      <c r="L33" s="91">
        <v>0.99260792623849536</v>
      </c>
    </row>
    <row r="34" spans="1:12" ht="17.25" x14ac:dyDescent="0.25">
      <c r="A34" s="78" t="s">
        <v>70</v>
      </c>
      <c r="B34" s="84">
        <v>3.7252911973199101</v>
      </c>
      <c r="C34" s="84">
        <v>0.24714101203407671</v>
      </c>
      <c r="D34" s="84">
        <v>6.6341394254461941</v>
      </c>
      <c r="E34" s="84">
        <v>3.7</v>
      </c>
      <c r="F34" s="91">
        <v>1.0068354587351107</v>
      </c>
      <c r="H34" s="84">
        <v>2.5522020009940989</v>
      </c>
      <c r="I34" s="84">
        <v>0.19679944699334251</v>
      </c>
      <c r="J34" s="84">
        <v>7.7109667227236667</v>
      </c>
      <c r="K34" s="84">
        <v>2.56</v>
      </c>
      <c r="L34" s="91">
        <v>0.99695390663831984</v>
      </c>
    </row>
    <row r="35" spans="1:12" ht="17.25" x14ac:dyDescent="0.25">
      <c r="A35" s="78" t="s">
        <v>71</v>
      </c>
      <c r="B35" s="87">
        <v>0.5139454622039602</v>
      </c>
      <c r="C35" s="87">
        <v>5.7760979947863139E-2</v>
      </c>
      <c r="D35" s="84">
        <v>11.23873721934733</v>
      </c>
      <c r="E35" s="78">
        <v>0.51</v>
      </c>
      <c r="F35" s="91">
        <v>1.007736200399922</v>
      </c>
      <c r="H35" s="84">
        <v>0.32334023446887133</v>
      </c>
      <c r="I35" s="87">
        <v>4.7330840062114396E-2</v>
      </c>
      <c r="J35" s="84">
        <v>14.638091711618102</v>
      </c>
      <c r="K35" s="84">
        <v>0.34</v>
      </c>
      <c r="L35" s="91">
        <v>0.95100068961432738</v>
      </c>
    </row>
    <row r="36" spans="1:12" ht="17.25" x14ac:dyDescent="0.25">
      <c r="A36" s="78" t="s">
        <v>72</v>
      </c>
      <c r="B36" s="84">
        <v>3.5186577066851021</v>
      </c>
      <c r="C36" s="84">
        <v>0.28896244541038524</v>
      </c>
      <c r="D36" s="84">
        <v>8.2122920016171257</v>
      </c>
      <c r="E36" s="84">
        <v>3.39</v>
      </c>
      <c r="F36" s="91">
        <v>1.0379521258658118</v>
      </c>
      <c r="H36" s="84">
        <v>2.0866343733146007</v>
      </c>
      <c r="I36" s="84">
        <v>0.29222413170835004</v>
      </c>
      <c r="J36" s="84">
        <v>14.004568095183563</v>
      </c>
      <c r="K36" s="84">
        <v>2.0099999999999998</v>
      </c>
      <c r="L36" s="91">
        <v>1.0381265538878612</v>
      </c>
    </row>
    <row r="37" spans="1:12" ht="17.25" x14ac:dyDescent="0.25">
      <c r="A37" s="78" t="s">
        <v>73</v>
      </c>
      <c r="B37" s="87">
        <v>0.51349646163210694</v>
      </c>
      <c r="C37" s="87">
        <v>4.9888270119363934E-2</v>
      </c>
      <c r="D37" s="84">
        <v>9.7154067938069346</v>
      </c>
      <c r="E37" s="87">
        <v>0.503</v>
      </c>
      <c r="F37" s="91">
        <v>1.0208677169624392</v>
      </c>
      <c r="H37" s="84">
        <v>0.27968421663597426</v>
      </c>
      <c r="I37" s="87">
        <v>3.4145219813267479E-2</v>
      </c>
      <c r="J37" s="84">
        <v>12.208490069251754</v>
      </c>
      <c r="K37" s="84">
        <v>0.27900000000000003</v>
      </c>
      <c r="L37" s="91">
        <v>1.0024523893762518</v>
      </c>
    </row>
    <row r="38" spans="1:12" ht="17.25" x14ac:dyDescent="0.25">
      <c r="A38" s="78" t="s">
        <v>74</v>
      </c>
      <c r="B38" s="84">
        <v>5.1490109144013427</v>
      </c>
      <c r="C38" s="84">
        <v>0.31911580739781642</v>
      </c>
      <c r="D38" s="84">
        <v>6.1976137301491594</v>
      </c>
      <c r="E38" s="84">
        <v>4.84</v>
      </c>
      <c r="F38" s="91">
        <v>1.0638452302482113</v>
      </c>
      <c r="H38" s="84">
        <v>4.5398019068159936</v>
      </c>
      <c r="I38" s="84">
        <v>0.27283803883372915</v>
      </c>
      <c r="J38" s="84">
        <v>6.009910662051003</v>
      </c>
      <c r="K38" s="84">
        <v>4.32</v>
      </c>
      <c r="L38" s="91">
        <v>1.0508800710222206</v>
      </c>
    </row>
    <row r="39" spans="1:12" ht="17.25" x14ac:dyDescent="0.25">
      <c r="A39" s="78" t="s">
        <v>75</v>
      </c>
      <c r="B39" s="87">
        <v>0.71221580266094175</v>
      </c>
      <c r="C39" s="87">
        <v>8.046202359741679E-2</v>
      </c>
      <c r="D39" s="84">
        <v>11.297421834337145</v>
      </c>
      <c r="E39" s="78">
        <v>0.78</v>
      </c>
      <c r="F39" s="91">
        <v>0.91309718289864328</v>
      </c>
      <c r="H39" s="84">
        <v>1.0974137031149278</v>
      </c>
      <c r="I39" s="87">
        <v>7.7352797149787572E-2</v>
      </c>
      <c r="J39" s="84">
        <v>7.0486450943912367</v>
      </c>
      <c r="K39" s="84">
        <v>1.1499999999999999</v>
      </c>
      <c r="L39" s="91">
        <v>0.95427278531732862</v>
      </c>
    </row>
    <row r="40" spans="1:12" ht="17.25" x14ac:dyDescent="0.25">
      <c r="A40" s="78" t="s">
        <v>76</v>
      </c>
      <c r="B40" s="84">
        <v>11.73069491479882</v>
      </c>
      <c r="C40" s="84">
        <v>0.3918212661358691</v>
      </c>
      <c r="D40" s="84">
        <v>3.340136871529821</v>
      </c>
      <c r="E40" s="84">
        <v>11</v>
      </c>
      <c r="F40" s="91">
        <v>1.0664268104362564</v>
      </c>
      <c r="H40" s="84">
        <v>2.0189527010729917</v>
      </c>
      <c r="I40" s="87">
        <v>0.14926953592763012</v>
      </c>
      <c r="J40" s="84">
        <v>7.3934142116503958</v>
      </c>
      <c r="K40" s="84">
        <v>1.7</v>
      </c>
      <c r="L40" s="91">
        <v>1.1876192359252893</v>
      </c>
    </row>
    <row r="41" spans="1:12" ht="17.25" x14ac:dyDescent="0.25">
      <c r="A41" s="78" t="s">
        <v>77</v>
      </c>
      <c r="B41" s="84">
        <v>6.1691861727394759</v>
      </c>
      <c r="C41" s="84">
        <v>0.14031546654272892</v>
      </c>
      <c r="D41" s="84">
        <v>2.2744566724660982</v>
      </c>
      <c r="E41" s="84">
        <v>5.9</v>
      </c>
      <c r="F41" s="91">
        <v>1.0456247750405891</v>
      </c>
      <c r="H41" s="84">
        <v>1.2345300893712159</v>
      </c>
      <c r="I41" s="87">
        <v>4.8523122618886486E-2</v>
      </c>
      <c r="J41" s="84">
        <v>3.9304933137434346</v>
      </c>
      <c r="K41" s="84">
        <v>1.22</v>
      </c>
      <c r="L41" s="91">
        <v>1.0119099093206687</v>
      </c>
    </row>
    <row r="42" spans="1:12" ht="17.25" x14ac:dyDescent="0.25">
      <c r="A42" s="78" t="s">
        <v>78</v>
      </c>
      <c r="B42" s="84">
        <v>1.8395362118113197</v>
      </c>
      <c r="C42" s="87">
        <v>8.3970692704674513E-2</v>
      </c>
      <c r="D42" s="84">
        <v>4.564775195264672</v>
      </c>
      <c r="E42" s="84">
        <v>1.69</v>
      </c>
      <c r="F42" s="91">
        <v>1.0884829655688282</v>
      </c>
      <c r="H42" s="84">
        <v>0.44652482766776985</v>
      </c>
      <c r="I42" s="87">
        <v>2.6462974390445506E-2</v>
      </c>
      <c r="J42" s="84">
        <v>5.9264284426609501</v>
      </c>
      <c r="K42" s="84">
        <v>0.40300000000000002</v>
      </c>
      <c r="L42" s="91">
        <v>1.1080020537661783</v>
      </c>
    </row>
    <row r="43" spans="1:12" x14ac:dyDescent="0.25">
      <c r="A43" s="78" t="s">
        <v>13</v>
      </c>
      <c r="D43" s="84">
        <f>AVERAGE(D6:D42)</f>
        <v>5.575542187090563</v>
      </c>
      <c r="F43" s="87">
        <f>AVERAGE(F6:F42)</f>
        <v>1.0675437704125408</v>
      </c>
      <c r="J43" s="84">
        <f>AVERAGE(J6:J42)</f>
        <v>6.6589779866983694</v>
      </c>
      <c r="L43" s="87">
        <f>AVERAGE(L6:L42)</f>
        <v>1.0543987664224121</v>
      </c>
    </row>
    <row r="45" spans="1:12" x14ac:dyDescent="0.25">
      <c r="A45" s="88" t="s">
        <v>321</v>
      </c>
    </row>
    <row r="46" spans="1:12" x14ac:dyDescent="0.25">
      <c r="A46" s="88" t="s">
        <v>79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W85"/>
  <sheetViews>
    <sheetView zoomScaleNormal="100" workbookViewId="0">
      <pane ySplit="1" topLeftCell="A2" activePane="bottomLeft" state="frozen"/>
      <selection pane="bottomLeft"/>
    </sheetView>
  </sheetViews>
  <sheetFormatPr defaultRowHeight="15" x14ac:dyDescent="0.25"/>
  <cols>
    <col min="1" max="1" width="14.7109375" customWidth="1"/>
    <col min="3" max="3" width="9.140625" style="99"/>
    <col min="4" max="4" width="14.7109375" style="99" customWidth="1"/>
    <col min="64" max="64" width="9"/>
    <col min="65" max="65" width="9" style="4"/>
    <col min="66" max="83" width="0" hidden="1" customWidth="1"/>
  </cols>
  <sheetData>
    <row r="1" spans="1:127" x14ac:dyDescent="0.25">
      <c r="A1" s="30" t="s">
        <v>81</v>
      </c>
      <c r="B1" s="1" t="s">
        <v>114</v>
      </c>
      <c r="C1" s="97" t="s">
        <v>94</v>
      </c>
      <c r="D1" s="97" t="s">
        <v>102</v>
      </c>
      <c r="E1" s="31" t="s">
        <v>115</v>
      </c>
      <c r="F1" s="1" t="s">
        <v>116</v>
      </c>
      <c r="G1" s="22" t="s">
        <v>117</v>
      </c>
      <c r="H1" s="22" t="s">
        <v>118</v>
      </c>
      <c r="I1" s="22" t="s">
        <v>119</v>
      </c>
      <c r="J1" s="22" t="s">
        <v>120</v>
      </c>
      <c r="K1" s="22" t="s">
        <v>21</v>
      </c>
      <c r="L1" s="22" t="s">
        <v>22</v>
      </c>
      <c r="M1" s="22" t="s">
        <v>23</v>
      </c>
      <c r="N1" s="22" t="s">
        <v>24</v>
      </c>
      <c r="O1" s="22" t="s">
        <v>121</v>
      </c>
      <c r="P1" s="22" t="s">
        <v>122</v>
      </c>
      <c r="Q1" s="22" t="s">
        <v>123</v>
      </c>
      <c r="R1" s="22" t="s">
        <v>124</v>
      </c>
      <c r="S1" s="22" t="s">
        <v>29</v>
      </c>
      <c r="T1" s="1" t="s">
        <v>31</v>
      </c>
      <c r="U1" s="8"/>
      <c r="V1" s="1" t="s">
        <v>125</v>
      </c>
      <c r="W1" s="1" t="s">
        <v>126</v>
      </c>
      <c r="X1" s="1" t="s">
        <v>127</v>
      </c>
      <c r="Y1" s="1" t="s">
        <v>128</v>
      </c>
      <c r="Z1" s="1" t="s">
        <v>129</v>
      </c>
      <c r="AA1" s="1" t="s">
        <v>130</v>
      </c>
      <c r="AB1" s="1" t="s">
        <v>131</v>
      </c>
      <c r="AC1" s="1" t="s">
        <v>132</v>
      </c>
      <c r="AD1" s="4" t="s">
        <v>133</v>
      </c>
      <c r="AE1" s="1" t="s">
        <v>134</v>
      </c>
      <c r="AF1" s="1" t="s">
        <v>135</v>
      </c>
      <c r="AG1" s="26" t="s">
        <v>136</v>
      </c>
      <c r="AH1" s="26" t="s">
        <v>137</v>
      </c>
      <c r="AI1" s="26" t="s">
        <v>138</v>
      </c>
      <c r="AJ1" s="26" t="s">
        <v>139</v>
      </c>
      <c r="AK1" s="26" t="s">
        <v>140</v>
      </c>
      <c r="AL1" s="26" t="s">
        <v>141</v>
      </c>
      <c r="AM1" s="26" t="s">
        <v>142</v>
      </c>
      <c r="AN1" s="26" t="s">
        <v>143</v>
      </c>
      <c r="AO1" s="26" t="s">
        <v>144</v>
      </c>
      <c r="AP1" s="26" t="s">
        <v>145</v>
      </c>
      <c r="AQ1" s="26" t="s">
        <v>146</v>
      </c>
      <c r="AR1" s="26" t="s">
        <v>30</v>
      </c>
      <c r="AS1" s="28" t="s">
        <v>29</v>
      </c>
      <c r="AT1" s="26" t="s">
        <v>147</v>
      </c>
      <c r="AU1" s="4" t="s">
        <v>148</v>
      </c>
      <c r="AV1" s="26" t="s">
        <v>136</v>
      </c>
      <c r="AW1" s="26" t="s">
        <v>137</v>
      </c>
      <c r="AX1" s="26" t="s">
        <v>138</v>
      </c>
      <c r="AY1" s="26" t="s">
        <v>139</v>
      </c>
      <c r="AZ1" s="26" t="s">
        <v>149</v>
      </c>
      <c r="BA1" s="26" t="s">
        <v>150</v>
      </c>
      <c r="BB1" s="26" t="s">
        <v>141</v>
      </c>
      <c r="BC1" s="26" t="s">
        <v>142</v>
      </c>
      <c r="BD1" s="26" t="s">
        <v>143</v>
      </c>
      <c r="BE1" s="26" t="s">
        <v>144</v>
      </c>
      <c r="BF1" s="26" t="s">
        <v>145</v>
      </c>
      <c r="BG1" s="26" t="s">
        <v>146</v>
      </c>
      <c r="BH1" s="26" t="s">
        <v>30</v>
      </c>
      <c r="BI1" s="26" t="s">
        <v>29</v>
      </c>
      <c r="BJ1" s="25" t="s">
        <v>147</v>
      </c>
      <c r="BK1" s="24" t="s">
        <v>151</v>
      </c>
      <c r="BL1" s="26"/>
      <c r="BM1" s="4" t="s">
        <v>152</v>
      </c>
      <c r="BN1" s="1" t="s">
        <v>153</v>
      </c>
      <c r="BO1" s="1" t="s">
        <v>136</v>
      </c>
      <c r="BP1" s="1" t="s">
        <v>137</v>
      </c>
      <c r="BQ1" s="1" t="s">
        <v>138</v>
      </c>
      <c r="BR1" s="1" t="s">
        <v>139</v>
      </c>
      <c r="BS1" s="1" t="s">
        <v>140</v>
      </c>
      <c r="BT1" s="1" t="s">
        <v>141</v>
      </c>
      <c r="BU1" s="1" t="s">
        <v>142</v>
      </c>
      <c r="BV1" s="1" t="s">
        <v>143</v>
      </c>
      <c r="BW1" s="1" t="s">
        <v>144</v>
      </c>
      <c r="BX1" s="1" t="s">
        <v>145</v>
      </c>
      <c r="BY1" s="1" t="s">
        <v>146</v>
      </c>
      <c r="BZ1" s="1" t="s">
        <v>30</v>
      </c>
      <c r="CA1" s="1" t="s">
        <v>29</v>
      </c>
      <c r="CB1" s="1" t="s">
        <v>147</v>
      </c>
      <c r="CC1" s="1" t="s">
        <v>151</v>
      </c>
      <c r="CD1" s="1" t="s">
        <v>154</v>
      </c>
      <c r="CE1" s="1" t="s">
        <v>155</v>
      </c>
      <c r="CF1" s="4" t="s">
        <v>156</v>
      </c>
      <c r="CG1" s="22" t="s">
        <v>157</v>
      </c>
      <c r="CH1" s="22" t="s">
        <v>144</v>
      </c>
      <c r="CI1" s="22" t="s">
        <v>142</v>
      </c>
      <c r="CJ1" s="22" t="s">
        <v>138</v>
      </c>
      <c r="CK1" s="22" t="s">
        <v>136</v>
      </c>
      <c r="CL1" s="22" t="s">
        <v>143</v>
      </c>
      <c r="CM1" s="22" t="s">
        <v>108</v>
      </c>
      <c r="CN1" s="22" t="s">
        <v>137</v>
      </c>
      <c r="CO1" s="22" t="s">
        <v>158</v>
      </c>
      <c r="CP1" s="22" t="s">
        <v>139</v>
      </c>
      <c r="CQ1" s="22" t="s">
        <v>141</v>
      </c>
      <c r="CR1" s="22" t="s">
        <v>159</v>
      </c>
      <c r="CS1" s="22" t="s">
        <v>160</v>
      </c>
      <c r="CT1" s="22" t="s">
        <v>161</v>
      </c>
      <c r="CU1" s="22" t="s">
        <v>162</v>
      </c>
      <c r="CV1" s="22" t="s">
        <v>163</v>
      </c>
      <c r="CW1" s="22" t="s">
        <v>109</v>
      </c>
      <c r="CX1" s="22" t="s">
        <v>109</v>
      </c>
      <c r="CY1" s="22" t="s">
        <v>110</v>
      </c>
      <c r="CZ1" s="22" t="s">
        <v>111</v>
      </c>
      <c r="DA1" s="22" t="s">
        <v>112</v>
      </c>
      <c r="DB1" s="22" t="s">
        <v>164</v>
      </c>
      <c r="DC1" s="22" t="s">
        <v>113</v>
      </c>
      <c r="DD1" s="22" t="s">
        <v>165</v>
      </c>
      <c r="DE1" s="22" t="s">
        <v>166</v>
      </c>
      <c r="DF1" s="22" t="s">
        <v>167</v>
      </c>
      <c r="DG1" s="22" t="s">
        <v>168</v>
      </c>
      <c r="DH1" s="22" t="s">
        <v>169</v>
      </c>
      <c r="DI1" s="22" t="s">
        <v>170</v>
      </c>
      <c r="DJ1" s="22" t="s">
        <v>171</v>
      </c>
      <c r="DK1" s="22" t="s">
        <v>172</v>
      </c>
      <c r="DL1" s="22" t="s">
        <v>173</v>
      </c>
      <c r="DM1" s="22" t="s">
        <v>174</v>
      </c>
      <c r="DN1" s="22" t="s">
        <v>175</v>
      </c>
      <c r="DO1" s="22" t="s">
        <v>176</v>
      </c>
      <c r="DP1" s="46" t="s">
        <v>177</v>
      </c>
      <c r="DQ1" s="46" t="s">
        <v>178</v>
      </c>
      <c r="DR1" s="46" t="s">
        <v>179</v>
      </c>
      <c r="DS1" s="46" t="s">
        <v>180</v>
      </c>
      <c r="DT1" s="46" t="s">
        <v>181</v>
      </c>
      <c r="DU1" s="46" t="s">
        <v>182</v>
      </c>
      <c r="DV1" s="46" t="s">
        <v>183</v>
      </c>
      <c r="DW1" s="46"/>
    </row>
    <row r="2" spans="1:127" x14ac:dyDescent="0.25">
      <c r="A2" s="5" t="s">
        <v>82</v>
      </c>
      <c r="B2" s="1">
        <v>8</v>
      </c>
      <c r="C2" s="98" t="s">
        <v>95</v>
      </c>
      <c r="D2" s="98" t="s">
        <v>103</v>
      </c>
      <c r="E2" s="1">
        <v>39</v>
      </c>
      <c r="F2" s="1" t="s">
        <v>184</v>
      </c>
      <c r="G2" s="22">
        <v>39.5</v>
      </c>
      <c r="H2" s="22">
        <v>0</v>
      </c>
      <c r="I2" s="22">
        <v>6.2E-2</v>
      </c>
      <c r="J2" s="22">
        <v>0</v>
      </c>
      <c r="K2" s="22">
        <v>20.21</v>
      </c>
      <c r="L2" s="22">
        <v>0.32400000000000001</v>
      </c>
      <c r="M2" s="22">
        <v>40.51</v>
      </c>
      <c r="N2" s="22">
        <v>0.20499999999999999</v>
      </c>
      <c r="O2" s="22">
        <v>4.2000000000000003E-2</v>
      </c>
      <c r="P2" s="22">
        <v>0</v>
      </c>
      <c r="Q2" s="22">
        <v>0</v>
      </c>
      <c r="R2" s="22"/>
      <c r="S2" s="22"/>
      <c r="T2" s="22">
        <f t="shared" ref="T2:T33" si="0">SUM(G2:S2)</f>
        <v>100.85299999999999</v>
      </c>
      <c r="U2" s="3"/>
      <c r="V2" s="22">
        <f t="shared" ref="V2:V33" si="1">K2*AZ2/(AZ2+BA2)</f>
        <v>20.21</v>
      </c>
      <c r="W2" s="22">
        <f t="shared" ref="W2:W33" si="2">1.1113*K2*BA2/(AZ2+BA2)</f>
        <v>0</v>
      </c>
      <c r="X2" s="22">
        <f t="shared" ref="X2:X33" si="3">SUM(G2:J2)+SUM(L2:S2)+SUM(V2:W2)</f>
        <v>100.85300000000001</v>
      </c>
      <c r="Y2" s="1"/>
      <c r="Z2" s="1"/>
      <c r="AA2" s="1"/>
      <c r="AB2" s="1" t="s">
        <v>185</v>
      </c>
      <c r="AC2" s="1"/>
      <c r="AD2" s="1">
        <v>4</v>
      </c>
      <c r="AE2" s="1">
        <v>3</v>
      </c>
      <c r="AF2" s="1"/>
      <c r="AG2" s="26">
        <f t="shared" ref="AG2:AG33" si="4">BO2*($AD2/$CC2)</f>
        <v>1.006775112381721</v>
      </c>
      <c r="AH2" s="26">
        <f t="shared" ref="AH2:AH33" si="5">BP2*($AD2/$CC2)</f>
        <v>0</v>
      </c>
      <c r="AI2" s="26">
        <f t="shared" ref="AI2:AI33" si="6">BQ2*($AD2/$CC2)</f>
        <v>1.8623322239137792E-3</v>
      </c>
      <c r="AJ2" s="26">
        <f t="shared" ref="AJ2:AJ33" si="7">BR2*($AD2/$CC2)</f>
        <v>0</v>
      </c>
      <c r="AK2" s="26">
        <f t="shared" ref="AK2:AK33" si="8">BS2*($AD2/$CC2)</f>
        <v>0.43072972182756764</v>
      </c>
      <c r="AL2" s="26">
        <f t="shared" ref="AL2:AL33" si="9">BT2*($AD2/$CC2)</f>
        <v>6.9938952852343014E-3</v>
      </c>
      <c r="AM2" s="26">
        <f t="shared" ref="AM2:AM33" si="10">BU2*($AD2/$CC2)</f>
        <v>1.5392972610102824</v>
      </c>
      <c r="AN2" s="26">
        <f t="shared" ref="AN2:AN33" si="11">BV2*($AD2/$CC2)</f>
        <v>5.5977198008894296E-3</v>
      </c>
      <c r="AO2" s="26">
        <f t="shared" ref="AO2:AO33" si="12">BW2*($AD2/$CC2)</f>
        <v>2.0753579534268222E-3</v>
      </c>
      <c r="AP2" s="26">
        <f t="shared" ref="AP2:AP33" si="13">BX2*($AD2/$CC2)</f>
        <v>0</v>
      </c>
      <c r="AQ2" s="26">
        <f t="shared" ref="AQ2:AQ33" si="14">BY2*($AD2/$CC2)</f>
        <v>0</v>
      </c>
      <c r="AR2" s="26">
        <f t="shared" ref="AR2:AR33" si="15">BZ2*($AD2/$CC2)</f>
        <v>0</v>
      </c>
      <c r="AS2" s="26">
        <f t="shared" ref="AS2:AS33" si="16">CA2*($AD2/$CC2)</f>
        <v>0</v>
      </c>
      <c r="AT2" s="26">
        <f t="shared" ref="AT2:AT33" si="17">SUM(AG2:AR2)</f>
        <v>2.9933314004830356</v>
      </c>
      <c r="AU2" s="47"/>
      <c r="AV2" s="26">
        <f t="shared" ref="AV2:AV33" si="18">IF($AE2&gt;0,BO2*$CD2,"")</f>
        <v>1.0090180247525455</v>
      </c>
      <c r="AW2" s="26">
        <f t="shared" ref="AW2:AW33" si="19">IF($AE2&gt;0,BP2*$CD2,"")</f>
        <v>0</v>
      </c>
      <c r="AX2" s="26">
        <f t="shared" ref="AX2:AX33" si="20">IF($AE2&gt;0,BQ2*$CD2,"")</f>
        <v>1.8664811623730539E-3</v>
      </c>
      <c r="AY2" s="26">
        <f t="shared" ref="AY2:AY33" si="21">IF($AE2&gt;0,BR2*$CD2,"")</f>
        <v>0</v>
      </c>
      <c r="AZ2" s="26">
        <f t="shared" ref="AZ2:AZ33" si="22">IF($AE2&gt;0 +N("so a blank cell if no ideal cations set"),                         BS2*CD2-BA2,"")</f>
        <v>0.43168930953458134</v>
      </c>
      <c r="BA2" s="26">
        <f t="shared" ref="BA2:BA33" si="23">IF($AE2&gt;0 +N("so a blank cell if no ideal cations set"),                                                                     IF(AT2&gt;AE2,                          IF(  2*AD2*(1-(AE2/AT2))   &lt;   BS2*CD2,    2*AD2*(1-(AE2/AT2)),    BS2*CD2),0),"")</f>
        <v>0</v>
      </c>
      <c r="BB2" s="26">
        <f t="shared" ref="BB2:BB33" si="24">IF($AE2&gt;0,BT2*$CD2,"")</f>
        <v>7.0094764155806738E-3</v>
      </c>
      <c r="BC2" s="26">
        <f t="shared" ref="BC2:BC33" si="25">IF($AE2&gt;0,BU2*$CD2,"")</f>
        <v>1.5427265361548861</v>
      </c>
      <c r="BD2" s="26">
        <f t="shared" ref="BD2:BD33" si="26">IF($AE2&gt;0,BV2*$CD2,"")</f>
        <v>5.6101905054543469E-3</v>
      </c>
      <c r="BE2" s="26">
        <f t="shared" ref="BE2:BE33" si="27">IF($AE2&gt;0,BW2*$CD2,"")</f>
        <v>2.0799814745790465E-3</v>
      </c>
      <c r="BF2" s="26">
        <f t="shared" ref="BF2:BF33" si="28">IF($AE2&gt;0,BX2*$CD2,"")</f>
        <v>0</v>
      </c>
      <c r="BG2" s="26">
        <f t="shared" ref="BG2:BG33" si="29">IF($AE2&gt;0,BY2*$CD2,"")</f>
        <v>0</v>
      </c>
      <c r="BH2" s="26">
        <f t="shared" ref="BH2:BH33" si="30">IF($AE2&gt;0,BZ2*$CD2,"")</f>
        <v>0</v>
      </c>
      <c r="BI2" s="26">
        <f t="shared" ref="BI2:BI33" si="31">IF($AE2&gt;0,CA2*$CD2,"")</f>
        <v>0</v>
      </c>
      <c r="BJ2" s="25">
        <f t="shared" ref="BJ2:BJ33" si="32">IF(AE2&gt;0,SUM(AV2:BH2),"")</f>
        <v>3</v>
      </c>
      <c r="BK2" s="24">
        <f t="shared" ref="BK2:BK33" si="33">(AV2+AW2)*2+(AX2+AY2+BA2)*1.5+AZ2+BB2+BC2+BD2+(BE2+BF2)*0.5+BG2*2.5+BH2*3  -(0.5*(BI2))</f>
        <v>4.0089112745964419</v>
      </c>
      <c r="BL2" s="26"/>
      <c r="BM2" s="51">
        <f t="shared" ref="BM2:BM33" si="34">AM2/(AM2+AK2)</f>
        <v>0.78135846585862712</v>
      </c>
      <c r="BN2" s="1"/>
      <c r="BO2" s="26">
        <f t="shared" ref="BO2:BO33" si="35">G2/60.08</f>
        <v>0.65745672436751001</v>
      </c>
      <c r="BP2" s="26">
        <f t="shared" ref="BP2:BP33" si="36">H2/79.88</f>
        <v>0</v>
      </c>
      <c r="BQ2" s="26">
        <f t="shared" ref="BQ2:BQ33" si="37">I2/101.96*2</f>
        <v>1.2161632012553944E-3</v>
      </c>
      <c r="BR2" s="26">
        <f t="shared" ref="BR2:BR33" si="38">J2/151.99*2</f>
        <v>0</v>
      </c>
      <c r="BS2" s="26">
        <f t="shared" ref="BS2:BS33" si="39">K2/71.85</f>
        <v>0.28128044537230346</v>
      </c>
      <c r="BT2" s="26">
        <f t="shared" ref="BT2:BT33" si="40">L2/70.94</f>
        <v>4.567239921060051E-3</v>
      </c>
      <c r="BU2" s="26">
        <f t="shared" ref="BU2:BU33" si="41">M2/40.3</f>
        <v>1.005210918114144</v>
      </c>
      <c r="BV2" s="26">
        <f t="shared" ref="BV2:BV33" si="42">N2/56.08</f>
        <v>3.6554921540656203E-3</v>
      </c>
      <c r="BW2" s="26">
        <f t="shared" ref="BW2:BW33" si="43">O2/61.98*2</f>
        <v>1.3552758954501454E-3</v>
      </c>
      <c r="BX2" s="26">
        <f t="shared" ref="BX2:BX33" si="44">P2/94.2*2</f>
        <v>0</v>
      </c>
      <c r="BY2" s="26">
        <f t="shared" ref="BY2:BY33" si="45">Q2/141.94*2</f>
        <v>0</v>
      </c>
      <c r="BZ2" s="26">
        <f t="shared" ref="BZ2:BZ33" si="46">R2/80.06</f>
        <v>0</v>
      </c>
      <c r="CA2" s="26">
        <f t="shared" ref="CA2:CA33" si="47">S2/35.45</f>
        <v>0</v>
      </c>
      <c r="CB2" s="26">
        <f t="shared" ref="CB2:CB33" si="48">SUM(BO2:BZ2)</f>
        <v>1.9547422590257886</v>
      </c>
      <c r="CC2" s="26">
        <f t="shared" ref="CC2:CC33" si="49">(BO2+BP2)*2+(BQ2+BR2)*1.5+BS2+BT2+BU2+BV2+(BW2+BX2)*0.5+BY2*2.5+BZ2*3+     -(0.5*(CA2))</f>
        <v>2.6121294270462014</v>
      </c>
      <c r="CD2" s="26">
        <f t="shared" ref="CD2:CD33" si="50">AE2/CB2</f>
        <v>1.534729188028682</v>
      </c>
      <c r="CE2" s="26">
        <f t="shared" ref="CE2:CE33" si="51">CC2*CD2</f>
        <v>4.0089112745964428</v>
      </c>
      <c r="CF2" s="1"/>
      <c r="CG2" s="22">
        <v>2.8992627140275955</v>
      </c>
      <c r="CH2" s="22">
        <v>24.294262947758387</v>
      </c>
      <c r="CI2" s="14">
        <v>249400.16660058379</v>
      </c>
      <c r="CJ2" s="96">
        <v>108.42518400074574</v>
      </c>
      <c r="CK2" s="14">
        <v>184868.69770900914</v>
      </c>
      <c r="CL2" s="14">
        <v>1128.4175678156139</v>
      </c>
      <c r="CM2" s="22">
        <v>6.8944154438376248</v>
      </c>
      <c r="CN2" s="22">
        <v>43.426473908457496</v>
      </c>
      <c r="CO2" s="22">
        <v>5.8648265797727257</v>
      </c>
      <c r="CP2" s="22">
        <v>32.335088259650369</v>
      </c>
      <c r="CQ2" s="14">
        <v>2560.6563721749339</v>
      </c>
      <c r="CR2" s="96">
        <v>205.01785508637434</v>
      </c>
      <c r="CS2" s="96">
        <v>608.15224024415022</v>
      </c>
      <c r="CT2" s="22">
        <v>3.0341839134602879</v>
      </c>
      <c r="CU2" s="96">
        <v>137.2585957966092</v>
      </c>
      <c r="CV2" s="22">
        <v>0</v>
      </c>
      <c r="CW2" s="22">
        <v>0</v>
      </c>
      <c r="CX2" s="22">
        <v>0</v>
      </c>
      <c r="CY2" s="22">
        <v>0.11875827541823551</v>
      </c>
      <c r="CZ2" s="22">
        <v>0.16413896342464301</v>
      </c>
      <c r="DA2" s="22">
        <v>0</v>
      </c>
      <c r="DB2" s="22">
        <v>0</v>
      </c>
      <c r="DC2" s="22">
        <v>0</v>
      </c>
      <c r="DD2" s="22">
        <v>0</v>
      </c>
      <c r="DE2" s="22">
        <v>9.6052812381446206E-3</v>
      </c>
      <c r="DF2" s="22">
        <v>0</v>
      </c>
      <c r="DG2" s="22">
        <v>0</v>
      </c>
      <c r="DH2" s="22">
        <v>0</v>
      </c>
      <c r="DI2" s="22">
        <v>0</v>
      </c>
      <c r="DJ2" s="22">
        <v>0</v>
      </c>
      <c r="DK2" s="22">
        <v>0</v>
      </c>
      <c r="DL2" s="22">
        <v>2.3348592653548217E-2</v>
      </c>
      <c r="DM2" s="22">
        <v>0</v>
      </c>
      <c r="DN2" s="22">
        <v>1.1230445792710956E-2</v>
      </c>
      <c r="DO2" s="22">
        <v>0</v>
      </c>
      <c r="DP2" s="46">
        <v>2.3556277057945971E-2</v>
      </c>
      <c r="DQ2" s="46">
        <v>0</v>
      </c>
      <c r="DR2" s="46">
        <v>0</v>
      </c>
      <c r="DS2" s="46">
        <v>0</v>
      </c>
      <c r="DT2" s="46">
        <v>5.7436243348002958E-2</v>
      </c>
      <c r="DU2" s="46">
        <v>0</v>
      </c>
      <c r="DV2" s="46">
        <v>0</v>
      </c>
      <c r="DW2" s="46"/>
    </row>
    <row r="3" spans="1:127" x14ac:dyDescent="0.25">
      <c r="A3" s="5" t="s">
        <v>82</v>
      </c>
      <c r="B3" s="1">
        <v>9</v>
      </c>
      <c r="C3" s="98" t="s">
        <v>95</v>
      </c>
      <c r="D3" s="98" t="s">
        <v>103</v>
      </c>
      <c r="E3" s="1">
        <v>40</v>
      </c>
      <c r="F3" s="1" t="s">
        <v>184</v>
      </c>
      <c r="G3" s="22">
        <v>39.35</v>
      </c>
      <c r="H3" s="22">
        <v>0</v>
      </c>
      <c r="I3" s="22">
        <v>0.04</v>
      </c>
      <c r="J3" s="22">
        <v>8.9999999999999993E-3</v>
      </c>
      <c r="K3" s="22">
        <v>19.920000000000002</v>
      </c>
      <c r="L3" s="22">
        <v>0.32700000000000001</v>
      </c>
      <c r="M3" s="22">
        <v>40.54</v>
      </c>
      <c r="N3" s="22">
        <v>0.189</v>
      </c>
      <c r="O3" s="22">
        <v>4.1000000000000002E-2</v>
      </c>
      <c r="P3" s="22">
        <v>0</v>
      </c>
      <c r="Q3" s="22">
        <v>0</v>
      </c>
      <c r="R3" s="22"/>
      <c r="S3" s="22"/>
      <c r="T3" s="22">
        <f t="shared" si="0"/>
        <v>100.416</v>
      </c>
      <c r="U3" s="3"/>
      <c r="V3" s="22">
        <f t="shared" si="1"/>
        <v>19.920000000000002</v>
      </c>
      <c r="W3" s="22">
        <f t="shared" si="2"/>
        <v>0</v>
      </c>
      <c r="X3" s="22">
        <f t="shared" si="3"/>
        <v>100.416</v>
      </c>
      <c r="Y3" s="1"/>
      <c r="Z3" s="1"/>
      <c r="AA3" s="1"/>
      <c r="AB3" s="1" t="s">
        <v>185</v>
      </c>
      <c r="AC3" s="1"/>
      <c r="AD3" s="1">
        <v>4</v>
      </c>
      <c r="AE3" s="1">
        <v>3</v>
      </c>
      <c r="AF3" s="1"/>
      <c r="AG3" s="26">
        <f t="shared" si="4"/>
        <v>1.0064248854751505</v>
      </c>
      <c r="AH3" s="26">
        <f t="shared" si="5"/>
        <v>0</v>
      </c>
      <c r="AI3" s="26">
        <f t="shared" si="6"/>
        <v>1.2056651684288489E-3</v>
      </c>
      <c r="AJ3" s="26">
        <f t="shared" si="7"/>
        <v>1.8198016072719402E-4</v>
      </c>
      <c r="AK3" s="26">
        <f t="shared" si="8"/>
        <v>0.42601914436573912</v>
      </c>
      <c r="AL3" s="26">
        <f t="shared" si="9"/>
        <v>7.0830959133374649E-3</v>
      </c>
      <c r="AM3" s="26">
        <f t="shared" si="10"/>
        <v>1.5457713455426925</v>
      </c>
      <c r="AN3" s="26">
        <f t="shared" si="11"/>
        <v>5.1786952318781266E-3</v>
      </c>
      <c r="AO3" s="26">
        <f t="shared" si="12"/>
        <v>2.0329600046358597E-3</v>
      </c>
      <c r="AP3" s="26">
        <f t="shared" si="13"/>
        <v>0</v>
      </c>
      <c r="AQ3" s="26">
        <f t="shared" si="14"/>
        <v>0</v>
      </c>
      <c r="AR3" s="26">
        <f t="shared" si="15"/>
        <v>0</v>
      </c>
      <c r="AS3" s="26">
        <f t="shared" si="16"/>
        <v>0</v>
      </c>
      <c r="AT3" s="26">
        <f t="shared" si="17"/>
        <v>2.9938977718625899</v>
      </c>
      <c r="AU3" s="47"/>
      <c r="AV3" s="26">
        <f t="shared" si="18"/>
        <v>1.0084762027619516</v>
      </c>
      <c r="AW3" s="26">
        <f t="shared" si="19"/>
        <v>0</v>
      </c>
      <c r="AX3" s="26">
        <f t="shared" si="20"/>
        <v>1.2081225816325419E-3</v>
      </c>
      <c r="AY3" s="26">
        <f t="shared" si="21"/>
        <v>1.8235107668420383E-4</v>
      </c>
      <c r="AZ3" s="26">
        <f t="shared" si="22"/>
        <v>0.42688746593445015</v>
      </c>
      <c r="BA3" s="26">
        <f t="shared" si="23"/>
        <v>0</v>
      </c>
      <c r="BB3" s="26">
        <f t="shared" si="24"/>
        <v>7.0975328348611595E-3</v>
      </c>
      <c r="BC3" s="26">
        <f t="shared" si="25"/>
        <v>1.5489219706199491</v>
      </c>
      <c r="BD3" s="26">
        <f t="shared" si="26"/>
        <v>5.1892505621422523E-3</v>
      </c>
      <c r="BE3" s="26">
        <f t="shared" si="27"/>
        <v>2.037103628329063E-3</v>
      </c>
      <c r="BF3" s="26">
        <f t="shared" si="28"/>
        <v>0</v>
      </c>
      <c r="BG3" s="26">
        <f t="shared" si="29"/>
        <v>0</v>
      </c>
      <c r="BH3" s="26">
        <f t="shared" si="30"/>
        <v>0</v>
      </c>
      <c r="BI3" s="26">
        <f t="shared" si="31"/>
        <v>0</v>
      </c>
      <c r="BJ3" s="25">
        <f t="shared" si="32"/>
        <v>3.0000000000000004</v>
      </c>
      <c r="BK3" s="24">
        <f t="shared" si="33"/>
        <v>4.0081528877769452</v>
      </c>
      <c r="BL3" s="26"/>
      <c r="BM3" s="51">
        <f t="shared" si="34"/>
        <v>0.78394299670979595</v>
      </c>
      <c r="BN3" s="1"/>
      <c r="BO3" s="26">
        <f t="shared" si="35"/>
        <v>0.65496005326231699</v>
      </c>
      <c r="BP3" s="26">
        <f t="shared" si="36"/>
        <v>0</v>
      </c>
      <c r="BQ3" s="26">
        <f t="shared" si="37"/>
        <v>7.8462142016477059E-4</v>
      </c>
      <c r="BR3" s="26">
        <f t="shared" si="38"/>
        <v>1.1842884400289492E-4</v>
      </c>
      <c r="BS3" s="26">
        <f t="shared" si="39"/>
        <v>0.27724425887265142</v>
      </c>
      <c r="BT3" s="26">
        <f t="shared" si="40"/>
        <v>4.6095291795883852E-3</v>
      </c>
      <c r="BU3" s="26">
        <f t="shared" si="41"/>
        <v>1.0059553349875932</v>
      </c>
      <c r="BV3" s="26">
        <f t="shared" si="42"/>
        <v>3.3701854493580602E-3</v>
      </c>
      <c r="BW3" s="26">
        <f t="shared" si="43"/>
        <v>1.3230074217489515E-3</v>
      </c>
      <c r="BX3" s="26">
        <f t="shared" si="44"/>
        <v>0</v>
      </c>
      <c r="BY3" s="26">
        <f t="shared" si="45"/>
        <v>0</v>
      </c>
      <c r="BZ3" s="26">
        <f t="shared" si="46"/>
        <v>0</v>
      </c>
      <c r="CA3" s="26">
        <f t="shared" si="47"/>
        <v>0</v>
      </c>
      <c r="CB3" s="26">
        <f t="shared" si="48"/>
        <v>1.9483654194374245</v>
      </c>
      <c r="CC3" s="26">
        <f t="shared" si="49"/>
        <v>2.6031154941209507</v>
      </c>
      <c r="CD3" s="26">
        <f t="shared" si="50"/>
        <v>1.5397522302906745</v>
      </c>
      <c r="CE3" s="26">
        <f t="shared" si="51"/>
        <v>4.0081528877769452</v>
      </c>
      <c r="CF3" s="1"/>
      <c r="CG3" s="22"/>
      <c r="CH3" s="22"/>
      <c r="CI3" s="22"/>
      <c r="CJ3" s="96"/>
      <c r="CK3" s="14"/>
      <c r="CL3" s="14"/>
      <c r="CM3" s="22"/>
      <c r="CN3" s="22"/>
      <c r="CO3" s="22"/>
      <c r="CP3" s="22"/>
      <c r="CQ3" s="14"/>
      <c r="CR3" s="96"/>
      <c r="CS3" s="96"/>
      <c r="CT3" s="22"/>
      <c r="CU3" s="96"/>
      <c r="CV3" s="22"/>
      <c r="CW3" s="22"/>
      <c r="CX3" s="22"/>
      <c r="CY3" s="22"/>
      <c r="CZ3" s="22"/>
      <c r="DA3" s="22"/>
      <c r="DB3" s="22"/>
      <c r="DC3" s="22"/>
      <c r="DD3" s="22"/>
      <c r="DE3" s="22"/>
      <c r="DF3" s="22"/>
      <c r="DG3" s="22"/>
      <c r="DH3" s="22"/>
      <c r="DI3" s="22"/>
      <c r="DJ3" s="22"/>
      <c r="DK3" s="22"/>
      <c r="DL3" s="22"/>
      <c r="DM3" s="22"/>
      <c r="DN3" s="22"/>
      <c r="DO3" s="22"/>
      <c r="DP3" s="46"/>
      <c r="DQ3" s="46"/>
      <c r="DR3" s="46"/>
      <c r="DS3" s="46"/>
      <c r="DT3" s="46"/>
      <c r="DU3" s="46"/>
      <c r="DV3" s="46"/>
      <c r="DW3" s="46"/>
    </row>
    <row r="4" spans="1:127" x14ac:dyDescent="0.25">
      <c r="A4" s="5" t="s">
        <v>82</v>
      </c>
      <c r="B4" s="1">
        <v>20</v>
      </c>
      <c r="C4" s="98" t="s">
        <v>95</v>
      </c>
      <c r="D4" s="98" t="s">
        <v>103</v>
      </c>
      <c r="E4" s="1">
        <v>51</v>
      </c>
      <c r="F4" s="1" t="s">
        <v>184</v>
      </c>
      <c r="G4" s="22">
        <v>39.549999999999997</v>
      </c>
      <c r="H4" s="22">
        <v>8.2000000000000003E-2</v>
      </c>
      <c r="I4" s="22">
        <v>4.9000000000000002E-2</v>
      </c>
      <c r="J4" s="22">
        <v>8.0000000000000002E-3</v>
      </c>
      <c r="K4" s="22">
        <v>19.73</v>
      </c>
      <c r="L4" s="22">
        <v>0.35299999999999998</v>
      </c>
      <c r="M4" s="22">
        <v>40.85</v>
      </c>
      <c r="N4" s="22">
        <v>0.16900000000000001</v>
      </c>
      <c r="O4" s="22">
        <v>0.03</v>
      </c>
      <c r="P4" s="22">
        <v>0</v>
      </c>
      <c r="Q4" s="22">
        <v>0</v>
      </c>
      <c r="R4" s="22"/>
      <c r="S4" s="22"/>
      <c r="T4" s="22">
        <f t="shared" si="0"/>
        <v>100.821</v>
      </c>
      <c r="U4" s="3"/>
      <c r="V4" s="22">
        <f t="shared" si="1"/>
        <v>19.73</v>
      </c>
      <c r="W4" s="22">
        <f t="shared" si="2"/>
        <v>0</v>
      </c>
      <c r="X4" s="22">
        <f t="shared" si="3"/>
        <v>100.82100000000001</v>
      </c>
      <c r="Y4" s="1"/>
      <c r="Z4" s="1"/>
      <c r="AA4" s="1"/>
      <c r="AB4" s="1" t="s">
        <v>185</v>
      </c>
      <c r="AC4" s="1"/>
      <c r="AD4" s="1">
        <v>4</v>
      </c>
      <c r="AE4" s="1">
        <v>3</v>
      </c>
      <c r="AF4" s="1"/>
      <c r="AG4" s="26">
        <f t="shared" si="4"/>
        <v>1.0061919562807697</v>
      </c>
      <c r="AH4" s="26">
        <f t="shared" si="5"/>
        <v>1.5690618874375374E-3</v>
      </c>
      <c r="AI4" s="26">
        <f t="shared" si="6"/>
        <v>1.4691310114097861E-3</v>
      </c>
      <c r="AJ4" s="26">
        <f t="shared" si="7"/>
        <v>1.6090489081407533E-4</v>
      </c>
      <c r="AK4" s="26">
        <f t="shared" si="8"/>
        <v>0.41972476063049913</v>
      </c>
      <c r="AL4" s="26">
        <f t="shared" si="9"/>
        <v>7.6058507429301635E-3</v>
      </c>
      <c r="AM4" s="26">
        <f t="shared" si="10"/>
        <v>1.5493562630193225</v>
      </c>
      <c r="AN4" s="26">
        <f t="shared" si="11"/>
        <v>4.6062019725910432E-3</v>
      </c>
      <c r="AO4" s="26">
        <f t="shared" si="12"/>
        <v>1.4796668898131239E-3</v>
      </c>
      <c r="AP4" s="26">
        <f t="shared" si="13"/>
        <v>0</v>
      </c>
      <c r="AQ4" s="26">
        <f t="shared" si="14"/>
        <v>0</v>
      </c>
      <c r="AR4" s="26">
        <f t="shared" si="15"/>
        <v>0</v>
      </c>
      <c r="AS4" s="26">
        <f t="shared" si="16"/>
        <v>0</v>
      </c>
      <c r="AT4" s="26">
        <f t="shared" si="17"/>
        <v>2.9921637973255866</v>
      </c>
      <c r="AU4" s="47"/>
      <c r="AV4" s="26">
        <f t="shared" si="18"/>
        <v>1.0088270807702204</v>
      </c>
      <c r="AW4" s="26">
        <f t="shared" si="19"/>
        <v>1.573171116674803E-3</v>
      </c>
      <c r="AX4" s="26">
        <f t="shared" si="20"/>
        <v>1.4729785308440374E-3</v>
      </c>
      <c r="AY4" s="26">
        <f t="shared" si="21"/>
        <v>1.6132628597193748E-4</v>
      </c>
      <c r="AZ4" s="26">
        <f t="shared" si="22"/>
        <v>0.42082398129973858</v>
      </c>
      <c r="BA4" s="26">
        <f t="shared" si="23"/>
        <v>0</v>
      </c>
      <c r="BB4" s="26">
        <f t="shared" si="24"/>
        <v>7.6257697687489405E-3</v>
      </c>
      <c r="BC4" s="26">
        <f t="shared" si="25"/>
        <v>1.5534138850327772</v>
      </c>
      <c r="BD4" s="26">
        <f t="shared" si="26"/>
        <v>4.6182651932772803E-3</v>
      </c>
      <c r="BE4" s="26">
        <f t="shared" si="27"/>
        <v>1.483542001747022E-3</v>
      </c>
      <c r="BF4" s="26">
        <f t="shared" si="28"/>
        <v>0</v>
      </c>
      <c r="BG4" s="26">
        <f t="shared" si="29"/>
        <v>0</v>
      </c>
      <c r="BH4" s="26">
        <f t="shared" si="30"/>
        <v>0</v>
      </c>
      <c r="BI4" s="26">
        <f t="shared" si="31"/>
        <v>0</v>
      </c>
      <c r="BJ4" s="25">
        <f t="shared" si="32"/>
        <v>3.0000000000000004</v>
      </c>
      <c r="BK4" s="24">
        <f t="shared" si="33"/>
        <v>4.0104756332944298</v>
      </c>
      <c r="BL4" s="26"/>
      <c r="BM4" s="51">
        <f t="shared" si="34"/>
        <v>0.78684231091084733</v>
      </c>
      <c r="BN4" s="1"/>
      <c r="BO4" s="26">
        <f t="shared" si="35"/>
        <v>0.65828894806924099</v>
      </c>
      <c r="BP4" s="26">
        <f t="shared" si="36"/>
        <v>1.026539809714572E-3</v>
      </c>
      <c r="BQ4" s="26">
        <f t="shared" si="37"/>
        <v>9.6116123970184397E-4</v>
      </c>
      <c r="BR4" s="26">
        <f t="shared" si="38"/>
        <v>1.0527008355812881E-4</v>
      </c>
      <c r="BS4" s="26">
        <f t="shared" si="39"/>
        <v>0.27459986082115523</v>
      </c>
      <c r="BT4" s="26">
        <f t="shared" si="40"/>
        <v>4.9760360868339442E-3</v>
      </c>
      <c r="BU4" s="26">
        <f t="shared" si="41"/>
        <v>1.0136476426799008</v>
      </c>
      <c r="BV4" s="26">
        <f t="shared" si="42"/>
        <v>3.0135520684736092E-3</v>
      </c>
      <c r="BW4" s="26">
        <f t="shared" si="43"/>
        <v>9.6805421103581804E-4</v>
      </c>
      <c r="BX4" s="26">
        <f t="shared" si="44"/>
        <v>0</v>
      </c>
      <c r="BY4" s="26">
        <f t="shared" si="45"/>
        <v>0</v>
      </c>
      <c r="BZ4" s="26">
        <f t="shared" si="46"/>
        <v>0</v>
      </c>
      <c r="CA4" s="26">
        <f t="shared" si="47"/>
        <v>0</v>
      </c>
      <c r="CB4" s="26">
        <f t="shared" si="48"/>
        <v>1.9575870650696148</v>
      </c>
      <c r="CC4" s="26">
        <f t="shared" si="49"/>
        <v>2.6169517415046828</v>
      </c>
      <c r="CD4" s="26">
        <f t="shared" si="50"/>
        <v>1.5324988878046737</v>
      </c>
      <c r="CE4" s="26">
        <f t="shared" si="51"/>
        <v>4.0104756332944307</v>
      </c>
      <c r="CF4" s="1"/>
      <c r="CG4" s="22"/>
      <c r="CH4" s="22"/>
      <c r="CI4" s="22"/>
      <c r="CJ4" s="96"/>
      <c r="CK4" s="14"/>
      <c r="CL4" s="14"/>
      <c r="CM4" s="22"/>
      <c r="CN4" s="22"/>
      <c r="CO4" s="22"/>
      <c r="CP4" s="22"/>
      <c r="CQ4" s="14"/>
      <c r="CR4" s="96"/>
      <c r="CS4" s="96"/>
      <c r="CT4" s="22"/>
      <c r="CU4" s="96"/>
      <c r="CV4" s="22"/>
      <c r="CW4" s="22"/>
      <c r="CX4" s="22"/>
      <c r="CY4" s="22"/>
      <c r="CZ4" s="22"/>
      <c r="DA4" s="22"/>
      <c r="DB4" s="22"/>
      <c r="DC4" s="22"/>
      <c r="DD4" s="22"/>
      <c r="DE4" s="22"/>
      <c r="DF4" s="22"/>
      <c r="DG4" s="22"/>
      <c r="DH4" s="22"/>
      <c r="DI4" s="22"/>
      <c r="DJ4" s="22"/>
      <c r="DK4" s="22"/>
      <c r="DL4" s="22"/>
      <c r="DM4" s="22"/>
      <c r="DN4" s="22"/>
      <c r="DO4" s="22"/>
      <c r="DP4" s="46"/>
      <c r="DQ4" s="46"/>
      <c r="DR4" s="46"/>
      <c r="DS4" s="46"/>
      <c r="DT4" s="46"/>
      <c r="DU4" s="46"/>
      <c r="DV4" s="46"/>
      <c r="DW4" s="46"/>
    </row>
    <row r="5" spans="1:127" x14ac:dyDescent="0.25">
      <c r="A5" s="5" t="s">
        <v>82</v>
      </c>
      <c r="B5" s="1">
        <v>25</v>
      </c>
      <c r="C5" s="98" t="s">
        <v>95</v>
      </c>
      <c r="D5" s="98" t="s">
        <v>103</v>
      </c>
      <c r="E5" s="1">
        <v>56</v>
      </c>
      <c r="F5" s="1" t="s">
        <v>184</v>
      </c>
      <c r="G5" s="22">
        <v>39.049999999999997</v>
      </c>
      <c r="H5" s="22">
        <v>0</v>
      </c>
      <c r="I5" s="22">
        <v>1.7999999999999999E-2</v>
      </c>
      <c r="J5" s="22">
        <v>0</v>
      </c>
      <c r="K5" s="22">
        <v>19.93</v>
      </c>
      <c r="L5" s="22">
        <v>0.4</v>
      </c>
      <c r="M5" s="22">
        <v>40.340000000000003</v>
      </c>
      <c r="N5" s="22">
        <v>0.19800000000000001</v>
      </c>
      <c r="O5" s="22">
        <v>1.6E-2</v>
      </c>
      <c r="P5" s="22">
        <v>0</v>
      </c>
      <c r="Q5" s="22">
        <v>0</v>
      </c>
      <c r="R5" s="22"/>
      <c r="S5" s="22"/>
      <c r="T5" s="22">
        <f t="shared" si="0"/>
        <v>99.951999999999998</v>
      </c>
      <c r="U5" s="3"/>
      <c r="V5" s="22">
        <f t="shared" si="1"/>
        <v>19.93</v>
      </c>
      <c r="W5" s="22">
        <f t="shared" si="2"/>
        <v>0</v>
      </c>
      <c r="X5" s="22">
        <f t="shared" si="3"/>
        <v>99.951999999999998</v>
      </c>
      <c r="Y5" s="1"/>
      <c r="Z5" s="1"/>
      <c r="AA5" s="1"/>
      <c r="AB5" s="1" t="s">
        <v>185</v>
      </c>
      <c r="AC5" s="1"/>
      <c r="AD5" s="1">
        <v>4</v>
      </c>
      <c r="AE5" s="1">
        <v>3</v>
      </c>
      <c r="AF5" s="1"/>
      <c r="AG5" s="26">
        <f t="shared" si="4"/>
        <v>1.0044819277248538</v>
      </c>
      <c r="AH5" s="26">
        <f t="shared" si="5"/>
        <v>0</v>
      </c>
      <c r="AI5" s="26">
        <f t="shared" si="6"/>
        <v>5.4566197078554355E-4</v>
      </c>
      <c r="AJ5" s="26">
        <f t="shared" si="7"/>
        <v>0</v>
      </c>
      <c r="AK5" s="26">
        <f t="shared" si="8"/>
        <v>0.42867833921286252</v>
      </c>
      <c r="AL5" s="26">
        <f t="shared" si="9"/>
        <v>8.7140454439266404E-3</v>
      </c>
      <c r="AM5" s="26">
        <f t="shared" si="10"/>
        <v>1.5469698909538194</v>
      </c>
      <c r="AN5" s="26">
        <f t="shared" si="11"/>
        <v>5.4564251065819759E-3</v>
      </c>
      <c r="AO5" s="26">
        <f t="shared" si="12"/>
        <v>7.9790175384595794E-4</v>
      </c>
      <c r="AP5" s="26">
        <f t="shared" si="13"/>
        <v>0</v>
      </c>
      <c r="AQ5" s="26">
        <f t="shared" si="14"/>
        <v>0</v>
      </c>
      <c r="AR5" s="26">
        <f t="shared" si="15"/>
        <v>0</v>
      </c>
      <c r="AS5" s="26">
        <f t="shared" si="16"/>
        <v>0</v>
      </c>
      <c r="AT5" s="26">
        <f t="shared" si="17"/>
        <v>2.9956441921666759</v>
      </c>
      <c r="AU5" s="47"/>
      <c r="AV5" s="26">
        <f t="shared" si="18"/>
        <v>1.0059424917867199</v>
      </c>
      <c r="AW5" s="26">
        <f t="shared" si="19"/>
        <v>0</v>
      </c>
      <c r="AX5" s="26">
        <f t="shared" si="20"/>
        <v>5.4645538900687646E-4</v>
      </c>
      <c r="AY5" s="26">
        <f t="shared" si="21"/>
        <v>0</v>
      </c>
      <c r="AZ5" s="26">
        <f t="shared" si="22"/>
        <v>0.42930165772071549</v>
      </c>
      <c r="BA5" s="26">
        <f t="shared" si="23"/>
        <v>0</v>
      </c>
      <c r="BB5" s="26">
        <f t="shared" si="24"/>
        <v>8.7267160766753005E-3</v>
      </c>
      <c r="BC5" s="26">
        <f t="shared" si="25"/>
        <v>1.5492192580804474</v>
      </c>
      <c r="BD5" s="26">
        <f t="shared" si="26"/>
        <v>5.4643590058358806E-3</v>
      </c>
      <c r="BE5" s="26">
        <f t="shared" si="27"/>
        <v>7.9906194059934928E-4</v>
      </c>
      <c r="BF5" s="26">
        <f t="shared" si="28"/>
        <v>0</v>
      </c>
      <c r="BG5" s="26">
        <f t="shared" si="29"/>
        <v>0</v>
      </c>
      <c r="BH5" s="26">
        <f t="shared" si="30"/>
        <v>0</v>
      </c>
      <c r="BI5" s="26">
        <f t="shared" si="31"/>
        <v>0</v>
      </c>
      <c r="BJ5" s="25">
        <f t="shared" si="32"/>
        <v>3.0000000000000004</v>
      </c>
      <c r="BK5" s="24">
        <f t="shared" si="33"/>
        <v>4.0058161885109236</v>
      </c>
      <c r="BL5" s="26"/>
      <c r="BM5" s="51">
        <f t="shared" si="34"/>
        <v>0.78301889341064745</v>
      </c>
      <c r="BN5" s="1"/>
      <c r="BO5" s="26">
        <f t="shared" si="35"/>
        <v>0.64996671105193071</v>
      </c>
      <c r="BP5" s="26">
        <f t="shared" si="36"/>
        <v>0</v>
      </c>
      <c r="BQ5" s="26">
        <f t="shared" si="37"/>
        <v>3.530796390741467E-4</v>
      </c>
      <c r="BR5" s="26">
        <f t="shared" si="38"/>
        <v>0</v>
      </c>
      <c r="BS5" s="26">
        <f t="shared" si="39"/>
        <v>0.27738343771746699</v>
      </c>
      <c r="BT5" s="26">
        <f t="shared" si="40"/>
        <v>5.6385678037778409E-3</v>
      </c>
      <c r="BU5" s="26">
        <f t="shared" si="41"/>
        <v>1.0009925558312656</v>
      </c>
      <c r="BV5" s="26">
        <f t="shared" si="42"/>
        <v>3.5306704707560631E-3</v>
      </c>
      <c r="BW5" s="26">
        <f t="shared" si="43"/>
        <v>5.1629557921910297E-4</v>
      </c>
      <c r="BX5" s="26">
        <f t="shared" si="44"/>
        <v>0</v>
      </c>
      <c r="BY5" s="26">
        <f t="shared" si="45"/>
        <v>0</v>
      </c>
      <c r="BZ5" s="26">
        <f t="shared" si="46"/>
        <v>0</v>
      </c>
      <c r="CA5" s="26">
        <f t="shared" si="47"/>
        <v>0</v>
      </c>
      <c r="CB5" s="26">
        <f t="shared" si="48"/>
        <v>1.9383813180934903</v>
      </c>
      <c r="CC5" s="26">
        <f t="shared" si="49"/>
        <v>2.5882664211753492</v>
      </c>
      <c r="CD5" s="26">
        <f t="shared" si="50"/>
        <v>1.5476830961983645</v>
      </c>
      <c r="CE5" s="26">
        <f t="shared" si="51"/>
        <v>4.0058161885109245</v>
      </c>
      <c r="CF5" s="1"/>
      <c r="CG5" s="22">
        <v>1.676660128805304</v>
      </c>
      <c r="CH5" s="22">
        <v>19.925959547164737</v>
      </c>
      <c r="CI5" s="14">
        <v>242298.1588931221</v>
      </c>
      <c r="CJ5" s="96">
        <v>122.70446928124178</v>
      </c>
      <c r="CK5" s="14">
        <v>182654.20073814259</v>
      </c>
      <c r="CL5" s="14">
        <v>1247.9515301353065</v>
      </c>
      <c r="CM5" s="22">
        <v>6.6878954193034907</v>
      </c>
      <c r="CN5" s="22">
        <v>37.253791631684017</v>
      </c>
      <c r="CO5" s="22">
        <v>6.0407110109582636</v>
      </c>
      <c r="CP5" s="22">
        <v>11.486243626763251</v>
      </c>
      <c r="CQ5" s="14">
        <v>2485.8273803512834</v>
      </c>
      <c r="CR5" s="96">
        <v>201.74971990790098</v>
      </c>
      <c r="CS5" s="96">
        <v>533.38155668670083</v>
      </c>
      <c r="CT5" s="22">
        <v>2.7518972905358954</v>
      </c>
      <c r="CU5" s="96">
        <v>138.85127964550691</v>
      </c>
      <c r="CV5" s="22">
        <v>0</v>
      </c>
      <c r="CW5" s="22">
        <v>0</v>
      </c>
      <c r="CX5" s="22">
        <v>0</v>
      </c>
      <c r="CY5" s="22">
        <v>9.1208945264024135E-2</v>
      </c>
      <c r="CZ5" s="22">
        <v>0</v>
      </c>
      <c r="DA5" s="22">
        <v>0</v>
      </c>
      <c r="DB5" s="22">
        <v>0</v>
      </c>
      <c r="DC5" s="22">
        <v>0</v>
      </c>
      <c r="DD5" s="22">
        <v>0</v>
      </c>
      <c r="DE5" s="22">
        <v>0</v>
      </c>
      <c r="DF5" s="22">
        <v>0</v>
      </c>
      <c r="DG5" s="22">
        <v>1.6355433055968763E-2</v>
      </c>
      <c r="DH5" s="22">
        <v>0</v>
      </c>
      <c r="DI5" s="22">
        <v>0</v>
      </c>
      <c r="DJ5" s="22">
        <v>0</v>
      </c>
      <c r="DK5" s="22">
        <v>0</v>
      </c>
      <c r="DL5" s="22">
        <v>0</v>
      </c>
      <c r="DM5" s="22">
        <v>4.5721430529129456E-3</v>
      </c>
      <c r="DN5" s="22">
        <v>8.0047562414514578E-3</v>
      </c>
      <c r="DO5" s="22">
        <v>0</v>
      </c>
      <c r="DP5" s="46">
        <v>4.9260727778717518E-2</v>
      </c>
      <c r="DQ5" s="46">
        <v>0</v>
      </c>
      <c r="DR5" s="46">
        <v>0</v>
      </c>
      <c r="DS5" s="46">
        <v>0</v>
      </c>
      <c r="DT5" s="46">
        <v>0</v>
      </c>
      <c r="DU5" s="46">
        <v>0</v>
      </c>
      <c r="DV5" s="46">
        <v>1.477449325960998E-3</v>
      </c>
      <c r="DW5" s="46"/>
    </row>
    <row r="6" spans="1:127" x14ac:dyDescent="0.25">
      <c r="A6" s="5" t="s">
        <v>82</v>
      </c>
      <c r="B6" s="1">
        <v>26</v>
      </c>
      <c r="C6" s="98" t="s">
        <v>95</v>
      </c>
      <c r="D6" s="98" t="s">
        <v>103</v>
      </c>
      <c r="E6" s="1">
        <v>57</v>
      </c>
      <c r="F6" s="1" t="s">
        <v>184</v>
      </c>
      <c r="G6" s="22">
        <v>38.46</v>
      </c>
      <c r="H6" s="22">
        <v>1.4999999999999999E-2</v>
      </c>
      <c r="I6" s="22">
        <v>0.02</v>
      </c>
      <c r="J6" s="22">
        <v>1.0999999999999999E-2</v>
      </c>
      <c r="K6" s="22">
        <v>25.73</v>
      </c>
      <c r="L6" s="22">
        <v>0.39800000000000002</v>
      </c>
      <c r="M6" s="22">
        <v>35.93</v>
      </c>
      <c r="N6" s="22">
        <v>0.19</v>
      </c>
      <c r="O6" s="22">
        <v>0</v>
      </c>
      <c r="P6" s="22">
        <v>8.0000000000000002E-3</v>
      </c>
      <c r="Q6" s="22">
        <v>0</v>
      </c>
      <c r="R6" s="22"/>
      <c r="S6" s="22"/>
      <c r="T6" s="22">
        <f t="shared" si="0"/>
        <v>100.76199999999999</v>
      </c>
      <c r="U6" s="3"/>
      <c r="V6" s="22">
        <f t="shared" si="1"/>
        <v>25.73</v>
      </c>
      <c r="W6" s="22">
        <f t="shared" si="2"/>
        <v>0</v>
      </c>
      <c r="X6" s="22">
        <f t="shared" si="3"/>
        <v>100.76200000000001</v>
      </c>
      <c r="Y6" s="1"/>
      <c r="Z6" s="1"/>
      <c r="AA6" s="1"/>
      <c r="AB6" s="1" t="s">
        <v>186</v>
      </c>
      <c r="AC6" s="1"/>
      <c r="AD6" s="1">
        <v>4</v>
      </c>
      <c r="AE6" s="1">
        <v>3</v>
      </c>
      <c r="AF6" s="1"/>
      <c r="AG6" s="26">
        <f t="shared" si="4"/>
        <v>1.0080142546451536</v>
      </c>
      <c r="AH6" s="26">
        <f t="shared" si="5"/>
        <v>2.9569264397317905E-4</v>
      </c>
      <c r="AI6" s="26">
        <f t="shared" si="6"/>
        <v>6.1775672552837827E-4</v>
      </c>
      <c r="AJ6" s="26">
        <f t="shared" si="7"/>
        <v>2.2792658500019993E-4</v>
      </c>
      <c r="AK6" s="26">
        <f t="shared" si="8"/>
        <v>0.5638977107370543</v>
      </c>
      <c r="AL6" s="26">
        <f t="shared" si="9"/>
        <v>8.8344436645332799E-3</v>
      </c>
      <c r="AM6" s="26">
        <f t="shared" si="10"/>
        <v>1.4039107153560813</v>
      </c>
      <c r="AN6" s="26">
        <f t="shared" si="11"/>
        <v>5.3349814504395302E-3</v>
      </c>
      <c r="AO6" s="26">
        <f t="shared" si="12"/>
        <v>0</v>
      </c>
      <c r="AP6" s="26">
        <f t="shared" si="13"/>
        <v>2.6745849568948386E-4</v>
      </c>
      <c r="AQ6" s="26">
        <f t="shared" si="14"/>
        <v>0</v>
      </c>
      <c r="AR6" s="26">
        <f t="shared" si="15"/>
        <v>0</v>
      </c>
      <c r="AS6" s="26">
        <f t="shared" si="16"/>
        <v>0</v>
      </c>
      <c r="AT6" s="26">
        <f t="shared" si="17"/>
        <v>2.9914009403034534</v>
      </c>
      <c r="AU6" s="47"/>
      <c r="AV6" s="26">
        <f t="shared" si="18"/>
        <v>1.010911885194733</v>
      </c>
      <c r="AW6" s="26">
        <f t="shared" si="19"/>
        <v>2.9654263992761546E-4</v>
      </c>
      <c r="AX6" s="26">
        <f t="shared" si="20"/>
        <v>6.1953252458265792E-4</v>
      </c>
      <c r="AY6" s="26">
        <f t="shared" si="21"/>
        <v>2.2858178112735233E-4</v>
      </c>
      <c r="AZ6" s="26">
        <f t="shared" si="22"/>
        <v>0.56551868705354968</v>
      </c>
      <c r="BA6" s="26">
        <f t="shared" si="23"/>
        <v>0</v>
      </c>
      <c r="BB6" s="26">
        <f t="shared" si="24"/>
        <v>8.8598390929539843E-3</v>
      </c>
      <c r="BC6" s="26">
        <f t="shared" si="25"/>
        <v>1.4079463870332936</v>
      </c>
      <c r="BD6" s="26">
        <f t="shared" si="26"/>
        <v>5.3503173498685276E-3</v>
      </c>
      <c r="BE6" s="26">
        <f t="shared" si="27"/>
        <v>0</v>
      </c>
      <c r="BF6" s="26">
        <f t="shared" si="28"/>
        <v>2.6822732996368491E-4</v>
      </c>
      <c r="BG6" s="26">
        <f t="shared" si="29"/>
        <v>0</v>
      </c>
      <c r="BH6" s="26">
        <f t="shared" si="30"/>
        <v>0</v>
      </c>
      <c r="BI6" s="26">
        <f t="shared" si="31"/>
        <v>0</v>
      </c>
      <c r="BJ6" s="25">
        <f t="shared" si="32"/>
        <v>3.0000000000000004</v>
      </c>
      <c r="BK6" s="24">
        <f t="shared" si="33"/>
        <v>4.0114983713225323</v>
      </c>
      <c r="BL6" s="26"/>
      <c r="BM6" s="51">
        <f t="shared" si="34"/>
        <v>0.71343871524292102</v>
      </c>
      <c r="BN6" s="1"/>
      <c r="BO6" s="26">
        <f t="shared" si="35"/>
        <v>0.64014647137150471</v>
      </c>
      <c r="BP6" s="26">
        <f t="shared" si="36"/>
        <v>1.8778167250876315E-4</v>
      </c>
      <c r="BQ6" s="26">
        <f t="shared" si="37"/>
        <v>3.923107100823853E-4</v>
      </c>
      <c r="BR6" s="26">
        <f t="shared" si="38"/>
        <v>1.4474636489242711E-4</v>
      </c>
      <c r="BS6" s="26">
        <f t="shared" si="39"/>
        <v>0.35810716771050805</v>
      </c>
      <c r="BT6" s="26">
        <f t="shared" si="40"/>
        <v>5.610374964758952E-3</v>
      </c>
      <c r="BU6" s="26">
        <f t="shared" si="41"/>
        <v>0.89156327543424319</v>
      </c>
      <c r="BV6" s="26">
        <f t="shared" si="42"/>
        <v>3.3880171184022824E-3</v>
      </c>
      <c r="BW6" s="26">
        <f t="shared" si="43"/>
        <v>0</v>
      </c>
      <c r="BX6" s="26">
        <f t="shared" si="44"/>
        <v>1.6985138004246286E-4</v>
      </c>
      <c r="BY6" s="26">
        <f t="shared" si="45"/>
        <v>0</v>
      </c>
      <c r="BZ6" s="26">
        <f t="shared" si="46"/>
        <v>0</v>
      </c>
      <c r="CA6" s="26">
        <f t="shared" si="47"/>
        <v>0</v>
      </c>
      <c r="CB6" s="26">
        <f t="shared" si="48"/>
        <v>1.8997099967269431</v>
      </c>
      <c r="CC6" s="26">
        <f t="shared" si="49"/>
        <v>2.5402278526184232</v>
      </c>
      <c r="CD6" s="26">
        <f t="shared" si="50"/>
        <v>1.5791884051611949</v>
      </c>
      <c r="CE6" s="26">
        <f t="shared" si="51"/>
        <v>4.0114983713225341</v>
      </c>
      <c r="CF6" s="1"/>
      <c r="CG6" s="22"/>
      <c r="CH6" s="22"/>
      <c r="CI6" s="22"/>
      <c r="CJ6" s="96"/>
      <c r="CK6" s="14"/>
      <c r="CL6" s="14"/>
      <c r="CM6" s="22"/>
      <c r="CN6" s="22"/>
      <c r="CO6" s="22"/>
      <c r="CP6" s="22"/>
      <c r="CQ6" s="14"/>
      <c r="CR6" s="96"/>
      <c r="CS6" s="96"/>
      <c r="CT6" s="22"/>
      <c r="CU6" s="96"/>
      <c r="CV6" s="22"/>
      <c r="CW6" s="22"/>
      <c r="CX6" s="22"/>
      <c r="CY6" s="22"/>
      <c r="CZ6" s="22"/>
      <c r="DA6" s="22"/>
      <c r="DB6" s="22"/>
      <c r="DC6" s="22"/>
      <c r="DD6" s="22"/>
      <c r="DE6" s="22"/>
      <c r="DF6" s="22"/>
      <c r="DG6" s="22"/>
      <c r="DH6" s="22"/>
      <c r="DI6" s="22"/>
      <c r="DJ6" s="22"/>
      <c r="DK6" s="22"/>
      <c r="DL6" s="22"/>
      <c r="DM6" s="22"/>
      <c r="DN6" s="22"/>
      <c r="DO6" s="22"/>
      <c r="DP6" s="46"/>
      <c r="DQ6" s="46"/>
      <c r="DR6" s="46"/>
      <c r="DS6" s="46"/>
      <c r="DT6" s="46"/>
      <c r="DU6" s="46"/>
      <c r="DV6" s="46"/>
      <c r="DW6" s="46"/>
    </row>
    <row r="7" spans="1:127" x14ac:dyDescent="0.25">
      <c r="A7" s="5" t="s">
        <v>82</v>
      </c>
      <c r="B7" s="1">
        <v>46</v>
      </c>
      <c r="C7" s="98" t="s">
        <v>95</v>
      </c>
      <c r="D7" s="98" t="s">
        <v>103</v>
      </c>
      <c r="E7" s="1">
        <v>77</v>
      </c>
      <c r="F7" s="1" t="s">
        <v>184</v>
      </c>
      <c r="G7" s="22">
        <v>37.47</v>
      </c>
      <c r="H7" s="22">
        <v>0</v>
      </c>
      <c r="I7" s="22">
        <v>7.2999999999999995E-2</v>
      </c>
      <c r="J7" s="22">
        <v>0</v>
      </c>
      <c r="K7" s="22">
        <v>30.11</v>
      </c>
      <c r="L7" s="22">
        <v>0.57399999999999995</v>
      </c>
      <c r="M7" s="22">
        <v>31.53</v>
      </c>
      <c r="N7" s="22">
        <v>0.34399999999999997</v>
      </c>
      <c r="O7" s="22">
        <v>2.3E-2</v>
      </c>
      <c r="P7" s="22">
        <v>0</v>
      </c>
      <c r="Q7" s="22">
        <v>0</v>
      </c>
      <c r="R7" s="22"/>
      <c r="S7" s="22"/>
      <c r="T7" s="22">
        <f t="shared" si="0"/>
        <v>100.12399999999998</v>
      </c>
      <c r="U7" s="3"/>
      <c r="V7" s="22">
        <f t="shared" si="1"/>
        <v>30.11</v>
      </c>
      <c r="W7" s="22">
        <f t="shared" si="2"/>
        <v>0</v>
      </c>
      <c r="X7" s="22">
        <f t="shared" si="3"/>
        <v>100.12400000000001</v>
      </c>
      <c r="Y7" s="1"/>
      <c r="Z7" s="1"/>
      <c r="AA7" s="1"/>
      <c r="AB7" s="1" t="s">
        <v>187</v>
      </c>
      <c r="AC7" s="1"/>
      <c r="AD7" s="1">
        <v>4</v>
      </c>
      <c r="AE7" s="1">
        <v>3</v>
      </c>
      <c r="AF7" s="1"/>
      <c r="AG7" s="26">
        <f t="shared" si="4"/>
        <v>1.0118200994050535</v>
      </c>
      <c r="AH7" s="26">
        <f t="shared" si="5"/>
        <v>0</v>
      </c>
      <c r="AI7" s="26">
        <f t="shared" si="6"/>
        <v>2.3231249127847642E-3</v>
      </c>
      <c r="AJ7" s="26">
        <f t="shared" si="7"/>
        <v>0</v>
      </c>
      <c r="AK7" s="26">
        <f t="shared" si="8"/>
        <v>0.67988195755978165</v>
      </c>
      <c r="AL7" s="26">
        <f t="shared" si="9"/>
        <v>1.3127143760859538E-2</v>
      </c>
      <c r="AM7" s="26">
        <f t="shared" si="10"/>
        <v>1.2693122101143079</v>
      </c>
      <c r="AN7" s="26">
        <f t="shared" si="11"/>
        <v>9.9517617616946292E-3</v>
      </c>
      <c r="AO7" s="26">
        <f t="shared" si="12"/>
        <v>1.2040812481430808E-3</v>
      </c>
      <c r="AP7" s="26">
        <f t="shared" si="13"/>
        <v>0</v>
      </c>
      <c r="AQ7" s="26">
        <f t="shared" si="14"/>
        <v>0</v>
      </c>
      <c r="AR7" s="26">
        <f t="shared" si="15"/>
        <v>0</v>
      </c>
      <c r="AS7" s="26">
        <f t="shared" si="16"/>
        <v>0</v>
      </c>
      <c r="AT7" s="26">
        <f t="shared" si="17"/>
        <v>2.987620378762625</v>
      </c>
      <c r="AU7" s="47"/>
      <c r="AV7" s="26">
        <f t="shared" si="18"/>
        <v>1.0160127169410826</v>
      </c>
      <c r="AW7" s="26">
        <f t="shared" si="19"/>
        <v>0</v>
      </c>
      <c r="AX7" s="26">
        <f t="shared" si="20"/>
        <v>2.3327511044896475E-3</v>
      </c>
      <c r="AY7" s="26">
        <f t="shared" si="21"/>
        <v>0</v>
      </c>
      <c r="AZ7" s="26">
        <f t="shared" si="22"/>
        <v>0.68269914316359692</v>
      </c>
      <c r="BA7" s="26">
        <f t="shared" si="23"/>
        <v>0</v>
      </c>
      <c r="BB7" s="26">
        <f t="shared" si="24"/>
        <v>1.3181537909742441E-2</v>
      </c>
      <c r="BC7" s="26">
        <f t="shared" si="25"/>
        <v>1.2745717820816471</v>
      </c>
      <c r="BD7" s="26">
        <f t="shared" si="26"/>
        <v>9.9929982729094168E-3</v>
      </c>
      <c r="BE7" s="26">
        <f t="shared" si="27"/>
        <v>1.2090705265323288E-3</v>
      </c>
      <c r="BF7" s="26">
        <f t="shared" si="28"/>
        <v>0</v>
      </c>
      <c r="BG7" s="26">
        <f t="shared" si="29"/>
        <v>0</v>
      </c>
      <c r="BH7" s="26">
        <f t="shared" si="30"/>
        <v>0</v>
      </c>
      <c r="BI7" s="26">
        <f t="shared" si="31"/>
        <v>0</v>
      </c>
      <c r="BJ7" s="25">
        <f t="shared" si="32"/>
        <v>3.0000000000000004</v>
      </c>
      <c r="BK7" s="24">
        <f t="shared" si="33"/>
        <v>4.0165745572300615</v>
      </c>
      <c r="BL7" s="26"/>
      <c r="BM7" s="51">
        <f t="shared" si="34"/>
        <v>0.6511984445494915</v>
      </c>
      <c r="BN7" s="1"/>
      <c r="BO7" s="26">
        <f t="shared" si="35"/>
        <v>0.62366844207723038</v>
      </c>
      <c r="BP7" s="26">
        <f t="shared" si="36"/>
        <v>0</v>
      </c>
      <c r="BQ7" s="26">
        <f t="shared" si="37"/>
        <v>1.4319340918007061E-3</v>
      </c>
      <c r="BR7" s="26">
        <f t="shared" si="38"/>
        <v>0</v>
      </c>
      <c r="BS7" s="26">
        <f t="shared" si="39"/>
        <v>0.41906750173973556</v>
      </c>
      <c r="BT7" s="26">
        <f t="shared" si="40"/>
        <v>8.091344798421201E-3</v>
      </c>
      <c r="BU7" s="26">
        <f t="shared" si="41"/>
        <v>0.78238213399503731</v>
      </c>
      <c r="BV7" s="26">
        <f t="shared" si="42"/>
        <v>6.1340941512125534E-3</v>
      </c>
      <c r="BW7" s="26">
        <f t="shared" si="43"/>
        <v>7.421748951274605E-4</v>
      </c>
      <c r="BX7" s="26">
        <f t="shared" si="44"/>
        <v>0</v>
      </c>
      <c r="BY7" s="26">
        <f t="shared" si="45"/>
        <v>0</v>
      </c>
      <c r="BZ7" s="26">
        <f t="shared" si="46"/>
        <v>0</v>
      </c>
      <c r="CA7" s="26">
        <f t="shared" si="47"/>
        <v>0</v>
      </c>
      <c r="CB7" s="26">
        <f t="shared" si="48"/>
        <v>1.841517625748565</v>
      </c>
      <c r="CC7" s="26">
        <f t="shared" si="49"/>
        <v>2.4655309474241323</v>
      </c>
      <c r="CD7" s="26">
        <f t="shared" si="50"/>
        <v>1.6290911137929074</v>
      </c>
      <c r="CE7" s="26">
        <f t="shared" si="51"/>
        <v>4.0165745572300615</v>
      </c>
      <c r="CF7" s="1"/>
      <c r="CG7" s="22"/>
      <c r="CH7" s="22"/>
      <c r="CI7" s="22"/>
      <c r="CJ7" s="96"/>
      <c r="CK7" s="14"/>
      <c r="CL7" s="14"/>
      <c r="CM7" s="22"/>
      <c r="CN7" s="22"/>
      <c r="CO7" s="22"/>
      <c r="CP7" s="22"/>
      <c r="CQ7" s="14"/>
      <c r="CR7" s="96"/>
      <c r="CS7" s="96"/>
      <c r="CT7" s="22"/>
      <c r="CU7" s="96"/>
      <c r="CV7" s="22"/>
      <c r="CW7" s="22"/>
      <c r="CX7" s="22"/>
      <c r="CY7" s="22"/>
      <c r="CZ7" s="22"/>
      <c r="DA7" s="22"/>
      <c r="DB7" s="22"/>
      <c r="DC7" s="22"/>
      <c r="DD7" s="22"/>
      <c r="DE7" s="22"/>
      <c r="DF7" s="22"/>
      <c r="DG7" s="22"/>
      <c r="DH7" s="22"/>
      <c r="DI7" s="22"/>
      <c r="DJ7" s="22"/>
      <c r="DK7" s="22"/>
      <c r="DL7" s="22"/>
      <c r="DM7" s="22"/>
      <c r="DN7" s="22"/>
      <c r="DO7" s="22"/>
      <c r="DP7" s="46"/>
      <c r="DQ7" s="46"/>
      <c r="DR7" s="46"/>
      <c r="DS7" s="46"/>
      <c r="DT7" s="46"/>
      <c r="DU7" s="46"/>
      <c r="DV7" s="46"/>
      <c r="DW7" s="46"/>
    </row>
    <row r="8" spans="1:127" x14ac:dyDescent="0.25">
      <c r="A8" s="5" t="s">
        <v>82</v>
      </c>
      <c r="B8" s="1">
        <v>47</v>
      </c>
      <c r="C8" s="98" t="s">
        <v>95</v>
      </c>
      <c r="D8" s="98" t="s">
        <v>103</v>
      </c>
      <c r="E8" s="1">
        <v>78</v>
      </c>
      <c r="F8" s="1" t="s">
        <v>184</v>
      </c>
      <c r="G8" s="22">
        <v>38.36</v>
      </c>
      <c r="H8" s="22">
        <v>0.1</v>
      </c>
      <c r="I8" s="22">
        <v>0.41</v>
      </c>
      <c r="J8" s="22">
        <v>0</v>
      </c>
      <c r="K8" s="22">
        <v>28.81</v>
      </c>
      <c r="L8" s="22">
        <v>0.58399999999999996</v>
      </c>
      <c r="M8" s="22">
        <v>31.49</v>
      </c>
      <c r="N8" s="22">
        <v>0.439</v>
      </c>
      <c r="O8" s="22">
        <v>5.6000000000000001E-2</v>
      </c>
      <c r="P8" s="22">
        <v>2.9000000000000001E-2</v>
      </c>
      <c r="Q8" s="22">
        <v>0</v>
      </c>
      <c r="R8" s="22"/>
      <c r="S8" s="22"/>
      <c r="T8" s="22">
        <f t="shared" si="0"/>
        <v>100.27799999999998</v>
      </c>
      <c r="U8" s="3"/>
      <c r="V8" s="22">
        <f t="shared" si="1"/>
        <v>28.81</v>
      </c>
      <c r="W8" s="22">
        <f t="shared" si="2"/>
        <v>0</v>
      </c>
      <c r="X8" s="22">
        <f t="shared" si="3"/>
        <v>100.27799999999999</v>
      </c>
      <c r="Y8" s="1"/>
      <c r="Z8" s="1"/>
      <c r="AA8" s="1"/>
      <c r="AB8" s="1" t="s">
        <v>187</v>
      </c>
      <c r="AC8" s="1"/>
      <c r="AD8" s="1">
        <v>4</v>
      </c>
      <c r="AE8" s="1">
        <v>3</v>
      </c>
      <c r="AF8" s="1"/>
      <c r="AG8" s="26">
        <f t="shared" si="4"/>
        <v>1.0251934631388173</v>
      </c>
      <c r="AH8" s="26">
        <f t="shared" si="5"/>
        <v>2.01010663758216E-3</v>
      </c>
      <c r="AI8" s="26">
        <f t="shared" si="6"/>
        <v>1.2913417117717889E-2</v>
      </c>
      <c r="AJ8" s="26">
        <f t="shared" si="7"/>
        <v>0</v>
      </c>
      <c r="AK8" s="26">
        <f t="shared" si="8"/>
        <v>0.64383360301070469</v>
      </c>
      <c r="AL8" s="26">
        <f t="shared" si="9"/>
        <v>1.3218397777653899E-2</v>
      </c>
      <c r="AM8" s="26">
        <f t="shared" si="10"/>
        <v>1.2546562904304919</v>
      </c>
      <c r="AN8" s="26">
        <f t="shared" si="11"/>
        <v>1.2569374588840519E-2</v>
      </c>
      <c r="AO8" s="26">
        <f t="shared" si="12"/>
        <v>2.9015068795622866E-3</v>
      </c>
      <c r="AP8" s="26">
        <f t="shared" si="13"/>
        <v>9.8863104630399689E-4</v>
      </c>
      <c r="AQ8" s="26">
        <f t="shared" si="14"/>
        <v>0</v>
      </c>
      <c r="AR8" s="26">
        <f t="shared" si="15"/>
        <v>0</v>
      </c>
      <c r="AS8" s="26">
        <f t="shared" si="16"/>
        <v>0</v>
      </c>
      <c r="AT8" s="26">
        <f t="shared" si="17"/>
        <v>2.9682847906276746</v>
      </c>
      <c r="AU8" s="47"/>
      <c r="AV8" s="26">
        <f t="shared" si="18"/>
        <v>1.0361473397456882</v>
      </c>
      <c r="AW8" s="26">
        <f t="shared" si="19"/>
        <v>2.0315840083091575E-3</v>
      </c>
      <c r="AX8" s="26">
        <f t="shared" si="20"/>
        <v>1.3051393004968919E-2</v>
      </c>
      <c r="AY8" s="26">
        <f t="shared" si="21"/>
        <v>0</v>
      </c>
      <c r="AZ8" s="26">
        <f t="shared" si="22"/>
        <v>0.65071276689177726</v>
      </c>
      <c r="BA8" s="26">
        <f t="shared" si="23"/>
        <v>0</v>
      </c>
      <c r="BB8" s="26">
        <f t="shared" si="24"/>
        <v>1.3359632289385612E-2</v>
      </c>
      <c r="BC8" s="26">
        <f t="shared" si="25"/>
        <v>1.2680619067200574</v>
      </c>
      <c r="BD8" s="26">
        <f t="shared" si="26"/>
        <v>1.2703674487564175E-2</v>
      </c>
      <c r="BE8" s="26">
        <f t="shared" si="27"/>
        <v>2.9325085875086124E-3</v>
      </c>
      <c r="BF8" s="26">
        <f t="shared" si="28"/>
        <v>9.9919426474062213E-4</v>
      </c>
      <c r="BG8" s="26">
        <f t="shared" si="29"/>
        <v>0</v>
      </c>
      <c r="BH8" s="26">
        <f t="shared" si="30"/>
        <v>0</v>
      </c>
      <c r="BI8" s="26">
        <f t="shared" si="31"/>
        <v>0</v>
      </c>
      <c r="BJ8" s="25">
        <f t="shared" si="32"/>
        <v>2.9999999999999996</v>
      </c>
      <c r="BK8" s="24">
        <f t="shared" si="33"/>
        <v>4.0427387688303575</v>
      </c>
      <c r="BL8" s="26"/>
      <c r="BM8" s="51">
        <f t="shared" si="34"/>
        <v>0.66087067135043098</v>
      </c>
      <c r="BN8" s="1"/>
      <c r="BO8" s="26">
        <f t="shared" si="35"/>
        <v>0.63848202396804266</v>
      </c>
      <c r="BP8" s="26">
        <f t="shared" si="36"/>
        <v>1.2518778167250877E-3</v>
      </c>
      <c r="BQ8" s="26">
        <f t="shared" si="37"/>
        <v>8.042369556688897E-3</v>
      </c>
      <c r="BR8" s="26">
        <f t="shared" si="38"/>
        <v>0</v>
      </c>
      <c r="BS8" s="26">
        <f t="shared" si="39"/>
        <v>0.40097425191370911</v>
      </c>
      <c r="BT8" s="26">
        <f t="shared" si="40"/>
        <v>8.2323089935156472E-3</v>
      </c>
      <c r="BU8" s="26">
        <f t="shared" si="41"/>
        <v>0.78138957816377175</v>
      </c>
      <c r="BV8" s="26">
        <f t="shared" si="42"/>
        <v>7.8281027104136949E-3</v>
      </c>
      <c r="BW8" s="26">
        <f t="shared" si="43"/>
        <v>1.8070345272668605E-3</v>
      </c>
      <c r="BX8" s="26">
        <f t="shared" si="44"/>
        <v>6.1571125265392785E-4</v>
      </c>
      <c r="BY8" s="26">
        <f t="shared" si="45"/>
        <v>0</v>
      </c>
      <c r="BZ8" s="26">
        <f t="shared" si="46"/>
        <v>0</v>
      </c>
      <c r="CA8" s="26">
        <f t="shared" si="47"/>
        <v>0</v>
      </c>
      <c r="CB8" s="26">
        <f t="shared" si="48"/>
        <v>1.8486232589027876</v>
      </c>
      <c r="CC8" s="26">
        <f t="shared" si="49"/>
        <v>2.4911669725759396</v>
      </c>
      <c r="CD8" s="26">
        <f t="shared" si="50"/>
        <v>1.6228293058373551</v>
      </c>
      <c r="CE8" s="26">
        <f t="shared" si="51"/>
        <v>4.0427387688303575</v>
      </c>
      <c r="CF8" s="1"/>
      <c r="CG8" s="22"/>
      <c r="CH8" s="22"/>
      <c r="CI8" s="22"/>
      <c r="CJ8" s="96"/>
      <c r="CK8" s="14"/>
      <c r="CL8" s="14"/>
      <c r="CM8" s="22"/>
      <c r="CN8" s="22"/>
      <c r="CO8" s="22"/>
      <c r="CP8" s="22"/>
      <c r="CQ8" s="14"/>
      <c r="CR8" s="96"/>
      <c r="CS8" s="96"/>
      <c r="CT8" s="22"/>
      <c r="CU8" s="96"/>
      <c r="CV8" s="22"/>
      <c r="CW8" s="22"/>
      <c r="CX8" s="22"/>
      <c r="CY8" s="22"/>
      <c r="CZ8" s="22"/>
      <c r="DA8" s="22"/>
      <c r="DB8" s="22"/>
      <c r="DC8" s="22"/>
      <c r="DD8" s="22"/>
      <c r="DE8" s="22"/>
      <c r="DF8" s="22"/>
      <c r="DG8" s="22"/>
      <c r="DH8" s="22"/>
      <c r="DI8" s="22"/>
      <c r="DJ8" s="22"/>
      <c r="DK8" s="22"/>
      <c r="DL8" s="22"/>
      <c r="DM8" s="22"/>
      <c r="DN8" s="22"/>
      <c r="DO8" s="22"/>
      <c r="DP8" s="46"/>
      <c r="DQ8" s="46"/>
      <c r="DR8" s="46"/>
      <c r="DS8" s="46"/>
      <c r="DT8" s="46"/>
      <c r="DU8" s="46"/>
      <c r="DV8" s="46"/>
      <c r="DW8" s="46"/>
    </row>
    <row r="9" spans="1:127" x14ac:dyDescent="0.25">
      <c r="A9" s="5" t="s">
        <v>82</v>
      </c>
      <c r="B9" s="1">
        <v>49</v>
      </c>
      <c r="C9" s="98" t="s">
        <v>95</v>
      </c>
      <c r="D9" s="98" t="s">
        <v>103</v>
      </c>
      <c r="E9" s="1">
        <v>80</v>
      </c>
      <c r="F9" s="1" t="s">
        <v>184</v>
      </c>
      <c r="G9" s="22">
        <v>39.42</v>
      </c>
      <c r="H9" s="22">
        <v>0</v>
      </c>
      <c r="I9" s="22">
        <v>4.2000000000000003E-2</v>
      </c>
      <c r="J9" s="22">
        <v>1.2E-2</v>
      </c>
      <c r="K9" s="22">
        <v>19.899999999999999</v>
      </c>
      <c r="L9" s="22">
        <v>0.36899999999999999</v>
      </c>
      <c r="M9" s="22">
        <v>40.39</v>
      </c>
      <c r="N9" s="22">
        <v>0.19800000000000001</v>
      </c>
      <c r="O9" s="22">
        <v>4.1000000000000002E-2</v>
      </c>
      <c r="P9" s="22">
        <v>6.0000000000000001E-3</v>
      </c>
      <c r="Q9" s="22">
        <v>0</v>
      </c>
      <c r="R9" s="22"/>
      <c r="S9" s="22"/>
      <c r="T9" s="22">
        <f t="shared" si="0"/>
        <v>100.378</v>
      </c>
      <c r="U9" s="3"/>
      <c r="V9" s="22">
        <f t="shared" si="1"/>
        <v>19.899999999999999</v>
      </c>
      <c r="W9" s="22">
        <f t="shared" si="2"/>
        <v>0</v>
      </c>
      <c r="X9" s="22">
        <f t="shared" si="3"/>
        <v>100.37800000000001</v>
      </c>
      <c r="Y9" s="1"/>
      <c r="Z9" s="1"/>
      <c r="AA9" s="1"/>
      <c r="AB9" s="1" t="s">
        <v>185</v>
      </c>
      <c r="AC9" s="1"/>
      <c r="AD9" s="1">
        <v>4</v>
      </c>
      <c r="AE9" s="1">
        <v>3</v>
      </c>
      <c r="AF9" s="1"/>
      <c r="AG9" s="26">
        <f t="shared" si="4"/>
        <v>1.008500334725233</v>
      </c>
      <c r="AH9" s="26">
        <f t="shared" si="5"/>
        <v>0</v>
      </c>
      <c r="AI9" s="26">
        <f t="shared" si="6"/>
        <v>1.2663064238402023E-3</v>
      </c>
      <c r="AJ9" s="26">
        <f t="shared" si="7"/>
        <v>2.4270883042069877E-4</v>
      </c>
      <c r="AK9" s="26">
        <f t="shared" si="8"/>
        <v>0.42571176710697978</v>
      </c>
      <c r="AL9" s="26">
        <f t="shared" si="9"/>
        <v>7.9951116466097528E-3</v>
      </c>
      <c r="AM9" s="26">
        <f t="shared" si="10"/>
        <v>1.5404874258980366</v>
      </c>
      <c r="AN9" s="26">
        <f t="shared" si="11"/>
        <v>5.4268339848260808E-3</v>
      </c>
      <c r="AO9" s="26">
        <f t="shared" si="12"/>
        <v>2.0335349044870959E-3</v>
      </c>
      <c r="AP9" s="26">
        <f t="shared" si="13"/>
        <v>1.9580315889406583E-4</v>
      </c>
      <c r="AQ9" s="26">
        <f t="shared" si="14"/>
        <v>0</v>
      </c>
      <c r="AR9" s="26">
        <f t="shared" si="15"/>
        <v>0</v>
      </c>
      <c r="AS9" s="26">
        <f t="shared" si="16"/>
        <v>0</v>
      </c>
      <c r="AT9" s="26">
        <f t="shared" si="17"/>
        <v>2.991859826679327</v>
      </c>
      <c r="AU9" s="47"/>
      <c r="AV9" s="26">
        <f t="shared" si="18"/>
        <v>1.0112442358416605</v>
      </c>
      <c r="AW9" s="26">
        <f t="shared" si="19"/>
        <v>0</v>
      </c>
      <c r="AX9" s="26">
        <f t="shared" si="20"/>
        <v>1.2697517569655117E-3</v>
      </c>
      <c r="AY9" s="26">
        <f t="shared" si="21"/>
        <v>2.4336918620624203E-4</v>
      </c>
      <c r="AZ9" s="26">
        <f t="shared" si="22"/>
        <v>0.4268700324568464</v>
      </c>
      <c r="BA9" s="26">
        <f t="shared" si="23"/>
        <v>0</v>
      </c>
      <c r="BB9" s="26">
        <f t="shared" si="24"/>
        <v>8.0168645355456515E-3</v>
      </c>
      <c r="BC9" s="26">
        <f t="shared" si="25"/>
        <v>1.5446787434635538</v>
      </c>
      <c r="BD9" s="26">
        <f t="shared" si="26"/>
        <v>5.4415991716256339E-3</v>
      </c>
      <c r="BE9" s="26">
        <f t="shared" si="27"/>
        <v>2.0390676926306285E-3</v>
      </c>
      <c r="BF9" s="26">
        <f t="shared" si="28"/>
        <v>1.9633589496542849E-4</v>
      </c>
      <c r="BG9" s="26">
        <f t="shared" si="29"/>
        <v>0</v>
      </c>
      <c r="BH9" s="26">
        <f t="shared" si="30"/>
        <v>0</v>
      </c>
      <c r="BI9" s="26">
        <f t="shared" si="31"/>
        <v>0</v>
      </c>
      <c r="BJ9" s="25">
        <f t="shared" si="32"/>
        <v>2.9999999999999996</v>
      </c>
      <c r="BK9" s="24">
        <f t="shared" si="33"/>
        <v>4.010883094519448</v>
      </c>
      <c r="BL9" s="26"/>
      <c r="BM9" s="51">
        <f t="shared" si="34"/>
        <v>0.783484924303957</v>
      </c>
      <c r="BN9" s="1"/>
      <c r="BO9" s="26">
        <f t="shared" si="35"/>
        <v>0.65612516644474039</v>
      </c>
      <c r="BP9" s="26">
        <f t="shared" si="36"/>
        <v>0</v>
      </c>
      <c r="BQ9" s="26">
        <f t="shared" si="37"/>
        <v>8.2385249117300908E-4</v>
      </c>
      <c r="BR9" s="26">
        <f t="shared" si="38"/>
        <v>1.5790512533719322E-4</v>
      </c>
      <c r="BS9" s="26">
        <f t="shared" si="39"/>
        <v>0.27696590118302017</v>
      </c>
      <c r="BT9" s="26">
        <f t="shared" si="40"/>
        <v>5.2015787989850579E-3</v>
      </c>
      <c r="BU9" s="26">
        <f t="shared" si="41"/>
        <v>1.0022332506203475</v>
      </c>
      <c r="BV9" s="26">
        <f t="shared" si="42"/>
        <v>3.5306704707560631E-3</v>
      </c>
      <c r="BW9" s="26">
        <f t="shared" si="43"/>
        <v>1.3230074217489515E-3</v>
      </c>
      <c r="BX9" s="26">
        <f t="shared" si="44"/>
        <v>1.2738853503184712E-4</v>
      </c>
      <c r="BY9" s="26">
        <f t="shared" si="45"/>
        <v>0</v>
      </c>
      <c r="BZ9" s="26">
        <f t="shared" si="46"/>
        <v>0</v>
      </c>
      <c r="CA9" s="26">
        <f t="shared" si="47"/>
        <v>0</v>
      </c>
      <c r="CB9" s="26">
        <f t="shared" si="48"/>
        <v>1.9464887210911404</v>
      </c>
      <c r="CC9" s="26">
        <f t="shared" si="49"/>
        <v>2.6023795683657451</v>
      </c>
      <c r="CD9" s="26">
        <f t="shared" si="50"/>
        <v>1.5412367754786138</v>
      </c>
      <c r="CE9" s="26">
        <f t="shared" si="51"/>
        <v>4.010883094519448</v>
      </c>
      <c r="CF9" s="1"/>
      <c r="CG9" s="22"/>
      <c r="CH9" s="22"/>
      <c r="CI9" s="22"/>
      <c r="CJ9" s="96"/>
      <c r="CK9" s="14"/>
      <c r="CL9" s="14"/>
      <c r="CM9" s="22"/>
      <c r="CN9" s="22"/>
      <c r="CO9" s="22"/>
      <c r="CP9" s="22"/>
      <c r="CQ9" s="14"/>
      <c r="CR9" s="96"/>
      <c r="CS9" s="96"/>
      <c r="CT9" s="22"/>
      <c r="CU9" s="96"/>
      <c r="CV9" s="22"/>
      <c r="CW9" s="22"/>
      <c r="CX9" s="22"/>
      <c r="CY9" s="22"/>
      <c r="CZ9" s="22"/>
      <c r="DA9" s="22"/>
      <c r="DB9" s="22"/>
      <c r="DC9" s="22"/>
      <c r="DD9" s="22"/>
      <c r="DE9" s="22"/>
      <c r="DF9" s="22"/>
      <c r="DG9" s="22"/>
      <c r="DH9" s="22"/>
      <c r="DI9" s="22"/>
      <c r="DJ9" s="22"/>
      <c r="DK9" s="22"/>
      <c r="DL9" s="22"/>
      <c r="DM9" s="22"/>
      <c r="DN9" s="22"/>
      <c r="DO9" s="22"/>
      <c r="DP9" s="46"/>
      <c r="DQ9" s="46"/>
      <c r="DR9" s="46"/>
      <c r="DS9" s="46"/>
      <c r="DT9" s="46"/>
      <c r="DU9" s="46"/>
      <c r="DV9" s="46"/>
      <c r="DW9" s="46"/>
    </row>
    <row r="10" spans="1:127" x14ac:dyDescent="0.25">
      <c r="A10" s="5" t="s">
        <v>82</v>
      </c>
      <c r="B10" s="1">
        <v>54</v>
      </c>
      <c r="C10" s="98" t="s">
        <v>95</v>
      </c>
      <c r="D10" s="98" t="s">
        <v>103</v>
      </c>
      <c r="E10" s="1">
        <v>85</v>
      </c>
      <c r="F10" s="1" t="s">
        <v>184</v>
      </c>
      <c r="G10" s="22">
        <v>38.590000000000003</v>
      </c>
      <c r="H10" s="22">
        <v>0</v>
      </c>
      <c r="I10" s="22">
        <v>3.9E-2</v>
      </c>
      <c r="J10" s="22">
        <v>8.0000000000000002E-3</v>
      </c>
      <c r="K10" s="22">
        <v>25.01</v>
      </c>
      <c r="L10" s="22">
        <v>0.41699999999999998</v>
      </c>
      <c r="M10" s="22">
        <v>36.39</v>
      </c>
      <c r="N10" s="22">
        <v>0.192</v>
      </c>
      <c r="O10" s="22">
        <v>3.1E-2</v>
      </c>
      <c r="P10" s="22">
        <v>8.9999999999999993E-3</v>
      </c>
      <c r="Q10" s="22">
        <v>0</v>
      </c>
      <c r="R10" s="22"/>
      <c r="S10" s="22"/>
      <c r="T10" s="22">
        <f t="shared" si="0"/>
        <v>100.68600000000001</v>
      </c>
      <c r="U10" s="3"/>
      <c r="V10" s="22">
        <f t="shared" si="1"/>
        <v>25.01</v>
      </c>
      <c r="W10" s="22">
        <f t="shared" si="2"/>
        <v>0</v>
      </c>
      <c r="X10" s="22">
        <f t="shared" si="3"/>
        <v>100.68600000000002</v>
      </c>
      <c r="Y10" s="1"/>
      <c r="Z10" s="1"/>
      <c r="AA10" s="1"/>
      <c r="AB10" s="1" t="s">
        <v>185</v>
      </c>
      <c r="AC10" s="1"/>
      <c r="AD10" s="1">
        <v>4</v>
      </c>
      <c r="AE10" s="1">
        <v>3</v>
      </c>
      <c r="AF10" s="1"/>
      <c r="AG10" s="26">
        <f t="shared" si="4"/>
        <v>1.0087768084783371</v>
      </c>
      <c r="AH10" s="26">
        <f t="shared" si="5"/>
        <v>0</v>
      </c>
      <c r="AI10" s="26">
        <f t="shared" si="6"/>
        <v>1.2014757528709698E-3</v>
      </c>
      <c r="AJ10" s="26">
        <f t="shared" si="7"/>
        <v>1.6533134637767877E-4</v>
      </c>
      <c r="AK10" s="26">
        <f t="shared" si="8"/>
        <v>0.54668499522611735</v>
      </c>
      <c r="AL10" s="26">
        <f t="shared" si="9"/>
        <v>9.2319853283482495E-3</v>
      </c>
      <c r="AM10" s="26">
        <f t="shared" si="10"/>
        <v>1.4181665718284435</v>
      </c>
      <c r="AN10" s="26">
        <f t="shared" si="11"/>
        <v>5.3770423686041518E-3</v>
      </c>
      <c r="AO10" s="26">
        <f t="shared" si="12"/>
        <v>1.571051249222018E-3</v>
      </c>
      <c r="AP10" s="26">
        <f t="shared" si="13"/>
        <v>3.0010403665537496E-4</v>
      </c>
      <c r="AQ10" s="26">
        <f t="shared" si="14"/>
        <v>0</v>
      </c>
      <c r="AR10" s="26">
        <f t="shared" si="15"/>
        <v>0</v>
      </c>
      <c r="AS10" s="26">
        <f t="shared" si="16"/>
        <v>0</v>
      </c>
      <c r="AT10" s="26">
        <f t="shared" si="17"/>
        <v>2.9914753656149768</v>
      </c>
      <c r="AU10" s="47"/>
      <c r="AV10" s="26">
        <f t="shared" si="18"/>
        <v>1.0116514614229055</v>
      </c>
      <c r="AW10" s="26">
        <f t="shared" si="19"/>
        <v>0</v>
      </c>
      <c r="AX10" s="26">
        <f t="shared" si="20"/>
        <v>1.2048995288556972E-3</v>
      </c>
      <c r="AY10" s="26">
        <f t="shared" si="21"/>
        <v>1.6580248155614402E-4</v>
      </c>
      <c r="AZ10" s="26">
        <f t="shared" si="22"/>
        <v>0.54824285184818689</v>
      </c>
      <c r="BA10" s="26">
        <f t="shared" si="23"/>
        <v>0</v>
      </c>
      <c r="BB10" s="26">
        <f t="shared" si="24"/>
        <v>9.2582931831534966E-3</v>
      </c>
      <c r="BC10" s="26">
        <f t="shared" si="25"/>
        <v>1.4222078391110891</v>
      </c>
      <c r="BD10" s="26">
        <f t="shared" si="26"/>
        <v>5.3923650153462916E-3</v>
      </c>
      <c r="BE10" s="26">
        <f t="shared" si="27"/>
        <v>1.5755281831301799E-3</v>
      </c>
      <c r="BF10" s="26">
        <f t="shared" si="28"/>
        <v>3.0095922577689089E-4</v>
      </c>
      <c r="BG10" s="26">
        <f t="shared" si="29"/>
        <v>0</v>
      </c>
      <c r="BH10" s="26">
        <f t="shared" si="30"/>
        <v>0</v>
      </c>
      <c r="BI10" s="26">
        <f t="shared" si="31"/>
        <v>0</v>
      </c>
      <c r="BJ10" s="25">
        <f t="shared" si="32"/>
        <v>3</v>
      </c>
      <c r="BK10" s="24">
        <f t="shared" si="33"/>
        <v>4.0113985687236582</v>
      </c>
      <c r="BL10" s="26"/>
      <c r="BM10" s="51">
        <f t="shared" si="34"/>
        <v>0.72176778928617313</v>
      </c>
      <c r="BN10" s="1"/>
      <c r="BO10" s="26">
        <f t="shared" si="35"/>
        <v>0.64231025299600542</v>
      </c>
      <c r="BP10" s="26">
        <f t="shared" si="36"/>
        <v>0</v>
      </c>
      <c r="BQ10" s="26">
        <f t="shared" si="37"/>
        <v>7.6500588466065129E-4</v>
      </c>
      <c r="BR10" s="26">
        <f t="shared" si="38"/>
        <v>1.0527008355812881E-4</v>
      </c>
      <c r="BS10" s="26">
        <f t="shared" si="39"/>
        <v>0.34808629088378573</v>
      </c>
      <c r="BT10" s="26">
        <f t="shared" si="40"/>
        <v>5.8782069354383982E-3</v>
      </c>
      <c r="BU10" s="26">
        <f t="shared" si="41"/>
        <v>0.9029776674937966</v>
      </c>
      <c r="BV10" s="26">
        <f t="shared" si="42"/>
        <v>3.4236804564907277E-3</v>
      </c>
      <c r="BW10" s="26">
        <f t="shared" si="43"/>
        <v>1.000322684737012E-3</v>
      </c>
      <c r="BX10" s="26">
        <f t="shared" si="44"/>
        <v>1.9108280254777067E-4</v>
      </c>
      <c r="BY10" s="26">
        <f t="shared" si="45"/>
        <v>0</v>
      </c>
      <c r="BZ10" s="26">
        <f t="shared" si="46"/>
        <v>0</v>
      </c>
      <c r="CA10" s="26">
        <f t="shared" si="47"/>
        <v>0</v>
      </c>
      <c r="CB10" s="26">
        <f t="shared" si="48"/>
        <v>1.9047377802210204</v>
      </c>
      <c r="CC10" s="26">
        <f t="shared" si="49"/>
        <v>2.5468874684574931</v>
      </c>
      <c r="CD10" s="26">
        <f t="shared" si="50"/>
        <v>1.5750199482323959</v>
      </c>
      <c r="CE10" s="26">
        <f t="shared" si="51"/>
        <v>4.0113985687236591</v>
      </c>
      <c r="CF10" s="1"/>
      <c r="CG10" s="22"/>
      <c r="CH10" s="22"/>
      <c r="CI10" s="22"/>
      <c r="CJ10" s="96"/>
      <c r="CK10" s="14"/>
      <c r="CL10" s="14"/>
      <c r="CM10" s="22"/>
      <c r="CN10" s="22"/>
      <c r="CO10" s="22"/>
      <c r="CP10" s="22"/>
      <c r="CQ10" s="14"/>
      <c r="CR10" s="96"/>
      <c r="CS10" s="96"/>
      <c r="CT10" s="22"/>
      <c r="CU10" s="96"/>
      <c r="CV10" s="22"/>
      <c r="CW10" s="22"/>
      <c r="CX10" s="22"/>
      <c r="CY10" s="22"/>
      <c r="CZ10" s="22"/>
      <c r="DA10" s="22"/>
      <c r="DB10" s="22"/>
      <c r="DC10" s="22"/>
      <c r="DD10" s="22"/>
      <c r="DE10" s="22"/>
      <c r="DF10" s="22"/>
      <c r="DG10" s="22"/>
      <c r="DH10" s="22"/>
      <c r="DI10" s="22"/>
      <c r="DJ10" s="22"/>
      <c r="DK10" s="22"/>
      <c r="DL10" s="22"/>
      <c r="DM10" s="22"/>
      <c r="DN10" s="22"/>
      <c r="DO10" s="22"/>
      <c r="DP10" s="46"/>
      <c r="DQ10" s="46"/>
      <c r="DR10" s="46"/>
      <c r="DS10" s="46"/>
      <c r="DT10" s="46"/>
      <c r="DU10" s="46"/>
      <c r="DV10" s="46"/>
      <c r="DW10" s="46"/>
    </row>
    <row r="11" spans="1:127" x14ac:dyDescent="0.25">
      <c r="A11" s="5" t="s">
        <v>87</v>
      </c>
      <c r="B11" s="1">
        <v>413</v>
      </c>
      <c r="C11" s="98" t="s">
        <v>99</v>
      </c>
      <c r="D11" s="98" t="s">
        <v>106</v>
      </c>
      <c r="E11" s="1">
        <v>95</v>
      </c>
      <c r="F11" s="1" t="s">
        <v>184</v>
      </c>
      <c r="G11" s="22">
        <v>34.729999999999997</v>
      </c>
      <c r="H11" s="22">
        <v>0</v>
      </c>
      <c r="I11" s="22">
        <v>2.9000000000000001E-2</v>
      </c>
      <c r="J11" s="22">
        <v>0</v>
      </c>
      <c r="K11" s="22">
        <v>40.380000000000003</v>
      </c>
      <c r="L11" s="22">
        <v>0.73699999999999999</v>
      </c>
      <c r="M11" s="22">
        <v>24.5</v>
      </c>
      <c r="N11" s="22">
        <v>6.7000000000000004E-2</v>
      </c>
      <c r="O11" s="22">
        <v>0.02</v>
      </c>
      <c r="P11" s="22">
        <v>8.9999999999999993E-3</v>
      </c>
      <c r="Q11" s="22">
        <v>0</v>
      </c>
      <c r="R11" s="22"/>
      <c r="S11" s="22"/>
      <c r="T11" s="22">
        <f t="shared" si="0"/>
        <v>100.47199999999999</v>
      </c>
      <c r="U11" s="3"/>
      <c r="V11" s="22">
        <f t="shared" si="1"/>
        <v>39.076643682315208</v>
      </c>
      <c r="W11" s="22">
        <f t="shared" si="2"/>
        <v>1.4484198758431115</v>
      </c>
      <c r="X11" s="22">
        <f t="shared" si="3"/>
        <v>100.61706355815832</v>
      </c>
      <c r="Y11" s="1"/>
      <c r="Z11" s="1"/>
      <c r="AA11" s="1"/>
      <c r="AB11" s="1" t="s">
        <v>185</v>
      </c>
      <c r="AC11" s="1"/>
      <c r="AD11" s="1">
        <v>4</v>
      </c>
      <c r="AE11" s="1">
        <v>3</v>
      </c>
      <c r="AF11" s="1"/>
      <c r="AG11" s="26">
        <f t="shared" si="4"/>
        <v>0.98859529926321166</v>
      </c>
      <c r="AH11" s="26">
        <f t="shared" si="5"/>
        <v>0</v>
      </c>
      <c r="AI11" s="26">
        <f t="shared" si="6"/>
        <v>9.7284096201198764E-4</v>
      </c>
      <c r="AJ11" s="26">
        <f t="shared" si="7"/>
        <v>0</v>
      </c>
      <c r="AK11" s="26">
        <f t="shared" si="8"/>
        <v>0.96113241378702086</v>
      </c>
      <c r="AL11" s="26">
        <f t="shared" si="9"/>
        <v>1.776724068098564E-2</v>
      </c>
      <c r="AM11" s="26">
        <f t="shared" si="10"/>
        <v>1.0396920424083107</v>
      </c>
      <c r="AN11" s="26">
        <f t="shared" si="11"/>
        <v>2.0431981161800048E-3</v>
      </c>
      <c r="AO11" s="26">
        <f t="shared" si="12"/>
        <v>1.1037026903755634E-3</v>
      </c>
      <c r="AP11" s="26">
        <f t="shared" si="13"/>
        <v>3.2678738574591111E-4</v>
      </c>
      <c r="AQ11" s="26">
        <f t="shared" si="14"/>
        <v>0</v>
      </c>
      <c r="AR11" s="26">
        <f t="shared" si="15"/>
        <v>0</v>
      </c>
      <c r="AS11" s="26">
        <f t="shared" si="16"/>
        <v>0</v>
      </c>
      <c r="AT11" s="26">
        <f t="shared" si="17"/>
        <v>3.0116335252938424</v>
      </c>
      <c r="AU11" s="47"/>
      <c r="AV11" s="26">
        <f t="shared" si="18"/>
        <v>0.98477649185428906</v>
      </c>
      <c r="AW11" s="26">
        <f t="shared" si="19"/>
        <v>0</v>
      </c>
      <c r="AX11" s="26">
        <f t="shared" si="20"/>
        <v>9.6908301143685995E-4</v>
      </c>
      <c r="AY11" s="26">
        <f t="shared" si="21"/>
        <v>0</v>
      </c>
      <c r="AZ11" s="26">
        <f t="shared" si="22"/>
        <v>0.92651679415013621</v>
      </c>
      <c r="BA11" s="26">
        <f t="shared" si="23"/>
        <v>3.0902897570068255E-2</v>
      </c>
      <c r="BB11" s="26">
        <f t="shared" si="24"/>
        <v>1.7698608278627237E-2</v>
      </c>
      <c r="BC11" s="26">
        <f t="shared" si="25"/>
        <v>1.035675855321941</v>
      </c>
      <c r="BD11" s="26">
        <f t="shared" si="26"/>
        <v>2.0353055234175466E-3</v>
      </c>
      <c r="BE11" s="26">
        <f t="shared" si="27"/>
        <v>1.0994392389770029E-3</v>
      </c>
      <c r="BF11" s="26">
        <f t="shared" si="28"/>
        <v>3.2552505110729912E-4</v>
      </c>
      <c r="BG11" s="26">
        <f t="shared" si="29"/>
        <v>0</v>
      </c>
      <c r="BH11" s="26">
        <f t="shared" si="30"/>
        <v>0</v>
      </c>
      <c r="BI11" s="26">
        <f t="shared" si="31"/>
        <v>0</v>
      </c>
      <c r="BJ11" s="25">
        <f t="shared" si="32"/>
        <v>3</v>
      </c>
      <c r="BK11" s="24">
        <f t="shared" si="33"/>
        <v>4</v>
      </c>
      <c r="BL11" s="26"/>
      <c r="BM11" s="51">
        <f t="shared" si="34"/>
        <v>0.51963181436983108</v>
      </c>
      <c r="BN11" s="1"/>
      <c r="BO11" s="26">
        <f t="shared" si="35"/>
        <v>0.57806258322237014</v>
      </c>
      <c r="BP11" s="26">
        <f t="shared" si="36"/>
        <v>0</v>
      </c>
      <c r="BQ11" s="26">
        <f t="shared" si="37"/>
        <v>5.6885052961945873E-4</v>
      </c>
      <c r="BR11" s="26">
        <f t="shared" si="38"/>
        <v>0</v>
      </c>
      <c r="BS11" s="26">
        <f t="shared" si="39"/>
        <v>0.56200417536534453</v>
      </c>
      <c r="BT11" s="26">
        <f t="shared" si="40"/>
        <v>1.0389061178460671E-2</v>
      </c>
      <c r="BU11" s="26">
        <f t="shared" si="41"/>
        <v>0.60794044665012414</v>
      </c>
      <c r="BV11" s="26">
        <f t="shared" si="42"/>
        <v>1.1947218259629102E-3</v>
      </c>
      <c r="BW11" s="26">
        <f t="shared" si="43"/>
        <v>6.4536947402387876E-4</v>
      </c>
      <c r="BX11" s="26">
        <f t="shared" si="44"/>
        <v>1.9108280254777067E-4</v>
      </c>
      <c r="BY11" s="26">
        <f t="shared" si="45"/>
        <v>0</v>
      </c>
      <c r="BZ11" s="26">
        <f t="shared" si="46"/>
        <v>0</v>
      </c>
      <c r="CA11" s="26">
        <f t="shared" si="47"/>
        <v>0</v>
      </c>
      <c r="CB11" s="26">
        <f t="shared" si="48"/>
        <v>1.7609962910484533</v>
      </c>
      <c r="CC11" s="26">
        <f t="shared" si="49"/>
        <v>2.3389250733973479</v>
      </c>
      <c r="CD11" s="26">
        <f t="shared" si="50"/>
        <v>1.7035811007948658</v>
      </c>
      <c r="CE11" s="26">
        <f t="shared" si="51"/>
        <v>3.9845485512149663</v>
      </c>
      <c r="CF11" s="1"/>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46"/>
      <c r="DQ11" s="46"/>
      <c r="DR11" s="46"/>
      <c r="DS11" s="46"/>
      <c r="DT11" s="46"/>
      <c r="DU11" s="46"/>
      <c r="DV11" s="46"/>
      <c r="DW11" s="46"/>
    </row>
    <row r="12" spans="1:127" x14ac:dyDescent="0.25">
      <c r="A12" s="5" t="s">
        <v>87</v>
      </c>
      <c r="B12" s="1">
        <v>414</v>
      </c>
      <c r="C12" s="98" t="s">
        <v>99</v>
      </c>
      <c r="D12" s="98" t="s">
        <v>106</v>
      </c>
      <c r="E12" s="1">
        <v>96</v>
      </c>
      <c r="F12" s="1" t="s">
        <v>184</v>
      </c>
      <c r="G12" s="22">
        <v>36.72</v>
      </c>
      <c r="H12" s="22">
        <v>0</v>
      </c>
      <c r="I12" s="22">
        <v>2.5999999999999999E-2</v>
      </c>
      <c r="J12" s="22">
        <v>0</v>
      </c>
      <c r="K12" s="22">
        <v>40.21</v>
      </c>
      <c r="L12" s="22">
        <v>0.747</v>
      </c>
      <c r="M12" s="22">
        <v>23.84</v>
      </c>
      <c r="N12" s="22">
        <v>6.5000000000000002E-2</v>
      </c>
      <c r="O12" s="22">
        <v>0</v>
      </c>
      <c r="P12" s="22">
        <v>0</v>
      </c>
      <c r="Q12" s="22">
        <v>0</v>
      </c>
      <c r="R12" s="22"/>
      <c r="S12" s="22"/>
      <c r="T12" s="22">
        <f t="shared" si="0"/>
        <v>101.608</v>
      </c>
      <c r="U12" s="3"/>
      <c r="V12" s="22">
        <f t="shared" si="1"/>
        <v>40.21</v>
      </c>
      <c r="W12" s="22">
        <f t="shared" si="2"/>
        <v>0</v>
      </c>
      <c r="X12" s="22">
        <f t="shared" si="3"/>
        <v>101.608</v>
      </c>
      <c r="Y12" s="1"/>
      <c r="Z12" s="1"/>
      <c r="AA12" s="1"/>
      <c r="AB12" s="1" t="s">
        <v>185</v>
      </c>
      <c r="AC12" s="1"/>
      <c r="AD12" s="1">
        <v>4</v>
      </c>
      <c r="AE12" s="1">
        <v>3</v>
      </c>
      <c r="AF12" s="1"/>
      <c r="AG12" s="26">
        <f t="shared" si="4"/>
        <v>1.0246077289008577</v>
      </c>
      <c r="AH12" s="26">
        <f t="shared" si="5"/>
        <v>0</v>
      </c>
      <c r="AI12" s="26">
        <f t="shared" si="6"/>
        <v>8.549848039223441E-4</v>
      </c>
      <c r="AJ12" s="26">
        <f t="shared" si="7"/>
        <v>0</v>
      </c>
      <c r="AK12" s="26">
        <f t="shared" si="8"/>
        <v>0.93819298135660611</v>
      </c>
      <c r="AL12" s="26">
        <f t="shared" si="9"/>
        <v>1.7652828285039873E-2</v>
      </c>
      <c r="AM12" s="26">
        <f t="shared" si="10"/>
        <v>0.99171317736823139</v>
      </c>
      <c r="AN12" s="26">
        <f t="shared" si="11"/>
        <v>1.9430779825232304E-3</v>
      </c>
      <c r="AO12" s="26">
        <f t="shared" si="12"/>
        <v>0</v>
      </c>
      <c r="AP12" s="26">
        <f t="shared" si="13"/>
        <v>0</v>
      </c>
      <c r="AQ12" s="26">
        <f t="shared" si="14"/>
        <v>0</v>
      </c>
      <c r="AR12" s="26">
        <f t="shared" si="15"/>
        <v>0</v>
      </c>
      <c r="AS12" s="26">
        <f t="shared" si="16"/>
        <v>0</v>
      </c>
      <c r="AT12" s="26">
        <f t="shared" si="17"/>
        <v>2.9749647786971809</v>
      </c>
      <c r="AU12" s="47"/>
      <c r="AV12" s="26">
        <f t="shared" si="18"/>
        <v>1.0332301103909824</v>
      </c>
      <c r="AW12" s="26">
        <f t="shared" si="19"/>
        <v>0</v>
      </c>
      <c r="AX12" s="26">
        <f t="shared" si="20"/>
        <v>8.621797576004569E-4</v>
      </c>
      <c r="AY12" s="26">
        <f t="shared" si="21"/>
        <v>0</v>
      </c>
      <c r="AZ12" s="26">
        <f t="shared" si="22"/>
        <v>0.94608815681589353</v>
      </c>
      <c r="BA12" s="26">
        <f t="shared" si="23"/>
        <v>0</v>
      </c>
      <c r="BB12" s="26">
        <f t="shared" si="24"/>
        <v>1.7801382132097577E-2</v>
      </c>
      <c r="BC12" s="26">
        <f t="shared" si="25"/>
        <v>1.0000587413366251</v>
      </c>
      <c r="BD12" s="26">
        <f t="shared" si="26"/>
        <v>1.9594295668006107E-3</v>
      </c>
      <c r="BE12" s="26">
        <f t="shared" si="27"/>
        <v>0</v>
      </c>
      <c r="BF12" s="26">
        <f t="shared" si="28"/>
        <v>0</v>
      </c>
      <c r="BG12" s="26">
        <f t="shared" si="29"/>
        <v>0</v>
      </c>
      <c r="BH12" s="26">
        <f t="shared" si="30"/>
        <v>0</v>
      </c>
      <c r="BI12" s="26">
        <f t="shared" si="31"/>
        <v>0</v>
      </c>
      <c r="BJ12" s="25">
        <f t="shared" si="32"/>
        <v>2.9999999999999996</v>
      </c>
      <c r="BK12" s="24">
        <f t="shared" si="33"/>
        <v>4.0336612002697825</v>
      </c>
      <c r="BL12" s="26"/>
      <c r="BM12" s="51">
        <f t="shared" si="34"/>
        <v>0.51386600995329945</v>
      </c>
      <c r="BN12" s="1"/>
      <c r="BO12" s="26">
        <f t="shared" si="35"/>
        <v>0.61118508655126502</v>
      </c>
      <c r="BP12" s="26">
        <f t="shared" si="36"/>
        <v>0</v>
      </c>
      <c r="BQ12" s="26">
        <f t="shared" si="37"/>
        <v>5.1000392310710083E-4</v>
      </c>
      <c r="BR12" s="26">
        <f t="shared" si="38"/>
        <v>0</v>
      </c>
      <c r="BS12" s="26">
        <f t="shared" si="39"/>
        <v>0.55963813500347948</v>
      </c>
      <c r="BT12" s="26">
        <f t="shared" si="40"/>
        <v>1.0530025373555118E-2</v>
      </c>
      <c r="BU12" s="26">
        <f t="shared" si="41"/>
        <v>0.59156327543424325</v>
      </c>
      <c r="BV12" s="26">
        <f t="shared" si="42"/>
        <v>1.1590584878744651E-3</v>
      </c>
      <c r="BW12" s="26">
        <f t="shared" si="43"/>
        <v>0</v>
      </c>
      <c r="BX12" s="26">
        <f t="shared" si="44"/>
        <v>0</v>
      </c>
      <c r="BY12" s="26">
        <f t="shared" si="45"/>
        <v>0</v>
      </c>
      <c r="BZ12" s="26">
        <f t="shared" si="46"/>
        <v>0</v>
      </c>
      <c r="CA12" s="26">
        <f t="shared" si="47"/>
        <v>0</v>
      </c>
      <c r="CB12" s="26">
        <f t="shared" si="48"/>
        <v>1.7745855847735246</v>
      </c>
      <c r="CC12" s="26">
        <f t="shared" si="49"/>
        <v>2.3860256732863432</v>
      </c>
      <c r="CD12" s="26">
        <f t="shared" si="50"/>
        <v>1.6905355400950497</v>
      </c>
      <c r="CE12" s="26">
        <f t="shared" si="51"/>
        <v>4.0336612002697825</v>
      </c>
      <c r="CF12" s="1"/>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46"/>
      <c r="DQ12" s="46"/>
      <c r="DR12" s="46"/>
      <c r="DS12" s="46"/>
      <c r="DT12" s="46"/>
      <c r="DU12" s="46"/>
      <c r="DV12" s="46"/>
      <c r="DW12" s="46"/>
    </row>
    <row r="13" spans="1:127" x14ac:dyDescent="0.25">
      <c r="A13" s="5" t="s">
        <v>87</v>
      </c>
      <c r="B13" s="1">
        <v>415</v>
      </c>
      <c r="C13" s="98" t="s">
        <v>99</v>
      </c>
      <c r="D13" s="98" t="s">
        <v>106</v>
      </c>
      <c r="E13" s="1">
        <v>97</v>
      </c>
      <c r="F13" s="1" t="s">
        <v>184</v>
      </c>
      <c r="G13" s="22">
        <v>35.520000000000003</v>
      </c>
      <c r="H13" s="22">
        <v>0</v>
      </c>
      <c r="I13" s="22">
        <v>1.6E-2</v>
      </c>
      <c r="J13" s="22">
        <v>0</v>
      </c>
      <c r="K13" s="22">
        <v>36.979999999999997</v>
      </c>
      <c r="L13" s="22">
        <v>0.877</v>
      </c>
      <c r="M13" s="22">
        <v>27.67</v>
      </c>
      <c r="N13" s="22">
        <v>1.4999999999999999E-2</v>
      </c>
      <c r="O13" s="22">
        <v>0</v>
      </c>
      <c r="P13" s="22">
        <v>0</v>
      </c>
      <c r="Q13" s="22">
        <v>0</v>
      </c>
      <c r="R13" s="22"/>
      <c r="S13" s="22"/>
      <c r="T13" s="22">
        <f t="shared" si="0"/>
        <v>101.07799999999999</v>
      </c>
      <c r="U13" s="3"/>
      <c r="V13" s="22">
        <f t="shared" si="1"/>
        <v>35.479123450864002</v>
      </c>
      <c r="W13" s="22">
        <f t="shared" si="2"/>
        <v>1.6679241090548347</v>
      </c>
      <c r="X13" s="22">
        <f t="shared" si="3"/>
        <v>101.24504755991885</v>
      </c>
      <c r="Y13" s="1"/>
      <c r="Z13" s="1"/>
      <c r="AA13" s="1"/>
      <c r="AB13" s="1" t="s">
        <v>185</v>
      </c>
      <c r="AC13" s="1"/>
      <c r="AD13" s="1">
        <v>4</v>
      </c>
      <c r="AE13" s="1">
        <v>3</v>
      </c>
      <c r="AF13" s="1"/>
      <c r="AG13" s="26">
        <f t="shared" si="4"/>
        <v>0.98666508316522583</v>
      </c>
      <c r="AH13" s="26">
        <f t="shared" si="5"/>
        <v>0</v>
      </c>
      <c r="AI13" s="26">
        <f t="shared" si="6"/>
        <v>5.2377754742689029E-4</v>
      </c>
      <c r="AJ13" s="26">
        <f t="shared" si="7"/>
        <v>0</v>
      </c>
      <c r="AK13" s="26">
        <f t="shared" si="8"/>
        <v>0.85894797583689064</v>
      </c>
      <c r="AL13" s="26">
        <f t="shared" si="9"/>
        <v>2.0631705759779968E-2</v>
      </c>
      <c r="AM13" s="26">
        <f t="shared" si="10"/>
        <v>1.1458581003530688</v>
      </c>
      <c r="AN13" s="26">
        <f t="shared" si="11"/>
        <v>4.4638539866857947E-4</v>
      </c>
      <c r="AO13" s="26">
        <f t="shared" si="12"/>
        <v>0</v>
      </c>
      <c r="AP13" s="26">
        <f t="shared" si="13"/>
        <v>0</v>
      </c>
      <c r="AQ13" s="26">
        <f t="shared" si="14"/>
        <v>0</v>
      </c>
      <c r="AR13" s="26">
        <f t="shared" si="15"/>
        <v>0</v>
      </c>
      <c r="AS13" s="26">
        <f t="shared" si="16"/>
        <v>0</v>
      </c>
      <c r="AT13" s="26">
        <f t="shared" si="17"/>
        <v>3.0130730280610609</v>
      </c>
      <c r="AU13" s="47"/>
      <c r="AV13" s="26">
        <f t="shared" si="18"/>
        <v>0.98238417121952748</v>
      </c>
      <c r="AW13" s="26">
        <f t="shared" si="19"/>
        <v>0</v>
      </c>
      <c r="AX13" s="26">
        <f t="shared" si="20"/>
        <v>5.2150499760433519E-4</v>
      </c>
      <c r="AY13" s="26">
        <f t="shared" si="21"/>
        <v>0</v>
      </c>
      <c r="AZ13" s="26">
        <f t="shared" si="22"/>
        <v>0.82051104636289052</v>
      </c>
      <c r="BA13" s="26">
        <f t="shared" si="23"/>
        <v>3.471015256334109E-2</v>
      </c>
      <c r="BB13" s="26">
        <f t="shared" si="24"/>
        <v>2.0542189552959476E-2</v>
      </c>
      <c r="BC13" s="26">
        <f t="shared" si="25"/>
        <v>1.1408864866681694</v>
      </c>
      <c r="BD13" s="26">
        <f t="shared" si="26"/>
        <v>4.4444863550735015E-4</v>
      </c>
      <c r="BE13" s="26">
        <f t="shared" si="27"/>
        <v>0</v>
      </c>
      <c r="BF13" s="26">
        <f t="shared" si="28"/>
        <v>0</v>
      </c>
      <c r="BG13" s="26">
        <f t="shared" si="29"/>
        <v>0</v>
      </c>
      <c r="BH13" s="26">
        <f t="shared" si="30"/>
        <v>0</v>
      </c>
      <c r="BI13" s="26">
        <f t="shared" si="31"/>
        <v>0</v>
      </c>
      <c r="BJ13" s="25">
        <f t="shared" si="32"/>
        <v>2.9999999999999996</v>
      </c>
      <c r="BK13" s="24">
        <f t="shared" si="33"/>
        <v>4</v>
      </c>
      <c r="BL13" s="26"/>
      <c r="BM13" s="51">
        <f t="shared" si="34"/>
        <v>0.57155558034357057</v>
      </c>
      <c r="BN13" s="1"/>
      <c r="BO13" s="26">
        <f t="shared" si="35"/>
        <v>0.59121171770972047</v>
      </c>
      <c r="BP13" s="26">
        <f t="shared" si="36"/>
        <v>0</v>
      </c>
      <c r="BQ13" s="26">
        <f t="shared" si="37"/>
        <v>3.138485680659082E-4</v>
      </c>
      <c r="BR13" s="26">
        <f t="shared" si="38"/>
        <v>0</v>
      </c>
      <c r="BS13" s="26">
        <f t="shared" si="39"/>
        <v>0.51468336812804449</v>
      </c>
      <c r="BT13" s="26">
        <f t="shared" si="40"/>
        <v>1.2362559909782916E-2</v>
      </c>
      <c r="BU13" s="26">
        <f t="shared" si="41"/>
        <v>0.68660049627791575</v>
      </c>
      <c r="BV13" s="26">
        <f t="shared" si="42"/>
        <v>2.674750356633381E-4</v>
      </c>
      <c r="BW13" s="26">
        <f t="shared" si="43"/>
        <v>0</v>
      </c>
      <c r="BX13" s="26">
        <f t="shared" si="44"/>
        <v>0</v>
      </c>
      <c r="BY13" s="26">
        <f t="shared" si="45"/>
        <v>0</v>
      </c>
      <c r="BZ13" s="26">
        <f t="shared" si="46"/>
        <v>0</v>
      </c>
      <c r="CA13" s="26">
        <f t="shared" si="47"/>
        <v>0</v>
      </c>
      <c r="CB13" s="26">
        <f t="shared" si="48"/>
        <v>1.805439465629193</v>
      </c>
      <c r="CC13" s="26">
        <f t="shared" si="49"/>
        <v>2.3968081076229462</v>
      </c>
      <c r="CD13" s="26">
        <f t="shared" si="50"/>
        <v>1.6616452986168131</v>
      </c>
      <c r="CE13" s="26">
        <f t="shared" si="51"/>
        <v>3.982644923718329</v>
      </c>
      <c r="CF13" s="1"/>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46"/>
      <c r="DQ13" s="46"/>
      <c r="DR13" s="46"/>
      <c r="DS13" s="46"/>
      <c r="DT13" s="46"/>
      <c r="DU13" s="46"/>
      <c r="DV13" s="46"/>
      <c r="DW13" s="46"/>
    </row>
    <row r="14" spans="1:127" x14ac:dyDescent="0.25">
      <c r="A14" s="5" t="s">
        <v>87</v>
      </c>
      <c r="B14" s="1">
        <v>416</v>
      </c>
      <c r="C14" s="98" t="s">
        <v>99</v>
      </c>
      <c r="D14" s="98" t="s">
        <v>106</v>
      </c>
      <c r="E14" s="1">
        <v>98</v>
      </c>
      <c r="F14" s="1" t="s">
        <v>184</v>
      </c>
      <c r="G14" s="22">
        <v>34.35</v>
      </c>
      <c r="H14" s="22">
        <v>4.8000000000000001E-2</v>
      </c>
      <c r="I14" s="22">
        <v>3.7999999999999999E-2</v>
      </c>
      <c r="J14" s="22">
        <v>0</v>
      </c>
      <c r="K14" s="22">
        <v>39.840000000000003</v>
      </c>
      <c r="L14" s="22">
        <v>0.76100000000000001</v>
      </c>
      <c r="M14" s="22">
        <v>24.61</v>
      </c>
      <c r="N14" s="22">
        <v>8.3000000000000004E-2</v>
      </c>
      <c r="O14" s="22">
        <v>0</v>
      </c>
      <c r="P14" s="22">
        <v>0</v>
      </c>
      <c r="Q14" s="22">
        <v>0</v>
      </c>
      <c r="R14" s="22"/>
      <c r="S14" s="22"/>
      <c r="T14" s="22">
        <f t="shared" si="0"/>
        <v>99.73</v>
      </c>
      <c r="U14" s="3"/>
      <c r="V14" s="22">
        <f t="shared" si="1"/>
        <v>38.29206203598357</v>
      </c>
      <c r="W14" s="22">
        <f t="shared" si="2"/>
        <v>1.7202234594114643</v>
      </c>
      <c r="X14" s="22">
        <f t="shared" si="3"/>
        <v>99.902285495395034</v>
      </c>
      <c r="Y14" s="1"/>
      <c r="Z14" s="1"/>
      <c r="AA14" s="1"/>
      <c r="AB14" s="1" t="s">
        <v>185</v>
      </c>
      <c r="AC14" s="1"/>
      <c r="AD14" s="1">
        <v>4</v>
      </c>
      <c r="AE14" s="1">
        <v>3</v>
      </c>
      <c r="AF14" s="1"/>
      <c r="AG14" s="26">
        <f t="shared" si="4"/>
        <v>0.98441329877578743</v>
      </c>
      <c r="AH14" s="26">
        <f t="shared" si="5"/>
        <v>1.0346270670713372E-3</v>
      </c>
      <c r="AI14" s="26">
        <f t="shared" si="6"/>
        <v>1.2834070487082432E-3</v>
      </c>
      <c r="AJ14" s="26">
        <f t="shared" si="7"/>
        <v>0</v>
      </c>
      <c r="AK14" s="26">
        <f t="shared" si="8"/>
        <v>0.95471382599382737</v>
      </c>
      <c r="AL14" s="26">
        <f t="shared" si="9"/>
        <v>1.8470307566117509E-2</v>
      </c>
      <c r="AM14" s="26">
        <f t="shared" si="10"/>
        <v>1.0514466030787704</v>
      </c>
      <c r="AN14" s="26">
        <f t="shared" si="11"/>
        <v>2.548301102504476E-3</v>
      </c>
      <c r="AO14" s="26">
        <f t="shared" si="12"/>
        <v>0</v>
      </c>
      <c r="AP14" s="26">
        <f t="shared" si="13"/>
        <v>0</v>
      </c>
      <c r="AQ14" s="26">
        <f t="shared" si="14"/>
        <v>0</v>
      </c>
      <c r="AR14" s="26">
        <f t="shared" si="15"/>
        <v>0</v>
      </c>
      <c r="AS14" s="26">
        <f t="shared" si="16"/>
        <v>0</v>
      </c>
      <c r="AT14" s="26">
        <f t="shared" si="17"/>
        <v>3.0139103706327863</v>
      </c>
      <c r="AU14" s="47"/>
      <c r="AV14" s="26">
        <f t="shared" si="18"/>
        <v>0.9798698478572585</v>
      </c>
      <c r="AW14" s="26">
        <f t="shared" si="19"/>
        <v>1.0298518600479597E-3</v>
      </c>
      <c r="AX14" s="26">
        <f t="shared" si="20"/>
        <v>1.2774836251405696E-3</v>
      </c>
      <c r="AY14" s="26">
        <f t="shared" si="21"/>
        <v>0</v>
      </c>
      <c r="AZ14" s="26">
        <f t="shared" si="22"/>
        <v>0.91338433277337749</v>
      </c>
      <c r="BA14" s="26">
        <f t="shared" si="23"/>
        <v>3.692311694024486E-2</v>
      </c>
      <c r="BB14" s="26">
        <f t="shared" si="24"/>
        <v>1.8385059900344249E-2</v>
      </c>
      <c r="BC14" s="26">
        <f t="shared" si="25"/>
        <v>1.0465937673435326</v>
      </c>
      <c r="BD14" s="26">
        <f t="shared" si="26"/>
        <v>2.5365397000536348E-3</v>
      </c>
      <c r="BE14" s="26">
        <f t="shared" si="27"/>
        <v>0</v>
      </c>
      <c r="BF14" s="26">
        <f t="shared" si="28"/>
        <v>0</v>
      </c>
      <c r="BG14" s="26">
        <f t="shared" si="29"/>
        <v>0</v>
      </c>
      <c r="BH14" s="26">
        <f t="shared" si="30"/>
        <v>0</v>
      </c>
      <c r="BI14" s="26">
        <f t="shared" si="31"/>
        <v>0</v>
      </c>
      <c r="BJ14" s="25">
        <f t="shared" si="32"/>
        <v>3</v>
      </c>
      <c r="BK14" s="24">
        <f t="shared" si="33"/>
        <v>3.9999999999999991</v>
      </c>
      <c r="BL14" s="26"/>
      <c r="BM14" s="51">
        <f t="shared" si="34"/>
        <v>0.52410893358355704</v>
      </c>
      <c r="BN14" s="1"/>
      <c r="BO14" s="26">
        <f t="shared" si="35"/>
        <v>0.57173768308921447</v>
      </c>
      <c r="BP14" s="26">
        <f t="shared" si="36"/>
        <v>6.0090135202804206E-4</v>
      </c>
      <c r="BQ14" s="26">
        <f t="shared" si="37"/>
        <v>7.4539034915653199E-4</v>
      </c>
      <c r="BR14" s="26">
        <f t="shared" si="38"/>
        <v>0</v>
      </c>
      <c r="BS14" s="26">
        <f t="shared" si="39"/>
        <v>0.55448851774530283</v>
      </c>
      <c r="BT14" s="26">
        <f t="shared" si="40"/>
        <v>1.0727375246687341E-2</v>
      </c>
      <c r="BU14" s="26">
        <f t="shared" si="41"/>
        <v>0.61066997518610422</v>
      </c>
      <c r="BV14" s="26">
        <f t="shared" si="42"/>
        <v>1.4800285306704709E-3</v>
      </c>
      <c r="BW14" s="26">
        <f t="shared" si="43"/>
        <v>0</v>
      </c>
      <c r="BX14" s="26">
        <f t="shared" si="44"/>
        <v>0</v>
      </c>
      <c r="BY14" s="26">
        <f t="shared" si="45"/>
        <v>0</v>
      </c>
      <c r="BZ14" s="26">
        <f t="shared" si="46"/>
        <v>0</v>
      </c>
      <c r="CA14" s="26">
        <f t="shared" si="47"/>
        <v>0</v>
      </c>
      <c r="CB14" s="26">
        <f t="shared" si="48"/>
        <v>1.7504498714991639</v>
      </c>
      <c r="CC14" s="26">
        <f t="shared" si="49"/>
        <v>2.3231611511149848</v>
      </c>
      <c r="CD14" s="26">
        <f t="shared" si="50"/>
        <v>1.7138451370964798</v>
      </c>
      <c r="CE14" s="26">
        <f t="shared" si="51"/>
        <v>3.9815384415298767</v>
      </c>
      <c r="CF14" s="1"/>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46"/>
      <c r="DQ14" s="46"/>
      <c r="DR14" s="46"/>
      <c r="DS14" s="46"/>
      <c r="DT14" s="46"/>
      <c r="DU14" s="46"/>
      <c r="DV14" s="46"/>
      <c r="DW14" s="46"/>
    </row>
    <row r="15" spans="1:127" x14ac:dyDescent="0.25">
      <c r="A15" s="5" t="s">
        <v>87</v>
      </c>
      <c r="B15" s="1">
        <v>417</v>
      </c>
      <c r="C15" s="98" t="s">
        <v>99</v>
      </c>
      <c r="D15" s="98" t="s">
        <v>106</v>
      </c>
      <c r="E15" s="1">
        <v>99</v>
      </c>
      <c r="F15" s="1" t="s">
        <v>184</v>
      </c>
      <c r="G15" s="22">
        <v>34.43</v>
      </c>
      <c r="H15" s="22">
        <v>0</v>
      </c>
      <c r="I15" s="22">
        <v>3.4000000000000002E-2</v>
      </c>
      <c r="J15" s="22">
        <v>0</v>
      </c>
      <c r="K15" s="22">
        <v>40.72</v>
      </c>
      <c r="L15" s="22">
        <v>0.69199999999999995</v>
      </c>
      <c r="M15" s="22">
        <v>24.75</v>
      </c>
      <c r="N15" s="22">
        <v>8.6999999999999994E-2</v>
      </c>
      <c r="O15" s="22">
        <v>0</v>
      </c>
      <c r="P15" s="22">
        <v>0</v>
      </c>
      <c r="Q15" s="22">
        <v>0</v>
      </c>
      <c r="R15" s="22"/>
      <c r="S15" s="22"/>
      <c r="T15" s="22">
        <f t="shared" si="0"/>
        <v>100.71299999999999</v>
      </c>
      <c r="U15" s="3"/>
      <c r="V15" s="22">
        <f t="shared" si="1"/>
        <v>38.530284643712676</v>
      </c>
      <c r="W15" s="22">
        <f t="shared" si="2"/>
        <v>2.4334306754421076</v>
      </c>
      <c r="X15" s="22">
        <f t="shared" si="3"/>
        <v>100.95671531915478</v>
      </c>
      <c r="Y15" s="1"/>
      <c r="Z15" s="1"/>
      <c r="AA15" s="1"/>
      <c r="AB15" s="1" t="s">
        <v>185</v>
      </c>
      <c r="AC15" s="1"/>
      <c r="AD15" s="1">
        <v>4</v>
      </c>
      <c r="AE15" s="1">
        <v>3</v>
      </c>
      <c r="AF15" s="1"/>
      <c r="AG15" s="26">
        <f t="shared" si="4"/>
        <v>0.9798881464123953</v>
      </c>
      <c r="AH15" s="26">
        <f t="shared" si="5"/>
        <v>0</v>
      </c>
      <c r="AI15" s="26">
        <f t="shared" si="6"/>
        <v>1.1403771096326284E-3</v>
      </c>
      <c r="AJ15" s="26">
        <f t="shared" si="7"/>
        <v>0</v>
      </c>
      <c r="AK15" s="26">
        <f t="shared" si="8"/>
        <v>0.96905940807981783</v>
      </c>
      <c r="AL15" s="26">
        <f t="shared" si="9"/>
        <v>1.66795494676352E-2</v>
      </c>
      <c r="AM15" s="26">
        <f t="shared" si="10"/>
        <v>1.0501215296777966</v>
      </c>
      <c r="AN15" s="26">
        <f t="shared" si="11"/>
        <v>2.6526542855108302E-3</v>
      </c>
      <c r="AO15" s="26">
        <f t="shared" si="12"/>
        <v>0</v>
      </c>
      <c r="AP15" s="26">
        <f t="shared" si="13"/>
        <v>0</v>
      </c>
      <c r="AQ15" s="26">
        <f t="shared" si="14"/>
        <v>0</v>
      </c>
      <c r="AR15" s="26">
        <f t="shared" si="15"/>
        <v>0</v>
      </c>
      <c r="AS15" s="26">
        <f t="shared" si="16"/>
        <v>0</v>
      </c>
      <c r="AT15" s="26">
        <f t="shared" si="17"/>
        <v>3.0195416650327886</v>
      </c>
      <c r="AU15" s="47"/>
      <c r="AV15" s="26">
        <f t="shared" si="18"/>
        <v>0.97354657273962952</v>
      </c>
      <c r="AW15" s="26">
        <f t="shared" si="19"/>
        <v>0</v>
      </c>
      <c r="AX15" s="26">
        <f t="shared" si="20"/>
        <v>1.1329968943683164E-3</v>
      </c>
      <c r="AY15" s="26">
        <f t="shared" si="21"/>
        <v>0</v>
      </c>
      <c r="AZ15" s="26">
        <f t="shared" si="22"/>
        <v>0.91101405747526676</v>
      </c>
      <c r="BA15" s="26">
        <f t="shared" si="23"/>
        <v>5.1773857626373321E-2</v>
      </c>
      <c r="BB15" s="26">
        <f t="shared" si="24"/>
        <v>1.6571603890209025E-2</v>
      </c>
      <c r="BC15" s="26">
        <f t="shared" si="25"/>
        <v>1.0433254243568058</v>
      </c>
      <c r="BD15" s="26">
        <f t="shared" si="26"/>
        <v>2.6354870173470771E-3</v>
      </c>
      <c r="BE15" s="26">
        <f t="shared" si="27"/>
        <v>0</v>
      </c>
      <c r="BF15" s="26">
        <f t="shared" si="28"/>
        <v>0</v>
      </c>
      <c r="BG15" s="26">
        <f t="shared" si="29"/>
        <v>0</v>
      </c>
      <c r="BH15" s="26">
        <f t="shared" si="30"/>
        <v>0</v>
      </c>
      <c r="BI15" s="26">
        <f t="shared" si="31"/>
        <v>0</v>
      </c>
      <c r="BJ15" s="25">
        <f t="shared" si="32"/>
        <v>3</v>
      </c>
      <c r="BK15" s="24">
        <f t="shared" si="33"/>
        <v>4</v>
      </c>
      <c r="BL15" s="26"/>
      <c r="BM15" s="51">
        <f t="shared" si="34"/>
        <v>0.52007302071898565</v>
      </c>
      <c r="BN15" s="1"/>
      <c r="BO15" s="26">
        <f t="shared" si="35"/>
        <v>0.57306924101198409</v>
      </c>
      <c r="BP15" s="26">
        <f t="shared" si="36"/>
        <v>0</v>
      </c>
      <c r="BQ15" s="26">
        <f t="shared" si="37"/>
        <v>6.6692820714005501E-4</v>
      </c>
      <c r="BR15" s="26">
        <f t="shared" si="38"/>
        <v>0</v>
      </c>
      <c r="BS15" s="26">
        <f t="shared" si="39"/>
        <v>0.56673625608907452</v>
      </c>
      <c r="BT15" s="26">
        <f t="shared" si="40"/>
        <v>9.7547223005356627E-3</v>
      </c>
      <c r="BU15" s="26">
        <f t="shared" si="41"/>
        <v>0.61414392059553358</v>
      </c>
      <c r="BV15" s="26">
        <f t="shared" si="42"/>
        <v>1.5513552068473608E-3</v>
      </c>
      <c r="BW15" s="26">
        <f t="shared" si="43"/>
        <v>0</v>
      </c>
      <c r="BX15" s="26">
        <f t="shared" si="44"/>
        <v>0</v>
      </c>
      <c r="BY15" s="26">
        <f t="shared" si="45"/>
        <v>0</v>
      </c>
      <c r="BZ15" s="26">
        <f t="shared" si="46"/>
        <v>0</v>
      </c>
      <c r="CA15" s="26">
        <f t="shared" si="47"/>
        <v>0</v>
      </c>
      <c r="CB15" s="26">
        <f t="shared" si="48"/>
        <v>1.7659224234111155</v>
      </c>
      <c r="CC15" s="26">
        <f t="shared" si="49"/>
        <v>2.3393251285266694</v>
      </c>
      <c r="CD15" s="26">
        <f t="shared" si="50"/>
        <v>1.6988288727910814</v>
      </c>
      <c r="CE15" s="26">
        <f t="shared" si="51"/>
        <v>3.9741130711868133</v>
      </c>
      <c r="CF15" s="1"/>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46"/>
      <c r="DQ15" s="46"/>
      <c r="DR15" s="46"/>
      <c r="DS15" s="46"/>
      <c r="DT15" s="46"/>
      <c r="DU15" s="46"/>
      <c r="DV15" s="46"/>
      <c r="DW15" s="46"/>
    </row>
    <row r="16" spans="1:127" x14ac:dyDescent="0.25">
      <c r="A16" s="5" t="s">
        <v>87</v>
      </c>
      <c r="B16" s="1">
        <v>429</v>
      </c>
      <c r="C16" s="98" t="s">
        <v>99</v>
      </c>
      <c r="D16" s="98" t="s">
        <v>106</v>
      </c>
      <c r="E16" s="1">
        <v>111</v>
      </c>
      <c r="F16" s="1" t="s">
        <v>184</v>
      </c>
      <c r="G16" s="22">
        <v>34.18</v>
      </c>
      <c r="H16" s="22">
        <v>0</v>
      </c>
      <c r="I16" s="22">
        <v>2.8000000000000001E-2</v>
      </c>
      <c r="J16" s="22">
        <v>3.1E-2</v>
      </c>
      <c r="K16" s="22">
        <v>42.99</v>
      </c>
      <c r="L16" s="22">
        <v>0.84499999999999997</v>
      </c>
      <c r="M16" s="22">
        <v>21.76</v>
      </c>
      <c r="N16" s="22">
        <v>0.10299999999999999</v>
      </c>
      <c r="O16" s="22">
        <v>2.1000000000000001E-2</v>
      </c>
      <c r="P16" s="22">
        <v>0</v>
      </c>
      <c r="Q16" s="22">
        <v>0</v>
      </c>
      <c r="R16" s="22"/>
      <c r="S16" s="22"/>
      <c r="T16" s="22">
        <f t="shared" si="0"/>
        <v>99.957999999999998</v>
      </c>
      <c r="U16" s="3"/>
      <c r="V16" s="22">
        <f t="shared" si="1"/>
        <v>42.251016329177943</v>
      </c>
      <c r="W16" s="22">
        <f t="shared" si="2"/>
        <v>0.82123255338455747</v>
      </c>
      <c r="X16" s="22">
        <f t="shared" si="3"/>
        <v>100.04024888256251</v>
      </c>
      <c r="Y16" s="1"/>
      <c r="Z16" s="1"/>
      <c r="AA16" s="1"/>
      <c r="AB16" s="1" t="s">
        <v>185</v>
      </c>
      <c r="AC16" s="1"/>
      <c r="AD16" s="1">
        <v>4</v>
      </c>
      <c r="AE16" s="1">
        <v>3</v>
      </c>
      <c r="AF16" s="1"/>
      <c r="AG16" s="26">
        <f t="shared" si="4"/>
        <v>0.99302385337113552</v>
      </c>
      <c r="AH16" s="26">
        <f t="shared" si="5"/>
        <v>0</v>
      </c>
      <c r="AI16" s="26">
        <f t="shared" si="6"/>
        <v>9.5868459016331927E-4</v>
      </c>
      <c r="AJ16" s="26">
        <f t="shared" si="7"/>
        <v>7.1202332512585711E-4</v>
      </c>
      <c r="AK16" s="26">
        <f t="shared" si="8"/>
        <v>1.0443792126834444</v>
      </c>
      <c r="AL16" s="26">
        <f t="shared" si="9"/>
        <v>2.0791368280797896E-2</v>
      </c>
      <c r="AM16" s="26">
        <f t="shared" si="10"/>
        <v>0.94247836870436552</v>
      </c>
      <c r="AN16" s="26">
        <f t="shared" si="11"/>
        <v>3.2058763385674665E-3</v>
      </c>
      <c r="AO16" s="26">
        <f t="shared" si="12"/>
        <v>1.1828107552402231E-3</v>
      </c>
      <c r="AP16" s="26">
        <f t="shared" si="13"/>
        <v>0</v>
      </c>
      <c r="AQ16" s="26">
        <f t="shared" si="14"/>
        <v>0</v>
      </c>
      <c r="AR16" s="26">
        <f t="shared" si="15"/>
        <v>0</v>
      </c>
      <c r="AS16" s="26">
        <f t="shared" si="16"/>
        <v>0</v>
      </c>
      <c r="AT16" s="26">
        <f t="shared" si="17"/>
        <v>3.0067321980488404</v>
      </c>
      <c r="AU16" s="47"/>
      <c r="AV16" s="26">
        <f t="shared" si="18"/>
        <v>0.99080043179323274</v>
      </c>
      <c r="AW16" s="26">
        <f t="shared" si="19"/>
        <v>0</v>
      </c>
      <c r="AX16" s="26">
        <f t="shared" si="20"/>
        <v>9.5653805561942513E-4</v>
      </c>
      <c r="AY16" s="26">
        <f t="shared" si="21"/>
        <v>7.1042907538081774E-4</v>
      </c>
      <c r="AZ16" s="26">
        <f t="shared" si="22"/>
        <v>1.0241284726514215</v>
      </c>
      <c r="BA16" s="26">
        <f t="shared" si="23"/>
        <v>1.7912331675455917E-2</v>
      </c>
      <c r="BB16" s="26">
        <f t="shared" si="24"/>
        <v>2.0744815545218873E-2</v>
      </c>
      <c r="BC16" s="26">
        <f t="shared" si="25"/>
        <v>0.94036812056221875</v>
      </c>
      <c r="BD16" s="26">
        <f t="shared" si="26"/>
        <v>3.1986982485316022E-3</v>
      </c>
      <c r="BE16" s="26">
        <f t="shared" si="27"/>
        <v>1.1801623929205782E-3</v>
      </c>
      <c r="BF16" s="26">
        <f t="shared" si="28"/>
        <v>0</v>
      </c>
      <c r="BG16" s="26">
        <f t="shared" si="29"/>
        <v>0</v>
      </c>
      <c r="BH16" s="26">
        <f t="shared" si="30"/>
        <v>0</v>
      </c>
      <c r="BI16" s="26">
        <f t="shared" si="31"/>
        <v>0</v>
      </c>
      <c r="BJ16" s="25">
        <f t="shared" si="32"/>
        <v>3.0000000000000004</v>
      </c>
      <c r="BK16" s="24">
        <f t="shared" si="33"/>
        <v>4.0000000000000009</v>
      </c>
      <c r="BL16" s="26"/>
      <c r="BM16" s="51">
        <f t="shared" si="34"/>
        <v>0.47435627874547964</v>
      </c>
      <c r="BN16" s="1"/>
      <c r="BO16" s="26">
        <f t="shared" si="35"/>
        <v>0.56890812250332889</v>
      </c>
      <c r="BP16" s="26">
        <f t="shared" si="36"/>
        <v>0</v>
      </c>
      <c r="BQ16" s="26">
        <f t="shared" si="37"/>
        <v>5.4923499411533943E-4</v>
      </c>
      <c r="BR16" s="26">
        <f t="shared" si="38"/>
        <v>4.0792157378774919E-4</v>
      </c>
      <c r="BS16" s="26">
        <f t="shared" si="39"/>
        <v>0.59832985386221305</v>
      </c>
      <c r="BT16" s="26">
        <f t="shared" si="40"/>
        <v>1.1911474485480689E-2</v>
      </c>
      <c r="BU16" s="26">
        <f t="shared" si="41"/>
        <v>0.53995037220843678</v>
      </c>
      <c r="BV16" s="26">
        <f t="shared" si="42"/>
        <v>1.8366619115549215E-3</v>
      </c>
      <c r="BW16" s="26">
        <f t="shared" si="43"/>
        <v>6.7763794772507271E-4</v>
      </c>
      <c r="BX16" s="26">
        <f t="shared" si="44"/>
        <v>0</v>
      </c>
      <c r="BY16" s="26">
        <f t="shared" si="45"/>
        <v>0</v>
      </c>
      <c r="BZ16" s="26">
        <f t="shared" si="46"/>
        <v>0</v>
      </c>
      <c r="CA16" s="26">
        <f t="shared" si="47"/>
        <v>0</v>
      </c>
      <c r="CB16" s="26">
        <f t="shared" si="48"/>
        <v>1.7225712794866423</v>
      </c>
      <c r="CC16" s="26">
        <f t="shared" si="49"/>
        <v>2.2916191613000603</v>
      </c>
      <c r="CD16" s="26">
        <f t="shared" si="50"/>
        <v>1.7415825026956531</v>
      </c>
      <c r="CE16" s="26">
        <f t="shared" si="51"/>
        <v>3.9910438341622725</v>
      </c>
      <c r="CF16" s="1"/>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46"/>
      <c r="DQ16" s="46"/>
      <c r="DR16" s="46"/>
      <c r="DS16" s="46"/>
      <c r="DT16" s="46"/>
      <c r="DU16" s="46"/>
      <c r="DV16" s="46"/>
      <c r="DW16" s="46"/>
    </row>
    <row r="17" spans="1:127" x14ac:dyDescent="0.25">
      <c r="A17" s="5" t="s">
        <v>87</v>
      </c>
      <c r="B17" s="1">
        <v>430</v>
      </c>
      <c r="C17" s="98" t="s">
        <v>99</v>
      </c>
      <c r="D17" s="98" t="s">
        <v>106</v>
      </c>
      <c r="E17" s="1">
        <v>112</v>
      </c>
      <c r="F17" s="1" t="s">
        <v>184</v>
      </c>
      <c r="G17" s="22">
        <v>33.83</v>
      </c>
      <c r="H17" s="22">
        <v>0.01</v>
      </c>
      <c r="I17" s="22">
        <v>2.7E-2</v>
      </c>
      <c r="J17" s="22">
        <v>0</v>
      </c>
      <c r="K17" s="22">
        <v>43.29</v>
      </c>
      <c r="L17" s="22">
        <v>0.81</v>
      </c>
      <c r="M17" s="22">
        <v>21.83</v>
      </c>
      <c r="N17" s="22">
        <v>8.6999999999999994E-2</v>
      </c>
      <c r="O17" s="22">
        <v>1.7000000000000001E-2</v>
      </c>
      <c r="P17" s="22">
        <v>1.2E-2</v>
      </c>
      <c r="Q17" s="22">
        <v>0</v>
      </c>
      <c r="R17" s="22"/>
      <c r="S17" s="22"/>
      <c r="T17" s="22">
        <f t="shared" si="0"/>
        <v>99.912999999999997</v>
      </c>
      <c r="U17" s="3"/>
      <c r="V17" s="22">
        <f t="shared" si="1"/>
        <v>41.733725481183896</v>
      </c>
      <c r="W17" s="22">
        <f t="shared" si="2"/>
        <v>1.729487872760334</v>
      </c>
      <c r="X17" s="22">
        <f t="shared" si="3"/>
        <v>100.08621335394422</v>
      </c>
      <c r="Y17" s="1"/>
      <c r="Z17" s="1"/>
      <c r="AA17" s="1"/>
      <c r="AB17" s="1" t="s">
        <v>185</v>
      </c>
      <c r="AC17" s="1"/>
      <c r="AD17" s="1">
        <v>4</v>
      </c>
      <c r="AE17" s="1">
        <v>3</v>
      </c>
      <c r="AF17" s="1"/>
      <c r="AG17" s="26">
        <f t="shared" si="4"/>
        <v>0.98580017680903109</v>
      </c>
      <c r="AH17" s="26">
        <f t="shared" si="5"/>
        <v>2.1916881612207918E-4</v>
      </c>
      <c r="AI17" s="26">
        <f t="shared" si="6"/>
        <v>9.2721564507543242E-4</v>
      </c>
      <c r="AJ17" s="26">
        <f t="shared" si="7"/>
        <v>0</v>
      </c>
      <c r="AK17" s="26">
        <f t="shared" si="8"/>
        <v>1.0548182405400051</v>
      </c>
      <c r="AL17" s="26">
        <f t="shared" si="9"/>
        <v>1.9989901431891267E-2</v>
      </c>
      <c r="AM17" s="26">
        <f t="shared" si="10"/>
        <v>0.94834314105430684</v>
      </c>
      <c r="AN17" s="26">
        <f t="shared" si="11"/>
        <v>2.7159893683476395E-3</v>
      </c>
      <c r="AO17" s="26">
        <f t="shared" si="12"/>
        <v>9.6038233475682043E-4</v>
      </c>
      <c r="AP17" s="26">
        <f t="shared" si="13"/>
        <v>4.4604344030144409E-4</v>
      </c>
      <c r="AQ17" s="26">
        <f t="shared" si="14"/>
        <v>0</v>
      </c>
      <c r="AR17" s="26">
        <f t="shared" si="15"/>
        <v>0</v>
      </c>
      <c r="AS17" s="26">
        <f t="shared" si="16"/>
        <v>0</v>
      </c>
      <c r="AT17" s="26">
        <f t="shared" si="17"/>
        <v>3.0142202594398375</v>
      </c>
      <c r="AU17" s="47"/>
      <c r="AV17" s="26">
        <f t="shared" si="18"/>
        <v>0.98114944359663236</v>
      </c>
      <c r="AW17" s="26">
        <f t="shared" si="19"/>
        <v>2.1813483812507735E-4</v>
      </c>
      <c r="AX17" s="26">
        <f t="shared" si="20"/>
        <v>9.2284129751793215E-4</v>
      </c>
      <c r="AY17" s="26">
        <f t="shared" si="21"/>
        <v>0</v>
      </c>
      <c r="AZ17" s="26">
        <f t="shared" si="22"/>
        <v>1.0121001066684674</v>
      </c>
      <c r="BA17" s="26">
        <f t="shared" si="23"/>
        <v>3.7741792479306646E-2</v>
      </c>
      <c r="BB17" s="26">
        <f t="shared" si="24"/>
        <v>1.989559459295074E-2</v>
      </c>
      <c r="BC17" s="26">
        <f t="shared" si="25"/>
        <v>0.94386911980070121</v>
      </c>
      <c r="BD17" s="26">
        <f t="shared" si="26"/>
        <v>2.7031760799581172E-3</v>
      </c>
      <c r="BE17" s="26">
        <f t="shared" si="27"/>
        <v>9.5585151590942246E-4</v>
      </c>
      <c r="BF17" s="26">
        <f t="shared" si="28"/>
        <v>4.439391304313675E-4</v>
      </c>
      <c r="BG17" s="26">
        <f t="shared" si="29"/>
        <v>0</v>
      </c>
      <c r="BH17" s="26">
        <f t="shared" si="30"/>
        <v>0</v>
      </c>
      <c r="BI17" s="26">
        <f t="shared" si="31"/>
        <v>0</v>
      </c>
      <c r="BJ17" s="25">
        <f t="shared" si="32"/>
        <v>3.0000000000000004</v>
      </c>
      <c r="BK17" s="24">
        <f t="shared" si="33"/>
        <v>3.9999999999999991</v>
      </c>
      <c r="BL17" s="26"/>
      <c r="BM17" s="51">
        <f t="shared" si="34"/>
        <v>0.47342323477678189</v>
      </c>
      <c r="BN17" s="1"/>
      <c r="BO17" s="26">
        <f t="shared" si="35"/>
        <v>0.56308255659121176</v>
      </c>
      <c r="BP17" s="26">
        <f t="shared" si="36"/>
        <v>1.2518778167250878E-4</v>
      </c>
      <c r="BQ17" s="26">
        <f t="shared" si="37"/>
        <v>5.2961945861122013E-4</v>
      </c>
      <c r="BR17" s="26">
        <f t="shared" si="38"/>
        <v>0</v>
      </c>
      <c r="BS17" s="26">
        <f t="shared" si="39"/>
        <v>0.60250521920668065</v>
      </c>
      <c r="BT17" s="26">
        <f t="shared" si="40"/>
        <v>1.1418099802650128E-2</v>
      </c>
      <c r="BU17" s="26">
        <f t="shared" si="41"/>
        <v>0.5416873449131514</v>
      </c>
      <c r="BV17" s="26">
        <f t="shared" si="42"/>
        <v>1.5513552068473608E-3</v>
      </c>
      <c r="BW17" s="26">
        <f t="shared" si="43"/>
        <v>5.4856405292029692E-4</v>
      </c>
      <c r="BX17" s="26">
        <f t="shared" si="44"/>
        <v>2.5477707006369424E-4</v>
      </c>
      <c r="BY17" s="26">
        <f t="shared" si="45"/>
        <v>0</v>
      </c>
      <c r="BZ17" s="26">
        <f t="shared" si="46"/>
        <v>0</v>
      </c>
      <c r="CA17" s="26">
        <f t="shared" si="47"/>
        <v>0</v>
      </c>
      <c r="CB17" s="26">
        <f t="shared" si="48"/>
        <v>1.7217027240838088</v>
      </c>
      <c r="CC17" s="26">
        <f t="shared" si="49"/>
        <v>2.2847736076245071</v>
      </c>
      <c r="CD17" s="26">
        <f t="shared" si="50"/>
        <v>1.7424610869431176</v>
      </c>
      <c r="CE17" s="26">
        <f t="shared" si="51"/>
        <v>3.9811291037603467</v>
      </c>
      <c r="CF17" s="1"/>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46"/>
      <c r="DQ17" s="46"/>
      <c r="DR17" s="46"/>
      <c r="DS17" s="46"/>
      <c r="DT17" s="46"/>
      <c r="DU17" s="46"/>
      <c r="DV17" s="46"/>
      <c r="DW17" s="46"/>
    </row>
    <row r="18" spans="1:127" x14ac:dyDescent="0.25">
      <c r="A18" s="5" t="s">
        <v>188</v>
      </c>
      <c r="B18" s="1">
        <v>392</v>
      </c>
      <c r="C18" s="98" t="s">
        <v>98</v>
      </c>
      <c r="D18" s="98" t="s">
        <v>106</v>
      </c>
      <c r="E18" s="1">
        <v>62</v>
      </c>
      <c r="F18" s="1" t="s">
        <v>184</v>
      </c>
      <c r="G18" s="22">
        <v>35.81</v>
      </c>
      <c r="H18" s="22">
        <v>0</v>
      </c>
      <c r="I18" s="22">
        <v>2.1000000000000001E-2</v>
      </c>
      <c r="J18" s="22">
        <v>0</v>
      </c>
      <c r="K18" s="22">
        <v>32.43</v>
      </c>
      <c r="L18" s="22">
        <v>0.56799999999999995</v>
      </c>
      <c r="M18" s="22">
        <v>31.05</v>
      </c>
      <c r="N18" s="22">
        <v>0.193</v>
      </c>
      <c r="O18" s="22">
        <v>1.7999999999999999E-2</v>
      </c>
      <c r="P18" s="22">
        <v>0</v>
      </c>
      <c r="Q18" s="22">
        <v>0</v>
      </c>
      <c r="R18" s="22"/>
      <c r="S18" s="22"/>
      <c r="T18" s="22">
        <f t="shared" si="0"/>
        <v>100.08999999999999</v>
      </c>
      <c r="U18" s="3"/>
      <c r="V18" s="22">
        <f t="shared" si="1"/>
        <v>30.396854610498515</v>
      </c>
      <c r="W18" s="22">
        <f t="shared" si="2"/>
        <v>2.2594344713530004</v>
      </c>
      <c r="X18" s="22">
        <f t="shared" si="3"/>
        <v>100.31628908185152</v>
      </c>
      <c r="Y18" s="1"/>
      <c r="Z18" s="1"/>
      <c r="AA18" s="1"/>
      <c r="AB18" s="1" t="s">
        <v>185</v>
      </c>
      <c r="AC18" s="1"/>
      <c r="AD18" s="1">
        <v>4</v>
      </c>
      <c r="AE18" s="1">
        <v>3</v>
      </c>
      <c r="AF18" s="1"/>
      <c r="AG18" s="26">
        <f t="shared" si="4"/>
        <v>0.98264498775786779</v>
      </c>
      <c r="AH18" s="26">
        <f t="shared" si="5"/>
        <v>0</v>
      </c>
      <c r="AI18" s="26">
        <f t="shared" si="6"/>
        <v>6.7911247735084684E-4</v>
      </c>
      <c r="AJ18" s="26">
        <f t="shared" si="7"/>
        <v>0</v>
      </c>
      <c r="AK18" s="26">
        <f t="shared" si="8"/>
        <v>0.74411904915139115</v>
      </c>
      <c r="AL18" s="26">
        <f t="shared" si="9"/>
        <v>1.3200166153930635E-2</v>
      </c>
      <c r="AM18" s="26">
        <f t="shared" si="10"/>
        <v>1.2702195848522968</v>
      </c>
      <c r="AN18" s="26">
        <f t="shared" si="11"/>
        <v>5.6737676961498978E-3</v>
      </c>
      <c r="AO18" s="26">
        <f t="shared" si="12"/>
        <v>9.5757582894056615E-4</v>
      </c>
      <c r="AP18" s="26">
        <f t="shared" si="13"/>
        <v>0</v>
      </c>
      <c r="AQ18" s="26">
        <f t="shared" si="14"/>
        <v>0</v>
      </c>
      <c r="AR18" s="26">
        <f t="shared" si="15"/>
        <v>0</v>
      </c>
      <c r="AS18" s="26">
        <f t="shared" si="16"/>
        <v>0</v>
      </c>
      <c r="AT18" s="26">
        <f t="shared" si="17"/>
        <v>3.0174942439179278</v>
      </c>
      <c r="AU18" s="47"/>
      <c r="AV18" s="26">
        <f t="shared" si="18"/>
        <v>0.97694799889526618</v>
      </c>
      <c r="AW18" s="26">
        <f t="shared" si="19"/>
        <v>0</v>
      </c>
      <c r="AX18" s="26">
        <f t="shared" si="20"/>
        <v>6.751752505109183E-4</v>
      </c>
      <c r="AY18" s="26">
        <f t="shared" si="21"/>
        <v>0</v>
      </c>
      <c r="AZ18" s="26">
        <f t="shared" si="22"/>
        <v>0.69342408865508465</v>
      </c>
      <c r="BA18" s="26">
        <f t="shared" si="23"/>
        <v>4.6380851140151336E-2</v>
      </c>
      <c r="BB18" s="26">
        <f t="shared" si="24"/>
        <v>1.3123636786254295E-2</v>
      </c>
      <c r="BC18" s="26">
        <f t="shared" si="25"/>
        <v>1.2628553516672545</v>
      </c>
      <c r="BD18" s="26">
        <f t="shared" si="26"/>
        <v>5.6408734242850318E-3</v>
      </c>
      <c r="BE18" s="26">
        <f t="shared" si="27"/>
        <v>9.5202418119337876E-4</v>
      </c>
      <c r="BF18" s="26">
        <f t="shared" si="28"/>
        <v>0</v>
      </c>
      <c r="BG18" s="26">
        <f t="shared" si="29"/>
        <v>0</v>
      </c>
      <c r="BH18" s="26">
        <f t="shared" si="30"/>
        <v>0</v>
      </c>
      <c r="BI18" s="26">
        <f t="shared" si="31"/>
        <v>0</v>
      </c>
      <c r="BJ18" s="25">
        <f t="shared" si="32"/>
        <v>3</v>
      </c>
      <c r="BK18" s="24">
        <f t="shared" si="33"/>
        <v>4.0000000000000009</v>
      </c>
      <c r="BL18" s="26"/>
      <c r="BM18" s="51">
        <f t="shared" si="34"/>
        <v>0.63058890069919149</v>
      </c>
      <c r="BN18" s="1"/>
      <c r="BO18" s="26">
        <f t="shared" si="35"/>
        <v>0.59603861517976042</v>
      </c>
      <c r="BP18" s="26">
        <f t="shared" si="36"/>
        <v>0</v>
      </c>
      <c r="BQ18" s="26">
        <f t="shared" si="37"/>
        <v>4.1192624558650454E-4</v>
      </c>
      <c r="BR18" s="26">
        <f t="shared" si="38"/>
        <v>0</v>
      </c>
      <c r="BS18" s="26">
        <f t="shared" si="39"/>
        <v>0.45135699373695204</v>
      </c>
      <c r="BT18" s="26">
        <f t="shared" si="40"/>
        <v>8.0067662813645326E-3</v>
      </c>
      <c r="BU18" s="26">
        <f t="shared" si="41"/>
        <v>0.77047146401985123</v>
      </c>
      <c r="BV18" s="26">
        <f t="shared" si="42"/>
        <v>3.4415121255349504E-3</v>
      </c>
      <c r="BW18" s="26">
        <f t="shared" si="43"/>
        <v>5.8083252662149076E-4</v>
      </c>
      <c r="BX18" s="26">
        <f t="shared" si="44"/>
        <v>0</v>
      </c>
      <c r="BY18" s="26">
        <f t="shared" si="45"/>
        <v>0</v>
      </c>
      <c r="BZ18" s="26">
        <f t="shared" si="46"/>
        <v>0</v>
      </c>
      <c r="CA18" s="26">
        <f t="shared" si="47"/>
        <v>0</v>
      </c>
      <c r="CB18" s="26">
        <f t="shared" si="48"/>
        <v>1.8303081101156711</v>
      </c>
      <c r="CC18" s="26">
        <f t="shared" si="49"/>
        <v>2.4262622721549136</v>
      </c>
      <c r="CD18" s="26">
        <f t="shared" si="50"/>
        <v>1.6390682986212672</v>
      </c>
      <c r="CE18" s="26">
        <f t="shared" si="51"/>
        <v>3.9768095744299243</v>
      </c>
      <c r="CF18" s="1"/>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46"/>
      <c r="DQ18" s="46"/>
      <c r="DR18" s="46"/>
      <c r="DS18" s="46"/>
      <c r="DT18" s="46"/>
      <c r="DU18" s="46"/>
      <c r="DV18" s="46"/>
      <c r="DW18" s="46"/>
    </row>
    <row r="19" spans="1:127" x14ac:dyDescent="0.25">
      <c r="A19" s="5" t="s">
        <v>188</v>
      </c>
      <c r="B19" s="1">
        <v>393</v>
      </c>
      <c r="C19" s="98" t="s">
        <v>98</v>
      </c>
      <c r="D19" s="98" t="s">
        <v>106</v>
      </c>
      <c r="E19" s="1">
        <v>63</v>
      </c>
      <c r="F19" s="1" t="s">
        <v>184</v>
      </c>
      <c r="G19" s="22">
        <v>35.659999999999997</v>
      </c>
      <c r="H19" s="22">
        <v>0.01</v>
      </c>
      <c r="I19" s="22">
        <v>2.1999999999999999E-2</v>
      </c>
      <c r="J19" s="22">
        <v>1.4999999999999999E-2</v>
      </c>
      <c r="K19" s="22">
        <v>32.35</v>
      </c>
      <c r="L19" s="22">
        <v>0.59799999999999998</v>
      </c>
      <c r="M19" s="22">
        <v>31.03</v>
      </c>
      <c r="N19" s="22">
        <v>0.23300000000000001</v>
      </c>
      <c r="O19" s="22">
        <v>2.1000000000000001E-2</v>
      </c>
      <c r="P19" s="22">
        <v>8.9999999999999993E-3</v>
      </c>
      <c r="Q19" s="22">
        <v>0</v>
      </c>
      <c r="R19" s="22"/>
      <c r="S19" s="22"/>
      <c r="T19" s="22">
        <f t="shared" si="0"/>
        <v>99.947999999999993</v>
      </c>
      <c r="U19" s="3"/>
      <c r="V19" s="22">
        <f t="shared" si="1"/>
        <v>30.083071982856474</v>
      </c>
      <c r="W19" s="22">
        <f t="shared" si="2"/>
        <v>2.5192371054516056</v>
      </c>
      <c r="X19" s="22">
        <f t="shared" si="3"/>
        <v>100.20030908830807</v>
      </c>
      <c r="Y19" s="1"/>
      <c r="Z19" s="1"/>
      <c r="AA19" s="1"/>
      <c r="AB19" s="1" t="s">
        <v>185</v>
      </c>
      <c r="AC19" s="1"/>
      <c r="AD19" s="1">
        <v>4</v>
      </c>
      <c r="AE19" s="1">
        <v>3</v>
      </c>
      <c r="AF19" s="1"/>
      <c r="AG19" s="26">
        <f t="shared" si="4"/>
        <v>0.98044719294285243</v>
      </c>
      <c r="AH19" s="26">
        <f t="shared" si="5"/>
        <v>2.0679247752730675E-4</v>
      </c>
      <c r="AI19" s="26">
        <f t="shared" si="6"/>
        <v>7.1284587741739464E-4</v>
      </c>
      <c r="AJ19" s="26">
        <f t="shared" si="7"/>
        <v>3.2604611694613976E-4</v>
      </c>
      <c r="AK19" s="26">
        <f t="shared" si="8"/>
        <v>0.74373857124969922</v>
      </c>
      <c r="AL19" s="26">
        <f t="shared" si="9"/>
        <v>1.3924602053452204E-2</v>
      </c>
      <c r="AM19" s="26">
        <f t="shared" si="10"/>
        <v>1.2718899100358947</v>
      </c>
      <c r="AN19" s="26">
        <f t="shared" si="11"/>
        <v>6.8631060332334784E-3</v>
      </c>
      <c r="AO19" s="26">
        <f t="shared" si="12"/>
        <v>1.1193618754517798E-3</v>
      </c>
      <c r="AP19" s="26">
        <f t="shared" si="13"/>
        <v>3.1564171537989667E-4</v>
      </c>
      <c r="AQ19" s="26">
        <f t="shared" si="14"/>
        <v>0</v>
      </c>
      <c r="AR19" s="26">
        <f t="shared" si="15"/>
        <v>0</v>
      </c>
      <c r="AS19" s="26">
        <f t="shared" si="16"/>
        <v>0</v>
      </c>
      <c r="AT19" s="26">
        <f t="shared" si="17"/>
        <v>3.0195440703778544</v>
      </c>
      <c r="AU19" s="47"/>
      <c r="AV19" s="26">
        <f t="shared" si="18"/>
        <v>0.97410122530865684</v>
      </c>
      <c r="AW19" s="26">
        <f t="shared" si="19"/>
        <v>2.0545400832791574E-4</v>
      </c>
      <c r="AX19" s="26">
        <f t="shared" si="20"/>
        <v>7.0823196562406034E-4</v>
      </c>
      <c r="AY19" s="26">
        <f t="shared" si="21"/>
        <v>3.2393577574644199E-4</v>
      </c>
      <c r="AZ19" s="26">
        <f t="shared" si="22"/>
        <v>0.68714451664440235</v>
      </c>
      <c r="BA19" s="26">
        <f t="shared" si="23"/>
        <v>5.1780189120826492E-2</v>
      </c>
      <c r="BB19" s="26">
        <f t="shared" si="24"/>
        <v>1.3834474737482205E-2</v>
      </c>
      <c r="BC19" s="26">
        <f t="shared" si="25"/>
        <v>1.2636575725255785</v>
      </c>
      <c r="BD19" s="26">
        <f t="shared" si="26"/>
        <v>6.8186844171888392E-3</v>
      </c>
      <c r="BE19" s="26">
        <f t="shared" si="27"/>
        <v>1.1121167792510877E-3</v>
      </c>
      <c r="BF19" s="26">
        <f t="shared" si="28"/>
        <v>3.1359871691529753E-4</v>
      </c>
      <c r="BG19" s="26">
        <f t="shared" si="29"/>
        <v>0</v>
      </c>
      <c r="BH19" s="26">
        <f t="shared" si="30"/>
        <v>0</v>
      </c>
      <c r="BI19" s="26">
        <f t="shared" si="31"/>
        <v>0</v>
      </c>
      <c r="BJ19" s="25">
        <f t="shared" si="32"/>
        <v>3</v>
      </c>
      <c r="BK19" s="24">
        <f t="shared" si="33"/>
        <v>4</v>
      </c>
      <c r="BL19" s="26"/>
      <c r="BM19" s="51">
        <f t="shared" si="34"/>
        <v>0.6310140593095146</v>
      </c>
      <c r="BN19" s="1"/>
      <c r="BO19" s="26">
        <f t="shared" si="35"/>
        <v>0.59354194407456717</v>
      </c>
      <c r="BP19" s="26">
        <f t="shared" si="36"/>
        <v>1.2518778167250878E-4</v>
      </c>
      <c r="BQ19" s="26">
        <f t="shared" si="37"/>
        <v>4.3154178109062379E-4</v>
      </c>
      <c r="BR19" s="26">
        <f t="shared" si="38"/>
        <v>1.9738140667149154E-4</v>
      </c>
      <c r="BS19" s="26">
        <f t="shared" si="39"/>
        <v>0.45024356297842733</v>
      </c>
      <c r="BT19" s="26">
        <f t="shared" si="40"/>
        <v>8.4296588666478711E-3</v>
      </c>
      <c r="BU19" s="26">
        <f t="shared" si="41"/>
        <v>0.76997518610421845</v>
      </c>
      <c r="BV19" s="26">
        <f t="shared" si="42"/>
        <v>4.1547788873038524E-3</v>
      </c>
      <c r="BW19" s="26">
        <f t="shared" si="43"/>
        <v>6.7763794772507271E-4</v>
      </c>
      <c r="BX19" s="26">
        <f t="shared" si="44"/>
        <v>1.9108280254777067E-4</v>
      </c>
      <c r="BY19" s="26">
        <f t="shared" si="45"/>
        <v>0</v>
      </c>
      <c r="BZ19" s="26">
        <f t="shared" si="46"/>
        <v>0</v>
      </c>
      <c r="CA19" s="26">
        <f t="shared" si="47"/>
        <v>0</v>
      </c>
      <c r="CB19" s="26">
        <f t="shared" si="48"/>
        <v>1.827967962630872</v>
      </c>
      <c r="CC19" s="26">
        <f t="shared" si="49"/>
        <v>2.4215151957058563</v>
      </c>
      <c r="CD19" s="26">
        <f t="shared" si="50"/>
        <v>1.6411666185233906</v>
      </c>
      <c r="CE19" s="26">
        <f t="shared" si="51"/>
        <v>3.9741099054395868</v>
      </c>
      <c r="CF19" s="1"/>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46"/>
      <c r="DQ19" s="46"/>
      <c r="DR19" s="46"/>
      <c r="DS19" s="46"/>
      <c r="DT19" s="46"/>
      <c r="DU19" s="46"/>
      <c r="DV19" s="46"/>
      <c r="DW19" s="46"/>
    </row>
    <row r="20" spans="1:127" x14ac:dyDescent="0.25">
      <c r="A20" s="5" t="s">
        <v>188</v>
      </c>
      <c r="B20" s="1">
        <v>394</v>
      </c>
      <c r="C20" s="98" t="s">
        <v>98</v>
      </c>
      <c r="D20" s="98" t="s">
        <v>106</v>
      </c>
      <c r="E20" s="1">
        <v>64</v>
      </c>
      <c r="F20" s="1" t="s">
        <v>184</v>
      </c>
      <c r="G20" s="22">
        <v>36.08</v>
      </c>
      <c r="H20" s="22">
        <v>4.8000000000000001E-2</v>
      </c>
      <c r="I20" s="22">
        <v>1.4E-2</v>
      </c>
      <c r="J20" s="22">
        <v>0</v>
      </c>
      <c r="K20" s="22">
        <v>32.01</v>
      </c>
      <c r="L20" s="22">
        <v>0.499</v>
      </c>
      <c r="M20" s="22">
        <v>30.93</v>
      </c>
      <c r="N20" s="22">
        <v>0.22700000000000001</v>
      </c>
      <c r="O20" s="22">
        <v>0</v>
      </c>
      <c r="P20" s="22">
        <v>0</v>
      </c>
      <c r="Q20" s="22">
        <v>0</v>
      </c>
      <c r="R20" s="22"/>
      <c r="S20" s="22"/>
      <c r="T20" s="22">
        <f t="shared" si="0"/>
        <v>99.807999999999993</v>
      </c>
      <c r="U20" s="3"/>
      <c r="V20" s="22">
        <f t="shared" si="1"/>
        <v>30.971392768806094</v>
      </c>
      <c r="W20" s="22">
        <f t="shared" si="2"/>
        <v>1.1542042160257862</v>
      </c>
      <c r="X20" s="22">
        <f t="shared" si="3"/>
        <v>99.923596984831875</v>
      </c>
      <c r="Y20" s="1"/>
      <c r="Z20" s="1"/>
      <c r="AA20" s="1"/>
      <c r="AB20" s="1" t="s">
        <v>185</v>
      </c>
      <c r="AC20" s="1"/>
      <c r="AD20" s="1">
        <v>4</v>
      </c>
      <c r="AE20" s="1">
        <v>3</v>
      </c>
      <c r="AF20" s="1"/>
      <c r="AG20" s="26">
        <f t="shared" si="4"/>
        <v>0.98984835702578533</v>
      </c>
      <c r="AH20" s="26">
        <f t="shared" si="5"/>
        <v>9.9045612693057067E-4</v>
      </c>
      <c r="AI20" s="26">
        <f t="shared" si="6"/>
        <v>4.5264764608220383E-4</v>
      </c>
      <c r="AJ20" s="26">
        <f t="shared" si="7"/>
        <v>0</v>
      </c>
      <c r="AK20" s="26">
        <f t="shared" si="8"/>
        <v>0.73432947975209928</v>
      </c>
      <c r="AL20" s="26">
        <f t="shared" si="9"/>
        <v>1.1594216965683378E-2</v>
      </c>
      <c r="AM20" s="26">
        <f t="shared" si="10"/>
        <v>1.2650477995845166</v>
      </c>
      <c r="AN20" s="26">
        <f t="shared" si="11"/>
        <v>6.6719059231460922E-3</v>
      </c>
      <c r="AO20" s="26">
        <f t="shared" si="12"/>
        <v>0</v>
      </c>
      <c r="AP20" s="26">
        <f t="shared" si="13"/>
        <v>0</v>
      </c>
      <c r="AQ20" s="26">
        <f t="shared" si="14"/>
        <v>0</v>
      </c>
      <c r="AR20" s="26">
        <f t="shared" si="15"/>
        <v>0</v>
      </c>
      <c r="AS20" s="26">
        <f t="shared" si="16"/>
        <v>0</v>
      </c>
      <c r="AT20" s="26">
        <f t="shared" si="17"/>
        <v>3.0089348630242432</v>
      </c>
      <c r="AU20" s="47"/>
      <c r="AV20" s="26">
        <f t="shared" si="18"/>
        <v>0.98690905794241846</v>
      </c>
      <c r="AW20" s="26">
        <f t="shared" si="19"/>
        <v>9.8751502310861811E-4</v>
      </c>
      <c r="AX20" s="26">
        <f t="shared" si="20"/>
        <v>4.5130353432834363E-4</v>
      </c>
      <c r="AY20" s="26">
        <f t="shared" si="21"/>
        <v>0</v>
      </c>
      <c r="AZ20" s="26">
        <f t="shared" si="22"/>
        <v>0.70839337908431799</v>
      </c>
      <c r="BA20" s="26">
        <f t="shared" si="23"/>
        <v>2.375555053461742E-2</v>
      </c>
      <c r="BB20" s="26">
        <f t="shared" si="24"/>
        <v>1.1559788589803676E-2</v>
      </c>
      <c r="BC20" s="26">
        <f t="shared" si="25"/>
        <v>1.2612913112180495</v>
      </c>
      <c r="BD20" s="26">
        <f t="shared" si="26"/>
        <v>6.6520940733561526E-3</v>
      </c>
      <c r="BE20" s="26">
        <f t="shared" si="27"/>
        <v>0</v>
      </c>
      <c r="BF20" s="26">
        <f t="shared" si="28"/>
        <v>0</v>
      </c>
      <c r="BG20" s="26">
        <f t="shared" si="29"/>
        <v>0</v>
      </c>
      <c r="BH20" s="26">
        <f t="shared" si="30"/>
        <v>0</v>
      </c>
      <c r="BI20" s="26">
        <f t="shared" si="31"/>
        <v>0</v>
      </c>
      <c r="BJ20" s="25">
        <f t="shared" si="32"/>
        <v>3</v>
      </c>
      <c r="BK20" s="24">
        <f t="shared" si="33"/>
        <v>4.0000000000000009</v>
      </c>
      <c r="BL20" s="26"/>
      <c r="BM20" s="51">
        <f t="shared" si="34"/>
        <v>0.63272090398279091</v>
      </c>
      <c r="BN20" s="1"/>
      <c r="BO20" s="26">
        <f t="shared" si="35"/>
        <v>0.60053262316910783</v>
      </c>
      <c r="BP20" s="26">
        <f t="shared" si="36"/>
        <v>6.0090135202804206E-4</v>
      </c>
      <c r="BQ20" s="26">
        <f t="shared" si="37"/>
        <v>2.7461749705766971E-4</v>
      </c>
      <c r="BR20" s="26">
        <f t="shared" si="38"/>
        <v>0</v>
      </c>
      <c r="BS20" s="26">
        <f t="shared" si="39"/>
        <v>0.44551148225469728</v>
      </c>
      <c r="BT20" s="26">
        <f t="shared" si="40"/>
        <v>7.0341133352128564E-3</v>
      </c>
      <c r="BU20" s="26">
        <f t="shared" si="41"/>
        <v>0.76749379652605465</v>
      </c>
      <c r="BV20" s="26">
        <f t="shared" si="42"/>
        <v>4.0477888730385166E-3</v>
      </c>
      <c r="BW20" s="26">
        <f t="shared" si="43"/>
        <v>0</v>
      </c>
      <c r="BX20" s="26">
        <f t="shared" si="44"/>
        <v>0</v>
      </c>
      <c r="BY20" s="26">
        <f t="shared" si="45"/>
        <v>0</v>
      </c>
      <c r="BZ20" s="26">
        <f t="shared" si="46"/>
        <v>0</v>
      </c>
      <c r="CA20" s="26">
        <f t="shared" si="47"/>
        <v>0</v>
      </c>
      <c r="CB20" s="26">
        <f t="shared" si="48"/>
        <v>1.8254953230071969</v>
      </c>
      <c r="CC20" s="26">
        <f t="shared" si="49"/>
        <v>2.4267661562768614</v>
      </c>
      <c r="CD20" s="26">
        <f t="shared" si="50"/>
        <v>1.6433895842899253</v>
      </c>
      <c r="CE20" s="26">
        <f t="shared" si="51"/>
        <v>3.9881222247326913</v>
      </c>
      <c r="CF20" s="1"/>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46"/>
      <c r="DQ20" s="46"/>
      <c r="DR20" s="46"/>
      <c r="DS20" s="46"/>
      <c r="DT20" s="46"/>
      <c r="DU20" s="46"/>
      <c r="DV20" s="46"/>
      <c r="DW20" s="46"/>
    </row>
    <row r="21" spans="1:127" x14ac:dyDescent="0.25">
      <c r="A21" s="5" t="s">
        <v>188</v>
      </c>
      <c r="B21" s="1">
        <v>395</v>
      </c>
      <c r="C21" s="98" t="s">
        <v>98</v>
      </c>
      <c r="D21" s="98" t="s">
        <v>106</v>
      </c>
      <c r="E21" s="1">
        <v>65</v>
      </c>
      <c r="F21" s="1" t="s">
        <v>184</v>
      </c>
      <c r="G21" s="22">
        <v>35.520000000000003</v>
      </c>
      <c r="H21" s="22">
        <v>0</v>
      </c>
      <c r="I21" s="22">
        <v>1.7999999999999999E-2</v>
      </c>
      <c r="J21" s="22">
        <v>0</v>
      </c>
      <c r="K21" s="22">
        <v>32.83</v>
      </c>
      <c r="L21" s="22">
        <v>0.57399999999999995</v>
      </c>
      <c r="M21" s="22">
        <v>30.14</v>
      </c>
      <c r="N21" s="22">
        <v>0.182</v>
      </c>
      <c r="O21" s="22">
        <v>0.03</v>
      </c>
      <c r="P21" s="22">
        <v>0</v>
      </c>
      <c r="Q21" s="22">
        <v>0</v>
      </c>
      <c r="R21" s="22"/>
      <c r="S21" s="22"/>
      <c r="T21" s="22">
        <f t="shared" si="0"/>
        <v>99.293999999999997</v>
      </c>
      <c r="U21" s="3"/>
      <c r="V21" s="22">
        <f t="shared" si="1"/>
        <v>31.106949091945733</v>
      </c>
      <c r="W21" s="22">
        <f t="shared" si="2"/>
        <v>1.9148264741207055</v>
      </c>
      <c r="X21" s="22">
        <f t="shared" si="3"/>
        <v>99.485775566066437</v>
      </c>
      <c r="Y21" s="1"/>
      <c r="Z21" s="1"/>
      <c r="AA21" s="1"/>
      <c r="AB21" s="1" t="s">
        <v>185</v>
      </c>
      <c r="AC21" s="1"/>
      <c r="AD21" s="1">
        <v>4</v>
      </c>
      <c r="AE21" s="1">
        <v>3</v>
      </c>
      <c r="AF21" s="1"/>
      <c r="AG21" s="26">
        <f t="shared" si="4"/>
        <v>0.98552173325663794</v>
      </c>
      <c r="AH21" s="26">
        <f t="shared" si="5"/>
        <v>0</v>
      </c>
      <c r="AI21" s="26">
        <f t="shared" si="6"/>
        <v>5.8856691681613473E-4</v>
      </c>
      <c r="AJ21" s="26">
        <f t="shared" si="7"/>
        <v>0</v>
      </c>
      <c r="AK21" s="26">
        <f t="shared" si="8"/>
        <v>0.76167075913954807</v>
      </c>
      <c r="AL21" s="26">
        <f t="shared" si="9"/>
        <v>1.3487885830490931E-2</v>
      </c>
      <c r="AM21" s="26">
        <f t="shared" si="10"/>
        <v>1.2466983214465079</v>
      </c>
      <c r="AN21" s="26">
        <f t="shared" si="11"/>
        <v>5.4098665976285388E-3</v>
      </c>
      <c r="AO21" s="26">
        <f t="shared" si="12"/>
        <v>1.6137001946480883E-3</v>
      </c>
      <c r="AP21" s="26">
        <f t="shared" si="13"/>
        <v>0</v>
      </c>
      <c r="AQ21" s="26">
        <f t="shared" si="14"/>
        <v>0</v>
      </c>
      <c r="AR21" s="26">
        <f t="shared" si="15"/>
        <v>0</v>
      </c>
      <c r="AS21" s="26">
        <f t="shared" si="16"/>
        <v>0</v>
      </c>
      <c r="AT21" s="26">
        <f t="shared" si="17"/>
        <v>3.0149908333822775</v>
      </c>
      <c r="AU21" s="47"/>
      <c r="AV21" s="26">
        <f t="shared" si="18"/>
        <v>0.9806216214770973</v>
      </c>
      <c r="AW21" s="26">
        <f t="shared" si="19"/>
        <v>0</v>
      </c>
      <c r="AX21" s="26">
        <f t="shared" si="20"/>
        <v>5.8564050374495028E-4</v>
      </c>
      <c r="AY21" s="26">
        <f t="shared" si="21"/>
        <v>0</v>
      </c>
      <c r="AZ21" s="26">
        <f t="shared" si="22"/>
        <v>0.71810686334047269</v>
      </c>
      <c r="BA21" s="26">
        <f t="shared" si="23"/>
        <v>3.9776793259329146E-2</v>
      </c>
      <c r="BB21" s="26">
        <f t="shared" si="24"/>
        <v>1.3420822724717823E-2</v>
      </c>
      <c r="BC21" s="26">
        <f t="shared" si="25"/>
        <v>1.2404996137728916</v>
      </c>
      <c r="BD21" s="26">
        <f t="shared" si="26"/>
        <v>5.3829682044767369E-3</v>
      </c>
      <c r="BE21" s="26">
        <f t="shared" si="27"/>
        <v>1.6056767172699562E-3</v>
      </c>
      <c r="BF21" s="26">
        <f t="shared" si="28"/>
        <v>0</v>
      </c>
      <c r="BG21" s="26">
        <f t="shared" si="29"/>
        <v>0</v>
      </c>
      <c r="BH21" s="26">
        <f t="shared" si="30"/>
        <v>0</v>
      </c>
      <c r="BI21" s="26">
        <f t="shared" si="31"/>
        <v>0</v>
      </c>
      <c r="BJ21" s="25">
        <f t="shared" si="32"/>
        <v>3</v>
      </c>
      <c r="BK21" s="24">
        <f t="shared" si="33"/>
        <v>3.9999999999999991</v>
      </c>
      <c r="BL21" s="26"/>
      <c r="BM21" s="51">
        <f t="shared" si="34"/>
        <v>0.62075160063842083</v>
      </c>
      <c r="BN21" s="1"/>
      <c r="BO21" s="26">
        <f t="shared" si="35"/>
        <v>0.59121171770972047</v>
      </c>
      <c r="BP21" s="26">
        <f t="shared" si="36"/>
        <v>0</v>
      </c>
      <c r="BQ21" s="26">
        <f t="shared" si="37"/>
        <v>3.530796390741467E-4</v>
      </c>
      <c r="BR21" s="26">
        <f t="shared" si="38"/>
        <v>0</v>
      </c>
      <c r="BS21" s="26">
        <f t="shared" si="39"/>
        <v>0.4569241475295755</v>
      </c>
      <c r="BT21" s="26">
        <f t="shared" si="40"/>
        <v>8.091344798421201E-3</v>
      </c>
      <c r="BU21" s="26">
        <f t="shared" si="41"/>
        <v>0.7478908188585609</v>
      </c>
      <c r="BV21" s="26">
        <f t="shared" si="42"/>
        <v>3.2453637660485022E-3</v>
      </c>
      <c r="BW21" s="26">
        <f t="shared" si="43"/>
        <v>9.6805421103581804E-4</v>
      </c>
      <c r="BX21" s="26">
        <f t="shared" si="44"/>
        <v>0</v>
      </c>
      <c r="BY21" s="26">
        <f t="shared" si="45"/>
        <v>0</v>
      </c>
      <c r="BZ21" s="26">
        <f t="shared" si="46"/>
        <v>0</v>
      </c>
      <c r="CA21" s="26">
        <f t="shared" si="47"/>
        <v>0</v>
      </c>
      <c r="CB21" s="26">
        <f t="shared" si="48"/>
        <v>1.8086845265124365</v>
      </c>
      <c r="CC21" s="26">
        <f t="shared" si="49"/>
        <v>2.3995887569361765</v>
      </c>
      <c r="CD21" s="26">
        <f t="shared" si="50"/>
        <v>1.6586640489398647</v>
      </c>
      <c r="CE21" s="26">
        <f t="shared" si="51"/>
        <v>3.9801116033703354</v>
      </c>
      <c r="CF21" s="1"/>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46"/>
      <c r="DQ21" s="46"/>
      <c r="DR21" s="46"/>
      <c r="DS21" s="46"/>
      <c r="DT21" s="46"/>
      <c r="DU21" s="46"/>
      <c r="DV21" s="46"/>
      <c r="DW21" s="46"/>
    </row>
    <row r="22" spans="1:127" x14ac:dyDescent="0.25">
      <c r="A22" s="5" t="s">
        <v>93</v>
      </c>
      <c r="B22" s="1">
        <v>1095</v>
      </c>
      <c r="C22" s="98" t="s">
        <v>101</v>
      </c>
      <c r="D22" s="98" t="s">
        <v>107</v>
      </c>
      <c r="E22" s="1">
        <v>253</v>
      </c>
      <c r="F22" s="1" t="s">
        <v>184</v>
      </c>
      <c r="G22" s="22">
        <v>39.700000000000003</v>
      </c>
      <c r="H22" s="22">
        <v>0</v>
      </c>
      <c r="I22" s="22">
        <v>3.3000000000000002E-2</v>
      </c>
      <c r="J22" s="22">
        <v>0</v>
      </c>
      <c r="K22" s="22">
        <v>18.239999999999998</v>
      </c>
      <c r="L22" s="22">
        <v>0.29099999999999998</v>
      </c>
      <c r="M22" s="22">
        <v>42.39</v>
      </c>
      <c r="N22" s="22">
        <v>0.19800000000000001</v>
      </c>
      <c r="O22" s="22">
        <v>2.8000000000000001E-2</v>
      </c>
      <c r="P22" s="22">
        <v>1.4999999999999999E-2</v>
      </c>
      <c r="Q22" s="22">
        <v>0</v>
      </c>
      <c r="R22" s="22"/>
      <c r="S22" s="22"/>
      <c r="T22" s="22">
        <f t="shared" si="0"/>
        <v>100.895</v>
      </c>
      <c r="U22" s="3"/>
      <c r="V22" s="22">
        <f t="shared" si="1"/>
        <v>18.239999999999998</v>
      </c>
      <c r="W22" s="22">
        <f t="shared" si="2"/>
        <v>0</v>
      </c>
      <c r="X22" s="22">
        <f t="shared" si="3"/>
        <v>100.895</v>
      </c>
      <c r="Y22" s="1"/>
      <c r="Z22" s="1"/>
      <c r="AA22" s="1"/>
      <c r="AB22" s="1" t="s">
        <v>185</v>
      </c>
      <c r="AC22" s="1"/>
      <c r="AD22" s="1">
        <v>4</v>
      </c>
      <c r="AE22" s="1">
        <v>3</v>
      </c>
      <c r="AF22" s="1"/>
      <c r="AG22" s="26">
        <f t="shared" si="4"/>
        <v>1.0025159371347729</v>
      </c>
      <c r="AH22" s="26">
        <f t="shared" si="5"/>
        <v>0</v>
      </c>
      <c r="AI22" s="26">
        <f t="shared" si="6"/>
        <v>9.8207535211659348E-4</v>
      </c>
      <c r="AJ22" s="26">
        <f t="shared" si="7"/>
        <v>0</v>
      </c>
      <c r="AK22" s="26">
        <f t="shared" si="8"/>
        <v>0.38514899072752068</v>
      </c>
      <c r="AL22" s="26">
        <f t="shared" si="9"/>
        <v>6.2234686684492424E-3</v>
      </c>
      <c r="AM22" s="26">
        <f t="shared" si="10"/>
        <v>1.5958389950400917</v>
      </c>
      <c r="AN22" s="26">
        <f t="shared" si="11"/>
        <v>5.3565836074433602E-3</v>
      </c>
      <c r="AO22" s="26">
        <f t="shared" si="12"/>
        <v>1.3707781010739637E-3</v>
      </c>
      <c r="AP22" s="26">
        <f t="shared" si="13"/>
        <v>4.8317121647272664E-4</v>
      </c>
      <c r="AQ22" s="26">
        <f t="shared" si="14"/>
        <v>0</v>
      </c>
      <c r="AR22" s="26">
        <f t="shared" si="15"/>
        <v>0</v>
      </c>
      <c r="AS22" s="26">
        <f t="shared" si="16"/>
        <v>0</v>
      </c>
      <c r="AT22" s="26">
        <f t="shared" si="17"/>
        <v>2.9979199998479409</v>
      </c>
      <c r="AU22" s="47"/>
      <c r="AV22" s="26">
        <f t="shared" si="18"/>
        <v>1.0032114971569841</v>
      </c>
      <c r="AW22" s="26">
        <f t="shared" si="19"/>
        <v>0</v>
      </c>
      <c r="AX22" s="26">
        <f t="shared" si="20"/>
        <v>9.8275673016598756E-4</v>
      </c>
      <c r="AY22" s="26">
        <f t="shared" si="21"/>
        <v>0</v>
      </c>
      <c r="AZ22" s="26">
        <f t="shared" si="22"/>
        <v>0.38541621265449638</v>
      </c>
      <c r="BA22" s="26">
        <f t="shared" si="23"/>
        <v>0</v>
      </c>
      <c r="BB22" s="26">
        <f t="shared" si="24"/>
        <v>6.2277866008081323E-3</v>
      </c>
      <c r="BC22" s="26">
        <f t="shared" si="25"/>
        <v>1.5969462111607731</v>
      </c>
      <c r="BD22" s="26">
        <f t="shared" si="26"/>
        <v>5.3603000824388779E-3</v>
      </c>
      <c r="BE22" s="26">
        <f t="shared" si="27"/>
        <v>1.3717291666990694E-3</v>
      </c>
      <c r="BF22" s="26">
        <f t="shared" si="28"/>
        <v>4.8350644763426015E-4</v>
      </c>
      <c r="BG22" s="26">
        <f t="shared" si="29"/>
        <v>0</v>
      </c>
      <c r="BH22" s="26">
        <f t="shared" si="30"/>
        <v>0</v>
      </c>
      <c r="BI22" s="26">
        <f t="shared" si="31"/>
        <v>0</v>
      </c>
      <c r="BJ22" s="25">
        <f t="shared" si="32"/>
        <v>2.9999999999999996</v>
      </c>
      <c r="BK22" s="24">
        <f t="shared" si="33"/>
        <v>4.0027752577149007</v>
      </c>
      <c r="BL22" s="26"/>
      <c r="BM22" s="51">
        <f t="shared" si="34"/>
        <v>0.80557732126867021</v>
      </c>
      <c r="BN22" s="1"/>
      <c r="BO22" s="26">
        <f t="shared" si="35"/>
        <v>0.66078561917443412</v>
      </c>
      <c r="BP22" s="26">
        <f t="shared" si="36"/>
        <v>0</v>
      </c>
      <c r="BQ22" s="26">
        <f t="shared" si="37"/>
        <v>6.4731267163593571E-4</v>
      </c>
      <c r="BR22" s="26">
        <f t="shared" si="38"/>
        <v>0</v>
      </c>
      <c r="BS22" s="26">
        <f t="shared" si="39"/>
        <v>0.25386221294363259</v>
      </c>
      <c r="BT22" s="26">
        <f t="shared" si="40"/>
        <v>4.1020580772483791E-3</v>
      </c>
      <c r="BU22" s="26">
        <f t="shared" si="41"/>
        <v>1.051861042183623</v>
      </c>
      <c r="BV22" s="26">
        <f t="shared" si="42"/>
        <v>3.5306704707560631E-3</v>
      </c>
      <c r="BW22" s="26">
        <f t="shared" si="43"/>
        <v>9.0351726363343025E-4</v>
      </c>
      <c r="BX22" s="26">
        <f t="shared" si="44"/>
        <v>3.1847133757961782E-4</v>
      </c>
      <c r="BY22" s="26">
        <f t="shared" si="45"/>
        <v>0</v>
      </c>
      <c r="BZ22" s="26">
        <f t="shared" si="46"/>
        <v>0</v>
      </c>
      <c r="CA22" s="26">
        <f t="shared" si="47"/>
        <v>0</v>
      </c>
      <c r="CB22" s="26">
        <f t="shared" si="48"/>
        <v>1.9760109041225431</v>
      </c>
      <c r="CC22" s="26">
        <f t="shared" si="49"/>
        <v>2.6365091853321889</v>
      </c>
      <c r="CD22" s="26">
        <f t="shared" si="50"/>
        <v>1.5182102455715769</v>
      </c>
      <c r="CE22" s="26">
        <f t="shared" si="51"/>
        <v>4.0027752577149007</v>
      </c>
      <c r="CF22" s="1"/>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46"/>
      <c r="DQ22" s="46"/>
      <c r="DR22" s="46"/>
      <c r="DS22" s="46"/>
      <c r="DT22" s="46"/>
      <c r="DU22" s="46"/>
      <c r="DV22" s="46"/>
      <c r="DW22" s="46"/>
    </row>
    <row r="23" spans="1:127" x14ac:dyDescent="0.25">
      <c r="A23" s="5" t="s">
        <v>93</v>
      </c>
      <c r="B23" s="1">
        <v>1096</v>
      </c>
      <c r="C23" s="98" t="s">
        <v>101</v>
      </c>
      <c r="D23" s="98" t="s">
        <v>107</v>
      </c>
      <c r="E23" s="1">
        <v>254</v>
      </c>
      <c r="F23" s="1" t="s">
        <v>184</v>
      </c>
      <c r="G23" s="22">
        <v>39.57</v>
      </c>
      <c r="H23" s="22">
        <v>3.6999999999999998E-2</v>
      </c>
      <c r="I23" s="22">
        <v>2.7E-2</v>
      </c>
      <c r="J23" s="22">
        <v>0</v>
      </c>
      <c r="K23" s="22">
        <v>15.74</v>
      </c>
      <c r="L23" s="22">
        <v>0.25600000000000001</v>
      </c>
      <c r="M23" s="22">
        <v>43.11</v>
      </c>
      <c r="N23" s="22">
        <v>0.186</v>
      </c>
      <c r="O23" s="22">
        <v>0</v>
      </c>
      <c r="P23" s="22">
        <v>2.5000000000000001E-2</v>
      </c>
      <c r="Q23" s="22">
        <v>0</v>
      </c>
      <c r="R23" s="22"/>
      <c r="S23" s="22"/>
      <c r="T23" s="22">
        <f t="shared" si="0"/>
        <v>98.951000000000022</v>
      </c>
      <c r="U23" s="3"/>
      <c r="V23" s="22">
        <f t="shared" si="1"/>
        <v>15.74</v>
      </c>
      <c r="W23" s="22">
        <f t="shared" si="2"/>
        <v>0</v>
      </c>
      <c r="X23" s="22">
        <f t="shared" si="3"/>
        <v>98.950999999999993</v>
      </c>
      <c r="Y23" s="1"/>
      <c r="Z23" s="1"/>
      <c r="AA23" s="1"/>
      <c r="AB23" s="1" t="s">
        <v>185</v>
      </c>
      <c r="AC23" s="1"/>
      <c r="AD23" s="1">
        <v>4</v>
      </c>
      <c r="AE23" s="1">
        <v>3</v>
      </c>
      <c r="AF23" s="1"/>
      <c r="AG23" s="26">
        <f t="shared" si="4"/>
        <v>1.0074714783256726</v>
      </c>
      <c r="AH23" s="26">
        <f t="shared" si="5"/>
        <v>7.0853335773778093E-4</v>
      </c>
      <c r="AI23" s="26">
        <f t="shared" si="6"/>
        <v>8.1014091622286244E-4</v>
      </c>
      <c r="AJ23" s="26">
        <f t="shared" si="7"/>
        <v>0</v>
      </c>
      <c r="AK23" s="26">
        <f t="shared" si="8"/>
        <v>0.33510012460543498</v>
      </c>
      <c r="AL23" s="26">
        <f t="shared" si="9"/>
        <v>5.5200805483583571E-3</v>
      </c>
      <c r="AM23" s="26">
        <f t="shared" si="10"/>
        <v>1.6363251689355576</v>
      </c>
      <c r="AN23" s="26">
        <f t="shared" si="11"/>
        <v>5.0734288365045458E-3</v>
      </c>
      <c r="AO23" s="26">
        <f t="shared" si="12"/>
        <v>0</v>
      </c>
      <c r="AP23" s="26">
        <f t="shared" si="13"/>
        <v>8.1192466597942764E-4</v>
      </c>
      <c r="AQ23" s="26">
        <f t="shared" si="14"/>
        <v>0</v>
      </c>
      <c r="AR23" s="26">
        <f t="shared" si="15"/>
        <v>0</v>
      </c>
      <c r="AS23" s="26">
        <f t="shared" si="16"/>
        <v>0</v>
      </c>
      <c r="AT23" s="26">
        <f t="shared" si="17"/>
        <v>2.9918208801914683</v>
      </c>
      <c r="AU23" s="47"/>
      <c r="AV23" s="26">
        <f t="shared" si="18"/>
        <v>1.0102257307541727</v>
      </c>
      <c r="AW23" s="26">
        <f t="shared" si="19"/>
        <v>7.1047036515010562E-4</v>
      </c>
      <c r="AX23" s="26">
        <f t="shared" si="20"/>
        <v>8.1235570109165333E-4</v>
      </c>
      <c r="AY23" s="26">
        <f t="shared" si="21"/>
        <v>0</v>
      </c>
      <c r="AZ23" s="26">
        <f t="shared" si="22"/>
        <v>0.33601623027377514</v>
      </c>
      <c r="BA23" s="26">
        <f t="shared" si="23"/>
        <v>0</v>
      </c>
      <c r="BB23" s="26">
        <f t="shared" si="24"/>
        <v>5.5351714919561843E-3</v>
      </c>
      <c r="BC23" s="26">
        <f t="shared" si="25"/>
        <v>1.640798598374817</v>
      </c>
      <c r="BD23" s="26">
        <f t="shared" si="26"/>
        <v>5.0872987117262123E-3</v>
      </c>
      <c r="BE23" s="26">
        <f t="shared" si="27"/>
        <v>0</v>
      </c>
      <c r="BF23" s="26">
        <f t="shared" si="28"/>
        <v>8.1414432731093187E-4</v>
      </c>
      <c r="BG23" s="26">
        <f t="shared" si="29"/>
        <v>0</v>
      </c>
      <c r="BH23" s="26">
        <f t="shared" si="30"/>
        <v>0</v>
      </c>
      <c r="BI23" s="26">
        <f t="shared" si="31"/>
        <v>0</v>
      </c>
      <c r="BJ23" s="25">
        <f t="shared" si="32"/>
        <v>3</v>
      </c>
      <c r="BK23" s="24">
        <f t="shared" si="33"/>
        <v>4.0109353068062132</v>
      </c>
      <c r="BL23" s="26"/>
      <c r="BM23" s="51">
        <f t="shared" si="34"/>
        <v>0.83002139330192826</v>
      </c>
      <c r="BN23" s="1"/>
      <c r="BO23" s="26">
        <f t="shared" si="35"/>
        <v>0.65862183754993342</v>
      </c>
      <c r="BP23" s="26">
        <f t="shared" si="36"/>
        <v>4.6319479218828242E-4</v>
      </c>
      <c r="BQ23" s="26">
        <f t="shared" si="37"/>
        <v>5.2961945861122013E-4</v>
      </c>
      <c r="BR23" s="26">
        <f t="shared" si="38"/>
        <v>0</v>
      </c>
      <c r="BS23" s="26">
        <f t="shared" si="39"/>
        <v>0.21906750173973558</v>
      </c>
      <c r="BT23" s="26">
        <f t="shared" si="40"/>
        <v>3.608683394417818E-3</v>
      </c>
      <c r="BU23" s="26">
        <f t="shared" si="41"/>
        <v>1.069727047146402</v>
      </c>
      <c r="BV23" s="26">
        <f t="shared" si="42"/>
        <v>3.3166904422253923E-3</v>
      </c>
      <c r="BW23" s="26">
        <f t="shared" si="43"/>
        <v>0</v>
      </c>
      <c r="BX23" s="26">
        <f t="shared" si="44"/>
        <v>5.3078556263269638E-4</v>
      </c>
      <c r="BY23" s="26">
        <f t="shared" si="45"/>
        <v>0</v>
      </c>
      <c r="BZ23" s="26">
        <f t="shared" si="46"/>
        <v>0</v>
      </c>
      <c r="CA23" s="26">
        <f t="shared" si="47"/>
        <v>0</v>
      </c>
      <c r="CB23" s="26">
        <f t="shared" si="48"/>
        <v>1.9558653600861464</v>
      </c>
      <c r="CC23" s="26">
        <f t="shared" si="49"/>
        <v>2.6149498093762573</v>
      </c>
      <c r="CD23" s="26">
        <f t="shared" si="50"/>
        <v>1.5338479126537956</v>
      </c>
      <c r="CE23" s="26">
        <f t="shared" si="51"/>
        <v>4.0109353068062132</v>
      </c>
      <c r="CF23" s="1"/>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46"/>
      <c r="DQ23" s="46"/>
      <c r="DR23" s="46"/>
      <c r="DS23" s="46"/>
      <c r="DT23" s="46"/>
      <c r="DU23" s="46"/>
      <c r="DV23" s="46"/>
      <c r="DW23" s="46"/>
    </row>
    <row r="24" spans="1:127" x14ac:dyDescent="0.25">
      <c r="A24" s="5" t="s">
        <v>93</v>
      </c>
      <c r="B24" s="1">
        <v>1097</v>
      </c>
      <c r="C24" s="98" t="s">
        <v>101</v>
      </c>
      <c r="D24" s="98" t="s">
        <v>107</v>
      </c>
      <c r="E24" s="1">
        <v>255</v>
      </c>
      <c r="F24" s="1" t="s">
        <v>184</v>
      </c>
      <c r="G24" s="22">
        <v>39.68</v>
      </c>
      <c r="H24" s="22">
        <v>0</v>
      </c>
      <c r="I24" s="22">
        <v>4.4999999999999998E-2</v>
      </c>
      <c r="J24" s="22">
        <v>0</v>
      </c>
      <c r="K24" s="22">
        <v>16.25</v>
      </c>
      <c r="L24" s="22">
        <v>0.27200000000000002</v>
      </c>
      <c r="M24" s="22">
        <v>43.78</v>
      </c>
      <c r="N24" s="22">
        <v>0.2</v>
      </c>
      <c r="O24" s="22">
        <v>0</v>
      </c>
      <c r="P24" s="22">
        <v>0</v>
      </c>
      <c r="Q24" s="22">
        <v>0</v>
      </c>
      <c r="R24" s="22"/>
      <c r="S24" s="22"/>
      <c r="T24" s="22">
        <f t="shared" si="0"/>
        <v>100.227</v>
      </c>
      <c r="U24" s="3"/>
      <c r="V24" s="22">
        <f t="shared" si="1"/>
        <v>16.25</v>
      </c>
      <c r="W24" s="22">
        <f t="shared" si="2"/>
        <v>0</v>
      </c>
      <c r="X24" s="22">
        <f t="shared" si="3"/>
        <v>100.227</v>
      </c>
      <c r="Y24" s="1"/>
      <c r="Z24" s="1"/>
      <c r="AA24" s="1"/>
      <c r="AB24" s="1" t="s">
        <v>185</v>
      </c>
      <c r="AC24" s="1"/>
      <c r="AD24" s="1">
        <v>4</v>
      </c>
      <c r="AE24" s="1">
        <v>3</v>
      </c>
      <c r="AF24" s="1"/>
      <c r="AG24" s="26">
        <f t="shared" si="4"/>
        <v>0.99987240331966609</v>
      </c>
      <c r="AH24" s="26">
        <f t="shared" si="5"/>
        <v>0</v>
      </c>
      <c r="AI24" s="26">
        <f t="shared" si="6"/>
        <v>1.3363355597304175E-3</v>
      </c>
      <c r="AJ24" s="26">
        <f t="shared" si="7"/>
        <v>0</v>
      </c>
      <c r="AK24" s="26">
        <f t="shared" si="8"/>
        <v>0.34239659354199992</v>
      </c>
      <c r="AL24" s="26">
        <f t="shared" si="9"/>
        <v>5.8047104655375185E-3</v>
      </c>
      <c r="AM24" s="26">
        <f t="shared" si="10"/>
        <v>1.6446502429769956</v>
      </c>
      <c r="AN24" s="26">
        <f t="shared" si="11"/>
        <v>5.3991430365396007E-3</v>
      </c>
      <c r="AO24" s="26">
        <f t="shared" si="12"/>
        <v>0</v>
      </c>
      <c r="AP24" s="26">
        <f t="shared" si="13"/>
        <v>0</v>
      </c>
      <c r="AQ24" s="26">
        <f t="shared" si="14"/>
        <v>0</v>
      </c>
      <c r="AR24" s="26">
        <f t="shared" si="15"/>
        <v>0</v>
      </c>
      <c r="AS24" s="26">
        <f t="shared" si="16"/>
        <v>0</v>
      </c>
      <c r="AT24" s="26">
        <f t="shared" si="17"/>
        <v>2.9994594289004688</v>
      </c>
      <c r="AU24" s="47"/>
      <c r="AV24" s="26">
        <f t="shared" si="18"/>
        <v>1.0000526031647599</v>
      </c>
      <c r="AW24" s="26">
        <f t="shared" si="19"/>
        <v>0</v>
      </c>
      <c r="AX24" s="26">
        <f t="shared" si="20"/>
        <v>1.3365763979214279E-3</v>
      </c>
      <c r="AY24" s="26">
        <f t="shared" si="21"/>
        <v>0</v>
      </c>
      <c r="AZ24" s="26">
        <f t="shared" si="22"/>
        <v>0.34245830122881277</v>
      </c>
      <c r="BA24" s="26">
        <f t="shared" si="23"/>
        <v>0</v>
      </c>
      <c r="BB24" s="26">
        <f t="shared" si="24"/>
        <v>5.8057566069483939E-3</v>
      </c>
      <c r="BC24" s="26">
        <f t="shared" si="25"/>
        <v>1.6449466465161211</v>
      </c>
      <c r="BD24" s="26">
        <f t="shared" si="26"/>
        <v>5.4001160854362336E-3</v>
      </c>
      <c r="BE24" s="26">
        <f t="shared" si="27"/>
        <v>0</v>
      </c>
      <c r="BF24" s="26">
        <f t="shared" si="28"/>
        <v>0</v>
      </c>
      <c r="BG24" s="26">
        <f t="shared" si="29"/>
        <v>0</v>
      </c>
      <c r="BH24" s="26">
        <f t="shared" si="30"/>
        <v>0</v>
      </c>
      <c r="BI24" s="26">
        <f t="shared" si="31"/>
        <v>0</v>
      </c>
      <c r="BJ24" s="25">
        <f t="shared" si="32"/>
        <v>3</v>
      </c>
      <c r="BK24" s="24">
        <f t="shared" si="33"/>
        <v>4.00072089136372</v>
      </c>
      <c r="BL24" s="26"/>
      <c r="BM24" s="51">
        <f t="shared" si="34"/>
        <v>0.82768569555117943</v>
      </c>
      <c r="BN24" s="1"/>
      <c r="BO24" s="26">
        <f t="shared" si="35"/>
        <v>0.66045272969374169</v>
      </c>
      <c r="BP24" s="26">
        <f t="shared" si="36"/>
        <v>0</v>
      </c>
      <c r="BQ24" s="26">
        <f t="shared" si="37"/>
        <v>8.8269909768536688E-4</v>
      </c>
      <c r="BR24" s="26">
        <f t="shared" si="38"/>
        <v>0</v>
      </c>
      <c r="BS24" s="26">
        <f t="shared" si="39"/>
        <v>0.22616562282533056</v>
      </c>
      <c r="BT24" s="26">
        <f t="shared" si="40"/>
        <v>3.8342261065689321E-3</v>
      </c>
      <c r="BU24" s="26">
        <f t="shared" si="41"/>
        <v>1.0863523573200993</v>
      </c>
      <c r="BV24" s="26">
        <f t="shared" si="42"/>
        <v>3.566333808844508E-3</v>
      </c>
      <c r="BW24" s="26">
        <f t="shared" si="43"/>
        <v>0</v>
      </c>
      <c r="BX24" s="26">
        <f t="shared" si="44"/>
        <v>0</v>
      </c>
      <c r="BY24" s="26">
        <f t="shared" si="45"/>
        <v>0</v>
      </c>
      <c r="BZ24" s="26">
        <f t="shared" si="46"/>
        <v>0</v>
      </c>
      <c r="CA24" s="26">
        <f t="shared" si="47"/>
        <v>0</v>
      </c>
      <c r="CB24" s="26">
        <f t="shared" si="48"/>
        <v>1.9812539688522703</v>
      </c>
      <c r="CC24" s="26">
        <f t="shared" si="49"/>
        <v>2.6421480480948545</v>
      </c>
      <c r="CD24" s="26">
        <f t="shared" si="50"/>
        <v>1.5141925503563198</v>
      </c>
      <c r="CE24" s="26">
        <f t="shared" si="51"/>
        <v>4.00072089136372</v>
      </c>
      <c r="CF24" s="1"/>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46"/>
      <c r="DQ24" s="46"/>
      <c r="DR24" s="46"/>
      <c r="DS24" s="46"/>
      <c r="DT24" s="46"/>
      <c r="DU24" s="46"/>
      <c r="DV24" s="46"/>
      <c r="DW24" s="46"/>
    </row>
    <row r="25" spans="1:127" x14ac:dyDescent="0.25">
      <c r="A25" s="5" t="s">
        <v>93</v>
      </c>
      <c r="B25" s="1">
        <v>1098</v>
      </c>
      <c r="C25" s="98" t="s">
        <v>101</v>
      </c>
      <c r="D25" s="98" t="s">
        <v>107</v>
      </c>
      <c r="E25" s="1">
        <v>256</v>
      </c>
      <c r="F25" s="1" t="s">
        <v>184</v>
      </c>
      <c r="G25" s="22">
        <v>38.43</v>
      </c>
      <c r="H25" s="22">
        <v>0</v>
      </c>
      <c r="I25" s="22">
        <v>3.6999999999999998E-2</v>
      </c>
      <c r="J25" s="22">
        <v>1.6E-2</v>
      </c>
      <c r="K25" s="22">
        <v>14.02</v>
      </c>
      <c r="L25" s="22">
        <v>0.27100000000000002</v>
      </c>
      <c r="M25" s="22">
        <v>42.34</v>
      </c>
      <c r="N25" s="22">
        <v>0.17599999999999999</v>
      </c>
      <c r="O25" s="22">
        <v>0</v>
      </c>
      <c r="P25" s="22">
        <v>0.01</v>
      </c>
      <c r="Q25" s="22">
        <v>0</v>
      </c>
      <c r="R25" s="22"/>
      <c r="S25" s="22"/>
      <c r="T25" s="22">
        <f t="shared" si="0"/>
        <v>95.300000000000011</v>
      </c>
      <c r="U25" s="3"/>
      <c r="V25" s="22">
        <f t="shared" si="1"/>
        <v>14.020000000000001</v>
      </c>
      <c r="W25" s="22">
        <f t="shared" si="2"/>
        <v>0</v>
      </c>
      <c r="X25" s="22">
        <f t="shared" si="3"/>
        <v>95.3</v>
      </c>
      <c r="Y25" s="1"/>
      <c r="Z25" s="1"/>
      <c r="AA25" s="1"/>
      <c r="AB25" s="1" t="s">
        <v>185</v>
      </c>
      <c r="AC25" s="1"/>
      <c r="AD25" s="1">
        <v>4</v>
      </c>
      <c r="AE25" s="1">
        <v>3</v>
      </c>
      <c r="AF25" s="1"/>
      <c r="AG25" s="26">
        <f t="shared" si="4"/>
        <v>1.0098977421664286</v>
      </c>
      <c r="AH25" s="26">
        <f t="shared" si="5"/>
        <v>0</v>
      </c>
      <c r="AI25" s="26">
        <f t="shared" si="6"/>
        <v>1.1458791934785381E-3</v>
      </c>
      <c r="AJ25" s="26">
        <f t="shared" si="7"/>
        <v>3.3240833430953813E-4</v>
      </c>
      <c r="AK25" s="26">
        <f t="shared" si="8"/>
        <v>0.3080762235118859</v>
      </c>
      <c r="AL25" s="26">
        <f t="shared" si="9"/>
        <v>6.0313571681581786E-3</v>
      </c>
      <c r="AM25" s="26">
        <f t="shared" si="10"/>
        <v>1.6587569225034602</v>
      </c>
      <c r="AN25" s="26">
        <f t="shared" si="11"/>
        <v>4.9549765517900657E-3</v>
      </c>
      <c r="AO25" s="26">
        <f t="shared" si="12"/>
        <v>0</v>
      </c>
      <c r="AP25" s="26">
        <f t="shared" si="13"/>
        <v>3.3520928033244898E-4</v>
      </c>
      <c r="AQ25" s="26">
        <f t="shared" si="14"/>
        <v>0</v>
      </c>
      <c r="AR25" s="26">
        <f t="shared" si="15"/>
        <v>0</v>
      </c>
      <c r="AS25" s="26">
        <f t="shared" si="16"/>
        <v>0</v>
      </c>
      <c r="AT25" s="26">
        <f t="shared" si="17"/>
        <v>2.9895307187098439</v>
      </c>
      <c r="AU25" s="47"/>
      <c r="AV25" s="26">
        <f t="shared" si="18"/>
        <v>1.0134343853829924</v>
      </c>
      <c r="AW25" s="26">
        <f t="shared" si="19"/>
        <v>0</v>
      </c>
      <c r="AX25" s="26">
        <f t="shared" si="20"/>
        <v>1.1498920412228296E-3</v>
      </c>
      <c r="AY25" s="26">
        <f t="shared" si="21"/>
        <v>3.3357242214891009E-4</v>
      </c>
      <c r="AZ25" s="26">
        <f t="shared" si="22"/>
        <v>0.30915510074922936</v>
      </c>
      <c r="BA25" s="26">
        <f t="shared" si="23"/>
        <v>0</v>
      </c>
      <c r="BB25" s="26">
        <f t="shared" si="24"/>
        <v>6.052478869420409E-3</v>
      </c>
      <c r="BC25" s="26">
        <f t="shared" si="25"/>
        <v>1.6645658585699132</v>
      </c>
      <c r="BD25" s="26">
        <f t="shared" si="26"/>
        <v>4.9723287880397765E-3</v>
      </c>
      <c r="BE25" s="26">
        <f t="shared" si="27"/>
        <v>0</v>
      </c>
      <c r="BF25" s="26">
        <f t="shared" si="28"/>
        <v>3.3638317703299394E-4</v>
      </c>
      <c r="BG25" s="26">
        <f t="shared" si="29"/>
        <v>0</v>
      </c>
      <c r="BH25" s="26">
        <f t="shared" si="30"/>
        <v>0</v>
      </c>
      <c r="BI25" s="26">
        <f t="shared" si="31"/>
        <v>0</v>
      </c>
      <c r="BJ25" s="25">
        <f t="shared" si="32"/>
        <v>3</v>
      </c>
      <c r="BK25" s="24">
        <f t="shared" si="33"/>
        <v>4.0140079260261619</v>
      </c>
      <c r="BL25" s="26"/>
      <c r="BM25" s="51">
        <f t="shared" si="34"/>
        <v>0.84336433208072337</v>
      </c>
      <c r="BN25" s="1"/>
      <c r="BO25" s="26">
        <f t="shared" si="35"/>
        <v>0.63964713715046606</v>
      </c>
      <c r="BP25" s="26">
        <f t="shared" si="36"/>
        <v>0</v>
      </c>
      <c r="BQ25" s="26">
        <f t="shared" si="37"/>
        <v>7.2577481365241269E-4</v>
      </c>
      <c r="BR25" s="26">
        <f t="shared" si="38"/>
        <v>2.1054016711625763E-4</v>
      </c>
      <c r="BS25" s="26">
        <f t="shared" si="39"/>
        <v>0.19512874043145442</v>
      </c>
      <c r="BT25" s="26">
        <f t="shared" si="40"/>
        <v>3.8201296870594872E-3</v>
      </c>
      <c r="BU25" s="26">
        <f t="shared" si="41"/>
        <v>1.050620347394541</v>
      </c>
      <c r="BV25" s="26">
        <f t="shared" si="42"/>
        <v>3.1383737517831668E-3</v>
      </c>
      <c r="BW25" s="26">
        <f t="shared" si="43"/>
        <v>0</v>
      </c>
      <c r="BX25" s="26">
        <f t="shared" si="44"/>
        <v>2.1231422505307856E-4</v>
      </c>
      <c r="BY25" s="26">
        <f t="shared" si="45"/>
        <v>0</v>
      </c>
      <c r="BZ25" s="26">
        <f t="shared" si="46"/>
        <v>0</v>
      </c>
      <c r="CA25" s="26">
        <f t="shared" si="47"/>
        <v>0</v>
      </c>
      <c r="CB25" s="26">
        <f t="shared" si="48"/>
        <v>1.893503357621126</v>
      </c>
      <c r="CC25" s="26">
        <f t="shared" si="49"/>
        <v>2.5335124951494499</v>
      </c>
      <c r="CD25" s="26">
        <f t="shared" si="50"/>
        <v>1.5843647638254015</v>
      </c>
      <c r="CE25" s="26">
        <f t="shared" si="51"/>
        <v>4.0140079260261619</v>
      </c>
      <c r="CF25" s="1"/>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46"/>
      <c r="DQ25" s="46"/>
      <c r="DR25" s="46"/>
      <c r="DS25" s="46"/>
      <c r="DT25" s="46"/>
      <c r="DU25" s="46"/>
      <c r="DV25" s="46"/>
      <c r="DW25" s="46"/>
    </row>
    <row r="26" spans="1:127" x14ac:dyDescent="0.25">
      <c r="A26" s="5" t="s">
        <v>93</v>
      </c>
      <c r="B26" s="1">
        <v>1099</v>
      </c>
      <c r="C26" s="98" t="s">
        <v>101</v>
      </c>
      <c r="D26" s="98" t="s">
        <v>107</v>
      </c>
      <c r="E26" s="1">
        <v>257</v>
      </c>
      <c r="F26" s="1" t="s">
        <v>184</v>
      </c>
      <c r="G26" s="22">
        <v>37.729999999999997</v>
      </c>
      <c r="H26" s="22">
        <v>0</v>
      </c>
      <c r="I26" s="22">
        <v>0.04</v>
      </c>
      <c r="J26" s="22">
        <v>8.9999999999999993E-3</v>
      </c>
      <c r="K26" s="22">
        <v>13.91</v>
      </c>
      <c r="L26" s="22">
        <v>0.215</v>
      </c>
      <c r="M26" s="22">
        <v>41.96</v>
      </c>
      <c r="N26" s="22">
        <v>0.17899999999999999</v>
      </c>
      <c r="O26" s="22">
        <v>0</v>
      </c>
      <c r="P26" s="22">
        <v>0</v>
      </c>
      <c r="Q26" s="22">
        <v>0</v>
      </c>
      <c r="R26" s="22"/>
      <c r="S26" s="22"/>
      <c r="T26" s="22">
        <f t="shared" si="0"/>
        <v>94.043000000000006</v>
      </c>
      <c r="U26" s="3"/>
      <c r="V26" s="22">
        <f t="shared" si="1"/>
        <v>13.91</v>
      </c>
      <c r="W26" s="22">
        <f t="shared" si="2"/>
        <v>0</v>
      </c>
      <c r="X26" s="22">
        <f t="shared" si="3"/>
        <v>94.043000000000006</v>
      </c>
      <c r="Y26" s="1"/>
      <c r="Z26" s="1"/>
      <c r="AA26" s="1"/>
      <c r="AB26" s="1" t="s">
        <v>185</v>
      </c>
      <c r="AC26" s="1"/>
      <c r="AD26" s="1">
        <v>4</v>
      </c>
      <c r="AE26" s="1">
        <v>3</v>
      </c>
      <c r="AF26" s="1"/>
      <c r="AG26" s="26">
        <f t="shared" si="4"/>
        <v>1.0054539805863136</v>
      </c>
      <c r="AH26" s="26">
        <f t="shared" si="5"/>
        <v>0</v>
      </c>
      <c r="AI26" s="26">
        <f t="shared" si="6"/>
        <v>1.2562193444974805E-3</v>
      </c>
      <c r="AJ26" s="26">
        <f t="shared" si="7"/>
        <v>1.8961068479582009E-4</v>
      </c>
      <c r="AK26" s="26">
        <f t="shared" si="8"/>
        <v>0.30996001564311709</v>
      </c>
      <c r="AL26" s="26">
        <f t="shared" si="9"/>
        <v>4.8523552894113101E-3</v>
      </c>
      <c r="AM26" s="26">
        <f t="shared" si="10"/>
        <v>1.6670005764124851</v>
      </c>
      <c r="AN26" s="26">
        <f t="shared" si="11"/>
        <v>5.110346438420202E-3</v>
      </c>
      <c r="AO26" s="26">
        <f t="shared" si="12"/>
        <v>0</v>
      </c>
      <c r="AP26" s="26">
        <f t="shared" si="13"/>
        <v>0</v>
      </c>
      <c r="AQ26" s="26">
        <f t="shared" si="14"/>
        <v>0</v>
      </c>
      <c r="AR26" s="26">
        <f t="shared" si="15"/>
        <v>0</v>
      </c>
      <c r="AS26" s="26">
        <f t="shared" si="16"/>
        <v>0</v>
      </c>
      <c r="AT26" s="26">
        <f t="shared" si="17"/>
        <v>2.9938231043990404</v>
      </c>
      <c r="AU26" s="47"/>
      <c r="AV26" s="26">
        <f t="shared" si="18"/>
        <v>1.0075284465961873</v>
      </c>
      <c r="AW26" s="26">
        <f t="shared" si="19"/>
        <v>0</v>
      </c>
      <c r="AX26" s="26">
        <f t="shared" si="20"/>
        <v>1.2588111929375118E-3</v>
      </c>
      <c r="AY26" s="26">
        <f t="shared" si="21"/>
        <v>1.9000189207960691E-4</v>
      </c>
      <c r="AZ26" s="26">
        <f t="shared" si="22"/>
        <v>0.31059952926510964</v>
      </c>
      <c r="BA26" s="26">
        <f t="shared" si="23"/>
        <v>0</v>
      </c>
      <c r="BB26" s="26">
        <f t="shared" si="24"/>
        <v>4.8623667333063799E-3</v>
      </c>
      <c r="BC26" s="26">
        <f t="shared" si="25"/>
        <v>1.6704399541472981</v>
      </c>
      <c r="BD26" s="26">
        <f t="shared" si="26"/>
        <v>5.1208901730812354E-3</v>
      </c>
      <c r="BE26" s="26">
        <f t="shared" si="27"/>
        <v>0</v>
      </c>
      <c r="BF26" s="26">
        <f t="shared" si="28"/>
        <v>0</v>
      </c>
      <c r="BG26" s="26">
        <f t="shared" si="29"/>
        <v>0</v>
      </c>
      <c r="BH26" s="26">
        <f t="shared" si="30"/>
        <v>0</v>
      </c>
      <c r="BI26" s="26">
        <f t="shared" si="31"/>
        <v>0</v>
      </c>
      <c r="BJ26" s="25">
        <f t="shared" si="32"/>
        <v>2.9999999999999996</v>
      </c>
      <c r="BK26" s="24">
        <f t="shared" si="33"/>
        <v>4.0082528531386954</v>
      </c>
      <c r="BL26" s="26"/>
      <c r="BM26" s="51">
        <f t="shared" si="34"/>
        <v>0.84321386228502049</v>
      </c>
      <c r="BN26" s="1"/>
      <c r="BO26" s="26">
        <f t="shared" si="35"/>
        <v>0.62799600532623168</v>
      </c>
      <c r="BP26" s="26">
        <f t="shared" si="36"/>
        <v>0</v>
      </c>
      <c r="BQ26" s="26">
        <f t="shared" si="37"/>
        <v>7.8462142016477059E-4</v>
      </c>
      <c r="BR26" s="26">
        <f t="shared" si="38"/>
        <v>1.1842884400289492E-4</v>
      </c>
      <c r="BS26" s="26">
        <f t="shared" si="39"/>
        <v>0.19359777313848298</v>
      </c>
      <c r="BT26" s="26">
        <f t="shared" si="40"/>
        <v>3.0307301945305893E-3</v>
      </c>
      <c r="BU26" s="26">
        <f t="shared" si="41"/>
        <v>1.0411910669975186</v>
      </c>
      <c r="BV26" s="26">
        <f t="shared" si="42"/>
        <v>3.1918687589158343E-3</v>
      </c>
      <c r="BW26" s="26">
        <f t="shared" si="43"/>
        <v>0</v>
      </c>
      <c r="BX26" s="26">
        <f t="shared" si="44"/>
        <v>0</v>
      </c>
      <c r="BY26" s="26">
        <f t="shared" si="45"/>
        <v>0</v>
      </c>
      <c r="BZ26" s="26">
        <f t="shared" si="46"/>
        <v>0</v>
      </c>
      <c r="CA26" s="26">
        <f t="shared" si="47"/>
        <v>0</v>
      </c>
      <c r="CB26" s="26">
        <f t="shared" si="48"/>
        <v>1.8699104946798475</v>
      </c>
      <c r="CC26" s="26">
        <f t="shared" si="49"/>
        <v>2.4983580251381623</v>
      </c>
      <c r="CD26" s="26">
        <f t="shared" si="50"/>
        <v>1.6043548653988586</v>
      </c>
      <c r="CE26" s="26">
        <f t="shared" si="51"/>
        <v>4.0082528531386945</v>
      </c>
      <c r="CF26" s="1"/>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46"/>
      <c r="DQ26" s="46"/>
      <c r="DR26" s="46"/>
      <c r="DS26" s="46"/>
      <c r="DT26" s="46"/>
      <c r="DU26" s="46"/>
      <c r="DV26" s="46"/>
      <c r="DW26" s="46"/>
    </row>
    <row r="27" spans="1:127" x14ac:dyDescent="0.25">
      <c r="A27" s="5" t="s">
        <v>93</v>
      </c>
      <c r="B27" s="1">
        <v>1100</v>
      </c>
      <c r="C27" s="98" t="s">
        <v>101</v>
      </c>
      <c r="D27" s="98" t="s">
        <v>107</v>
      </c>
      <c r="E27" s="1">
        <v>258</v>
      </c>
      <c r="F27" s="1" t="s">
        <v>184</v>
      </c>
      <c r="G27" s="22">
        <v>39.130000000000003</v>
      </c>
      <c r="H27" s="22">
        <v>0</v>
      </c>
      <c r="I27" s="22">
        <v>1.0999999999999999E-2</v>
      </c>
      <c r="J27" s="22">
        <v>0</v>
      </c>
      <c r="K27" s="22">
        <v>15.17</v>
      </c>
      <c r="L27" s="22">
        <v>0.28999999999999998</v>
      </c>
      <c r="M27" s="22">
        <v>42.89</v>
      </c>
      <c r="N27" s="22">
        <v>0.19600000000000001</v>
      </c>
      <c r="O27" s="22">
        <v>1.0999999999999999E-2</v>
      </c>
      <c r="P27" s="22">
        <v>0</v>
      </c>
      <c r="Q27" s="22">
        <v>0</v>
      </c>
      <c r="R27" s="22"/>
      <c r="S27" s="22"/>
      <c r="T27" s="22">
        <f t="shared" si="0"/>
        <v>97.698000000000008</v>
      </c>
      <c r="U27" s="3"/>
      <c r="V27" s="22">
        <f t="shared" si="1"/>
        <v>15.17</v>
      </c>
      <c r="W27" s="22">
        <f t="shared" si="2"/>
        <v>0</v>
      </c>
      <c r="X27" s="22">
        <f t="shared" si="3"/>
        <v>97.698000000000008</v>
      </c>
      <c r="Y27" s="1"/>
      <c r="Z27" s="1"/>
      <c r="AA27" s="1"/>
      <c r="AB27" s="1" t="s">
        <v>185</v>
      </c>
      <c r="AC27" s="1"/>
      <c r="AD27" s="1">
        <v>4</v>
      </c>
      <c r="AE27" s="1">
        <v>3</v>
      </c>
      <c r="AF27" s="1"/>
      <c r="AG27" s="26">
        <f t="shared" si="4"/>
        <v>1.0073896077663242</v>
      </c>
      <c r="AH27" s="26">
        <f t="shared" si="5"/>
        <v>0</v>
      </c>
      <c r="AI27" s="26">
        <f t="shared" si="6"/>
        <v>3.3374164057892766E-4</v>
      </c>
      <c r="AJ27" s="26">
        <f t="shared" si="7"/>
        <v>0</v>
      </c>
      <c r="AK27" s="26">
        <f t="shared" si="8"/>
        <v>0.32657004852653554</v>
      </c>
      <c r="AL27" s="26">
        <f t="shared" si="9"/>
        <v>6.3230170985044748E-3</v>
      </c>
      <c r="AM27" s="26">
        <f t="shared" si="10"/>
        <v>1.6461467259342479</v>
      </c>
      <c r="AN27" s="26">
        <f t="shared" si="11"/>
        <v>5.4058701400529954E-3</v>
      </c>
      <c r="AO27" s="26">
        <f t="shared" si="12"/>
        <v>5.4902061428569642E-4</v>
      </c>
      <c r="AP27" s="26">
        <f t="shared" si="13"/>
        <v>0</v>
      </c>
      <c r="AQ27" s="26">
        <f t="shared" si="14"/>
        <v>0</v>
      </c>
      <c r="AR27" s="26">
        <f t="shared" si="15"/>
        <v>0</v>
      </c>
      <c r="AS27" s="26">
        <f t="shared" si="16"/>
        <v>0</v>
      </c>
      <c r="AT27" s="26">
        <f t="shared" si="17"/>
        <v>2.9927180317205297</v>
      </c>
      <c r="AU27" s="47"/>
      <c r="AV27" s="26">
        <f t="shared" si="18"/>
        <v>1.0098408173661158</v>
      </c>
      <c r="AW27" s="26">
        <f t="shared" si="19"/>
        <v>0</v>
      </c>
      <c r="AX27" s="26">
        <f t="shared" si="20"/>
        <v>3.3455371041460038E-4</v>
      </c>
      <c r="AY27" s="26">
        <f t="shared" si="21"/>
        <v>0</v>
      </c>
      <c r="AZ27" s="26">
        <f t="shared" si="22"/>
        <v>0.32736466823650801</v>
      </c>
      <c r="BA27" s="26">
        <f t="shared" si="23"/>
        <v>0</v>
      </c>
      <c r="BB27" s="26">
        <f t="shared" si="24"/>
        <v>6.3384024470250593E-3</v>
      </c>
      <c r="BC27" s="26">
        <f t="shared" si="25"/>
        <v>1.6501521778727706</v>
      </c>
      <c r="BD27" s="26">
        <f t="shared" si="26"/>
        <v>5.4190238600044099E-3</v>
      </c>
      <c r="BE27" s="26">
        <f t="shared" si="27"/>
        <v>5.5035650716154659E-4</v>
      </c>
      <c r="BF27" s="26">
        <f t="shared" si="28"/>
        <v>0</v>
      </c>
      <c r="BG27" s="26">
        <f t="shared" si="29"/>
        <v>0</v>
      </c>
      <c r="BH27" s="26">
        <f t="shared" si="30"/>
        <v>0</v>
      </c>
      <c r="BI27" s="26">
        <f t="shared" si="31"/>
        <v>0</v>
      </c>
      <c r="BJ27" s="25">
        <f t="shared" si="32"/>
        <v>3</v>
      </c>
      <c r="BK27" s="24">
        <f t="shared" si="33"/>
        <v>4.0097329159677431</v>
      </c>
      <c r="BL27" s="26"/>
      <c r="BM27" s="51">
        <f t="shared" si="34"/>
        <v>0.83445669811582601</v>
      </c>
      <c r="BN27" s="1"/>
      <c r="BO27" s="26">
        <f t="shared" si="35"/>
        <v>0.65129826897470044</v>
      </c>
      <c r="BP27" s="26">
        <f t="shared" si="36"/>
        <v>0</v>
      </c>
      <c r="BQ27" s="26">
        <f t="shared" si="37"/>
        <v>2.1577089054531189E-4</v>
      </c>
      <c r="BR27" s="26">
        <f t="shared" si="38"/>
        <v>0</v>
      </c>
      <c r="BS27" s="26">
        <f t="shared" si="39"/>
        <v>0.21113430758524707</v>
      </c>
      <c r="BT27" s="26">
        <f t="shared" si="40"/>
        <v>4.0879616577389338E-3</v>
      </c>
      <c r="BU27" s="26">
        <f t="shared" si="41"/>
        <v>1.0642679900744418</v>
      </c>
      <c r="BV27" s="26">
        <f t="shared" si="42"/>
        <v>3.4950071326676178E-3</v>
      </c>
      <c r="BW27" s="26">
        <f t="shared" si="43"/>
        <v>3.5495321071313328E-4</v>
      </c>
      <c r="BX27" s="26">
        <f t="shared" si="44"/>
        <v>0</v>
      </c>
      <c r="BY27" s="26">
        <f t="shared" si="45"/>
        <v>0</v>
      </c>
      <c r="BZ27" s="26">
        <f t="shared" si="46"/>
        <v>0</v>
      </c>
      <c r="CA27" s="26">
        <f t="shared" si="47"/>
        <v>0</v>
      </c>
      <c r="CB27" s="26">
        <f t="shared" si="48"/>
        <v>1.9348542595260545</v>
      </c>
      <c r="CC27" s="26">
        <f t="shared" si="49"/>
        <v>2.5860829373406706</v>
      </c>
      <c r="CD27" s="26">
        <f t="shared" si="50"/>
        <v>1.5505043779033025</v>
      </c>
      <c r="CE27" s="26">
        <f t="shared" si="51"/>
        <v>4.0097329159677422</v>
      </c>
      <c r="CF27" s="1"/>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46"/>
      <c r="DQ27" s="46"/>
      <c r="DR27" s="46"/>
      <c r="DS27" s="46"/>
      <c r="DT27" s="46"/>
      <c r="DU27" s="46"/>
      <c r="DV27" s="46"/>
      <c r="DW27" s="46"/>
    </row>
    <row r="28" spans="1:127" x14ac:dyDescent="0.25">
      <c r="A28" s="5" t="s">
        <v>93</v>
      </c>
      <c r="B28" s="1">
        <v>1101</v>
      </c>
      <c r="C28" s="98" t="s">
        <v>101</v>
      </c>
      <c r="D28" s="98" t="s">
        <v>107</v>
      </c>
      <c r="E28" s="1">
        <v>259</v>
      </c>
      <c r="F28" s="1" t="s">
        <v>184</v>
      </c>
      <c r="G28" s="22">
        <v>40.020000000000003</v>
      </c>
      <c r="H28" s="22">
        <v>2.1000000000000001E-2</v>
      </c>
      <c r="I28" s="22">
        <v>1.7999999999999999E-2</v>
      </c>
      <c r="J28" s="22">
        <v>1.2E-2</v>
      </c>
      <c r="K28" s="22">
        <v>16.13</v>
      </c>
      <c r="L28" s="22">
        <v>0.253</v>
      </c>
      <c r="M28" s="22">
        <v>43.23</v>
      </c>
      <c r="N28" s="22">
        <v>0.185</v>
      </c>
      <c r="O28" s="22">
        <v>1.2999999999999999E-2</v>
      </c>
      <c r="P28" s="22">
        <v>7.0000000000000001E-3</v>
      </c>
      <c r="Q28" s="22">
        <v>0</v>
      </c>
      <c r="R28" s="22"/>
      <c r="S28" s="22"/>
      <c r="T28" s="22">
        <f t="shared" si="0"/>
        <v>99.88900000000001</v>
      </c>
      <c r="U28" s="3"/>
      <c r="V28" s="22">
        <f t="shared" si="1"/>
        <v>16.13</v>
      </c>
      <c r="W28" s="22">
        <f t="shared" si="2"/>
        <v>0</v>
      </c>
      <c r="X28" s="22">
        <f t="shared" si="3"/>
        <v>99.888999999999996</v>
      </c>
      <c r="Y28" s="1"/>
      <c r="Z28" s="1"/>
      <c r="AA28" s="1"/>
      <c r="AB28" s="1" t="s">
        <v>185</v>
      </c>
      <c r="AC28" s="1"/>
      <c r="AD28" s="1">
        <v>4</v>
      </c>
      <c r="AE28" s="1">
        <v>3</v>
      </c>
      <c r="AF28" s="1"/>
      <c r="AG28" s="26">
        <f t="shared" si="4"/>
        <v>1.0100770630423523</v>
      </c>
      <c r="AH28" s="26">
        <f t="shared" si="5"/>
        <v>3.9864708009643E-4</v>
      </c>
      <c r="AI28" s="26">
        <f t="shared" si="6"/>
        <v>5.3540204155303741E-4</v>
      </c>
      <c r="AJ28" s="26">
        <f t="shared" si="7"/>
        <v>2.394437886560418E-4</v>
      </c>
      <c r="AK28" s="26">
        <f t="shared" si="8"/>
        <v>0.34041990315021275</v>
      </c>
      <c r="AL28" s="26">
        <f t="shared" si="9"/>
        <v>5.4080000374562105E-3</v>
      </c>
      <c r="AM28" s="26">
        <f t="shared" si="10"/>
        <v>1.6266253576896905</v>
      </c>
      <c r="AN28" s="26">
        <f t="shared" si="11"/>
        <v>5.0023154169630312E-3</v>
      </c>
      <c r="AO28" s="26">
        <f t="shared" si="12"/>
        <v>6.3610546236933063E-4</v>
      </c>
      <c r="AP28" s="26">
        <f t="shared" si="13"/>
        <v>2.253639685640681E-4</v>
      </c>
      <c r="AQ28" s="26">
        <f t="shared" si="14"/>
        <v>0</v>
      </c>
      <c r="AR28" s="26">
        <f t="shared" si="15"/>
        <v>0</v>
      </c>
      <c r="AS28" s="26">
        <f t="shared" si="16"/>
        <v>0</v>
      </c>
      <c r="AT28" s="26">
        <f t="shared" si="17"/>
        <v>2.9895676016779134</v>
      </c>
      <c r="AU28" s="47"/>
      <c r="AV28" s="26">
        <f t="shared" si="18"/>
        <v>1.0136018290492312</v>
      </c>
      <c r="AW28" s="26">
        <f t="shared" si="19"/>
        <v>4.0003819937641156E-4</v>
      </c>
      <c r="AX28" s="26">
        <f t="shared" si="20"/>
        <v>5.3727038109378051E-4</v>
      </c>
      <c r="AY28" s="26">
        <f t="shared" si="21"/>
        <v>2.4027935195877734E-4</v>
      </c>
      <c r="AZ28" s="26">
        <f t="shared" si="22"/>
        <v>0.3416078328108218</v>
      </c>
      <c r="BA28" s="26">
        <f t="shared" si="23"/>
        <v>0</v>
      </c>
      <c r="BB28" s="26">
        <f t="shared" si="24"/>
        <v>5.4268718002104402E-3</v>
      </c>
      <c r="BC28" s="26">
        <f t="shared" si="25"/>
        <v>1.6323016312894911</v>
      </c>
      <c r="BD28" s="26">
        <f t="shared" si="26"/>
        <v>5.0197715022287327E-3</v>
      </c>
      <c r="BE28" s="26">
        <f t="shared" si="27"/>
        <v>6.3832521667579517E-4</v>
      </c>
      <c r="BF28" s="26">
        <f t="shared" si="28"/>
        <v>2.2615039891144906E-4</v>
      </c>
      <c r="BG28" s="26">
        <f t="shared" si="29"/>
        <v>0</v>
      </c>
      <c r="BH28" s="26">
        <f t="shared" si="30"/>
        <v>0</v>
      </c>
      <c r="BI28" s="26">
        <f t="shared" si="31"/>
        <v>0</v>
      </c>
      <c r="BJ28" s="25">
        <f t="shared" si="32"/>
        <v>2.9999999999999996</v>
      </c>
      <c r="BK28" s="24">
        <f t="shared" si="33"/>
        <v>4.0139584043073411</v>
      </c>
      <c r="BL28" s="26"/>
      <c r="BM28" s="51">
        <f t="shared" si="34"/>
        <v>0.82693844929381155</v>
      </c>
      <c r="BN28" s="1"/>
      <c r="BO28" s="26">
        <f t="shared" si="35"/>
        <v>0.66611185086551272</v>
      </c>
      <c r="BP28" s="26">
        <f t="shared" si="36"/>
        <v>2.6289434151226845E-4</v>
      </c>
      <c r="BQ28" s="26">
        <f t="shared" si="37"/>
        <v>3.530796390741467E-4</v>
      </c>
      <c r="BR28" s="26">
        <f t="shared" si="38"/>
        <v>1.5790512533719322E-4</v>
      </c>
      <c r="BS28" s="26">
        <f t="shared" si="39"/>
        <v>0.22449547668754349</v>
      </c>
      <c r="BT28" s="26">
        <f t="shared" si="40"/>
        <v>3.5663941358894842E-3</v>
      </c>
      <c r="BU28" s="26">
        <f t="shared" si="41"/>
        <v>1.0727047146401985</v>
      </c>
      <c r="BV28" s="26">
        <f t="shared" si="42"/>
        <v>3.2988587731811697E-3</v>
      </c>
      <c r="BW28" s="26">
        <f t="shared" si="43"/>
        <v>4.1949015811552112E-4</v>
      </c>
      <c r="BX28" s="26">
        <f t="shared" si="44"/>
        <v>1.4861995753715499E-4</v>
      </c>
      <c r="BY28" s="26">
        <f t="shared" si="45"/>
        <v>0</v>
      </c>
      <c r="BZ28" s="26">
        <f t="shared" si="46"/>
        <v>0</v>
      </c>
      <c r="CA28" s="26">
        <f t="shared" si="47"/>
        <v>0</v>
      </c>
      <c r="CB28" s="26">
        <f t="shared" si="48"/>
        <v>1.9715192843239018</v>
      </c>
      <c r="CC28" s="26">
        <f t="shared" si="49"/>
        <v>2.6378654668553057</v>
      </c>
      <c r="CD28" s="26">
        <f t="shared" si="50"/>
        <v>1.5216691126756072</v>
      </c>
      <c r="CE28" s="26">
        <f t="shared" si="51"/>
        <v>4.0139584043073393</v>
      </c>
      <c r="CF28" s="1"/>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46"/>
      <c r="DQ28" s="46"/>
      <c r="DR28" s="46"/>
      <c r="DS28" s="46"/>
      <c r="DT28" s="46"/>
      <c r="DU28" s="46"/>
      <c r="DV28" s="46"/>
      <c r="DW28" s="46"/>
    </row>
    <row r="29" spans="1:127" x14ac:dyDescent="0.25">
      <c r="A29" s="5" t="s">
        <v>93</v>
      </c>
      <c r="B29" s="1">
        <v>1102</v>
      </c>
      <c r="C29" s="98" t="s">
        <v>101</v>
      </c>
      <c r="D29" s="98" t="s">
        <v>107</v>
      </c>
      <c r="E29" s="1">
        <v>260</v>
      </c>
      <c r="F29" s="1" t="s">
        <v>184</v>
      </c>
      <c r="G29" s="22">
        <v>40.06</v>
      </c>
      <c r="H29" s="22">
        <v>0</v>
      </c>
      <c r="I29" s="22">
        <v>3.4000000000000002E-2</v>
      </c>
      <c r="J29" s="22">
        <v>1.2E-2</v>
      </c>
      <c r="K29" s="22">
        <v>16.11</v>
      </c>
      <c r="L29" s="22">
        <v>0.27800000000000002</v>
      </c>
      <c r="M29" s="22">
        <v>43.74</v>
      </c>
      <c r="N29" s="22">
        <v>0.17199999999999999</v>
      </c>
      <c r="O29" s="22">
        <v>2.5999999999999999E-2</v>
      </c>
      <c r="P29" s="22">
        <v>0</v>
      </c>
      <c r="Q29" s="22">
        <v>0</v>
      </c>
      <c r="R29" s="22"/>
      <c r="S29" s="22"/>
      <c r="T29" s="22">
        <f t="shared" si="0"/>
        <v>100.432</v>
      </c>
      <c r="U29" s="3"/>
      <c r="V29" s="22">
        <f t="shared" si="1"/>
        <v>16.11</v>
      </c>
      <c r="W29" s="22">
        <f t="shared" si="2"/>
        <v>0</v>
      </c>
      <c r="X29" s="22">
        <f t="shared" si="3"/>
        <v>100.432</v>
      </c>
      <c r="Y29" s="1"/>
      <c r="Z29" s="1"/>
      <c r="AA29" s="1"/>
      <c r="AB29" s="1" t="s">
        <v>185</v>
      </c>
      <c r="AC29" s="1"/>
      <c r="AD29" s="1">
        <v>4</v>
      </c>
      <c r="AE29" s="1">
        <v>3</v>
      </c>
      <c r="AF29" s="1"/>
      <c r="AG29" s="26">
        <f t="shared" si="4"/>
        <v>1.005783201300855</v>
      </c>
      <c r="AH29" s="26">
        <f t="shared" si="5"/>
        <v>0</v>
      </c>
      <c r="AI29" s="26">
        <f t="shared" si="6"/>
        <v>1.0060103356936362E-3</v>
      </c>
      <c r="AJ29" s="26">
        <f t="shared" si="7"/>
        <v>2.3818783858223596E-4</v>
      </c>
      <c r="AK29" s="26">
        <f t="shared" si="8"/>
        <v>0.33821442358634735</v>
      </c>
      <c r="AL29" s="26">
        <f t="shared" si="9"/>
        <v>5.9112178983059078E-3</v>
      </c>
      <c r="AM29" s="26">
        <f t="shared" si="10"/>
        <v>1.6371824831437436</v>
      </c>
      <c r="AN29" s="26">
        <f t="shared" si="11"/>
        <v>4.6264065983205663E-3</v>
      </c>
      <c r="AO29" s="26">
        <f t="shared" si="12"/>
        <v>1.2655378203169909E-3</v>
      </c>
      <c r="AP29" s="26">
        <f t="shared" si="13"/>
        <v>0</v>
      </c>
      <c r="AQ29" s="26">
        <f t="shared" si="14"/>
        <v>0</v>
      </c>
      <c r="AR29" s="26">
        <f t="shared" si="15"/>
        <v>0</v>
      </c>
      <c r="AS29" s="26">
        <f t="shared" si="16"/>
        <v>0</v>
      </c>
      <c r="AT29" s="26">
        <f t="shared" si="17"/>
        <v>2.994227468522165</v>
      </c>
      <c r="AU29" s="47"/>
      <c r="AV29" s="26">
        <f t="shared" si="18"/>
        <v>1.0077222374129819</v>
      </c>
      <c r="AW29" s="26">
        <f t="shared" si="19"/>
        <v>0</v>
      </c>
      <c r="AX29" s="26">
        <f t="shared" si="20"/>
        <v>1.0079498096951505E-3</v>
      </c>
      <c r="AY29" s="26">
        <f t="shared" si="21"/>
        <v>2.3864703776142594E-4</v>
      </c>
      <c r="AZ29" s="26">
        <f t="shared" si="22"/>
        <v>0.33886646269390841</v>
      </c>
      <c r="BA29" s="26">
        <f t="shared" si="23"/>
        <v>0</v>
      </c>
      <c r="BB29" s="26">
        <f t="shared" si="24"/>
        <v>5.9226140569976033E-3</v>
      </c>
      <c r="BC29" s="26">
        <f t="shared" si="25"/>
        <v>1.6403387855684126</v>
      </c>
      <c r="BD29" s="26">
        <f t="shared" si="26"/>
        <v>4.6353257863244257E-3</v>
      </c>
      <c r="BE29" s="26">
        <f t="shared" si="27"/>
        <v>1.267977633918653E-3</v>
      </c>
      <c r="BF29" s="26">
        <f t="shared" si="28"/>
        <v>0</v>
      </c>
      <c r="BG29" s="26">
        <f t="shared" si="29"/>
        <v>0</v>
      </c>
      <c r="BH29" s="26">
        <f t="shared" si="30"/>
        <v>0</v>
      </c>
      <c r="BI29" s="26">
        <f t="shared" si="31"/>
        <v>0</v>
      </c>
      <c r="BJ29" s="25">
        <f t="shared" si="32"/>
        <v>3.0000000000000004</v>
      </c>
      <c r="BK29" s="24">
        <f t="shared" si="33"/>
        <v>4.0077115470197517</v>
      </c>
      <c r="BL29" s="26"/>
      <c r="BM29" s="51">
        <f t="shared" si="34"/>
        <v>0.82878659856453885</v>
      </c>
      <c r="BN29" s="1"/>
      <c r="BO29" s="26">
        <f t="shared" si="35"/>
        <v>0.66677762982689748</v>
      </c>
      <c r="BP29" s="26">
        <f t="shared" si="36"/>
        <v>0</v>
      </c>
      <c r="BQ29" s="26">
        <f t="shared" si="37"/>
        <v>6.6692820714005501E-4</v>
      </c>
      <c r="BR29" s="26">
        <f t="shared" si="38"/>
        <v>1.5790512533719322E-4</v>
      </c>
      <c r="BS29" s="26">
        <f t="shared" si="39"/>
        <v>0.22421711899791233</v>
      </c>
      <c r="BT29" s="26">
        <f t="shared" si="40"/>
        <v>3.9188046236255996E-3</v>
      </c>
      <c r="BU29" s="26">
        <f t="shared" si="41"/>
        <v>1.0853598014888339</v>
      </c>
      <c r="BV29" s="26">
        <f t="shared" si="42"/>
        <v>3.0670470756062767E-3</v>
      </c>
      <c r="BW29" s="26">
        <f t="shared" si="43"/>
        <v>8.3898031623104224E-4</v>
      </c>
      <c r="BX29" s="26">
        <f t="shared" si="44"/>
        <v>0</v>
      </c>
      <c r="BY29" s="26">
        <f t="shared" si="45"/>
        <v>0</v>
      </c>
      <c r="BZ29" s="26">
        <f t="shared" si="46"/>
        <v>0</v>
      </c>
      <c r="CA29" s="26">
        <f t="shared" si="47"/>
        <v>0</v>
      </c>
      <c r="CB29" s="26">
        <f t="shared" si="48"/>
        <v>1.9850042156615839</v>
      </c>
      <c r="CC29" s="26">
        <f t="shared" si="49"/>
        <v>2.6517747719966045</v>
      </c>
      <c r="CD29" s="26">
        <f t="shared" si="50"/>
        <v>1.5113318028899638</v>
      </c>
      <c r="CE29" s="26">
        <f t="shared" si="51"/>
        <v>4.0077115470197509</v>
      </c>
      <c r="CF29" s="1"/>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46"/>
      <c r="DQ29" s="46"/>
      <c r="DR29" s="46"/>
      <c r="DS29" s="46"/>
      <c r="DT29" s="46"/>
      <c r="DU29" s="46"/>
      <c r="DV29" s="46"/>
      <c r="DW29" s="46"/>
    </row>
    <row r="30" spans="1:127" x14ac:dyDescent="0.25">
      <c r="A30" s="5" t="s">
        <v>93</v>
      </c>
      <c r="B30" s="1">
        <v>1103</v>
      </c>
      <c r="C30" s="98" t="s">
        <v>101</v>
      </c>
      <c r="D30" s="98" t="s">
        <v>107</v>
      </c>
      <c r="E30" s="1">
        <v>261</v>
      </c>
      <c r="F30" s="1" t="s">
        <v>184</v>
      </c>
      <c r="G30" s="22">
        <v>39.81</v>
      </c>
      <c r="H30" s="22">
        <v>8.4000000000000005E-2</v>
      </c>
      <c r="I30" s="22">
        <v>0.03</v>
      </c>
      <c r="J30" s="22">
        <v>0</v>
      </c>
      <c r="K30" s="22">
        <v>16.600000000000001</v>
      </c>
      <c r="L30" s="22">
        <v>0.318</v>
      </c>
      <c r="M30" s="22">
        <v>43.7</v>
      </c>
      <c r="N30" s="22">
        <v>0.218</v>
      </c>
      <c r="O30" s="22">
        <v>0</v>
      </c>
      <c r="P30" s="22">
        <v>0</v>
      </c>
      <c r="Q30" s="22">
        <v>0</v>
      </c>
      <c r="R30" s="22"/>
      <c r="S30" s="22"/>
      <c r="T30" s="22">
        <f t="shared" si="0"/>
        <v>100.76</v>
      </c>
      <c r="U30" s="3"/>
      <c r="V30" s="22">
        <f t="shared" si="1"/>
        <v>16.600000000000001</v>
      </c>
      <c r="W30" s="22">
        <f t="shared" si="2"/>
        <v>0</v>
      </c>
      <c r="X30" s="22">
        <f t="shared" si="3"/>
        <v>100.76000000000002</v>
      </c>
      <c r="Y30" s="1"/>
      <c r="Z30" s="1"/>
      <c r="AA30" s="1"/>
      <c r="AB30" s="1" t="s">
        <v>185</v>
      </c>
      <c r="AC30" s="1"/>
      <c r="AD30" s="1">
        <v>4</v>
      </c>
      <c r="AE30" s="1">
        <v>3</v>
      </c>
      <c r="AF30" s="1"/>
      <c r="AG30" s="26">
        <f t="shared" si="4"/>
        <v>0.9994242350874265</v>
      </c>
      <c r="AH30" s="26">
        <f t="shared" si="5"/>
        <v>1.5860937461518885E-3</v>
      </c>
      <c r="AI30" s="26">
        <f t="shared" si="6"/>
        <v>8.8758314494908957E-4</v>
      </c>
      <c r="AJ30" s="26">
        <f t="shared" si="7"/>
        <v>0</v>
      </c>
      <c r="AK30" s="26">
        <f t="shared" si="8"/>
        <v>0.34847284291801262</v>
      </c>
      <c r="AL30" s="26">
        <f t="shared" si="9"/>
        <v>6.7611965115978098E-3</v>
      </c>
      <c r="AM30" s="26">
        <f t="shared" si="10"/>
        <v>1.6355507092467747</v>
      </c>
      <c r="AN30" s="26">
        <f t="shared" si="11"/>
        <v>5.8632189390347119E-3</v>
      </c>
      <c r="AO30" s="26">
        <f t="shared" si="12"/>
        <v>0</v>
      </c>
      <c r="AP30" s="26">
        <f t="shared" si="13"/>
        <v>0</v>
      </c>
      <c r="AQ30" s="26">
        <f t="shared" si="14"/>
        <v>0</v>
      </c>
      <c r="AR30" s="26">
        <f t="shared" si="15"/>
        <v>0</v>
      </c>
      <c r="AS30" s="26">
        <f t="shared" si="16"/>
        <v>0</v>
      </c>
      <c r="AT30" s="26">
        <f t="shared" si="17"/>
        <v>2.998545879593947</v>
      </c>
      <c r="AU30" s="47"/>
      <c r="AV30" s="26">
        <f t="shared" si="18"/>
        <v>0.999908897731555</v>
      </c>
      <c r="AW30" s="26">
        <f t="shared" si="19"/>
        <v>1.5868629093979433E-3</v>
      </c>
      <c r="AX30" s="26">
        <f t="shared" si="20"/>
        <v>8.880135711673183E-4</v>
      </c>
      <c r="AY30" s="26">
        <f t="shared" si="21"/>
        <v>0</v>
      </c>
      <c r="AZ30" s="26">
        <f t="shared" si="22"/>
        <v>0.34864183198544385</v>
      </c>
      <c r="BA30" s="26">
        <f t="shared" si="23"/>
        <v>0</v>
      </c>
      <c r="BB30" s="26">
        <f t="shared" si="24"/>
        <v>6.7644752987872118E-3</v>
      </c>
      <c r="BC30" s="26">
        <f t="shared" si="25"/>
        <v>1.636343856244336</v>
      </c>
      <c r="BD30" s="26">
        <f t="shared" si="26"/>
        <v>5.8660622593128603E-3</v>
      </c>
      <c r="BE30" s="26">
        <f t="shared" si="27"/>
        <v>0</v>
      </c>
      <c r="BF30" s="26">
        <f t="shared" si="28"/>
        <v>0</v>
      </c>
      <c r="BG30" s="26">
        <f t="shared" si="29"/>
        <v>0</v>
      </c>
      <c r="BH30" s="26">
        <f t="shared" si="30"/>
        <v>0</v>
      </c>
      <c r="BI30" s="26">
        <f t="shared" si="31"/>
        <v>0</v>
      </c>
      <c r="BJ30" s="25">
        <f t="shared" si="32"/>
        <v>3.0000000000000004</v>
      </c>
      <c r="BK30" s="24">
        <f t="shared" si="33"/>
        <v>4.0019397674265367</v>
      </c>
      <c r="BL30" s="26"/>
      <c r="BM30" s="51">
        <f t="shared" si="34"/>
        <v>0.82436053113493002</v>
      </c>
      <c r="BN30" s="1"/>
      <c r="BO30" s="26">
        <f t="shared" si="35"/>
        <v>0.6626165113182424</v>
      </c>
      <c r="BP30" s="26">
        <f t="shared" si="36"/>
        <v>1.0515773660490738E-3</v>
      </c>
      <c r="BQ30" s="26">
        <f t="shared" si="37"/>
        <v>5.8846606512357792E-4</v>
      </c>
      <c r="BR30" s="26">
        <f t="shared" si="38"/>
        <v>0</v>
      </c>
      <c r="BS30" s="26">
        <f t="shared" si="39"/>
        <v>0.23103688239387618</v>
      </c>
      <c r="BT30" s="26">
        <f t="shared" si="40"/>
        <v>4.4826614040033835E-3</v>
      </c>
      <c r="BU30" s="26">
        <f t="shared" si="41"/>
        <v>1.0843672456575684</v>
      </c>
      <c r="BV30" s="26">
        <f t="shared" si="42"/>
        <v>3.8873038516405137E-3</v>
      </c>
      <c r="BW30" s="26">
        <f t="shared" si="43"/>
        <v>0</v>
      </c>
      <c r="BX30" s="26">
        <f t="shared" si="44"/>
        <v>0</v>
      </c>
      <c r="BY30" s="26">
        <f t="shared" si="45"/>
        <v>0</v>
      </c>
      <c r="BZ30" s="26">
        <f t="shared" si="46"/>
        <v>0</v>
      </c>
      <c r="CA30" s="26">
        <f t="shared" si="47"/>
        <v>0</v>
      </c>
      <c r="CB30" s="26">
        <f t="shared" si="48"/>
        <v>1.9880306480565033</v>
      </c>
      <c r="CC30" s="26">
        <f t="shared" si="49"/>
        <v>2.6519929697733566</v>
      </c>
      <c r="CD30" s="26">
        <f t="shared" si="50"/>
        <v>1.5090310619369962</v>
      </c>
      <c r="CE30" s="26">
        <f t="shared" si="51"/>
        <v>4.0019397674265367</v>
      </c>
      <c r="CF30" s="1"/>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46"/>
      <c r="DQ30" s="46"/>
      <c r="DR30" s="46"/>
      <c r="DS30" s="46"/>
      <c r="DT30" s="46"/>
      <c r="DU30" s="46"/>
      <c r="DV30" s="46"/>
      <c r="DW30" s="46"/>
    </row>
    <row r="31" spans="1:127" x14ac:dyDescent="0.25">
      <c r="A31" s="5" t="s">
        <v>93</v>
      </c>
      <c r="B31" s="1">
        <v>1104</v>
      </c>
      <c r="C31" s="98" t="s">
        <v>101</v>
      </c>
      <c r="D31" s="98" t="s">
        <v>107</v>
      </c>
      <c r="E31" s="1">
        <v>262</v>
      </c>
      <c r="F31" s="1" t="s">
        <v>184</v>
      </c>
      <c r="G31" s="22">
        <v>39.31</v>
      </c>
      <c r="H31" s="22">
        <v>6.3E-2</v>
      </c>
      <c r="I31" s="22">
        <v>1.4E-2</v>
      </c>
      <c r="J31" s="22">
        <v>0</v>
      </c>
      <c r="K31" s="22">
        <v>16.760000000000002</v>
      </c>
      <c r="L31" s="22">
        <v>0.219</v>
      </c>
      <c r="M31" s="22">
        <v>41.37</v>
      </c>
      <c r="N31" s="22">
        <v>0.17199999999999999</v>
      </c>
      <c r="O31" s="22">
        <v>3.3000000000000002E-2</v>
      </c>
      <c r="P31" s="22">
        <v>0</v>
      </c>
      <c r="Q31" s="22">
        <v>0</v>
      </c>
      <c r="R31" s="22"/>
      <c r="S31" s="22"/>
      <c r="T31" s="22">
        <f t="shared" si="0"/>
        <v>97.941000000000003</v>
      </c>
      <c r="U31" s="3"/>
      <c r="V31" s="22">
        <f t="shared" si="1"/>
        <v>16.760000000000002</v>
      </c>
      <c r="W31" s="22">
        <f t="shared" si="2"/>
        <v>0</v>
      </c>
      <c r="X31" s="22">
        <f t="shared" si="3"/>
        <v>97.941000000000017</v>
      </c>
      <c r="Y31" s="1"/>
      <c r="Z31" s="1"/>
      <c r="AA31" s="1"/>
      <c r="AB31" s="1" t="s">
        <v>185</v>
      </c>
      <c r="AC31" s="1"/>
      <c r="AD31" s="1">
        <v>4</v>
      </c>
      <c r="AE31" s="1">
        <v>3</v>
      </c>
      <c r="AF31" s="1"/>
      <c r="AG31" s="26">
        <f t="shared" si="4"/>
        <v>1.0155594960143022</v>
      </c>
      <c r="AH31" s="26">
        <f t="shared" si="5"/>
        <v>1.2241503041875122E-3</v>
      </c>
      <c r="AI31" s="26">
        <f t="shared" si="6"/>
        <v>4.2624613704066291E-4</v>
      </c>
      <c r="AJ31" s="26">
        <f t="shared" si="7"/>
        <v>0</v>
      </c>
      <c r="AK31" s="26">
        <f t="shared" si="8"/>
        <v>0.36205912157445175</v>
      </c>
      <c r="AL31" s="26">
        <f t="shared" si="9"/>
        <v>4.7916510396380499E-3</v>
      </c>
      <c r="AM31" s="26">
        <f t="shared" si="10"/>
        <v>1.5933556559804962</v>
      </c>
      <c r="AN31" s="26">
        <f t="shared" si="11"/>
        <v>4.7605013595492084E-3</v>
      </c>
      <c r="AO31" s="26">
        <f t="shared" si="12"/>
        <v>1.6528164066495845E-3</v>
      </c>
      <c r="AP31" s="26">
        <f t="shared" si="13"/>
        <v>0</v>
      </c>
      <c r="AQ31" s="26">
        <f t="shared" si="14"/>
        <v>0</v>
      </c>
      <c r="AR31" s="26">
        <f t="shared" si="15"/>
        <v>0</v>
      </c>
      <c r="AS31" s="26">
        <f t="shared" si="16"/>
        <v>0</v>
      </c>
      <c r="AT31" s="26">
        <f t="shared" si="17"/>
        <v>2.9838296388163146</v>
      </c>
      <c r="AU31" s="47"/>
      <c r="AV31" s="26">
        <f t="shared" si="18"/>
        <v>1.0210631493195852</v>
      </c>
      <c r="AW31" s="26">
        <f t="shared" si="19"/>
        <v>1.230784380176409E-3</v>
      </c>
      <c r="AX31" s="26">
        <f t="shared" si="20"/>
        <v>4.2855610604808662E-4</v>
      </c>
      <c r="AY31" s="26">
        <f t="shared" si="21"/>
        <v>0</v>
      </c>
      <c r="AZ31" s="26">
        <f t="shared" si="22"/>
        <v>0.36402123988360197</v>
      </c>
      <c r="BA31" s="26">
        <f t="shared" si="23"/>
        <v>0</v>
      </c>
      <c r="BB31" s="26">
        <f t="shared" si="24"/>
        <v>4.817618583819917E-3</v>
      </c>
      <c r="BC31" s="26">
        <f t="shared" si="25"/>
        <v>1.6019905780672319</v>
      </c>
      <c r="BD31" s="26">
        <f t="shared" si="26"/>
        <v>4.7863000932965782E-3</v>
      </c>
      <c r="BE31" s="26">
        <f t="shared" si="27"/>
        <v>1.6617735662401189E-3</v>
      </c>
      <c r="BF31" s="26">
        <f t="shared" si="28"/>
        <v>0</v>
      </c>
      <c r="BG31" s="26">
        <f t="shared" si="29"/>
        <v>0</v>
      </c>
      <c r="BH31" s="26">
        <f t="shared" si="30"/>
        <v>0</v>
      </c>
      <c r="BI31" s="26">
        <f t="shared" si="31"/>
        <v>0</v>
      </c>
      <c r="BJ31" s="25">
        <f t="shared" si="32"/>
        <v>3.0000000000000009</v>
      </c>
      <c r="BK31" s="24">
        <f t="shared" si="33"/>
        <v>4.0216773249696658</v>
      </c>
      <c r="BL31" s="26"/>
      <c r="BM31" s="51">
        <f t="shared" si="34"/>
        <v>0.81484280177775337</v>
      </c>
      <c r="BN31" s="1"/>
      <c r="BO31" s="26">
        <f t="shared" si="35"/>
        <v>0.65429427430093212</v>
      </c>
      <c r="BP31" s="26">
        <f t="shared" si="36"/>
        <v>7.886830245368053E-4</v>
      </c>
      <c r="BQ31" s="26">
        <f t="shared" si="37"/>
        <v>2.7461749705766971E-4</v>
      </c>
      <c r="BR31" s="26">
        <f t="shared" si="38"/>
        <v>0</v>
      </c>
      <c r="BS31" s="26">
        <f t="shared" si="39"/>
        <v>0.23326374391092558</v>
      </c>
      <c r="BT31" s="26">
        <f t="shared" si="40"/>
        <v>3.0871158725683679E-3</v>
      </c>
      <c r="BU31" s="26">
        <f t="shared" si="41"/>
        <v>1.0265508684863525</v>
      </c>
      <c r="BV31" s="26">
        <f t="shared" si="42"/>
        <v>3.0670470756062767E-3</v>
      </c>
      <c r="BW31" s="26">
        <f t="shared" si="43"/>
        <v>1.0648596321393999E-3</v>
      </c>
      <c r="BX31" s="26">
        <f t="shared" si="44"/>
        <v>0</v>
      </c>
      <c r="BY31" s="26">
        <f t="shared" si="45"/>
        <v>0</v>
      </c>
      <c r="BZ31" s="26">
        <f t="shared" si="46"/>
        <v>0</v>
      </c>
      <c r="CA31" s="26">
        <f t="shared" si="47"/>
        <v>0</v>
      </c>
      <c r="CB31" s="26">
        <f t="shared" si="48"/>
        <v>1.9223912098001186</v>
      </c>
      <c r="CC31" s="26">
        <f t="shared" si="49"/>
        <v>2.5770790460580466</v>
      </c>
      <c r="CD31" s="26">
        <f t="shared" si="50"/>
        <v>1.5605564490236752</v>
      </c>
      <c r="CE31" s="26">
        <f t="shared" si="51"/>
        <v>4.0216773249696658</v>
      </c>
      <c r="CF31" s="1"/>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46"/>
      <c r="DQ31" s="46"/>
      <c r="DR31" s="46"/>
      <c r="DS31" s="46"/>
      <c r="DT31" s="46"/>
      <c r="DU31" s="46"/>
      <c r="DV31" s="46"/>
      <c r="DW31" s="46"/>
    </row>
    <row r="32" spans="1:127" x14ac:dyDescent="0.25">
      <c r="A32" s="5" t="s">
        <v>93</v>
      </c>
      <c r="B32" s="1">
        <v>1105</v>
      </c>
      <c r="C32" s="98" t="s">
        <v>101</v>
      </c>
      <c r="D32" s="98" t="s">
        <v>107</v>
      </c>
      <c r="E32" s="1">
        <v>263</v>
      </c>
      <c r="F32" s="1" t="s">
        <v>184</v>
      </c>
      <c r="G32" s="22">
        <v>39.99</v>
      </c>
      <c r="H32" s="22">
        <v>2.5000000000000001E-2</v>
      </c>
      <c r="I32" s="22">
        <v>2.3E-2</v>
      </c>
      <c r="J32" s="22">
        <v>3.5999999999999997E-2</v>
      </c>
      <c r="K32" s="22">
        <v>16.78</v>
      </c>
      <c r="L32" s="22">
        <v>0.246</v>
      </c>
      <c r="M32" s="22">
        <v>42.74</v>
      </c>
      <c r="N32" s="22">
        <v>0.191</v>
      </c>
      <c r="O32" s="22">
        <v>1.2999999999999999E-2</v>
      </c>
      <c r="P32" s="22">
        <v>0</v>
      </c>
      <c r="Q32" s="22">
        <v>0</v>
      </c>
      <c r="R32" s="22"/>
      <c r="S32" s="22"/>
      <c r="T32" s="22">
        <f t="shared" si="0"/>
        <v>100.04400000000001</v>
      </c>
      <c r="U32" s="3"/>
      <c r="V32" s="22">
        <f t="shared" si="1"/>
        <v>16.78</v>
      </c>
      <c r="W32" s="22">
        <f t="shared" si="2"/>
        <v>0</v>
      </c>
      <c r="X32" s="22">
        <f t="shared" si="3"/>
        <v>100.04400000000001</v>
      </c>
      <c r="Y32" s="1"/>
      <c r="Z32" s="1"/>
      <c r="AA32" s="1"/>
      <c r="AB32" s="1" t="s">
        <v>185</v>
      </c>
      <c r="AC32" s="1"/>
      <c r="AD32" s="1">
        <v>4</v>
      </c>
      <c r="AE32" s="1">
        <v>3</v>
      </c>
      <c r="AF32" s="1"/>
      <c r="AG32" s="26">
        <f t="shared" si="4"/>
        <v>1.010643927561971</v>
      </c>
      <c r="AH32" s="26">
        <f t="shared" si="5"/>
        <v>4.7520241953267491E-4</v>
      </c>
      <c r="AI32" s="26">
        <f t="shared" si="6"/>
        <v>6.8502227796171959E-4</v>
      </c>
      <c r="AJ32" s="26">
        <f t="shared" si="7"/>
        <v>7.1927368579602466E-4</v>
      </c>
      <c r="AK32" s="26">
        <f t="shared" si="8"/>
        <v>0.35460256667428913</v>
      </c>
      <c r="AL32" s="26">
        <f t="shared" si="9"/>
        <v>5.2652696030326684E-3</v>
      </c>
      <c r="AM32" s="26">
        <f t="shared" si="10"/>
        <v>1.6102976622300973</v>
      </c>
      <c r="AN32" s="26">
        <f t="shared" si="11"/>
        <v>5.1713276255375062E-3</v>
      </c>
      <c r="AO32" s="26">
        <f t="shared" si="12"/>
        <v>6.3693991679833614E-4</v>
      </c>
      <c r="AP32" s="26">
        <f t="shared" si="13"/>
        <v>0</v>
      </c>
      <c r="AQ32" s="26">
        <f t="shared" si="14"/>
        <v>0</v>
      </c>
      <c r="AR32" s="26">
        <f t="shared" si="15"/>
        <v>0</v>
      </c>
      <c r="AS32" s="26">
        <f t="shared" si="16"/>
        <v>0</v>
      </c>
      <c r="AT32" s="26">
        <f t="shared" si="17"/>
        <v>2.9884971919950161</v>
      </c>
      <c r="AU32" s="47"/>
      <c r="AV32" s="26">
        <f t="shared" si="18"/>
        <v>1.0145339238755986</v>
      </c>
      <c r="AW32" s="26">
        <f t="shared" si="19"/>
        <v>4.7703148673408624E-4</v>
      </c>
      <c r="AX32" s="26">
        <f t="shared" si="20"/>
        <v>6.8765894757734998E-4</v>
      </c>
      <c r="AY32" s="26">
        <f t="shared" si="21"/>
        <v>7.2204219002380517E-4</v>
      </c>
      <c r="AZ32" s="26">
        <f t="shared" si="22"/>
        <v>0.35596744172033384</v>
      </c>
      <c r="BA32" s="26">
        <f t="shared" si="23"/>
        <v>0</v>
      </c>
      <c r="BB32" s="26">
        <f t="shared" si="24"/>
        <v>5.2855357707575004E-3</v>
      </c>
      <c r="BC32" s="26">
        <f t="shared" si="25"/>
        <v>1.6164957422848893</v>
      </c>
      <c r="BD32" s="26">
        <f t="shared" si="26"/>
        <v>5.1912322080034899E-3</v>
      </c>
      <c r="BE32" s="26">
        <f t="shared" si="27"/>
        <v>6.3939151608150306E-4</v>
      </c>
      <c r="BF32" s="26">
        <f t="shared" si="28"/>
        <v>0</v>
      </c>
      <c r="BG32" s="26">
        <f t="shared" si="29"/>
        <v>0</v>
      </c>
      <c r="BH32" s="26">
        <f t="shared" si="30"/>
        <v>0</v>
      </c>
      <c r="BI32" s="26">
        <f t="shared" si="31"/>
        <v>0</v>
      </c>
      <c r="BJ32" s="25">
        <f t="shared" si="32"/>
        <v>2.9999999999999996</v>
      </c>
      <c r="BK32" s="24">
        <f t="shared" si="33"/>
        <v>4.0153961101730919</v>
      </c>
      <c r="BL32" s="26"/>
      <c r="BM32" s="51">
        <f t="shared" si="34"/>
        <v>0.81953151541337399</v>
      </c>
      <c r="BN32" s="1"/>
      <c r="BO32" s="26">
        <f t="shared" si="35"/>
        <v>0.66561251664447407</v>
      </c>
      <c r="BP32" s="26">
        <f t="shared" si="36"/>
        <v>3.1296945418127193E-4</v>
      </c>
      <c r="BQ32" s="26">
        <f t="shared" si="37"/>
        <v>4.5115731659474303E-4</v>
      </c>
      <c r="BR32" s="26">
        <f t="shared" si="38"/>
        <v>4.7371537601157966E-4</v>
      </c>
      <c r="BS32" s="26">
        <f t="shared" si="39"/>
        <v>0.23354210160055675</v>
      </c>
      <c r="BT32" s="26">
        <f t="shared" si="40"/>
        <v>3.4677191993233718E-3</v>
      </c>
      <c r="BU32" s="26">
        <f t="shared" si="41"/>
        <v>1.0605459057071962</v>
      </c>
      <c r="BV32" s="26">
        <f t="shared" si="42"/>
        <v>3.4058487874465051E-3</v>
      </c>
      <c r="BW32" s="26">
        <f t="shared" si="43"/>
        <v>4.1949015811552112E-4</v>
      </c>
      <c r="BX32" s="26">
        <f t="shared" si="44"/>
        <v>0</v>
      </c>
      <c r="BY32" s="26">
        <f t="shared" si="45"/>
        <v>0</v>
      </c>
      <c r="BZ32" s="26">
        <f t="shared" si="46"/>
        <v>0</v>
      </c>
      <c r="CA32" s="26">
        <f t="shared" si="47"/>
        <v>0</v>
      </c>
      <c r="CB32" s="26">
        <f t="shared" si="48"/>
        <v>1.9682314242439001</v>
      </c>
      <c r="CC32" s="26">
        <f t="shared" si="49"/>
        <v>2.6344096016098009</v>
      </c>
      <c r="CD32" s="26">
        <f t="shared" si="50"/>
        <v>1.5242110064127523</v>
      </c>
      <c r="CE32" s="26">
        <f t="shared" si="51"/>
        <v>4.0153961101730928</v>
      </c>
      <c r="CF32" s="1"/>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46"/>
      <c r="DQ32" s="46"/>
      <c r="DR32" s="46"/>
      <c r="DS32" s="46"/>
      <c r="DT32" s="46"/>
      <c r="DU32" s="46"/>
      <c r="DV32" s="46"/>
      <c r="DW32" s="46"/>
    </row>
    <row r="33" spans="1:127" x14ac:dyDescent="0.25">
      <c r="A33" s="5" t="s">
        <v>93</v>
      </c>
      <c r="B33" s="1">
        <v>1106</v>
      </c>
      <c r="C33" s="98" t="s">
        <v>101</v>
      </c>
      <c r="D33" s="98" t="s">
        <v>107</v>
      </c>
      <c r="E33" s="1">
        <v>264</v>
      </c>
      <c r="F33" s="1" t="s">
        <v>184</v>
      </c>
      <c r="G33" s="22">
        <v>39.369999999999997</v>
      </c>
      <c r="H33" s="22">
        <v>0</v>
      </c>
      <c r="I33" s="22">
        <v>4.7E-2</v>
      </c>
      <c r="J33" s="22">
        <v>0</v>
      </c>
      <c r="K33" s="22">
        <v>15.91</v>
      </c>
      <c r="L33" s="22">
        <v>0.28499999999999998</v>
      </c>
      <c r="M33" s="22">
        <v>42.46</v>
      </c>
      <c r="N33" s="22">
        <v>0.17899999999999999</v>
      </c>
      <c r="O33" s="22">
        <v>0</v>
      </c>
      <c r="P33" s="22">
        <v>0</v>
      </c>
      <c r="Q33" s="22">
        <v>0</v>
      </c>
      <c r="R33" s="22"/>
      <c r="S33" s="22"/>
      <c r="T33" s="22">
        <f t="shared" si="0"/>
        <v>98.251000000000005</v>
      </c>
      <c r="U33" s="3"/>
      <c r="V33" s="22">
        <f t="shared" si="1"/>
        <v>15.91</v>
      </c>
      <c r="W33" s="22">
        <f t="shared" si="2"/>
        <v>0</v>
      </c>
      <c r="X33" s="22">
        <f t="shared" si="3"/>
        <v>98.250999999999991</v>
      </c>
      <c r="Y33" s="1"/>
      <c r="Z33" s="1"/>
      <c r="AA33" s="1"/>
      <c r="AB33" s="1" t="s">
        <v>185</v>
      </c>
      <c r="AC33" s="1"/>
      <c r="AD33" s="1">
        <v>4</v>
      </c>
      <c r="AE33" s="1">
        <v>3</v>
      </c>
      <c r="AF33" s="1"/>
      <c r="AG33" s="26">
        <f t="shared" si="4"/>
        <v>1.0103931787275862</v>
      </c>
      <c r="AH33" s="26">
        <f t="shared" si="5"/>
        <v>0</v>
      </c>
      <c r="AI33" s="26">
        <f t="shared" si="6"/>
        <v>1.4215198927855829E-3</v>
      </c>
      <c r="AJ33" s="26">
        <f t="shared" si="7"/>
        <v>0</v>
      </c>
      <c r="AK33" s="26">
        <f t="shared" si="8"/>
        <v>0.34142736154674053</v>
      </c>
      <c r="AL33" s="26">
        <f t="shared" si="9"/>
        <v>6.1945332820212357E-3</v>
      </c>
      <c r="AM33" s="26">
        <f t="shared" si="10"/>
        <v>1.6245379400974154</v>
      </c>
      <c r="AN33" s="26">
        <f t="shared" si="11"/>
        <v>4.9215277794728701E-3</v>
      </c>
      <c r="AO33" s="26">
        <f t="shared" si="12"/>
        <v>0</v>
      </c>
      <c r="AP33" s="26">
        <f t="shared" si="13"/>
        <v>0</v>
      </c>
      <c r="AQ33" s="26">
        <f t="shared" si="14"/>
        <v>0</v>
      </c>
      <c r="AR33" s="26">
        <f t="shared" si="15"/>
        <v>0</v>
      </c>
      <c r="AS33" s="26">
        <f t="shared" si="16"/>
        <v>0</v>
      </c>
      <c r="AT33" s="26">
        <f t="shared" si="17"/>
        <v>2.988896061326022</v>
      </c>
      <c r="AU33" s="47"/>
      <c r="AV33" s="26">
        <f t="shared" si="18"/>
        <v>1.0141468535503297</v>
      </c>
      <c r="AW33" s="26">
        <f t="shared" si="19"/>
        <v>0</v>
      </c>
      <c r="AX33" s="26">
        <f t="shared" si="20"/>
        <v>1.4268009294591459E-3</v>
      </c>
      <c r="AY33" s="26">
        <f t="shared" si="21"/>
        <v>0</v>
      </c>
      <c r="AZ33" s="26">
        <f t="shared" si="22"/>
        <v>0.34269578587680949</v>
      </c>
      <c r="BA33" s="26">
        <f t="shared" si="23"/>
        <v>0</v>
      </c>
      <c r="BB33" s="26">
        <f t="shared" si="24"/>
        <v>6.2175463665401281E-3</v>
      </c>
      <c r="BC33" s="26">
        <f t="shared" si="25"/>
        <v>1.6305732017091523</v>
      </c>
      <c r="BD33" s="26">
        <f t="shared" si="26"/>
        <v>4.9398115677091537E-3</v>
      </c>
      <c r="BE33" s="26">
        <f t="shared" si="27"/>
        <v>0</v>
      </c>
      <c r="BF33" s="26">
        <f t="shared" si="28"/>
        <v>0</v>
      </c>
      <c r="BG33" s="26">
        <f t="shared" si="29"/>
        <v>0</v>
      </c>
      <c r="BH33" s="26">
        <f t="shared" si="30"/>
        <v>0</v>
      </c>
      <c r="BI33" s="26">
        <f t="shared" si="31"/>
        <v>0</v>
      </c>
      <c r="BJ33" s="25">
        <f t="shared" si="32"/>
        <v>3</v>
      </c>
      <c r="BK33" s="24">
        <f t="shared" si="33"/>
        <v>4.0148602540150593</v>
      </c>
      <c r="BL33" s="26"/>
      <c r="BM33" s="51">
        <f t="shared" si="34"/>
        <v>0.82633093205602282</v>
      </c>
      <c r="BN33" s="1"/>
      <c r="BO33" s="26">
        <f t="shared" si="35"/>
        <v>0.65529294274300931</v>
      </c>
      <c r="BP33" s="26">
        <f t="shared" si="36"/>
        <v>0</v>
      </c>
      <c r="BQ33" s="26">
        <f t="shared" si="37"/>
        <v>9.2193016869360537E-4</v>
      </c>
      <c r="BR33" s="26">
        <f t="shared" si="38"/>
        <v>0</v>
      </c>
      <c r="BS33" s="26">
        <f t="shared" si="39"/>
        <v>0.22143354210160057</v>
      </c>
      <c r="BT33" s="26">
        <f t="shared" si="40"/>
        <v>4.0174795601917107E-3</v>
      </c>
      <c r="BU33" s="26">
        <f t="shared" si="41"/>
        <v>1.0535980148883375</v>
      </c>
      <c r="BV33" s="26">
        <f t="shared" si="42"/>
        <v>3.1918687589158343E-3</v>
      </c>
      <c r="BW33" s="26">
        <f t="shared" si="43"/>
        <v>0</v>
      </c>
      <c r="BX33" s="26">
        <f t="shared" si="44"/>
        <v>0</v>
      </c>
      <c r="BY33" s="26">
        <f t="shared" si="45"/>
        <v>0</v>
      </c>
      <c r="BZ33" s="26">
        <f t="shared" si="46"/>
        <v>0</v>
      </c>
      <c r="CA33" s="26">
        <f t="shared" si="47"/>
        <v>0</v>
      </c>
      <c r="CB33" s="26">
        <f t="shared" si="48"/>
        <v>1.9384557782207485</v>
      </c>
      <c r="CC33" s="26">
        <f t="shared" si="49"/>
        <v>2.5942096860481043</v>
      </c>
      <c r="CD33" s="26">
        <f t="shared" si="50"/>
        <v>1.5476236464644098</v>
      </c>
      <c r="CE33" s="26">
        <f t="shared" si="51"/>
        <v>4.0148602540150584</v>
      </c>
      <c r="CF33" s="1"/>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46"/>
      <c r="DQ33" s="46"/>
      <c r="DR33" s="46"/>
      <c r="DS33" s="46"/>
      <c r="DT33" s="46"/>
      <c r="DU33" s="46"/>
      <c r="DV33" s="46"/>
      <c r="DW33" s="46"/>
    </row>
    <row r="34" spans="1:127" x14ac:dyDescent="0.25">
      <c r="A34" s="5" t="s">
        <v>93</v>
      </c>
      <c r="B34" s="1">
        <v>1107</v>
      </c>
      <c r="C34" s="98" t="s">
        <v>101</v>
      </c>
      <c r="D34" s="98" t="s">
        <v>107</v>
      </c>
      <c r="E34" s="1">
        <v>265</v>
      </c>
      <c r="F34" s="1" t="s">
        <v>184</v>
      </c>
      <c r="G34" s="22">
        <v>39.28</v>
      </c>
      <c r="H34" s="22">
        <v>2.1000000000000001E-2</v>
      </c>
      <c r="I34" s="22">
        <v>8.9999999999999993E-3</v>
      </c>
      <c r="J34" s="22">
        <v>0</v>
      </c>
      <c r="K34" s="22">
        <v>17.739999999999998</v>
      </c>
      <c r="L34" s="22">
        <v>0.29199999999999998</v>
      </c>
      <c r="M34" s="22">
        <v>42.63</v>
      </c>
      <c r="N34" s="22">
        <v>0.20300000000000001</v>
      </c>
      <c r="O34" s="22">
        <v>1.9E-2</v>
      </c>
      <c r="P34" s="22">
        <v>1.2999999999999999E-2</v>
      </c>
      <c r="Q34" s="22">
        <v>0</v>
      </c>
      <c r="R34" s="22"/>
      <c r="S34" s="22"/>
      <c r="T34" s="22">
        <f t="shared" ref="T34:T65" si="52">SUM(G34:S34)</f>
        <v>100.20700000000002</v>
      </c>
      <c r="U34" s="3"/>
      <c r="V34" s="22">
        <f t="shared" ref="V34:V61" si="53">K34*AZ34/(AZ34+BA34)</f>
        <v>17.429873070626911</v>
      </c>
      <c r="W34" s="22">
        <f t="shared" ref="W34:W61" si="54">1.1113*K34*BA34/(AZ34+BA34)</f>
        <v>0.34464405661231123</v>
      </c>
      <c r="X34" s="22">
        <f t="shared" ref="X34:X65" si="55">SUM(G34:J34)+SUM(L34:S34)+SUM(V34:W34)</f>
        <v>100.24151712723923</v>
      </c>
      <c r="Y34" s="1"/>
      <c r="Z34" s="1"/>
      <c r="AA34" s="1"/>
      <c r="AB34" s="1" t="s">
        <v>185</v>
      </c>
      <c r="AC34" s="1"/>
      <c r="AD34" s="1">
        <v>4</v>
      </c>
      <c r="AE34" s="1">
        <v>3</v>
      </c>
      <c r="AF34" s="1"/>
      <c r="AG34" s="26">
        <f t="shared" ref="AG34:AG61" si="56">BO34*($AD34/$CC34)</f>
        <v>0.99767254828206464</v>
      </c>
      <c r="AH34" s="26">
        <f t="shared" ref="AH34:AH61" si="57">BP34*($AD34/$CC34)</f>
        <v>4.0116931402593822E-4</v>
      </c>
      <c r="AI34" s="26">
        <f t="shared" ref="AI34:AI61" si="58">BQ34*($AD34/$CC34)</f>
        <v>2.6939476100761028E-4</v>
      </c>
      <c r="AJ34" s="26">
        <f t="shared" ref="AJ34:AJ61" si="59">BR34*($AD34/$CC34)</f>
        <v>0</v>
      </c>
      <c r="AK34" s="26">
        <f t="shared" ref="AK34:AK61" si="60">BS34*($AD34/$CC34)</f>
        <v>0.37676739320006164</v>
      </c>
      <c r="AL34" s="26">
        <f t="shared" ref="AL34:AL61" si="61">BT34*($AD34/$CC34)</f>
        <v>6.2811350993344115E-3</v>
      </c>
      <c r="AM34" s="26">
        <f t="shared" ref="AM34:AM61" si="62">BU34*($AD34/$CC34)</f>
        <v>1.6141978102460459</v>
      </c>
      <c r="AN34" s="26">
        <f t="shared" ref="AN34:AN61" si="63">BV34*($AD34/$CC34)</f>
        <v>5.523756177647208E-3</v>
      </c>
      <c r="AO34" s="26">
        <f t="shared" ref="AO34:AO61" si="64">BW34*($AD34/$CC34)</f>
        <v>9.3557474958657445E-4</v>
      </c>
      <c r="AP34" s="26">
        <f t="shared" ref="AP34:AP61" si="65">BX34*($AD34/$CC34)</f>
        <v>4.2118113684874644E-4</v>
      </c>
      <c r="AQ34" s="26">
        <f t="shared" ref="AQ34:AQ61" si="66">BY34*($AD34/$CC34)</f>
        <v>0</v>
      </c>
      <c r="AR34" s="26">
        <f t="shared" ref="AR34:AR61" si="67">BZ34*($AD34/$CC34)</f>
        <v>0</v>
      </c>
      <c r="AS34" s="26">
        <f t="shared" ref="AS34:AS61" si="68">CA34*($AD34/$CC34)</f>
        <v>0</v>
      </c>
      <c r="AT34" s="26">
        <f t="shared" ref="AT34:AT61" si="69">SUM(AG34:AR34)</f>
        <v>3.0024699629666229</v>
      </c>
      <c r="AU34" s="47"/>
      <c r="AV34" s="26">
        <f t="shared" ref="AV34:AV61" si="70">IF($AE34&gt;0,BO34*$CD34,"")</f>
        <v>0.99685181925647315</v>
      </c>
      <c r="AW34" s="26">
        <f t="shared" ref="AW34:AW61" si="71">IF($AE34&gt;0,BP34*$CD34,"")</f>
        <v>4.0083929462151073E-4</v>
      </c>
      <c r="AX34" s="26">
        <f t="shared" ref="AX34:AX61" si="72">IF($AE34&gt;0,BQ34*$CD34,"")</f>
        <v>2.6917314510760187E-4</v>
      </c>
      <c r="AY34" s="26">
        <f t="shared" ref="AY34:AY61" si="73">IF($AE34&gt;0,BR34*$CD34,"")</f>
        <v>0</v>
      </c>
      <c r="AZ34" s="26">
        <f t="shared" ref="AZ34:AZ65" si="74">IF($AE34&gt;0 +N("so a blank cell if no ideal cations set"),                         BS34*CD34-BA34,"")</f>
        <v>0.36987629836933278</v>
      </c>
      <c r="BA34" s="26">
        <f t="shared" ref="BA34:BA61" si="75">IF($AE34&gt;0 +N("so a blank cell if no ideal cations set"),                                                                     IF(AT34&gt;AE34,                          IF(  2*AD34*(1-(AE34/AT34))   &lt;   BS34*CD34,    2*AD34*(1-(AE34/AT34)),    BS34*CD34),0),"")</f>
        <v>6.5811495124696862E-3</v>
      </c>
      <c r="BB34" s="26">
        <f t="shared" ref="BB34:BB61" si="76">IF($AE34&gt;0,BT34*$CD34,"")</f>
        <v>6.2759679631848178E-3</v>
      </c>
      <c r="BC34" s="26">
        <f t="shared" ref="BC34:BC61" si="77">IF($AE34&gt;0,BU34*$CD34,"")</f>
        <v>1.6128699006045544</v>
      </c>
      <c r="BD34" s="26">
        <f t="shared" ref="BD34:BD61" si="78">IF($AE34&gt;0,BV34*$CD34,"")</f>
        <v>5.5192120944877673E-3</v>
      </c>
      <c r="BE34" s="26">
        <f t="shared" ref="BE34:BE61" si="79">IF($AE34&gt;0,BW34*$CD34,"")</f>
        <v>9.3480510492318432E-4</v>
      </c>
      <c r="BF34" s="26">
        <f t="shared" ref="BF34:BF61" si="80">IF($AE34&gt;0,BX34*$CD34,"")</f>
        <v>4.2083465484456722E-4</v>
      </c>
      <c r="BG34" s="26">
        <f t="shared" ref="BG34:BG61" si="81">IF($AE34&gt;0,BY34*$CD34,"")</f>
        <v>0</v>
      </c>
      <c r="BH34" s="26">
        <f t="shared" ref="BH34:BH61" si="82">IF($AE34&gt;0,BZ34*$CD34,"")</f>
        <v>0</v>
      </c>
      <c r="BI34" s="26">
        <f t="shared" ref="BI34:BI61" si="83">IF($AE34&gt;0,CA34*$CD34,"")</f>
        <v>0</v>
      </c>
      <c r="BJ34" s="25">
        <f t="shared" ref="BJ34:BJ61" si="84">IF(AE34&gt;0,SUM(AV34:BH34),"")</f>
        <v>2.9999999999999991</v>
      </c>
      <c r="BK34" s="24">
        <f t="shared" ref="BK34:BK61" si="85">(AV34+AW34)*2+(AX34+AY34+BA34)*1.5+AZ34+BB34+BC34+BD34+(BE34+BF34)*0.5+BG34*2.5+BH34*3  -(0.5*(BI34))</f>
        <v>3.9999999999999991</v>
      </c>
      <c r="BL34" s="26"/>
      <c r="BM34" s="51">
        <f t="shared" ref="BM34:BM61" si="86">AM34/(AM34+AK34)</f>
        <v>0.8107614374435449</v>
      </c>
      <c r="BN34" s="1"/>
      <c r="BO34" s="26">
        <f t="shared" ref="BO34:BO61" si="87">G34/60.08</f>
        <v>0.65379494007989347</v>
      </c>
      <c r="BP34" s="26">
        <f t="shared" ref="BP34:BP61" si="88">H34/79.88</f>
        <v>2.6289434151226845E-4</v>
      </c>
      <c r="BQ34" s="26">
        <f t="shared" ref="BQ34:BQ61" si="89">I34/101.96*2</f>
        <v>1.7653981953707335E-4</v>
      </c>
      <c r="BR34" s="26">
        <f t="shared" ref="BR34:BR61" si="90">J34/151.99*2</f>
        <v>0</v>
      </c>
      <c r="BS34" s="26">
        <f t="shared" ref="BS34:BS61" si="91">K34/71.85</f>
        <v>0.24690327070285317</v>
      </c>
      <c r="BT34" s="26">
        <f t="shared" ref="BT34:BT61" si="92">L34/70.94</f>
        <v>4.1161544967578236E-3</v>
      </c>
      <c r="BU34" s="26">
        <f t="shared" ref="BU34:BU61" si="93">M34/40.3</f>
        <v>1.0578163771712161</v>
      </c>
      <c r="BV34" s="26">
        <f t="shared" ref="BV34:BV61" si="94">N34/56.08</f>
        <v>3.6198288159771759E-3</v>
      </c>
      <c r="BW34" s="26">
        <f t="shared" ref="BW34:BW61" si="95">O34/61.98*2</f>
        <v>6.1310100032268471E-4</v>
      </c>
      <c r="BX34" s="26">
        <f t="shared" ref="BX34:BX61" si="96">P34/94.2*2</f>
        <v>2.7600849256900208E-4</v>
      </c>
      <c r="BY34" s="26">
        <f t="shared" ref="BY34:BY61" si="97">Q34/141.94*2</f>
        <v>0</v>
      </c>
      <c r="BZ34" s="26">
        <f t="shared" ref="BZ34:BZ61" si="98">R34/80.06</f>
        <v>0</v>
      </c>
      <c r="CA34" s="26">
        <f t="shared" ref="CA34:CA61" si="99">S34/35.45</f>
        <v>0</v>
      </c>
      <c r="CB34" s="26">
        <f t="shared" ref="CB34:CB61" si="100">SUM(BO34:BZ34)</f>
        <v>1.967579114920639</v>
      </c>
      <c r="CC34" s="26">
        <f t="shared" ref="CC34:CC61" si="101">(BO34+BP34)*2+(BQ34+BR34)*1.5+BS34+BT34+BU34+BV34+(BW34+BX34)*0.5+BY34*2.5+BZ34*3+     -(0.5*(CA34))</f>
        <v>2.6212806645053677</v>
      </c>
      <c r="CD34" s="26">
        <f t="shared" ref="CD34:CD61" si="102">AE34/CB34</f>
        <v>1.5247163263983938</v>
      </c>
      <c r="CE34" s="26">
        <f t="shared" ref="CE34:CE65" si="103">CC34*CD34</f>
        <v>3.9967094252437647</v>
      </c>
      <c r="CF34" s="1"/>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46"/>
      <c r="DQ34" s="46"/>
      <c r="DR34" s="46"/>
      <c r="DS34" s="46"/>
      <c r="DT34" s="46"/>
      <c r="DU34" s="46"/>
      <c r="DV34" s="46"/>
      <c r="DW34" s="46"/>
    </row>
    <row r="35" spans="1:127" x14ac:dyDescent="0.25">
      <c r="A35" s="5" t="s">
        <v>93</v>
      </c>
      <c r="B35" s="1">
        <v>1108</v>
      </c>
      <c r="C35" s="98" t="s">
        <v>101</v>
      </c>
      <c r="D35" s="98" t="s">
        <v>107</v>
      </c>
      <c r="E35" s="1">
        <v>266</v>
      </c>
      <c r="F35" s="1" t="s">
        <v>184</v>
      </c>
      <c r="G35" s="22">
        <v>40.090000000000003</v>
      </c>
      <c r="H35" s="22">
        <v>2.1999999999999999E-2</v>
      </c>
      <c r="I35" s="22">
        <v>3.7999999999999999E-2</v>
      </c>
      <c r="J35" s="22">
        <v>2.5999999999999999E-2</v>
      </c>
      <c r="K35" s="22">
        <v>16.899999999999999</v>
      </c>
      <c r="L35" s="22">
        <v>0.30399999999999999</v>
      </c>
      <c r="M35" s="22">
        <v>43.13</v>
      </c>
      <c r="N35" s="22">
        <v>0.191</v>
      </c>
      <c r="O35" s="22">
        <v>0.01</v>
      </c>
      <c r="P35" s="22">
        <v>0</v>
      </c>
      <c r="Q35" s="22">
        <v>0</v>
      </c>
      <c r="R35" s="22"/>
      <c r="S35" s="22"/>
      <c r="T35" s="22">
        <f t="shared" si="52"/>
        <v>100.71100000000001</v>
      </c>
      <c r="U35" s="3"/>
      <c r="V35" s="22">
        <f t="shared" si="53"/>
        <v>16.899999999999999</v>
      </c>
      <c r="W35" s="22">
        <f t="shared" si="54"/>
        <v>0</v>
      </c>
      <c r="X35" s="22">
        <f t="shared" si="55"/>
        <v>100.71100000000001</v>
      </c>
      <c r="Y35" s="1"/>
      <c r="Z35" s="1"/>
      <c r="AA35" s="1"/>
      <c r="AB35" s="1" t="s">
        <v>185</v>
      </c>
      <c r="AC35" s="1"/>
      <c r="AD35" s="1">
        <v>4</v>
      </c>
      <c r="AE35" s="1">
        <v>3</v>
      </c>
      <c r="AF35" s="1"/>
      <c r="AG35" s="26">
        <f t="shared" si="56"/>
        <v>1.0072013492774634</v>
      </c>
      <c r="AH35" s="26">
        <f t="shared" si="57"/>
        <v>4.1571413475319615E-4</v>
      </c>
      <c r="AI35" s="26">
        <f t="shared" si="58"/>
        <v>1.1251072730796762E-3</v>
      </c>
      <c r="AJ35" s="26">
        <f t="shared" si="59"/>
        <v>5.1641458001795443E-4</v>
      </c>
      <c r="AK35" s="26">
        <f t="shared" si="60"/>
        <v>0.35503412533753503</v>
      </c>
      <c r="AL35" s="26">
        <f t="shared" si="61"/>
        <v>6.4683359212406978E-3</v>
      </c>
      <c r="AM35" s="26">
        <f t="shared" si="62"/>
        <v>1.6154167386381675</v>
      </c>
      <c r="AN35" s="26">
        <f t="shared" si="63"/>
        <v>5.1408570638214026E-3</v>
      </c>
      <c r="AO35" s="26">
        <f t="shared" si="64"/>
        <v>4.8706687031132201E-4</v>
      </c>
      <c r="AP35" s="26">
        <f t="shared" si="65"/>
        <v>0</v>
      </c>
      <c r="AQ35" s="26">
        <f t="shared" si="66"/>
        <v>0</v>
      </c>
      <c r="AR35" s="26">
        <f t="shared" si="67"/>
        <v>0</v>
      </c>
      <c r="AS35" s="26">
        <f t="shared" si="68"/>
        <v>0</v>
      </c>
      <c r="AT35" s="26">
        <f t="shared" si="69"/>
        <v>2.9918057090963903</v>
      </c>
      <c r="AU35" s="47"/>
      <c r="AV35" s="26">
        <f t="shared" si="70"/>
        <v>1.0099599845823544</v>
      </c>
      <c r="AW35" s="26">
        <f t="shared" si="71"/>
        <v>4.1685273895551879E-4</v>
      </c>
      <c r="AX35" s="26">
        <f t="shared" si="72"/>
        <v>1.1281888422689289E-3</v>
      </c>
      <c r="AY35" s="26">
        <f t="shared" si="73"/>
        <v>5.1782899382252288E-4</v>
      </c>
      <c r="AZ35" s="26">
        <f t="shared" si="74"/>
        <v>0.35600653236746982</v>
      </c>
      <c r="BA35" s="26">
        <f t="shared" si="75"/>
        <v>0</v>
      </c>
      <c r="BB35" s="26">
        <f t="shared" si="76"/>
        <v>6.486052120537919E-3</v>
      </c>
      <c r="BC35" s="26">
        <f t="shared" si="77"/>
        <v>1.6198412220351726</v>
      </c>
      <c r="BD35" s="26">
        <f t="shared" si="78"/>
        <v>5.1549374160804913E-3</v>
      </c>
      <c r="BE35" s="26">
        <f t="shared" si="79"/>
        <v>4.8840090333783395E-4</v>
      </c>
      <c r="BF35" s="26">
        <f t="shared" si="80"/>
        <v>0</v>
      </c>
      <c r="BG35" s="26">
        <f t="shared" si="81"/>
        <v>0</v>
      </c>
      <c r="BH35" s="26">
        <f t="shared" si="82"/>
        <v>0</v>
      </c>
      <c r="BI35" s="26">
        <f t="shared" si="83"/>
        <v>0</v>
      </c>
      <c r="BJ35" s="25">
        <f t="shared" si="84"/>
        <v>3</v>
      </c>
      <c r="BK35" s="24">
        <f t="shared" si="85"/>
        <v>4.0109556457876874</v>
      </c>
      <c r="BL35" s="26"/>
      <c r="BM35" s="51">
        <f t="shared" si="86"/>
        <v>0.81982086849849356</v>
      </c>
      <c r="BN35" s="1"/>
      <c r="BO35" s="26">
        <f t="shared" si="87"/>
        <v>0.66727696404793613</v>
      </c>
      <c r="BP35" s="26">
        <f t="shared" si="88"/>
        <v>2.7541311967951929E-4</v>
      </c>
      <c r="BQ35" s="26">
        <f t="shared" si="89"/>
        <v>7.4539034915653199E-4</v>
      </c>
      <c r="BR35" s="26">
        <f t="shared" si="90"/>
        <v>3.4212777156391862E-4</v>
      </c>
      <c r="BS35" s="26">
        <f t="shared" si="91"/>
        <v>0.23521224773834376</v>
      </c>
      <c r="BT35" s="26">
        <f t="shared" si="92"/>
        <v>4.2853115308711586E-3</v>
      </c>
      <c r="BU35" s="26">
        <f t="shared" si="93"/>
        <v>1.0702233250620348</v>
      </c>
      <c r="BV35" s="26">
        <f t="shared" si="94"/>
        <v>3.4058487874465051E-3</v>
      </c>
      <c r="BW35" s="26">
        <f t="shared" si="95"/>
        <v>3.2268473701193938E-4</v>
      </c>
      <c r="BX35" s="26">
        <f t="shared" si="96"/>
        <v>0</v>
      </c>
      <c r="BY35" s="26">
        <f t="shared" si="97"/>
        <v>0</v>
      </c>
      <c r="BZ35" s="26">
        <f t="shared" si="98"/>
        <v>0</v>
      </c>
      <c r="CA35" s="26">
        <f t="shared" si="99"/>
        <v>0</v>
      </c>
      <c r="CB35" s="26">
        <f t="shared" si="100"/>
        <v>1.9820893131440442</v>
      </c>
      <c r="CC35" s="26">
        <f t="shared" si="101"/>
        <v>2.6500241070035142</v>
      </c>
      <c r="CD35" s="26">
        <f t="shared" si="102"/>
        <v>1.5135543994439473</v>
      </c>
      <c r="CE35" s="26">
        <f t="shared" si="103"/>
        <v>4.0109556457876865</v>
      </c>
      <c r="CF35" s="1"/>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46"/>
      <c r="DQ35" s="46"/>
      <c r="DR35" s="46"/>
      <c r="DS35" s="46"/>
      <c r="DT35" s="46"/>
      <c r="DU35" s="46"/>
      <c r="DV35" s="46"/>
      <c r="DW35" s="46"/>
    </row>
    <row r="36" spans="1:127" x14ac:dyDescent="0.25">
      <c r="A36" s="5" t="s">
        <v>93</v>
      </c>
      <c r="B36" s="1">
        <v>1109</v>
      </c>
      <c r="C36" s="98" t="s">
        <v>101</v>
      </c>
      <c r="D36" s="98" t="s">
        <v>107</v>
      </c>
      <c r="E36" s="1">
        <v>267</v>
      </c>
      <c r="F36" s="1" t="s">
        <v>184</v>
      </c>
      <c r="G36" s="22">
        <v>39.880000000000003</v>
      </c>
      <c r="H36" s="22">
        <v>0</v>
      </c>
      <c r="I36" s="22">
        <v>3.2000000000000001E-2</v>
      </c>
      <c r="J36" s="22">
        <v>1.2999999999999999E-2</v>
      </c>
      <c r="K36" s="22">
        <v>17.43</v>
      </c>
      <c r="L36" s="22">
        <v>0.311</v>
      </c>
      <c r="M36" s="22">
        <v>42.26</v>
      </c>
      <c r="N36" s="22">
        <v>0.21</v>
      </c>
      <c r="O36" s="22">
        <v>0</v>
      </c>
      <c r="P36" s="22">
        <v>0</v>
      </c>
      <c r="Q36" s="22">
        <v>0</v>
      </c>
      <c r="R36" s="22"/>
      <c r="S36" s="22"/>
      <c r="T36" s="22">
        <f t="shared" si="52"/>
        <v>100.13599999999998</v>
      </c>
      <c r="U36" s="3"/>
      <c r="V36" s="22">
        <f t="shared" si="53"/>
        <v>17.43</v>
      </c>
      <c r="W36" s="22">
        <f t="shared" si="54"/>
        <v>0</v>
      </c>
      <c r="X36" s="22">
        <f t="shared" si="55"/>
        <v>100.136</v>
      </c>
      <c r="Y36" s="1"/>
      <c r="Z36" s="1"/>
      <c r="AA36" s="1"/>
      <c r="AB36" s="1" t="s">
        <v>185</v>
      </c>
      <c r="AC36" s="1"/>
      <c r="AD36" s="1">
        <v>4</v>
      </c>
      <c r="AE36" s="1">
        <v>3</v>
      </c>
      <c r="AF36" s="1"/>
      <c r="AG36" s="26">
        <f t="shared" si="56"/>
        <v>1.0102782863915132</v>
      </c>
      <c r="AH36" s="26">
        <f t="shared" si="57"/>
        <v>0</v>
      </c>
      <c r="AI36" s="26">
        <f t="shared" si="58"/>
        <v>9.5535755082276435E-4</v>
      </c>
      <c r="AJ36" s="26">
        <f t="shared" si="59"/>
        <v>2.6035991809998958E-4</v>
      </c>
      <c r="AK36" s="26">
        <f t="shared" si="60"/>
        <v>0.36922101166086596</v>
      </c>
      <c r="AL36" s="26">
        <f t="shared" si="61"/>
        <v>6.6724449312948221E-3</v>
      </c>
      <c r="AM36" s="26">
        <f t="shared" si="62"/>
        <v>1.5960270213898229</v>
      </c>
      <c r="AN36" s="26">
        <f t="shared" si="63"/>
        <v>5.6993730316057135E-3</v>
      </c>
      <c r="AO36" s="26">
        <f t="shared" si="64"/>
        <v>0</v>
      </c>
      <c r="AP36" s="26">
        <f t="shared" si="65"/>
        <v>0</v>
      </c>
      <c r="AQ36" s="26">
        <f t="shared" si="66"/>
        <v>0</v>
      </c>
      <c r="AR36" s="26">
        <f t="shared" si="67"/>
        <v>0</v>
      </c>
      <c r="AS36" s="26">
        <f t="shared" si="68"/>
        <v>0</v>
      </c>
      <c r="AT36" s="26">
        <f t="shared" si="69"/>
        <v>2.9891138548740255</v>
      </c>
      <c r="AU36" s="47"/>
      <c r="AV36" s="26">
        <f t="shared" si="70"/>
        <v>1.0139576497671658</v>
      </c>
      <c r="AW36" s="26">
        <f t="shared" si="71"/>
        <v>0</v>
      </c>
      <c r="AX36" s="26">
        <f t="shared" si="72"/>
        <v>9.5883689669260929E-4</v>
      </c>
      <c r="AY36" s="26">
        <f t="shared" si="73"/>
        <v>2.6130813084498147E-4</v>
      </c>
      <c r="AZ36" s="26">
        <f t="shared" si="74"/>
        <v>0.37056568895040631</v>
      </c>
      <c r="BA36" s="26">
        <f t="shared" si="75"/>
        <v>0</v>
      </c>
      <c r="BB36" s="26">
        <f t="shared" si="76"/>
        <v>6.6967455124683052E-3</v>
      </c>
      <c r="BC36" s="26">
        <f t="shared" si="77"/>
        <v>1.6018396409899414</v>
      </c>
      <c r="BD36" s="26">
        <f t="shared" si="78"/>
        <v>5.7201297524806837E-3</v>
      </c>
      <c r="BE36" s="26">
        <f t="shared" si="79"/>
        <v>0</v>
      </c>
      <c r="BF36" s="26">
        <f t="shared" si="80"/>
        <v>0</v>
      </c>
      <c r="BG36" s="26">
        <f t="shared" si="81"/>
        <v>0</v>
      </c>
      <c r="BH36" s="26">
        <f t="shared" si="82"/>
        <v>0</v>
      </c>
      <c r="BI36" s="26">
        <f t="shared" si="83"/>
        <v>0</v>
      </c>
      <c r="BJ36" s="25">
        <f t="shared" si="84"/>
        <v>2.9999999999999996</v>
      </c>
      <c r="BK36" s="24">
        <f t="shared" si="85"/>
        <v>4.0145677222809351</v>
      </c>
      <c r="BL36" s="26"/>
      <c r="BM36" s="51">
        <f t="shared" si="86"/>
        <v>0.81212498094313434</v>
      </c>
      <c r="BN36" s="1"/>
      <c r="BO36" s="26">
        <f t="shared" si="87"/>
        <v>0.6637816245006658</v>
      </c>
      <c r="BP36" s="26">
        <f t="shared" si="88"/>
        <v>0</v>
      </c>
      <c r="BQ36" s="26">
        <f t="shared" si="89"/>
        <v>6.2769713613181641E-4</v>
      </c>
      <c r="BR36" s="26">
        <f t="shared" si="90"/>
        <v>1.7106388578195931E-4</v>
      </c>
      <c r="BS36" s="26">
        <f t="shared" si="91"/>
        <v>0.24258872651356994</v>
      </c>
      <c r="BT36" s="26">
        <f t="shared" si="92"/>
        <v>4.3839864674372715E-3</v>
      </c>
      <c r="BU36" s="26">
        <f t="shared" si="93"/>
        <v>1.0486352357320099</v>
      </c>
      <c r="BV36" s="26">
        <f t="shared" si="94"/>
        <v>3.744650499286733E-3</v>
      </c>
      <c r="BW36" s="26">
        <f t="shared" si="95"/>
        <v>0</v>
      </c>
      <c r="BX36" s="26">
        <f t="shared" si="96"/>
        <v>0</v>
      </c>
      <c r="BY36" s="26">
        <f t="shared" si="97"/>
        <v>0</v>
      </c>
      <c r="BZ36" s="26">
        <f t="shared" si="98"/>
        <v>0</v>
      </c>
      <c r="CA36" s="26">
        <f t="shared" si="99"/>
        <v>0</v>
      </c>
      <c r="CB36" s="26">
        <f t="shared" si="100"/>
        <v>1.9639329847348834</v>
      </c>
      <c r="CC36" s="26">
        <f t="shared" si="101"/>
        <v>2.628113989746506</v>
      </c>
      <c r="CD36" s="26">
        <f t="shared" si="102"/>
        <v>1.5275470310434132</v>
      </c>
      <c r="CE36" s="26">
        <f t="shared" si="103"/>
        <v>4.0145677222809342</v>
      </c>
      <c r="CF36" s="1"/>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46"/>
      <c r="DQ36" s="46"/>
      <c r="DR36" s="46"/>
      <c r="DS36" s="46"/>
      <c r="DT36" s="46"/>
      <c r="DU36" s="46"/>
      <c r="DV36" s="46"/>
      <c r="DW36" s="46"/>
    </row>
    <row r="37" spans="1:127" x14ac:dyDescent="0.25">
      <c r="A37" s="5" t="s">
        <v>93</v>
      </c>
      <c r="B37" s="1">
        <v>1110</v>
      </c>
      <c r="C37" s="98" t="s">
        <v>101</v>
      </c>
      <c r="D37" s="98" t="s">
        <v>107</v>
      </c>
      <c r="E37" s="1">
        <v>268</v>
      </c>
      <c r="F37" s="1" t="s">
        <v>184</v>
      </c>
      <c r="G37" s="22">
        <v>39.54</v>
      </c>
      <c r="H37" s="22">
        <v>2.3E-2</v>
      </c>
      <c r="I37" s="22">
        <v>0.03</v>
      </c>
      <c r="J37" s="22">
        <v>0</v>
      </c>
      <c r="K37" s="22">
        <v>18.309999999999999</v>
      </c>
      <c r="L37" s="22">
        <v>0.34</v>
      </c>
      <c r="M37" s="22">
        <v>42.34</v>
      </c>
      <c r="N37" s="22">
        <v>0.18099999999999999</v>
      </c>
      <c r="O37" s="22">
        <v>2.1000000000000001E-2</v>
      </c>
      <c r="P37" s="22">
        <v>1.4E-2</v>
      </c>
      <c r="Q37" s="22">
        <v>0</v>
      </c>
      <c r="R37" s="22"/>
      <c r="S37" s="22"/>
      <c r="T37" s="22">
        <f t="shared" si="52"/>
        <v>100.79900000000001</v>
      </c>
      <c r="U37" s="3"/>
      <c r="V37" s="22">
        <f t="shared" si="53"/>
        <v>18.309999999999999</v>
      </c>
      <c r="W37" s="22">
        <f t="shared" si="54"/>
        <v>0</v>
      </c>
      <c r="X37" s="22">
        <f t="shared" si="55"/>
        <v>100.79900000000001</v>
      </c>
      <c r="Y37" s="1"/>
      <c r="Z37" s="1"/>
      <c r="AA37" s="1"/>
      <c r="AB37" s="1" t="s">
        <v>185</v>
      </c>
      <c r="AC37" s="1"/>
      <c r="AD37" s="1">
        <v>4</v>
      </c>
      <c r="AE37" s="1">
        <v>3</v>
      </c>
      <c r="AF37" s="1"/>
      <c r="AG37" s="26">
        <f t="shared" si="56"/>
        <v>1.0003123029989369</v>
      </c>
      <c r="AH37" s="26">
        <f t="shared" si="57"/>
        <v>4.3764165240528068E-4</v>
      </c>
      <c r="AI37" s="26">
        <f t="shared" si="58"/>
        <v>8.9443810515975114E-4</v>
      </c>
      <c r="AJ37" s="26">
        <f t="shared" si="59"/>
        <v>0</v>
      </c>
      <c r="AK37" s="26">
        <f t="shared" si="60"/>
        <v>0.38733829911626894</v>
      </c>
      <c r="AL37" s="26">
        <f t="shared" si="61"/>
        <v>7.2847827104383974E-3</v>
      </c>
      <c r="AM37" s="26">
        <f t="shared" si="62"/>
        <v>1.5968888071201057</v>
      </c>
      <c r="AN37" s="26">
        <f t="shared" si="63"/>
        <v>4.9056825266220782E-3</v>
      </c>
      <c r="AO37" s="26">
        <f t="shared" si="64"/>
        <v>1.0299747731762144E-3</v>
      </c>
      <c r="AP37" s="26">
        <f t="shared" si="65"/>
        <v>4.5178935910447101E-4</v>
      </c>
      <c r="AQ37" s="26">
        <f t="shared" si="66"/>
        <v>0</v>
      </c>
      <c r="AR37" s="26">
        <f t="shared" si="67"/>
        <v>0</v>
      </c>
      <c r="AS37" s="26">
        <f t="shared" si="68"/>
        <v>0</v>
      </c>
      <c r="AT37" s="26">
        <f t="shared" si="69"/>
        <v>2.9995437183622178</v>
      </c>
      <c r="AU37" s="47"/>
      <c r="AV37" s="26">
        <f t="shared" si="70"/>
        <v>1.0004644675208647</v>
      </c>
      <c r="AW37" s="26">
        <f t="shared" si="71"/>
        <v>4.3770822514722766E-4</v>
      </c>
      <c r="AX37" s="26">
        <f t="shared" si="72"/>
        <v>8.945741644147034E-4</v>
      </c>
      <c r="AY37" s="26">
        <f t="shared" si="73"/>
        <v>0</v>
      </c>
      <c r="AZ37" s="26">
        <f t="shared" si="74"/>
        <v>0.38739721986225256</v>
      </c>
      <c r="BA37" s="26">
        <f t="shared" si="75"/>
        <v>0</v>
      </c>
      <c r="BB37" s="26">
        <f t="shared" si="76"/>
        <v>7.2858908498416204E-3</v>
      </c>
      <c r="BC37" s="26">
        <f t="shared" si="77"/>
        <v>1.5971317210792548</v>
      </c>
      <c r="BD37" s="26">
        <f t="shared" si="78"/>
        <v>4.9064287644061729E-3</v>
      </c>
      <c r="BE37" s="26">
        <f t="shared" si="79"/>
        <v>1.0301314498645726E-3</v>
      </c>
      <c r="BF37" s="26">
        <f t="shared" si="80"/>
        <v>4.5185808395333476E-4</v>
      </c>
      <c r="BG37" s="26">
        <f t="shared" si="81"/>
        <v>0</v>
      </c>
      <c r="BH37" s="26">
        <f t="shared" si="82"/>
        <v>0</v>
      </c>
      <c r="BI37" s="26">
        <f t="shared" si="83"/>
        <v>0</v>
      </c>
      <c r="BJ37" s="25">
        <f t="shared" si="84"/>
        <v>2.9999999999999996</v>
      </c>
      <c r="BK37" s="24">
        <f t="shared" si="85"/>
        <v>4.0006084680613103</v>
      </c>
      <c r="BL37" s="26"/>
      <c r="BM37" s="51">
        <f t="shared" si="86"/>
        <v>0.80479134777522465</v>
      </c>
      <c r="BN37" s="1"/>
      <c r="BO37" s="26">
        <f t="shared" si="87"/>
        <v>0.65812250332889477</v>
      </c>
      <c r="BP37" s="26">
        <f t="shared" si="88"/>
        <v>2.8793189784677019E-4</v>
      </c>
      <c r="BQ37" s="26">
        <f t="shared" si="89"/>
        <v>5.8846606512357792E-4</v>
      </c>
      <c r="BR37" s="26">
        <f t="shared" si="90"/>
        <v>0</v>
      </c>
      <c r="BS37" s="26">
        <f t="shared" si="91"/>
        <v>0.25483646485734168</v>
      </c>
      <c r="BT37" s="26">
        <f t="shared" si="92"/>
        <v>4.7927826332111647E-3</v>
      </c>
      <c r="BU37" s="26">
        <f t="shared" si="93"/>
        <v>1.050620347394541</v>
      </c>
      <c r="BV37" s="26">
        <f t="shared" si="94"/>
        <v>3.2275320970042796E-3</v>
      </c>
      <c r="BW37" s="26">
        <f t="shared" si="95"/>
        <v>6.7763794772507271E-4</v>
      </c>
      <c r="BX37" s="26">
        <f t="shared" si="96"/>
        <v>2.9723991507430998E-4</v>
      </c>
      <c r="BY37" s="26">
        <f t="shared" si="97"/>
        <v>0</v>
      </c>
      <c r="BZ37" s="26">
        <f t="shared" si="98"/>
        <v>0</v>
      </c>
      <c r="CA37" s="26">
        <f t="shared" si="99"/>
        <v>0</v>
      </c>
      <c r="CB37" s="26">
        <f t="shared" si="100"/>
        <v>1.9734509061367627</v>
      </c>
      <c r="CC37" s="26">
        <f t="shared" si="101"/>
        <v>2.6316681354646665</v>
      </c>
      <c r="CD37" s="26">
        <f t="shared" si="102"/>
        <v>1.5201796967287191</v>
      </c>
      <c r="CE37" s="26">
        <f t="shared" si="103"/>
        <v>4.0006084680613103</v>
      </c>
      <c r="CF37" s="1"/>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46"/>
      <c r="DQ37" s="46"/>
      <c r="DR37" s="46"/>
      <c r="DS37" s="46"/>
      <c r="DT37" s="46"/>
      <c r="DU37" s="46"/>
      <c r="DV37" s="46"/>
      <c r="DW37" s="46"/>
    </row>
    <row r="38" spans="1:127" x14ac:dyDescent="0.25">
      <c r="A38" s="5" t="s">
        <v>93</v>
      </c>
      <c r="B38" s="1">
        <v>1111</v>
      </c>
      <c r="C38" s="98" t="s">
        <v>101</v>
      </c>
      <c r="D38" s="98" t="s">
        <v>107</v>
      </c>
      <c r="E38" s="1">
        <v>269</v>
      </c>
      <c r="F38" s="1" t="s">
        <v>184</v>
      </c>
      <c r="G38" s="22">
        <v>39.04</v>
      </c>
      <c r="H38" s="22">
        <v>8.5999999999999993E-2</v>
      </c>
      <c r="I38" s="22">
        <v>2.1999999999999999E-2</v>
      </c>
      <c r="J38" s="22">
        <v>0</v>
      </c>
      <c r="K38" s="22">
        <v>20.96</v>
      </c>
      <c r="L38" s="22">
        <v>0.32300000000000001</v>
      </c>
      <c r="M38" s="22">
        <v>39.75</v>
      </c>
      <c r="N38" s="22">
        <v>0.20499999999999999</v>
      </c>
      <c r="O38" s="22">
        <v>2.4E-2</v>
      </c>
      <c r="P38" s="22">
        <v>0</v>
      </c>
      <c r="Q38" s="22">
        <v>0</v>
      </c>
      <c r="R38" s="22"/>
      <c r="S38" s="22"/>
      <c r="T38" s="22">
        <f t="shared" si="52"/>
        <v>100.41</v>
      </c>
      <c r="U38" s="3"/>
      <c r="V38" s="22">
        <f t="shared" si="53"/>
        <v>20.96</v>
      </c>
      <c r="W38" s="22">
        <f t="shared" si="54"/>
        <v>0</v>
      </c>
      <c r="X38" s="22">
        <f t="shared" si="55"/>
        <v>100.41</v>
      </c>
      <c r="Y38" s="1"/>
      <c r="Z38" s="1"/>
      <c r="AA38" s="1"/>
      <c r="AB38" s="1" t="s">
        <v>185</v>
      </c>
      <c r="AC38" s="1"/>
      <c r="AD38" s="1">
        <v>4</v>
      </c>
      <c r="AE38" s="1">
        <v>3</v>
      </c>
      <c r="AF38" s="1"/>
      <c r="AG38" s="26">
        <f t="shared" si="56"/>
        <v>1.003913731169612</v>
      </c>
      <c r="AH38" s="26">
        <f t="shared" si="57"/>
        <v>1.6633241932909751E-3</v>
      </c>
      <c r="AI38" s="26">
        <f t="shared" si="58"/>
        <v>6.6671366890842473E-4</v>
      </c>
      <c r="AJ38" s="26">
        <f t="shared" si="59"/>
        <v>0</v>
      </c>
      <c r="AK38" s="26">
        <f t="shared" si="60"/>
        <v>0.45069321006284763</v>
      </c>
      <c r="AL38" s="26">
        <f t="shared" si="61"/>
        <v>7.0344127544578854E-3</v>
      </c>
      <c r="AM38" s="26">
        <f t="shared" si="62"/>
        <v>1.5238723752851588</v>
      </c>
      <c r="AN38" s="26">
        <f t="shared" si="63"/>
        <v>5.6475796608700677E-3</v>
      </c>
      <c r="AO38" s="26">
        <f t="shared" si="64"/>
        <v>1.1964820149943322E-3</v>
      </c>
      <c r="AP38" s="26">
        <f t="shared" si="65"/>
        <v>0</v>
      </c>
      <c r="AQ38" s="26">
        <f t="shared" si="66"/>
        <v>0</v>
      </c>
      <c r="AR38" s="26">
        <f t="shared" si="67"/>
        <v>0</v>
      </c>
      <c r="AS38" s="26">
        <f t="shared" si="68"/>
        <v>0</v>
      </c>
      <c r="AT38" s="26">
        <f t="shared" si="69"/>
        <v>2.9946878288101404</v>
      </c>
      <c r="AU38" s="47"/>
      <c r="AV38" s="26">
        <f t="shared" si="70"/>
        <v>1.0056945383537594</v>
      </c>
      <c r="AW38" s="26">
        <f t="shared" si="71"/>
        <v>1.6662747054525411E-3</v>
      </c>
      <c r="AX38" s="26">
        <f t="shared" si="72"/>
        <v>6.678963287869565E-4</v>
      </c>
      <c r="AY38" s="26">
        <f t="shared" si="73"/>
        <v>0</v>
      </c>
      <c r="AZ38" s="26">
        <f t="shared" si="74"/>
        <v>0.45149267886321093</v>
      </c>
      <c r="BA38" s="26">
        <f t="shared" si="75"/>
        <v>0</v>
      </c>
      <c r="BB38" s="26">
        <f t="shared" si="76"/>
        <v>7.0468908513106922E-3</v>
      </c>
      <c r="BC38" s="26">
        <f t="shared" si="77"/>
        <v>1.5265755187818317</v>
      </c>
      <c r="BD38" s="26">
        <f t="shared" si="78"/>
        <v>5.657597703377969E-3</v>
      </c>
      <c r="BE38" s="26">
        <f t="shared" si="79"/>
        <v>1.1986044122699654E-3</v>
      </c>
      <c r="BF38" s="26">
        <f t="shared" si="80"/>
        <v>0</v>
      </c>
      <c r="BG38" s="26">
        <f t="shared" si="81"/>
        <v>0</v>
      </c>
      <c r="BH38" s="26">
        <f t="shared" si="82"/>
        <v>0</v>
      </c>
      <c r="BI38" s="26">
        <f t="shared" si="83"/>
        <v>0</v>
      </c>
      <c r="BJ38" s="25">
        <f t="shared" si="84"/>
        <v>3.0000000000000004</v>
      </c>
      <c r="BK38" s="24">
        <f t="shared" si="85"/>
        <v>4.0070954590174708</v>
      </c>
      <c r="BL38" s="26"/>
      <c r="BM38" s="51">
        <f t="shared" si="86"/>
        <v>0.77175070131518808</v>
      </c>
      <c r="BN38" s="1"/>
      <c r="BO38" s="26">
        <f t="shared" si="87"/>
        <v>0.64980026631158461</v>
      </c>
      <c r="BP38" s="26">
        <f t="shared" si="88"/>
        <v>1.0766149223835754E-3</v>
      </c>
      <c r="BQ38" s="26">
        <f t="shared" si="89"/>
        <v>4.3154178109062379E-4</v>
      </c>
      <c r="BR38" s="26">
        <f t="shared" si="90"/>
        <v>0</v>
      </c>
      <c r="BS38" s="26">
        <f t="shared" si="91"/>
        <v>0.29171885873347253</v>
      </c>
      <c r="BT38" s="26">
        <f t="shared" si="92"/>
        <v>4.5531435015506065E-3</v>
      </c>
      <c r="BU38" s="26">
        <f t="shared" si="93"/>
        <v>0.98635235732009929</v>
      </c>
      <c r="BV38" s="26">
        <f t="shared" si="94"/>
        <v>3.6554921540656203E-3</v>
      </c>
      <c r="BW38" s="26">
        <f t="shared" si="95"/>
        <v>7.7444336882865445E-4</v>
      </c>
      <c r="BX38" s="26">
        <f t="shared" si="96"/>
        <v>0</v>
      </c>
      <c r="BY38" s="26">
        <f t="shared" si="97"/>
        <v>0</v>
      </c>
      <c r="BZ38" s="26">
        <f t="shared" si="98"/>
        <v>0</v>
      </c>
      <c r="CA38" s="26">
        <f t="shared" si="99"/>
        <v>0</v>
      </c>
      <c r="CB38" s="26">
        <f t="shared" si="100"/>
        <v>1.9383627180930754</v>
      </c>
      <c r="CC38" s="26">
        <f t="shared" si="101"/>
        <v>2.5890681485331748</v>
      </c>
      <c r="CD38" s="26">
        <f t="shared" si="102"/>
        <v>1.5476979473435928</v>
      </c>
      <c r="CE38" s="26">
        <f t="shared" si="103"/>
        <v>4.0070954590174708</v>
      </c>
      <c r="CF38" s="1"/>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46"/>
      <c r="DQ38" s="46"/>
      <c r="DR38" s="46"/>
      <c r="DS38" s="46"/>
      <c r="DT38" s="46"/>
      <c r="DU38" s="46"/>
      <c r="DV38" s="46"/>
      <c r="DW38" s="46"/>
    </row>
    <row r="39" spans="1:127" x14ac:dyDescent="0.25">
      <c r="A39" s="5" t="s">
        <v>93</v>
      </c>
      <c r="B39" s="1">
        <v>1112</v>
      </c>
      <c r="C39" s="98" t="s">
        <v>101</v>
      </c>
      <c r="D39" s="98" t="s">
        <v>107</v>
      </c>
      <c r="E39" s="1">
        <v>270</v>
      </c>
      <c r="F39" s="1" t="s">
        <v>184</v>
      </c>
      <c r="G39" s="22">
        <v>38.03</v>
      </c>
      <c r="H39" s="22">
        <v>1.2E-2</v>
      </c>
      <c r="I39" s="22">
        <v>1.2E-2</v>
      </c>
      <c r="J39" s="22">
        <v>0</v>
      </c>
      <c r="K39" s="22">
        <v>17.309999999999999</v>
      </c>
      <c r="L39" s="22">
        <v>0.28000000000000003</v>
      </c>
      <c r="M39" s="22">
        <v>40.08</v>
      </c>
      <c r="N39" s="22">
        <v>0.14699999999999999</v>
      </c>
      <c r="O39" s="22">
        <v>8.0000000000000002E-3</v>
      </c>
      <c r="P39" s="22">
        <v>0</v>
      </c>
      <c r="Q39" s="22">
        <v>0</v>
      </c>
      <c r="R39" s="22"/>
      <c r="S39" s="22"/>
      <c r="T39" s="22">
        <f t="shared" si="52"/>
        <v>95.879000000000005</v>
      </c>
      <c r="U39" s="3"/>
      <c r="V39" s="22">
        <f t="shared" si="53"/>
        <v>17.309999999999999</v>
      </c>
      <c r="W39" s="22">
        <f t="shared" si="54"/>
        <v>0</v>
      </c>
      <c r="X39" s="22">
        <f t="shared" si="55"/>
        <v>95.879000000000005</v>
      </c>
      <c r="Y39" s="1"/>
      <c r="Z39" s="1"/>
      <c r="AA39" s="1"/>
      <c r="AB39" s="1" t="s">
        <v>185</v>
      </c>
      <c r="AC39" s="1"/>
      <c r="AD39" s="1">
        <v>4</v>
      </c>
      <c r="AE39" s="1">
        <v>3</v>
      </c>
      <c r="AF39" s="1"/>
      <c r="AG39" s="26">
        <f t="shared" si="56"/>
        <v>1.0092348595482024</v>
      </c>
      <c r="AH39" s="26">
        <f t="shared" si="57"/>
        <v>2.3951848241066304E-4</v>
      </c>
      <c r="AI39" s="26">
        <f t="shared" si="58"/>
        <v>3.7529886965405578E-4</v>
      </c>
      <c r="AJ39" s="26">
        <f t="shared" si="59"/>
        <v>0</v>
      </c>
      <c r="AK39" s="26">
        <f t="shared" si="60"/>
        <v>0.38411930718003101</v>
      </c>
      <c r="AL39" s="26">
        <f t="shared" si="61"/>
        <v>6.2930718271189904E-3</v>
      </c>
      <c r="AM39" s="26">
        <f t="shared" si="62"/>
        <v>1.5856908062625055</v>
      </c>
      <c r="AN39" s="26">
        <f t="shared" si="63"/>
        <v>4.1793156311217211E-3</v>
      </c>
      <c r="AO39" s="26">
        <f t="shared" si="64"/>
        <v>4.1158946703159652E-4</v>
      </c>
      <c r="AP39" s="26">
        <f t="shared" si="65"/>
        <v>0</v>
      </c>
      <c r="AQ39" s="26">
        <f t="shared" si="66"/>
        <v>0</v>
      </c>
      <c r="AR39" s="26">
        <f t="shared" si="67"/>
        <v>0</v>
      </c>
      <c r="AS39" s="26">
        <f t="shared" si="68"/>
        <v>0</v>
      </c>
      <c r="AT39" s="26">
        <f t="shared" si="69"/>
        <v>2.9905437672680764</v>
      </c>
      <c r="AU39" s="47"/>
      <c r="AV39" s="26">
        <f t="shared" si="70"/>
        <v>1.0124261051729995</v>
      </c>
      <c r="AW39" s="26">
        <f t="shared" si="71"/>
        <v>2.4027585053149197E-4</v>
      </c>
      <c r="AX39" s="26">
        <f t="shared" si="72"/>
        <v>3.7648558141340876E-4</v>
      </c>
      <c r="AY39" s="26">
        <f t="shared" si="73"/>
        <v>0</v>
      </c>
      <c r="AZ39" s="26">
        <f t="shared" si="74"/>
        <v>0.38533390955611929</v>
      </c>
      <c r="BA39" s="26">
        <f t="shared" si="75"/>
        <v>0</v>
      </c>
      <c r="BB39" s="26">
        <f t="shared" si="76"/>
        <v>6.3129708008264757E-3</v>
      </c>
      <c r="BC39" s="26">
        <f t="shared" si="77"/>
        <v>1.5907048312933407</v>
      </c>
      <c r="BD39" s="26">
        <f t="shared" si="78"/>
        <v>4.192530813491099E-3</v>
      </c>
      <c r="BE39" s="26">
        <f t="shared" si="79"/>
        <v>4.1289093127795158E-4</v>
      </c>
      <c r="BF39" s="26">
        <f t="shared" si="80"/>
        <v>0</v>
      </c>
      <c r="BG39" s="26">
        <f t="shared" si="81"/>
        <v>0</v>
      </c>
      <c r="BH39" s="26">
        <f t="shared" si="82"/>
        <v>0</v>
      </c>
      <c r="BI39" s="26">
        <f t="shared" si="83"/>
        <v>0</v>
      </c>
      <c r="BJ39" s="25">
        <f t="shared" si="84"/>
        <v>3</v>
      </c>
      <c r="BK39" s="24">
        <f t="shared" si="85"/>
        <v>4.0126481783485985</v>
      </c>
      <c r="BL39" s="26"/>
      <c r="BM39" s="51">
        <f t="shared" si="86"/>
        <v>0.8049967839241492</v>
      </c>
      <c r="BN39" s="1"/>
      <c r="BO39" s="26">
        <f t="shared" si="87"/>
        <v>0.63298934753661784</v>
      </c>
      <c r="BP39" s="26">
        <f t="shared" si="88"/>
        <v>1.5022533800701052E-4</v>
      </c>
      <c r="BQ39" s="26">
        <f t="shared" si="89"/>
        <v>2.3538642604943117E-4</v>
      </c>
      <c r="BR39" s="26">
        <f t="shared" si="90"/>
        <v>0</v>
      </c>
      <c r="BS39" s="26">
        <f t="shared" si="91"/>
        <v>0.24091858037578287</v>
      </c>
      <c r="BT39" s="26">
        <f t="shared" si="92"/>
        <v>3.9469974626444885E-3</v>
      </c>
      <c r="BU39" s="26">
        <f t="shared" si="93"/>
        <v>0.99454094292803974</v>
      </c>
      <c r="BV39" s="26">
        <f t="shared" si="94"/>
        <v>2.6212553495007134E-3</v>
      </c>
      <c r="BW39" s="26">
        <f t="shared" si="95"/>
        <v>2.5814778960955148E-4</v>
      </c>
      <c r="BX39" s="26">
        <f t="shared" si="96"/>
        <v>0</v>
      </c>
      <c r="BY39" s="26">
        <f t="shared" si="97"/>
        <v>0</v>
      </c>
      <c r="BZ39" s="26">
        <f t="shared" si="98"/>
        <v>0</v>
      </c>
      <c r="CA39" s="26">
        <f t="shared" si="99"/>
        <v>0</v>
      </c>
      <c r="CB39" s="26">
        <f t="shared" si="100"/>
        <v>1.8756608832062516</v>
      </c>
      <c r="CC39" s="26">
        <f t="shared" si="101"/>
        <v>2.5087890753990965</v>
      </c>
      <c r="CD39" s="26">
        <f t="shared" si="102"/>
        <v>1.5994362450379649</v>
      </c>
      <c r="CE39" s="26">
        <f t="shared" si="103"/>
        <v>4.0126481783485985</v>
      </c>
      <c r="CF39" s="1"/>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46"/>
      <c r="DQ39" s="46"/>
      <c r="DR39" s="46"/>
      <c r="DS39" s="46"/>
      <c r="DT39" s="46"/>
      <c r="DU39" s="46"/>
      <c r="DV39" s="46"/>
      <c r="DW39" s="46"/>
    </row>
    <row r="40" spans="1:127" x14ac:dyDescent="0.25">
      <c r="A40" s="5" t="s">
        <v>93</v>
      </c>
      <c r="B40" s="1">
        <v>1117</v>
      </c>
      <c r="C40" s="98" t="s">
        <v>101</v>
      </c>
      <c r="D40" s="98" t="s">
        <v>107</v>
      </c>
      <c r="E40" s="1">
        <v>275</v>
      </c>
      <c r="F40" s="1" t="s">
        <v>184</v>
      </c>
      <c r="G40" s="22">
        <v>40.31</v>
      </c>
      <c r="H40" s="22">
        <v>0.03</v>
      </c>
      <c r="I40" s="22">
        <v>2.1000000000000001E-2</v>
      </c>
      <c r="J40" s="22">
        <v>0</v>
      </c>
      <c r="K40" s="22">
        <v>17.04</v>
      </c>
      <c r="L40" s="22">
        <v>0.311</v>
      </c>
      <c r="M40" s="22">
        <v>43.2</v>
      </c>
      <c r="N40" s="22">
        <v>0.16600000000000001</v>
      </c>
      <c r="O40" s="22">
        <v>0</v>
      </c>
      <c r="P40" s="22">
        <v>0</v>
      </c>
      <c r="Q40" s="22">
        <v>0.01</v>
      </c>
      <c r="R40" s="22"/>
      <c r="S40" s="22"/>
      <c r="T40" s="22">
        <f t="shared" si="52"/>
        <v>101.08800000000001</v>
      </c>
      <c r="U40" s="3"/>
      <c r="V40" s="22">
        <f t="shared" si="53"/>
        <v>17.04</v>
      </c>
      <c r="W40" s="22">
        <f t="shared" si="54"/>
        <v>0</v>
      </c>
      <c r="X40" s="22">
        <f t="shared" si="55"/>
        <v>101.08799999999999</v>
      </c>
      <c r="Y40" s="1"/>
      <c r="Z40" s="1"/>
      <c r="AA40" s="1"/>
      <c r="AB40" s="1" t="s">
        <v>185</v>
      </c>
      <c r="AC40" s="1"/>
      <c r="AD40" s="1">
        <v>4</v>
      </c>
      <c r="AE40" s="1">
        <v>3</v>
      </c>
      <c r="AF40" s="1"/>
      <c r="AG40" s="26">
        <f t="shared" si="56"/>
        <v>1.0089062245930924</v>
      </c>
      <c r="AH40" s="26">
        <f t="shared" si="57"/>
        <v>5.6474335020472582E-4</v>
      </c>
      <c r="AI40" s="26">
        <f t="shared" si="58"/>
        <v>6.1942309082086019E-4</v>
      </c>
      <c r="AJ40" s="26">
        <f t="shared" si="59"/>
        <v>0</v>
      </c>
      <c r="AK40" s="26">
        <f t="shared" si="60"/>
        <v>0.3566241465073457</v>
      </c>
      <c r="AL40" s="26">
        <f t="shared" si="61"/>
        <v>6.592302570841058E-3</v>
      </c>
      <c r="AM40" s="26">
        <f t="shared" si="62"/>
        <v>1.6119316697932766</v>
      </c>
      <c r="AN40" s="26">
        <f t="shared" si="63"/>
        <v>4.4511067541504286E-3</v>
      </c>
      <c r="AO40" s="26">
        <f t="shared" si="64"/>
        <v>0</v>
      </c>
      <c r="AP40" s="26">
        <f t="shared" si="65"/>
        <v>0</v>
      </c>
      <c r="AQ40" s="26">
        <f t="shared" si="66"/>
        <v>2.1188154062445869E-4</v>
      </c>
      <c r="AR40" s="26">
        <f t="shared" si="67"/>
        <v>0</v>
      </c>
      <c r="AS40" s="26">
        <f t="shared" si="68"/>
        <v>0</v>
      </c>
      <c r="AT40" s="26">
        <f t="shared" si="69"/>
        <v>2.9899014982003562</v>
      </c>
      <c r="AU40" s="47"/>
      <c r="AV40" s="26">
        <f t="shared" si="70"/>
        <v>1.0123138423125584</v>
      </c>
      <c r="AW40" s="26">
        <f t="shared" si="71"/>
        <v>5.6665079155080768E-4</v>
      </c>
      <c r="AX40" s="26">
        <f t="shared" si="72"/>
        <v>6.2151521499323188E-4</v>
      </c>
      <c r="AY40" s="26">
        <f t="shared" si="73"/>
        <v>0</v>
      </c>
      <c r="AZ40" s="26">
        <f t="shared" si="74"/>
        <v>0.35782865762166455</v>
      </c>
      <c r="BA40" s="26">
        <f t="shared" si="75"/>
        <v>0</v>
      </c>
      <c r="BB40" s="26">
        <f t="shared" si="76"/>
        <v>6.6145683141826048E-3</v>
      </c>
      <c r="BC40" s="26">
        <f t="shared" si="77"/>
        <v>1.6173760280365526</v>
      </c>
      <c r="BD40" s="26">
        <f t="shared" si="78"/>
        <v>4.4661405302110282E-3</v>
      </c>
      <c r="BE40" s="26">
        <f t="shared" si="79"/>
        <v>0</v>
      </c>
      <c r="BF40" s="26">
        <f t="shared" si="80"/>
        <v>0</v>
      </c>
      <c r="BG40" s="26">
        <f t="shared" si="81"/>
        <v>2.1259717828696876E-4</v>
      </c>
      <c r="BH40" s="26">
        <f t="shared" si="82"/>
        <v>0</v>
      </c>
      <c r="BI40" s="26">
        <f t="shared" si="83"/>
        <v>0</v>
      </c>
      <c r="BJ40" s="25">
        <f t="shared" si="84"/>
        <v>3</v>
      </c>
      <c r="BK40" s="24">
        <f t="shared" si="85"/>
        <v>4.013510146479037</v>
      </c>
      <c r="BL40" s="26"/>
      <c r="BM40" s="51">
        <f t="shared" si="86"/>
        <v>0.81883970799592265</v>
      </c>
      <c r="BN40" s="1"/>
      <c r="BO40" s="26">
        <f t="shared" si="87"/>
        <v>0.67093874833555267</v>
      </c>
      <c r="BP40" s="26">
        <f t="shared" si="88"/>
        <v>3.755633450175263E-4</v>
      </c>
      <c r="BQ40" s="26">
        <f t="shared" si="89"/>
        <v>4.1192624558650454E-4</v>
      </c>
      <c r="BR40" s="26">
        <f t="shared" si="90"/>
        <v>0</v>
      </c>
      <c r="BS40" s="26">
        <f t="shared" si="91"/>
        <v>0.23716075156576202</v>
      </c>
      <c r="BT40" s="26">
        <f t="shared" si="92"/>
        <v>4.3839864674372715E-3</v>
      </c>
      <c r="BU40" s="26">
        <f t="shared" si="93"/>
        <v>1.0719602977667495</v>
      </c>
      <c r="BV40" s="26">
        <f t="shared" si="94"/>
        <v>2.9600570613409418E-3</v>
      </c>
      <c r="BW40" s="26">
        <f t="shared" si="95"/>
        <v>0</v>
      </c>
      <c r="BX40" s="26">
        <f t="shared" si="96"/>
        <v>0</v>
      </c>
      <c r="BY40" s="26">
        <f t="shared" si="97"/>
        <v>1.409046075806679E-4</v>
      </c>
      <c r="BZ40" s="26">
        <f t="shared" si="98"/>
        <v>0</v>
      </c>
      <c r="CA40" s="26">
        <f t="shared" si="99"/>
        <v>0</v>
      </c>
      <c r="CB40" s="26">
        <f t="shared" si="100"/>
        <v>1.988332235395027</v>
      </c>
      <c r="CC40" s="26">
        <f t="shared" si="101"/>
        <v>2.6600638671097614</v>
      </c>
      <c r="CD40" s="26">
        <f t="shared" si="102"/>
        <v>1.5088021743026172</v>
      </c>
      <c r="CE40" s="26">
        <f t="shared" si="103"/>
        <v>4.0135101464790361</v>
      </c>
      <c r="CF40" s="1"/>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46"/>
      <c r="DQ40" s="46"/>
      <c r="DR40" s="46"/>
      <c r="DS40" s="46"/>
      <c r="DT40" s="46"/>
      <c r="DU40" s="46"/>
      <c r="DV40" s="46"/>
      <c r="DW40" s="46"/>
    </row>
    <row r="41" spans="1:127" x14ac:dyDescent="0.25">
      <c r="A41" s="5" t="s">
        <v>93</v>
      </c>
      <c r="B41" s="1">
        <v>1124</v>
      </c>
      <c r="C41" s="98" t="s">
        <v>101</v>
      </c>
      <c r="D41" s="98" t="s">
        <v>107</v>
      </c>
      <c r="E41" s="1">
        <v>282</v>
      </c>
      <c r="F41" s="1" t="s">
        <v>184</v>
      </c>
      <c r="G41" s="22">
        <v>39.24</v>
      </c>
      <c r="H41" s="22">
        <v>0</v>
      </c>
      <c r="I41" s="22">
        <v>3.6999999999999998E-2</v>
      </c>
      <c r="J41" s="22">
        <v>0</v>
      </c>
      <c r="K41" s="22">
        <v>19.04</v>
      </c>
      <c r="L41" s="22">
        <v>0.38600000000000001</v>
      </c>
      <c r="M41" s="22">
        <v>40.020000000000003</v>
      </c>
      <c r="N41" s="22">
        <v>0.17199999999999999</v>
      </c>
      <c r="O41" s="22">
        <v>1.0999999999999999E-2</v>
      </c>
      <c r="P41" s="22">
        <v>0</v>
      </c>
      <c r="Q41" s="22">
        <v>0</v>
      </c>
      <c r="R41" s="22"/>
      <c r="S41" s="22"/>
      <c r="T41" s="22">
        <f t="shared" si="52"/>
        <v>98.906000000000006</v>
      </c>
      <c r="U41" s="3"/>
      <c r="V41" s="22">
        <f t="shared" si="53"/>
        <v>19.04</v>
      </c>
      <c r="W41" s="22">
        <f t="shared" si="54"/>
        <v>0</v>
      </c>
      <c r="X41" s="22">
        <f t="shared" si="55"/>
        <v>98.906000000000006</v>
      </c>
      <c r="Y41" s="1"/>
      <c r="Z41" s="1"/>
      <c r="AA41" s="1"/>
      <c r="AB41" s="1" t="s">
        <v>185</v>
      </c>
      <c r="AC41" s="1"/>
      <c r="AD41" s="1">
        <v>4</v>
      </c>
      <c r="AE41" s="1">
        <v>3</v>
      </c>
      <c r="AF41" s="1"/>
      <c r="AG41" s="26">
        <f t="shared" si="56"/>
        <v>1.0149316526490577</v>
      </c>
      <c r="AH41" s="26">
        <f t="shared" si="57"/>
        <v>0</v>
      </c>
      <c r="AI41" s="26">
        <f t="shared" si="58"/>
        <v>1.1278195415587158E-3</v>
      </c>
      <c r="AJ41" s="26">
        <f t="shared" si="59"/>
        <v>0</v>
      </c>
      <c r="AK41" s="26">
        <f t="shared" si="60"/>
        <v>0.41179198929968586</v>
      </c>
      <c r="AL41" s="26">
        <f t="shared" si="61"/>
        <v>8.4553938723489382E-3</v>
      </c>
      <c r="AM41" s="26">
        <f t="shared" si="62"/>
        <v>1.5431557467313439</v>
      </c>
      <c r="AN41" s="26">
        <f t="shared" si="63"/>
        <v>4.766045282477779E-3</v>
      </c>
      <c r="AO41" s="26">
        <f t="shared" si="64"/>
        <v>5.51580407381018E-4</v>
      </c>
      <c r="AP41" s="26">
        <f t="shared" si="65"/>
        <v>0</v>
      </c>
      <c r="AQ41" s="26">
        <f t="shared" si="66"/>
        <v>0</v>
      </c>
      <c r="AR41" s="26">
        <f t="shared" si="67"/>
        <v>0</v>
      </c>
      <c r="AS41" s="26">
        <f t="shared" si="68"/>
        <v>0</v>
      </c>
      <c r="AT41" s="26">
        <f t="shared" si="69"/>
        <v>2.9847802277838538</v>
      </c>
      <c r="AU41" s="47"/>
      <c r="AV41" s="26">
        <f t="shared" si="70"/>
        <v>1.0201069176231707</v>
      </c>
      <c r="AW41" s="26">
        <f t="shared" si="71"/>
        <v>0</v>
      </c>
      <c r="AX41" s="26">
        <f t="shared" si="72"/>
        <v>1.1335704361685299E-3</v>
      </c>
      <c r="AY41" s="26">
        <f t="shared" si="73"/>
        <v>0</v>
      </c>
      <c r="AZ41" s="26">
        <f t="shared" si="74"/>
        <v>0.41389176878067907</v>
      </c>
      <c r="BA41" s="26">
        <f t="shared" si="75"/>
        <v>0</v>
      </c>
      <c r="BB41" s="26">
        <f t="shared" si="76"/>
        <v>8.4985089960478433E-3</v>
      </c>
      <c r="BC41" s="26">
        <f t="shared" si="77"/>
        <v>1.5510244932275394</v>
      </c>
      <c r="BD41" s="26">
        <f t="shared" si="78"/>
        <v>4.7903479506929891E-3</v>
      </c>
      <c r="BE41" s="26">
        <f t="shared" si="79"/>
        <v>5.5439298570121847E-4</v>
      </c>
      <c r="BF41" s="26">
        <f t="shared" si="80"/>
        <v>0</v>
      </c>
      <c r="BG41" s="26">
        <f t="shared" si="81"/>
        <v>0</v>
      </c>
      <c r="BH41" s="26">
        <f t="shared" si="82"/>
        <v>0</v>
      </c>
      <c r="BI41" s="26">
        <f t="shared" si="83"/>
        <v>0</v>
      </c>
      <c r="BJ41" s="25">
        <f t="shared" si="84"/>
        <v>3</v>
      </c>
      <c r="BK41" s="24">
        <f t="shared" si="85"/>
        <v>4.0203965063484048</v>
      </c>
      <c r="BL41" s="26"/>
      <c r="BM41" s="51">
        <f t="shared" si="86"/>
        <v>0.7893590801891649</v>
      </c>
      <c r="BN41" s="1"/>
      <c r="BO41" s="26">
        <f t="shared" si="87"/>
        <v>0.65312916111850872</v>
      </c>
      <c r="BP41" s="26">
        <f t="shared" si="88"/>
        <v>0</v>
      </c>
      <c r="BQ41" s="26">
        <f t="shared" si="89"/>
        <v>7.2577481365241269E-4</v>
      </c>
      <c r="BR41" s="26">
        <f t="shared" si="90"/>
        <v>0</v>
      </c>
      <c r="BS41" s="26">
        <f t="shared" si="91"/>
        <v>0.26499652052887962</v>
      </c>
      <c r="BT41" s="26">
        <f t="shared" si="92"/>
        <v>5.4412179306456161E-3</v>
      </c>
      <c r="BU41" s="26">
        <f t="shared" si="93"/>
        <v>0.99305210918114162</v>
      </c>
      <c r="BV41" s="26">
        <f t="shared" si="94"/>
        <v>3.0670470756062767E-3</v>
      </c>
      <c r="BW41" s="26">
        <f t="shared" si="95"/>
        <v>3.5495321071313328E-4</v>
      </c>
      <c r="BX41" s="26">
        <f t="shared" si="96"/>
        <v>0</v>
      </c>
      <c r="BY41" s="26">
        <f t="shared" si="97"/>
        <v>0</v>
      </c>
      <c r="BZ41" s="26">
        <f t="shared" si="98"/>
        <v>0</v>
      </c>
      <c r="CA41" s="26">
        <f t="shared" si="99"/>
        <v>0</v>
      </c>
      <c r="CB41" s="26">
        <f t="shared" si="100"/>
        <v>1.9207667838591476</v>
      </c>
      <c r="CC41" s="26">
        <f t="shared" si="101"/>
        <v>2.5740813557791253</v>
      </c>
      <c r="CD41" s="26">
        <f t="shared" si="102"/>
        <v>1.5618762388073419</v>
      </c>
      <c r="CE41" s="26">
        <f t="shared" si="103"/>
        <v>4.020396506348404</v>
      </c>
      <c r="CF41" s="1"/>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46"/>
      <c r="DQ41" s="46"/>
      <c r="DR41" s="46"/>
      <c r="DS41" s="46"/>
      <c r="DT41" s="46"/>
      <c r="DU41" s="46"/>
      <c r="DV41" s="46"/>
      <c r="DW41" s="46"/>
    </row>
    <row r="42" spans="1:127" x14ac:dyDescent="0.25">
      <c r="A42" s="5" t="s">
        <v>93</v>
      </c>
      <c r="B42" s="1">
        <v>1125</v>
      </c>
      <c r="C42" s="98" t="s">
        <v>101</v>
      </c>
      <c r="D42" s="98" t="s">
        <v>107</v>
      </c>
      <c r="E42" s="1">
        <v>283</v>
      </c>
      <c r="F42" s="1" t="s">
        <v>184</v>
      </c>
      <c r="G42" s="22">
        <v>39.909999999999997</v>
      </c>
      <c r="H42" s="22">
        <v>0</v>
      </c>
      <c r="I42" s="22">
        <v>4.1000000000000002E-2</v>
      </c>
      <c r="J42" s="22">
        <v>0</v>
      </c>
      <c r="K42" s="22">
        <v>17.899999999999999</v>
      </c>
      <c r="L42" s="22">
        <v>0.31</v>
      </c>
      <c r="M42" s="22">
        <v>41.98</v>
      </c>
      <c r="N42" s="22">
        <v>0.183</v>
      </c>
      <c r="O42" s="22">
        <v>2.5999999999999999E-2</v>
      </c>
      <c r="P42" s="22">
        <v>0</v>
      </c>
      <c r="Q42" s="22">
        <v>0</v>
      </c>
      <c r="R42" s="22"/>
      <c r="S42" s="22"/>
      <c r="T42" s="22">
        <f t="shared" si="52"/>
        <v>100.35</v>
      </c>
      <c r="U42" s="3"/>
      <c r="V42" s="22">
        <f t="shared" si="53"/>
        <v>17.899999999999999</v>
      </c>
      <c r="W42" s="22">
        <f t="shared" si="54"/>
        <v>0</v>
      </c>
      <c r="X42" s="22">
        <f t="shared" si="55"/>
        <v>100.35</v>
      </c>
      <c r="Y42" s="1"/>
      <c r="Z42" s="1"/>
      <c r="AA42" s="1"/>
      <c r="AB42" s="1" t="s">
        <v>185</v>
      </c>
      <c r="AC42" s="1"/>
      <c r="AD42" s="1">
        <v>4</v>
      </c>
      <c r="AE42" s="1">
        <v>3</v>
      </c>
      <c r="AF42" s="1"/>
      <c r="AG42" s="26">
        <f t="shared" si="56"/>
        <v>1.0108366027223088</v>
      </c>
      <c r="AH42" s="26">
        <f t="shared" si="57"/>
        <v>0</v>
      </c>
      <c r="AI42" s="26">
        <f t="shared" si="58"/>
        <v>1.223807699706553E-3</v>
      </c>
      <c r="AJ42" s="26">
        <f t="shared" si="59"/>
        <v>0</v>
      </c>
      <c r="AK42" s="26">
        <f t="shared" si="60"/>
        <v>0.37910142264732322</v>
      </c>
      <c r="AL42" s="26">
        <f t="shared" si="61"/>
        <v>6.6496634478543934E-3</v>
      </c>
      <c r="AM42" s="26">
        <f t="shared" si="62"/>
        <v>1.5851360527586162</v>
      </c>
      <c r="AN42" s="26">
        <f t="shared" si="63"/>
        <v>4.9656058092882689E-3</v>
      </c>
      <c r="AO42" s="26">
        <f t="shared" si="64"/>
        <v>1.2766766854823677E-3</v>
      </c>
      <c r="AP42" s="26">
        <f t="shared" si="65"/>
        <v>0</v>
      </c>
      <c r="AQ42" s="26">
        <f t="shared" si="66"/>
        <v>0</v>
      </c>
      <c r="AR42" s="26">
        <f t="shared" si="67"/>
        <v>0</v>
      </c>
      <c r="AS42" s="26">
        <f t="shared" si="68"/>
        <v>0</v>
      </c>
      <c r="AT42" s="26">
        <f t="shared" si="69"/>
        <v>2.9891898317705796</v>
      </c>
      <c r="AU42" s="47"/>
      <c r="AV42" s="26">
        <f t="shared" si="70"/>
        <v>1.0144922132197562</v>
      </c>
      <c r="AW42" s="26">
        <f t="shared" si="71"/>
        <v>0</v>
      </c>
      <c r="AX42" s="26">
        <f t="shared" si="72"/>
        <v>1.2282335033051326E-3</v>
      </c>
      <c r="AY42" s="26">
        <f t="shared" si="73"/>
        <v>0</v>
      </c>
      <c r="AZ42" s="26">
        <f t="shared" si="74"/>
        <v>0.38047241291072936</v>
      </c>
      <c r="BA42" s="26">
        <f t="shared" si="75"/>
        <v>0</v>
      </c>
      <c r="BB42" s="26">
        <f t="shared" si="76"/>
        <v>6.6737114289415478E-3</v>
      </c>
      <c r="BC42" s="26">
        <f t="shared" si="77"/>
        <v>1.5908685717223552</v>
      </c>
      <c r="BD42" s="26">
        <f t="shared" si="78"/>
        <v>4.9835635293329671E-3</v>
      </c>
      <c r="BE42" s="26">
        <f t="shared" si="79"/>
        <v>1.2812936855798383E-3</v>
      </c>
      <c r="BF42" s="26">
        <f t="shared" si="80"/>
        <v>0</v>
      </c>
      <c r="BG42" s="26">
        <f t="shared" si="81"/>
        <v>0</v>
      </c>
      <c r="BH42" s="26">
        <f t="shared" si="82"/>
        <v>0</v>
      </c>
      <c r="BI42" s="26">
        <f t="shared" si="83"/>
        <v>0</v>
      </c>
      <c r="BJ42" s="25">
        <f t="shared" si="84"/>
        <v>3.0000000000000004</v>
      </c>
      <c r="BK42" s="24">
        <f t="shared" si="85"/>
        <v>4.014465683128619</v>
      </c>
      <c r="BL42" s="26"/>
      <c r="BM42" s="51">
        <f t="shared" si="86"/>
        <v>0.80699817237272886</v>
      </c>
      <c r="BN42" s="1"/>
      <c r="BO42" s="26">
        <f t="shared" si="87"/>
        <v>0.66428095872170434</v>
      </c>
      <c r="BP42" s="26">
        <f t="shared" si="88"/>
        <v>0</v>
      </c>
      <c r="BQ42" s="26">
        <f t="shared" si="89"/>
        <v>8.0423695566888989E-4</v>
      </c>
      <c r="BR42" s="26">
        <f t="shared" si="90"/>
        <v>0</v>
      </c>
      <c r="BS42" s="26">
        <f t="shared" si="91"/>
        <v>0.24913013221990257</v>
      </c>
      <c r="BT42" s="26">
        <f t="shared" si="92"/>
        <v>4.3698900479278262E-3</v>
      </c>
      <c r="BU42" s="26">
        <f t="shared" si="93"/>
        <v>1.0416873449131514</v>
      </c>
      <c r="BV42" s="26">
        <f t="shared" si="94"/>
        <v>3.2631954350927249E-3</v>
      </c>
      <c r="BW42" s="26">
        <f t="shared" si="95"/>
        <v>8.3898031623104224E-4</v>
      </c>
      <c r="BX42" s="26">
        <f t="shared" si="96"/>
        <v>0</v>
      </c>
      <c r="BY42" s="26">
        <f t="shared" si="97"/>
        <v>0</v>
      </c>
      <c r="BZ42" s="26">
        <f t="shared" si="98"/>
        <v>0</v>
      </c>
      <c r="CA42" s="26">
        <f t="shared" si="99"/>
        <v>0</v>
      </c>
      <c r="CB42" s="26">
        <f t="shared" si="100"/>
        <v>1.9643747386096788</v>
      </c>
      <c r="CC42" s="26">
        <f t="shared" si="101"/>
        <v>2.6286383256511017</v>
      </c>
      <c r="CD42" s="26">
        <f t="shared" si="102"/>
        <v>1.5272035121584304</v>
      </c>
      <c r="CE42" s="26">
        <f t="shared" si="103"/>
        <v>4.0144656831286181</v>
      </c>
      <c r="CF42" s="1"/>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46"/>
      <c r="DQ42" s="46"/>
      <c r="DR42" s="46"/>
      <c r="DS42" s="46"/>
      <c r="DT42" s="46"/>
      <c r="DU42" s="46"/>
      <c r="DV42" s="46"/>
      <c r="DW42" s="46"/>
    </row>
    <row r="43" spans="1:127" x14ac:dyDescent="0.25">
      <c r="A43" s="5" t="s">
        <v>93</v>
      </c>
      <c r="B43" s="1">
        <v>1127</v>
      </c>
      <c r="C43" s="98" t="s">
        <v>101</v>
      </c>
      <c r="D43" s="98" t="s">
        <v>107</v>
      </c>
      <c r="E43" s="1">
        <v>285</v>
      </c>
      <c r="F43" s="1" t="s">
        <v>184</v>
      </c>
      <c r="G43" s="22">
        <v>37.14</v>
      </c>
      <c r="H43" s="22">
        <v>0</v>
      </c>
      <c r="I43" s="22">
        <v>3.5999999999999997E-2</v>
      </c>
      <c r="J43" s="22">
        <v>0</v>
      </c>
      <c r="K43" s="22">
        <v>13.56</v>
      </c>
      <c r="L43" s="22">
        <v>0.223</v>
      </c>
      <c r="M43" s="22">
        <v>40.1</v>
      </c>
      <c r="N43" s="22">
        <v>0.17100000000000001</v>
      </c>
      <c r="O43" s="22">
        <v>3.4000000000000002E-2</v>
      </c>
      <c r="P43" s="22">
        <v>0</v>
      </c>
      <c r="Q43" s="22">
        <v>0</v>
      </c>
      <c r="R43" s="22"/>
      <c r="S43" s="22"/>
      <c r="T43" s="22">
        <f t="shared" si="52"/>
        <v>91.26400000000001</v>
      </c>
      <c r="U43" s="3"/>
      <c r="V43" s="22">
        <f t="shared" si="53"/>
        <v>13.560000000000002</v>
      </c>
      <c r="W43" s="22">
        <f t="shared" si="54"/>
        <v>0</v>
      </c>
      <c r="X43" s="22">
        <f t="shared" si="55"/>
        <v>91.26400000000001</v>
      </c>
      <c r="Y43" s="1"/>
      <c r="Z43" s="1"/>
      <c r="AA43" s="1"/>
      <c r="AB43" s="1" t="s">
        <v>185</v>
      </c>
      <c r="AC43" s="1"/>
      <c r="AD43" s="1">
        <v>4</v>
      </c>
      <c r="AE43" s="1">
        <v>3</v>
      </c>
      <c r="AF43" s="1"/>
      <c r="AG43" s="26">
        <f t="shared" si="56"/>
        <v>1.0184468000149447</v>
      </c>
      <c r="AH43" s="26">
        <f t="shared" si="57"/>
        <v>0</v>
      </c>
      <c r="AI43" s="26">
        <f t="shared" si="58"/>
        <v>1.1633999537003241E-3</v>
      </c>
      <c r="AJ43" s="26">
        <f t="shared" si="59"/>
        <v>0</v>
      </c>
      <c r="AK43" s="26">
        <f t="shared" si="60"/>
        <v>0.31092761072974279</v>
      </c>
      <c r="AL43" s="26">
        <f t="shared" si="61"/>
        <v>5.1789301246907725E-3</v>
      </c>
      <c r="AM43" s="26">
        <f t="shared" si="62"/>
        <v>1.6393274045696618</v>
      </c>
      <c r="AN43" s="26">
        <f t="shared" si="63"/>
        <v>5.0235933628441868E-3</v>
      </c>
      <c r="AO43" s="26">
        <f t="shared" si="64"/>
        <v>1.8075225052416961E-3</v>
      </c>
      <c r="AP43" s="26">
        <f t="shared" si="65"/>
        <v>0</v>
      </c>
      <c r="AQ43" s="26">
        <f t="shared" si="66"/>
        <v>0</v>
      </c>
      <c r="AR43" s="26">
        <f t="shared" si="67"/>
        <v>0</v>
      </c>
      <c r="AS43" s="26">
        <f t="shared" si="68"/>
        <v>0</v>
      </c>
      <c r="AT43" s="26">
        <f t="shared" si="69"/>
        <v>2.9818752612608259</v>
      </c>
      <c r="AU43" s="47"/>
      <c r="AV43" s="26">
        <f t="shared" si="70"/>
        <v>1.0246372273644151</v>
      </c>
      <c r="AW43" s="26">
        <f t="shared" si="71"/>
        <v>0</v>
      </c>
      <c r="AX43" s="26">
        <f t="shared" si="72"/>
        <v>1.1704714501119711E-3</v>
      </c>
      <c r="AY43" s="26">
        <f t="shared" si="73"/>
        <v>0</v>
      </c>
      <c r="AZ43" s="26">
        <f t="shared" si="74"/>
        <v>0.31281752268698848</v>
      </c>
      <c r="BA43" s="26">
        <f t="shared" si="75"/>
        <v>0</v>
      </c>
      <c r="BB43" s="26">
        <f t="shared" si="76"/>
        <v>5.2104092266766705E-3</v>
      </c>
      <c r="BC43" s="26">
        <f t="shared" si="77"/>
        <v>1.6492917318176197</v>
      </c>
      <c r="BD43" s="26">
        <f t="shared" si="78"/>
        <v>5.0541282810603492E-3</v>
      </c>
      <c r="BE43" s="26">
        <f t="shared" si="79"/>
        <v>1.8185091731276056E-3</v>
      </c>
      <c r="BF43" s="26">
        <f t="shared" si="80"/>
        <v>0</v>
      </c>
      <c r="BG43" s="26">
        <f t="shared" si="81"/>
        <v>0</v>
      </c>
      <c r="BH43" s="26">
        <f t="shared" si="82"/>
        <v>0</v>
      </c>
      <c r="BI43" s="26">
        <f t="shared" si="83"/>
        <v>0</v>
      </c>
      <c r="BJ43" s="25">
        <f t="shared" si="84"/>
        <v>3</v>
      </c>
      <c r="BK43" s="24">
        <f t="shared" si="85"/>
        <v>4.0243132085029067</v>
      </c>
      <c r="BL43" s="26"/>
      <c r="BM43" s="51">
        <f t="shared" si="86"/>
        <v>0.84057079290114844</v>
      </c>
      <c r="BN43" s="1"/>
      <c r="BO43" s="26">
        <f t="shared" si="87"/>
        <v>0.61817576564580567</v>
      </c>
      <c r="BP43" s="26">
        <f t="shared" si="88"/>
        <v>0</v>
      </c>
      <c r="BQ43" s="26">
        <f t="shared" si="89"/>
        <v>7.0615927814829339E-4</v>
      </c>
      <c r="BR43" s="26">
        <f t="shared" si="90"/>
        <v>0</v>
      </c>
      <c r="BS43" s="26">
        <f t="shared" si="91"/>
        <v>0.18872651356993739</v>
      </c>
      <c r="BT43" s="26">
        <f t="shared" si="92"/>
        <v>3.1435015506061461E-3</v>
      </c>
      <c r="BU43" s="26">
        <f t="shared" si="93"/>
        <v>0.99503722084367252</v>
      </c>
      <c r="BV43" s="26">
        <f t="shared" si="94"/>
        <v>3.0492154065620545E-3</v>
      </c>
      <c r="BW43" s="26">
        <f t="shared" si="95"/>
        <v>1.0971281058405938E-3</v>
      </c>
      <c r="BX43" s="26">
        <f t="shared" si="96"/>
        <v>0</v>
      </c>
      <c r="BY43" s="26">
        <f t="shared" si="97"/>
        <v>0</v>
      </c>
      <c r="BZ43" s="26">
        <f t="shared" si="98"/>
        <v>0</v>
      </c>
      <c r="CA43" s="26">
        <f t="shared" si="99"/>
        <v>0</v>
      </c>
      <c r="CB43" s="26">
        <f t="shared" si="100"/>
        <v>1.8099355044005727</v>
      </c>
      <c r="CC43" s="26">
        <f t="shared" si="101"/>
        <v>2.427915785632532</v>
      </c>
      <c r="CD43" s="26">
        <f t="shared" si="102"/>
        <v>1.6575176257418969</v>
      </c>
      <c r="CE43" s="26">
        <f t="shared" si="103"/>
        <v>4.0243132085029067</v>
      </c>
      <c r="CF43" s="1"/>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46"/>
      <c r="DQ43" s="46"/>
      <c r="DR43" s="46"/>
      <c r="DS43" s="46"/>
      <c r="DT43" s="46"/>
      <c r="DU43" s="46"/>
      <c r="DV43" s="46"/>
      <c r="DW43" s="46"/>
    </row>
    <row r="44" spans="1:127" x14ac:dyDescent="0.25">
      <c r="A44" s="5" t="s">
        <v>93</v>
      </c>
      <c r="B44" s="1">
        <v>1136</v>
      </c>
      <c r="C44" s="98" t="s">
        <v>101</v>
      </c>
      <c r="D44" s="98" t="s">
        <v>107</v>
      </c>
      <c r="E44" s="1">
        <v>294</v>
      </c>
      <c r="F44" s="1" t="s">
        <v>184</v>
      </c>
      <c r="G44" s="22">
        <v>39.79</v>
      </c>
      <c r="H44" s="22">
        <v>0</v>
      </c>
      <c r="I44" s="22">
        <v>2.7E-2</v>
      </c>
      <c r="J44" s="22">
        <v>2.5000000000000001E-2</v>
      </c>
      <c r="K44" s="22">
        <v>16.79</v>
      </c>
      <c r="L44" s="22">
        <v>0.318</v>
      </c>
      <c r="M44" s="22">
        <v>43.19</v>
      </c>
      <c r="N44" s="22">
        <v>0.21099999999999999</v>
      </c>
      <c r="O44" s="22">
        <v>3.2000000000000001E-2</v>
      </c>
      <c r="P44" s="22">
        <v>0</v>
      </c>
      <c r="Q44" s="22">
        <v>0</v>
      </c>
      <c r="R44" s="22"/>
      <c r="S44" s="22"/>
      <c r="T44" s="22">
        <f t="shared" si="52"/>
        <v>100.38299999999998</v>
      </c>
      <c r="U44" s="3"/>
      <c r="V44" s="22">
        <f t="shared" si="53"/>
        <v>16.79</v>
      </c>
      <c r="W44" s="22">
        <f t="shared" si="54"/>
        <v>0</v>
      </c>
      <c r="X44" s="22">
        <f t="shared" si="55"/>
        <v>100.38299999999998</v>
      </c>
      <c r="Y44" s="1"/>
      <c r="Z44" s="1"/>
      <c r="AA44" s="1"/>
      <c r="AB44" s="1" t="s">
        <v>185</v>
      </c>
      <c r="AC44" s="1"/>
      <c r="AD44" s="1">
        <v>4</v>
      </c>
      <c r="AE44" s="1">
        <v>3</v>
      </c>
      <c r="AF44" s="1"/>
      <c r="AG44" s="26">
        <f t="shared" si="56"/>
        <v>1.0034562302976524</v>
      </c>
      <c r="AH44" s="26">
        <f t="shared" si="57"/>
        <v>0</v>
      </c>
      <c r="AI44" s="26">
        <f t="shared" si="58"/>
        <v>8.024506841279803E-4</v>
      </c>
      <c r="AJ44" s="26">
        <f t="shared" si="59"/>
        <v>4.9843600671638276E-4</v>
      </c>
      <c r="AK44" s="26">
        <f t="shared" si="60"/>
        <v>0.35406120434661614</v>
      </c>
      <c r="AL44" s="26">
        <f t="shared" si="61"/>
        <v>6.7918854790362899E-3</v>
      </c>
      <c r="AM44" s="26">
        <f t="shared" si="62"/>
        <v>1.6238001475240429</v>
      </c>
      <c r="AN44" s="26">
        <f t="shared" si="63"/>
        <v>5.7007089541489505E-3</v>
      </c>
      <c r="AO44" s="26">
        <f t="shared" si="64"/>
        <v>1.5645261291683361E-3</v>
      </c>
      <c r="AP44" s="26">
        <f t="shared" si="65"/>
        <v>0</v>
      </c>
      <c r="AQ44" s="26">
        <f t="shared" si="66"/>
        <v>0</v>
      </c>
      <c r="AR44" s="26">
        <f t="shared" si="67"/>
        <v>0</v>
      </c>
      <c r="AS44" s="26">
        <f t="shared" si="68"/>
        <v>0</v>
      </c>
      <c r="AT44" s="26">
        <f t="shared" si="69"/>
        <v>2.9966755894215091</v>
      </c>
      <c r="AU44" s="47"/>
      <c r="AV44" s="26">
        <f t="shared" si="70"/>
        <v>1.0045694307117481</v>
      </c>
      <c r="AW44" s="26">
        <f t="shared" si="71"/>
        <v>0</v>
      </c>
      <c r="AX44" s="26">
        <f t="shared" si="72"/>
        <v>8.0334089578534124E-4</v>
      </c>
      <c r="AY44" s="26">
        <f t="shared" si="73"/>
        <v>4.9898895476964487E-4</v>
      </c>
      <c r="AZ44" s="26">
        <f t="shared" si="74"/>
        <v>0.35445398787557675</v>
      </c>
      <c r="BA44" s="26">
        <f t="shared" si="75"/>
        <v>0</v>
      </c>
      <c r="BB44" s="26">
        <f t="shared" si="76"/>
        <v>6.7994201671467127E-3</v>
      </c>
      <c r="BC44" s="26">
        <f t="shared" si="77"/>
        <v>1.6256015365054997</v>
      </c>
      <c r="BD44" s="26">
        <f t="shared" si="78"/>
        <v>5.7070331279163644E-3</v>
      </c>
      <c r="BE44" s="26">
        <f t="shared" si="79"/>
        <v>1.5662617615579391E-3</v>
      </c>
      <c r="BF44" s="26">
        <f t="shared" si="80"/>
        <v>0</v>
      </c>
      <c r="BG44" s="26">
        <f t="shared" si="81"/>
        <v>0</v>
      </c>
      <c r="BH44" s="26">
        <f t="shared" si="82"/>
        <v>0</v>
      </c>
      <c r="BI44" s="26">
        <f t="shared" si="83"/>
        <v>0</v>
      </c>
      <c r="BJ44" s="25">
        <f t="shared" si="84"/>
        <v>3.0000000000000004</v>
      </c>
      <c r="BK44" s="24">
        <f t="shared" si="85"/>
        <v>4.004437464756248</v>
      </c>
      <c r="BL44" s="26"/>
      <c r="BM44" s="51">
        <f t="shared" si="86"/>
        <v>0.82098785437525967</v>
      </c>
      <c r="BN44" s="1"/>
      <c r="BO44" s="26">
        <f t="shared" si="87"/>
        <v>0.66228362183754996</v>
      </c>
      <c r="BP44" s="26">
        <f t="shared" si="88"/>
        <v>0</v>
      </c>
      <c r="BQ44" s="26">
        <f t="shared" si="89"/>
        <v>5.2961945861122013E-4</v>
      </c>
      <c r="BR44" s="26">
        <f t="shared" si="90"/>
        <v>3.2896901111915256E-4</v>
      </c>
      <c r="BS44" s="26">
        <f t="shared" si="91"/>
        <v>0.23368128044537231</v>
      </c>
      <c r="BT44" s="26">
        <f t="shared" si="92"/>
        <v>4.4826614040033835E-3</v>
      </c>
      <c r="BU44" s="26">
        <f t="shared" si="93"/>
        <v>1.0717121588089331</v>
      </c>
      <c r="BV44" s="26">
        <f t="shared" si="94"/>
        <v>3.7624821683309557E-3</v>
      </c>
      <c r="BW44" s="26">
        <f t="shared" si="95"/>
        <v>1.0325911584382059E-3</v>
      </c>
      <c r="BX44" s="26">
        <f t="shared" si="96"/>
        <v>0</v>
      </c>
      <c r="BY44" s="26">
        <f t="shared" si="97"/>
        <v>0</v>
      </c>
      <c r="BZ44" s="26">
        <f t="shared" si="98"/>
        <v>0</v>
      </c>
      <c r="CA44" s="26">
        <f t="shared" si="99"/>
        <v>0</v>
      </c>
      <c r="CB44" s="26">
        <f t="shared" si="100"/>
        <v>1.977813384292358</v>
      </c>
      <c r="CC44" s="26">
        <f t="shared" si="101"/>
        <v>2.6400100047855544</v>
      </c>
      <c r="CD44" s="26">
        <f t="shared" si="102"/>
        <v>1.5168266247087665</v>
      </c>
      <c r="CE44" s="26">
        <f t="shared" si="103"/>
        <v>4.0044374647562471</v>
      </c>
      <c r="CF44" s="1"/>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46"/>
      <c r="DQ44" s="46"/>
      <c r="DR44" s="46"/>
      <c r="DS44" s="46"/>
      <c r="DT44" s="46"/>
      <c r="DU44" s="46"/>
      <c r="DV44" s="46"/>
      <c r="DW44" s="46"/>
    </row>
    <row r="45" spans="1:127" x14ac:dyDescent="0.25">
      <c r="A45" s="5" t="s">
        <v>83</v>
      </c>
      <c r="B45" s="1">
        <v>55</v>
      </c>
      <c r="C45" s="98" t="s">
        <v>96</v>
      </c>
      <c r="D45" s="98" t="s">
        <v>103</v>
      </c>
      <c r="E45" s="1">
        <v>86</v>
      </c>
      <c r="F45" s="1" t="s">
        <v>184</v>
      </c>
      <c r="G45" s="22">
        <v>39.200000000000003</v>
      </c>
      <c r="H45" s="22">
        <v>2.7E-2</v>
      </c>
      <c r="I45" s="22">
        <v>2.7E-2</v>
      </c>
      <c r="J45" s="22">
        <v>1.4E-2</v>
      </c>
      <c r="K45" s="22">
        <v>22.47</v>
      </c>
      <c r="L45" s="22">
        <v>0.40699999999999997</v>
      </c>
      <c r="M45" s="22">
        <v>38.19</v>
      </c>
      <c r="N45" s="22">
        <v>0.224</v>
      </c>
      <c r="O45" s="22">
        <v>2.1000000000000001E-2</v>
      </c>
      <c r="P45" s="22">
        <v>0</v>
      </c>
      <c r="Q45" s="22">
        <v>0</v>
      </c>
      <c r="R45" s="22"/>
      <c r="S45" s="22"/>
      <c r="T45" s="22">
        <f t="shared" si="52"/>
        <v>100.58000000000001</v>
      </c>
      <c r="U45" s="3"/>
      <c r="V45" s="22">
        <f t="shared" si="53"/>
        <v>22.47</v>
      </c>
      <c r="W45" s="22">
        <f t="shared" si="54"/>
        <v>0</v>
      </c>
      <c r="X45" s="22">
        <f t="shared" si="55"/>
        <v>100.58</v>
      </c>
      <c r="Y45" s="1"/>
      <c r="Z45" s="1"/>
      <c r="AA45" s="1"/>
      <c r="AB45" s="1" t="s">
        <v>185</v>
      </c>
      <c r="AC45" s="1"/>
      <c r="AD45" s="1">
        <v>4</v>
      </c>
      <c r="AE45" s="1">
        <v>3</v>
      </c>
      <c r="AF45" s="1"/>
      <c r="AG45" s="26">
        <f t="shared" si="56"/>
        <v>1.0127010263584222</v>
      </c>
      <c r="AH45" s="26">
        <f t="shared" si="57"/>
        <v>5.2462721407288805E-4</v>
      </c>
      <c r="AI45" s="26">
        <f t="shared" si="58"/>
        <v>8.220325982766242E-4</v>
      </c>
      <c r="AJ45" s="26">
        <f t="shared" si="59"/>
        <v>2.8593552989206997E-4</v>
      </c>
      <c r="AK45" s="26">
        <f t="shared" si="60"/>
        <v>0.48540182746843857</v>
      </c>
      <c r="AL45" s="26">
        <f t="shared" si="61"/>
        <v>8.904885347595733E-3</v>
      </c>
      <c r="AM45" s="26">
        <f t="shared" si="62"/>
        <v>1.4708545196570484</v>
      </c>
      <c r="AN45" s="26">
        <f t="shared" si="63"/>
        <v>6.1996207115971071E-3</v>
      </c>
      <c r="AO45" s="26">
        <f t="shared" si="64"/>
        <v>1.0517749561543012E-3</v>
      </c>
      <c r="AP45" s="26">
        <f t="shared" si="65"/>
        <v>0</v>
      </c>
      <c r="AQ45" s="26">
        <f t="shared" si="66"/>
        <v>0</v>
      </c>
      <c r="AR45" s="26">
        <f t="shared" si="67"/>
        <v>0</v>
      </c>
      <c r="AS45" s="26">
        <f t="shared" si="68"/>
        <v>0</v>
      </c>
      <c r="AT45" s="26">
        <f t="shared" si="69"/>
        <v>2.9867462498414983</v>
      </c>
      <c r="AU45" s="47"/>
      <c r="AV45" s="26">
        <f t="shared" si="70"/>
        <v>1.0171949087527921</v>
      </c>
      <c r="AW45" s="26">
        <f t="shared" si="71"/>
        <v>5.2695525851993209E-4</v>
      </c>
      <c r="AX45" s="26">
        <f t="shared" si="72"/>
        <v>8.2568038545649623E-4</v>
      </c>
      <c r="AY45" s="26">
        <f t="shared" si="73"/>
        <v>2.8720437490186264E-4</v>
      </c>
      <c r="AZ45" s="26">
        <f t="shared" si="74"/>
        <v>0.48755580842617424</v>
      </c>
      <c r="BA45" s="26">
        <f t="shared" si="75"/>
        <v>0</v>
      </c>
      <c r="BB45" s="26">
        <f t="shared" si="76"/>
        <v>8.9444009661700935E-3</v>
      </c>
      <c r="BC45" s="26">
        <f t="shared" si="77"/>
        <v>1.4773814679453647</v>
      </c>
      <c r="BD45" s="26">
        <f t="shared" si="78"/>
        <v>6.2271316606753368E-3</v>
      </c>
      <c r="BE45" s="26">
        <f t="shared" si="79"/>
        <v>1.0564422299451624E-3</v>
      </c>
      <c r="BF45" s="26">
        <f t="shared" si="80"/>
        <v>0</v>
      </c>
      <c r="BG45" s="26">
        <f t="shared" si="81"/>
        <v>0</v>
      </c>
      <c r="BH45" s="26">
        <f t="shared" si="82"/>
        <v>0</v>
      </c>
      <c r="BI45" s="26">
        <f t="shared" si="83"/>
        <v>0</v>
      </c>
      <c r="BJ45" s="25">
        <f t="shared" si="84"/>
        <v>3</v>
      </c>
      <c r="BK45" s="24">
        <f t="shared" si="85"/>
        <v>4.0177500852765187</v>
      </c>
      <c r="BL45" s="26"/>
      <c r="BM45" s="51">
        <f t="shared" si="86"/>
        <v>0.75187207536390332</v>
      </c>
      <c r="BN45" s="1"/>
      <c r="BO45" s="26">
        <f t="shared" si="87"/>
        <v>0.65246338215712385</v>
      </c>
      <c r="BP45" s="26">
        <f t="shared" si="88"/>
        <v>3.3800701051577367E-4</v>
      </c>
      <c r="BQ45" s="26">
        <f t="shared" si="89"/>
        <v>5.2961945861122013E-4</v>
      </c>
      <c r="BR45" s="26">
        <f t="shared" si="90"/>
        <v>1.8422264622672542E-4</v>
      </c>
      <c r="BS45" s="26">
        <f t="shared" si="91"/>
        <v>0.3127348643006263</v>
      </c>
      <c r="BT45" s="26">
        <f t="shared" si="92"/>
        <v>5.7372427403439528E-3</v>
      </c>
      <c r="BU45" s="26">
        <f t="shared" si="93"/>
        <v>0.94764267990074447</v>
      </c>
      <c r="BV45" s="26">
        <f t="shared" si="94"/>
        <v>3.9942938659058491E-3</v>
      </c>
      <c r="BW45" s="26">
        <f t="shared" si="95"/>
        <v>6.7763794772507271E-4</v>
      </c>
      <c r="BX45" s="26">
        <f t="shared" si="96"/>
        <v>0</v>
      </c>
      <c r="BY45" s="26">
        <f t="shared" si="97"/>
        <v>0</v>
      </c>
      <c r="BZ45" s="26">
        <f t="shared" si="98"/>
        <v>0</v>
      </c>
      <c r="CA45" s="26">
        <f t="shared" si="99"/>
        <v>0</v>
      </c>
      <c r="CB45" s="26">
        <f t="shared" si="100"/>
        <v>1.9243019500278233</v>
      </c>
      <c r="CC45" s="26">
        <f t="shared" si="101"/>
        <v>2.5771214412740191</v>
      </c>
      <c r="CD45" s="26">
        <f t="shared" si="102"/>
        <v>1.5590068907619323</v>
      </c>
      <c r="CE45" s="26">
        <f t="shared" si="103"/>
        <v>4.0177500852765187</v>
      </c>
      <c r="CF45" s="1"/>
      <c r="CG45" s="22"/>
      <c r="CH45" s="22"/>
      <c r="CI45" s="22"/>
      <c r="CJ45" s="96"/>
      <c r="CK45" s="14"/>
      <c r="CL45" s="14"/>
      <c r="CM45" s="22"/>
      <c r="CN45" s="22"/>
      <c r="CO45" s="22"/>
      <c r="CP45" s="22"/>
      <c r="CQ45" s="14"/>
      <c r="CR45" s="96"/>
      <c r="CS45" s="96"/>
      <c r="CT45" s="22"/>
      <c r="CU45" s="96"/>
      <c r="CV45" s="22"/>
      <c r="CW45" s="22"/>
      <c r="CX45" s="22"/>
      <c r="CY45" s="22"/>
      <c r="CZ45" s="22"/>
      <c r="DA45" s="22"/>
      <c r="DB45" s="22"/>
      <c r="DC45" s="22"/>
      <c r="DD45" s="22"/>
      <c r="DE45" s="22"/>
      <c r="DF45" s="22"/>
      <c r="DG45" s="22"/>
      <c r="DH45" s="22"/>
      <c r="DI45" s="22"/>
      <c r="DJ45" s="22"/>
      <c r="DK45" s="22"/>
      <c r="DL45" s="22"/>
      <c r="DM45" s="22"/>
      <c r="DN45" s="22"/>
      <c r="DO45" s="22"/>
      <c r="DP45" s="46"/>
      <c r="DQ45" s="46"/>
      <c r="DR45" s="46"/>
      <c r="DS45" s="46"/>
      <c r="DT45" s="46"/>
      <c r="DU45" s="46"/>
      <c r="DV45" s="46"/>
      <c r="DW45" s="46"/>
    </row>
    <row r="46" spans="1:127" x14ac:dyDescent="0.25">
      <c r="A46" s="5" t="s">
        <v>83</v>
      </c>
      <c r="B46" s="1">
        <v>56</v>
      </c>
      <c r="C46" s="98" t="s">
        <v>96</v>
      </c>
      <c r="D46" s="98" t="s">
        <v>103</v>
      </c>
      <c r="E46" s="1">
        <v>87</v>
      </c>
      <c r="F46" s="1" t="s">
        <v>184</v>
      </c>
      <c r="G46" s="22">
        <v>38.81</v>
      </c>
      <c r="H46" s="22">
        <v>0</v>
      </c>
      <c r="I46" s="22">
        <v>2.1999999999999999E-2</v>
      </c>
      <c r="J46" s="22">
        <v>8.0000000000000002E-3</v>
      </c>
      <c r="K46" s="22">
        <v>22.49</v>
      </c>
      <c r="L46" s="22">
        <v>0.40500000000000003</v>
      </c>
      <c r="M46" s="22">
        <v>39.35</v>
      </c>
      <c r="N46" s="22">
        <v>0.22500000000000001</v>
      </c>
      <c r="O46" s="22">
        <v>2.4E-2</v>
      </c>
      <c r="P46" s="22">
        <v>0</v>
      </c>
      <c r="Q46" s="22">
        <v>0</v>
      </c>
      <c r="R46" s="22"/>
      <c r="S46" s="22"/>
      <c r="T46" s="22">
        <f t="shared" si="52"/>
        <v>101.334</v>
      </c>
      <c r="U46" s="3"/>
      <c r="V46" s="22">
        <f t="shared" si="53"/>
        <v>22.064416913324596</v>
      </c>
      <c r="W46" s="22">
        <f t="shared" si="54"/>
        <v>0.47295048422237324</v>
      </c>
      <c r="X46" s="22">
        <f t="shared" si="55"/>
        <v>101.38136739754698</v>
      </c>
      <c r="Y46" s="1"/>
      <c r="Z46" s="1"/>
      <c r="AA46" s="1"/>
      <c r="AB46" s="1" t="s">
        <v>185</v>
      </c>
      <c r="AC46" s="1"/>
      <c r="AD46" s="1">
        <v>4</v>
      </c>
      <c r="AE46" s="1">
        <v>3</v>
      </c>
      <c r="AF46" s="1"/>
      <c r="AG46" s="26">
        <f t="shared" si="56"/>
        <v>0.99675594307161774</v>
      </c>
      <c r="AH46" s="26">
        <f t="shared" si="57"/>
        <v>0</v>
      </c>
      <c r="AI46" s="26">
        <f t="shared" si="58"/>
        <v>6.6588305709730186E-4</v>
      </c>
      <c r="AJ46" s="26">
        <f t="shared" si="59"/>
        <v>1.6243517576309657E-4</v>
      </c>
      <c r="AK46" s="26">
        <f t="shared" si="60"/>
        <v>0.48298962071294482</v>
      </c>
      <c r="AL46" s="26">
        <f t="shared" si="61"/>
        <v>8.8092503854616463E-3</v>
      </c>
      <c r="AM46" s="26">
        <f t="shared" si="62"/>
        <v>1.5066584290207361</v>
      </c>
      <c r="AN46" s="26">
        <f t="shared" si="63"/>
        <v>6.1908406873578334E-3</v>
      </c>
      <c r="AO46" s="26">
        <f t="shared" si="64"/>
        <v>1.1949914019473888E-3</v>
      </c>
      <c r="AP46" s="26">
        <f t="shared" si="65"/>
        <v>0</v>
      </c>
      <c r="AQ46" s="26">
        <f t="shared" si="66"/>
        <v>0</v>
      </c>
      <c r="AR46" s="26">
        <f t="shared" si="67"/>
        <v>0</v>
      </c>
      <c r="AS46" s="26">
        <f t="shared" si="68"/>
        <v>0</v>
      </c>
      <c r="AT46" s="26">
        <f t="shared" si="69"/>
        <v>3.0034273935129256</v>
      </c>
      <c r="AU46" s="47"/>
      <c r="AV46" s="26">
        <f t="shared" si="70"/>
        <v>0.99561848429347899</v>
      </c>
      <c r="AW46" s="26">
        <f t="shared" si="71"/>
        <v>0</v>
      </c>
      <c r="AX46" s="26">
        <f t="shared" si="72"/>
        <v>6.6512317747604254E-4</v>
      </c>
      <c r="AY46" s="26">
        <f t="shared" si="73"/>
        <v>1.6224981111306912E-4</v>
      </c>
      <c r="AZ46" s="26">
        <f t="shared" si="74"/>
        <v>0.47330916575703502</v>
      </c>
      <c r="BA46" s="26">
        <f t="shared" si="75"/>
        <v>9.129286149093474E-3</v>
      </c>
      <c r="BB46" s="26">
        <f t="shared" si="76"/>
        <v>8.79919761452066E-3</v>
      </c>
      <c r="BC46" s="26">
        <f t="shared" si="77"/>
        <v>1.5049390895298018</v>
      </c>
      <c r="BD46" s="26">
        <f t="shared" si="78"/>
        <v>6.1837759428405407E-3</v>
      </c>
      <c r="BE46" s="26">
        <f t="shared" si="79"/>
        <v>1.1936277246406282E-3</v>
      </c>
      <c r="BF46" s="26">
        <f t="shared" si="80"/>
        <v>0</v>
      </c>
      <c r="BG46" s="26">
        <f t="shared" si="81"/>
        <v>0</v>
      </c>
      <c r="BH46" s="26">
        <f t="shared" si="82"/>
        <v>0</v>
      </c>
      <c r="BI46" s="26">
        <f t="shared" si="83"/>
        <v>0</v>
      </c>
      <c r="BJ46" s="25">
        <f t="shared" si="84"/>
        <v>3.0000000000000004</v>
      </c>
      <c r="BK46" s="24">
        <f t="shared" si="85"/>
        <v>4.0000000000000009</v>
      </c>
      <c r="BL46" s="26"/>
      <c r="BM46" s="51">
        <f t="shared" si="86"/>
        <v>0.75724871502897495</v>
      </c>
      <c r="BN46" s="1"/>
      <c r="BO46" s="26">
        <f t="shared" si="87"/>
        <v>0.64597203728362185</v>
      </c>
      <c r="BP46" s="26">
        <f t="shared" si="88"/>
        <v>0</v>
      </c>
      <c r="BQ46" s="26">
        <f t="shared" si="89"/>
        <v>4.3154178109062379E-4</v>
      </c>
      <c r="BR46" s="26">
        <f t="shared" si="90"/>
        <v>1.0527008355812881E-4</v>
      </c>
      <c r="BS46" s="26">
        <f t="shared" si="91"/>
        <v>0.3130132219902575</v>
      </c>
      <c r="BT46" s="26">
        <f t="shared" si="92"/>
        <v>5.709049901325064E-3</v>
      </c>
      <c r="BU46" s="26">
        <f t="shared" si="93"/>
        <v>0.97642679900744422</v>
      </c>
      <c r="BV46" s="26">
        <f t="shared" si="94"/>
        <v>4.0121255349500713E-3</v>
      </c>
      <c r="BW46" s="26">
        <f t="shared" si="95"/>
        <v>7.7444336882865445E-4</v>
      </c>
      <c r="BX46" s="26">
        <f t="shared" si="96"/>
        <v>0</v>
      </c>
      <c r="BY46" s="26">
        <f t="shared" si="97"/>
        <v>0</v>
      </c>
      <c r="BZ46" s="26">
        <f t="shared" si="98"/>
        <v>0</v>
      </c>
      <c r="CA46" s="26">
        <f t="shared" si="99"/>
        <v>0</v>
      </c>
      <c r="CB46" s="26">
        <f t="shared" si="100"/>
        <v>1.9464444889510759</v>
      </c>
      <c r="CC46" s="26">
        <f t="shared" si="101"/>
        <v>2.5922977104826077</v>
      </c>
      <c r="CD46" s="26">
        <f t="shared" si="102"/>
        <v>1.5412717994422112</v>
      </c>
      <c r="CE46" s="26">
        <f t="shared" si="103"/>
        <v>3.9954353569254528</v>
      </c>
      <c r="CF46" s="1"/>
      <c r="CG46" s="22"/>
      <c r="CH46" s="22"/>
      <c r="CI46" s="22"/>
      <c r="CJ46" s="96"/>
      <c r="CK46" s="14"/>
      <c r="CL46" s="14"/>
      <c r="CM46" s="22"/>
      <c r="CN46" s="22"/>
      <c r="CO46" s="22"/>
      <c r="CP46" s="22"/>
      <c r="CQ46" s="14"/>
      <c r="CR46" s="96"/>
      <c r="CS46" s="96"/>
      <c r="CT46" s="22"/>
      <c r="CU46" s="96"/>
      <c r="CV46" s="22"/>
      <c r="CW46" s="22"/>
      <c r="CX46" s="22"/>
      <c r="CY46" s="22"/>
      <c r="CZ46" s="22"/>
      <c r="DA46" s="22"/>
      <c r="DB46" s="22"/>
      <c r="DC46" s="22"/>
      <c r="DD46" s="22"/>
      <c r="DE46" s="22"/>
      <c r="DF46" s="22"/>
      <c r="DG46" s="22"/>
      <c r="DH46" s="22"/>
      <c r="DI46" s="22"/>
      <c r="DJ46" s="22"/>
      <c r="DK46" s="22"/>
      <c r="DL46" s="22"/>
      <c r="DM46" s="22"/>
      <c r="DN46" s="22"/>
      <c r="DO46" s="22"/>
      <c r="DP46" s="46"/>
      <c r="DQ46" s="46"/>
      <c r="DR46" s="46"/>
      <c r="DS46" s="46"/>
      <c r="DT46" s="46"/>
      <c r="DU46" s="46"/>
      <c r="DV46" s="46"/>
      <c r="DW46" s="46"/>
    </row>
    <row r="47" spans="1:127" x14ac:dyDescent="0.25">
      <c r="A47" s="5" t="s">
        <v>83</v>
      </c>
      <c r="B47" s="1">
        <v>57</v>
      </c>
      <c r="C47" s="98" t="s">
        <v>96</v>
      </c>
      <c r="D47" s="98" t="s">
        <v>103</v>
      </c>
      <c r="E47" s="1">
        <v>88</v>
      </c>
      <c r="F47" s="1" t="s">
        <v>184</v>
      </c>
      <c r="G47" s="22">
        <v>38.9</v>
      </c>
      <c r="H47" s="22">
        <v>0</v>
      </c>
      <c r="I47" s="22">
        <v>6.7000000000000004E-2</v>
      </c>
      <c r="J47" s="22">
        <v>0</v>
      </c>
      <c r="K47" s="22">
        <v>22.68</v>
      </c>
      <c r="L47" s="22">
        <v>0.433</v>
      </c>
      <c r="M47" s="22">
        <v>38.46</v>
      </c>
      <c r="N47" s="22">
        <v>0.17799999999999999</v>
      </c>
      <c r="O47" s="22">
        <v>3.1E-2</v>
      </c>
      <c r="P47" s="22">
        <v>6.0000000000000001E-3</v>
      </c>
      <c r="Q47" s="22">
        <v>0</v>
      </c>
      <c r="R47" s="22"/>
      <c r="S47" s="22"/>
      <c r="T47" s="22">
        <f t="shared" si="52"/>
        <v>100.755</v>
      </c>
      <c r="U47" s="3"/>
      <c r="V47" s="22">
        <f t="shared" si="53"/>
        <v>22.68</v>
      </c>
      <c r="W47" s="22">
        <f t="shared" si="54"/>
        <v>0</v>
      </c>
      <c r="X47" s="22">
        <f t="shared" si="55"/>
        <v>100.755</v>
      </c>
      <c r="Y47" s="1"/>
      <c r="Z47" s="1"/>
      <c r="AA47" s="1"/>
      <c r="AB47" s="1" t="s">
        <v>185</v>
      </c>
      <c r="AC47" s="1"/>
      <c r="AD47" s="1">
        <v>4</v>
      </c>
      <c r="AE47" s="1">
        <v>3</v>
      </c>
      <c r="AF47" s="1"/>
      <c r="AG47" s="26">
        <f t="shared" si="56"/>
        <v>1.0050944051427646</v>
      </c>
      <c r="AH47" s="26">
        <f t="shared" si="57"/>
        <v>0</v>
      </c>
      <c r="AI47" s="26">
        <f t="shared" si="58"/>
        <v>2.0401502351774015E-3</v>
      </c>
      <c r="AJ47" s="26">
        <f t="shared" si="59"/>
        <v>0</v>
      </c>
      <c r="AK47" s="26">
        <f t="shared" si="60"/>
        <v>0.49000832203872507</v>
      </c>
      <c r="AL47" s="26">
        <f t="shared" si="61"/>
        <v>9.4751019239268687E-3</v>
      </c>
      <c r="AM47" s="26">
        <f t="shared" si="62"/>
        <v>1.4814650556387423</v>
      </c>
      <c r="AN47" s="26">
        <f t="shared" si="63"/>
        <v>4.9271884781078258E-3</v>
      </c>
      <c r="AO47" s="26">
        <f t="shared" si="64"/>
        <v>1.5528420957505126E-3</v>
      </c>
      <c r="AP47" s="26">
        <f t="shared" si="65"/>
        <v>1.9775046865546899E-4</v>
      </c>
      <c r="AQ47" s="26">
        <f t="shared" si="66"/>
        <v>0</v>
      </c>
      <c r="AR47" s="26">
        <f t="shared" si="67"/>
        <v>0</v>
      </c>
      <c r="AS47" s="26">
        <f t="shared" si="68"/>
        <v>0</v>
      </c>
      <c r="AT47" s="26">
        <f t="shared" si="69"/>
        <v>2.9947608160218504</v>
      </c>
      <c r="AU47" s="47"/>
      <c r="AV47" s="26">
        <f t="shared" si="70"/>
        <v>1.0068527674386047</v>
      </c>
      <c r="AW47" s="26">
        <f t="shared" si="71"/>
        <v>0</v>
      </c>
      <c r="AX47" s="26">
        <f t="shared" si="72"/>
        <v>2.0437193757805432E-3</v>
      </c>
      <c r="AY47" s="26">
        <f t="shared" si="73"/>
        <v>0</v>
      </c>
      <c r="AZ47" s="26">
        <f t="shared" si="74"/>
        <v>0.490865567043485</v>
      </c>
      <c r="BA47" s="26">
        <f t="shared" si="75"/>
        <v>0</v>
      </c>
      <c r="BB47" s="26">
        <f t="shared" si="76"/>
        <v>9.4916781399390429E-3</v>
      </c>
      <c r="BC47" s="26">
        <f t="shared" si="77"/>
        <v>1.4840568045163711</v>
      </c>
      <c r="BD47" s="26">
        <f t="shared" si="78"/>
        <v>4.9358083474455444E-3</v>
      </c>
      <c r="BE47" s="26">
        <f t="shared" si="79"/>
        <v>1.5555587151830656E-3</v>
      </c>
      <c r="BF47" s="26">
        <f t="shared" si="80"/>
        <v>1.9809642319097264E-4</v>
      </c>
      <c r="BG47" s="26">
        <f t="shared" si="81"/>
        <v>0</v>
      </c>
      <c r="BH47" s="26">
        <f t="shared" si="82"/>
        <v>0</v>
      </c>
      <c r="BI47" s="26">
        <f t="shared" si="83"/>
        <v>0</v>
      </c>
      <c r="BJ47" s="25">
        <f t="shared" si="84"/>
        <v>3</v>
      </c>
      <c r="BK47" s="24">
        <f t="shared" si="85"/>
        <v>4.0069977995573085</v>
      </c>
      <c r="BL47" s="26"/>
      <c r="BM47" s="51">
        <f t="shared" si="86"/>
        <v>0.75145070301888184</v>
      </c>
      <c r="BN47" s="1"/>
      <c r="BO47" s="26">
        <f t="shared" si="87"/>
        <v>0.64747003994673769</v>
      </c>
      <c r="BP47" s="26">
        <f t="shared" si="88"/>
        <v>0</v>
      </c>
      <c r="BQ47" s="26">
        <f t="shared" si="89"/>
        <v>1.3142408787759907E-3</v>
      </c>
      <c r="BR47" s="26">
        <f t="shared" si="90"/>
        <v>0</v>
      </c>
      <c r="BS47" s="26">
        <f t="shared" si="91"/>
        <v>0.31565762004175368</v>
      </c>
      <c r="BT47" s="26">
        <f t="shared" si="92"/>
        <v>6.1037496475895127E-3</v>
      </c>
      <c r="BU47" s="26">
        <f t="shared" si="93"/>
        <v>0.95434243176178668</v>
      </c>
      <c r="BV47" s="26">
        <f t="shared" si="94"/>
        <v>3.1740370898716121E-3</v>
      </c>
      <c r="BW47" s="26">
        <f t="shared" si="95"/>
        <v>1.000322684737012E-3</v>
      </c>
      <c r="BX47" s="26">
        <f t="shared" si="96"/>
        <v>1.2738853503184712E-4</v>
      </c>
      <c r="BY47" s="26">
        <f t="shared" si="97"/>
        <v>0</v>
      </c>
      <c r="BZ47" s="26">
        <f t="shared" si="98"/>
        <v>0</v>
      </c>
      <c r="CA47" s="26">
        <f t="shared" si="99"/>
        <v>0</v>
      </c>
      <c r="CB47" s="26">
        <f t="shared" si="100"/>
        <v>1.929189830586284</v>
      </c>
      <c r="CC47" s="26">
        <f t="shared" si="101"/>
        <v>2.5767531353625253</v>
      </c>
      <c r="CD47" s="26">
        <f t="shared" si="102"/>
        <v>1.5550569220491355</v>
      </c>
      <c r="CE47" s="26">
        <f t="shared" si="103"/>
        <v>4.0069977995573076</v>
      </c>
      <c r="CF47" s="1"/>
      <c r="CG47" s="22"/>
      <c r="CH47" s="22"/>
      <c r="CI47" s="22"/>
      <c r="CJ47" s="96"/>
      <c r="CK47" s="14"/>
      <c r="CL47" s="14"/>
      <c r="CM47" s="22"/>
      <c r="CN47" s="22"/>
      <c r="CO47" s="22"/>
      <c r="CP47" s="22"/>
      <c r="CQ47" s="14"/>
      <c r="CR47" s="96"/>
      <c r="CS47" s="96"/>
      <c r="CT47" s="22"/>
      <c r="CU47" s="96"/>
      <c r="CV47" s="22"/>
      <c r="CW47" s="22"/>
      <c r="CX47" s="22"/>
      <c r="CY47" s="22"/>
      <c r="CZ47" s="22"/>
      <c r="DA47" s="22"/>
      <c r="DB47" s="22"/>
      <c r="DC47" s="22"/>
      <c r="DD47" s="22"/>
      <c r="DE47" s="22"/>
      <c r="DF47" s="22"/>
      <c r="DG47" s="22"/>
      <c r="DH47" s="22"/>
      <c r="DI47" s="22"/>
      <c r="DJ47" s="22"/>
      <c r="DK47" s="22"/>
      <c r="DL47" s="22"/>
      <c r="DM47" s="22"/>
      <c r="DN47" s="22"/>
      <c r="DO47" s="22"/>
      <c r="DP47" s="46"/>
      <c r="DQ47" s="46"/>
      <c r="DR47" s="46"/>
      <c r="DS47" s="46"/>
      <c r="DT47" s="46"/>
      <c r="DU47" s="46"/>
      <c r="DV47" s="46"/>
      <c r="DW47" s="46"/>
    </row>
    <row r="48" spans="1:127" x14ac:dyDescent="0.25">
      <c r="A48" s="5" t="s">
        <v>83</v>
      </c>
      <c r="B48" s="1">
        <v>58</v>
      </c>
      <c r="C48" s="98" t="s">
        <v>96</v>
      </c>
      <c r="D48" s="98" t="s">
        <v>103</v>
      </c>
      <c r="E48" s="1">
        <v>89</v>
      </c>
      <c r="F48" s="1" t="s">
        <v>184</v>
      </c>
      <c r="G48" s="22">
        <v>39.119999999999997</v>
      </c>
      <c r="H48" s="22">
        <v>0</v>
      </c>
      <c r="I48" s="22">
        <v>1.6E-2</v>
      </c>
      <c r="J48" s="22">
        <v>1.4E-2</v>
      </c>
      <c r="K48" s="22">
        <v>22.29</v>
      </c>
      <c r="L48" s="22">
        <v>0.44400000000000001</v>
      </c>
      <c r="M48" s="22">
        <v>38.22</v>
      </c>
      <c r="N48" s="22">
        <v>0.186</v>
      </c>
      <c r="O48" s="22">
        <v>1.9E-2</v>
      </c>
      <c r="P48" s="22">
        <v>8.0000000000000002E-3</v>
      </c>
      <c r="Q48" s="22">
        <v>0</v>
      </c>
      <c r="R48" s="22"/>
      <c r="S48" s="22"/>
      <c r="T48" s="22">
        <f t="shared" si="52"/>
        <v>100.31700000000001</v>
      </c>
      <c r="U48" s="3"/>
      <c r="V48" s="22">
        <f t="shared" si="53"/>
        <v>22.29</v>
      </c>
      <c r="W48" s="22">
        <f t="shared" si="54"/>
        <v>0</v>
      </c>
      <c r="X48" s="22">
        <f t="shared" si="55"/>
        <v>100.31700000000001</v>
      </c>
      <c r="Y48" s="1"/>
      <c r="Z48" s="1"/>
      <c r="AA48" s="1"/>
      <c r="AB48" s="1" t="s">
        <v>185</v>
      </c>
      <c r="AC48" s="1"/>
      <c r="AD48" s="1">
        <v>4</v>
      </c>
      <c r="AE48" s="1">
        <v>3</v>
      </c>
      <c r="AF48" s="1"/>
      <c r="AG48" s="26">
        <f t="shared" si="56"/>
        <v>1.0128063826613478</v>
      </c>
      <c r="AH48" s="26">
        <f t="shared" si="57"/>
        <v>0</v>
      </c>
      <c r="AI48" s="26">
        <f t="shared" si="58"/>
        <v>4.8817738758207262E-4</v>
      </c>
      <c r="AJ48" s="26">
        <f t="shared" si="59"/>
        <v>2.8655007324912562E-4</v>
      </c>
      <c r="AK48" s="26">
        <f t="shared" si="60"/>
        <v>0.48254831502265161</v>
      </c>
      <c r="AL48" s="26">
        <f t="shared" si="61"/>
        <v>9.7352989755486365E-3</v>
      </c>
      <c r="AM48" s="26">
        <f t="shared" si="62"/>
        <v>1.4751736424126241</v>
      </c>
      <c r="AN48" s="26">
        <f t="shared" si="63"/>
        <v>5.1589633990746873E-3</v>
      </c>
      <c r="AO48" s="26">
        <f t="shared" si="64"/>
        <v>9.5365113980265233E-4</v>
      </c>
      <c r="AP48" s="26">
        <f t="shared" si="65"/>
        <v>2.6419621251522359E-4</v>
      </c>
      <c r="AQ48" s="26">
        <f t="shared" si="66"/>
        <v>0</v>
      </c>
      <c r="AR48" s="26">
        <f t="shared" si="67"/>
        <v>0</v>
      </c>
      <c r="AS48" s="26">
        <f t="shared" si="68"/>
        <v>0</v>
      </c>
      <c r="AT48" s="26">
        <f t="shared" si="69"/>
        <v>2.9874151772843955</v>
      </c>
      <c r="AU48" s="47"/>
      <c r="AV48" s="26">
        <f t="shared" si="70"/>
        <v>1.0170729435558437</v>
      </c>
      <c r="AW48" s="26">
        <f t="shared" si="71"/>
        <v>0</v>
      </c>
      <c r="AX48" s="26">
        <f t="shared" si="72"/>
        <v>4.9023388977942426E-4</v>
      </c>
      <c r="AY48" s="26">
        <f t="shared" si="73"/>
        <v>2.877571976884751E-4</v>
      </c>
      <c r="AZ48" s="26">
        <f t="shared" si="74"/>
        <v>0.48458110411820465</v>
      </c>
      <c r="BA48" s="26">
        <f t="shared" si="75"/>
        <v>0</v>
      </c>
      <c r="BB48" s="26">
        <f t="shared" si="76"/>
        <v>9.7763100183465273E-3</v>
      </c>
      <c r="BC48" s="26">
        <f t="shared" si="77"/>
        <v>1.4813879774356422</v>
      </c>
      <c r="BD48" s="26">
        <f t="shared" si="78"/>
        <v>5.1806961131170195E-3</v>
      </c>
      <c r="BE48" s="26">
        <f t="shared" si="79"/>
        <v>9.576685025777386E-4</v>
      </c>
      <c r="BF48" s="26">
        <f t="shared" si="80"/>
        <v>2.6530916879994747E-4</v>
      </c>
      <c r="BG48" s="26">
        <f t="shared" si="81"/>
        <v>0</v>
      </c>
      <c r="BH48" s="26">
        <f t="shared" si="82"/>
        <v>0</v>
      </c>
      <c r="BI48" s="26">
        <f t="shared" si="83"/>
        <v>0</v>
      </c>
      <c r="BJ48" s="25">
        <f t="shared" si="84"/>
        <v>3</v>
      </c>
      <c r="BK48" s="24">
        <f t="shared" si="85"/>
        <v>4.0168504502638873</v>
      </c>
      <c r="BL48" s="26"/>
      <c r="BM48" s="51">
        <f t="shared" si="86"/>
        <v>0.75351539926802646</v>
      </c>
      <c r="BN48" s="1"/>
      <c r="BO48" s="26">
        <f t="shared" si="87"/>
        <v>0.65113182423435412</v>
      </c>
      <c r="BP48" s="26">
        <f t="shared" si="88"/>
        <v>0</v>
      </c>
      <c r="BQ48" s="26">
        <f t="shared" si="89"/>
        <v>3.138485680659082E-4</v>
      </c>
      <c r="BR48" s="26">
        <f t="shared" si="90"/>
        <v>1.8422264622672542E-4</v>
      </c>
      <c r="BS48" s="26">
        <f t="shared" si="91"/>
        <v>0.31022964509394574</v>
      </c>
      <c r="BT48" s="26">
        <f t="shared" si="92"/>
        <v>6.2588102621934033E-3</v>
      </c>
      <c r="BU48" s="26">
        <f t="shared" si="93"/>
        <v>0.94838709677419364</v>
      </c>
      <c r="BV48" s="26">
        <f t="shared" si="94"/>
        <v>3.3166904422253923E-3</v>
      </c>
      <c r="BW48" s="26">
        <f t="shared" si="95"/>
        <v>6.1310100032268471E-4</v>
      </c>
      <c r="BX48" s="26">
        <f t="shared" si="96"/>
        <v>1.6985138004246286E-4</v>
      </c>
      <c r="BY48" s="26">
        <f t="shared" si="97"/>
        <v>0</v>
      </c>
      <c r="BZ48" s="26">
        <f t="shared" si="98"/>
        <v>0</v>
      </c>
      <c r="CA48" s="26">
        <f t="shared" si="99"/>
        <v>0</v>
      </c>
      <c r="CB48" s="26">
        <f t="shared" si="100"/>
        <v>1.9206050904015703</v>
      </c>
      <c r="CC48" s="26">
        <f t="shared" si="101"/>
        <v>2.5715944740528878</v>
      </c>
      <c r="CD48" s="26">
        <f t="shared" si="102"/>
        <v>1.5620077313096905</v>
      </c>
      <c r="CE48" s="26">
        <f t="shared" si="103"/>
        <v>4.0168504502638882</v>
      </c>
      <c r="CF48" s="1"/>
      <c r="CG48" s="22">
        <v>2.6429458651681852</v>
      </c>
      <c r="CH48" s="22">
        <v>23.189784467599445</v>
      </c>
      <c r="CI48" s="14">
        <v>227013.89444884731</v>
      </c>
      <c r="CJ48" s="96">
        <v>102.29072972002631</v>
      </c>
      <c r="CK48" s="14">
        <v>182863.59358981988</v>
      </c>
      <c r="CL48" s="14">
        <v>1342.3389026996149</v>
      </c>
      <c r="CM48" s="22">
        <v>7.3452891290095605</v>
      </c>
      <c r="CN48" s="22">
        <v>58.470912901110879</v>
      </c>
      <c r="CO48" s="22">
        <v>6.7893609744269954</v>
      </c>
      <c r="CP48" s="22">
        <v>7.0407162599718083</v>
      </c>
      <c r="CQ48" s="14">
        <v>2982.8046054273536</v>
      </c>
      <c r="CR48" s="96">
        <v>206.48778352233646</v>
      </c>
      <c r="CS48" s="96">
        <v>468.37329052598074</v>
      </c>
      <c r="CT48" s="22">
        <v>4.1319185617295897</v>
      </c>
      <c r="CU48" s="96">
        <v>174.11628462680662</v>
      </c>
      <c r="CV48" s="22">
        <v>0</v>
      </c>
      <c r="CW48" s="22">
        <v>0</v>
      </c>
      <c r="CX48" s="22">
        <v>0</v>
      </c>
      <c r="CY48" s="22">
        <v>0.1353811837991481</v>
      </c>
      <c r="CZ48" s="22">
        <v>0</v>
      </c>
      <c r="DA48" s="22">
        <v>0</v>
      </c>
      <c r="DB48" s="22">
        <v>0</v>
      </c>
      <c r="DC48" s="22">
        <v>2.6069084574156201E-2</v>
      </c>
      <c r="DD48" s="22">
        <v>0</v>
      </c>
      <c r="DE48" s="22">
        <v>0</v>
      </c>
      <c r="DF48" s="22">
        <v>0</v>
      </c>
      <c r="DG48" s="22">
        <v>0</v>
      </c>
      <c r="DH48" s="22">
        <v>0</v>
      </c>
      <c r="DI48" s="22">
        <v>3.7733666066223901E-3</v>
      </c>
      <c r="DJ48" s="22">
        <v>0</v>
      </c>
      <c r="DK48" s="22">
        <v>8.2915627707148606E-3</v>
      </c>
      <c r="DL48" s="22">
        <v>9.4812380889484921E-3</v>
      </c>
      <c r="DM48" s="22">
        <v>0</v>
      </c>
      <c r="DN48" s="22">
        <v>2.6645980066103369E-2</v>
      </c>
      <c r="DO48" s="22">
        <v>1.3603959992494146E-2</v>
      </c>
      <c r="DP48" s="46">
        <v>8.2818764579792481E-2</v>
      </c>
      <c r="DQ48" s="46">
        <v>1.4560580018274321E-2</v>
      </c>
      <c r="DR48" s="46">
        <v>0</v>
      </c>
      <c r="DS48" s="46">
        <v>0</v>
      </c>
      <c r="DT48" s="46">
        <v>1.4221295340195018E-2</v>
      </c>
      <c r="DU48" s="46">
        <v>2.0134192339112318E-3</v>
      </c>
      <c r="DV48" s="46">
        <v>0</v>
      </c>
      <c r="DW48" s="46"/>
    </row>
    <row r="49" spans="1:127" x14ac:dyDescent="0.25">
      <c r="A49" s="5" t="s">
        <v>83</v>
      </c>
      <c r="B49" s="1">
        <v>59</v>
      </c>
      <c r="C49" s="98" t="s">
        <v>96</v>
      </c>
      <c r="D49" s="98" t="s">
        <v>103</v>
      </c>
      <c r="E49" s="1">
        <v>90</v>
      </c>
      <c r="F49" s="1" t="s">
        <v>184</v>
      </c>
      <c r="G49" s="22">
        <v>39.020000000000003</v>
      </c>
      <c r="H49" s="22">
        <v>7.4999999999999997E-2</v>
      </c>
      <c r="I49" s="22">
        <v>3.2000000000000001E-2</v>
      </c>
      <c r="J49" s="22">
        <v>8.0000000000000002E-3</v>
      </c>
      <c r="K49" s="22">
        <v>22.67</v>
      </c>
      <c r="L49" s="22">
        <v>0.40500000000000003</v>
      </c>
      <c r="M49" s="22">
        <v>38.76</v>
      </c>
      <c r="N49" s="22">
        <v>0.223</v>
      </c>
      <c r="O49" s="22">
        <v>1.6E-2</v>
      </c>
      <c r="P49" s="22">
        <v>0</v>
      </c>
      <c r="Q49" s="22">
        <v>0</v>
      </c>
      <c r="R49" s="22"/>
      <c r="S49" s="22"/>
      <c r="T49" s="22">
        <f t="shared" si="52"/>
        <v>101.209</v>
      </c>
      <c r="U49" s="3"/>
      <c r="V49" s="22">
        <f t="shared" si="53"/>
        <v>22.67</v>
      </c>
      <c r="W49" s="22">
        <f t="shared" si="54"/>
        <v>0</v>
      </c>
      <c r="X49" s="22">
        <f t="shared" si="55"/>
        <v>101.209</v>
      </c>
      <c r="Y49" s="1"/>
      <c r="Z49" s="1"/>
      <c r="AA49" s="1"/>
      <c r="AB49" s="1" t="s">
        <v>185</v>
      </c>
      <c r="AC49" s="1"/>
      <c r="AD49" s="1">
        <v>4</v>
      </c>
      <c r="AE49" s="1">
        <v>3</v>
      </c>
      <c r="AF49" s="1"/>
      <c r="AG49" s="26">
        <f t="shared" si="56"/>
        <v>1.003363555012043</v>
      </c>
      <c r="AH49" s="26">
        <f t="shared" si="57"/>
        <v>1.450521559788512E-3</v>
      </c>
      <c r="AI49" s="26">
        <f t="shared" si="58"/>
        <v>9.6973066307545514E-4</v>
      </c>
      <c r="AJ49" s="26">
        <f t="shared" si="59"/>
        <v>1.6263197974730804E-4</v>
      </c>
      <c r="AK49" s="26">
        <f t="shared" si="60"/>
        <v>0.48744512214914348</v>
      </c>
      <c r="AL49" s="26">
        <f t="shared" si="61"/>
        <v>8.8199235390173988E-3</v>
      </c>
      <c r="AM49" s="26">
        <f t="shared" si="62"/>
        <v>1.4858661990780246</v>
      </c>
      <c r="AN49" s="26">
        <f t="shared" si="63"/>
        <v>6.143245047476726E-3</v>
      </c>
      <c r="AO49" s="26">
        <f t="shared" si="64"/>
        <v>7.9762615688265092E-4</v>
      </c>
      <c r="AP49" s="26">
        <f t="shared" si="65"/>
        <v>0</v>
      </c>
      <c r="AQ49" s="26">
        <f t="shared" si="66"/>
        <v>0</v>
      </c>
      <c r="AR49" s="26">
        <f t="shared" si="67"/>
        <v>0</v>
      </c>
      <c r="AS49" s="26">
        <f t="shared" si="68"/>
        <v>0</v>
      </c>
      <c r="AT49" s="26">
        <f t="shared" si="69"/>
        <v>2.9950185551851991</v>
      </c>
      <c r="AU49" s="47"/>
      <c r="AV49" s="26">
        <f t="shared" si="70"/>
        <v>1.0050323928126708</v>
      </c>
      <c r="AW49" s="26">
        <f t="shared" si="71"/>
        <v>1.4529341301848641E-3</v>
      </c>
      <c r="AX49" s="26">
        <f t="shared" si="72"/>
        <v>9.7134356119088331E-4</v>
      </c>
      <c r="AY49" s="26">
        <f t="shared" si="73"/>
        <v>1.629024763126233E-4</v>
      </c>
      <c r="AZ49" s="26">
        <f t="shared" si="74"/>
        <v>0.48825586202653959</v>
      </c>
      <c r="BA49" s="26">
        <f t="shared" si="75"/>
        <v>0</v>
      </c>
      <c r="BB49" s="26">
        <f t="shared" si="76"/>
        <v>8.8345932185438618E-3</v>
      </c>
      <c r="BC49" s="26">
        <f t="shared" si="77"/>
        <v>1.4883375562120467</v>
      </c>
      <c r="BD49" s="26">
        <f t="shared" si="78"/>
        <v>6.1534627591950143E-3</v>
      </c>
      <c r="BE49" s="26">
        <f t="shared" si="79"/>
        <v>7.989528033157669E-4</v>
      </c>
      <c r="BF49" s="26">
        <f t="shared" si="80"/>
        <v>0</v>
      </c>
      <c r="BG49" s="26">
        <f t="shared" si="81"/>
        <v>0</v>
      </c>
      <c r="BH49" s="26">
        <f t="shared" si="82"/>
        <v>0</v>
      </c>
      <c r="BI49" s="26">
        <f t="shared" si="83"/>
        <v>0</v>
      </c>
      <c r="BJ49" s="25">
        <f t="shared" si="84"/>
        <v>3</v>
      </c>
      <c r="BK49" s="24">
        <f t="shared" si="85"/>
        <v>4.006652973559949</v>
      </c>
      <c r="BL49" s="26"/>
      <c r="BM49" s="51">
        <f t="shared" si="86"/>
        <v>0.75298113536083611</v>
      </c>
      <c r="BN49" s="1"/>
      <c r="BO49" s="26">
        <f t="shared" si="87"/>
        <v>0.64946737683089217</v>
      </c>
      <c r="BP49" s="26">
        <f t="shared" si="88"/>
        <v>9.3890836254381573E-4</v>
      </c>
      <c r="BQ49" s="26">
        <f t="shared" si="89"/>
        <v>6.2769713613181641E-4</v>
      </c>
      <c r="BR49" s="26">
        <f t="shared" si="90"/>
        <v>1.0527008355812881E-4</v>
      </c>
      <c r="BS49" s="26">
        <f t="shared" si="91"/>
        <v>0.31551844119693812</v>
      </c>
      <c r="BT49" s="26">
        <f t="shared" si="92"/>
        <v>5.709049901325064E-3</v>
      </c>
      <c r="BU49" s="26">
        <f t="shared" si="93"/>
        <v>0.96178660049627795</v>
      </c>
      <c r="BV49" s="26">
        <f t="shared" si="94"/>
        <v>3.976462196861626E-3</v>
      </c>
      <c r="BW49" s="26">
        <f t="shared" si="95"/>
        <v>5.1629557921910297E-4</v>
      </c>
      <c r="BX49" s="26">
        <f t="shared" si="96"/>
        <v>0</v>
      </c>
      <c r="BY49" s="26">
        <f t="shared" si="97"/>
        <v>0</v>
      </c>
      <c r="BZ49" s="26">
        <f t="shared" si="98"/>
        <v>0</v>
      </c>
      <c r="CA49" s="26">
        <f t="shared" si="99"/>
        <v>0</v>
      </c>
      <c r="CB49" s="26">
        <f t="shared" si="100"/>
        <v>1.9386461017837477</v>
      </c>
      <c r="CC49" s="26">
        <f t="shared" si="101"/>
        <v>2.5891607227974189</v>
      </c>
      <c r="CD49" s="26">
        <f t="shared" si="102"/>
        <v>1.547471710922226</v>
      </c>
      <c r="CE49" s="26">
        <f t="shared" si="103"/>
        <v>4.006652973559949</v>
      </c>
      <c r="CF49" s="1"/>
      <c r="CG49" s="22"/>
      <c r="CH49" s="22"/>
      <c r="CI49" s="14"/>
      <c r="CJ49" s="96"/>
      <c r="CK49" s="14"/>
      <c r="CL49" s="14"/>
      <c r="CM49" s="22"/>
      <c r="CN49" s="22"/>
      <c r="CO49" s="22"/>
      <c r="CP49" s="22"/>
      <c r="CQ49" s="14"/>
      <c r="CR49" s="96"/>
      <c r="CS49" s="96"/>
      <c r="CT49" s="22"/>
      <c r="CU49" s="96"/>
      <c r="CV49" s="22"/>
      <c r="CW49" s="22"/>
      <c r="CX49" s="22"/>
      <c r="CY49" s="22"/>
      <c r="CZ49" s="22"/>
      <c r="DA49" s="22"/>
      <c r="DB49" s="22"/>
      <c r="DC49" s="22"/>
      <c r="DD49" s="22"/>
      <c r="DE49" s="22"/>
      <c r="DF49" s="22"/>
      <c r="DG49" s="22"/>
      <c r="DH49" s="22"/>
      <c r="DI49" s="22"/>
      <c r="DJ49" s="22"/>
      <c r="DK49" s="22"/>
      <c r="DL49" s="22"/>
      <c r="DM49" s="22"/>
      <c r="DN49" s="22"/>
      <c r="DO49" s="22"/>
      <c r="DP49" s="46"/>
      <c r="DQ49" s="46"/>
      <c r="DR49" s="46"/>
      <c r="DS49" s="46"/>
      <c r="DT49" s="46"/>
      <c r="DU49" s="46"/>
      <c r="DV49" s="46"/>
      <c r="DW49" s="46"/>
    </row>
    <row r="50" spans="1:127" x14ac:dyDescent="0.25">
      <c r="A50" s="5" t="s">
        <v>83</v>
      </c>
      <c r="B50" s="1">
        <v>60</v>
      </c>
      <c r="C50" s="98" t="s">
        <v>96</v>
      </c>
      <c r="D50" s="98" t="s">
        <v>103</v>
      </c>
      <c r="E50" s="1">
        <v>91</v>
      </c>
      <c r="F50" s="1" t="s">
        <v>184</v>
      </c>
      <c r="G50" s="22">
        <v>39.11</v>
      </c>
      <c r="H50" s="22">
        <v>0.04</v>
      </c>
      <c r="I50" s="22">
        <v>3.1E-2</v>
      </c>
      <c r="J50" s="22">
        <v>1.4E-2</v>
      </c>
      <c r="K50" s="22">
        <v>21.97</v>
      </c>
      <c r="L50" s="22">
        <v>0.437</v>
      </c>
      <c r="M50" s="22">
        <v>39.06</v>
      </c>
      <c r="N50" s="22">
        <v>0.20599999999999999</v>
      </c>
      <c r="O50" s="22">
        <v>0.02</v>
      </c>
      <c r="P50" s="22">
        <v>0</v>
      </c>
      <c r="Q50" s="22">
        <v>0</v>
      </c>
      <c r="R50" s="22"/>
      <c r="S50" s="22"/>
      <c r="T50" s="22">
        <f t="shared" si="52"/>
        <v>100.88800000000001</v>
      </c>
      <c r="U50" s="3"/>
      <c r="V50" s="22">
        <f t="shared" si="53"/>
        <v>21.97</v>
      </c>
      <c r="W50" s="22">
        <f t="shared" si="54"/>
        <v>0</v>
      </c>
      <c r="X50" s="22">
        <f t="shared" si="55"/>
        <v>100.88800000000001</v>
      </c>
      <c r="Y50" s="1"/>
      <c r="Z50" s="1"/>
      <c r="AA50" s="1"/>
      <c r="AB50" s="1" t="s">
        <v>185</v>
      </c>
      <c r="AC50" s="1"/>
      <c r="AD50" s="1">
        <v>4</v>
      </c>
      <c r="AE50" s="1">
        <v>3</v>
      </c>
      <c r="AF50" s="1"/>
      <c r="AG50" s="26">
        <f t="shared" si="56"/>
        <v>1.0056301153932299</v>
      </c>
      <c r="AH50" s="26">
        <f t="shared" si="57"/>
        <v>7.735748001038281E-4</v>
      </c>
      <c r="AI50" s="26">
        <f t="shared" si="58"/>
        <v>9.3938201549681618E-4</v>
      </c>
      <c r="AJ50" s="26">
        <f t="shared" si="59"/>
        <v>2.8459246346868635E-4</v>
      </c>
      <c r="AK50" s="26">
        <f t="shared" si="60"/>
        <v>0.47237147392466755</v>
      </c>
      <c r="AL50" s="26">
        <f t="shared" si="61"/>
        <v>9.5163549299099176E-3</v>
      </c>
      <c r="AM50" s="26">
        <f t="shared" si="62"/>
        <v>1.4972956796286572</v>
      </c>
      <c r="AN50" s="26">
        <f t="shared" si="63"/>
        <v>5.6746567121311155E-3</v>
      </c>
      <c r="AO50" s="26">
        <f t="shared" si="64"/>
        <v>9.9698539903668578E-4</v>
      </c>
      <c r="AP50" s="26">
        <f t="shared" si="65"/>
        <v>0</v>
      </c>
      <c r="AQ50" s="26">
        <f t="shared" si="66"/>
        <v>0</v>
      </c>
      <c r="AR50" s="26">
        <f t="shared" si="67"/>
        <v>0</v>
      </c>
      <c r="AS50" s="26">
        <f t="shared" si="68"/>
        <v>0</v>
      </c>
      <c r="AT50" s="26">
        <f t="shared" si="69"/>
        <v>2.9934828152667019</v>
      </c>
      <c r="AU50" s="47"/>
      <c r="AV50" s="26">
        <f t="shared" si="70"/>
        <v>1.0078194973405592</v>
      </c>
      <c r="AW50" s="26">
        <f t="shared" si="71"/>
        <v>7.7525896874230807E-4</v>
      </c>
      <c r="AX50" s="26">
        <f t="shared" si="72"/>
        <v>9.4142716708375969E-4</v>
      </c>
      <c r="AY50" s="26">
        <f t="shared" si="73"/>
        <v>2.8521205668922224E-4</v>
      </c>
      <c r="AZ50" s="26">
        <f t="shared" si="74"/>
        <v>0.47339988542668354</v>
      </c>
      <c r="BA50" s="26">
        <f t="shared" si="75"/>
        <v>0</v>
      </c>
      <c r="BB50" s="26">
        <f t="shared" si="76"/>
        <v>9.5370732192381728E-3</v>
      </c>
      <c r="BC50" s="26">
        <f t="shared" si="77"/>
        <v>1.5005554787144388</v>
      </c>
      <c r="BD50" s="26">
        <f t="shared" si="78"/>
        <v>5.6870111462044961E-3</v>
      </c>
      <c r="BE50" s="26">
        <f t="shared" si="79"/>
        <v>9.9915596036036745E-4</v>
      </c>
      <c r="BF50" s="26">
        <f t="shared" si="80"/>
        <v>0</v>
      </c>
      <c r="BG50" s="26">
        <f t="shared" si="81"/>
        <v>0</v>
      </c>
      <c r="BH50" s="26">
        <f t="shared" si="82"/>
        <v>0</v>
      </c>
      <c r="BI50" s="26">
        <f t="shared" si="83"/>
        <v>0</v>
      </c>
      <c r="BJ50" s="25">
        <f t="shared" si="84"/>
        <v>2.9999999999999996</v>
      </c>
      <c r="BK50" s="24">
        <f t="shared" si="85"/>
        <v>4.0087084979410079</v>
      </c>
      <c r="BL50" s="26"/>
      <c r="BM50" s="51">
        <f t="shared" si="86"/>
        <v>0.76017700601215865</v>
      </c>
      <c r="BN50" s="1"/>
      <c r="BO50" s="26">
        <f t="shared" si="87"/>
        <v>0.65096537949400801</v>
      </c>
      <c r="BP50" s="26">
        <f t="shared" si="88"/>
        <v>5.0075112669003511E-4</v>
      </c>
      <c r="BQ50" s="26">
        <f t="shared" si="89"/>
        <v>6.0808160062769722E-4</v>
      </c>
      <c r="BR50" s="26">
        <f t="shared" si="90"/>
        <v>1.8422264622672542E-4</v>
      </c>
      <c r="BS50" s="26">
        <f t="shared" si="91"/>
        <v>0.30577592205984694</v>
      </c>
      <c r="BT50" s="26">
        <f t="shared" si="92"/>
        <v>6.1601353256272905E-3</v>
      </c>
      <c r="BU50" s="26">
        <f t="shared" si="93"/>
        <v>0.96923076923076934</v>
      </c>
      <c r="BV50" s="26">
        <f t="shared" si="94"/>
        <v>3.6733238231098429E-3</v>
      </c>
      <c r="BW50" s="26">
        <f t="shared" si="95"/>
        <v>6.4536947402387876E-4</v>
      </c>
      <c r="BX50" s="26">
        <f t="shared" si="96"/>
        <v>0</v>
      </c>
      <c r="BY50" s="26">
        <f t="shared" si="97"/>
        <v>0</v>
      </c>
      <c r="BZ50" s="26">
        <f t="shared" si="98"/>
        <v>0</v>
      </c>
      <c r="CA50" s="26">
        <f t="shared" si="99"/>
        <v>0</v>
      </c>
      <c r="CB50" s="26">
        <f t="shared" si="100"/>
        <v>1.9377439547809299</v>
      </c>
      <c r="CC50" s="26">
        <f t="shared" si="101"/>
        <v>2.5892835527880433</v>
      </c>
      <c r="CD50" s="26">
        <f t="shared" si="102"/>
        <v>1.548192160578389</v>
      </c>
      <c r="CE50" s="26">
        <f t="shared" si="103"/>
        <v>4.0087084979410079</v>
      </c>
      <c r="CF50" s="1"/>
      <c r="CG50" s="22"/>
      <c r="CH50" s="22"/>
      <c r="CI50" s="14"/>
      <c r="CJ50" s="96"/>
      <c r="CK50" s="14"/>
      <c r="CL50" s="14"/>
      <c r="CM50" s="22"/>
      <c r="CN50" s="22"/>
      <c r="CO50" s="22"/>
      <c r="CP50" s="22"/>
      <c r="CQ50" s="14"/>
      <c r="CR50" s="96"/>
      <c r="CS50" s="96"/>
      <c r="CT50" s="22"/>
      <c r="CU50" s="96"/>
      <c r="CV50" s="22"/>
      <c r="CW50" s="22"/>
      <c r="CX50" s="22"/>
      <c r="CY50" s="22"/>
      <c r="CZ50" s="22"/>
      <c r="DA50" s="22"/>
      <c r="DB50" s="22"/>
      <c r="DC50" s="22"/>
      <c r="DD50" s="22"/>
      <c r="DE50" s="22"/>
      <c r="DF50" s="22"/>
      <c r="DG50" s="22"/>
      <c r="DH50" s="22"/>
      <c r="DI50" s="22"/>
      <c r="DJ50" s="22"/>
      <c r="DK50" s="22"/>
      <c r="DL50" s="22"/>
      <c r="DM50" s="22"/>
      <c r="DN50" s="22"/>
      <c r="DO50" s="22"/>
      <c r="DP50" s="46"/>
      <c r="DQ50" s="46"/>
      <c r="DR50" s="46"/>
      <c r="DS50" s="46"/>
      <c r="DT50" s="46"/>
      <c r="DU50" s="46"/>
      <c r="DV50" s="46"/>
      <c r="DW50" s="46"/>
    </row>
    <row r="51" spans="1:127" x14ac:dyDescent="0.25">
      <c r="A51" s="5" t="s">
        <v>83</v>
      </c>
      <c r="B51" s="1">
        <v>61</v>
      </c>
      <c r="C51" s="98" t="s">
        <v>96</v>
      </c>
      <c r="D51" s="98" t="s">
        <v>103</v>
      </c>
      <c r="E51" s="1">
        <v>92</v>
      </c>
      <c r="F51" s="1" t="s">
        <v>184</v>
      </c>
      <c r="G51" s="22">
        <v>39.11</v>
      </c>
      <c r="H51" s="22">
        <v>3.1E-2</v>
      </c>
      <c r="I51" s="22">
        <v>4.2000000000000003E-2</v>
      </c>
      <c r="J51" s="22">
        <v>1.2E-2</v>
      </c>
      <c r="K51" s="22">
        <v>22.84</v>
      </c>
      <c r="L51" s="22">
        <v>0.42199999999999999</v>
      </c>
      <c r="M51" s="22">
        <v>38.04</v>
      </c>
      <c r="N51" s="22">
        <v>0.19900000000000001</v>
      </c>
      <c r="O51" s="22">
        <v>0</v>
      </c>
      <c r="P51" s="22">
        <v>0</v>
      </c>
      <c r="Q51" s="22">
        <v>0</v>
      </c>
      <c r="R51" s="22"/>
      <c r="S51" s="22"/>
      <c r="T51" s="22">
        <f t="shared" si="52"/>
        <v>100.69599999999998</v>
      </c>
      <c r="U51" s="3"/>
      <c r="V51" s="22">
        <f t="shared" si="53"/>
        <v>22.84</v>
      </c>
      <c r="W51" s="22">
        <f t="shared" si="54"/>
        <v>0</v>
      </c>
      <c r="X51" s="22">
        <f t="shared" si="55"/>
        <v>100.696</v>
      </c>
      <c r="Y51" s="1"/>
      <c r="Z51" s="1"/>
      <c r="AA51" s="1"/>
      <c r="AB51" s="1" t="s">
        <v>185</v>
      </c>
      <c r="AC51" s="1"/>
      <c r="AD51" s="1">
        <v>4</v>
      </c>
      <c r="AE51" s="1">
        <v>3</v>
      </c>
      <c r="AF51" s="1"/>
      <c r="AG51" s="26">
        <f t="shared" si="56"/>
        <v>1.0110191769726702</v>
      </c>
      <c r="AH51" s="26">
        <f t="shared" si="57"/>
        <v>6.0273323457701866E-4</v>
      </c>
      <c r="AI51" s="26">
        <f t="shared" si="58"/>
        <v>1.2795314371711326E-3</v>
      </c>
      <c r="AJ51" s="26">
        <f t="shared" si="59"/>
        <v>2.4524362567832216E-4</v>
      </c>
      <c r="AK51" s="26">
        <f t="shared" si="60"/>
        <v>0.49370875478474413</v>
      </c>
      <c r="AL51" s="26">
        <f t="shared" si="61"/>
        <v>9.2389532218599846E-3</v>
      </c>
      <c r="AM51" s="26">
        <f t="shared" si="62"/>
        <v>1.4660101038946498</v>
      </c>
      <c r="AN51" s="26">
        <f t="shared" si="63"/>
        <v>5.5112050899777032E-3</v>
      </c>
      <c r="AO51" s="26">
        <f t="shared" si="64"/>
        <v>0</v>
      </c>
      <c r="AP51" s="26">
        <f t="shared" si="65"/>
        <v>0</v>
      </c>
      <c r="AQ51" s="26">
        <f t="shared" si="66"/>
        <v>0</v>
      </c>
      <c r="AR51" s="26">
        <f t="shared" si="67"/>
        <v>0</v>
      </c>
      <c r="AS51" s="26">
        <f t="shared" si="68"/>
        <v>0</v>
      </c>
      <c r="AT51" s="26">
        <f t="shared" si="69"/>
        <v>2.9876157022613286</v>
      </c>
      <c r="AU51" s="47"/>
      <c r="AV51" s="26">
        <f t="shared" si="70"/>
        <v>1.0152100648762448</v>
      </c>
      <c r="AW51" s="26">
        <f t="shared" si="71"/>
        <v>6.0523169106469366E-4</v>
      </c>
      <c r="AX51" s="26">
        <f t="shared" si="72"/>
        <v>1.284835365073213E-3</v>
      </c>
      <c r="AY51" s="26">
        <f t="shared" si="73"/>
        <v>2.4626021227498951E-4</v>
      </c>
      <c r="AZ51" s="26">
        <f t="shared" si="74"/>
        <v>0.49575528178981215</v>
      </c>
      <c r="BA51" s="26">
        <f t="shared" si="75"/>
        <v>0</v>
      </c>
      <c r="BB51" s="26">
        <f t="shared" si="76"/>
        <v>9.277250633205952E-3</v>
      </c>
      <c r="BC51" s="26">
        <f t="shared" si="77"/>
        <v>1.4720870252338938</v>
      </c>
      <c r="BD51" s="26">
        <f t="shared" si="78"/>
        <v>5.5340501984304097E-3</v>
      </c>
      <c r="BE51" s="26">
        <f t="shared" si="79"/>
        <v>0</v>
      </c>
      <c r="BF51" s="26">
        <f t="shared" si="80"/>
        <v>0</v>
      </c>
      <c r="BG51" s="26">
        <f t="shared" si="81"/>
        <v>0</v>
      </c>
      <c r="BH51" s="26">
        <f t="shared" si="82"/>
        <v>0</v>
      </c>
      <c r="BI51" s="26">
        <f t="shared" si="83"/>
        <v>0</v>
      </c>
      <c r="BJ51" s="25">
        <f t="shared" si="84"/>
        <v>3</v>
      </c>
      <c r="BK51" s="24">
        <f t="shared" si="85"/>
        <v>4.0165808443559836</v>
      </c>
      <c r="BL51" s="26"/>
      <c r="BM51" s="51">
        <f t="shared" si="86"/>
        <v>0.74807164170607499</v>
      </c>
      <c r="BN51" s="1"/>
      <c r="BO51" s="26">
        <f t="shared" si="87"/>
        <v>0.65096537949400801</v>
      </c>
      <c r="BP51" s="26">
        <f t="shared" si="88"/>
        <v>3.880821231847772E-4</v>
      </c>
      <c r="BQ51" s="26">
        <f t="shared" si="89"/>
        <v>8.2385249117300908E-4</v>
      </c>
      <c r="BR51" s="26">
        <f t="shared" si="90"/>
        <v>1.5790512533719322E-4</v>
      </c>
      <c r="BS51" s="26">
        <f t="shared" si="91"/>
        <v>0.31788448155880311</v>
      </c>
      <c r="BT51" s="26">
        <f t="shared" si="92"/>
        <v>5.9486890329856212E-3</v>
      </c>
      <c r="BU51" s="26">
        <f t="shared" si="93"/>
        <v>0.94392059553349883</v>
      </c>
      <c r="BV51" s="26">
        <f t="shared" si="94"/>
        <v>3.5485021398002858E-3</v>
      </c>
      <c r="BW51" s="26">
        <f t="shared" si="95"/>
        <v>0</v>
      </c>
      <c r="BX51" s="26">
        <f t="shared" si="96"/>
        <v>0</v>
      </c>
      <c r="BY51" s="26">
        <f t="shared" si="97"/>
        <v>0</v>
      </c>
      <c r="BZ51" s="26">
        <f t="shared" si="98"/>
        <v>0</v>
      </c>
      <c r="CA51" s="26">
        <f t="shared" si="99"/>
        <v>0</v>
      </c>
      <c r="CB51" s="26">
        <f t="shared" si="100"/>
        <v>1.9236374874987909</v>
      </c>
      <c r="CC51" s="26">
        <f t="shared" si="101"/>
        <v>2.5754818279242384</v>
      </c>
      <c r="CD51" s="26">
        <f t="shared" si="102"/>
        <v>1.5595454026531523</v>
      </c>
      <c r="CE51" s="26">
        <f t="shared" si="103"/>
        <v>4.0165808443559836</v>
      </c>
      <c r="CF51" s="1"/>
      <c r="CG51" s="22"/>
      <c r="CH51" s="22"/>
      <c r="CI51" s="14"/>
      <c r="CJ51" s="96"/>
      <c r="CK51" s="14"/>
      <c r="CL51" s="14"/>
      <c r="CM51" s="22"/>
      <c r="CN51" s="22"/>
      <c r="CO51" s="22"/>
      <c r="CP51" s="22"/>
      <c r="CQ51" s="14"/>
      <c r="CR51" s="96"/>
      <c r="CS51" s="96"/>
      <c r="CT51" s="22"/>
      <c r="CU51" s="96"/>
      <c r="CV51" s="22"/>
      <c r="CW51" s="22"/>
      <c r="CX51" s="22"/>
      <c r="CY51" s="22"/>
      <c r="CZ51" s="22"/>
      <c r="DA51" s="22"/>
      <c r="DB51" s="22"/>
      <c r="DC51" s="22"/>
      <c r="DD51" s="22"/>
      <c r="DE51" s="22"/>
      <c r="DF51" s="22"/>
      <c r="DG51" s="22"/>
      <c r="DH51" s="22"/>
      <c r="DI51" s="22"/>
      <c r="DJ51" s="22"/>
      <c r="DK51" s="22"/>
      <c r="DL51" s="22"/>
      <c r="DM51" s="22"/>
      <c r="DN51" s="22"/>
      <c r="DO51" s="22"/>
      <c r="DP51" s="46"/>
      <c r="DQ51" s="46"/>
      <c r="DR51" s="46"/>
      <c r="DS51" s="46"/>
      <c r="DT51" s="46"/>
      <c r="DU51" s="46"/>
      <c r="DV51" s="46"/>
      <c r="DW51" s="46"/>
    </row>
    <row r="52" spans="1:127" x14ac:dyDescent="0.25">
      <c r="A52" s="5" t="s">
        <v>83</v>
      </c>
      <c r="B52" s="1">
        <v>62</v>
      </c>
      <c r="C52" s="98" t="s">
        <v>96</v>
      </c>
      <c r="D52" s="98" t="s">
        <v>103</v>
      </c>
      <c r="E52" s="1">
        <v>93</v>
      </c>
      <c r="F52" s="1" t="s">
        <v>184</v>
      </c>
      <c r="G52" s="22">
        <v>38.99</v>
      </c>
      <c r="H52" s="22">
        <v>0</v>
      </c>
      <c r="I52" s="22">
        <v>4.4999999999999998E-2</v>
      </c>
      <c r="J52" s="22">
        <v>0</v>
      </c>
      <c r="K52" s="22">
        <v>23.52</v>
      </c>
      <c r="L52" s="22">
        <v>0.41399999999999998</v>
      </c>
      <c r="M52" s="22">
        <v>38.479999999999997</v>
      </c>
      <c r="N52" s="22">
        <v>0.21199999999999999</v>
      </c>
      <c r="O52" s="22">
        <v>1.2999999999999999E-2</v>
      </c>
      <c r="P52" s="22">
        <v>0</v>
      </c>
      <c r="Q52" s="22">
        <v>0</v>
      </c>
      <c r="R52" s="22"/>
      <c r="S52" s="22"/>
      <c r="T52" s="22">
        <f t="shared" si="52"/>
        <v>101.67400000000002</v>
      </c>
      <c r="U52" s="3"/>
      <c r="V52" s="22">
        <f t="shared" si="53"/>
        <v>23.52</v>
      </c>
      <c r="W52" s="22">
        <f t="shared" si="54"/>
        <v>0</v>
      </c>
      <c r="X52" s="22">
        <f t="shared" si="55"/>
        <v>101.67399999999999</v>
      </c>
      <c r="Y52" s="1"/>
      <c r="Z52" s="1"/>
      <c r="AA52" s="1"/>
      <c r="AB52" s="1" t="s">
        <v>185</v>
      </c>
      <c r="AC52" s="1"/>
      <c r="AD52" s="1">
        <v>4</v>
      </c>
      <c r="AE52" s="1">
        <v>3</v>
      </c>
      <c r="AF52" s="1"/>
      <c r="AG52" s="26">
        <f t="shared" si="56"/>
        <v>1.0017746900748081</v>
      </c>
      <c r="AH52" s="26">
        <f t="shared" si="57"/>
        <v>0</v>
      </c>
      <c r="AI52" s="26">
        <f t="shared" si="58"/>
        <v>1.362571894075027E-3</v>
      </c>
      <c r="AJ52" s="26">
        <f t="shared" si="59"/>
        <v>0</v>
      </c>
      <c r="AK52" s="26">
        <f t="shared" si="60"/>
        <v>0.50530929701133642</v>
      </c>
      <c r="AL52" s="26">
        <f t="shared" si="61"/>
        <v>9.008570897540074E-3</v>
      </c>
      <c r="AM52" s="26">
        <f t="shared" si="62"/>
        <v>1.4739296693436332</v>
      </c>
      <c r="AN52" s="26">
        <f t="shared" si="63"/>
        <v>5.8354533261643343E-3</v>
      </c>
      <c r="AO52" s="26">
        <f t="shared" si="64"/>
        <v>6.4754286119485379E-4</v>
      </c>
      <c r="AP52" s="26">
        <f t="shared" si="65"/>
        <v>0</v>
      </c>
      <c r="AQ52" s="26">
        <f t="shared" si="66"/>
        <v>0</v>
      </c>
      <c r="AR52" s="26">
        <f t="shared" si="67"/>
        <v>0</v>
      </c>
      <c r="AS52" s="26">
        <f t="shared" si="68"/>
        <v>0</v>
      </c>
      <c r="AT52" s="26">
        <f t="shared" si="69"/>
        <v>2.9978677954087525</v>
      </c>
      <c r="AU52" s="47"/>
      <c r="AV52" s="26">
        <f t="shared" si="70"/>
        <v>1.0024871926731032</v>
      </c>
      <c r="AW52" s="26">
        <f t="shared" si="71"/>
        <v>0</v>
      </c>
      <c r="AX52" s="26">
        <f t="shared" si="72"/>
        <v>1.3635410102091348E-3</v>
      </c>
      <c r="AY52" s="26">
        <f t="shared" si="73"/>
        <v>0</v>
      </c>
      <c r="AZ52" s="26">
        <f t="shared" si="74"/>
        <v>0.505668693381229</v>
      </c>
      <c r="BA52" s="26">
        <f t="shared" si="75"/>
        <v>0</v>
      </c>
      <c r="BB52" s="26">
        <f t="shared" si="76"/>
        <v>9.0149781568120597E-3</v>
      </c>
      <c r="BC52" s="26">
        <f t="shared" si="77"/>
        <v>1.4749779876226996</v>
      </c>
      <c r="BD52" s="26">
        <f t="shared" si="78"/>
        <v>5.8396037361300827E-3</v>
      </c>
      <c r="BE52" s="26">
        <f t="shared" si="79"/>
        <v>6.4800341981714662E-4</v>
      </c>
      <c r="BF52" s="26">
        <f t="shared" si="80"/>
        <v>0</v>
      </c>
      <c r="BG52" s="26">
        <f t="shared" si="81"/>
        <v>0</v>
      </c>
      <c r="BH52" s="26">
        <f t="shared" si="82"/>
        <v>0</v>
      </c>
      <c r="BI52" s="26">
        <f t="shared" si="83"/>
        <v>0</v>
      </c>
      <c r="BJ52" s="25">
        <f t="shared" si="84"/>
        <v>3</v>
      </c>
      <c r="BK52" s="24">
        <f t="shared" si="85"/>
        <v>4.0028449614682993</v>
      </c>
      <c r="BL52" s="26"/>
      <c r="BM52" s="51">
        <f t="shared" si="86"/>
        <v>0.74469515525862429</v>
      </c>
      <c r="BN52" s="1"/>
      <c r="BO52" s="26">
        <f t="shared" si="87"/>
        <v>0.64896804260985363</v>
      </c>
      <c r="BP52" s="26">
        <f t="shared" si="88"/>
        <v>0</v>
      </c>
      <c r="BQ52" s="26">
        <f t="shared" si="89"/>
        <v>8.8269909768536688E-4</v>
      </c>
      <c r="BR52" s="26">
        <f t="shared" si="90"/>
        <v>0</v>
      </c>
      <c r="BS52" s="26">
        <f t="shared" si="91"/>
        <v>0.32734864300626304</v>
      </c>
      <c r="BT52" s="26">
        <f t="shared" si="92"/>
        <v>5.8359176769100648E-3</v>
      </c>
      <c r="BU52" s="26">
        <f t="shared" si="93"/>
        <v>0.95483870967741935</v>
      </c>
      <c r="BV52" s="26">
        <f t="shared" si="94"/>
        <v>3.7803138373751783E-3</v>
      </c>
      <c r="BW52" s="26">
        <f t="shared" si="95"/>
        <v>4.1949015811552112E-4</v>
      </c>
      <c r="BX52" s="26">
        <f t="shared" si="96"/>
        <v>0</v>
      </c>
      <c r="BY52" s="26">
        <f t="shared" si="97"/>
        <v>0</v>
      </c>
      <c r="BZ52" s="26">
        <f t="shared" si="98"/>
        <v>0</v>
      </c>
      <c r="CA52" s="26">
        <f t="shared" si="99"/>
        <v>0</v>
      </c>
      <c r="CB52" s="26">
        <f t="shared" si="100"/>
        <v>1.9420738160636222</v>
      </c>
      <c r="CC52" s="26">
        <f t="shared" si="101"/>
        <v>2.5912734631432608</v>
      </c>
      <c r="CD52" s="26">
        <f t="shared" si="102"/>
        <v>1.5447404600102597</v>
      </c>
      <c r="CE52" s="26">
        <f t="shared" si="103"/>
        <v>4.0028449614682993</v>
      </c>
      <c r="CF52" s="1"/>
      <c r="CG52" s="22">
        <v>2.6528860001717351</v>
      </c>
      <c r="CH52" s="22">
        <v>24.350773892633761</v>
      </c>
      <c r="CI52" s="14">
        <v>228194.74688811324</v>
      </c>
      <c r="CJ52" s="96">
        <v>102.28665650082144</v>
      </c>
      <c r="CK52" s="14">
        <v>182393.86767245393</v>
      </c>
      <c r="CL52" s="14">
        <v>1317.2086014054605</v>
      </c>
      <c r="CM52" s="22">
        <v>7.387952956011806</v>
      </c>
      <c r="CN52" s="22">
        <v>57.226629099046924</v>
      </c>
      <c r="CO52" s="22">
        <v>6.5207662829069024</v>
      </c>
      <c r="CP52" s="22">
        <v>6.1338911167932473</v>
      </c>
      <c r="CQ52" s="14">
        <v>2967.9916500330646</v>
      </c>
      <c r="CR52" s="96">
        <v>202.3960472323422</v>
      </c>
      <c r="CS52" s="96">
        <v>441.74324576903467</v>
      </c>
      <c r="CT52" s="22">
        <v>3.652591901371355</v>
      </c>
      <c r="CU52" s="96">
        <v>175.7350122837224</v>
      </c>
      <c r="CV52" s="22">
        <v>0</v>
      </c>
      <c r="CW52" s="22">
        <v>0</v>
      </c>
      <c r="CX52" s="22">
        <v>0</v>
      </c>
      <c r="CY52" s="22">
        <v>0.15387329618146967</v>
      </c>
      <c r="CZ52" s="22">
        <v>5.3972724259556328E-2</v>
      </c>
      <c r="DA52" s="22">
        <v>0</v>
      </c>
      <c r="DB52" s="22">
        <v>0</v>
      </c>
      <c r="DC52" s="22">
        <v>0.11418578718092474</v>
      </c>
      <c r="DD52" s="22">
        <v>7.7110728305179498E-3</v>
      </c>
      <c r="DE52" s="22">
        <v>0</v>
      </c>
      <c r="DF52" s="22">
        <v>0</v>
      </c>
      <c r="DG52" s="22">
        <v>0</v>
      </c>
      <c r="DH52" s="22">
        <v>0</v>
      </c>
      <c r="DI52" s="22">
        <v>0</v>
      </c>
      <c r="DJ52" s="22">
        <v>0</v>
      </c>
      <c r="DK52" s="22">
        <v>2.8208859924983894E-3</v>
      </c>
      <c r="DL52" s="22">
        <v>0</v>
      </c>
      <c r="DM52" s="22">
        <v>5.3986163012007546E-3</v>
      </c>
      <c r="DN52" s="22">
        <v>1.4067244061109256E-2</v>
      </c>
      <c r="DO52" s="22">
        <v>9.5640290790627355E-3</v>
      </c>
      <c r="DP52" s="46">
        <v>6.3360575335336372E-2</v>
      </c>
      <c r="DQ52" s="46">
        <v>2.9129962546141613E-2</v>
      </c>
      <c r="DR52" s="46">
        <v>2.486282030947462E-2</v>
      </c>
      <c r="DS52" s="46">
        <v>2.5355937470003666E-2</v>
      </c>
      <c r="DT52" s="46">
        <v>2.3595458933066554E-2</v>
      </c>
      <c r="DU52" s="46">
        <v>0</v>
      </c>
      <c r="DV52" s="46">
        <v>0</v>
      </c>
      <c r="DW52" s="46"/>
    </row>
    <row r="53" spans="1:127" x14ac:dyDescent="0.25">
      <c r="A53" s="5" t="s">
        <v>83</v>
      </c>
      <c r="B53" s="1">
        <v>95</v>
      </c>
      <c r="C53" s="98" t="s">
        <v>96</v>
      </c>
      <c r="D53" s="98" t="s">
        <v>103</v>
      </c>
      <c r="E53" s="1">
        <v>126</v>
      </c>
      <c r="F53" s="1" t="s">
        <v>184</v>
      </c>
      <c r="G53" s="22">
        <v>39.119999999999997</v>
      </c>
      <c r="H53" s="22">
        <v>0</v>
      </c>
      <c r="I53" s="22">
        <v>2.3E-2</v>
      </c>
      <c r="J53" s="22">
        <v>2.8000000000000001E-2</v>
      </c>
      <c r="K53" s="22">
        <v>23.34</v>
      </c>
      <c r="L53" s="22">
        <v>0.39800000000000002</v>
      </c>
      <c r="M53" s="22">
        <v>38.630000000000003</v>
      </c>
      <c r="N53" s="22">
        <v>0.19</v>
      </c>
      <c r="O53" s="22">
        <v>1.9E-2</v>
      </c>
      <c r="P53" s="22">
        <v>0</v>
      </c>
      <c r="Q53" s="22">
        <v>0</v>
      </c>
      <c r="R53" s="22"/>
      <c r="S53" s="22"/>
      <c r="T53" s="22">
        <f t="shared" si="52"/>
        <v>101.748</v>
      </c>
      <c r="U53" s="3"/>
      <c r="V53" s="22">
        <f t="shared" si="53"/>
        <v>23.34</v>
      </c>
      <c r="W53" s="22">
        <f t="shared" si="54"/>
        <v>0</v>
      </c>
      <c r="X53" s="22">
        <f t="shared" si="55"/>
        <v>101.748</v>
      </c>
      <c r="Y53" s="1"/>
      <c r="Z53" s="1"/>
      <c r="AA53" s="1"/>
      <c r="AB53" s="1" t="s">
        <v>185</v>
      </c>
      <c r="AC53" s="1"/>
      <c r="AD53" s="1">
        <v>4</v>
      </c>
      <c r="AE53" s="1">
        <v>3</v>
      </c>
      <c r="AF53" s="1"/>
      <c r="AG53" s="26">
        <f t="shared" si="56"/>
        <v>1.0032066393312853</v>
      </c>
      <c r="AH53" s="26">
        <f t="shared" si="57"/>
        <v>0</v>
      </c>
      <c r="AI53" s="26">
        <f t="shared" si="58"/>
        <v>6.9510350829946922E-4</v>
      </c>
      <c r="AJ53" s="26">
        <f t="shared" si="59"/>
        <v>5.6766809709276884E-4</v>
      </c>
      <c r="AK53" s="26">
        <f t="shared" si="60"/>
        <v>0.50049017321806666</v>
      </c>
      <c r="AL53" s="26">
        <f t="shared" si="61"/>
        <v>8.6439722408015122E-3</v>
      </c>
      <c r="AM53" s="26">
        <f t="shared" si="62"/>
        <v>1.4768661536687033</v>
      </c>
      <c r="AN53" s="26">
        <f t="shared" si="63"/>
        <v>5.2199587561948136E-3</v>
      </c>
      <c r="AO53" s="26">
        <f t="shared" si="64"/>
        <v>9.4461209115006498E-4</v>
      </c>
      <c r="AP53" s="26">
        <f t="shared" si="65"/>
        <v>0</v>
      </c>
      <c r="AQ53" s="26">
        <f t="shared" si="66"/>
        <v>0</v>
      </c>
      <c r="AR53" s="26">
        <f t="shared" si="67"/>
        <v>0</v>
      </c>
      <c r="AS53" s="26">
        <f t="shared" si="68"/>
        <v>0</v>
      </c>
      <c r="AT53" s="26">
        <f t="shared" si="69"/>
        <v>2.9966342809115942</v>
      </c>
      <c r="AU53" s="47"/>
      <c r="AV53" s="26">
        <f t="shared" si="70"/>
        <v>1.0043334073713899</v>
      </c>
      <c r="AW53" s="26">
        <f t="shared" si="71"/>
        <v>0</v>
      </c>
      <c r="AX53" s="26">
        <f t="shared" si="72"/>
        <v>6.9588422523953885E-4</v>
      </c>
      <c r="AY53" s="26">
        <f t="shared" si="73"/>
        <v>5.6830568285437956E-4</v>
      </c>
      <c r="AZ53" s="26">
        <f t="shared" si="74"/>
        <v>0.50105230698937453</v>
      </c>
      <c r="BA53" s="26">
        <f t="shared" si="75"/>
        <v>0</v>
      </c>
      <c r="BB53" s="26">
        <f t="shared" si="76"/>
        <v>8.6536808604204749E-3</v>
      </c>
      <c r="BC53" s="26">
        <f t="shared" si="77"/>
        <v>1.4785249201842192</v>
      </c>
      <c r="BD53" s="26">
        <f t="shared" si="78"/>
        <v>5.2258216387421862E-3</v>
      </c>
      <c r="BE53" s="26">
        <f t="shared" si="79"/>
        <v>9.4567304775947656E-4</v>
      </c>
      <c r="BF53" s="26">
        <f t="shared" si="80"/>
        <v>0</v>
      </c>
      <c r="BG53" s="26">
        <f t="shared" si="81"/>
        <v>0</v>
      </c>
      <c r="BH53" s="26">
        <f t="shared" si="82"/>
        <v>0</v>
      </c>
      <c r="BI53" s="26">
        <f t="shared" si="83"/>
        <v>0</v>
      </c>
      <c r="BJ53" s="25">
        <f t="shared" si="84"/>
        <v>3</v>
      </c>
      <c r="BK53" s="24">
        <f t="shared" si="85"/>
        <v>4.0044926658015561</v>
      </c>
      <c r="BL53" s="26"/>
      <c r="BM53" s="51">
        <f t="shared" si="86"/>
        <v>0.74688923467524004</v>
      </c>
      <c r="BN53" s="1"/>
      <c r="BO53" s="26">
        <f t="shared" si="87"/>
        <v>0.65113182423435412</v>
      </c>
      <c r="BP53" s="26">
        <f t="shared" si="88"/>
        <v>0</v>
      </c>
      <c r="BQ53" s="26">
        <f t="shared" si="89"/>
        <v>4.5115731659474303E-4</v>
      </c>
      <c r="BR53" s="26">
        <f t="shared" si="90"/>
        <v>3.6844529245345085E-4</v>
      </c>
      <c r="BS53" s="26">
        <f t="shared" si="91"/>
        <v>0.32484342379958248</v>
      </c>
      <c r="BT53" s="26">
        <f t="shared" si="92"/>
        <v>5.610374964758952E-3</v>
      </c>
      <c r="BU53" s="26">
        <f t="shared" si="93"/>
        <v>0.9585607940446651</v>
      </c>
      <c r="BV53" s="26">
        <f t="shared" si="94"/>
        <v>3.3880171184022824E-3</v>
      </c>
      <c r="BW53" s="26">
        <f t="shared" si="95"/>
        <v>6.1310100032268471E-4</v>
      </c>
      <c r="BX53" s="26">
        <f t="shared" si="96"/>
        <v>0</v>
      </c>
      <c r="BY53" s="26">
        <f t="shared" si="97"/>
        <v>0</v>
      </c>
      <c r="BZ53" s="26">
        <f t="shared" si="98"/>
        <v>0</v>
      </c>
      <c r="CA53" s="26">
        <f t="shared" si="99"/>
        <v>0</v>
      </c>
      <c r="CB53" s="26">
        <f t="shared" si="100"/>
        <v>1.9449671377711339</v>
      </c>
      <c r="CC53" s="26">
        <f t="shared" si="101"/>
        <v>2.5962022128098505</v>
      </c>
      <c r="CD53" s="26">
        <f t="shared" si="102"/>
        <v>1.5424425131613779</v>
      </c>
      <c r="CE53" s="26">
        <f t="shared" si="103"/>
        <v>4.0044926658015561</v>
      </c>
      <c r="CF53" s="1"/>
      <c r="CG53" s="22"/>
      <c r="CH53" s="22"/>
      <c r="CI53" s="14"/>
      <c r="CJ53" s="96"/>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46"/>
      <c r="DQ53" s="46"/>
      <c r="DR53" s="46"/>
      <c r="DS53" s="46"/>
      <c r="DT53" s="46"/>
      <c r="DU53" s="46"/>
      <c r="DV53" s="46"/>
      <c r="DW53" s="46"/>
    </row>
    <row r="54" spans="1:127" x14ac:dyDescent="0.25">
      <c r="A54" s="5" t="s">
        <v>83</v>
      </c>
      <c r="B54" s="1">
        <v>105</v>
      </c>
      <c r="C54" s="98" t="s">
        <v>96</v>
      </c>
      <c r="D54" s="98" t="s">
        <v>103</v>
      </c>
      <c r="E54" s="1">
        <v>136</v>
      </c>
      <c r="F54" s="1" t="s">
        <v>184</v>
      </c>
      <c r="G54" s="22">
        <v>39.11</v>
      </c>
      <c r="H54" s="22">
        <v>0</v>
      </c>
      <c r="I54" s="22">
        <v>5.1999999999999998E-2</v>
      </c>
      <c r="J54" s="22">
        <v>3.7999999999999999E-2</v>
      </c>
      <c r="K54" s="22">
        <v>21.9</v>
      </c>
      <c r="L54" s="22">
        <v>0.39600000000000002</v>
      </c>
      <c r="M54" s="22">
        <v>38.82</v>
      </c>
      <c r="N54" s="22">
        <v>0.19800000000000001</v>
      </c>
      <c r="O54" s="22">
        <v>4.2999999999999997E-2</v>
      </c>
      <c r="P54" s="22">
        <v>0</v>
      </c>
      <c r="Q54" s="22">
        <v>0</v>
      </c>
      <c r="R54" s="22"/>
      <c r="S54" s="22"/>
      <c r="T54" s="22">
        <f t="shared" si="52"/>
        <v>100.557</v>
      </c>
      <c r="U54" s="3"/>
      <c r="V54" s="22">
        <f t="shared" si="53"/>
        <v>21.9</v>
      </c>
      <c r="W54" s="22">
        <f t="shared" si="54"/>
        <v>0</v>
      </c>
      <c r="X54" s="22">
        <f t="shared" si="55"/>
        <v>100.55699999999999</v>
      </c>
      <c r="Y54" s="1"/>
      <c r="Z54" s="1"/>
      <c r="AA54" s="1"/>
      <c r="AB54" s="1" t="s">
        <v>185</v>
      </c>
      <c r="AC54" s="1"/>
      <c r="AD54" s="1">
        <v>4</v>
      </c>
      <c r="AE54" s="1">
        <v>3</v>
      </c>
      <c r="AF54" s="1"/>
      <c r="AG54" s="26">
        <f t="shared" si="56"/>
        <v>1.0084299657845937</v>
      </c>
      <c r="AH54" s="26">
        <f t="shared" si="57"/>
        <v>0</v>
      </c>
      <c r="AI54" s="26">
        <f t="shared" si="58"/>
        <v>1.5801247038011988E-3</v>
      </c>
      <c r="AJ54" s="26">
        <f t="shared" si="59"/>
        <v>7.7461593657270815E-4</v>
      </c>
      <c r="AK54" s="26">
        <f t="shared" si="60"/>
        <v>0.47217739603214332</v>
      </c>
      <c r="AL54" s="26">
        <f t="shared" si="61"/>
        <v>8.6475255173155286E-3</v>
      </c>
      <c r="AM54" s="26">
        <f t="shared" si="62"/>
        <v>1.4922388252813792</v>
      </c>
      <c r="AN54" s="26">
        <f t="shared" si="63"/>
        <v>5.4694673698142257E-3</v>
      </c>
      <c r="AO54" s="26">
        <f t="shared" si="64"/>
        <v>2.1494865392004616E-3</v>
      </c>
      <c r="AP54" s="26">
        <f t="shared" si="65"/>
        <v>0</v>
      </c>
      <c r="AQ54" s="26">
        <f t="shared" si="66"/>
        <v>0</v>
      </c>
      <c r="AR54" s="26">
        <f t="shared" si="67"/>
        <v>0</v>
      </c>
      <c r="AS54" s="26">
        <f t="shared" si="68"/>
        <v>0</v>
      </c>
      <c r="AT54" s="26">
        <f t="shared" si="69"/>
        <v>2.9914674071648202</v>
      </c>
      <c r="AU54" s="47"/>
      <c r="AV54" s="26">
        <f t="shared" si="70"/>
        <v>1.0113063208069566</v>
      </c>
      <c r="AW54" s="26">
        <f t="shared" si="71"/>
        <v>0</v>
      </c>
      <c r="AX54" s="26">
        <f t="shared" si="72"/>
        <v>1.5846317095248956E-3</v>
      </c>
      <c r="AY54" s="26">
        <f t="shared" si="73"/>
        <v>7.7682538146740636E-4</v>
      </c>
      <c r="AZ54" s="26">
        <f t="shared" si="74"/>
        <v>0.47352419240928861</v>
      </c>
      <c r="BA54" s="26">
        <f t="shared" si="75"/>
        <v>0</v>
      </c>
      <c r="BB54" s="26">
        <f t="shared" si="76"/>
        <v>8.6721909420814335E-3</v>
      </c>
      <c r="BC54" s="26">
        <f t="shared" si="77"/>
        <v>1.496495153222134</v>
      </c>
      <c r="BD54" s="26">
        <f t="shared" si="78"/>
        <v>5.4850679870832456E-3</v>
      </c>
      <c r="BE54" s="26">
        <f t="shared" si="79"/>
        <v>2.1556175414636884E-3</v>
      </c>
      <c r="BF54" s="26">
        <f t="shared" si="80"/>
        <v>0</v>
      </c>
      <c r="BG54" s="26">
        <f t="shared" si="81"/>
        <v>0</v>
      </c>
      <c r="BH54" s="26">
        <f t="shared" si="82"/>
        <v>0</v>
      </c>
      <c r="BI54" s="26">
        <f t="shared" si="83"/>
        <v>0</v>
      </c>
      <c r="BJ54" s="25">
        <f t="shared" si="84"/>
        <v>3</v>
      </c>
      <c r="BK54" s="24">
        <f t="shared" si="85"/>
        <v>4.0114092405817203</v>
      </c>
      <c r="BL54" s="26"/>
      <c r="BM54" s="51">
        <f t="shared" si="86"/>
        <v>0.75963475005494596</v>
      </c>
      <c r="BN54" s="1"/>
      <c r="BO54" s="26">
        <f t="shared" si="87"/>
        <v>0.65096537949400801</v>
      </c>
      <c r="BP54" s="26">
        <f t="shared" si="88"/>
        <v>0</v>
      </c>
      <c r="BQ54" s="26">
        <f t="shared" si="89"/>
        <v>1.0200078462142017E-3</v>
      </c>
      <c r="BR54" s="26">
        <f t="shared" si="90"/>
        <v>5.0003289690111184E-4</v>
      </c>
      <c r="BS54" s="26">
        <f t="shared" si="91"/>
        <v>0.30480167014613779</v>
      </c>
      <c r="BT54" s="26">
        <f t="shared" si="92"/>
        <v>5.5821821257400622E-3</v>
      </c>
      <c r="BU54" s="26">
        <f t="shared" si="93"/>
        <v>0.9632754342431763</v>
      </c>
      <c r="BV54" s="26">
        <f t="shared" si="94"/>
        <v>3.5306704707560631E-3</v>
      </c>
      <c r="BW54" s="26">
        <f t="shared" si="95"/>
        <v>1.3875443691513392E-3</v>
      </c>
      <c r="BX54" s="26">
        <f t="shared" si="96"/>
        <v>0</v>
      </c>
      <c r="BY54" s="26">
        <f t="shared" si="97"/>
        <v>0</v>
      </c>
      <c r="BZ54" s="26">
        <f t="shared" si="98"/>
        <v>0</v>
      </c>
      <c r="CA54" s="26">
        <f t="shared" si="99"/>
        <v>0</v>
      </c>
      <c r="CB54" s="26">
        <f t="shared" si="100"/>
        <v>1.9310629215920849</v>
      </c>
      <c r="CC54" s="26">
        <f t="shared" si="101"/>
        <v>2.5820945492730747</v>
      </c>
      <c r="CD54" s="26">
        <f t="shared" si="102"/>
        <v>1.5535485490688303</v>
      </c>
      <c r="CE54" s="26">
        <f t="shared" si="103"/>
        <v>4.0114092405817203</v>
      </c>
      <c r="CF54" s="1"/>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46"/>
      <c r="DQ54" s="46"/>
      <c r="DR54" s="46"/>
      <c r="DS54" s="46"/>
      <c r="DT54" s="46"/>
      <c r="DU54" s="46"/>
      <c r="DV54" s="46"/>
      <c r="DW54" s="46"/>
    </row>
    <row r="55" spans="1:127" x14ac:dyDescent="0.25">
      <c r="A55" s="5" t="s">
        <v>89</v>
      </c>
      <c r="B55" s="1">
        <v>603</v>
      </c>
      <c r="C55" s="98" t="s">
        <v>97</v>
      </c>
      <c r="D55" s="98" t="s">
        <v>106</v>
      </c>
      <c r="E55" s="1">
        <v>114</v>
      </c>
      <c r="F55" s="1" t="s">
        <v>184</v>
      </c>
      <c r="G55" s="22">
        <v>37.57</v>
      </c>
      <c r="H55" s="22">
        <v>2.1000000000000001E-2</v>
      </c>
      <c r="I55" s="22">
        <v>1.4E-2</v>
      </c>
      <c r="J55" s="22">
        <v>5.8000000000000003E-2</v>
      </c>
      <c r="K55" s="22">
        <v>28.01</v>
      </c>
      <c r="L55" s="22">
        <v>0.57999999999999996</v>
      </c>
      <c r="M55" s="22">
        <v>33.35</v>
      </c>
      <c r="N55" s="22">
        <v>0.14099999999999999</v>
      </c>
      <c r="O55" s="22">
        <v>3.4000000000000002E-2</v>
      </c>
      <c r="P55" s="22">
        <v>0</v>
      </c>
      <c r="Q55" s="22">
        <v>0</v>
      </c>
      <c r="R55" s="22"/>
      <c r="S55" s="22"/>
      <c r="T55" s="22">
        <f t="shared" si="52"/>
        <v>99.77800000000002</v>
      </c>
      <c r="U55" s="3"/>
      <c r="V55" s="22">
        <f t="shared" si="53"/>
        <v>28.01</v>
      </c>
      <c r="W55" s="22">
        <f t="shared" si="54"/>
        <v>0</v>
      </c>
      <c r="X55" s="22">
        <f t="shared" si="55"/>
        <v>99.778000000000006</v>
      </c>
      <c r="Y55" s="1"/>
      <c r="Z55" s="1"/>
      <c r="AA55" s="1"/>
      <c r="AB55" s="1" t="s">
        <v>185</v>
      </c>
      <c r="AC55" s="1"/>
      <c r="AD55" s="1">
        <v>4</v>
      </c>
      <c r="AE55" s="1">
        <v>3</v>
      </c>
      <c r="AF55" s="1"/>
      <c r="AG55" s="26">
        <f t="shared" si="56"/>
        <v>1.0080443976860376</v>
      </c>
      <c r="AH55" s="26">
        <f t="shared" si="57"/>
        <v>4.2378894921851767E-4</v>
      </c>
      <c r="AI55" s="26">
        <f t="shared" si="58"/>
        <v>4.4268682180692028E-4</v>
      </c>
      <c r="AJ55" s="26">
        <f t="shared" si="59"/>
        <v>1.2303009617094863E-3</v>
      </c>
      <c r="AK55" s="26">
        <f t="shared" si="60"/>
        <v>0.62842684030403362</v>
      </c>
      <c r="AL55" s="26">
        <f t="shared" si="61"/>
        <v>1.3179690102214887E-2</v>
      </c>
      <c r="AM55" s="26">
        <f t="shared" si="62"/>
        <v>1.3340102955692221</v>
      </c>
      <c r="AN55" s="26">
        <f t="shared" si="63"/>
        <v>4.0530270006827844E-3</v>
      </c>
      <c r="AO55" s="26">
        <f t="shared" si="64"/>
        <v>1.7685841561203405E-3</v>
      </c>
      <c r="AP55" s="26">
        <f t="shared" si="65"/>
        <v>0</v>
      </c>
      <c r="AQ55" s="26">
        <f t="shared" si="66"/>
        <v>0</v>
      </c>
      <c r="AR55" s="26">
        <f t="shared" si="67"/>
        <v>0</v>
      </c>
      <c r="AS55" s="26">
        <f t="shared" si="68"/>
        <v>0</v>
      </c>
      <c r="AT55" s="26">
        <f t="shared" si="69"/>
        <v>2.991579611551046</v>
      </c>
      <c r="AU55" s="47"/>
      <c r="AV55" s="26">
        <f t="shared" si="70"/>
        <v>1.0108817366522256</v>
      </c>
      <c r="AW55" s="26">
        <f t="shared" si="71"/>
        <v>4.2498178646042668E-4</v>
      </c>
      <c r="AX55" s="26">
        <f t="shared" si="72"/>
        <v>4.4393285082331481E-4</v>
      </c>
      <c r="AY55" s="26">
        <f t="shared" si="73"/>
        <v>1.2337638854326976E-3</v>
      </c>
      <c r="AZ55" s="26">
        <f t="shared" si="74"/>
        <v>0.6301956710871679</v>
      </c>
      <c r="BA55" s="26">
        <f t="shared" si="75"/>
        <v>0</v>
      </c>
      <c r="BB55" s="26">
        <f t="shared" si="76"/>
        <v>1.321678692887762E-2</v>
      </c>
      <c r="BC55" s="26">
        <f t="shared" si="77"/>
        <v>1.3377651295840762</v>
      </c>
      <c r="BD55" s="26">
        <f t="shared" si="78"/>
        <v>4.0644350413072327E-3</v>
      </c>
      <c r="BE55" s="26">
        <f t="shared" si="79"/>
        <v>1.7735621836285161E-3</v>
      </c>
      <c r="BF55" s="26">
        <f t="shared" si="80"/>
        <v>0</v>
      </c>
      <c r="BG55" s="26">
        <f t="shared" si="81"/>
        <v>0</v>
      </c>
      <c r="BH55" s="26">
        <f t="shared" si="82"/>
        <v>0</v>
      </c>
      <c r="BI55" s="26">
        <f t="shared" si="83"/>
        <v>0</v>
      </c>
      <c r="BJ55" s="25">
        <f t="shared" si="84"/>
        <v>2.9999999999999991</v>
      </c>
      <c r="BK55" s="24">
        <f t="shared" si="85"/>
        <v>4.0112587857149986</v>
      </c>
      <c r="BL55" s="26"/>
      <c r="BM55" s="51">
        <f t="shared" si="86"/>
        <v>0.67977224400393699</v>
      </c>
      <c r="BN55" s="1"/>
      <c r="BO55" s="26">
        <f t="shared" si="87"/>
        <v>0.62533288948069243</v>
      </c>
      <c r="BP55" s="26">
        <f t="shared" si="88"/>
        <v>2.6289434151226845E-4</v>
      </c>
      <c r="BQ55" s="26">
        <f t="shared" si="89"/>
        <v>2.7461749705766971E-4</v>
      </c>
      <c r="BR55" s="26">
        <f t="shared" si="90"/>
        <v>7.6320810579643393E-4</v>
      </c>
      <c r="BS55" s="26">
        <f t="shared" si="91"/>
        <v>0.38983994432846214</v>
      </c>
      <c r="BT55" s="26">
        <f t="shared" si="92"/>
        <v>8.1759233154778677E-3</v>
      </c>
      <c r="BU55" s="26">
        <f t="shared" si="93"/>
        <v>0.82754342431761796</v>
      </c>
      <c r="BV55" s="26">
        <f t="shared" si="94"/>
        <v>2.514265335235378E-3</v>
      </c>
      <c r="BW55" s="26">
        <f t="shared" si="95"/>
        <v>1.0971281058405938E-3</v>
      </c>
      <c r="BX55" s="26">
        <f t="shared" si="96"/>
        <v>0</v>
      </c>
      <c r="BY55" s="26">
        <f t="shared" si="97"/>
        <v>0</v>
      </c>
      <c r="BZ55" s="26">
        <f t="shared" si="98"/>
        <v>0</v>
      </c>
      <c r="CA55" s="26">
        <f t="shared" si="99"/>
        <v>0</v>
      </c>
      <c r="CB55" s="26">
        <f t="shared" si="100"/>
        <v>1.8558042948276929</v>
      </c>
      <c r="CC55" s="26">
        <f t="shared" si="101"/>
        <v>2.4813704273984039</v>
      </c>
      <c r="CD55" s="26">
        <f t="shared" si="102"/>
        <v>1.6165497667837561</v>
      </c>
      <c r="CE55" s="26">
        <f t="shared" si="103"/>
        <v>4.0112587857149986</v>
      </c>
      <c r="CF55" s="1"/>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46"/>
      <c r="DQ55" s="46"/>
      <c r="DR55" s="46"/>
      <c r="DS55" s="46"/>
      <c r="DT55" s="46"/>
      <c r="DU55" s="46"/>
      <c r="DV55" s="46"/>
      <c r="DW55" s="46"/>
    </row>
    <row r="56" spans="1:127" x14ac:dyDescent="0.25">
      <c r="A56" s="5" t="s">
        <v>89</v>
      </c>
      <c r="B56" s="1">
        <v>604</v>
      </c>
      <c r="C56" s="98" t="s">
        <v>97</v>
      </c>
      <c r="D56" s="98" t="s">
        <v>106</v>
      </c>
      <c r="E56" s="1">
        <v>115</v>
      </c>
      <c r="F56" s="1" t="s">
        <v>184</v>
      </c>
      <c r="G56" s="22">
        <v>37.86</v>
      </c>
      <c r="H56" s="22">
        <v>0</v>
      </c>
      <c r="I56" s="22">
        <v>4.1000000000000002E-2</v>
      </c>
      <c r="J56" s="22">
        <v>0</v>
      </c>
      <c r="K56" s="22">
        <v>26.99</v>
      </c>
      <c r="L56" s="22">
        <v>0.51</v>
      </c>
      <c r="M56" s="22">
        <v>34.39</v>
      </c>
      <c r="N56" s="22">
        <v>0.13</v>
      </c>
      <c r="O56" s="22">
        <v>2.3E-2</v>
      </c>
      <c r="P56" s="22">
        <v>0</v>
      </c>
      <c r="Q56" s="22">
        <v>0</v>
      </c>
      <c r="R56" s="22"/>
      <c r="S56" s="22"/>
      <c r="T56" s="22">
        <f t="shared" si="52"/>
        <v>99.943999999999988</v>
      </c>
      <c r="U56" s="3"/>
      <c r="V56" s="22">
        <f t="shared" si="53"/>
        <v>26.99</v>
      </c>
      <c r="W56" s="22">
        <f t="shared" si="54"/>
        <v>0</v>
      </c>
      <c r="X56" s="22">
        <f t="shared" si="55"/>
        <v>99.944000000000003</v>
      </c>
      <c r="Y56" s="1"/>
      <c r="Z56" s="1"/>
      <c r="AA56" s="1"/>
      <c r="AB56" s="1" t="s">
        <v>185</v>
      </c>
      <c r="AC56" s="1"/>
      <c r="AD56" s="1">
        <v>4</v>
      </c>
      <c r="AE56" s="1">
        <v>3</v>
      </c>
      <c r="AF56" s="1"/>
      <c r="AG56" s="26">
        <f t="shared" si="56"/>
        <v>1.0080952164141652</v>
      </c>
      <c r="AH56" s="26">
        <f t="shared" si="57"/>
        <v>0</v>
      </c>
      <c r="AI56" s="26">
        <f t="shared" si="58"/>
        <v>1.2865743652041152E-3</v>
      </c>
      <c r="AJ56" s="26">
        <f t="shared" si="59"/>
        <v>0</v>
      </c>
      <c r="AK56" s="26">
        <f t="shared" si="60"/>
        <v>0.60093428216558042</v>
      </c>
      <c r="AL56" s="26">
        <f t="shared" si="61"/>
        <v>1.1500847910097145E-2</v>
      </c>
      <c r="AM56" s="26">
        <f t="shared" si="62"/>
        <v>1.3651425331595097</v>
      </c>
      <c r="AN56" s="26">
        <f t="shared" si="63"/>
        <v>3.7083969538089104E-3</v>
      </c>
      <c r="AO56" s="26">
        <f t="shared" si="64"/>
        <v>1.1872908697348734E-3</v>
      </c>
      <c r="AP56" s="26">
        <f t="shared" si="65"/>
        <v>0</v>
      </c>
      <c r="AQ56" s="26">
        <f t="shared" si="66"/>
        <v>0</v>
      </c>
      <c r="AR56" s="26">
        <f t="shared" si="67"/>
        <v>0</v>
      </c>
      <c r="AS56" s="26">
        <f t="shared" si="68"/>
        <v>0</v>
      </c>
      <c r="AT56" s="26">
        <f t="shared" si="69"/>
        <v>2.9918551418381001</v>
      </c>
      <c r="AU56" s="47"/>
      <c r="AV56" s="26">
        <f t="shared" si="70"/>
        <v>1.0108395981312355</v>
      </c>
      <c r="AW56" s="26">
        <f t="shared" si="71"/>
        <v>0</v>
      </c>
      <c r="AX56" s="26">
        <f t="shared" si="72"/>
        <v>1.290076862892852E-3</v>
      </c>
      <c r="AY56" s="26">
        <f t="shared" si="73"/>
        <v>0</v>
      </c>
      <c r="AZ56" s="26">
        <f t="shared" si="74"/>
        <v>0.60257023185593028</v>
      </c>
      <c r="BA56" s="26">
        <f t="shared" si="75"/>
        <v>0</v>
      </c>
      <c r="BB56" s="26">
        <f t="shared" si="76"/>
        <v>1.1532157171584909E-2</v>
      </c>
      <c r="BC56" s="26">
        <f t="shared" si="77"/>
        <v>1.3688589204096389</v>
      </c>
      <c r="BD56" s="26">
        <f t="shared" si="78"/>
        <v>3.7184924850979816E-3</v>
      </c>
      <c r="BE56" s="26">
        <f t="shared" si="79"/>
        <v>1.1905230836197235E-3</v>
      </c>
      <c r="BF56" s="26">
        <f t="shared" si="80"/>
        <v>0</v>
      </c>
      <c r="BG56" s="26">
        <f t="shared" si="81"/>
        <v>0</v>
      </c>
      <c r="BH56" s="26">
        <f t="shared" si="82"/>
        <v>0</v>
      </c>
      <c r="BI56" s="26">
        <f t="shared" si="83"/>
        <v>0</v>
      </c>
      <c r="BJ56" s="25">
        <f t="shared" si="84"/>
        <v>3.0000000000000004</v>
      </c>
      <c r="BK56" s="24">
        <f t="shared" si="85"/>
        <v>4.0108893750208727</v>
      </c>
      <c r="BL56" s="26"/>
      <c r="BM56" s="51">
        <f t="shared" si="86"/>
        <v>0.69434852316987616</v>
      </c>
      <c r="BN56" s="1"/>
      <c r="BO56" s="26">
        <f t="shared" si="87"/>
        <v>0.63015978695073238</v>
      </c>
      <c r="BP56" s="26">
        <f t="shared" si="88"/>
        <v>0</v>
      </c>
      <c r="BQ56" s="26">
        <f t="shared" si="89"/>
        <v>8.0423695566888989E-4</v>
      </c>
      <c r="BR56" s="26">
        <f t="shared" si="90"/>
        <v>0</v>
      </c>
      <c r="BS56" s="26">
        <f t="shared" si="91"/>
        <v>0.37564370215727211</v>
      </c>
      <c r="BT56" s="26">
        <f t="shared" si="92"/>
        <v>7.189173949816747E-3</v>
      </c>
      <c r="BU56" s="26">
        <f t="shared" si="93"/>
        <v>0.85334987593052114</v>
      </c>
      <c r="BV56" s="26">
        <f t="shared" si="94"/>
        <v>2.3181169757489303E-3</v>
      </c>
      <c r="BW56" s="26">
        <f t="shared" si="95"/>
        <v>7.421748951274605E-4</v>
      </c>
      <c r="BX56" s="26">
        <f t="shared" si="96"/>
        <v>0</v>
      </c>
      <c r="BY56" s="26">
        <f t="shared" si="97"/>
        <v>0</v>
      </c>
      <c r="BZ56" s="26">
        <f t="shared" si="98"/>
        <v>0</v>
      </c>
      <c r="CA56" s="26">
        <f t="shared" si="99"/>
        <v>0</v>
      </c>
      <c r="CB56" s="26">
        <f t="shared" si="100"/>
        <v>1.8702070678148877</v>
      </c>
      <c r="CC56" s="26">
        <f t="shared" si="101"/>
        <v>2.5003978857958908</v>
      </c>
      <c r="CD56" s="26">
        <f t="shared" si="102"/>
        <v>1.6041004504945753</v>
      </c>
      <c r="CE56" s="26">
        <f t="shared" si="103"/>
        <v>4.0108893750208718</v>
      </c>
      <c r="CF56" s="1"/>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46"/>
      <c r="DQ56" s="46"/>
      <c r="DR56" s="46"/>
      <c r="DS56" s="46"/>
      <c r="DT56" s="46"/>
      <c r="DU56" s="46"/>
      <c r="DV56" s="46"/>
      <c r="DW56" s="46"/>
    </row>
    <row r="57" spans="1:127" x14ac:dyDescent="0.25">
      <c r="A57" s="5" t="s">
        <v>89</v>
      </c>
      <c r="B57" s="1">
        <v>614</v>
      </c>
      <c r="C57" s="98" t="s">
        <v>97</v>
      </c>
      <c r="D57" s="98" t="s">
        <v>106</v>
      </c>
      <c r="E57" s="1">
        <v>125</v>
      </c>
      <c r="F57" s="1" t="s">
        <v>184</v>
      </c>
      <c r="G57" s="22">
        <v>37.130000000000003</v>
      </c>
      <c r="H57" s="22">
        <v>3.9E-2</v>
      </c>
      <c r="I57" s="22">
        <v>1.7000000000000001E-2</v>
      </c>
      <c r="J57" s="22">
        <v>0</v>
      </c>
      <c r="K57" s="22">
        <v>28.11</v>
      </c>
      <c r="L57" s="22">
        <v>0.61299999999999999</v>
      </c>
      <c r="M57" s="22">
        <v>33.44</v>
      </c>
      <c r="N57" s="22">
        <v>0.23499999999999999</v>
      </c>
      <c r="O57" s="22">
        <v>0</v>
      </c>
      <c r="P57" s="22">
        <v>0</v>
      </c>
      <c r="Q57" s="22">
        <v>0</v>
      </c>
      <c r="R57" s="22"/>
      <c r="S57" s="22"/>
      <c r="T57" s="22">
        <f t="shared" si="52"/>
        <v>99.584000000000003</v>
      </c>
      <c r="U57" s="3"/>
      <c r="V57" s="22">
        <f t="shared" si="53"/>
        <v>28.11</v>
      </c>
      <c r="W57" s="22">
        <f t="shared" si="54"/>
        <v>0</v>
      </c>
      <c r="X57" s="22">
        <f t="shared" si="55"/>
        <v>99.584000000000003</v>
      </c>
      <c r="Y57" s="1"/>
      <c r="Z57" s="1"/>
      <c r="AA57" s="1"/>
      <c r="AB57" s="1" t="s">
        <v>185</v>
      </c>
      <c r="AC57" s="1"/>
      <c r="AD57" s="1">
        <v>4</v>
      </c>
      <c r="AE57" s="1">
        <v>3</v>
      </c>
      <c r="AF57" s="1"/>
      <c r="AG57" s="26">
        <f t="shared" si="56"/>
        <v>1.0002840674315832</v>
      </c>
      <c r="AH57" s="26">
        <f t="shared" si="57"/>
        <v>7.9023248179577849E-4</v>
      </c>
      <c r="AI57" s="26">
        <f t="shared" si="58"/>
        <v>5.3973106647121308E-4</v>
      </c>
      <c r="AJ57" s="26">
        <f t="shared" si="59"/>
        <v>0</v>
      </c>
      <c r="AK57" s="26">
        <f t="shared" si="60"/>
        <v>0.63323133767098594</v>
      </c>
      <c r="AL57" s="26">
        <f t="shared" si="61"/>
        <v>1.3986131800041957E-2</v>
      </c>
      <c r="AM57" s="26">
        <f t="shared" si="62"/>
        <v>1.3430418593860891</v>
      </c>
      <c r="AN57" s="26">
        <f t="shared" si="63"/>
        <v>6.7824747164188489E-3</v>
      </c>
      <c r="AO57" s="26">
        <f t="shared" si="64"/>
        <v>0</v>
      </c>
      <c r="AP57" s="26">
        <f t="shared" si="65"/>
        <v>0</v>
      </c>
      <c r="AQ57" s="26">
        <f t="shared" si="66"/>
        <v>0</v>
      </c>
      <c r="AR57" s="26">
        <f t="shared" si="67"/>
        <v>0</v>
      </c>
      <c r="AS57" s="26">
        <f t="shared" si="68"/>
        <v>0</v>
      </c>
      <c r="AT57" s="26">
        <f t="shared" si="69"/>
        <v>2.9986558345533862</v>
      </c>
      <c r="AU57" s="47"/>
      <c r="AV57" s="26">
        <f t="shared" si="70"/>
        <v>1.0007324507587883</v>
      </c>
      <c r="AW57" s="26">
        <f t="shared" si="71"/>
        <v>7.9058670824103507E-4</v>
      </c>
      <c r="AX57" s="26">
        <f t="shared" si="72"/>
        <v>5.3997300415597669E-4</v>
      </c>
      <c r="AY57" s="26">
        <f t="shared" si="73"/>
        <v>0</v>
      </c>
      <c r="AZ57" s="26">
        <f t="shared" si="74"/>
        <v>0.63351518741259427</v>
      </c>
      <c r="BA57" s="26">
        <f t="shared" si="75"/>
        <v>0</v>
      </c>
      <c r="BB57" s="26">
        <f t="shared" si="76"/>
        <v>1.3992401167430096E-2</v>
      </c>
      <c r="BC57" s="26">
        <f t="shared" si="77"/>
        <v>1.3436438859474373</v>
      </c>
      <c r="BD57" s="26">
        <f t="shared" si="78"/>
        <v>6.7855150013529488E-3</v>
      </c>
      <c r="BE57" s="26">
        <f t="shared" si="79"/>
        <v>0</v>
      </c>
      <c r="BF57" s="26">
        <f t="shared" si="80"/>
        <v>0</v>
      </c>
      <c r="BG57" s="26">
        <f t="shared" si="81"/>
        <v>0</v>
      </c>
      <c r="BH57" s="26">
        <f t="shared" si="82"/>
        <v>0</v>
      </c>
      <c r="BI57" s="26">
        <f t="shared" si="83"/>
        <v>0</v>
      </c>
      <c r="BJ57" s="25">
        <f t="shared" si="84"/>
        <v>2.9999999999999996</v>
      </c>
      <c r="BK57" s="24">
        <f t="shared" si="85"/>
        <v>4.0017930239691069</v>
      </c>
      <c r="BL57" s="26"/>
      <c r="BM57" s="51">
        <f t="shared" si="86"/>
        <v>0.67958309680364593</v>
      </c>
      <c r="BN57" s="1"/>
      <c r="BO57" s="26">
        <f t="shared" si="87"/>
        <v>0.61800932090545946</v>
      </c>
      <c r="BP57" s="26">
        <f t="shared" si="88"/>
        <v>4.8823234852278421E-4</v>
      </c>
      <c r="BQ57" s="26">
        <f t="shared" si="89"/>
        <v>3.334641035700275E-4</v>
      </c>
      <c r="BR57" s="26">
        <f t="shared" si="90"/>
        <v>0</v>
      </c>
      <c r="BS57" s="26">
        <f t="shared" si="91"/>
        <v>0.39123173277661799</v>
      </c>
      <c r="BT57" s="26">
        <f t="shared" si="92"/>
        <v>8.6411051592895412E-3</v>
      </c>
      <c r="BU57" s="26">
        <f t="shared" si="93"/>
        <v>0.82977667493796525</v>
      </c>
      <c r="BV57" s="26">
        <f t="shared" si="94"/>
        <v>4.1904422253922968E-3</v>
      </c>
      <c r="BW57" s="26">
        <f t="shared" si="95"/>
        <v>0</v>
      </c>
      <c r="BX57" s="26">
        <f t="shared" si="96"/>
        <v>0</v>
      </c>
      <c r="BY57" s="26">
        <f t="shared" si="97"/>
        <v>0</v>
      </c>
      <c r="BZ57" s="26">
        <f t="shared" si="98"/>
        <v>0</v>
      </c>
      <c r="CA57" s="26">
        <f t="shared" si="99"/>
        <v>0</v>
      </c>
      <c r="CB57" s="26">
        <f t="shared" si="100"/>
        <v>1.8526709724568176</v>
      </c>
      <c r="CC57" s="26">
        <f t="shared" si="101"/>
        <v>2.4713352577625844</v>
      </c>
      <c r="CD57" s="26">
        <f t="shared" si="102"/>
        <v>1.6192837501100994</v>
      </c>
      <c r="CE57" s="26">
        <f t="shared" si="103"/>
        <v>4.0017930239691069</v>
      </c>
      <c r="CF57" s="1"/>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46"/>
      <c r="DQ57" s="46"/>
      <c r="DR57" s="46"/>
      <c r="DS57" s="46"/>
      <c r="DT57" s="46"/>
      <c r="DU57" s="46"/>
      <c r="DV57" s="46"/>
      <c r="DW57" s="46"/>
    </row>
    <row r="58" spans="1:127" x14ac:dyDescent="0.25">
      <c r="A58" s="5" t="s">
        <v>89</v>
      </c>
      <c r="B58" s="1">
        <v>618</v>
      </c>
      <c r="C58" s="98" t="s">
        <v>97</v>
      </c>
      <c r="D58" s="98" t="s">
        <v>106</v>
      </c>
      <c r="E58" s="1">
        <v>129</v>
      </c>
      <c r="F58" s="1" t="s">
        <v>184</v>
      </c>
      <c r="G58" s="22">
        <v>37.25</v>
      </c>
      <c r="H58" s="22">
        <v>0</v>
      </c>
      <c r="I58" s="22">
        <v>2.1999999999999999E-2</v>
      </c>
      <c r="J58" s="22">
        <v>1.9E-2</v>
      </c>
      <c r="K58" s="22">
        <v>29.42</v>
      </c>
      <c r="L58" s="22">
        <v>0.69099999999999995</v>
      </c>
      <c r="M58" s="22">
        <v>32.229999999999997</v>
      </c>
      <c r="N58" s="22">
        <v>0.14899999999999999</v>
      </c>
      <c r="O58" s="22">
        <v>0</v>
      </c>
      <c r="P58" s="22">
        <v>0</v>
      </c>
      <c r="Q58" s="22">
        <v>0</v>
      </c>
      <c r="R58" s="22"/>
      <c r="S58" s="22"/>
      <c r="T58" s="22">
        <f t="shared" si="52"/>
        <v>99.781000000000006</v>
      </c>
      <c r="U58" s="3"/>
      <c r="V58" s="22">
        <f t="shared" si="53"/>
        <v>29.42</v>
      </c>
      <c r="W58" s="22">
        <f t="shared" si="54"/>
        <v>0</v>
      </c>
      <c r="X58" s="22">
        <f t="shared" si="55"/>
        <v>99.780999999999992</v>
      </c>
      <c r="Y58" s="1"/>
      <c r="Z58" s="1"/>
      <c r="AA58" s="1"/>
      <c r="AB58" s="1" t="s">
        <v>185</v>
      </c>
      <c r="AC58" s="1"/>
      <c r="AD58" s="1">
        <v>4</v>
      </c>
      <c r="AE58" s="1">
        <v>3</v>
      </c>
      <c r="AF58" s="1"/>
      <c r="AG58" s="26">
        <f t="shared" si="56"/>
        <v>1.0070563891258477</v>
      </c>
      <c r="AH58" s="26">
        <f t="shared" si="57"/>
        <v>0</v>
      </c>
      <c r="AI58" s="26">
        <f t="shared" si="58"/>
        <v>7.0093909857582288E-4</v>
      </c>
      <c r="AJ58" s="26">
        <f t="shared" si="59"/>
        <v>4.060934808285913E-4</v>
      </c>
      <c r="AK58" s="26">
        <f t="shared" si="60"/>
        <v>0.66507914830109094</v>
      </c>
      <c r="AL58" s="26">
        <f t="shared" si="61"/>
        <v>1.5821377729302775E-2</v>
      </c>
      <c r="AM58" s="26">
        <f t="shared" si="62"/>
        <v>1.2990106013524649</v>
      </c>
      <c r="AN58" s="26">
        <f t="shared" si="63"/>
        <v>4.315545496339581E-3</v>
      </c>
      <c r="AO58" s="26">
        <f t="shared" si="64"/>
        <v>0</v>
      </c>
      <c r="AP58" s="26">
        <f t="shared" si="65"/>
        <v>0</v>
      </c>
      <c r="AQ58" s="26">
        <f t="shared" si="66"/>
        <v>0</v>
      </c>
      <c r="AR58" s="26">
        <f t="shared" si="67"/>
        <v>0</v>
      </c>
      <c r="AS58" s="26">
        <f t="shared" si="68"/>
        <v>0</v>
      </c>
      <c r="AT58" s="26">
        <f t="shared" si="69"/>
        <v>2.9923900945844504</v>
      </c>
      <c r="AU58" s="47"/>
      <c r="AV58" s="26">
        <f t="shared" si="70"/>
        <v>1.0096174201502595</v>
      </c>
      <c r="AW58" s="26">
        <f t="shared" si="71"/>
        <v>0</v>
      </c>
      <c r="AX58" s="26">
        <f t="shared" si="72"/>
        <v>7.0272164699819483E-4</v>
      </c>
      <c r="AY58" s="26">
        <f t="shared" si="73"/>
        <v>4.071262114824488E-4</v>
      </c>
      <c r="AZ58" s="26">
        <f t="shared" si="74"/>
        <v>0.66677050178524566</v>
      </c>
      <c r="BA58" s="26">
        <f t="shared" si="75"/>
        <v>0</v>
      </c>
      <c r="BB58" s="26">
        <f t="shared" si="76"/>
        <v>1.5861612853821323E-2</v>
      </c>
      <c r="BC58" s="26">
        <f t="shared" si="77"/>
        <v>1.3023140970524336</v>
      </c>
      <c r="BD58" s="26">
        <f t="shared" si="78"/>
        <v>4.3265202997594563E-3</v>
      </c>
      <c r="BE58" s="26">
        <f t="shared" si="79"/>
        <v>0</v>
      </c>
      <c r="BF58" s="26">
        <f t="shared" si="80"/>
        <v>0</v>
      </c>
      <c r="BG58" s="26">
        <f t="shared" si="81"/>
        <v>0</v>
      </c>
      <c r="BH58" s="26">
        <f t="shared" si="82"/>
        <v>0</v>
      </c>
      <c r="BI58" s="26">
        <f t="shared" si="83"/>
        <v>0</v>
      </c>
      <c r="BJ58" s="25">
        <f t="shared" si="84"/>
        <v>3</v>
      </c>
      <c r="BK58" s="24">
        <f t="shared" si="85"/>
        <v>4.0101723440794999</v>
      </c>
      <c r="BL58" s="26"/>
      <c r="BM58" s="51">
        <f t="shared" si="86"/>
        <v>0.66138046979859055</v>
      </c>
      <c r="BN58" s="1"/>
      <c r="BO58" s="26">
        <f t="shared" si="87"/>
        <v>0.62000665778961384</v>
      </c>
      <c r="BP58" s="26">
        <f t="shared" si="88"/>
        <v>0</v>
      </c>
      <c r="BQ58" s="26">
        <f t="shared" si="89"/>
        <v>4.3154178109062379E-4</v>
      </c>
      <c r="BR58" s="26">
        <f t="shared" si="90"/>
        <v>2.5001644845055592E-4</v>
      </c>
      <c r="BS58" s="26">
        <f t="shared" si="91"/>
        <v>0.40946416144746006</v>
      </c>
      <c r="BT58" s="26">
        <f t="shared" si="92"/>
        <v>9.7406258810262183E-3</v>
      </c>
      <c r="BU58" s="26">
        <f t="shared" si="93"/>
        <v>0.79975186104218365</v>
      </c>
      <c r="BV58" s="26">
        <f t="shared" si="94"/>
        <v>2.6569186875891582E-3</v>
      </c>
      <c r="BW58" s="26">
        <f t="shared" si="95"/>
        <v>0</v>
      </c>
      <c r="BX58" s="26">
        <f t="shared" si="96"/>
        <v>0</v>
      </c>
      <c r="BY58" s="26">
        <f t="shared" si="97"/>
        <v>0</v>
      </c>
      <c r="BZ58" s="26">
        <f t="shared" si="98"/>
        <v>0</v>
      </c>
      <c r="CA58" s="26">
        <f t="shared" si="99"/>
        <v>0</v>
      </c>
      <c r="CB58" s="26">
        <f t="shared" si="100"/>
        <v>1.842301783077414</v>
      </c>
      <c r="CC58" s="26">
        <f t="shared" si="101"/>
        <v>2.4626492199817984</v>
      </c>
      <c r="CD58" s="26">
        <f t="shared" si="102"/>
        <v>1.6283977074530895</v>
      </c>
      <c r="CE58" s="26">
        <f t="shared" si="103"/>
        <v>4.0101723440794999</v>
      </c>
      <c r="CF58" s="1"/>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46"/>
      <c r="DQ58" s="46"/>
      <c r="DR58" s="46"/>
      <c r="DS58" s="46"/>
      <c r="DT58" s="46"/>
      <c r="DU58" s="46"/>
      <c r="DV58" s="46"/>
      <c r="DW58" s="46"/>
    </row>
    <row r="59" spans="1:127" x14ac:dyDescent="0.25">
      <c r="A59" s="5" t="s">
        <v>89</v>
      </c>
      <c r="B59" s="1">
        <v>622</v>
      </c>
      <c r="C59" s="98" t="s">
        <v>97</v>
      </c>
      <c r="D59" s="98" t="s">
        <v>106</v>
      </c>
      <c r="E59" s="1">
        <v>133</v>
      </c>
      <c r="F59" s="1" t="s">
        <v>184</v>
      </c>
      <c r="G59" s="22">
        <v>37.53</v>
      </c>
      <c r="H59" s="22">
        <v>0.04</v>
      </c>
      <c r="I59" s="22">
        <v>0.04</v>
      </c>
      <c r="J59" s="22">
        <v>2.3E-2</v>
      </c>
      <c r="K59" s="22">
        <v>27.64</v>
      </c>
      <c r="L59" s="22">
        <v>0.46100000000000002</v>
      </c>
      <c r="M59" s="22">
        <v>33.770000000000003</v>
      </c>
      <c r="N59" s="22">
        <v>0.115</v>
      </c>
      <c r="O59" s="22">
        <v>0</v>
      </c>
      <c r="P59" s="22">
        <v>0</v>
      </c>
      <c r="Q59" s="22">
        <v>0</v>
      </c>
      <c r="R59" s="22"/>
      <c r="S59" s="22"/>
      <c r="T59" s="22">
        <f t="shared" si="52"/>
        <v>99.618999999999986</v>
      </c>
      <c r="U59" s="3"/>
      <c r="V59" s="22">
        <f t="shared" si="53"/>
        <v>27.64</v>
      </c>
      <c r="W59" s="22">
        <f t="shared" si="54"/>
        <v>0</v>
      </c>
      <c r="X59" s="22">
        <f t="shared" si="55"/>
        <v>99.619000000000014</v>
      </c>
      <c r="Y59" s="1"/>
      <c r="Z59" s="1"/>
      <c r="AA59" s="1"/>
      <c r="AB59" s="1" t="s">
        <v>185</v>
      </c>
      <c r="AC59" s="1"/>
      <c r="AD59" s="1">
        <v>4</v>
      </c>
      <c r="AE59" s="1">
        <v>3</v>
      </c>
      <c r="AF59" s="1"/>
      <c r="AG59" s="26">
        <f t="shared" si="56"/>
        <v>1.0062408623992516</v>
      </c>
      <c r="AH59" s="26">
        <f t="shared" si="57"/>
        <v>8.0663162360042904E-4</v>
      </c>
      <c r="AI59" s="26">
        <f t="shared" si="58"/>
        <v>1.2639021987681891E-3</v>
      </c>
      <c r="AJ59" s="26">
        <f t="shared" si="59"/>
        <v>4.8752414110916903E-4</v>
      </c>
      <c r="AK59" s="26">
        <f t="shared" si="60"/>
        <v>0.61967585606684439</v>
      </c>
      <c r="AL59" s="26">
        <f t="shared" si="61"/>
        <v>1.0467984006542941E-2</v>
      </c>
      <c r="AM59" s="26">
        <f t="shared" si="62"/>
        <v>1.3498307694338962</v>
      </c>
      <c r="AN59" s="26">
        <f t="shared" si="63"/>
        <v>3.3032629371960863E-3</v>
      </c>
      <c r="AO59" s="26">
        <f t="shared" si="64"/>
        <v>0</v>
      </c>
      <c r="AP59" s="26">
        <f t="shared" si="65"/>
        <v>0</v>
      </c>
      <c r="AQ59" s="26">
        <f t="shared" si="66"/>
        <v>0</v>
      </c>
      <c r="AR59" s="26">
        <f t="shared" si="67"/>
        <v>0</v>
      </c>
      <c r="AS59" s="26">
        <f t="shared" si="68"/>
        <v>0</v>
      </c>
      <c r="AT59" s="26">
        <f t="shared" si="69"/>
        <v>2.9920767928072092</v>
      </c>
      <c r="AU59" s="47"/>
      <c r="AV59" s="26">
        <f t="shared" si="70"/>
        <v>1.0089054513756468</v>
      </c>
      <c r="AW59" s="26">
        <f t="shared" si="71"/>
        <v>8.0876763478082638E-4</v>
      </c>
      <c r="AX59" s="26">
        <f t="shared" si="72"/>
        <v>1.2672490911395139E-3</v>
      </c>
      <c r="AY59" s="26">
        <f t="shared" si="73"/>
        <v>4.8881513564205713E-4</v>
      </c>
      <c r="AZ59" s="26">
        <f t="shared" si="74"/>
        <v>0.62131679663755124</v>
      </c>
      <c r="BA59" s="26">
        <f t="shared" si="75"/>
        <v>0</v>
      </c>
      <c r="BB59" s="26">
        <f t="shared" si="76"/>
        <v>1.0495703885382296E-2</v>
      </c>
      <c r="BC59" s="26">
        <f t="shared" si="77"/>
        <v>1.3534052060550217</v>
      </c>
      <c r="BD59" s="26">
        <f t="shared" si="78"/>
        <v>3.3120101848357823E-3</v>
      </c>
      <c r="BE59" s="26">
        <f t="shared" si="79"/>
        <v>0</v>
      </c>
      <c r="BF59" s="26">
        <f t="shared" si="80"/>
        <v>0</v>
      </c>
      <c r="BG59" s="26">
        <f t="shared" si="81"/>
        <v>0</v>
      </c>
      <c r="BH59" s="26">
        <f t="shared" si="82"/>
        <v>0</v>
      </c>
      <c r="BI59" s="26">
        <f t="shared" si="83"/>
        <v>0</v>
      </c>
      <c r="BJ59" s="25">
        <f t="shared" si="84"/>
        <v>3.0000000000000004</v>
      </c>
      <c r="BK59" s="24">
        <f t="shared" si="85"/>
        <v>4.0105922511238177</v>
      </c>
      <c r="BL59" s="26"/>
      <c r="BM59" s="51">
        <f t="shared" si="86"/>
        <v>0.68536492944810801</v>
      </c>
      <c r="BN59" s="1"/>
      <c r="BO59" s="26">
        <f t="shared" si="87"/>
        <v>0.62466711051930768</v>
      </c>
      <c r="BP59" s="26">
        <f t="shared" si="88"/>
        <v>5.0075112669003511E-4</v>
      </c>
      <c r="BQ59" s="26">
        <f t="shared" si="89"/>
        <v>7.8462142016477059E-4</v>
      </c>
      <c r="BR59" s="26">
        <f t="shared" si="90"/>
        <v>3.0265149022962033E-4</v>
      </c>
      <c r="BS59" s="26">
        <f t="shared" si="91"/>
        <v>0.38469032707028533</v>
      </c>
      <c r="BT59" s="26">
        <f t="shared" si="92"/>
        <v>6.4984493938539615E-3</v>
      </c>
      <c r="BU59" s="26">
        <f t="shared" si="93"/>
        <v>0.83796526054590581</v>
      </c>
      <c r="BV59" s="26">
        <f t="shared" si="94"/>
        <v>2.050641940085592E-3</v>
      </c>
      <c r="BW59" s="26">
        <f t="shared" si="95"/>
        <v>0</v>
      </c>
      <c r="BX59" s="26">
        <f t="shared" si="96"/>
        <v>0</v>
      </c>
      <c r="BY59" s="26">
        <f t="shared" si="97"/>
        <v>0</v>
      </c>
      <c r="BZ59" s="26">
        <f t="shared" si="98"/>
        <v>0</v>
      </c>
      <c r="CA59" s="26">
        <f t="shared" si="99"/>
        <v>0</v>
      </c>
      <c r="CB59" s="26">
        <f t="shared" si="100"/>
        <v>1.8574598135065228</v>
      </c>
      <c r="CC59" s="26">
        <f t="shared" si="101"/>
        <v>2.4831713116077179</v>
      </c>
      <c r="CD59" s="26">
        <f t="shared" si="102"/>
        <v>1.6151089666573102</v>
      </c>
      <c r="CE59" s="26">
        <f t="shared" si="103"/>
        <v>4.0105922511238186</v>
      </c>
      <c r="CF59" s="1"/>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46"/>
      <c r="DQ59" s="46"/>
      <c r="DR59" s="46"/>
      <c r="DS59" s="46"/>
      <c r="DT59" s="46"/>
      <c r="DU59" s="46"/>
      <c r="DV59" s="46"/>
      <c r="DW59" s="46"/>
    </row>
    <row r="60" spans="1:127" x14ac:dyDescent="0.25">
      <c r="A60" s="5" t="s">
        <v>89</v>
      </c>
      <c r="B60" s="1">
        <v>624</v>
      </c>
      <c r="C60" s="98" t="s">
        <v>97</v>
      </c>
      <c r="D60" s="98" t="s">
        <v>106</v>
      </c>
      <c r="E60" s="1">
        <v>135</v>
      </c>
      <c r="F60" s="1" t="s">
        <v>184</v>
      </c>
      <c r="G60" s="22">
        <v>37.549999999999997</v>
      </c>
      <c r="H60" s="22">
        <v>1.9E-2</v>
      </c>
      <c r="I60" s="22">
        <v>3.6999999999999998E-2</v>
      </c>
      <c r="J60" s="22">
        <v>1.0999999999999999E-2</v>
      </c>
      <c r="K60" s="22">
        <v>28.62</v>
      </c>
      <c r="L60" s="22">
        <v>0.68200000000000005</v>
      </c>
      <c r="M60" s="22">
        <v>33.659999999999997</v>
      </c>
      <c r="N60" s="22">
        <v>0.15</v>
      </c>
      <c r="O60" s="22">
        <v>1.0999999999999999E-2</v>
      </c>
      <c r="P60" s="22">
        <v>1.4999999999999999E-2</v>
      </c>
      <c r="Q60" s="22">
        <v>0</v>
      </c>
      <c r="R60" s="22"/>
      <c r="S60" s="22"/>
      <c r="T60" s="22">
        <f t="shared" si="52"/>
        <v>100.755</v>
      </c>
      <c r="U60" s="3"/>
      <c r="V60" s="22">
        <f t="shared" si="53"/>
        <v>28.620000000000005</v>
      </c>
      <c r="W60" s="22">
        <f t="shared" si="54"/>
        <v>0</v>
      </c>
      <c r="X60" s="22">
        <f t="shared" si="55"/>
        <v>100.755</v>
      </c>
      <c r="Y60" s="1"/>
      <c r="Z60" s="1"/>
      <c r="AA60" s="1"/>
      <c r="AB60" s="1" t="s">
        <v>185</v>
      </c>
      <c r="AC60" s="1"/>
      <c r="AD60" s="1">
        <v>4</v>
      </c>
      <c r="AE60" s="1">
        <v>3</v>
      </c>
      <c r="AF60" s="1"/>
      <c r="AG60" s="26">
        <f t="shared" si="56"/>
        <v>1.0008117376048915</v>
      </c>
      <c r="AH60" s="26">
        <f t="shared" si="57"/>
        <v>3.808797799597985E-4</v>
      </c>
      <c r="AI60" s="26">
        <f t="shared" si="58"/>
        <v>1.16218232377814E-3</v>
      </c>
      <c r="AJ60" s="26">
        <f t="shared" si="59"/>
        <v>2.3178217753597064E-4</v>
      </c>
      <c r="AK60" s="26">
        <f t="shared" si="60"/>
        <v>0.63784510909399017</v>
      </c>
      <c r="AL60" s="26">
        <f t="shared" si="61"/>
        <v>1.5394499127071578E-2</v>
      </c>
      <c r="AM60" s="26">
        <f t="shared" si="62"/>
        <v>1.3374619588200753</v>
      </c>
      <c r="AN60" s="26">
        <f t="shared" si="63"/>
        <v>4.2830744833304915E-3</v>
      </c>
      <c r="AO60" s="26">
        <f t="shared" si="64"/>
        <v>5.6838614333159382E-4</v>
      </c>
      <c r="AP60" s="26">
        <f t="shared" si="65"/>
        <v>5.0996776438465806E-4</v>
      </c>
      <c r="AQ60" s="26">
        <f t="shared" si="66"/>
        <v>0</v>
      </c>
      <c r="AR60" s="26">
        <f t="shared" si="67"/>
        <v>0</v>
      </c>
      <c r="AS60" s="26">
        <f t="shared" si="68"/>
        <v>0</v>
      </c>
      <c r="AT60" s="26">
        <f t="shared" si="69"/>
        <v>2.9986495773183495</v>
      </c>
      <c r="AU60" s="47"/>
      <c r="AV60" s="26">
        <f t="shared" si="70"/>
        <v>1.0012624467776958</v>
      </c>
      <c r="AW60" s="26">
        <f t="shared" si="71"/>
        <v>3.8105130673562793E-4</v>
      </c>
      <c r="AX60" s="26">
        <f t="shared" si="72"/>
        <v>1.1627057051635857E-3</v>
      </c>
      <c r="AY60" s="26">
        <f t="shared" si="73"/>
        <v>2.3188655915898999E-4</v>
      </c>
      <c r="AZ60" s="26">
        <f t="shared" si="74"/>
        <v>0.63813235856429029</v>
      </c>
      <c r="BA60" s="26">
        <f t="shared" si="75"/>
        <v>0</v>
      </c>
      <c r="BB60" s="26">
        <f t="shared" si="76"/>
        <v>1.5401431941412769E-2</v>
      </c>
      <c r="BC60" s="26">
        <f t="shared" si="77"/>
        <v>1.3380642762694688</v>
      </c>
      <c r="BD60" s="26">
        <f t="shared" si="78"/>
        <v>4.2850033385636059E-3</v>
      </c>
      <c r="BE60" s="26">
        <f t="shared" si="79"/>
        <v>5.6864211240036946E-4</v>
      </c>
      <c r="BF60" s="26">
        <f t="shared" si="80"/>
        <v>5.1019742510965396E-4</v>
      </c>
      <c r="BG60" s="26">
        <f t="shared" si="81"/>
        <v>0</v>
      </c>
      <c r="BH60" s="26">
        <f t="shared" si="82"/>
        <v>0</v>
      </c>
      <c r="BI60" s="26">
        <f t="shared" si="83"/>
        <v>0</v>
      </c>
      <c r="BJ60" s="25">
        <f t="shared" si="84"/>
        <v>3</v>
      </c>
      <c r="BK60" s="24">
        <f t="shared" si="85"/>
        <v>4.0018013744478376</v>
      </c>
      <c r="BL60" s="26"/>
      <c r="BM60" s="51">
        <f t="shared" si="86"/>
        <v>0.67709065620488174</v>
      </c>
      <c r="BN60" s="1"/>
      <c r="BO60" s="26">
        <f t="shared" si="87"/>
        <v>0.625</v>
      </c>
      <c r="BP60" s="26">
        <f t="shared" si="88"/>
        <v>2.3785678517776666E-4</v>
      </c>
      <c r="BQ60" s="26">
        <f t="shared" si="89"/>
        <v>7.2577481365241269E-4</v>
      </c>
      <c r="BR60" s="26">
        <f t="shared" si="90"/>
        <v>1.4474636489242711E-4</v>
      </c>
      <c r="BS60" s="26">
        <f t="shared" si="91"/>
        <v>0.39832985386221298</v>
      </c>
      <c r="BT60" s="26">
        <f t="shared" si="92"/>
        <v>9.6137581054412183E-3</v>
      </c>
      <c r="BU60" s="26">
        <f t="shared" si="93"/>
        <v>0.83523573200992551</v>
      </c>
      <c r="BV60" s="26">
        <f t="shared" si="94"/>
        <v>2.6747503566333809E-3</v>
      </c>
      <c r="BW60" s="26">
        <f t="shared" si="95"/>
        <v>3.5495321071313328E-4</v>
      </c>
      <c r="BX60" s="26">
        <f t="shared" si="96"/>
        <v>3.1847133757961782E-4</v>
      </c>
      <c r="BY60" s="26">
        <f t="shared" si="97"/>
        <v>0</v>
      </c>
      <c r="BZ60" s="26">
        <f t="shared" si="98"/>
        <v>0</v>
      </c>
      <c r="CA60" s="26">
        <f t="shared" si="99"/>
        <v>0</v>
      </c>
      <c r="CB60" s="26">
        <f t="shared" si="100"/>
        <v>1.8726358968462287</v>
      </c>
      <c r="CC60" s="26">
        <f t="shared" si="101"/>
        <v>2.4979723019465325</v>
      </c>
      <c r="CD60" s="26">
        <f t="shared" si="102"/>
        <v>1.6020199148443135</v>
      </c>
      <c r="CE60" s="26">
        <f t="shared" si="103"/>
        <v>4.0018013744478376</v>
      </c>
      <c r="CF60" s="1"/>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46"/>
      <c r="DQ60" s="46"/>
      <c r="DR60" s="46"/>
      <c r="DS60" s="46"/>
      <c r="DT60" s="46"/>
      <c r="DU60" s="46"/>
      <c r="DV60" s="46"/>
      <c r="DW60" s="46"/>
    </row>
    <row r="61" spans="1:127" x14ac:dyDescent="0.25">
      <c r="A61" s="5" t="s">
        <v>89</v>
      </c>
      <c r="B61" s="1">
        <v>631</v>
      </c>
      <c r="C61" s="98" t="s">
        <v>97</v>
      </c>
      <c r="D61" s="98" t="s">
        <v>106</v>
      </c>
      <c r="E61" s="1">
        <v>142</v>
      </c>
      <c r="F61" s="1" t="s">
        <v>184</v>
      </c>
      <c r="G61" s="22">
        <v>37.159999999999997</v>
      </c>
      <c r="H61" s="22">
        <v>0</v>
      </c>
      <c r="I61" s="22">
        <v>2.5000000000000001E-2</v>
      </c>
      <c r="J61" s="22">
        <v>0</v>
      </c>
      <c r="K61" s="22">
        <v>28.02</v>
      </c>
      <c r="L61" s="22">
        <v>0.57099999999999995</v>
      </c>
      <c r="M61" s="22">
        <v>33.159999999999997</v>
      </c>
      <c r="N61" s="22">
        <v>0.13500000000000001</v>
      </c>
      <c r="O61" s="22">
        <v>1.4E-2</v>
      </c>
      <c r="P61" s="22">
        <v>0</v>
      </c>
      <c r="Q61" s="22">
        <v>0</v>
      </c>
      <c r="R61" s="22"/>
      <c r="S61" s="22"/>
      <c r="T61" s="22">
        <f t="shared" si="52"/>
        <v>99.084999999999994</v>
      </c>
      <c r="U61" s="3"/>
      <c r="V61" s="22">
        <f t="shared" si="53"/>
        <v>28.02</v>
      </c>
      <c r="W61" s="22">
        <f t="shared" si="54"/>
        <v>0</v>
      </c>
      <c r="X61" s="22">
        <f t="shared" si="55"/>
        <v>99.084999999999994</v>
      </c>
      <c r="Y61" s="1"/>
      <c r="Z61" s="1"/>
      <c r="AA61" s="1"/>
      <c r="AB61" s="1" t="s">
        <v>185</v>
      </c>
      <c r="AC61" s="1"/>
      <c r="AD61" s="1">
        <v>4</v>
      </c>
      <c r="AE61" s="1">
        <v>3</v>
      </c>
      <c r="AF61" s="1"/>
      <c r="AG61" s="26">
        <f t="shared" si="56"/>
        <v>1.0051972154512521</v>
      </c>
      <c r="AH61" s="26">
        <f t="shared" si="57"/>
        <v>0</v>
      </c>
      <c r="AI61" s="26">
        <f t="shared" si="58"/>
        <v>7.9697678863900547E-4</v>
      </c>
      <c r="AJ61" s="26">
        <f t="shared" si="59"/>
        <v>0</v>
      </c>
      <c r="AK61" s="26">
        <f t="shared" si="60"/>
        <v>0.63379214736732536</v>
      </c>
      <c r="AL61" s="26">
        <f t="shared" si="61"/>
        <v>1.3081285360603446E-2</v>
      </c>
      <c r="AM61" s="26">
        <f t="shared" si="62"/>
        <v>1.3372572812590717</v>
      </c>
      <c r="AN61" s="26">
        <f t="shared" si="63"/>
        <v>3.912291977496595E-3</v>
      </c>
      <c r="AO61" s="26">
        <f t="shared" si="64"/>
        <v>7.3419590008058199E-4</v>
      </c>
      <c r="AP61" s="26">
        <f t="shared" si="65"/>
        <v>0</v>
      </c>
      <c r="AQ61" s="26">
        <f t="shared" si="66"/>
        <v>0</v>
      </c>
      <c r="AR61" s="26">
        <f t="shared" si="67"/>
        <v>0</v>
      </c>
      <c r="AS61" s="26">
        <f t="shared" si="68"/>
        <v>0</v>
      </c>
      <c r="AT61" s="26">
        <f t="shared" si="69"/>
        <v>2.9947713941044687</v>
      </c>
      <c r="AU61" s="47"/>
      <c r="AV61" s="26">
        <f t="shared" si="70"/>
        <v>1.00695220085589</v>
      </c>
      <c r="AW61" s="26">
        <f t="shared" si="71"/>
        <v>0</v>
      </c>
      <c r="AX61" s="26">
        <f t="shared" si="72"/>
        <v>7.9836823960046537E-4</v>
      </c>
      <c r="AY61" s="26">
        <f t="shared" si="73"/>
        <v>0</v>
      </c>
      <c r="AZ61" s="26">
        <f t="shared" si="74"/>
        <v>0.63489869238267771</v>
      </c>
      <c r="BA61" s="26">
        <f t="shared" si="75"/>
        <v>0</v>
      </c>
      <c r="BB61" s="26">
        <f t="shared" si="76"/>
        <v>1.310412412749304E-2</v>
      </c>
      <c r="BC61" s="26">
        <f t="shared" si="77"/>
        <v>1.3395920141600195</v>
      </c>
      <c r="BD61" s="26">
        <f t="shared" si="78"/>
        <v>3.9191224931542671E-3</v>
      </c>
      <c r="BE61" s="26">
        <f t="shared" si="79"/>
        <v>7.3547774116507799E-4</v>
      </c>
      <c r="BF61" s="26">
        <f t="shared" si="80"/>
        <v>0</v>
      </c>
      <c r="BG61" s="26">
        <f t="shared" si="81"/>
        <v>0</v>
      </c>
      <c r="BH61" s="26">
        <f t="shared" si="82"/>
        <v>0</v>
      </c>
      <c r="BI61" s="26">
        <f t="shared" si="83"/>
        <v>0</v>
      </c>
      <c r="BJ61" s="25">
        <f t="shared" si="84"/>
        <v>2.9999999999999996</v>
      </c>
      <c r="BK61" s="24">
        <f t="shared" si="85"/>
        <v>4.0069836461051072</v>
      </c>
      <c r="BL61" s="26"/>
      <c r="BM61" s="51">
        <f t="shared" si="86"/>
        <v>0.67844938936462484</v>
      </c>
      <c r="BN61" s="1"/>
      <c r="BO61" s="26">
        <f t="shared" si="87"/>
        <v>0.618508655126498</v>
      </c>
      <c r="BP61" s="26">
        <f t="shared" si="88"/>
        <v>0</v>
      </c>
      <c r="BQ61" s="26">
        <f t="shared" si="89"/>
        <v>4.9038838760298163E-4</v>
      </c>
      <c r="BR61" s="26">
        <f t="shared" si="90"/>
        <v>0</v>
      </c>
      <c r="BS61" s="26">
        <f t="shared" si="91"/>
        <v>0.38997912317327771</v>
      </c>
      <c r="BT61" s="26">
        <f t="shared" si="92"/>
        <v>8.0490555398928659E-3</v>
      </c>
      <c r="BU61" s="26">
        <f t="shared" si="93"/>
        <v>0.82282878411910665</v>
      </c>
      <c r="BV61" s="26">
        <f t="shared" si="94"/>
        <v>2.407275320970043E-3</v>
      </c>
      <c r="BW61" s="26">
        <f t="shared" si="95"/>
        <v>4.5175863181671512E-4</v>
      </c>
      <c r="BX61" s="26">
        <f t="shared" si="96"/>
        <v>0</v>
      </c>
      <c r="BY61" s="26">
        <f t="shared" si="97"/>
        <v>0</v>
      </c>
      <c r="BZ61" s="26">
        <f t="shared" si="98"/>
        <v>0</v>
      </c>
      <c r="CA61" s="26">
        <f t="shared" si="99"/>
        <v>0</v>
      </c>
      <c r="CB61" s="26">
        <f t="shared" si="100"/>
        <v>1.842715040299165</v>
      </c>
      <c r="CC61" s="26">
        <f t="shared" si="101"/>
        <v>2.4612430103035559</v>
      </c>
      <c r="CD61" s="26">
        <f t="shared" si="102"/>
        <v>1.6280325141932688</v>
      </c>
      <c r="CE61" s="26">
        <f t="shared" si="103"/>
        <v>4.0069836461051072</v>
      </c>
      <c r="CF61" s="1"/>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46"/>
      <c r="DQ61" s="46"/>
      <c r="DR61" s="46"/>
      <c r="DS61" s="46"/>
      <c r="DT61" s="46"/>
      <c r="DU61" s="46"/>
      <c r="DV61" s="46"/>
      <c r="DW61" s="46"/>
    </row>
    <row r="62" spans="1:127" x14ac:dyDescent="0.25">
      <c r="A62" s="48"/>
      <c r="B62" s="1"/>
      <c r="C62" s="98"/>
      <c r="D62" s="98"/>
      <c r="E62" s="1"/>
      <c r="F62" s="1"/>
      <c r="G62" s="22"/>
      <c r="H62" s="22"/>
      <c r="I62" s="22"/>
      <c r="J62" s="22"/>
      <c r="K62" s="22"/>
      <c r="L62" s="22"/>
      <c r="M62" s="22"/>
      <c r="N62" s="22"/>
      <c r="O62" s="22"/>
      <c r="P62" s="22"/>
      <c r="Q62" s="22"/>
      <c r="R62" s="22"/>
      <c r="S62" s="22"/>
      <c r="T62" s="1"/>
      <c r="U62" s="8"/>
      <c r="V62" s="1"/>
      <c r="W62" s="1"/>
      <c r="X62" s="1"/>
      <c r="Y62" s="1"/>
      <c r="Z62" s="1"/>
      <c r="AA62" s="1"/>
      <c r="AB62" s="1"/>
      <c r="AC62" s="1"/>
      <c r="AD62" s="1"/>
      <c r="AE62" s="1"/>
      <c r="AF62" s="1"/>
      <c r="AG62" s="26"/>
      <c r="AH62" s="26"/>
      <c r="AI62" s="26"/>
      <c r="AJ62" s="26"/>
      <c r="AK62" s="26"/>
      <c r="AL62" s="26"/>
      <c r="AM62" s="26"/>
      <c r="AN62" s="26"/>
      <c r="AO62" s="26"/>
      <c r="AP62" s="26"/>
      <c r="AQ62" s="26"/>
      <c r="AR62" s="26"/>
      <c r="AS62" s="26"/>
      <c r="AT62" s="26"/>
      <c r="AU62" s="1"/>
      <c r="AV62" s="26"/>
      <c r="AW62" s="26"/>
      <c r="AX62" s="26"/>
      <c r="AY62" s="26"/>
      <c r="AZ62" s="26"/>
      <c r="BA62" s="26"/>
      <c r="BB62" s="26"/>
      <c r="BC62" s="26"/>
      <c r="BD62" s="26"/>
      <c r="BE62" s="26"/>
      <c r="BF62" s="26"/>
      <c r="BG62" s="26"/>
      <c r="BH62" s="26"/>
      <c r="BI62" s="26"/>
      <c r="BJ62" s="26"/>
      <c r="BK62" s="26"/>
      <c r="BL62" s="26"/>
      <c r="BN62" s="1"/>
      <c r="BO62" s="1"/>
      <c r="BP62" s="1"/>
      <c r="BQ62" s="1"/>
      <c r="BR62" s="1"/>
      <c r="BS62" s="1"/>
      <c r="BT62" s="1"/>
      <c r="BU62" s="1"/>
      <c r="BV62" s="1"/>
      <c r="BW62" s="1"/>
      <c r="BX62" s="1"/>
      <c r="BY62" s="1"/>
      <c r="BZ62" s="1"/>
      <c r="CA62" s="1"/>
      <c r="CB62" s="1"/>
      <c r="CC62" s="1"/>
      <c r="CD62" s="1"/>
      <c r="CE62" s="1"/>
      <c r="CF62" s="1"/>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49"/>
      <c r="DP62" s="46"/>
      <c r="DQ62" s="46"/>
      <c r="DR62" s="46"/>
      <c r="DS62" s="46"/>
      <c r="DT62" s="46"/>
      <c r="DU62" s="46"/>
      <c r="DV62" s="46"/>
      <c r="DW62" s="46"/>
    </row>
    <row r="63" spans="1:127" x14ac:dyDescent="0.25">
      <c r="A63" s="48"/>
      <c r="B63" s="1"/>
      <c r="C63" s="98"/>
      <c r="D63" s="98"/>
      <c r="E63" s="1"/>
      <c r="F63" s="1"/>
      <c r="G63" s="22"/>
      <c r="H63" s="22"/>
      <c r="I63" s="22"/>
      <c r="J63" s="22"/>
      <c r="K63" s="22"/>
      <c r="L63" s="22"/>
      <c r="M63" s="22"/>
      <c r="N63" s="22"/>
      <c r="O63" s="22"/>
      <c r="P63" s="22"/>
      <c r="Q63" s="22"/>
      <c r="R63" s="22"/>
      <c r="S63" s="22"/>
      <c r="T63" s="1"/>
      <c r="U63" s="8"/>
      <c r="V63" s="1"/>
      <c r="W63" s="1"/>
      <c r="X63" s="1"/>
      <c r="Y63" s="1"/>
      <c r="Z63" s="1"/>
      <c r="AA63" s="1"/>
      <c r="AB63" s="1"/>
      <c r="AC63" s="1"/>
      <c r="AD63" s="1"/>
      <c r="AE63" s="1"/>
      <c r="AF63" s="1"/>
      <c r="AG63" s="26"/>
      <c r="AH63" s="26"/>
      <c r="AI63" s="26"/>
      <c r="AJ63" s="26"/>
      <c r="AK63" s="26"/>
      <c r="AL63" s="26"/>
      <c r="AM63" s="26"/>
      <c r="AN63" s="26"/>
      <c r="AO63" s="26"/>
      <c r="AP63" s="26"/>
      <c r="AQ63" s="26"/>
      <c r="AR63" s="26"/>
      <c r="AS63" s="26"/>
      <c r="AT63" s="26"/>
      <c r="AU63" s="1"/>
      <c r="AV63" s="26"/>
      <c r="AW63" s="26"/>
      <c r="AX63" s="26"/>
      <c r="AY63" s="26"/>
      <c r="AZ63" s="26"/>
      <c r="BA63" s="26"/>
      <c r="BB63" s="26"/>
      <c r="BC63" s="26"/>
      <c r="BD63" s="26"/>
      <c r="BE63" s="26"/>
      <c r="BF63" s="26"/>
      <c r="BG63" s="26"/>
      <c r="BH63" s="26"/>
      <c r="BI63" s="26"/>
      <c r="BJ63" s="26"/>
      <c r="BK63" s="26"/>
      <c r="BL63" s="26"/>
      <c r="BN63" s="1"/>
      <c r="BO63" s="1"/>
      <c r="BP63" s="1"/>
      <c r="BQ63" s="1"/>
      <c r="BR63" s="1"/>
      <c r="BS63" s="1"/>
      <c r="BT63" s="1"/>
      <c r="BU63" s="1"/>
      <c r="BV63" s="1"/>
      <c r="BW63" s="1"/>
      <c r="BX63" s="1"/>
      <c r="BY63" s="1"/>
      <c r="BZ63" s="1"/>
      <c r="CA63" s="1"/>
      <c r="CB63" s="1"/>
      <c r="CC63" s="1"/>
      <c r="CD63" s="1"/>
      <c r="CE63" s="1"/>
      <c r="CF63" s="1"/>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49"/>
      <c r="DP63" s="46"/>
      <c r="DQ63" s="46"/>
      <c r="DR63" s="46"/>
      <c r="DS63" s="46"/>
      <c r="DT63" s="46"/>
      <c r="DU63" s="46"/>
      <c r="DV63" s="46"/>
      <c r="DW63" s="46"/>
    </row>
    <row r="64" spans="1:127" x14ac:dyDescent="0.25">
      <c r="A64" s="48"/>
      <c r="B64" s="1"/>
      <c r="C64" s="98"/>
      <c r="D64" s="98"/>
      <c r="E64" s="1"/>
      <c r="F64" s="1"/>
      <c r="G64" s="22"/>
      <c r="H64" s="22"/>
      <c r="I64" s="22"/>
      <c r="J64" s="22"/>
      <c r="K64" s="22"/>
      <c r="L64" s="22"/>
      <c r="M64" s="22"/>
      <c r="N64" s="22"/>
      <c r="O64" s="22"/>
      <c r="P64" s="22"/>
      <c r="Q64" s="22"/>
      <c r="R64" s="22"/>
      <c r="S64" s="22"/>
      <c r="T64" s="1"/>
      <c r="U64" s="8"/>
      <c r="V64" s="1"/>
      <c r="W64" s="1"/>
      <c r="X64" s="1"/>
      <c r="Y64" s="1"/>
      <c r="Z64" s="1"/>
      <c r="AA64" s="1"/>
      <c r="AB64" s="1"/>
      <c r="AC64" s="1"/>
      <c r="AD64" s="1"/>
      <c r="AE64" s="1"/>
      <c r="AF64" s="1"/>
      <c r="AG64" s="26"/>
      <c r="AH64" s="26"/>
      <c r="AI64" s="26"/>
      <c r="AJ64" s="26"/>
      <c r="AK64" s="26"/>
      <c r="AL64" s="26"/>
      <c r="AM64" s="26"/>
      <c r="AN64" s="26"/>
      <c r="AO64" s="26"/>
      <c r="AP64" s="26"/>
      <c r="AQ64" s="26"/>
      <c r="AR64" s="26"/>
      <c r="AS64" s="26"/>
      <c r="AT64" s="26"/>
      <c r="AU64" s="1"/>
      <c r="AV64" s="26"/>
      <c r="AW64" s="26"/>
      <c r="AX64" s="26"/>
      <c r="AY64" s="26"/>
      <c r="AZ64" s="26"/>
      <c r="BA64" s="26"/>
      <c r="BB64" s="26"/>
      <c r="BC64" s="26"/>
      <c r="BD64" s="26"/>
      <c r="BE64" s="26"/>
      <c r="BF64" s="26"/>
      <c r="BG64" s="26"/>
      <c r="BH64" s="26"/>
      <c r="BI64" s="26"/>
      <c r="BJ64" s="26"/>
      <c r="BK64" s="26"/>
      <c r="BL64" s="26"/>
      <c r="BN64" s="1"/>
      <c r="BO64" s="1"/>
      <c r="BP64" s="1"/>
      <c r="BQ64" s="1"/>
      <c r="BR64" s="1"/>
      <c r="BS64" s="1"/>
      <c r="BT64" s="1"/>
      <c r="BU64" s="1"/>
      <c r="BV64" s="1"/>
      <c r="BW64" s="1"/>
      <c r="BX64" s="1"/>
      <c r="BY64" s="1"/>
      <c r="BZ64" s="1"/>
      <c r="CA64" s="1"/>
      <c r="CB64" s="1"/>
      <c r="CC64" s="1"/>
      <c r="CD64" s="1"/>
      <c r="CE64" s="1"/>
      <c r="CF64" s="1"/>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49"/>
      <c r="DP64" s="46"/>
      <c r="DQ64" s="46"/>
      <c r="DR64" s="46"/>
      <c r="DS64" s="46"/>
      <c r="DT64" s="46"/>
      <c r="DU64" s="46"/>
      <c r="DV64" s="46"/>
      <c r="DW64" s="46"/>
    </row>
    <row r="65" spans="1:127" x14ac:dyDescent="0.25">
      <c r="A65" s="48"/>
      <c r="B65" s="1"/>
      <c r="C65" s="98"/>
      <c r="D65" s="98"/>
      <c r="E65" s="1"/>
      <c r="F65" s="1"/>
      <c r="G65" s="22"/>
      <c r="H65" s="22"/>
      <c r="I65" s="22"/>
      <c r="J65" s="22"/>
      <c r="K65" s="22"/>
      <c r="L65" s="22"/>
      <c r="M65" s="22"/>
      <c r="N65" s="22"/>
      <c r="O65" s="22"/>
      <c r="P65" s="22"/>
      <c r="Q65" s="22"/>
      <c r="R65" s="22"/>
      <c r="S65" s="22"/>
      <c r="T65" s="1"/>
      <c r="U65" s="8"/>
      <c r="V65" s="1"/>
      <c r="W65" s="1"/>
      <c r="X65" s="1"/>
      <c r="Y65" s="1"/>
      <c r="Z65" s="1"/>
      <c r="AA65" s="1"/>
      <c r="AB65" s="1"/>
      <c r="AC65" s="1"/>
      <c r="AD65" s="1"/>
      <c r="AE65" s="1"/>
      <c r="AF65" s="1"/>
      <c r="AG65" s="26"/>
      <c r="AH65" s="26"/>
      <c r="AI65" s="26"/>
      <c r="AJ65" s="26"/>
      <c r="AK65" s="26"/>
      <c r="AL65" s="26"/>
      <c r="AM65" s="26"/>
      <c r="AN65" s="26"/>
      <c r="AO65" s="26"/>
      <c r="AP65" s="26"/>
      <c r="AQ65" s="26"/>
      <c r="AR65" s="26"/>
      <c r="AS65" s="26"/>
      <c r="AT65" s="26"/>
      <c r="AU65" s="1"/>
      <c r="AV65" s="26"/>
      <c r="AW65" s="26"/>
      <c r="AX65" s="26"/>
      <c r="AY65" s="26"/>
      <c r="AZ65" s="26"/>
      <c r="BA65" s="26"/>
      <c r="BB65" s="26"/>
      <c r="BC65" s="26"/>
      <c r="BD65" s="26"/>
      <c r="BE65" s="26"/>
      <c r="BF65" s="26"/>
      <c r="BG65" s="26"/>
      <c r="BH65" s="26"/>
      <c r="BI65" s="26"/>
      <c r="BJ65" s="26"/>
      <c r="BK65" s="26"/>
      <c r="BL65" s="26"/>
      <c r="BN65" s="1"/>
      <c r="BO65" s="1"/>
      <c r="BP65" s="1"/>
      <c r="BQ65" s="1"/>
      <c r="BR65" s="1"/>
      <c r="BS65" s="1"/>
      <c r="BT65" s="1"/>
      <c r="BU65" s="1"/>
      <c r="BV65" s="1"/>
      <c r="BW65" s="1"/>
      <c r="BX65" s="1"/>
      <c r="BY65" s="1"/>
      <c r="BZ65" s="1"/>
      <c r="CA65" s="1"/>
      <c r="CB65" s="1"/>
      <c r="CC65" s="1"/>
      <c r="CD65" s="1"/>
      <c r="CE65" s="1"/>
      <c r="CF65" s="1"/>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49"/>
      <c r="DP65" s="46"/>
      <c r="DQ65" s="46"/>
      <c r="DR65" s="46"/>
      <c r="DS65" s="46"/>
      <c r="DT65" s="46"/>
      <c r="DU65" s="46"/>
      <c r="DV65" s="46"/>
      <c r="DW65" s="46"/>
    </row>
    <row r="66" spans="1:127" x14ac:dyDescent="0.25">
      <c r="A66" s="48"/>
      <c r="B66" s="1"/>
      <c r="C66" s="98"/>
      <c r="D66" s="98"/>
      <c r="E66" s="1"/>
      <c r="F66" s="1"/>
      <c r="G66" s="22"/>
      <c r="H66" s="22"/>
      <c r="I66" s="22"/>
      <c r="J66" s="22"/>
      <c r="K66" s="22"/>
      <c r="L66" s="22"/>
      <c r="M66" s="22"/>
      <c r="N66" s="22"/>
      <c r="O66" s="22"/>
      <c r="P66" s="22"/>
      <c r="Q66" s="22"/>
      <c r="R66" s="22"/>
      <c r="S66" s="22"/>
      <c r="T66" s="1"/>
      <c r="U66" s="8"/>
      <c r="V66" s="1"/>
      <c r="W66" s="1"/>
      <c r="X66" s="1"/>
      <c r="Y66" s="1"/>
      <c r="Z66" s="1"/>
      <c r="AA66" s="1"/>
      <c r="AB66" s="1"/>
      <c r="AC66" s="1"/>
      <c r="AD66" s="1"/>
      <c r="AE66" s="1"/>
      <c r="AF66" s="1"/>
      <c r="AG66" s="26"/>
      <c r="AH66" s="26"/>
      <c r="AI66" s="26"/>
      <c r="AJ66" s="26"/>
      <c r="AK66" s="26"/>
      <c r="AL66" s="26"/>
      <c r="AM66" s="26"/>
      <c r="AN66" s="26"/>
      <c r="AO66" s="26"/>
      <c r="AP66" s="26"/>
      <c r="AQ66" s="26"/>
      <c r="AR66" s="26"/>
      <c r="AS66" s="26"/>
      <c r="AT66" s="26"/>
      <c r="AU66" s="1"/>
      <c r="AV66" s="26"/>
      <c r="AW66" s="26"/>
      <c r="AX66" s="26"/>
      <c r="AY66" s="26"/>
      <c r="AZ66" s="26"/>
      <c r="BA66" s="26"/>
      <c r="BB66" s="26"/>
      <c r="BC66" s="26"/>
      <c r="BD66" s="26"/>
      <c r="BE66" s="26"/>
      <c r="BF66" s="26"/>
      <c r="BG66" s="26"/>
      <c r="BH66" s="26"/>
      <c r="BI66" s="26"/>
      <c r="BJ66" s="26"/>
      <c r="BK66" s="26"/>
      <c r="BL66" s="26"/>
      <c r="BN66" s="1"/>
      <c r="BO66" s="1"/>
      <c r="BP66" s="1"/>
      <c r="BQ66" s="1"/>
      <c r="BR66" s="1"/>
      <c r="BS66" s="1"/>
      <c r="BT66" s="1"/>
      <c r="BU66" s="1"/>
      <c r="BV66" s="1"/>
      <c r="BW66" s="1"/>
      <c r="BX66" s="1"/>
      <c r="BY66" s="1"/>
      <c r="BZ66" s="1"/>
      <c r="CA66" s="1"/>
      <c r="CB66" s="1"/>
      <c r="CC66" s="1"/>
      <c r="CD66" s="1"/>
      <c r="CE66" s="1"/>
      <c r="CF66" s="1"/>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49"/>
      <c r="DP66" s="46"/>
      <c r="DQ66" s="46"/>
      <c r="DR66" s="46"/>
      <c r="DS66" s="46"/>
      <c r="DT66" s="46"/>
      <c r="DU66" s="46"/>
      <c r="DV66" s="46"/>
      <c r="DW66" s="46"/>
    </row>
    <row r="67" spans="1:127" x14ac:dyDescent="0.25">
      <c r="A67" s="48"/>
      <c r="B67" s="1"/>
      <c r="C67" s="98"/>
      <c r="D67" s="98"/>
      <c r="E67" s="1"/>
      <c r="F67" s="1"/>
      <c r="G67" s="22"/>
      <c r="H67" s="22"/>
      <c r="I67" s="22"/>
      <c r="J67" s="22"/>
      <c r="K67" s="22"/>
      <c r="L67" s="22"/>
      <c r="M67" s="22"/>
      <c r="N67" s="22"/>
      <c r="O67" s="22"/>
      <c r="P67" s="22"/>
      <c r="Q67" s="22"/>
      <c r="R67" s="22"/>
      <c r="S67" s="22"/>
      <c r="T67" s="1"/>
      <c r="U67" s="8"/>
      <c r="V67" s="1"/>
      <c r="W67" s="1"/>
      <c r="X67" s="1"/>
      <c r="Y67" s="1"/>
      <c r="Z67" s="1"/>
      <c r="AA67" s="1"/>
      <c r="AB67" s="1"/>
      <c r="AC67" s="1"/>
      <c r="AD67" s="1"/>
      <c r="AE67" s="1"/>
      <c r="AF67" s="1"/>
      <c r="AG67" s="26"/>
      <c r="AH67" s="26"/>
      <c r="AI67" s="26"/>
      <c r="AJ67" s="26"/>
      <c r="AK67" s="26"/>
      <c r="AL67" s="26"/>
      <c r="AM67" s="26"/>
      <c r="AN67" s="26"/>
      <c r="AO67" s="26"/>
      <c r="AP67" s="26"/>
      <c r="AQ67" s="26"/>
      <c r="AR67" s="26"/>
      <c r="AS67" s="26"/>
      <c r="AT67" s="26"/>
      <c r="AU67" s="1"/>
      <c r="AV67" s="26"/>
      <c r="AW67" s="26"/>
      <c r="AX67" s="26"/>
      <c r="AY67" s="26"/>
      <c r="AZ67" s="26"/>
      <c r="BA67" s="26"/>
      <c r="BB67" s="26"/>
      <c r="BC67" s="26"/>
      <c r="BD67" s="26"/>
      <c r="BE67" s="26"/>
      <c r="BF67" s="26"/>
      <c r="BG67" s="26"/>
      <c r="BH67" s="26"/>
      <c r="BI67" s="26"/>
      <c r="BJ67" s="26"/>
      <c r="BK67" s="26"/>
      <c r="BL67" s="26"/>
      <c r="BN67" s="1"/>
      <c r="BO67" s="1"/>
      <c r="BP67" s="1"/>
      <c r="BQ67" s="1"/>
      <c r="BR67" s="1"/>
      <c r="BS67" s="1"/>
      <c r="BT67" s="1"/>
      <c r="BU67" s="1"/>
      <c r="BV67" s="1"/>
      <c r="BW67" s="1"/>
      <c r="BX67" s="1"/>
      <c r="BY67" s="1"/>
      <c r="BZ67" s="1"/>
      <c r="CA67" s="1"/>
      <c r="CB67" s="1"/>
      <c r="CC67" s="1"/>
      <c r="CD67" s="1"/>
      <c r="CE67" s="1"/>
      <c r="CF67" s="1"/>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49"/>
      <c r="DP67" s="46"/>
      <c r="DQ67" s="46"/>
      <c r="DR67" s="46"/>
      <c r="DS67" s="46"/>
      <c r="DT67" s="46"/>
      <c r="DU67" s="46"/>
      <c r="DV67" s="46"/>
      <c r="DW67" s="46"/>
    </row>
    <row r="68" spans="1:127" x14ac:dyDescent="0.25">
      <c r="A68" s="48"/>
      <c r="B68" s="1"/>
      <c r="C68" s="98"/>
      <c r="D68" s="98"/>
      <c r="E68" s="1"/>
      <c r="F68" s="1"/>
      <c r="G68" s="22"/>
      <c r="H68" s="22"/>
      <c r="I68" s="22"/>
      <c r="J68" s="22"/>
      <c r="K68" s="22"/>
      <c r="L68" s="22"/>
      <c r="M68" s="22"/>
      <c r="N68" s="22"/>
      <c r="O68" s="22"/>
      <c r="P68" s="22"/>
      <c r="Q68" s="22"/>
      <c r="R68" s="22"/>
      <c r="S68" s="22"/>
      <c r="T68" s="1"/>
      <c r="U68" s="8"/>
      <c r="V68" s="1"/>
      <c r="W68" s="1"/>
      <c r="X68" s="1"/>
      <c r="Y68" s="1"/>
      <c r="Z68" s="1"/>
      <c r="AA68" s="1"/>
      <c r="AB68" s="1"/>
      <c r="AC68" s="1"/>
      <c r="AD68" s="1"/>
      <c r="AE68" s="1"/>
      <c r="AF68" s="1"/>
      <c r="AG68" s="26"/>
      <c r="AH68" s="26"/>
      <c r="AI68" s="26"/>
      <c r="AJ68" s="26"/>
      <c r="AK68" s="26"/>
      <c r="AL68" s="26"/>
      <c r="AM68" s="26"/>
      <c r="AN68" s="26"/>
      <c r="AO68" s="26"/>
      <c r="AP68" s="26"/>
      <c r="AQ68" s="26"/>
      <c r="AR68" s="26"/>
      <c r="AS68" s="26"/>
      <c r="AT68" s="26"/>
      <c r="AU68" s="1"/>
      <c r="AV68" s="26"/>
      <c r="AW68" s="26"/>
      <c r="AX68" s="26"/>
      <c r="AY68" s="26"/>
      <c r="AZ68" s="26"/>
      <c r="BA68" s="26"/>
      <c r="BB68" s="26"/>
      <c r="BC68" s="26"/>
      <c r="BD68" s="26"/>
      <c r="BE68" s="26"/>
      <c r="BF68" s="26"/>
      <c r="BG68" s="26"/>
      <c r="BH68" s="26"/>
      <c r="BI68" s="26"/>
      <c r="BJ68" s="26"/>
      <c r="BK68" s="26"/>
      <c r="BL68" s="26"/>
      <c r="BN68" s="1"/>
      <c r="BO68" s="1"/>
      <c r="BP68" s="1"/>
      <c r="BQ68" s="1"/>
      <c r="BR68" s="1"/>
      <c r="BS68" s="1"/>
      <c r="BT68" s="1"/>
      <c r="BU68" s="1"/>
      <c r="BV68" s="1"/>
      <c r="BW68" s="1"/>
      <c r="BX68" s="1"/>
      <c r="BY68" s="1"/>
      <c r="BZ68" s="1"/>
      <c r="CA68" s="1"/>
      <c r="CB68" s="1"/>
      <c r="CC68" s="1"/>
      <c r="CD68" s="1"/>
      <c r="CE68" s="1"/>
      <c r="CF68" s="1"/>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49"/>
      <c r="DP68" s="46"/>
      <c r="DQ68" s="46"/>
      <c r="DR68" s="46"/>
      <c r="DS68" s="46"/>
      <c r="DT68" s="46"/>
      <c r="DU68" s="46"/>
      <c r="DV68" s="46"/>
      <c r="DW68" s="46"/>
    </row>
    <row r="69" spans="1:127" x14ac:dyDescent="0.25">
      <c r="A69" s="48"/>
      <c r="B69" s="1"/>
      <c r="C69" s="98"/>
      <c r="D69" s="98"/>
      <c r="E69" s="1"/>
      <c r="F69" s="1"/>
      <c r="G69" s="22"/>
      <c r="H69" s="22"/>
      <c r="I69" s="22"/>
      <c r="J69" s="22"/>
      <c r="K69" s="22"/>
      <c r="L69" s="22"/>
      <c r="M69" s="22"/>
      <c r="N69" s="22"/>
      <c r="O69" s="22"/>
      <c r="P69" s="22"/>
      <c r="Q69" s="22"/>
      <c r="R69" s="22"/>
      <c r="S69" s="22"/>
      <c r="T69" s="1"/>
      <c r="U69" s="8"/>
      <c r="V69" s="1"/>
      <c r="W69" s="1"/>
      <c r="X69" s="1"/>
      <c r="Y69" s="1"/>
      <c r="Z69" s="1"/>
      <c r="AA69" s="1"/>
      <c r="AB69" s="1"/>
      <c r="AC69" s="1"/>
      <c r="AD69" s="1"/>
      <c r="AE69" s="1"/>
      <c r="AF69" s="1"/>
      <c r="AG69" s="26"/>
      <c r="AH69" s="26"/>
      <c r="AI69" s="26"/>
      <c r="AJ69" s="26"/>
      <c r="AK69" s="26"/>
      <c r="AL69" s="26"/>
      <c r="AM69" s="26"/>
      <c r="AN69" s="26"/>
      <c r="AO69" s="26"/>
      <c r="AP69" s="26"/>
      <c r="AQ69" s="26"/>
      <c r="AR69" s="26"/>
      <c r="AS69" s="26"/>
      <c r="AT69" s="26"/>
      <c r="AU69" s="1"/>
      <c r="AV69" s="26"/>
      <c r="AW69" s="26"/>
      <c r="AX69" s="26"/>
      <c r="AY69" s="26"/>
      <c r="AZ69" s="26"/>
      <c r="BA69" s="26"/>
      <c r="BB69" s="26"/>
      <c r="BC69" s="26"/>
      <c r="BD69" s="26"/>
      <c r="BE69" s="26"/>
      <c r="BF69" s="26"/>
      <c r="BG69" s="26"/>
      <c r="BH69" s="26"/>
      <c r="BI69" s="26"/>
      <c r="BJ69" s="26"/>
      <c r="BK69" s="26"/>
      <c r="BL69" s="26"/>
      <c r="BN69" s="1"/>
      <c r="BO69" s="1"/>
      <c r="BP69" s="1"/>
      <c r="BQ69" s="1"/>
      <c r="BR69" s="1"/>
      <c r="BS69" s="1"/>
      <c r="BT69" s="1"/>
      <c r="BU69" s="1"/>
      <c r="BV69" s="1"/>
      <c r="BW69" s="1"/>
      <c r="BX69" s="1"/>
      <c r="BY69" s="1"/>
      <c r="BZ69" s="1"/>
      <c r="CA69" s="1"/>
      <c r="CB69" s="1"/>
      <c r="CC69" s="1"/>
      <c r="CD69" s="1"/>
      <c r="CE69" s="1"/>
      <c r="CF69" s="1"/>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49"/>
      <c r="DP69" s="46"/>
      <c r="DQ69" s="46"/>
      <c r="DR69" s="46"/>
      <c r="DS69" s="46"/>
      <c r="DT69" s="46"/>
      <c r="DU69" s="46"/>
      <c r="DV69" s="46"/>
      <c r="DW69" s="46"/>
    </row>
    <row r="70" spans="1:127" x14ac:dyDescent="0.25">
      <c r="A70" s="48"/>
      <c r="G70" s="46"/>
      <c r="H70" s="46"/>
      <c r="I70" s="46"/>
      <c r="J70" s="46"/>
      <c r="K70" s="46"/>
      <c r="L70" s="46"/>
      <c r="M70" s="46"/>
      <c r="N70" s="46"/>
      <c r="O70" s="46"/>
      <c r="P70" s="46"/>
      <c r="Q70" s="46"/>
      <c r="R70" s="46"/>
      <c r="S70" s="46"/>
      <c r="AG70" s="50"/>
      <c r="AH70" s="50"/>
      <c r="AI70" s="50"/>
      <c r="AJ70" s="50"/>
      <c r="AK70" s="50"/>
      <c r="AL70" s="50"/>
      <c r="AM70" s="50"/>
      <c r="AN70" s="50"/>
      <c r="AO70" s="50"/>
      <c r="AP70" s="50"/>
      <c r="AQ70" s="50"/>
      <c r="AR70" s="50"/>
      <c r="AS70" s="50"/>
      <c r="AT70" s="50"/>
      <c r="AV70" s="50"/>
      <c r="AW70" s="50"/>
      <c r="AX70" s="50"/>
      <c r="AY70" s="50"/>
      <c r="AZ70" s="50"/>
      <c r="BA70" s="50"/>
      <c r="BB70" s="50"/>
      <c r="BC70" s="50"/>
      <c r="BD70" s="50"/>
      <c r="BE70" s="50"/>
      <c r="BF70" s="50"/>
      <c r="BG70" s="50"/>
      <c r="BH70" s="50"/>
      <c r="BI70" s="50"/>
      <c r="BJ70" s="50"/>
      <c r="BK70" s="50"/>
      <c r="BL70" s="50"/>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row>
    <row r="71" spans="1:127" x14ac:dyDescent="0.25">
      <c r="A71" s="48"/>
      <c r="G71" s="46"/>
      <c r="H71" s="46"/>
      <c r="I71" s="46"/>
      <c r="J71" s="46"/>
      <c r="K71" s="46"/>
      <c r="L71" s="46"/>
      <c r="M71" s="46"/>
      <c r="N71" s="46"/>
      <c r="O71" s="46"/>
      <c r="P71" s="46"/>
      <c r="Q71" s="46"/>
      <c r="R71" s="46"/>
      <c r="S71" s="46"/>
      <c r="AG71" s="50"/>
      <c r="AH71" s="50"/>
      <c r="AI71" s="50"/>
      <c r="AJ71" s="50"/>
      <c r="AK71" s="50"/>
      <c r="AL71" s="50"/>
      <c r="AM71" s="50"/>
      <c r="AN71" s="50"/>
      <c r="AO71" s="50"/>
      <c r="AP71" s="50"/>
      <c r="AQ71" s="50"/>
      <c r="AR71" s="50"/>
      <c r="AS71" s="50"/>
      <c r="AT71" s="50"/>
      <c r="AV71" s="50"/>
      <c r="AW71" s="50"/>
      <c r="AX71" s="50"/>
      <c r="AY71" s="50"/>
      <c r="AZ71" s="50"/>
      <c r="BA71" s="50"/>
      <c r="BB71" s="50"/>
      <c r="BC71" s="50"/>
      <c r="BD71" s="50"/>
      <c r="BE71" s="50"/>
      <c r="BF71" s="50"/>
      <c r="BG71" s="50"/>
      <c r="BH71" s="50"/>
      <c r="BI71" s="50"/>
      <c r="BJ71" s="50"/>
      <c r="BK71" s="50"/>
      <c r="BL71" s="50"/>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row>
    <row r="72" spans="1:127" x14ac:dyDescent="0.25">
      <c r="A72" s="48"/>
      <c r="G72" s="46"/>
      <c r="H72" s="46"/>
      <c r="I72" s="46"/>
      <c r="J72" s="46"/>
      <c r="K72" s="46"/>
      <c r="L72" s="46"/>
      <c r="M72" s="46"/>
      <c r="N72" s="46"/>
      <c r="O72" s="46"/>
      <c r="P72" s="46"/>
      <c r="Q72" s="46"/>
      <c r="R72" s="46"/>
      <c r="S72" s="46"/>
      <c r="AG72" s="50"/>
      <c r="AH72" s="50"/>
      <c r="AI72" s="50"/>
      <c r="AJ72" s="50"/>
      <c r="AK72" s="50"/>
      <c r="AL72" s="50"/>
      <c r="AM72" s="50"/>
      <c r="AN72" s="50"/>
      <c r="AO72" s="50"/>
      <c r="AP72" s="50"/>
      <c r="AQ72" s="50"/>
      <c r="AR72" s="50"/>
      <c r="AS72" s="50"/>
      <c r="AT72" s="50"/>
      <c r="AV72" s="50"/>
      <c r="AW72" s="50"/>
      <c r="AX72" s="50"/>
      <c r="AY72" s="50"/>
      <c r="AZ72" s="50"/>
      <c r="BA72" s="50"/>
      <c r="BB72" s="50"/>
      <c r="BC72" s="50"/>
      <c r="BD72" s="50"/>
      <c r="BE72" s="50"/>
      <c r="BF72" s="50"/>
      <c r="BG72" s="50"/>
      <c r="BH72" s="50"/>
      <c r="BI72" s="50"/>
      <c r="BJ72" s="50"/>
      <c r="BK72" s="50"/>
      <c r="BL72" s="50"/>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row>
    <row r="73" spans="1:127" x14ac:dyDescent="0.25">
      <c r="A73" s="48"/>
      <c r="G73" s="46"/>
      <c r="H73" s="46"/>
      <c r="I73" s="46"/>
      <c r="J73" s="46"/>
      <c r="K73" s="46"/>
      <c r="L73" s="46"/>
      <c r="M73" s="46"/>
      <c r="N73" s="46"/>
      <c r="O73" s="46"/>
      <c r="P73" s="46"/>
      <c r="Q73" s="46"/>
      <c r="R73" s="46"/>
      <c r="S73" s="46"/>
      <c r="AG73" s="50"/>
      <c r="AH73" s="50"/>
      <c r="AI73" s="50"/>
      <c r="AJ73" s="50"/>
      <c r="AK73" s="50"/>
      <c r="AL73" s="50"/>
      <c r="AM73" s="50"/>
      <c r="AN73" s="50"/>
      <c r="AO73" s="50"/>
      <c r="AP73" s="50"/>
      <c r="AQ73" s="50"/>
      <c r="AR73" s="50"/>
      <c r="AS73" s="50"/>
      <c r="AT73" s="50"/>
      <c r="AV73" s="50"/>
      <c r="AW73" s="50"/>
      <c r="AX73" s="50"/>
      <c r="AY73" s="50"/>
      <c r="AZ73" s="50"/>
      <c r="BA73" s="50"/>
      <c r="BB73" s="50"/>
      <c r="BC73" s="50"/>
      <c r="BD73" s="50"/>
      <c r="BE73" s="50"/>
      <c r="BF73" s="50"/>
      <c r="BG73" s="50"/>
      <c r="BH73" s="50"/>
      <c r="BI73" s="50"/>
      <c r="BJ73" s="50"/>
      <c r="BK73" s="50"/>
      <c r="BL73" s="50"/>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row>
    <row r="74" spans="1:127" x14ac:dyDescent="0.25">
      <c r="A74" s="48"/>
      <c r="G74" s="46"/>
      <c r="H74" s="46"/>
      <c r="I74" s="46"/>
      <c r="J74" s="46"/>
      <c r="K74" s="46"/>
      <c r="L74" s="46"/>
      <c r="M74" s="46"/>
      <c r="N74" s="46"/>
      <c r="O74" s="46"/>
      <c r="P74" s="46"/>
      <c r="Q74" s="46"/>
      <c r="R74" s="46"/>
      <c r="S74" s="46"/>
      <c r="AG74" s="50"/>
      <c r="AH74" s="50"/>
      <c r="AI74" s="50"/>
      <c r="AJ74" s="50"/>
      <c r="AK74" s="50"/>
      <c r="AL74" s="50"/>
      <c r="AM74" s="50"/>
      <c r="AN74" s="50"/>
      <c r="AO74" s="50"/>
      <c r="AP74" s="50"/>
      <c r="AQ74" s="50"/>
      <c r="AR74" s="50"/>
      <c r="AS74" s="50"/>
      <c r="AT74" s="50"/>
      <c r="AV74" s="50"/>
      <c r="AW74" s="50"/>
      <c r="AX74" s="50"/>
      <c r="AY74" s="50"/>
      <c r="AZ74" s="50"/>
      <c r="BA74" s="50"/>
      <c r="BB74" s="50"/>
      <c r="BC74" s="50"/>
      <c r="BD74" s="50"/>
      <c r="BE74" s="50"/>
      <c r="BF74" s="50"/>
      <c r="BG74" s="50"/>
      <c r="BH74" s="50"/>
      <c r="BI74" s="50"/>
      <c r="BJ74" s="50"/>
      <c r="BK74" s="50"/>
      <c r="BL74" s="50"/>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row>
    <row r="75" spans="1:127" x14ac:dyDescent="0.25">
      <c r="A75" s="48"/>
      <c r="G75" s="46"/>
      <c r="H75" s="46"/>
      <c r="I75" s="46"/>
      <c r="J75" s="46"/>
      <c r="K75" s="46"/>
      <c r="L75" s="46"/>
      <c r="M75" s="46"/>
      <c r="N75" s="46"/>
      <c r="O75" s="46"/>
      <c r="P75" s="46"/>
      <c r="Q75" s="46"/>
      <c r="R75" s="46"/>
      <c r="S75" s="46"/>
      <c r="AG75" s="50"/>
      <c r="AH75" s="50"/>
      <c r="AI75" s="50"/>
      <c r="AJ75" s="50"/>
      <c r="AK75" s="50"/>
      <c r="AL75" s="50"/>
      <c r="AM75" s="50"/>
      <c r="AN75" s="50"/>
      <c r="AO75" s="50"/>
      <c r="AP75" s="50"/>
      <c r="AQ75" s="50"/>
      <c r="AR75" s="50"/>
      <c r="AS75" s="50"/>
      <c r="AT75" s="50"/>
      <c r="AV75" s="50"/>
      <c r="AW75" s="50"/>
      <c r="AX75" s="50"/>
      <c r="AY75" s="50"/>
      <c r="AZ75" s="50"/>
      <c r="BA75" s="50"/>
      <c r="BB75" s="50"/>
      <c r="BC75" s="50"/>
      <c r="BD75" s="50"/>
      <c r="BE75" s="50"/>
      <c r="BF75" s="50"/>
      <c r="BG75" s="50"/>
      <c r="BH75" s="50"/>
      <c r="BI75" s="50"/>
      <c r="BJ75" s="50"/>
      <c r="BK75" s="50"/>
      <c r="BL75" s="50"/>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row>
    <row r="76" spans="1:127" x14ac:dyDescent="0.25">
      <c r="A76" s="48"/>
      <c r="G76" s="46"/>
      <c r="H76" s="46"/>
      <c r="I76" s="46"/>
      <c r="J76" s="46"/>
      <c r="K76" s="46"/>
      <c r="L76" s="46"/>
      <c r="M76" s="46"/>
      <c r="N76" s="46"/>
      <c r="O76" s="46"/>
      <c r="P76" s="46"/>
      <c r="Q76" s="46"/>
      <c r="R76" s="46"/>
      <c r="S76" s="46"/>
      <c r="AG76" s="50"/>
      <c r="AH76" s="50"/>
      <c r="AI76" s="50"/>
      <c r="AJ76" s="50"/>
      <c r="AK76" s="50"/>
      <c r="AL76" s="50"/>
      <c r="AM76" s="50"/>
      <c r="AN76" s="50"/>
      <c r="AO76" s="50"/>
      <c r="AP76" s="50"/>
      <c r="AQ76" s="50"/>
      <c r="AR76" s="50"/>
      <c r="AS76" s="50"/>
      <c r="AT76" s="50"/>
      <c r="AV76" s="50"/>
      <c r="AW76" s="50"/>
      <c r="AX76" s="50"/>
      <c r="AY76" s="50"/>
      <c r="AZ76" s="50"/>
      <c r="BA76" s="50"/>
      <c r="BB76" s="50"/>
      <c r="BC76" s="50"/>
      <c r="BD76" s="50"/>
      <c r="BE76" s="50"/>
      <c r="BF76" s="50"/>
      <c r="BG76" s="50"/>
      <c r="BH76" s="50"/>
      <c r="BI76" s="50"/>
      <c r="BJ76" s="50"/>
      <c r="BK76" s="50"/>
      <c r="BL76" s="50"/>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row>
    <row r="77" spans="1:127" x14ac:dyDescent="0.25">
      <c r="A77" s="48"/>
      <c r="G77" s="46"/>
      <c r="H77" s="46"/>
      <c r="I77" s="46"/>
      <c r="J77" s="46"/>
      <c r="K77" s="46"/>
      <c r="L77" s="46"/>
      <c r="M77" s="46"/>
      <c r="N77" s="46"/>
      <c r="O77" s="46"/>
      <c r="P77" s="46"/>
      <c r="Q77" s="46"/>
      <c r="R77" s="46"/>
      <c r="S77" s="46"/>
      <c r="AG77" s="50"/>
      <c r="AH77" s="50"/>
      <c r="AI77" s="50"/>
      <c r="AJ77" s="50"/>
      <c r="AK77" s="50"/>
      <c r="AL77" s="50"/>
      <c r="AM77" s="50"/>
      <c r="AN77" s="50"/>
      <c r="AO77" s="50"/>
      <c r="AP77" s="50"/>
      <c r="AQ77" s="50"/>
      <c r="AR77" s="50"/>
      <c r="AS77" s="50"/>
      <c r="AT77" s="50"/>
      <c r="AV77" s="50"/>
      <c r="AW77" s="50"/>
      <c r="AX77" s="50"/>
      <c r="AY77" s="50"/>
      <c r="AZ77" s="50"/>
      <c r="BA77" s="50"/>
      <c r="BB77" s="50"/>
      <c r="BC77" s="50"/>
      <c r="BD77" s="50"/>
      <c r="BE77" s="50"/>
      <c r="BF77" s="50"/>
      <c r="BG77" s="50"/>
      <c r="BH77" s="50"/>
      <c r="BI77" s="50"/>
      <c r="BJ77" s="50"/>
      <c r="BK77" s="50"/>
      <c r="BL77" s="50"/>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row>
    <row r="78" spans="1:127" x14ac:dyDescent="0.25">
      <c r="A78" s="48"/>
      <c r="G78" s="46"/>
      <c r="H78" s="46"/>
      <c r="I78" s="46"/>
      <c r="J78" s="46"/>
      <c r="K78" s="46"/>
      <c r="L78" s="46"/>
      <c r="M78" s="46"/>
      <c r="N78" s="46"/>
      <c r="O78" s="46"/>
      <c r="P78" s="46"/>
      <c r="Q78" s="46"/>
      <c r="R78" s="46"/>
      <c r="S78" s="46"/>
      <c r="AG78" s="50"/>
      <c r="AH78" s="50"/>
      <c r="AI78" s="50"/>
      <c r="AJ78" s="50"/>
      <c r="AK78" s="50"/>
      <c r="AL78" s="50"/>
      <c r="AM78" s="50"/>
      <c r="AN78" s="50"/>
      <c r="AO78" s="50"/>
      <c r="AP78" s="50"/>
      <c r="AQ78" s="50"/>
      <c r="AR78" s="50"/>
      <c r="AS78" s="50"/>
      <c r="AT78" s="50"/>
      <c r="AV78" s="50"/>
      <c r="AW78" s="50"/>
      <c r="AX78" s="50"/>
      <c r="AY78" s="50"/>
      <c r="AZ78" s="50"/>
      <c r="BA78" s="50"/>
      <c r="BB78" s="50"/>
      <c r="BC78" s="50"/>
      <c r="BD78" s="50"/>
      <c r="BE78" s="50"/>
      <c r="BF78" s="50"/>
      <c r="BG78" s="50"/>
      <c r="BH78" s="50"/>
      <c r="BI78" s="50"/>
      <c r="BJ78" s="50"/>
      <c r="BK78" s="50"/>
      <c r="BL78" s="50"/>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row>
    <row r="79" spans="1:127" x14ac:dyDescent="0.25">
      <c r="A79" s="48"/>
      <c r="G79" s="46"/>
      <c r="H79" s="46"/>
      <c r="I79" s="46"/>
      <c r="J79" s="46"/>
      <c r="K79" s="46"/>
      <c r="L79" s="46"/>
      <c r="M79" s="46"/>
      <c r="N79" s="46"/>
      <c r="O79" s="46"/>
      <c r="P79" s="46"/>
      <c r="Q79" s="46"/>
      <c r="R79" s="46"/>
      <c r="S79" s="46"/>
      <c r="AG79" s="50"/>
      <c r="AH79" s="50"/>
      <c r="AI79" s="50"/>
      <c r="AJ79" s="50"/>
      <c r="AK79" s="50"/>
      <c r="AL79" s="50"/>
      <c r="AM79" s="50"/>
      <c r="AN79" s="50"/>
      <c r="AO79" s="50"/>
      <c r="AP79" s="50"/>
      <c r="AQ79" s="50"/>
      <c r="AR79" s="50"/>
      <c r="AS79" s="50"/>
      <c r="AT79" s="50"/>
      <c r="AV79" s="50"/>
      <c r="AW79" s="50"/>
      <c r="AX79" s="50"/>
      <c r="AY79" s="50"/>
      <c r="AZ79" s="50"/>
      <c r="BA79" s="50"/>
      <c r="BB79" s="50"/>
      <c r="BC79" s="50"/>
      <c r="BD79" s="50"/>
      <c r="BE79" s="50"/>
      <c r="BF79" s="50"/>
      <c r="BG79" s="50"/>
      <c r="BH79" s="50"/>
      <c r="BI79" s="50"/>
      <c r="BJ79" s="50"/>
      <c r="BK79" s="50"/>
      <c r="BL79" s="50"/>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row>
    <row r="80" spans="1:127" x14ac:dyDescent="0.25">
      <c r="A80" s="48"/>
      <c r="G80" s="46"/>
      <c r="H80" s="46"/>
      <c r="I80" s="46"/>
      <c r="J80" s="46"/>
      <c r="K80" s="46"/>
      <c r="L80" s="46"/>
      <c r="M80" s="46"/>
      <c r="N80" s="46"/>
      <c r="O80" s="46"/>
      <c r="P80" s="46"/>
      <c r="Q80" s="46"/>
      <c r="R80" s="46"/>
      <c r="S80" s="46"/>
      <c r="AG80" s="50"/>
      <c r="AH80" s="50"/>
      <c r="AI80" s="50"/>
      <c r="AJ80" s="50"/>
      <c r="AK80" s="50"/>
      <c r="AL80" s="50"/>
      <c r="AM80" s="50"/>
      <c r="AN80" s="50"/>
      <c r="AO80" s="50"/>
      <c r="AP80" s="50"/>
      <c r="AQ80" s="50"/>
      <c r="AR80" s="50"/>
      <c r="AS80" s="50"/>
      <c r="AT80" s="50"/>
      <c r="AV80" s="50"/>
      <c r="AW80" s="50"/>
      <c r="AX80" s="50"/>
      <c r="AY80" s="50"/>
      <c r="AZ80" s="50"/>
      <c r="BA80" s="50"/>
      <c r="BB80" s="50"/>
      <c r="BC80" s="50"/>
      <c r="BD80" s="50"/>
      <c r="BE80" s="50"/>
      <c r="BF80" s="50"/>
      <c r="BG80" s="50"/>
      <c r="BH80" s="50"/>
      <c r="BI80" s="50"/>
      <c r="BJ80" s="50"/>
      <c r="BK80" s="50"/>
      <c r="BL80" s="50"/>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row>
    <row r="81" spans="1:127" x14ac:dyDescent="0.25">
      <c r="A81" s="48"/>
      <c r="G81" s="46"/>
      <c r="H81" s="46"/>
      <c r="I81" s="46"/>
      <c r="J81" s="46"/>
      <c r="K81" s="46"/>
      <c r="L81" s="46"/>
      <c r="M81" s="46"/>
      <c r="N81" s="46"/>
      <c r="O81" s="46"/>
      <c r="P81" s="46"/>
      <c r="Q81" s="46"/>
      <c r="R81" s="46"/>
      <c r="S81" s="46"/>
      <c r="AG81" s="50"/>
      <c r="AH81" s="50"/>
      <c r="AI81" s="50"/>
      <c r="AJ81" s="50"/>
      <c r="AK81" s="50"/>
      <c r="AL81" s="50"/>
      <c r="AM81" s="50"/>
      <c r="AN81" s="50"/>
      <c r="AO81" s="50"/>
      <c r="AP81" s="50"/>
      <c r="AQ81" s="50"/>
      <c r="AR81" s="50"/>
      <c r="AS81" s="50"/>
      <c r="AT81" s="50"/>
      <c r="AV81" s="50"/>
      <c r="AW81" s="50"/>
      <c r="AX81" s="50"/>
      <c r="AY81" s="50"/>
      <c r="AZ81" s="50"/>
      <c r="BA81" s="50"/>
      <c r="BB81" s="50"/>
      <c r="BC81" s="50"/>
      <c r="BD81" s="50"/>
      <c r="BE81" s="50"/>
      <c r="BF81" s="50"/>
      <c r="BG81" s="50"/>
      <c r="BH81" s="50"/>
      <c r="BI81" s="50"/>
      <c r="BJ81" s="50"/>
      <c r="BK81" s="50"/>
      <c r="BL81" s="50"/>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row>
    <row r="82" spans="1:127" x14ac:dyDescent="0.25">
      <c r="A82" s="48"/>
      <c r="G82" s="46"/>
      <c r="H82" s="46"/>
      <c r="I82" s="46"/>
      <c r="J82" s="46"/>
      <c r="K82" s="46"/>
      <c r="L82" s="46"/>
      <c r="M82" s="46"/>
      <c r="N82" s="46"/>
      <c r="O82" s="46"/>
      <c r="P82" s="46"/>
      <c r="Q82" s="46"/>
      <c r="R82" s="46"/>
      <c r="S82" s="46"/>
      <c r="AG82" s="50"/>
      <c r="AH82" s="50"/>
      <c r="AI82" s="50"/>
      <c r="AJ82" s="50"/>
      <c r="AK82" s="50"/>
      <c r="AL82" s="50"/>
      <c r="AM82" s="50"/>
      <c r="AN82" s="50"/>
      <c r="AO82" s="50"/>
      <c r="AP82" s="50"/>
      <c r="AQ82" s="50"/>
      <c r="AR82" s="50"/>
      <c r="AS82" s="50"/>
      <c r="AT82" s="50"/>
      <c r="AV82" s="50"/>
      <c r="AW82" s="50"/>
      <c r="AX82" s="50"/>
      <c r="AY82" s="50"/>
      <c r="AZ82" s="50"/>
      <c r="BA82" s="50"/>
      <c r="BB82" s="50"/>
      <c r="BC82" s="50"/>
      <c r="BD82" s="50"/>
      <c r="BE82" s="50"/>
      <c r="BF82" s="50"/>
      <c r="BG82" s="50"/>
      <c r="BH82" s="50"/>
      <c r="BI82" s="50"/>
      <c r="BJ82" s="50"/>
      <c r="BK82" s="50"/>
      <c r="BL82" s="50"/>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row>
    <row r="83" spans="1:127" x14ac:dyDescent="0.25">
      <c r="A83" s="48"/>
      <c r="G83" s="46"/>
      <c r="H83" s="46"/>
      <c r="I83" s="46"/>
      <c r="J83" s="46"/>
      <c r="K83" s="46"/>
      <c r="L83" s="46"/>
      <c r="M83" s="46"/>
      <c r="N83" s="46"/>
      <c r="O83" s="46"/>
      <c r="P83" s="46"/>
      <c r="Q83" s="46"/>
      <c r="R83" s="46"/>
      <c r="S83" s="46"/>
      <c r="AG83" s="50"/>
      <c r="AH83" s="50"/>
      <c r="AI83" s="50"/>
      <c r="AJ83" s="50"/>
      <c r="AK83" s="50"/>
      <c r="AL83" s="50"/>
      <c r="AM83" s="50"/>
      <c r="AN83" s="50"/>
      <c r="AO83" s="50"/>
      <c r="AP83" s="50"/>
      <c r="AQ83" s="50"/>
      <c r="AR83" s="50"/>
      <c r="AS83" s="50"/>
      <c r="AT83" s="50"/>
      <c r="AV83" s="50"/>
      <c r="AW83" s="50"/>
      <c r="AX83" s="50"/>
      <c r="AY83" s="50"/>
      <c r="AZ83" s="50"/>
      <c r="BA83" s="50"/>
      <c r="BB83" s="50"/>
      <c r="BC83" s="50"/>
      <c r="BD83" s="50"/>
      <c r="BE83" s="50"/>
      <c r="BF83" s="50"/>
      <c r="BG83" s="50"/>
      <c r="BH83" s="50"/>
      <c r="BI83" s="50"/>
      <c r="BJ83" s="50"/>
      <c r="BK83" s="50"/>
      <c r="BL83" s="50"/>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row>
    <row r="84" spans="1:127" x14ac:dyDescent="0.25">
      <c r="A84" s="48"/>
      <c r="G84" s="46"/>
      <c r="H84" s="46"/>
      <c r="I84" s="46"/>
      <c r="J84" s="46"/>
      <c r="K84" s="46"/>
      <c r="L84" s="46"/>
      <c r="M84" s="46"/>
      <c r="N84" s="46"/>
      <c r="O84" s="46"/>
      <c r="P84" s="46"/>
      <c r="Q84" s="46"/>
      <c r="R84" s="46"/>
      <c r="S84" s="46"/>
      <c r="AG84" s="50"/>
      <c r="AH84" s="50"/>
      <c r="AI84" s="50"/>
      <c r="AJ84" s="50"/>
      <c r="AK84" s="50"/>
      <c r="AL84" s="50"/>
      <c r="AM84" s="50"/>
      <c r="AN84" s="50"/>
      <c r="AO84" s="50"/>
      <c r="AP84" s="50"/>
      <c r="AQ84" s="50"/>
      <c r="AR84" s="50"/>
      <c r="AS84" s="50"/>
      <c r="AT84" s="50"/>
      <c r="AV84" s="50"/>
      <c r="AW84" s="50"/>
      <c r="AX84" s="50"/>
      <c r="AY84" s="50"/>
      <c r="AZ84" s="50"/>
      <c r="BA84" s="50"/>
      <c r="BB84" s="50"/>
      <c r="BC84" s="50"/>
      <c r="BD84" s="50"/>
      <c r="BE84" s="50"/>
      <c r="BF84" s="50"/>
      <c r="BG84" s="50"/>
      <c r="BH84" s="50"/>
      <c r="BI84" s="50"/>
      <c r="BJ84" s="50"/>
      <c r="BK84" s="50"/>
      <c r="BL84" s="50"/>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row>
    <row r="85" spans="1:127" x14ac:dyDescent="0.25">
      <c r="A85" s="48"/>
      <c r="G85" s="46"/>
      <c r="H85" s="46"/>
      <c r="I85" s="46"/>
      <c r="J85" s="46"/>
      <c r="K85" s="46"/>
      <c r="L85" s="46"/>
      <c r="M85" s="46"/>
      <c r="N85" s="46"/>
      <c r="O85" s="46"/>
      <c r="P85" s="46"/>
      <c r="Q85" s="46"/>
      <c r="R85" s="46"/>
      <c r="S85" s="46"/>
      <c r="AG85" s="50"/>
      <c r="AH85" s="50"/>
      <c r="AI85" s="50"/>
      <c r="AJ85" s="50"/>
      <c r="AK85" s="50"/>
      <c r="AL85" s="50"/>
      <c r="AM85" s="50"/>
      <c r="AN85" s="50"/>
      <c r="AO85" s="50"/>
      <c r="AP85" s="50"/>
      <c r="AQ85" s="50"/>
      <c r="AR85" s="50"/>
      <c r="AS85" s="50"/>
      <c r="AT85" s="50"/>
      <c r="AV85" s="50"/>
      <c r="AW85" s="50"/>
      <c r="AX85" s="50"/>
      <c r="AY85" s="50"/>
      <c r="AZ85" s="50"/>
      <c r="BA85" s="50"/>
      <c r="BB85" s="50"/>
      <c r="BC85" s="50"/>
      <c r="BD85" s="50"/>
      <c r="BE85" s="50"/>
      <c r="BF85" s="50"/>
      <c r="BG85" s="50"/>
      <c r="BH85" s="50"/>
      <c r="BI85" s="50"/>
      <c r="BJ85" s="50"/>
      <c r="BK85" s="50"/>
      <c r="BL85" s="50"/>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row>
  </sheetData>
  <autoFilter ref="A1:DW85" xr:uid="{00000000-0009-0000-0000-000001000000}">
    <sortState xmlns:xlrd2="http://schemas.microsoft.com/office/spreadsheetml/2017/richdata2" ref="A2:DW85">
      <sortCondition ref="A1:A85"/>
    </sortState>
  </autoFilter>
  <conditionalFormatting sqref="F1:R69">
    <cfRule type="colorScale" priority="2056">
      <colorScale>
        <cfvo type="min"/>
        <cfvo type="max"/>
        <color rgb="FFFCFCFF"/>
        <color rgb="FF63BE7B"/>
      </colorScale>
    </cfRule>
  </conditionalFormatting>
  <conditionalFormatting sqref="BM1:BM1048576">
    <cfRule type="colorScale" priority="1">
      <colorScale>
        <cfvo type="min"/>
        <cfvo type="max"/>
        <color rgb="FFFCFCFF"/>
        <color rgb="FF63BE7B"/>
      </colorScale>
    </cfRule>
  </conditionalFormatting>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H211"/>
  <sheetViews>
    <sheetView zoomScaleNormal="100" workbookViewId="0">
      <pane ySplit="1" topLeftCell="A2" activePane="bottomLeft" state="frozen"/>
      <selection pane="bottomLeft"/>
    </sheetView>
  </sheetViews>
  <sheetFormatPr defaultRowHeight="15" x14ac:dyDescent="0.25"/>
  <cols>
    <col min="1" max="1" width="14.7109375" customWidth="1"/>
    <col min="3" max="3" width="9.140625" style="99"/>
    <col min="4" max="4" width="14.7109375" style="99" customWidth="1"/>
    <col min="28" max="28" width="9" style="1"/>
    <col min="32" max="33" width="9"/>
    <col min="48" max="48" width="9"/>
    <col min="92" max="109" width="0" hidden="1" customWidth="1"/>
    <col min="112" max="116" width="9.140625" style="101"/>
    <col min="117" max="117" width="9.140625" style="100"/>
    <col min="118" max="118" width="9.140625" style="101"/>
    <col min="119" max="119" width="9.140625" style="100"/>
    <col min="120" max="120" width="9.140625" style="46"/>
    <col min="121" max="121" width="9.140625" style="101"/>
  </cols>
  <sheetData>
    <row r="1" spans="1:190" x14ac:dyDescent="0.25">
      <c r="A1" s="5" t="s">
        <v>81</v>
      </c>
      <c r="B1" s="1" t="s">
        <v>114</v>
      </c>
      <c r="C1" s="98" t="s">
        <v>94</v>
      </c>
      <c r="D1" s="98" t="s">
        <v>102</v>
      </c>
      <c r="E1" s="31" t="s">
        <v>115</v>
      </c>
      <c r="F1" s="22" t="s">
        <v>117</v>
      </c>
      <c r="G1" s="22" t="s">
        <v>118</v>
      </c>
      <c r="H1" s="22" t="s">
        <v>119</v>
      </c>
      <c r="I1" s="22" t="s">
        <v>120</v>
      </c>
      <c r="J1" s="22" t="s">
        <v>21</v>
      </c>
      <c r="K1" s="22" t="s">
        <v>22</v>
      </c>
      <c r="L1" s="22" t="s">
        <v>23</v>
      </c>
      <c r="M1" s="22" t="s">
        <v>24</v>
      </c>
      <c r="N1" s="22" t="s">
        <v>121</v>
      </c>
      <c r="O1" s="22" t="s">
        <v>122</v>
      </c>
      <c r="P1" s="22" t="s">
        <v>123</v>
      </c>
      <c r="Q1" s="22" t="s">
        <v>124</v>
      </c>
      <c r="R1" s="22" t="s">
        <v>29</v>
      </c>
      <c r="S1" s="1" t="s">
        <v>31</v>
      </c>
      <c r="T1" s="8"/>
      <c r="U1" s="1" t="s">
        <v>125</v>
      </c>
      <c r="V1" s="1" t="s">
        <v>126</v>
      </c>
      <c r="W1" s="1" t="s">
        <v>127</v>
      </c>
      <c r="X1" s="1" t="s">
        <v>128</v>
      </c>
      <c r="Y1" s="1" t="s">
        <v>129</v>
      </c>
      <c r="Z1" s="1" t="s">
        <v>130</v>
      </c>
      <c r="AA1" s="1" t="s">
        <v>131</v>
      </c>
      <c r="AB1" s="1" t="s">
        <v>132</v>
      </c>
      <c r="AC1" s="1" t="s">
        <v>133</v>
      </c>
      <c r="AD1" s="1" t="s">
        <v>134</v>
      </c>
      <c r="AE1" s="4" t="s">
        <v>135</v>
      </c>
      <c r="AF1" s="26" t="s">
        <v>136</v>
      </c>
      <c r="AG1" s="26" t="s">
        <v>137</v>
      </c>
      <c r="AH1" s="26" t="s">
        <v>138</v>
      </c>
      <c r="AI1" s="26" t="s">
        <v>139</v>
      </c>
      <c r="AJ1" s="26" t="s">
        <v>140</v>
      </c>
      <c r="AK1" s="26" t="s">
        <v>141</v>
      </c>
      <c r="AL1" s="26" t="s">
        <v>142</v>
      </c>
      <c r="AM1" s="26" t="s">
        <v>143</v>
      </c>
      <c r="AN1" s="26" t="s">
        <v>144</v>
      </c>
      <c r="AO1" s="26" t="s">
        <v>145</v>
      </c>
      <c r="AP1" s="26" t="s">
        <v>146</v>
      </c>
      <c r="AQ1" s="26" t="s">
        <v>30</v>
      </c>
      <c r="AR1" s="26" t="s">
        <v>29</v>
      </c>
      <c r="AS1" s="26" t="s">
        <v>147</v>
      </c>
      <c r="AT1" s="26" t="s">
        <v>189</v>
      </c>
      <c r="AU1" s="26" t="s">
        <v>190</v>
      </c>
      <c r="AV1" s="4" t="s">
        <v>148</v>
      </c>
      <c r="AW1" s="26" t="s">
        <v>136</v>
      </c>
      <c r="AX1" s="26" t="s">
        <v>137</v>
      </c>
      <c r="AY1" s="26" t="s">
        <v>138</v>
      </c>
      <c r="AZ1" s="26" t="s">
        <v>139</v>
      </c>
      <c r="BA1" s="26" t="s">
        <v>149</v>
      </c>
      <c r="BB1" s="26" t="s">
        <v>150</v>
      </c>
      <c r="BC1" s="26" t="s">
        <v>141</v>
      </c>
      <c r="BD1" s="26" t="s">
        <v>142</v>
      </c>
      <c r="BE1" s="26" t="s">
        <v>143</v>
      </c>
      <c r="BF1" s="26" t="s">
        <v>144</v>
      </c>
      <c r="BG1" s="26" t="s">
        <v>145</v>
      </c>
      <c r="BH1" s="26" t="s">
        <v>146</v>
      </c>
      <c r="BI1" s="26" t="s">
        <v>30</v>
      </c>
      <c r="BJ1" s="26" t="s">
        <v>29</v>
      </c>
      <c r="BK1" s="25" t="s">
        <v>147</v>
      </c>
      <c r="BL1" s="24" t="s">
        <v>151</v>
      </c>
      <c r="BM1" s="26" t="s">
        <v>189</v>
      </c>
      <c r="BN1" s="26" t="s">
        <v>190</v>
      </c>
      <c r="BO1" s="4"/>
      <c r="BP1" s="27" t="s">
        <v>191</v>
      </c>
      <c r="BQ1" s="1" t="s">
        <v>192</v>
      </c>
      <c r="BR1" s="1" t="s">
        <v>193</v>
      </c>
      <c r="BS1" s="32" t="s">
        <v>194</v>
      </c>
      <c r="BT1" s="33" t="s">
        <v>195</v>
      </c>
      <c r="BU1" s="34" t="s">
        <v>196</v>
      </c>
      <c r="BV1" s="34" t="s">
        <v>197</v>
      </c>
      <c r="BW1" s="34" t="s">
        <v>198</v>
      </c>
      <c r="BX1" s="34" t="s">
        <v>199</v>
      </c>
      <c r="BY1" s="34" t="s">
        <v>200</v>
      </c>
      <c r="BZ1" s="34" t="s">
        <v>201</v>
      </c>
      <c r="CA1" s="32" t="s">
        <v>202</v>
      </c>
      <c r="CB1" s="1" t="s">
        <v>203</v>
      </c>
      <c r="CC1" s="1" t="s">
        <v>204</v>
      </c>
      <c r="CD1" s="1" t="s">
        <v>205</v>
      </c>
      <c r="CE1" s="1" t="s">
        <v>198</v>
      </c>
      <c r="CF1" s="1" t="s">
        <v>206</v>
      </c>
      <c r="CG1" s="1" t="s">
        <v>207</v>
      </c>
      <c r="CH1" s="1" t="s">
        <v>208</v>
      </c>
      <c r="CI1" s="1" t="s">
        <v>209</v>
      </c>
      <c r="CJ1" s="32" t="s">
        <v>210</v>
      </c>
      <c r="CK1" s="1" t="s">
        <v>211</v>
      </c>
      <c r="CL1" s="1" t="s">
        <v>212</v>
      </c>
      <c r="CM1" s="1" t="s">
        <v>213</v>
      </c>
      <c r="CN1" s="4" t="s">
        <v>153</v>
      </c>
      <c r="CO1" s="1" t="s">
        <v>136</v>
      </c>
      <c r="CP1" s="1" t="s">
        <v>137</v>
      </c>
      <c r="CQ1" s="1" t="s">
        <v>138</v>
      </c>
      <c r="CR1" s="1" t="s">
        <v>139</v>
      </c>
      <c r="CS1" s="1" t="s">
        <v>140</v>
      </c>
      <c r="CT1" s="1" t="s">
        <v>141</v>
      </c>
      <c r="CU1" s="1" t="s">
        <v>142</v>
      </c>
      <c r="CV1" s="1" t="s">
        <v>143</v>
      </c>
      <c r="CW1" s="1" t="s">
        <v>144</v>
      </c>
      <c r="CX1" s="1" t="s">
        <v>145</v>
      </c>
      <c r="CY1" s="1" t="s">
        <v>146</v>
      </c>
      <c r="CZ1" s="1" t="s">
        <v>30</v>
      </c>
      <c r="DA1" s="1" t="s">
        <v>29</v>
      </c>
      <c r="DB1" s="1" t="s">
        <v>147</v>
      </c>
      <c r="DC1" s="1" t="s">
        <v>151</v>
      </c>
      <c r="DD1" s="1" t="s">
        <v>154</v>
      </c>
      <c r="DE1" s="1" t="s">
        <v>155</v>
      </c>
      <c r="DF1" s="4" t="s">
        <v>156</v>
      </c>
      <c r="DG1" s="22" t="s">
        <v>157</v>
      </c>
      <c r="DH1" s="14" t="s">
        <v>144</v>
      </c>
      <c r="DI1" s="14" t="s">
        <v>142</v>
      </c>
      <c r="DJ1" s="14" t="s">
        <v>138</v>
      </c>
      <c r="DK1" s="14" t="s">
        <v>136</v>
      </c>
      <c r="DL1" s="14" t="s">
        <v>143</v>
      </c>
      <c r="DM1" s="96" t="s">
        <v>108</v>
      </c>
      <c r="DN1" s="14" t="s">
        <v>137</v>
      </c>
      <c r="DO1" s="96" t="s">
        <v>158</v>
      </c>
      <c r="DP1" s="22" t="s">
        <v>139</v>
      </c>
      <c r="DQ1" s="14" t="s">
        <v>141</v>
      </c>
      <c r="DR1" s="22" t="s">
        <v>159</v>
      </c>
      <c r="DS1" s="22" t="s">
        <v>160</v>
      </c>
      <c r="DT1" s="22" t="s">
        <v>161</v>
      </c>
      <c r="DU1" s="22" t="s">
        <v>162</v>
      </c>
      <c r="DV1" s="22" t="s">
        <v>163</v>
      </c>
      <c r="DW1" s="22" t="s">
        <v>109</v>
      </c>
      <c r="DX1" s="22" t="s">
        <v>109</v>
      </c>
      <c r="DY1" s="22" t="s">
        <v>110</v>
      </c>
      <c r="DZ1" s="22" t="s">
        <v>111</v>
      </c>
      <c r="EA1" s="22" t="s">
        <v>112</v>
      </c>
      <c r="EB1" s="22" t="s">
        <v>164</v>
      </c>
      <c r="EC1" s="22" t="s">
        <v>113</v>
      </c>
      <c r="ED1" s="22" t="s">
        <v>165</v>
      </c>
      <c r="EE1" s="22" t="s">
        <v>166</v>
      </c>
      <c r="EF1" s="22" t="s">
        <v>167</v>
      </c>
      <c r="EG1" s="22" t="s">
        <v>168</v>
      </c>
      <c r="EH1" s="22" t="s">
        <v>169</v>
      </c>
      <c r="EI1" s="22" t="s">
        <v>170</v>
      </c>
      <c r="EJ1" s="22" t="s">
        <v>171</v>
      </c>
      <c r="EK1" s="22" t="s">
        <v>172</v>
      </c>
      <c r="EL1" s="22" t="s">
        <v>173</v>
      </c>
      <c r="EM1" s="22" t="s">
        <v>174</v>
      </c>
      <c r="EN1" s="22" t="s">
        <v>175</v>
      </c>
      <c r="EO1" s="22" t="s">
        <v>176</v>
      </c>
      <c r="EP1" s="22" t="s">
        <v>177</v>
      </c>
      <c r="EQ1" s="22" t="s">
        <v>178</v>
      </c>
      <c r="ER1" s="22" t="s">
        <v>179</v>
      </c>
      <c r="ES1" s="22" t="s">
        <v>180</v>
      </c>
      <c r="ET1" s="22" t="s">
        <v>181</v>
      </c>
      <c r="EU1" s="22" t="s">
        <v>182</v>
      </c>
      <c r="EV1" s="22" t="s">
        <v>183</v>
      </c>
      <c r="EW1" s="22" t="s">
        <v>214</v>
      </c>
      <c r="EX1" s="22"/>
      <c r="EY1" s="22" t="s">
        <v>215</v>
      </c>
      <c r="EZ1" s="22" t="s">
        <v>216</v>
      </c>
      <c r="FA1" s="22" t="s">
        <v>217</v>
      </c>
      <c r="FB1" s="22" t="s">
        <v>218</v>
      </c>
      <c r="FC1" s="22"/>
      <c r="FD1" s="22" t="s">
        <v>219</v>
      </c>
      <c r="FE1" s="22" t="s">
        <v>220</v>
      </c>
      <c r="FF1" s="22" t="s">
        <v>221</v>
      </c>
      <c r="FG1" s="22" t="s">
        <v>222</v>
      </c>
      <c r="FH1" s="22" t="s">
        <v>223</v>
      </c>
      <c r="FI1" s="22" t="s">
        <v>224</v>
      </c>
      <c r="FJ1" s="22" t="s">
        <v>224</v>
      </c>
      <c r="FK1" s="22" t="s">
        <v>225</v>
      </c>
      <c r="FL1" s="22" t="s">
        <v>226</v>
      </c>
      <c r="FM1" s="22" t="s">
        <v>227</v>
      </c>
      <c r="FN1" s="22" t="s">
        <v>228</v>
      </c>
      <c r="FO1" s="22" t="s">
        <v>229</v>
      </c>
      <c r="FP1" s="22" t="s">
        <v>230</v>
      </c>
      <c r="FQ1" s="46" t="s">
        <v>231</v>
      </c>
      <c r="FR1" s="46" t="s">
        <v>232</v>
      </c>
      <c r="FS1" s="46" t="s">
        <v>233</v>
      </c>
      <c r="FT1" s="46" t="s">
        <v>234</v>
      </c>
      <c r="FU1" s="46" t="s">
        <v>235</v>
      </c>
      <c r="FV1" s="46" t="s">
        <v>236</v>
      </c>
      <c r="FW1" s="46" t="s">
        <v>237</v>
      </c>
      <c r="FX1" s="46" t="s">
        <v>238</v>
      </c>
      <c r="FY1" s="46" t="s">
        <v>239</v>
      </c>
      <c r="FZ1" s="46" t="s">
        <v>240</v>
      </c>
      <c r="GA1" s="46" t="s">
        <v>241</v>
      </c>
      <c r="GB1" s="46" t="s">
        <v>242</v>
      </c>
      <c r="GC1" s="46" t="s">
        <v>243</v>
      </c>
      <c r="GD1" s="46" t="s">
        <v>244</v>
      </c>
      <c r="GE1" s="46" t="s">
        <v>245</v>
      </c>
      <c r="GF1" s="46" t="s">
        <v>246</v>
      </c>
      <c r="GG1" s="46" t="s">
        <v>247</v>
      </c>
      <c r="GH1" s="46" t="s">
        <v>248</v>
      </c>
    </row>
    <row r="2" spans="1:190" x14ac:dyDescent="0.25">
      <c r="A2" s="5" t="s">
        <v>82</v>
      </c>
      <c r="B2" s="1">
        <v>4</v>
      </c>
      <c r="C2" s="98" t="s">
        <v>95</v>
      </c>
      <c r="D2" s="98" t="s">
        <v>103</v>
      </c>
      <c r="E2" s="1">
        <v>35</v>
      </c>
      <c r="F2" s="22">
        <v>52.63</v>
      </c>
      <c r="G2" s="22">
        <v>0.33500000000000002</v>
      </c>
      <c r="H2" s="22">
        <v>3.14</v>
      </c>
      <c r="I2" s="22">
        <v>0.40200000000000002</v>
      </c>
      <c r="J2" s="22">
        <v>4.82</v>
      </c>
      <c r="K2" s="22">
        <v>0.13900000000000001</v>
      </c>
      <c r="L2" s="22">
        <v>16.37</v>
      </c>
      <c r="M2" s="22">
        <v>21.71</v>
      </c>
      <c r="N2" s="22">
        <v>0.23799999999999999</v>
      </c>
      <c r="O2" s="22">
        <v>8.0000000000000002E-3</v>
      </c>
      <c r="P2" s="22">
        <v>0</v>
      </c>
      <c r="Q2" s="22"/>
      <c r="R2" s="22"/>
      <c r="S2" s="22">
        <f t="shared" ref="S2:S65" si="0">SUM(F2:R2)</f>
        <v>99.792000000000016</v>
      </c>
      <c r="T2" s="3"/>
      <c r="U2" s="22">
        <f t="shared" ref="U2:U65" si="1">J2*BA2/(BA2+BB2)</f>
        <v>4.82</v>
      </c>
      <c r="V2" s="22">
        <f t="shared" ref="V2:V65" si="2">1.1113*J2*BB2/(BA2+BB2)</f>
        <v>0</v>
      </c>
      <c r="W2" s="22">
        <f t="shared" ref="W2:W65" si="3">SUM(F2:I2)+SUM(K2:R2)+SUM(U2:V2)</f>
        <v>99.792000000000002</v>
      </c>
      <c r="X2" s="1"/>
      <c r="Y2" s="1"/>
      <c r="Z2" s="1"/>
      <c r="AA2" s="1" t="s">
        <v>185</v>
      </c>
      <c r="AC2" s="1">
        <v>6</v>
      </c>
      <c r="AD2" s="1">
        <v>4</v>
      </c>
      <c r="AE2" s="1"/>
      <c r="AF2" s="26">
        <f t="shared" ref="AF2:AF65" si="4">CO2*($AC2/$DC2)</f>
        <v>1.9273853487217854</v>
      </c>
      <c r="AG2" s="26">
        <f t="shared" ref="AG2:AG65" si="5">CP2*($AC2/$DC2)</f>
        <v>9.2272408795250702E-3</v>
      </c>
      <c r="AH2" s="26">
        <f t="shared" ref="AH2:AH65" si="6">CQ2*($AC2/$DC2)</f>
        <v>0.13551735738178231</v>
      </c>
      <c r="AI2" s="26">
        <f t="shared" ref="AI2:AI65" si="7">CR2*($AC2/$DC2)</f>
        <v>1.163874467725186E-2</v>
      </c>
      <c r="AJ2" s="26">
        <f t="shared" ref="AJ2:AJ65" si="8">CS2*($AC2/$DC2)</f>
        <v>0.14759966543151259</v>
      </c>
      <c r="AK2" s="26">
        <f t="shared" ref="AK2:AK65" si="9">CT2*($AC2/$DC2)</f>
        <v>4.3111062197799411E-3</v>
      </c>
      <c r="AL2" s="26">
        <f t="shared" ref="AL2:AL65" si="10">CU2*($AC2/$DC2)</f>
        <v>0.89373494787913743</v>
      </c>
      <c r="AM2" s="26">
        <f t="shared" ref="AM2:AM65" si="11">CV2*($AC2/$DC2)</f>
        <v>0.85175938167329202</v>
      </c>
      <c r="AN2" s="26">
        <f t="shared" ref="AN2:AN65" si="12">CW2*($AC2/$DC2)</f>
        <v>1.6897423468007312E-2</v>
      </c>
      <c r="AO2" s="26">
        <f t="shared" ref="AO2:AO65" si="13">CX2*($AC2/$DC2)</f>
        <v>3.7370954220310556E-4</v>
      </c>
      <c r="AP2" s="26">
        <f t="shared" ref="AP2:AP65" si="14">CY2*($AC2/$DC2)</f>
        <v>0</v>
      </c>
      <c r="AQ2" s="26">
        <f t="shared" ref="AQ2:AQ65" si="15">CZ2*($AC2/$DC2)</f>
        <v>0</v>
      </c>
      <c r="AR2" s="26">
        <f t="shared" ref="AR2:AR65" si="16">DA2*($AC2/$DC2)</f>
        <v>0</v>
      </c>
      <c r="AS2" s="26">
        <f t="shared" ref="AS2:AS65" si="17">SUM(AF2:AQ2)</f>
        <v>3.9984449258742769</v>
      </c>
      <c r="AT2" s="26">
        <f t="shared" ref="AT2:AT65" si="18">AF2+AH2</f>
        <v>2.0629027061035679</v>
      </c>
      <c r="AU2" s="26">
        <f t="shared" ref="AU2:AU65" si="19">SUM(AM2:AO2)</f>
        <v>0.86903051468350234</v>
      </c>
      <c r="AV2" s="47"/>
      <c r="AW2" s="26">
        <f t="shared" ref="AW2:AW65" si="20">IF($AD2&gt;0,CO2*$DD2,"")</f>
        <v>1.928134946913497</v>
      </c>
      <c r="AX2" s="26">
        <f t="shared" ref="AX2:AX65" si="21">IF($AD2&gt;0,CP2*$DD2,"")</f>
        <v>9.2308295355674995E-3</v>
      </c>
      <c r="AY2" s="26">
        <f t="shared" ref="AY2:AY65" si="22">IF($AD2&gt;0,CQ2*$DD2,"")</f>
        <v>0.1355700627559859</v>
      </c>
      <c r="AZ2" s="26">
        <f t="shared" ref="AZ2:AZ65" si="23">IF($AD2&gt;0,CR2*$DD2,"")</f>
        <v>1.1643271214703049E-2</v>
      </c>
      <c r="BA2" s="26">
        <f t="shared" ref="BA2:BA65" si="24">IF($AD2&gt;0 +N("so a blank cell if no ideal cations set"),                         CS2*DD2-BB2,"")</f>
        <v>0.14765706985371496</v>
      </c>
      <c r="BB2" s="26">
        <f t="shared" ref="BB2:BB65" si="25">IF($AD2&gt;0 +N("so a blank cell if no ideal cations set"),                                                                     IF(AS2&gt;AD2,                          IF(  2*AC2*(1-(AD2/AS2))   &lt;   CS2*DD2,    2*AC2*(1-(AD2/AS2)),    CS2*DD2),0),"")</f>
        <v>0</v>
      </c>
      <c r="BC2" s="26">
        <f t="shared" ref="BC2:BC65" si="26">IF($AD2&gt;0,CT2*$DD2,"")</f>
        <v>4.312782894052041E-3</v>
      </c>
      <c r="BD2" s="26">
        <f t="shared" ref="BD2:BD65" si="27">IF($AD2&gt;0,CU2*$DD2,"")</f>
        <v>0.89408253903481583</v>
      </c>
      <c r="BE2" s="26">
        <f t="shared" ref="BE2:BE65" si="28">IF($AD2&gt;0,CV2*$DD2,"")</f>
        <v>0.85209064770304543</v>
      </c>
      <c r="BF2" s="26">
        <f t="shared" ref="BF2:BF65" si="29">IF($AD2&gt;0,CW2*$DD2,"")</f>
        <v>1.6903995209400179E-2</v>
      </c>
      <c r="BG2" s="26">
        <f t="shared" ref="BG2:BG65" si="30">IF($AD2&gt;0,CX2*$DD2,"")</f>
        <v>3.7385488521779985E-4</v>
      </c>
      <c r="BH2" s="26">
        <f t="shared" ref="BH2:BH65" si="31">IF($AD2&gt;0,CY2*$DD2,"")</f>
        <v>0</v>
      </c>
      <c r="BI2" s="26">
        <f t="shared" ref="BI2:BI65" si="32">IF($AD2&gt;0,CZ2*$DD2,"")</f>
        <v>0</v>
      </c>
      <c r="BJ2" s="26">
        <f t="shared" ref="BJ2:BJ65" si="33">IF($AD2&gt;0,DA2*$DD2,"")</f>
        <v>0</v>
      </c>
      <c r="BK2" s="25">
        <f t="shared" ref="BK2:BK65" si="34">IF(AD2&gt;0,SUM(AW2:BI2),"")</f>
        <v>3.9999999999999996</v>
      </c>
      <c r="BL2" s="24">
        <f t="shared" ref="BL2:BL65" si="35">(AW2+AX2)*2+(AY2+AZ2+BB2)*1.5+BA2+BC2+BD2+BE2+(BF2+BG2)*0.5+BH2*2.5+BI2*3  -(0.5*(BJ2))</f>
        <v>6.0023335183871005</v>
      </c>
      <c r="BM2" s="26">
        <f t="shared" ref="BM2:BM65" si="36">IF(AD2&gt;0,AW2+AY2,"")</f>
        <v>2.0637050096694827</v>
      </c>
      <c r="BN2" s="26">
        <f t="shared" ref="BN2:BN65" si="37">IF(AD2&gt;0,SUM(BE2:BG2),"")</f>
        <v>0.86936849779766345</v>
      </c>
      <c r="BO2" s="22"/>
      <c r="BP2" s="23">
        <f t="shared" ref="BP2:BP65" si="38">AL2/(AL2+AJ2)</f>
        <v>0.8582591382780812</v>
      </c>
      <c r="BQ2" s="26">
        <f t="shared" ref="BQ2:BQ65" si="39">IF(2-AW2&gt;0,2-AW2,0)</f>
        <v>7.1865053086503039E-2</v>
      </c>
      <c r="BR2" s="26">
        <f t="shared" ref="BR2:BR65" si="40">IF(AY2-BQ2&gt;0,AY2-BQ2,0)</f>
        <v>6.3705009669482865E-2</v>
      </c>
      <c r="BS2" s="26"/>
      <c r="BT2" s="26">
        <f t="shared" ref="BT2:BT65" si="41">IF(AN2&lt;BR2,AN2,BR2)</f>
        <v>1.6897423468007312E-2</v>
      </c>
      <c r="BU2" s="26">
        <f t="shared" ref="BU2:BU65" si="42">IF(AN2&lt;BR2,BR2-BF2,0)</f>
        <v>4.6801014460082682E-2</v>
      </c>
      <c r="BV2" s="26">
        <f t="shared" ref="BV2:BV65" si="43">IF(BR2&gt;BU2,BR2-BU2/2,0)</f>
        <v>4.0304502439441524E-2</v>
      </c>
      <c r="BW2" s="26">
        <f t="shared" ref="BW2:BW65" si="44">AI2/2</f>
        <v>5.81937233862593E-3</v>
      </c>
      <c r="BX2" s="26">
        <f t="shared" ref="BX2:BX65" si="45">IF(AM2-BU2-BV2-BW2&gt;0,AM2-BU2-BV2-BW2,0)</f>
        <v>0.75883449243514189</v>
      </c>
      <c r="BY2" s="26">
        <f t="shared" ref="BY2:BY65" si="46">((AJ2+AL2)-BX2)/2</f>
        <v>0.14125006043775407</v>
      </c>
      <c r="BZ2" s="26">
        <f t="shared" ref="BZ2:BZ65" si="47">SUM(BT2:BY2)</f>
        <v>1.0099068655790535</v>
      </c>
      <c r="CA2" s="22"/>
      <c r="CB2" s="22">
        <f t="shared" ref="CB2:CB65" si="48">IF($BB2&gt;0,IF($BB2&lt;$BF2,$BB2,$BF2),0)</f>
        <v>0</v>
      </c>
      <c r="CC2" s="22">
        <f t="shared" ref="CC2:CC65" si="49">IF(BR2&lt;(BF2-CB2),BR2,(BF2-CB2))</f>
        <v>1.6903995209400179E-2</v>
      </c>
      <c r="CD2" s="22">
        <f t="shared" ref="CD2:CD65" si="50">IF($BB2&gt;0,$BB2-$CB2,0)</f>
        <v>0</v>
      </c>
      <c r="CE2" s="22">
        <f t="shared" ref="CE2:CE65" si="51">AZ2</f>
        <v>1.1643271214703049E-2</v>
      </c>
      <c r="CF2" s="22">
        <f t="shared" ref="CF2:CF65" si="52">BR2-CC2</f>
        <v>4.6801014460082682E-2</v>
      </c>
      <c r="CG2" s="22">
        <f t="shared" ref="CG2:CG65" si="53">(BE2+CB2-SUM(CD2:CF2))/2</f>
        <v>0.39682318101412983</v>
      </c>
      <c r="CH2" s="22">
        <f t="shared" ref="CH2:CH65" si="54">(1-CG2)*(1-(BA2/(BA2+BD2)))</f>
        <v>0.51768201689212712</v>
      </c>
      <c r="CI2" s="22">
        <f t="shared" ref="CI2:CI65" si="55">(1-CG2)*(BA2/(BA2+BD2))</f>
        <v>8.5494802093743036E-2</v>
      </c>
      <c r="CJ2" s="22"/>
      <c r="CK2" s="22">
        <f t="shared" ref="CK2:CK65" si="56">BE2/(BE2+BD2+BA2+BB2+BC2)</f>
        <v>0.44890750063491036</v>
      </c>
      <c r="CL2" s="22">
        <f t="shared" ref="CL2:CL65" si="57">BD2/(BE2+BD2+BA2+BB2+BC2)</f>
        <v>0.47103011756010776</v>
      </c>
      <c r="CM2" s="22">
        <f t="shared" ref="CM2:CM65" si="58">(BA2+BB2+BC2)/(BE2+BD2+BA2+BB2+BC2)</f>
        <v>8.0062381804981791E-2</v>
      </c>
      <c r="CN2" s="1"/>
      <c r="CO2" s="26">
        <f t="shared" ref="CO2:CO65" si="59">F2/60.08</f>
        <v>0.8759986684420773</v>
      </c>
      <c r="CP2" s="26">
        <f t="shared" ref="CP2:CP65" si="60">G2/79.88</f>
        <v>4.1937906860290437E-3</v>
      </c>
      <c r="CQ2" s="26">
        <f t="shared" ref="CQ2:CQ65" si="61">H2/101.96*2</f>
        <v>6.159278148293449E-2</v>
      </c>
      <c r="CR2" s="26">
        <f t="shared" ref="CR2:CR65" si="62">I2/151.99*2</f>
        <v>5.2898216987959734E-3</v>
      </c>
      <c r="CS2" s="26">
        <f t="shared" ref="CS2:CS65" si="63">J2/71.85</f>
        <v>6.708420320111344E-2</v>
      </c>
      <c r="CT2" s="26">
        <f t="shared" ref="CT2:CT65" si="64">K2/70.94</f>
        <v>1.9594023118127998E-3</v>
      </c>
      <c r="CU2" s="26">
        <f t="shared" ref="CU2:CU65" si="65">L2/40.3</f>
        <v>0.40620347394540951</v>
      </c>
      <c r="CV2" s="26">
        <f t="shared" ref="CV2:CV65" si="66">M2/56.08</f>
        <v>0.38712553495007135</v>
      </c>
      <c r="CW2" s="26">
        <f t="shared" ref="CW2:CW65" si="67">N2/61.98*2</f>
        <v>7.6798967408841564E-3</v>
      </c>
      <c r="CX2" s="26">
        <f t="shared" ref="CX2:CX65" si="68">O2/94.2*2</f>
        <v>1.6985138004246286E-4</v>
      </c>
      <c r="CY2" s="26">
        <f t="shared" ref="CY2:CY65" si="69">P2/141.94*2</f>
        <v>0</v>
      </c>
      <c r="CZ2" s="26">
        <f t="shared" ref="CZ2:CZ65" si="70">Q2/80.06</f>
        <v>0</v>
      </c>
      <c r="DA2" s="26">
        <f t="shared" ref="DA2:DA65" si="71">R2/35.45</f>
        <v>0</v>
      </c>
      <c r="DB2" s="26">
        <f t="shared" ref="DB2:DB65" si="72">SUM(CO2:CZ2)</f>
        <v>1.8172974248391707</v>
      </c>
      <c r="DC2" s="26">
        <f t="shared" ref="DC2:DC65" si="73">(CO2+CP2)*2+(CQ2+CR2)*1.5+CS2+CT2+CU2+CV2+(CW2+CX2)*0.5+CY2*2.5+CZ2*3+     -(0.5*(DA2))</f>
        <v>2.727006311497679</v>
      </c>
      <c r="DD2" s="26">
        <f t="shared" ref="DD2:DD65" si="74">AD2/DB2</f>
        <v>2.2010706367197965</v>
      </c>
      <c r="DE2" s="26">
        <f t="shared" ref="DE2:DE65" si="75">DC2*DD2</f>
        <v>6.0023335183871005</v>
      </c>
      <c r="DF2" s="1"/>
      <c r="DG2" s="22">
        <v>0.88209370873598181</v>
      </c>
      <c r="DH2" s="14">
        <v>1484.0703041855197</v>
      </c>
      <c r="DI2" s="14">
        <v>99098.569960695313</v>
      </c>
      <c r="DJ2" s="14">
        <v>16945.615535923822</v>
      </c>
      <c r="DK2" s="14">
        <v>244159.91480649443</v>
      </c>
      <c r="DL2" s="14">
        <v>158013.94385788098</v>
      </c>
      <c r="DM2" s="96">
        <v>116.95070939038733</v>
      </c>
      <c r="DN2" s="14">
        <v>2258.8897571869857</v>
      </c>
      <c r="DO2" s="96">
        <v>289.02105424281262</v>
      </c>
      <c r="DP2" s="22">
        <v>749.0543293548069</v>
      </c>
      <c r="DQ2" s="14">
        <v>1150.1708373904603</v>
      </c>
      <c r="DR2" s="22">
        <v>36.343801639529545</v>
      </c>
      <c r="DS2" s="22">
        <v>85.734297829071679</v>
      </c>
      <c r="DT2" s="22">
        <v>1.4616883910345411</v>
      </c>
      <c r="DU2" s="22">
        <v>21.130197816639956</v>
      </c>
      <c r="DV2" s="22">
        <v>0</v>
      </c>
      <c r="DW2" s="22">
        <v>15.909921155783787</v>
      </c>
      <c r="DX2" s="22">
        <v>15.091939075816288</v>
      </c>
      <c r="DY2" s="22">
        <v>8.8255345817197899</v>
      </c>
      <c r="DZ2" s="22">
        <v>6.7921053805009857</v>
      </c>
      <c r="EA2" s="22">
        <v>0</v>
      </c>
      <c r="EB2" s="22">
        <v>0</v>
      </c>
      <c r="EC2" s="22">
        <v>5.3890559771969229E-2</v>
      </c>
      <c r="ED2" s="22">
        <v>0.33920996600207926</v>
      </c>
      <c r="EE2" s="22">
        <v>1.4624328253858736</v>
      </c>
      <c r="EF2" s="22">
        <v>0.2925740735874085</v>
      </c>
      <c r="EG2" s="22">
        <v>1.7962218177476739</v>
      </c>
      <c r="EH2" s="22">
        <v>0.90752869588491825</v>
      </c>
      <c r="EI2" s="22">
        <v>0.28390742635036609</v>
      </c>
      <c r="EJ2" s="22">
        <v>1.7590685332339862</v>
      </c>
      <c r="EK2" s="22">
        <v>0.27433062041887513</v>
      </c>
      <c r="EL2" s="22">
        <v>1.5157281632997592</v>
      </c>
      <c r="EM2" s="22">
        <v>0.42383258820067132</v>
      </c>
      <c r="EN2" s="22">
        <v>1.0270085696303453</v>
      </c>
      <c r="EO2" s="22">
        <v>0.13905453400857384</v>
      </c>
      <c r="EP2" s="22">
        <v>0.81817042673602525</v>
      </c>
      <c r="EQ2" s="22">
        <v>9.7850279555910649E-2</v>
      </c>
      <c r="ER2" s="22">
        <v>0.31207416487008299</v>
      </c>
      <c r="ES2" s="22">
        <v>0</v>
      </c>
      <c r="ET2" s="22">
        <v>0</v>
      </c>
      <c r="EU2" s="22">
        <v>5.2895065343631156E-3</v>
      </c>
      <c r="EV2" s="22">
        <v>1.5426211396226924E-3</v>
      </c>
      <c r="EW2" s="22">
        <f>(EI2/0.05883)/SQRT((EH2/0.1536)*(EJ2/0.2069))</f>
        <v>0.68089821323003918</v>
      </c>
      <c r="EX2" s="22"/>
      <c r="EY2" s="22"/>
      <c r="EZ2" s="22"/>
      <c r="FA2" s="22"/>
      <c r="FB2" s="22"/>
      <c r="FC2" s="22"/>
      <c r="FD2" s="22"/>
      <c r="FE2" s="22"/>
      <c r="FF2" s="22"/>
      <c r="FG2" s="22"/>
      <c r="FH2" s="22"/>
      <c r="FI2" s="22">
        <f>-0.50354-2.23025*BP2+ N("eqn 18 Mg# R2 0.28 best")</f>
        <v>-2.4176724431446903</v>
      </c>
      <c r="FJ2" s="22"/>
      <c r="FK2" s="22">
        <f xml:space="preserve"> -0.03692  +  0.931085 + FX2   + N("488 NN Dy")</f>
        <v>0.41007225619435295</v>
      </c>
      <c r="FL2" s="22">
        <f>-0.48986  +   0    +   (1.071278 + 0) * GD2  +N("eqn 119 LnD Hf  (which has R2 of 0.51 for TS")</f>
        <v>-1.1102014886387277</v>
      </c>
      <c r="FM2" s="22"/>
      <c r="FN2" s="22"/>
      <c r="FO2" s="22">
        <f>3.94011-11.9214*BP2</f>
        <v>-6.291540491068317</v>
      </c>
      <c r="FP2" s="22">
        <f xml:space="preserve">  -0.49862 +   1.013256 * FQ2 + N("294 NN")</f>
        <v>-2.5216539300123357</v>
      </c>
      <c r="FQ2" s="46">
        <f xml:space="preserve">  -0.73306   +   1.025016   *  FS2     +N("316 NN Nd")</f>
        <v>-1.9965674321319942</v>
      </c>
      <c r="FR2" s="46">
        <f xml:space="preserve">  -0.33671   +   1.013871 *  FS2    +N("340 NN")</f>
        <v>-1.5864793145503064</v>
      </c>
      <c r="FS2" s="46">
        <f>-0.42496     +   1.017678*FT2                 + N("361 NN")</f>
        <v>-1.2326709359970909</v>
      </c>
      <c r="FT2" s="46">
        <f xml:space="preserve"> 0.68509  -3.34181 * BP2 + 0.03095*(100*CK2) +N("642 cpx Mg# Wo R2 0.59")</f>
        <v>-0.79368025642402684</v>
      </c>
      <c r="FU2" s="46">
        <f xml:space="preserve"> -0.06599 + 0.926002 * FT2  + N("409 NN")</f>
        <v>-0.80093950480916165</v>
      </c>
      <c r="FV2" s="46">
        <f t="shared" ref="FV2" si="76">0.1453     +   0.925549*FT2     +N("424 LnD Sm")</f>
        <v>-0.58928996765300157</v>
      </c>
      <c r="FW2" s="46">
        <f xml:space="preserve">  0.053547 + 0.932974 * FV2  +  N("445 NN")</f>
        <v>-0.49624521828109147</v>
      </c>
      <c r="FX2" s="46">
        <f xml:space="preserve">  0.027177  +  0.867603 * FV2 + N("464 NN Gd")</f>
        <v>-0.48409274380564715</v>
      </c>
      <c r="FY2" s="46">
        <f xml:space="preserve">  -0.06187  +  0.953618 * FX2   + N("505 NN Dy")</f>
        <v>-0.52350955416245359</v>
      </c>
      <c r="FZ2" s="46">
        <f xml:space="preserve"> -0.05652 + 0.972005*FY2   +N("533 NN")</f>
        <v>-0.56537390419367572</v>
      </c>
      <c r="GA2" s="46">
        <f xml:space="preserve">     0.018586 + 0.960264 * FZ2    +N("549 LnD Er")</f>
        <v>-0.52432220673663588</v>
      </c>
      <c r="GB2" s="46">
        <f xml:space="preserve"> -0.02011 + 0.936315 * FZ2    +N("574 NN Er")</f>
        <v>-0.5494780671051015</v>
      </c>
      <c r="GC2" s="46">
        <f xml:space="preserve">   0.01732 + 1.006083 * GB2  +N("597 NN Yb")</f>
        <v>-0.53550054218730181</v>
      </c>
      <c r="GD2" s="46">
        <f>(-1.72947 +0 ) * (3.46258+0) * BQ2   - (1.87473 + 0) *BP2   + (0.03253+0) * (CK2*100)    +N("eqn625 aliv mg# wo")</f>
        <v>-0.57906676757921627</v>
      </c>
      <c r="GE2" s="46"/>
      <c r="GF2" s="46"/>
      <c r="GG2" s="46"/>
      <c r="GH2" s="46"/>
    </row>
    <row r="3" spans="1:190" x14ac:dyDescent="0.25">
      <c r="A3" s="5" t="s">
        <v>82</v>
      </c>
      <c r="B3" s="1">
        <v>5</v>
      </c>
      <c r="C3" s="98" t="s">
        <v>95</v>
      </c>
      <c r="D3" s="98" t="s">
        <v>103</v>
      </c>
      <c r="E3" s="1">
        <v>36</v>
      </c>
      <c r="F3" s="22">
        <v>46.68</v>
      </c>
      <c r="G3" s="22">
        <v>1.72</v>
      </c>
      <c r="H3" s="22">
        <v>7.58</v>
      </c>
      <c r="I3" s="22">
        <v>0</v>
      </c>
      <c r="J3" s="22">
        <v>12</v>
      </c>
      <c r="K3" s="22">
        <v>0.35899999999999999</v>
      </c>
      <c r="L3" s="22">
        <v>12.04</v>
      </c>
      <c r="M3" s="22">
        <v>19.239999999999998</v>
      </c>
      <c r="N3" s="22">
        <v>0.39600000000000002</v>
      </c>
      <c r="O3" s="22">
        <v>1.7000000000000001E-2</v>
      </c>
      <c r="P3" s="22">
        <v>0</v>
      </c>
      <c r="Q3" s="22"/>
      <c r="R3" s="22"/>
      <c r="S3" s="22">
        <f t="shared" si="0"/>
        <v>100.03199999999998</v>
      </c>
      <c r="T3" s="3"/>
      <c r="U3" s="22">
        <f t="shared" si="1"/>
        <v>9.0039987605606022</v>
      </c>
      <c r="V3" s="22">
        <f t="shared" si="2"/>
        <v>3.329456177389003</v>
      </c>
      <c r="W3" s="22">
        <f t="shared" si="3"/>
        <v>100.36545493794961</v>
      </c>
      <c r="X3" s="1"/>
      <c r="Y3" s="1"/>
      <c r="Z3" s="1"/>
      <c r="AA3" s="1" t="s">
        <v>186</v>
      </c>
      <c r="AC3" s="1">
        <v>6</v>
      </c>
      <c r="AD3" s="1">
        <v>4</v>
      </c>
      <c r="AE3" s="1"/>
      <c r="AF3" s="26">
        <f t="shared" si="4"/>
        <v>1.7654884598248666</v>
      </c>
      <c r="AG3" s="26">
        <f t="shared" si="5"/>
        <v>4.8927649257197212E-2</v>
      </c>
      <c r="AH3" s="26">
        <f t="shared" si="6"/>
        <v>0.33785732115421507</v>
      </c>
      <c r="AI3" s="26">
        <f t="shared" si="7"/>
        <v>0</v>
      </c>
      <c r="AJ3" s="26">
        <f t="shared" si="8"/>
        <v>0.37950581372674791</v>
      </c>
      <c r="AK3" s="26">
        <f t="shared" si="9"/>
        <v>1.1499189320951736E-2</v>
      </c>
      <c r="AL3" s="26">
        <f t="shared" si="10"/>
        <v>0.67886809822963745</v>
      </c>
      <c r="AM3" s="26">
        <f t="shared" si="11"/>
        <v>0.77958059893749077</v>
      </c>
      <c r="AN3" s="26">
        <f t="shared" si="12"/>
        <v>2.9036052263207667E-2</v>
      </c>
      <c r="AO3" s="26">
        <f t="shared" si="13"/>
        <v>8.2014751623590973E-4</v>
      </c>
      <c r="AP3" s="26">
        <f t="shared" si="14"/>
        <v>0</v>
      </c>
      <c r="AQ3" s="26">
        <f t="shared" si="15"/>
        <v>0</v>
      </c>
      <c r="AR3" s="26">
        <f t="shared" si="16"/>
        <v>0</v>
      </c>
      <c r="AS3" s="26">
        <f t="shared" si="17"/>
        <v>4.0315833302305499</v>
      </c>
      <c r="AT3" s="26">
        <f t="shared" si="18"/>
        <v>2.1033457809790814</v>
      </c>
      <c r="AU3" s="26">
        <f t="shared" si="19"/>
        <v>0.80943679871693441</v>
      </c>
      <c r="AV3" s="47"/>
      <c r="AW3" s="26">
        <f t="shared" si="20"/>
        <v>1.7516576642099622</v>
      </c>
      <c r="AX3" s="26">
        <f t="shared" si="21"/>
        <v>4.8544351188592925E-2</v>
      </c>
      <c r="AY3" s="26">
        <f t="shared" si="22"/>
        <v>0.33521055474241618</v>
      </c>
      <c r="AZ3" s="26">
        <f t="shared" si="23"/>
        <v>0</v>
      </c>
      <c r="BA3" s="26">
        <f t="shared" si="24"/>
        <v>0.28252505252700744</v>
      </c>
      <c r="BB3" s="26">
        <f t="shared" si="25"/>
        <v>9.400772146384595E-2</v>
      </c>
      <c r="BC3" s="26">
        <f t="shared" si="26"/>
        <v>1.1409104938723063E-2</v>
      </c>
      <c r="BD3" s="26">
        <f t="shared" si="27"/>
        <v>0.67354986130554884</v>
      </c>
      <c r="BE3" s="26">
        <f t="shared" si="28"/>
        <v>0.77347338262052956</v>
      </c>
      <c r="BF3" s="26">
        <f t="shared" si="29"/>
        <v>2.8808584503743555E-2</v>
      </c>
      <c r="BG3" s="26">
        <f t="shared" si="30"/>
        <v>8.1372249963044543E-4</v>
      </c>
      <c r="BH3" s="26">
        <f t="shared" si="31"/>
        <v>0</v>
      </c>
      <c r="BI3" s="26">
        <f t="shared" si="32"/>
        <v>0</v>
      </c>
      <c r="BJ3" s="26">
        <f t="shared" si="33"/>
        <v>0</v>
      </c>
      <c r="BK3" s="25">
        <f t="shared" si="34"/>
        <v>3.9999999999999996</v>
      </c>
      <c r="BL3" s="24">
        <f t="shared" si="35"/>
        <v>5.9999999999999991</v>
      </c>
      <c r="BM3" s="26">
        <f t="shared" si="36"/>
        <v>2.0868682189523784</v>
      </c>
      <c r="BN3" s="26">
        <f t="shared" si="37"/>
        <v>0.80309568962390354</v>
      </c>
      <c r="BO3" s="22"/>
      <c r="BP3" s="23">
        <f t="shared" si="38"/>
        <v>0.64142557801218081</v>
      </c>
      <c r="BQ3" s="26">
        <f t="shared" si="39"/>
        <v>0.24834233579003784</v>
      </c>
      <c r="BR3" s="26">
        <f t="shared" si="40"/>
        <v>8.686821895237834E-2</v>
      </c>
      <c r="BS3" s="26"/>
      <c r="BT3" s="26">
        <f t="shared" si="41"/>
        <v>2.9036052263207667E-2</v>
      </c>
      <c r="BU3" s="26">
        <f t="shared" si="42"/>
        <v>5.8059634448634781E-2</v>
      </c>
      <c r="BV3" s="26">
        <f t="shared" si="43"/>
        <v>5.7838401728060949E-2</v>
      </c>
      <c r="BW3" s="26">
        <f t="shared" si="44"/>
        <v>0</v>
      </c>
      <c r="BX3" s="26">
        <f t="shared" si="45"/>
        <v>0.66368256276079496</v>
      </c>
      <c r="BY3" s="26">
        <f t="shared" si="46"/>
        <v>0.19734567459779517</v>
      </c>
      <c r="BZ3" s="26">
        <f t="shared" si="47"/>
        <v>1.0059623257984935</v>
      </c>
      <c r="CA3" s="22"/>
      <c r="CB3" s="22">
        <f t="shared" si="48"/>
        <v>2.8808584503743555E-2</v>
      </c>
      <c r="CC3" s="22">
        <f t="shared" si="49"/>
        <v>0</v>
      </c>
      <c r="CD3" s="22">
        <f t="shared" si="50"/>
        <v>6.5199136960102391E-2</v>
      </c>
      <c r="CE3" s="22">
        <f t="shared" si="51"/>
        <v>0</v>
      </c>
      <c r="CF3" s="22">
        <f t="shared" si="52"/>
        <v>8.686821895237834E-2</v>
      </c>
      <c r="CG3" s="22">
        <f t="shared" si="53"/>
        <v>0.32510730560589618</v>
      </c>
      <c r="CH3" s="22">
        <f t="shared" si="54"/>
        <v>0.47545843335963667</v>
      </c>
      <c r="CI3" s="22">
        <f t="shared" si="55"/>
        <v>0.19943426103446721</v>
      </c>
      <c r="CJ3" s="22"/>
      <c r="CK3" s="22">
        <f t="shared" si="56"/>
        <v>0.42151939183280807</v>
      </c>
      <c r="CL3" s="22">
        <f t="shared" si="57"/>
        <v>0.36706412177324677</v>
      </c>
      <c r="CM3" s="22">
        <f t="shared" si="58"/>
        <v>0.21141648639394514</v>
      </c>
      <c r="CN3" s="1"/>
      <c r="CO3" s="26">
        <f t="shared" si="59"/>
        <v>0.7769640479360852</v>
      </c>
      <c r="CP3" s="26">
        <f t="shared" si="60"/>
        <v>2.1532298447671509E-2</v>
      </c>
      <c r="CQ3" s="26">
        <f t="shared" si="61"/>
        <v>0.14868575912122403</v>
      </c>
      <c r="CR3" s="26">
        <f t="shared" si="62"/>
        <v>0</v>
      </c>
      <c r="CS3" s="26">
        <f t="shared" si="63"/>
        <v>0.16701461377870566</v>
      </c>
      <c r="CT3" s="26">
        <f t="shared" si="64"/>
        <v>5.0606146038906117E-3</v>
      </c>
      <c r="CU3" s="26">
        <f t="shared" si="65"/>
        <v>0.29875930521091809</v>
      </c>
      <c r="CV3" s="26">
        <f t="shared" si="66"/>
        <v>0.34308131241084161</v>
      </c>
      <c r="CW3" s="26">
        <f t="shared" si="67"/>
        <v>1.2778315585672799E-2</v>
      </c>
      <c r="CX3" s="26">
        <f t="shared" si="68"/>
        <v>3.6093418259023355E-4</v>
      </c>
      <c r="CY3" s="26">
        <f t="shared" si="69"/>
        <v>0</v>
      </c>
      <c r="CZ3" s="26">
        <f t="shared" si="70"/>
        <v>0</v>
      </c>
      <c r="DA3" s="26">
        <f t="shared" si="71"/>
        <v>0</v>
      </c>
      <c r="DB3" s="26">
        <f t="shared" si="72"/>
        <v>1.7742372012775998</v>
      </c>
      <c r="DC3" s="26">
        <f t="shared" si="73"/>
        <v>2.6405068023378369</v>
      </c>
      <c r="DD3" s="26">
        <f t="shared" si="74"/>
        <v>2.2544899842702342</v>
      </c>
      <c r="DE3" s="26">
        <f t="shared" si="75"/>
        <v>5.9529961392680759</v>
      </c>
      <c r="DF3" s="1"/>
      <c r="DG3" s="22"/>
      <c r="DH3" s="14"/>
      <c r="DI3" s="14"/>
      <c r="DJ3" s="14"/>
      <c r="DK3" s="14"/>
      <c r="DL3" s="14"/>
      <c r="DM3" s="96"/>
      <c r="DN3" s="14"/>
      <c r="DO3" s="96"/>
      <c r="DP3" s="22"/>
      <c r="DQ3" s="14"/>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46"/>
      <c r="FR3" s="46"/>
      <c r="FS3" s="46"/>
      <c r="FT3" s="46"/>
      <c r="FU3" s="46"/>
      <c r="FV3" s="46"/>
      <c r="FW3" s="46"/>
      <c r="FX3" s="46"/>
      <c r="FY3" s="46"/>
      <c r="FZ3" s="46"/>
      <c r="GA3" s="46"/>
      <c r="GB3" s="46"/>
      <c r="GC3" s="46"/>
      <c r="GD3" s="46"/>
      <c r="GE3" s="46"/>
      <c r="GF3" s="46"/>
      <c r="GG3" s="46"/>
      <c r="GH3" s="46"/>
    </row>
    <row r="4" spans="1:190" x14ac:dyDescent="0.25">
      <c r="A4" s="5" t="s">
        <v>82</v>
      </c>
      <c r="B4" s="1">
        <v>23</v>
      </c>
      <c r="C4" s="98" t="s">
        <v>95</v>
      </c>
      <c r="D4" s="98" t="s">
        <v>103</v>
      </c>
      <c r="E4" s="1">
        <v>54</v>
      </c>
      <c r="F4" s="22">
        <v>52.05</v>
      </c>
      <c r="G4" s="22">
        <v>0.56599999999999995</v>
      </c>
      <c r="H4" s="22">
        <v>3.73</v>
      </c>
      <c r="I4" s="22">
        <v>0.122</v>
      </c>
      <c r="J4" s="22">
        <v>5.99</v>
      </c>
      <c r="K4" s="22">
        <v>0.19700000000000001</v>
      </c>
      <c r="L4" s="22">
        <v>15.58</v>
      </c>
      <c r="M4" s="22">
        <v>22.41</v>
      </c>
      <c r="N4" s="22">
        <v>0.26400000000000001</v>
      </c>
      <c r="O4" s="22">
        <v>0</v>
      </c>
      <c r="P4" s="22">
        <v>0</v>
      </c>
      <c r="Q4" s="22"/>
      <c r="R4" s="22"/>
      <c r="S4" s="22">
        <f t="shared" si="0"/>
        <v>100.90899999999999</v>
      </c>
      <c r="T4" s="3"/>
      <c r="U4" s="22">
        <f t="shared" si="1"/>
        <v>4.8432327281810084</v>
      </c>
      <c r="V4" s="22">
        <f t="shared" si="2"/>
        <v>1.2744024691724458</v>
      </c>
      <c r="W4" s="22">
        <f t="shared" si="3"/>
        <v>101.03663519735345</v>
      </c>
      <c r="X4" s="1"/>
      <c r="Y4" s="1"/>
      <c r="Z4" s="1"/>
      <c r="AA4" s="1" t="s">
        <v>185</v>
      </c>
      <c r="AC4" s="1">
        <v>6</v>
      </c>
      <c r="AD4" s="1">
        <v>4</v>
      </c>
      <c r="AE4" s="1"/>
      <c r="AF4" s="26">
        <f t="shared" si="4"/>
        <v>1.9001355581221346</v>
      </c>
      <c r="AG4" s="26">
        <f t="shared" si="5"/>
        <v>1.5540756305423424E-2</v>
      </c>
      <c r="AH4" s="26">
        <f t="shared" si="6"/>
        <v>0.16047329719186082</v>
      </c>
      <c r="AI4" s="26">
        <f t="shared" si="7"/>
        <v>3.5210207680257282E-3</v>
      </c>
      <c r="AJ4" s="26">
        <f t="shared" si="8"/>
        <v>0.18284952027379792</v>
      </c>
      <c r="AK4" s="26">
        <f t="shared" si="9"/>
        <v>6.0907225609063195E-3</v>
      </c>
      <c r="AL4" s="26">
        <f t="shared" si="10"/>
        <v>0.84792254474353734</v>
      </c>
      <c r="AM4" s="26">
        <f t="shared" si="11"/>
        <v>0.87645097181041765</v>
      </c>
      <c r="AN4" s="26">
        <f t="shared" si="12"/>
        <v>1.8684269632788585E-2</v>
      </c>
      <c r="AO4" s="26">
        <f t="shared" si="13"/>
        <v>0</v>
      </c>
      <c r="AP4" s="26">
        <f t="shared" si="14"/>
        <v>0</v>
      </c>
      <c r="AQ4" s="26">
        <f t="shared" si="15"/>
        <v>0</v>
      </c>
      <c r="AR4" s="26">
        <f t="shared" si="16"/>
        <v>0</v>
      </c>
      <c r="AS4" s="26">
        <f t="shared" si="17"/>
        <v>4.0116686614088923</v>
      </c>
      <c r="AT4" s="26">
        <f t="shared" si="18"/>
        <v>2.0606088553139954</v>
      </c>
      <c r="AU4" s="26">
        <f t="shared" si="19"/>
        <v>0.89513524144320622</v>
      </c>
      <c r="AV4" s="47"/>
      <c r="AW4" s="26">
        <f t="shared" si="20"/>
        <v>1.8946086713500507</v>
      </c>
      <c r="AX4" s="26">
        <f t="shared" si="21"/>
        <v>1.5495553214472635E-2</v>
      </c>
      <c r="AY4" s="26">
        <f t="shared" si="22"/>
        <v>0.16000653168151013</v>
      </c>
      <c r="AZ4" s="26">
        <f t="shared" si="23"/>
        <v>3.5107792444545017E-3</v>
      </c>
      <c r="BA4" s="26">
        <f t="shared" si="24"/>
        <v>0.14741350647358653</v>
      </c>
      <c r="BB4" s="26">
        <f t="shared" si="25"/>
        <v>3.4904163011690859E-2</v>
      </c>
      <c r="BC4" s="26">
        <f t="shared" si="26"/>
        <v>6.0730065964792485E-3</v>
      </c>
      <c r="BD4" s="26">
        <f t="shared" si="27"/>
        <v>0.84545620918328601</v>
      </c>
      <c r="BE4" s="26">
        <f t="shared" si="28"/>
        <v>0.8739016561777655</v>
      </c>
      <c r="BF4" s="26">
        <f t="shared" si="29"/>
        <v>1.8629923066703816E-2</v>
      </c>
      <c r="BG4" s="26">
        <f t="shared" si="30"/>
        <v>0</v>
      </c>
      <c r="BH4" s="26">
        <f t="shared" si="31"/>
        <v>0</v>
      </c>
      <c r="BI4" s="26">
        <f t="shared" si="32"/>
        <v>0</v>
      </c>
      <c r="BJ4" s="26">
        <f t="shared" si="33"/>
        <v>0</v>
      </c>
      <c r="BK4" s="25">
        <f t="shared" si="34"/>
        <v>4</v>
      </c>
      <c r="BL4" s="24">
        <f t="shared" si="35"/>
        <v>6.0000000000000009</v>
      </c>
      <c r="BM4" s="26">
        <f t="shared" si="36"/>
        <v>2.054615203031561</v>
      </c>
      <c r="BN4" s="26">
        <f t="shared" si="37"/>
        <v>0.89253157924446935</v>
      </c>
      <c r="BO4" s="22"/>
      <c r="BP4" s="23">
        <f t="shared" si="38"/>
        <v>0.82260916212283763</v>
      </c>
      <c r="BQ4" s="26">
        <f t="shared" si="39"/>
        <v>0.10539132864994927</v>
      </c>
      <c r="BR4" s="26">
        <f t="shared" si="40"/>
        <v>5.4615203031560866E-2</v>
      </c>
      <c r="BS4" s="26"/>
      <c r="BT4" s="26">
        <f t="shared" si="41"/>
        <v>1.8684269632788585E-2</v>
      </c>
      <c r="BU4" s="26">
        <f t="shared" si="42"/>
        <v>3.598527996485705E-2</v>
      </c>
      <c r="BV4" s="26">
        <f t="shared" si="43"/>
        <v>3.6622563049132341E-2</v>
      </c>
      <c r="BW4" s="26">
        <f t="shared" si="44"/>
        <v>1.7605103840128641E-3</v>
      </c>
      <c r="BX4" s="26">
        <f t="shared" si="45"/>
        <v>0.80208261841241546</v>
      </c>
      <c r="BY4" s="26">
        <f t="shared" si="46"/>
        <v>0.11434472330245993</v>
      </c>
      <c r="BZ4" s="26">
        <f t="shared" si="47"/>
        <v>1.0094799647456663</v>
      </c>
      <c r="CA4" s="22"/>
      <c r="CB4" s="22">
        <f t="shared" si="48"/>
        <v>1.8629923066703816E-2</v>
      </c>
      <c r="CC4" s="22">
        <f t="shared" si="49"/>
        <v>0</v>
      </c>
      <c r="CD4" s="22">
        <f t="shared" si="50"/>
        <v>1.6274239944987043E-2</v>
      </c>
      <c r="CE4" s="22">
        <f t="shared" si="51"/>
        <v>3.5107792444545017E-3</v>
      </c>
      <c r="CF4" s="22">
        <f t="shared" si="52"/>
        <v>5.4615203031560866E-2</v>
      </c>
      <c r="CG4" s="22">
        <f t="shared" si="53"/>
        <v>0.40906567851173348</v>
      </c>
      <c r="CH4" s="22">
        <f t="shared" si="54"/>
        <v>0.50319702922072784</v>
      </c>
      <c r="CI4" s="22">
        <f t="shared" si="55"/>
        <v>8.7737292267538666E-2</v>
      </c>
      <c r="CJ4" s="22"/>
      <c r="CK4" s="22">
        <f t="shared" si="56"/>
        <v>0.45808010709673702</v>
      </c>
      <c r="CL4" s="22">
        <f t="shared" si="57"/>
        <v>0.44316962682297595</v>
      </c>
      <c r="CM4" s="22">
        <f t="shared" si="58"/>
        <v>9.8750266080286933E-2</v>
      </c>
      <c r="CN4" s="1"/>
      <c r="CO4" s="26">
        <f t="shared" si="59"/>
        <v>0.86634487350199729</v>
      </c>
      <c r="CP4" s="26">
        <f t="shared" si="60"/>
        <v>7.0856284426639958E-3</v>
      </c>
      <c r="CQ4" s="26">
        <f t="shared" si="61"/>
        <v>7.316594743036485E-2</v>
      </c>
      <c r="CR4" s="26">
        <f t="shared" si="62"/>
        <v>1.6053687742614644E-3</v>
      </c>
      <c r="CS4" s="26">
        <f t="shared" si="63"/>
        <v>8.3368128044537235E-2</v>
      </c>
      <c r="CT4" s="26">
        <f t="shared" si="64"/>
        <v>2.7769946433605867E-3</v>
      </c>
      <c r="CU4" s="26">
        <f t="shared" si="65"/>
        <v>0.38660049627791565</v>
      </c>
      <c r="CV4" s="26">
        <f t="shared" si="66"/>
        <v>0.39960770328102713</v>
      </c>
      <c r="CW4" s="26">
        <f t="shared" si="67"/>
        <v>8.5188770571151991E-3</v>
      </c>
      <c r="CX4" s="26">
        <f t="shared" si="68"/>
        <v>0</v>
      </c>
      <c r="CY4" s="26">
        <f t="shared" si="69"/>
        <v>0</v>
      </c>
      <c r="CZ4" s="26">
        <f t="shared" si="70"/>
        <v>0</v>
      </c>
      <c r="DA4" s="26">
        <f t="shared" si="71"/>
        <v>0</v>
      </c>
      <c r="DB4" s="26">
        <f t="shared" si="72"/>
        <v>1.8290740174532434</v>
      </c>
      <c r="DC4" s="26">
        <f t="shared" si="73"/>
        <v>2.7356307389716608</v>
      </c>
      <c r="DD4" s="26">
        <f t="shared" si="74"/>
        <v>2.1868989236255727</v>
      </c>
      <c r="DE4" s="26">
        <f t="shared" si="75"/>
        <v>5.9825479184941548</v>
      </c>
      <c r="DF4" s="1"/>
      <c r="DG4" s="22">
        <v>0.61489635274465526</v>
      </c>
      <c r="DH4" s="14">
        <v>1758.125342509157</v>
      </c>
      <c r="DI4" s="14">
        <v>98083.538799701462</v>
      </c>
      <c r="DJ4" s="14">
        <v>22344.236431179535</v>
      </c>
      <c r="DK4" s="14">
        <v>245881.26621913319</v>
      </c>
      <c r="DL4" s="14">
        <v>156239.84798744292</v>
      </c>
      <c r="DM4" s="96">
        <v>135.05665924426299</v>
      </c>
      <c r="DN4" s="14">
        <v>2975.5850331139836</v>
      </c>
      <c r="DO4" s="96">
        <v>343.95711845068496</v>
      </c>
      <c r="DP4" s="22">
        <v>1635.6645308156055</v>
      </c>
      <c r="DQ4" s="14">
        <v>1284.5910775545572</v>
      </c>
      <c r="DR4" s="22">
        <v>37.380652539091678</v>
      </c>
      <c r="DS4" s="22">
        <v>111.80898268668186</v>
      </c>
      <c r="DT4" s="22">
        <v>1.8643050682552447</v>
      </c>
      <c r="DU4" s="22">
        <v>28.514252388186957</v>
      </c>
      <c r="DV4" s="22">
        <v>0</v>
      </c>
      <c r="DW4" s="22">
        <v>15.978717415992962</v>
      </c>
      <c r="DX4" s="22">
        <v>15.843062715595352</v>
      </c>
      <c r="DY4" s="22">
        <v>13.449937456199381</v>
      </c>
      <c r="DZ4" s="22">
        <v>12.618233280740382</v>
      </c>
      <c r="EA4" s="22">
        <v>0</v>
      </c>
      <c r="EB4" s="22">
        <v>0</v>
      </c>
      <c r="EC4" s="22">
        <v>0.15991658618296703</v>
      </c>
      <c r="ED4" s="22">
        <v>0.61002104962879045</v>
      </c>
      <c r="EE4" s="22">
        <v>2.2554119127363457</v>
      </c>
      <c r="EF4" s="22">
        <v>0.38026904917604004</v>
      </c>
      <c r="EG4" s="22">
        <v>3.077897032947289</v>
      </c>
      <c r="EH4" s="22">
        <v>1.4464577326622579</v>
      </c>
      <c r="EI4" s="22">
        <v>0.48009901191669352</v>
      </c>
      <c r="EJ4" s="22">
        <v>2.7725713388505362</v>
      </c>
      <c r="EK4" s="22">
        <v>0.36816489610285807</v>
      </c>
      <c r="EL4" s="22">
        <v>2.5862698830602473</v>
      </c>
      <c r="EM4" s="22">
        <v>0.5495201083522665</v>
      </c>
      <c r="EN4" s="22">
        <v>1.558720492905624</v>
      </c>
      <c r="EO4" s="22">
        <v>0.20824550586252261</v>
      </c>
      <c r="EP4" s="22">
        <v>1.3944310266308297</v>
      </c>
      <c r="EQ4" s="22">
        <v>0.21009679291137506</v>
      </c>
      <c r="ER4" s="22">
        <v>0.72783794530032642</v>
      </c>
      <c r="ES4" s="22">
        <v>0</v>
      </c>
      <c r="ET4" s="22">
        <v>0</v>
      </c>
      <c r="EU4" s="22">
        <v>1.8054832940422986E-2</v>
      </c>
      <c r="EV4" s="22">
        <v>4.3608303213229513E-3</v>
      </c>
      <c r="EW4" s="22">
        <f>(EI4/0.05883)/SQRT((EH4/0.1536)*(EJ4/0.2069))</f>
        <v>0.7264631315079807</v>
      </c>
      <c r="EX4" s="22"/>
      <c r="EY4" s="22"/>
      <c r="EZ4" s="22"/>
      <c r="FA4" s="22"/>
      <c r="FB4" s="22"/>
      <c r="FC4" s="22"/>
      <c r="FD4" s="22"/>
      <c r="FE4" s="22"/>
      <c r="FF4" s="22"/>
      <c r="FG4" s="22"/>
      <c r="FH4" s="22"/>
      <c r="FI4" s="22">
        <f>-0.50354-2.23025*BP4+ N("eqn 18 Mg# R2 0.28 best")</f>
        <v>-2.3381640838244584</v>
      </c>
      <c r="FJ4" s="22"/>
      <c r="FK4" s="22">
        <f xml:space="preserve"> -0.03692  +  0.931085 + FX4   + N("488 NN Dy")</f>
        <v>0.52853590209616663</v>
      </c>
      <c r="FL4" s="22">
        <f>-0.48986  +   0    +   (1.071278 + 0) * GD4  +N("eqn 119 LnD Hf  (which has R2 of 0.51 for TS")</f>
        <v>-1.2217184501216378</v>
      </c>
      <c r="FM4" s="22"/>
      <c r="FN4" s="22"/>
      <c r="FO4" s="22">
        <f>3.94011-11.9214*BP4</f>
        <v>-5.8665428653311968</v>
      </c>
      <c r="FP4" s="22">
        <f xml:space="preserve">  -0.49862 +   1.013256 * FQ4 + N("294 NN")</f>
        <v>-2.3657256643512152</v>
      </c>
      <c r="FQ4" s="46">
        <f xml:space="preserve">  -0.73306   +   1.025016   *  FS4     +N("316 NN Nd")</f>
        <v>-1.8426791100681519</v>
      </c>
      <c r="FR4" s="46">
        <f xml:space="preserve">  -0.33671   +   1.013871 *  FS4    +N("340 NN")</f>
        <v>-1.4342642203672014</v>
      </c>
      <c r="FS4" s="46">
        <f>-0.42496     +   1.017678*FT4                 + N("361 NN")</f>
        <v>-1.0825383311754664</v>
      </c>
      <c r="FT4" s="46">
        <f xml:space="preserve"> 0.68509  -3.34181 * BP4 + 0.03095*(100*CK4) +N("642 cpx Mg# Wo R2 0.59")</f>
        <v>-0.64615559260931876</v>
      </c>
      <c r="FU4" s="46">
        <f xml:space="preserve"> -0.06599 + 0.926002 * FT4  + N("409 NN")</f>
        <v>-0.66433137106741436</v>
      </c>
      <c r="FV4" s="46">
        <f t="shared" ref="FV4" si="77">0.1453     +   0.925549*FT4     +N("424 LnD Sm")</f>
        <v>-0.4527486625839624</v>
      </c>
      <c r="FW4" s="46">
        <f xml:space="preserve">  0.053547 + 0.932974 * FV4  +  N("445 NN")</f>
        <v>-0.36885573072560973</v>
      </c>
      <c r="FX4" s="46">
        <f xml:space="preserve">  0.027177  +  0.867603 * FV4 + N("464 NN Gd")</f>
        <v>-0.36562909790383352</v>
      </c>
      <c r="FY4" s="46">
        <f xml:space="preserve">  -0.06187  +  0.953618 * FX4   + N("505 NN Dy")</f>
        <v>-0.41054048908485791</v>
      </c>
      <c r="FZ4" s="46">
        <f xml:space="preserve"> -0.05652 + 0.972005*FY4   +N("533 NN")</f>
        <v>-0.45556740809292734</v>
      </c>
      <c r="GA4" s="46">
        <f xml:space="preserve">     0.018586 + 0.960264 * FZ4    +N("549 LnD Er")</f>
        <v>-0.4188789815649468</v>
      </c>
      <c r="GB4" s="46">
        <f xml:space="preserve"> -0.02011 + 0.936315 * FZ4    +N("574 NN Er")</f>
        <v>-0.44666459770852929</v>
      </c>
      <c r="GC4" s="46">
        <f xml:space="preserve">   0.01732 + 1.006083 * GB4  +N("597 NN Yb")</f>
        <v>-0.43206165845639027</v>
      </c>
      <c r="GD4" s="46">
        <f>(-1.72947 +0 ) * (3.46258+0) * BQ4   - (1.87473 + 0) *BP4   + (0.03253+0) * (CK4*100)    +N("eqn625 aliv mg# wo")</f>
        <v>-0.68316389407944333</v>
      </c>
      <c r="GE4" s="46"/>
      <c r="GF4" s="46"/>
      <c r="GG4" s="46"/>
      <c r="GH4" s="46"/>
    </row>
    <row r="5" spans="1:190" x14ac:dyDescent="0.25">
      <c r="A5" s="5" t="s">
        <v>82</v>
      </c>
      <c r="B5" s="1">
        <v>24</v>
      </c>
      <c r="C5" s="98" t="s">
        <v>95</v>
      </c>
      <c r="D5" s="98" t="s">
        <v>103</v>
      </c>
      <c r="E5" s="1">
        <v>55</v>
      </c>
      <c r="F5" s="22">
        <v>46.63</v>
      </c>
      <c r="G5" s="22">
        <v>1.4750000000000001</v>
      </c>
      <c r="H5" s="22">
        <v>7.83</v>
      </c>
      <c r="I5" s="22">
        <v>0</v>
      </c>
      <c r="J5" s="22">
        <v>11.18</v>
      </c>
      <c r="K5" s="22">
        <v>0.29899999999999999</v>
      </c>
      <c r="L5" s="22">
        <v>12.98</v>
      </c>
      <c r="M5" s="22">
        <v>19.059999999999999</v>
      </c>
      <c r="N5" s="22">
        <v>0.36499999999999999</v>
      </c>
      <c r="O5" s="22">
        <v>0</v>
      </c>
      <c r="P5" s="22">
        <v>0</v>
      </c>
      <c r="Q5" s="22"/>
      <c r="R5" s="22"/>
      <c r="S5" s="22">
        <f t="shared" si="0"/>
        <v>99.819000000000017</v>
      </c>
      <c r="T5" s="3"/>
      <c r="U5" s="22">
        <f t="shared" si="1"/>
        <v>7.534925850711546</v>
      </c>
      <c r="V5" s="22">
        <f t="shared" si="2"/>
        <v>4.0507709021042597</v>
      </c>
      <c r="W5" s="22">
        <f t="shared" si="3"/>
        <v>100.22469675281582</v>
      </c>
      <c r="X5" s="1"/>
      <c r="Y5" s="1"/>
      <c r="Z5" s="1"/>
      <c r="AA5" s="1" t="s">
        <v>186</v>
      </c>
      <c r="AC5" s="1">
        <v>6</v>
      </c>
      <c r="AD5" s="1">
        <v>4</v>
      </c>
      <c r="AE5" s="1"/>
      <c r="AF5" s="26">
        <f t="shared" si="4"/>
        <v>1.7591115592891347</v>
      </c>
      <c r="AG5" s="26">
        <f t="shared" si="5"/>
        <v>4.1851579685925136E-2</v>
      </c>
      <c r="AH5" s="26">
        <f t="shared" si="6"/>
        <v>0.34811266327094847</v>
      </c>
      <c r="AI5" s="26">
        <f t="shared" si="7"/>
        <v>0</v>
      </c>
      <c r="AJ5" s="26">
        <f t="shared" si="8"/>
        <v>0.35267357646494979</v>
      </c>
      <c r="AK5" s="26">
        <f t="shared" si="9"/>
        <v>9.5529585890984318E-3</v>
      </c>
      <c r="AL5" s="26">
        <f t="shared" si="10"/>
        <v>0.73000786180503607</v>
      </c>
      <c r="AM5" s="26">
        <f t="shared" si="11"/>
        <v>0.77032285321261373</v>
      </c>
      <c r="AN5" s="26">
        <f t="shared" si="12"/>
        <v>2.6694954143518579E-2</v>
      </c>
      <c r="AO5" s="26">
        <f t="shared" si="13"/>
        <v>0</v>
      </c>
      <c r="AP5" s="26">
        <f t="shared" si="14"/>
        <v>0</v>
      </c>
      <c r="AQ5" s="26">
        <f t="shared" si="15"/>
        <v>0</v>
      </c>
      <c r="AR5" s="26">
        <f t="shared" si="16"/>
        <v>0</v>
      </c>
      <c r="AS5" s="26">
        <f t="shared" si="17"/>
        <v>4.0383280064612253</v>
      </c>
      <c r="AT5" s="26">
        <f t="shared" si="18"/>
        <v>2.1072242225600832</v>
      </c>
      <c r="AU5" s="26">
        <f t="shared" si="19"/>
        <v>0.79701780735613226</v>
      </c>
      <c r="AV5" s="47"/>
      <c r="AW5" s="26">
        <f t="shared" si="20"/>
        <v>1.7424157289597075</v>
      </c>
      <c r="AX5" s="26">
        <f t="shared" si="21"/>
        <v>4.1454363904035167E-2</v>
      </c>
      <c r="AY5" s="26">
        <f t="shared" si="22"/>
        <v>0.3448087056959977</v>
      </c>
      <c r="AZ5" s="26">
        <f t="shared" si="23"/>
        <v>0</v>
      </c>
      <c r="BA5" s="26">
        <f t="shared" si="24"/>
        <v>0.23543363164257752</v>
      </c>
      <c r="BB5" s="26">
        <f t="shared" si="25"/>
        <v>0.11389269935448931</v>
      </c>
      <c r="BC5" s="26">
        <f t="shared" si="26"/>
        <v>9.4622909023872569E-3</v>
      </c>
      <c r="BD5" s="26">
        <f t="shared" si="27"/>
        <v>0.72307931464412145</v>
      </c>
      <c r="BE5" s="26">
        <f t="shared" si="28"/>
        <v>0.76301167411871063</v>
      </c>
      <c r="BF5" s="26">
        <f t="shared" si="29"/>
        <v>2.6441590777972774E-2</v>
      </c>
      <c r="BG5" s="26">
        <f t="shared" si="30"/>
        <v>0</v>
      </c>
      <c r="BH5" s="26">
        <f t="shared" si="31"/>
        <v>0</v>
      </c>
      <c r="BI5" s="26">
        <f t="shared" si="32"/>
        <v>0</v>
      </c>
      <c r="BJ5" s="26">
        <f t="shared" si="33"/>
        <v>0</v>
      </c>
      <c r="BK5" s="25">
        <f t="shared" si="34"/>
        <v>3.9999999999999996</v>
      </c>
      <c r="BL5" s="24">
        <f t="shared" si="35"/>
        <v>6</v>
      </c>
      <c r="BM5" s="26">
        <f t="shared" si="36"/>
        <v>2.0872244346557052</v>
      </c>
      <c r="BN5" s="26">
        <f t="shared" si="37"/>
        <v>0.78945326489668344</v>
      </c>
      <c r="BO5" s="22"/>
      <c r="BP5" s="23">
        <f t="shared" si="38"/>
        <v>0.67425914585874303</v>
      </c>
      <c r="BQ5" s="26">
        <f t="shared" si="39"/>
        <v>0.25758427104029247</v>
      </c>
      <c r="BR5" s="26">
        <f t="shared" si="40"/>
        <v>8.722443465570523E-2</v>
      </c>
      <c r="BS5" s="26"/>
      <c r="BT5" s="26">
        <f t="shared" si="41"/>
        <v>2.6694954143518579E-2</v>
      </c>
      <c r="BU5" s="26">
        <f t="shared" si="42"/>
        <v>6.0782843877732459E-2</v>
      </c>
      <c r="BV5" s="26">
        <f t="shared" si="43"/>
        <v>5.6833012716839E-2</v>
      </c>
      <c r="BW5" s="26">
        <f t="shared" si="44"/>
        <v>0</v>
      </c>
      <c r="BX5" s="26">
        <f t="shared" si="45"/>
        <v>0.65270699661804221</v>
      </c>
      <c r="BY5" s="26">
        <f t="shared" si="46"/>
        <v>0.21498722082597183</v>
      </c>
      <c r="BZ5" s="26">
        <f t="shared" si="47"/>
        <v>1.012005028182104</v>
      </c>
      <c r="CA5" s="22"/>
      <c r="CB5" s="22">
        <f t="shared" si="48"/>
        <v>2.6441590777972774E-2</v>
      </c>
      <c r="CC5" s="22">
        <f t="shared" si="49"/>
        <v>0</v>
      </c>
      <c r="CD5" s="22">
        <f t="shared" si="50"/>
        <v>8.7451108576516542E-2</v>
      </c>
      <c r="CE5" s="22">
        <f t="shared" si="51"/>
        <v>0</v>
      </c>
      <c r="CF5" s="22">
        <f t="shared" si="52"/>
        <v>8.722443465570523E-2</v>
      </c>
      <c r="CG5" s="22">
        <f t="shared" si="53"/>
        <v>0.30738886083223083</v>
      </c>
      <c r="CH5" s="22">
        <f t="shared" si="54"/>
        <v>0.52248933075392978</v>
      </c>
      <c r="CI5" s="22">
        <f t="shared" si="55"/>
        <v>0.17012180841383942</v>
      </c>
      <c r="CJ5" s="22"/>
      <c r="CK5" s="22">
        <f t="shared" si="56"/>
        <v>0.41358344994923552</v>
      </c>
      <c r="CL5" s="22">
        <f t="shared" si="57"/>
        <v>0.39193848230809275</v>
      </c>
      <c r="CM5" s="22">
        <f t="shared" si="58"/>
        <v>0.19447806774267185</v>
      </c>
      <c r="CN5" s="1"/>
      <c r="CO5" s="26">
        <f t="shared" si="59"/>
        <v>0.77613182423435423</v>
      </c>
      <c r="CP5" s="26">
        <f t="shared" si="60"/>
        <v>1.8465197796695046E-2</v>
      </c>
      <c r="CQ5" s="26">
        <f t="shared" si="61"/>
        <v>0.15358964299725383</v>
      </c>
      <c r="CR5" s="26">
        <f t="shared" si="62"/>
        <v>0</v>
      </c>
      <c r="CS5" s="26">
        <f t="shared" si="63"/>
        <v>0.15560194850382741</v>
      </c>
      <c r="CT5" s="26">
        <f t="shared" si="64"/>
        <v>4.2148294333239356E-3</v>
      </c>
      <c r="CU5" s="26">
        <f t="shared" si="65"/>
        <v>0.32208436724565759</v>
      </c>
      <c r="CV5" s="26">
        <f t="shared" si="66"/>
        <v>0.33987161198288157</v>
      </c>
      <c r="CW5" s="26">
        <f t="shared" si="67"/>
        <v>1.1777992900935785E-2</v>
      </c>
      <c r="CX5" s="26">
        <f t="shared" si="68"/>
        <v>0</v>
      </c>
      <c r="CY5" s="26">
        <f t="shared" si="69"/>
        <v>0</v>
      </c>
      <c r="CZ5" s="26">
        <f t="shared" si="70"/>
        <v>0</v>
      </c>
      <c r="DA5" s="26">
        <f t="shared" si="71"/>
        <v>0</v>
      </c>
      <c r="DB5" s="26">
        <f t="shared" si="72"/>
        <v>1.7817374150949297</v>
      </c>
      <c r="DC5" s="26">
        <f t="shared" si="73"/>
        <v>2.647240262174138</v>
      </c>
      <c r="DD5" s="26">
        <f t="shared" si="74"/>
        <v>2.2449997211215789</v>
      </c>
      <c r="DE5" s="26">
        <f t="shared" si="75"/>
        <v>5.9430536503227547</v>
      </c>
      <c r="DF5" s="1"/>
      <c r="DG5" s="22"/>
      <c r="DH5" s="14"/>
      <c r="DI5" s="14"/>
      <c r="DJ5" s="14"/>
      <c r="DK5" s="14"/>
      <c r="DL5" s="14"/>
      <c r="DM5" s="96"/>
      <c r="DN5" s="14"/>
      <c r="DO5" s="96"/>
      <c r="DP5" s="22"/>
      <c r="DQ5" s="14"/>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46"/>
      <c r="FR5" s="46"/>
      <c r="FS5" s="46"/>
      <c r="FT5" s="46"/>
      <c r="FU5" s="46"/>
      <c r="FV5" s="46"/>
      <c r="FW5" s="46"/>
      <c r="FX5" s="46"/>
      <c r="FY5" s="46"/>
      <c r="FZ5" s="46"/>
      <c r="GA5" s="46"/>
      <c r="GB5" s="46"/>
      <c r="GC5" s="46"/>
      <c r="GD5" s="46"/>
      <c r="GE5" s="46"/>
      <c r="GF5" s="46"/>
      <c r="GG5" s="46"/>
      <c r="GH5" s="46"/>
    </row>
    <row r="6" spans="1:190" x14ac:dyDescent="0.25">
      <c r="A6" s="5" t="s">
        <v>82</v>
      </c>
      <c r="B6" s="1">
        <v>29</v>
      </c>
      <c r="C6" s="98" t="s">
        <v>95</v>
      </c>
      <c r="D6" s="98" t="s">
        <v>103</v>
      </c>
      <c r="E6" s="1">
        <v>60</v>
      </c>
      <c r="F6" s="22">
        <v>52.78</v>
      </c>
      <c r="G6" s="22">
        <v>0.41</v>
      </c>
      <c r="H6" s="22">
        <v>3.23</v>
      </c>
      <c r="I6" s="22">
        <v>0.21</v>
      </c>
      <c r="J6" s="22">
        <v>5.26</v>
      </c>
      <c r="K6" s="22">
        <v>0.13500000000000001</v>
      </c>
      <c r="L6" s="22">
        <v>15.84</v>
      </c>
      <c r="M6" s="22">
        <v>22.39</v>
      </c>
      <c r="N6" s="22">
        <v>0.25</v>
      </c>
      <c r="O6" s="22">
        <v>0</v>
      </c>
      <c r="P6" s="22">
        <v>0</v>
      </c>
      <c r="Q6" s="22"/>
      <c r="R6" s="22"/>
      <c r="S6" s="22">
        <f t="shared" si="0"/>
        <v>100.505</v>
      </c>
      <c r="T6" s="3"/>
      <c r="U6" s="22">
        <f t="shared" si="1"/>
        <v>5.26</v>
      </c>
      <c r="V6" s="22">
        <f t="shared" si="2"/>
        <v>0</v>
      </c>
      <c r="W6" s="22">
        <f t="shared" si="3"/>
        <v>100.50500000000001</v>
      </c>
      <c r="X6" s="1"/>
      <c r="Y6" s="1"/>
      <c r="Z6" s="1"/>
      <c r="AA6" s="1" t="s">
        <v>185</v>
      </c>
      <c r="AC6" s="1">
        <v>6</v>
      </c>
      <c r="AD6" s="1">
        <v>4</v>
      </c>
      <c r="AE6" s="1"/>
      <c r="AF6" s="26">
        <f t="shared" si="4"/>
        <v>1.9251976466199412</v>
      </c>
      <c r="AG6" s="26">
        <f t="shared" si="5"/>
        <v>1.1248164542583981E-2</v>
      </c>
      <c r="AH6" s="26">
        <f t="shared" si="6"/>
        <v>0.13884765566731069</v>
      </c>
      <c r="AI6" s="26">
        <f t="shared" si="7"/>
        <v>6.0557806456759105E-3</v>
      </c>
      <c r="AJ6" s="26">
        <f t="shared" si="8"/>
        <v>0.16043341643532633</v>
      </c>
      <c r="AK6" s="26">
        <f t="shared" si="9"/>
        <v>4.1704070356370256E-3</v>
      </c>
      <c r="AL6" s="26">
        <f t="shared" si="10"/>
        <v>0.86136256110875009</v>
      </c>
      <c r="AM6" s="26">
        <f t="shared" si="11"/>
        <v>0.87494740789218417</v>
      </c>
      <c r="AN6" s="26">
        <f t="shared" si="12"/>
        <v>1.7678861467145347E-2</v>
      </c>
      <c r="AO6" s="26">
        <f t="shared" si="13"/>
        <v>0</v>
      </c>
      <c r="AP6" s="26">
        <f t="shared" si="14"/>
        <v>0</v>
      </c>
      <c r="AQ6" s="26">
        <f t="shared" si="15"/>
        <v>0</v>
      </c>
      <c r="AR6" s="26">
        <f t="shared" si="16"/>
        <v>0</v>
      </c>
      <c r="AS6" s="26">
        <f t="shared" si="17"/>
        <v>3.9999419014145552</v>
      </c>
      <c r="AT6" s="26">
        <f t="shared" si="18"/>
        <v>2.0640453022872518</v>
      </c>
      <c r="AU6" s="26">
        <f t="shared" si="19"/>
        <v>0.89262626935932954</v>
      </c>
      <c r="AV6" s="47"/>
      <c r="AW6" s="26">
        <f t="shared" si="20"/>
        <v>1.92522560984109</v>
      </c>
      <c r="AX6" s="26">
        <f t="shared" si="21"/>
        <v>1.1248327920569184E-2</v>
      </c>
      <c r="AY6" s="26">
        <f t="shared" si="22"/>
        <v>0.13884967240969984</v>
      </c>
      <c r="AZ6" s="26">
        <f t="shared" si="23"/>
        <v>6.0558686050258097E-3</v>
      </c>
      <c r="BA6" s="26">
        <f t="shared" si="24"/>
        <v>0.16043574670781097</v>
      </c>
      <c r="BB6" s="26">
        <f t="shared" si="25"/>
        <v>0</v>
      </c>
      <c r="BC6" s="26">
        <f t="shared" si="26"/>
        <v>4.1704676102042254E-3</v>
      </c>
      <c r="BD6" s="26">
        <f t="shared" si="27"/>
        <v>0.86137507227705934</v>
      </c>
      <c r="BE6" s="26">
        <f t="shared" si="28"/>
        <v>0.87496011637845483</v>
      </c>
      <c r="BF6" s="26">
        <f t="shared" si="29"/>
        <v>1.7679118250085911E-2</v>
      </c>
      <c r="BG6" s="26">
        <f t="shared" si="30"/>
        <v>0</v>
      </c>
      <c r="BH6" s="26">
        <f t="shared" si="31"/>
        <v>0</v>
      </c>
      <c r="BI6" s="26">
        <f t="shared" si="32"/>
        <v>0</v>
      </c>
      <c r="BJ6" s="26">
        <f t="shared" si="33"/>
        <v>0</v>
      </c>
      <c r="BK6" s="25">
        <f t="shared" si="34"/>
        <v>3.9999999999999996</v>
      </c>
      <c r="BL6" s="24">
        <f t="shared" si="35"/>
        <v>6.0000871491439796</v>
      </c>
      <c r="BM6" s="26">
        <f t="shared" si="36"/>
        <v>2.0640752822507897</v>
      </c>
      <c r="BN6" s="26">
        <f t="shared" si="37"/>
        <v>0.89263923462854078</v>
      </c>
      <c r="BO6" s="22"/>
      <c r="BP6" s="23">
        <f t="shared" si="38"/>
        <v>0.84298879623608047</v>
      </c>
      <c r="BQ6" s="26">
        <f t="shared" si="39"/>
        <v>7.4774390158909965E-2</v>
      </c>
      <c r="BR6" s="26">
        <f t="shared" si="40"/>
        <v>6.4075282250789872E-2</v>
      </c>
      <c r="BS6" s="26"/>
      <c r="BT6" s="26">
        <f t="shared" si="41"/>
        <v>1.7678861467145347E-2</v>
      </c>
      <c r="BU6" s="26">
        <f t="shared" si="42"/>
        <v>4.6396164000703961E-2</v>
      </c>
      <c r="BV6" s="26">
        <f t="shared" si="43"/>
        <v>4.0877200250437895E-2</v>
      </c>
      <c r="BW6" s="26">
        <f t="shared" si="44"/>
        <v>3.0278903228379552E-3</v>
      </c>
      <c r="BX6" s="26">
        <f t="shared" si="45"/>
        <v>0.78464615331820442</v>
      </c>
      <c r="BY6" s="26">
        <f t="shared" si="46"/>
        <v>0.11857491211293597</v>
      </c>
      <c r="BZ6" s="26">
        <f t="shared" si="47"/>
        <v>1.0112011814722655</v>
      </c>
      <c r="CA6" s="22"/>
      <c r="CB6" s="22">
        <f t="shared" si="48"/>
        <v>0</v>
      </c>
      <c r="CC6" s="22">
        <f t="shared" si="49"/>
        <v>1.7679118250085911E-2</v>
      </c>
      <c r="CD6" s="22">
        <f t="shared" si="50"/>
        <v>0</v>
      </c>
      <c r="CE6" s="22">
        <f t="shared" si="51"/>
        <v>6.0558686050258097E-3</v>
      </c>
      <c r="CF6" s="22">
        <f t="shared" si="52"/>
        <v>4.6396164000703961E-2</v>
      </c>
      <c r="CG6" s="22">
        <f t="shared" si="53"/>
        <v>0.41125404188636255</v>
      </c>
      <c r="CH6" s="22">
        <f t="shared" si="54"/>
        <v>0.49630624651907301</v>
      </c>
      <c r="CI6" s="22">
        <f t="shared" si="55"/>
        <v>9.243971159456435E-2</v>
      </c>
      <c r="CJ6" s="22"/>
      <c r="CK6" s="22">
        <f t="shared" si="56"/>
        <v>0.46027726841543187</v>
      </c>
      <c r="CL6" s="22">
        <f t="shared" si="57"/>
        <v>0.45313078610927282</v>
      </c>
      <c r="CM6" s="22">
        <f t="shared" si="58"/>
        <v>8.6591945475295293E-2</v>
      </c>
      <c r="CN6" s="1"/>
      <c r="CO6" s="26">
        <f t="shared" si="59"/>
        <v>0.87849533954727033</v>
      </c>
      <c r="CP6" s="26">
        <f t="shared" si="60"/>
        <v>5.1326990485728594E-3</v>
      </c>
      <c r="CQ6" s="26">
        <f t="shared" si="61"/>
        <v>6.3358179678305218E-2</v>
      </c>
      <c r="CR6" s="26">
        <f t="shared" si="62"/>
        <v>2.7633396934008815E-3</v>
      </c>
      <c r="CS6" s="26">
        <f t="shared" si="63"/>
        <v>7.3208072372999311E-2</v>
      </c>
      <c r="CT6" s="26">
        <f t="shared" si="64"/>
        <v>1.9030166337750214E-3</v>
      </c>
      <c r="CU6" s="26">
        <f t="shared" si="65"/>
        <v>0.39305210918114147</v>
      </c>
      <c r="CV6" s="26">
        <f t="shared" si="66"/>
        <v>0.3992510699001427</v>
      </c>
      <c r="CW6" s="26">
        <f t="shared" si="67"/>
        <v>8.0671184252984838E-3</v>
      </c>
      <c r="CX6" s="26">
        <f t="shared" si="68"/>
        <v>0</v>
      </c>
      <c r="CY6" s="26">
        <f t="shared" si="69"/>
        <v>0</v>
      </c>
      <c r="CZ6" s="26">
        <f t="shared" si="70"/>
        <v>0</v>
      </c>
      <c r="DA6" s="26">
        <f t="shared" si="71"/>
        <v>0</v>
      </c>
      <c r="DB6" s="26">
        <f t="shared" si="72"/>
        <v>1.8252309444809063</v>
      </c>
      <c r="DC6" s="26">
        <f t="shared" si="73"/>
        <v>2.7378861835499531</v>
      </c>
      <c r="DD6" s="26">
        <f t="shared" si="74"/>
        <v>2.1915034982806496</v>
      </c>
      <c r="DE6" s="26">
        <f t="shared" si="75"/>
        <v>6.0000871491439787</v>
      </c>
      <c r="DF6" s="1"/>
      <c r="DG6" s="22">
        <v>1.133840849833206</v>
      </c>
      <c r="DH6" s="14">
        <v>1629.1696699165168</v>
      </c>
      <c r="DI6" s="14">
        <v>99754.36184436694</v>
      </c>
      <c r="DJ6" s="14">
        <v>22363.235449393556</v>
      </c>
      <c r="DK6" s="14">
        <v>247190.26225923491</v>
      </c>
      <c r="DL6" s="14">
        <v>159312.88663167853</v>
      </c>
      <c r="DM6" s="96">
        <v>148.90654556317193</v>
      </c>
      <c r="DN6" s="14">
        <v>2901.3167777680687</v>
      </c>
      <c r="DO6" s="96">
        <v>354.84524071685809</v>
      </c>
      <c r="DP6" s="22">
        <v>1978.2938252521656</v>
      </c>
      <c r="DQ6" s="14">
        <v>1127.6434417877781</v>
      </c>
      <c r="DR6" s="22">
        <v>36.722330872674007</v>
      </c>
      <c r="DS6" s="22">
        <v>102.67791250948663</v>
      </c>
      <c r="DT6" s="22">
        <v>1.4662254029051838</v>
      </c>
      <c r="DU6" s="22">
        <v>24.302526835224516</v>
      </c>
      <c r="DV6" s="22">
        <v>0</v>
      </c>
      <c r="DW6" s="22">
        <v>16.810489899669754</v>
      </c>
      <c r="DX6" s="22">
        <v>16.080323937124717</v>
      </c>
      <c r="DY6" s="22">
        <v>11.204007847110843</v>
      </c>
      <c r="DZ6" s="22">
        <v>11.308066559417586</v>
      </c>
      <c r="EA6" s="22">
        <v>0</v>
      </c>
      <c r="EB6" s="22">
        <v>0</v>
      </c>
      <c r="EC6" s="22">
        <v>0.25714679408285779</v>
      </c>
      <c r="ED6" s="22">
        <v>0.43148515304032409</v>
      </c>
      <c r="EE6" s="22">
        <v>1.8007548695801032</v>
      </c>
      <c r="EF6" s="22">
        <v>0.39788089776883762</v>
      </c>
      <c r="EG6" s="22">
        <v>2.860033415494172</v>
      </c>
      <c r="EH6" s="22">
        <v>1.2902836859162745</v>
      </c>
      <c r="EI6" s="22">
        <v>0.50012624022972552</v>
      </c>
      <c r="EJ6" s="22">
        <v>1.697360798265716</v>
      </c>
      <c r="EK6" s="22">
        <v>0.30396697752882557</v>
      </c>
      <c r="EL6" s="22">
        <v>2.1810144975957511</v>
      </c>
      <c r="EM6" s="22">
        <v>0.48333134085782103</v>
      </c>
      <c r="EN6" s="22">
        <v>1.2957681330173225</v>
      </c>
      <c r="EO6" s="22">
        <v>0.16025188121191339</v>
      </c>
      <c r="EP6" s="22">
        <v>0.91221197068235016</v>
      </c>
      <c r="EQ6" s="22">
        <v>0.19362711208224465</v>
      </c>
      <c r="ER6" s="22">
        <v>0.67934092514486277</v>
      </c>
      <c r="ES6" s="22">
        <v>3.435009540871798E-2</v>
      </c>
      <c r="ET6" s="22">
        <v>6.4870748808710646E-2</v>
      </c>
      <c r="EU6" s="22">
        <v>1.0129157590525642E-2</v>
      </c>
      <c r="EV6" s="22">
        <v>2.418241596035564E-3</v>
      </c>
      <c r="EW6" s="22">
        <f>(EI6/0.05883)/SQRT((EH6/0.1536)*(EJ6/0.2069))</f>
        <v>1.0240636700295014</v>
      </c>
      <c r="EX6" s="22"/>
      <c r="EY6" s="22"/>
      <c r="EZ6" s="22"/>
      <c r="FA6" s="22"/>
      <c r="FB6" s="22"/>
      <c r="FC6" s="22"/>
      <c r="FD6" s="22"/>
      <c r="FE6" s="22"/>
      <c r="FF6" s="22"/>
      <c r="FG6" s="22"/>
      <c r="FH6" s="22"/>
      <c r="FI6" s="22">
        <f>-0.50354-2.23025*BP6+ N("eqn 18 Mg# R2 0.28 best")</f>
        <v>-2.3836157628055181</v>
      </c>
      <c r="FJ6" s="22"/>
      <c r="FK6" s="22">
        <f xml:space="preserve"> -0.03692  +  0.931085 + FX6   + N("488 NN Dy")</f>
        <v>0.47930771030723779</v>
      </c>
      <c r="FL6" s="22">
        <f>-0.48986  +   0    +   (1.071278 + 0) * GD6  +N("eqn 119 LnD Hf  (which has R2 of 0.51 for TS")</f>
        <v>-1.0585752448695742</v>
      </c>
      <c r="FM6" s="22"/>
      <c r="FN6" s="22"/>
      <c r="FO6" s="22">
        <f>3.94011-11.9214*BP6</f>
        <v>-6.1094966354488109</v>
      </c>
      <c r="FP6" s="22">
        <f xml:space="preserve">  -0.49862 +   1.013256 * FQ6 + N("294 NN")</f>
        <v>-2.4305224761397266</v>
      </c>
      <c r="FQ6" s="46">
        <f xml:space="preserve">  -0.73306   +   1.025016   *  FS6     +N("316 NN Nd")</f>
        <v>-1.9066282125541094</v>
      </c>
      <c r="FR6" s="46">
        <f xml:space="preserve">  -0.33671   +   1.013871 *  FS6    +N("340 NN")</f>
        <v>-1.4975180041974443</v>
      </c>
      <c r="FS6" s="46">
        <f>-0.42496     +   1.017678*FT6                 + N("361 NN")</f>
        <v>-1.1449267255868294</v>
      </c>
      <c r="FT6" s="46">
        <f xml:space="preserve"> 0.68509  -3.34181 * BP6 + 0.03095*(100*CK6) +N("642 cpx Mg# Wo R2 0.59")</f>
        <v>-0.70746024340393454</v>
      </c>
      <c r="FU6" s="46">
        <f xml:space="preserve"> -0.06599 + 0.926002 * FT6  + N("409 NN")</f>
        <v>-0.72109960031253018</v>
      </c>
      <c r="FV6" s="46">
        <f t="shared" ref="FV6" si="78">0.1453     +   0.925549*FT6     +N("424 LnD Sm")</f>
        <v>-0.50948912082226816</v>
      </c>
      <c r="FW6" s="46">
        <f xml:space="preserve">  0.053547 + 0.932974 * FV6  +  N("445 NN")</f>
        <v>-0.42179310301003481</v>
      </c>
      <c r="FX6" s="46">
        <f xml:space="preserve">  0.027177  +  0.867603 * FV6 + N("464 NN Gd")</f>
        <v>-0.41485728969276231</v>
      </c>
      <c r="FY6" s="46">
        <f xml:space="preserve">  -0.06187  +  0.953618 * FX6   + N("505 NN Dy")</f>
        <v>-0.45748537888223256</v>
      </c>
      <c r="FZ6" s="46">
        <f xml:space="preserve"> -0.05652 + 0.972005*FY6   +N("533 NN")</f>
        <v>-0.50119807570042441</v>
      </c>
      <c r="GA6" s="46">
        <f xml:space="preserve">     0.018586 + 0.960264 * FZ6    +N("549 LnD Er")</f>
        <v>-0.46269646896439237</v>
      </c>
      <c r="GB6" s="46">
        <f xml:space="preserve"> -0.02011 + 0.936315 * FZ6    +N("574 NN Er")</f>
        <v>-0.48938927624944289</v>
      </c>
      <c r="GC6" s="46">
        <f xml:space="preserve">   0.01732 + 1.006083 * GB6  +N("597 NN Yb")</f>
        <v>-0.47504623121686829</v>
      </c>
      <c r="GD6" s="46">
        <f>(-1.72947 +0 ) * (3.46258+0) * BQ6   - (1.87473 + 0) *BP6   + (0.03253+0) * (CK6*100)    +N("eqn625 aliv mg# wo")</f>
        <v>-0.5308755009153312</v>
      </c>
      <c r="GE6" s="46"/>
      <c r="GF6" s="46"/>
      <c r="GG6" s="46"/>
      <c r="GH6" s="46"/>
    </row>
    <row r="7" spans="1:190" x14ac:dyDescent="0.25">
      <c r="A7" s="5" t="s">
        <v>82</v>
      </c>
      <c r="B7" s="1">
        <v>30</v>
      </c>
      <c r="C7" s="98" t="s">
        <v>95</v>
      </c>
      <c r="D7" s="98" t="s">
        <v>103</v>
      </c>
      <c r="E7" s="1">
        <v>61</v>
      </c>
      <c r="F7" s="22">
        <v>48.6</v>
      </c>
      <c r="G7" s="22">
        <v>1.3120000000000001</v>
      </c>
      <c r="H7" s="22">
        <v>6.5</v>
      </c>
      <c r="I7" s="22">
        <v>2.9000000000000001E-2</v>
      </c>
      <c r="J7" s="22">
        <v>8.86</v>
      </c>
      <c r="K7" s="22">
        <v>0.21199999999999999</v>
      </c>
      <c r="L7" s="22">
        <v>13.5</v>
      </c>
      <c r="M7" s="22">
        <v>21.03</v>
      </c>
      <c r="N7" s="22">
        <v>0.312</v>
      </c>
      <c r="O7" s="22">
        <v>0</v>
      </c>
      <c r="P7" s="22">
        <v>0</v>
      </c>
      <c r="Q7" s="22"/>
      <c r="R7" s="22"/>
      <c r="S7" s="22">
        <f t="shared" si="0"/>
        <v>100.355</v>
      </c>
      <c r="T7" s="3"/>
      <c r="U7" s="22">
        <f t="shared" si="1"/>
        <v>6.6270497921250442</v>
      </c>
      <c r="V7" s="22">
        <f t="shared" si="2"/>
        <v>2.4814775660114368</v>
      </c>
      <c r="W7" s="22">
        <f t="shared" si="3"/>
        <v>100.60352735813649</v>
      </c>
      <c r="X7" s="1"/>
      <c r="Y7" s="1"/>
      <c r="Z7" s="1"/>
      <c r="AA7" s="1" t="s">
        <v>186</v>
      </c>
      <c r="AC7" s="1">
        <v>6</v>
      </c>
      <c r="AD7" s="1">
        <v>4</v>
      </c>
      <c r="AE7" s="1"/>
      <c r="AF7" s="26">
        <f t="shared" si="4"/>
        <v>1.8084280443319853</v>
      </c>
      <c r="AG7" s="26">
        <f t="shared" si="5"/>
        <v>3.6718984922174153E-2</v>
      </c>
      <c r="AH7" s="26">
        <f t="shared" si="6"/>
        <v>0.28504170919626631</v>
      </c>
      <c r="AI7" s="26">
        <f t="shared" si="7"/>
        <v>8.5311556673251573E-4</v>
      </c>
      <c r="AJ7" s="26">
        <f t="shared" si="8"/>
        <v>0.27567782736803231</v>
      </c>
      <c r="AK7" s="26">
        <f t="shared" si="9"/>
        <v>6.6809706642298782E-3</v>
      </c>
      <c r="AL7" s="26">
        <f t="shared" si="10"/>
        <v>0.7488996202334276</v>
      </c>
      <c r="AM7" s="26">
        <f t="shared" si="11"/>
        <v>0.83835151931686491</v>
      </c>
      <c r="AN7" s="26">
        <f t="shared" si="12"/>
        <v>2.2507533529255611E-2</v>
      </c>
      <c r="AO7" s="26">
        <f t="shared" si="13"/>
        <v>0</v>
      </c>
      <c r="AP7" s="26">
        <f t="shared" si="14"/>
        <v>0</v>
      </c>
      <c r="AQ7" s="26">
        <f t="shared" si="15"/>
        <v>0</v>
      </c>
      <c r="AR7" s="26">
        <f t="shared" si="16"/>
        <v>0</v>
      </c>
      <c r="AS7" s="26">
        <f t="shared" si="17"/>
        <v>4.0231593251289679</v>
      </c>
      <c r="AT7" s="26">
        <f t="shared" si="18"/>
        <v>2.0934697535282516</v>
      </c>
      <c r="AU7" s="26">
        <f t="shared" si="19"/>
        <v>0.86085905284612052</v>
      </c>
      <c r="AV7" s="47"/>
      <c r="AW7" s="26">
        <f t="shared" si="20"/>
        <v>1.798017824485749</v>
      </c>
      <c r="AX7" s="26">
        <f t="shared" si="21"/>
        <v>3.6507612008129527E-2</v>
      </c>
      <c r="AY7" s="26">
        <f t="shared" si="22"/>
        <v>0.28340086599690295</v>
      </c>
      <c r="AZ7" s="26">
        <f t="shared" si="23"/>
        <v>8.4820460517572754E-4</v>
      </c>
      <c r="BA7" s="26">
        <f t="shared" si="24"/>
        <v>0.20501286209888686</v>
      </c>
      <c r="BB7" s="26">
        <f t="shared" si="25"/>
        <v>6.90780252752492E-2</v>
      </c>
      <c r="BC7" s="26">
        <f t="shared" si="26"/>
        <v>6.6425116425293052E-3</v>
      </c>
      <c r="BD7" s="26">
        <f t="shared" si="27"/>
        <v>0.74458857799216838</v>
      </c>
      <c r="BE7" s="26">
        <f t="shared" si="28"/>
        <v>0.83352554703012194</v>
      </c>
      <c r="BF7" s="26">
        <f t="shared" si="29"/>
        <v>2.2377968865087489E-2</v>
      </c>
      <c r="BG7" s="26">
        <f t="shared" si="30"/>
        <v>0</v>
      </c>
      <c r="BH7" s="26">
        <f t="shared" si="31"/>
        <v>0</v>
      </c>
      <c r="BI7" s="26">
        <f t="shared" si="32"/>
        <v>0</v>
      </c>
      <c r="BJ7" s="26">
        <f t="shared" si="33"/>
        <v>0</v>
      </c>
      <c r="BK7" s="25">
        <f t="shared" si="34"/>
        <v>4.0000000000000009</v>
      </c>
      <c r="BL7" s="24">
        <f t="shared" si="35"/>
        <v>5.9999999999999991</v>
      </c>
      <c r="BM7" s="26">
        <f t="shared" si="36"/>
        <v>2.0814186904826517</v>
      </c>
      <c r="BN7" s="26">
        <f t="shared" si="37"/>
        <v>0.85590351589520941</v>
      </c>
      <c r="BO7" s="22"/>
      <c r="BP7" s="23">
        <f t="shared" si="38"/>
        <v>0.73093510108640858</v>
      </c>
      <c r="BQ7" s="26">
        <f t="shared" si="39"/>
        <v>0.20198217551425102</v>
      </c>
      <c r="BR7" s="26">
        <f t="shared" si="40"/>
        <v>8.1418690482651934E-2</v>
      </c>
      <c r="BS7" s="26"/>
      <c r="BT7" s="26">
        <f t="shared" si="41"/>
        <v>2.2507533529255611E-2</v>
      </c>
      <c r="BU7" s="26">
        <f t="shared" si="42"/>
        <v>5.9040721617564448E-2</v>
      </c>
      <c r="BV7" s="26">
        <f t="shared" si="43"/>
        <v>5.189832967386971E-2</v>
      </c>
      <c r="BW7" s="26">
        <f t="shared" si="44"/>
        <v>4.2655778336625786E-4</v>
      </c>
      <c r="BX7" s="26">
        <f t="shared" si="45"/>
        <v>0.72698591024206438</v>
      </c>
      <c r="BY7" s="26">
        <f t="shared" si="46"/>
        <v>0.14879576867969779</v>
      </c>
      <c r="BZ7" s="26">
        <f t="shared" si="47"/>
        <v>1.0096548215258183</v>
      </c>
      <c r="CA7" s="22"/>
      <c r="CB7" s="22">
        <f t="shared" si="48"/>
        <v>2.2377968865087489E-2</v>
      </c>
      <c r="CC7" s="22">
        <f t="shared" si="49"/>
        <v>0</v>
      </c>
      <c r="CD7" s="22">
        <f t="shared" si="50"/>
        <v>4.6700056410161714E-2</v>
      </c>
      <c r="CE7" s="22">
        <f t="shared" si="51"/>
        <v>8.4820460517572754E-4</v>
      </c>
      <c r="CF7" s="22">
        <f t="shared" si="52"/>
        <v>8.1418690482651934E-2</v>
      </c>
      <c r="CG7" s="22">
        <f t="shared" si="53"/>
        <v>0.36346828219861005</v>
      </c>
      <c r="CH7" s="22">
        <f t="shared" si="54"/>
        <v>0.49910860135090229</v>
      </c>
      <c r="CI7" s="22">
        <f t="shared" si="55"/>
        <v>0.13742311645048771</v>
      </c>
      <c r="CJ7" s="22"/>
      <c r="CK7" s="22">
        <f t="shared" si="56"/>
        <v>0.44840985409013773</v>
      </c>
      <c r="CL7" s="22">
        <f t="shared" si="57"/>
        <v>0.40056463392667385</v>
      </c>
      <c r="CM7" s="22">
        <f t="shared" si="58"/>
        <v>0.15102551198318839</v>
      </c>
      <c r="CN7" s="1"/>
      <c r="CO7" s="26">
        <f t="shared" si="59"/>
        <v>0.80892143808255668</v>
      </c>
      <c r="CP7" s="26">
        <f t="shared" si="60"/>
        <v>1.6424636955433152E-2</v>
      </c>
      <c r="CQ7" s="26">
        <f t="shared" si="61"/>
        <v>0.12750098077677521</v>
      </c>
      <c r="CR7" s="26">
        <f t="shared" si="62"/>
        <v>3.8160405289821696E-4</v>
      </c>
      <c r="CS7" s="26">
        <f t="shared" si="63"/>
        <v>0.12331245650661099</v>
      </c>
      <c r="CT7" s="26">
        <f t="shared" si="64"/>
        <v>2.9884409360022555E-3</v>
      </c>
      <c r="CU7" s="26">
        <f t="shared" si="65"/>
        <v>0.33498759305210918</v>
      </c>
      <c r="CV7" s="26">
        <f t="shared" si="66"/>
        <v>0.37500000000000006</v>
      </c>
      <c r="CW7" s="26">
        <f t="shared" si="67"/>
        <v>1.0067763794772507E-2</v>
      </c>
      <c r="CX7" s="26">
        <f t="shared" si="68"/>
        <v>0</v>
      </c>
      <c r="CY7" s="26">
        <f t="shared" si="69"/>
        <v>0</v>
      </c>
      <c r="CZ7" s="26">
        <f t="shared" si="70"/>
        <v>0</v>
      </c>
      <c r="DA7" s="26">
        <f t="shared" si="71"/>
        <v>0</v>
      </c>
      <c r="DB7" s="26">
        <f t="shared" si="72"/>
        <v>1.799584914157158</v>
      </c>
      <c r="DC7" s="26">
        <f t="shared" si="73"/>
        <v>2.6838383997125987</v>
      </c>
      <c r="DD7" s="26">
        <f t="shared" si="74"/>
        <v>2.2227347920803249</v>
      </c>
      <c r="DE7" s="26">
        <f t="shared" si="75"/>
        <v>5.9654609873623752</v>
      </c>
      <c r="DF7" s="1"/>
      <c r="DG7" s="22"/>
      <c r="DH7" s="14"/>
      <c r="DI7" s="14"/>
      <c r="DJ7" s="14"/>
      <c r="DK7" s="14"/>
      <c r="DL7" s="14"/>
      <c r="DM7" s="96"/>
      <c r="DN7" s="14"/>
      <c r="DO7" s="96"/>
      <c r="DP7" s="22"/>
      <c r="DQ7" s="14"/>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46"/>
      <c r="FR7" s="46"/>
      <c r="FS7" s="46"/>
      <c r="FT7" s="46"/>
      <c r="FU7" s="46"/>
      <c r="FV7" s="46"/>
      <c r="FW7" s="46"/>
      <c r="FX7" s="46"/>
      <c r="FY7" s="46"/>
      <c r="FZ7" s="46"/>
      <c r="GA7" s="46"/>
      <c r="GB7" s="46"/>
      <c r="GC7" s="46"/>
      <c r="GD7" s="46"/>
      <c r="GE7" s="46"/>
      <c r="GF7" s="46"/>
      <c r="GG7" s="46"/>
      <c r="GH7" s="46"/>
    </row>
    <row r="8" spans="1:190" x14ac:dyDescent="0.25">
      <c r="A8" s="5" t="s">
        <v>82</v>
      </c>
      <c r="B8" s="1">
        <v>50</v>
      </c>
      <c r="C8" s="98" t="s">
        <v>95</v>
      </c>
      <c r="D8" s="98" t="s">
        <v>103</v>
      </c>
      <c r="E8" s="1">
        <v>81</v>
      </c>
      <c r="F8" s="22">
        <v>52.07</v>
      </c>
      <c r="G8" s="22">
        <v>0.48499999999999999</v>
      </c>
      <c r="H8" s="22">
        <v>3.63</v>
      </c>
      <c r="I8" s="22">
        <v>0.161</v>
      </c>
      <c r="J8" s="22">
        <v>5.71</v>
      </c>
      <c r="K8" s="22">
        <v>0.14000000000000001</v>
      </c>
      <c r="L8" s="22">
        <v>15.63</v>
      </c>
      <c r="M8" s="22">
        <v>22.46</v>
      </c>
      <c r="N8" s="22">
        <v>0.27100000000000002</v>
      </c>
      <c r="O8" s="22">
        <v>0</v>
      </c>
      <c r="P8" s="22">
        <v>0</v>
      </c>
      <c r="Q8" s="22"/>
      <c r="R8" s="22"/>
      <c r="S8" s="22">
        <f t="shared" si="0"/>
        <v>100.557</v>
      </c>
      <c r="T8" s="3"/>
      <c r="U8" s="22">
        <f t="shared" si="1"/>
        <v>4.6663615581990925</v>
      </c>
      <c r="V8" s="22">
        <f t="shared" si="2"/>
        <v>1.1597954003733488</v>
      </c>
      <c r="W8" s="22">
        <f t="shared" si="3"/>
        <v>100.67315695857245</v>
      </c>
      <c r="X8" s="1"/>
      <c r="Y8" s="1"/>
      <c r="Z8" s="1"/>
      <c r="AA8" s="1" t="s">
        <v>185</v>
      </c>
      <c r="AC8" s="1">
        <v>6</v>
      </c>
      <c r="AD8" s="1">
        <v>4</v>
      </c>
      <c r="AE8" s="1"/>
      <c r="AF8" s="26">
        <f t="shared" si="4"/>
        <v>1.9050370542072073</v>
      </c>
      <c r="AG8" s="26">
        <f t="shared" si="5"/>
        <v>1.3345948852973376E-2</v>
      </c>
      <c r="AH8" s="26">
        <f t="shared" si="6"/>
        <v>0.15651377542772435</v>
      </c>
      <c r="AI8" s="26">
        <f t="shared" si="7"/>
        <v>4.6567897506674715E-3</v>
      </c>
      <c r="AJ8" s="26">
        <f t="shared" si="8"/>
        <v>0.17468479698926548</v>
      </c>
      <c r="AK8" s="26">
        <f t="shared" si="9"/>
        <v>4.3379308552478459E-3</v>
      </c>
      <c r="AL8" s="26">
        <f t="shared" si="10"/>
        <v>0.85251043892912803</v>
      </c>
      <c r="AM8" s="26">
        <f t="shared" si="11"/>
        <v>0.88033409185971545</v>
      </c>
      <c r="AN8" s="26">
        <f t="shared" si="12"/>
        <v>1.9221774957386594E-2</v>
      </c>
      <c r="AO8" s="26">
        <f t="shared" si="13"/>
        <v>0</v>
      </c>
      <c r="AP8" s="26">
        <f t="shared" si="14"/>
        <v>0</v>
      </c>
      <c r="AQ8" s="26">
        <f t="shared" si="15"/>
        <v>0</v>
      </c>
      <c r="AR8" s="26">
        <f t="shared" si="16"/>
        <v>0</v>
      </c>
      <c r="AS8" s="26">
        <f t="shared" si="17"/>
        <v>4.010642601829316</v>
      </c>
      <c r="AT8" s="26">
        <f t="shared" si="18"/>
        <v>2.0615508296349314</v>
      </c>
      <c r="AU8" s="26">
        <f t="shared" si="19"/>
        <v>0.89955586681710209</v>
      </c>
      <c r="AV8" s="47"/>
      <c r="AW8" s="26">
        <f t="shared" si="20"/>
        <v>1.8999818665849615</v>
      </c>
      <c r="AX8" s="26">
        <f t="shared" si="21"/>
        <v>1.331053417413567E-2</v>
      </c>
      <c r="AY8" s="26">
        <f t="shared" si="22"/>
        <v>0.15609845200999561</v>
      </c>
      <c r="AZ8" s="26">
        <f t="shared" si="23"/>
        <v>4.6444325391082593E-3</v>
      </c>
      <c r="BA8" s="26">
        <f t="shared" si="24"/>
        <v>0.14237817295034316</v>
      </c>
      <c r="BB8" s="26">
        <f t="shared" si="25"/>
        <v>3.1843082176791881E-2</v>
      </c>
      <c r="BC8" s="26">
        <f t="shared" si="26"/>
        <v>4.3264197645227712E-3</v>
      </c>
      <c r="BD8" s="26">
        <f t="shared" si="27"/>
        <v>0.85024822559884539</v>
      </c>
      <c r="BE8" s="26">
        <f t="shared" si="28"/>
        <v>0.87799804595720554</v>
      </c>
      <c r="BF8" s="26">
        <f t="shared" si="29"/>
        <v>1.917076824409061E-2</v>
      </c>
      <c r="BG8" s="26">
        <f t="shared" si="30"/>
        <v>0</v>
      </c>
      <c r="BH8" s="26">
        <f t="shared" si="31"/>
        <v>0</v>
      </c>
      <c r="BI8" s="26">
        <f t="shared" si="32"/>
        <v>0</v>
      </c>
      <c r="BJ8" s="26">
        <f t="shared" si="33"/>
        <v>0</v>
      </c>
      <c r="BK8" s="25">
        <f t="shared" si="34"/>
        <v>4.0000000000000009</v>
      </c>
      <c r="BL8" s="24">
        <f t="shared" si="35"/>
        <v>6</v>
      </c>
      <c r="BM8" s="26">
        <f t="shared" si="36"/>
        <v>2.0560803185949572</v>
      </c>
      <c r="BN8" s="26">
        <f t="shared" si="37"/>
        <v>0.89716881420129613</v>
      </c>
      <c r="BO8" s="22"/>
      <c r="BP8" s="23">
        <f t="shared" si="38"/>
        <v>0.82994002417360946</v>
      </c>
      <c r="BQ8" s="26">
        <f t="shared" si="39"/>
        <v>0.10001813341503851</v>
      </c>
      <c r="BR8" s="26">
        <f t="shared" si="40"/>
        <v>5.6080318594957101E-2</v>
      </c>
      <c r="BS8" s="26"/>
      <c r="BT8" s="26">
        <f t="shared" si="41"/>
        <v>1.9221774957386594E-2</v>
      </c>
      <c r="BU8" s="26">
        <f t="shared" si="42"/>
        <v>3.6909550350866488E-2</v>
      </c>
      <c r="BV8" s="26">
        <f t="shared" si="43"/>
        <v>3.7625543419523858E-2</v>
      </c>
      <c r="BW8" s="26">
        <f t="shared" si="44"/>
        <v>2.3283948753337357E-3</v>
      </c>
      <c r="BX8" s="26">
        <f t="shared" si="45"/>
        <v>0.80347060321399133</v>
      </c>
      <c r="BY8" s="26">
        <f t="shared" si="46"/>
        <v>0.11186231635220112</v>
      </c>
      <c r="BZ8" s="26">
        <f t="shared" si="47"/>
        <v>1.0114181831693032</v>
      </c>
      <c r="CA8" s="22"/>
      <c r="CB8" s="22">
        <f t="shared" si="48"/>
        <v>1.917076824409061E-2</v>
      </c>
      <c r="CC8" s="22">
        <f t="shared" si="49"/>
        <v>0</v>
      </c>
      <c r="CD8" s="22">
        <f t="shared" si="50"/>
        <v>1.2672313932701271E-2</v>
      </c>
      <c r="CE8" s="22">
        <f t="shared" si="51"/>
        <v>4.6444325391082593E-3</v>
      </c>
      <c r="CF8" s="22">
        <f t="shared" si="52"/>
        <v>5.6080318594957101E-2</v>
      </c>
      <c r="CG8" s="22">
        <f t="shared" si="53"/>
        <v>0.41188587456726478</v>
      </c>
      <c r="CH8" s="22">
        <f t="shared" si="54"/>
        <v>0.50375749862149255</v>
      </c>
      <c r="CI8" s="22">
        <f t="shared" si="55"/>
        <v>8.435662681124273E-2</v>
      </c>
      <c r="CJ8" s="22"/>
      <c r="CK8" s="22">
        <f t="shared" si="56"/>
        <v>0.46045774772512021</v>
      </c>
      <c r="CL8" s="22">
        <f t="shared" si="57"/>
        <v>0.44590461763465761</v>
      </c>
      <c r="CM8" s="22">
        <f t="shared" si="58"/>
        <v>9.3637634640222123E-2</v>
      </c>
      <c r="CN8" s="1"/>
      <c r="CO8" s="26">
        <f t="shared" si="59"/>
        <v>0.86667776298268973</v>
      </c>
      <c r="CP8" s="26">
        <f t="shared" si="60"/>
        <v>6.0716074111166751E-3</v>
      </c>
      <c r="CQ8" s="26">
        <f t="shared" si="61"/>
        <v>7.1204393879952921E-2</v>
      </c>
      <c r="CR8" s="26">
        <f t="shared" si="62"/>
        <v>2.1185604316073425E-3</v>
      </c>
      <c r="CS8" s="26">
        <f t="shared" si="63"/>
        <v>7.9471120389700778E-2</v>
      </c>
      <c r="CT8" s="26">
        <f t="shared" si="64"/>
        <v>1.9734987313222443E-3</v>
      </c>
      <c r="CU8" s="26">
        <f t="shared" si="65"/>
        <v>0.38784119106699755</v>
      </c>
      <c r="CV8" s="26">
        <f t="shared" si="66"/>
        <v>0.40049928673323826</v>
      </c>
      <c r="CW8" s="26">
        <f t="shared" si="67"/>
        <v>8.7447563730235576E-3</v>
      </c>
      <c r="CX8" s="26">
        <f t="shared" si="68"/>
        <v>0</v>
      </c>
      <c r="CY8" s="26">
        <f t="shared" si="69"/>
        <v>0</v>
      </c>
      <c r="CZ8" s="26">
        <f t="shared" si="70"/>
        <v>0</v>
      </c>
      <c r="DA8" s="26">
        <f t="shared" si="71"/>
        <v>0</v>
      </c>
      <c r="DB8" s="26">
        <f t="shared" si="72"/>
        <v>1.8246021779996489</v>
      </c>
      <c r="DC8" s="26">
        <f t="shared" si="73"/>
        <v>2.7296406473627242</v>
      </c>
      <c r="DD8" s="26">
        <f t="shared" si="74"/>
        <v>2.1922587006803242</v>
      </c>
      <c r="DE8" s="26">
        <f t="shared" si="75"/>
        <v>5.9840784589116049</v>
      </c>
      <c r="DF8" s="1"/>
      <c r="DG8" s="22"/>
      <c r="DH8" s="14"/>
      <c r="DI8" s="14"/>
      <c r="DJ8" s="14"/>
      <c r="DK8" s="14"/>
      <c r="DL8" s="14"/>
      <c r="DM8" s="96"/>
      <c r="DN8" s="14"/>
      <c r="DO8" s="96"/>
      <c r="DP8" s="22"/>
      <c r="DQ8" s="14"/>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46"/>
      <c r="FR8" s="46"/>
      <c r="FS8" s="46"/>
      <c r="FT8" s="46"/>
      <c r="FU8" s="46"/>
      <c r="FV8" s="46"/>
      <c r="FW8" s="46"/>
      <c r="FX8" s="46"/>
      <c r="FY8" s="46"/>
      <c r="FZ8" s="46"/>
      <c r="GA8" s="46"/>
      <c r="GB8" s="46"/>
      <c r="GC8" s="46"/>
      <c r="GD8" s="46"/>
      <c r="GE8" s="46"/>
      <c r="GF8" s="46"/>
      <c r="GG8" s="46"/>
      <c r="GH8" s="46"/>
    </row>
    <row r="9" spans="1:190" x14ac:dyDescent="0.25">
      <c r="A9" s="5" t="s">
        <v>90</v>
      </c>
      <c r="B9" s="1">
        <v>307</v>
      </c>
      <c r="C9" s="98" t="s">
        <v>95</v>
      </c>
      <c r="D9" s="98" t="s">
        <v>105</v>
      </c>
      <c r="E9" s="1">
        <v>139</v>
      </c>
      <c r="F9" s="22">
        <v>52.81</v>
      </c>
      <c r="G9" s="22">
        <v>0.106</v>
      </c>
      <c r="H9" s="22">
        <v>0.45</v>
      </c>
      <c r="I9" s="22">
        <v>4.4999999999999998E-2</v>
      </c>
      <c r="J9" s="22">
        <v>10.52</v>
      </c>
      <c r="K9" s="22">
        <v>0.35399999999999998</v>
      </c>
      <c r="L9" s="22">
        <v>13.11</v>
      </c>
      <c r="M9" s="22">
        <v>21.82</v>
      </c>
      <c r="N9" s="22">
        <v>0.56100000000000005</v>
      </c>
      <c r="O9" s="22">
        <v>0</v>
      </c>
      <c r="P9" s="22">
        <v>0</v>
      </c>
      <c r="Q9" s="22"/>
      <c r="R9" s="22"/>
      <c r="S9" s="22">
        <f t="shared" si="0"/>
        <v>99.77600000000001</v>
      </c>
      <c r="T9" s="3"/>
      <c r="U9" s="22">
        <f t="shared" si="1"/>
        <v>8.9617866981159136</v>
      </c>
      <c r="V9" s="22">
        <f t="shared" si="2"/>
        <v>1.7316424423837842</v>
      </c>
      <c r="W9" s="22">
        <f t="shared" si="3"/>
        <v>99.949429140499703</v>
      </c>
      <c r="X9" s="1"/>
      <c r="Y9" s="1"/>
      <c r="Z9" s="1"/>
      <c r="AA9" s="1" t="s">
        <v>185</v>
      </c>
      <c r="AC9" s="1">
        <v>6</v>
      </c>
      <c r="AD9" s="1">
        <v>4</v>
      </c>
      <c r="AE9" s="1"/>
      <c r="AF9" s="26">
        <f t="shared" si="4"/>
        <v>1.9904569305159652</v>
      </c>
      <c r="AG9" s="26">
        <f t="shared" si="5"/>
        <v>3.0049299362915594E-3</v>
      </c>
      <c r="AH9" s="26">
        <f t="shared" si="6"/>
        <v>1.9988454867601872E-2</v>
      </c>
      <c r="AI9" s="26">
        <f t="shared" si="7"/>
        <v>1.3408927286668113E-3</v>
      </c>
      <c r="AJ9" s="26">
        <f t="shared" si="8"/>
        <v>0.33155494424067466</v>
      </c>
      <c r="AK9" s="26">
        <f t="shared" si="9"/>
        <v>1.1300004570974581E-2</v>
      </c>
      <c r="AL9" s="26">
        <f t="shared" si="10"/>
        <v>0.73665507781422679</v>
      </c>
      <c r="AM9" s="26">
        <f t="shared" si="11"/>
        <v>0.88107581962515824</v>
      </c>
      <c r="AN9" s="26">
        <f t="shared" si="12"/>
        <v>4.0992822900099868E-2</v>
      </c>
      <c r="AO9" s="26">
        <f t="shared" si="13"/>
        <v>0</v>
      </c>
      <c r="AP9" s="26">
        <f t="shared" si="14"/>
        <v>0</v>
      </c>
      <c r="AQ9" s="26">
        <f t="shared" si="15"/>
        <v>0</v>
      </c>
      <c r="AR9" s="26">
        <f t="shared" si="16"/>
        <v>0</v>
      </c>
      <c r="AS9" s="26">
        <f t="shared" si="17"/>
        <v>4.0163698771996597</v>
      </c>
      <c r="AT9" s="26">
        <f t="shared" si="18"/>
        <v>2.0104453853835671</v>
      </c>
      <c r="AU9" s="26">
        <f t="shared" si="19"/>
        <v>0.92206864252525811</v>
      </c>
      <c r="AV9" s="47"/>
      <c r="AW9" s="26">
        <f t="shared" si="20"/>
        <v>1.9823442475410409</v>
      </c>
      <c r="AX9" s="26">
        <f t="shared" si="21"/>
        <v>2.9926824751376657E-3</v>
      </c>
      <c r="AY9" s="26">
        <f t="shared" si="22"/>
        <v>1.9906986137978366E-2</v>
      </c>
      <c r="AZ9" s="26">
        <f t="shared" si="23"/>
        <v>1.3354275324878439E-3</v>
      </c>
      <c r="BA9" s="26">
        <f t="shared" si="24"/>
        <v>0.2812941250705982</v>
      </c>
      <c r="BB9" s="26">
        <f t="shared" si="25"/>
        <v>4.8909471090067491E-2</v>
      </c>
      <c r="BC9" s="26">
        <f t="shared" si="26"/>
        <v>1.125394813373444E-2</v>
      </c>
      <c r="BD9" s="26">
        <f t="shared" si="27"/>
        <v>0.73365262696158462</v>
      </c>
      <c r="BE9" s="26">
        <f t="shared" si="28"/>
        <v>0.8774847402644822</v>
      </c>
      <c r="BF9" s="26">
        <f t="shared" si="29"/>
        <v>4.0825744792888814E-2</v>
      </c>
      <c r="BG9" s="26">
        <f t="shared" si="30"/>
        <v>0</v>
      </c>
      <c r="BH9" s="26">
        <f t="shared" si="31"/>
        <v>0</v>
      </c>
      <c r="BI9" s="26">
        <f t="shared" si="32"/>
        <v>0</v>
      </c>
      <c r="BJ9" s="26">
        <f t="shared" si="33"/>
        <v>0</v>
      </c>
      <c r="BK9" s="25">
        <f t="shared" si="34"/>
        <v>4.0000000000000009</v>
      </c>
      <c r="BL9" s="24">
        <f t="shared" si="35"/>
        <v>6.0000000000000018</v>
      </c>
      <c r="BM9" s="26">
        <f t="shared" si="36"/>
        <v>2.0022512336790195</v>
      </c>
      <c r="BN9" s="26">
        <f t="shared" si="37"/>
        <v>0.91831048505737101</v>
      </c>
      <c r="BO9" s="22"/>
      <c r="BP9" s="23">
        <f t="shared" si="38"/>
        <v>0.6896163325608321</v>
      </c>
      <c r="BQ9" s="26">
        <f t="shared" si="39"/>
        <v>1.7655752458959117E-2</v>
      </c>
      <c r="BR9" s="26">
        <f t="shared" si="40"/>
        <v>2.2512336790192489E-3</v>
      </c>
      <c r="BS9" s="26"/>
      <c r="BT9" s="26">
        <f t="shared" si="41"/>
        <v>2.2512336790192489E-3</v>
      </c>
      <c r="BU9" s="26">
        <f t="shared" si="42"/>
        <v>0</v>
      </c>
      <c r="BV9" s="26">
        <f t="shared" si="43"/>
        <v>2.2512336790192489E-3</v>
      </c>
      <c r="BW9" s="26">
        <f t="shared" si="44"/>
        <v>6.7044636433340567E-4</v>
      </c>
      <c r="BX9" s="26">
        <f t="shared" si="45"/>
        <v>0.87815413958180555</v>
      </c>
      <c r="BY9" s="26">
        <f t="shared" si="46"/>
        <v>9.5027941236548008E-2</v>
      </c>
      <c r="BZ9" s="26">
        <f t="shared" si="47"/>
        <v>0.9783549945407255</v>
      </c>
      <c r="CA9" s="22"/>
      <c r="CB9" s="22">
        <f t="shared" si="48"/>
        <v>4.0825744792888814E-2</v>
      </c>
      <c r="CC9" s="22">
        <f t="shared" si="49"/>
        <v>0</v>
      </c>
      <c r="CD9" s="22">
        <f t="shared" si="50"/>
        <v>8.0837262971786769E-3</v>
      </c>
      <c r="CE9" s="22">
        <f t="shared" si="51"/>
        <v>1.3354275324878439E-3</v>
      </c>
      <c r="CF9" s="22">
        <f t="shared" si="52"/>
        <v>2.2512336790192489E-3</v>
      </c>
      <c r="CG9" s="22">
        <f t="shared" si="53"/>
        <v>0.45332004877434262</v>
      </c>
      <c r="CH9" s="22">
        <f t="shared" si="54"/>
        <v>0.39516672329940811</v>
      </c>
      <c r="CI9" s="22">
        <f t="shared" si="55"/>
        <v>0.15151322792624933</v>
      </c>
      <c r="CJ9" s="22"/>
      <c r="CK9" s="22">
        <f t="shared" si="56"/>
        <v>0.44939415497154672</v>
      </c>
      <c r="CL9" s="22">
        <f t="shared" si="57"/>
        <v>0.37573212069383938</v>
      </c>
      <c r="CM9" s="22">
        <f t="shared" si="58"/>
        <v>0.17487372433461398</v>
      </c>
      <c r="CN9" s="1"/>
      <c r="CO9" s="26">
        <f t="shared" si="59"/>
        <v>0.87899467376830898</v>
      </c>
      <c r="CP9" s="26">
        <f t="shared" si="60"/>
        <v>1.3269904857285929E-3</v>
      </c>
      <c r="CQ9" s="26">
        <f t="shared" si="61"/>
        <v>8.826990976853669E-3</v>
      </c>
      <c r="CR9" s="26">
        <f t="shared" si="62"/>
        <v>5.9214422001447459E-4</v>
      </c>
      <c r="CS9" s="26">
        <f t="shared" si="63"/>
        <v>0.14641614474599862</v>
      </c>
      <c r="CT9" s="26">
        <f t="shared" si="64"/>
        <v>4.9901325063433886E-3</v>
      </c>
      <c r="CU9" s="26">
        <f t="shared" si="65"/>
        <v>0.3253101736972705</v>
      </c>
      <c r="CV9" s="26">
        <f t="shared" si="66"/>
        <v>0.38908701854493583</v>
      </c>
      <c r="CW9" s="26">
        <f t="shared" si="67"/>
        <v>1.8102613746369799E-2</v>
      </c>
      <c r="CX9" s="26">
        <f t="shared" si="68"/>
        <v>0</v>
      </c>
      <c r="CY9" s="26">
        <f t="shared" si="69"/>
        <v>0</v>
      </c>
      <c r="CZ9" s="26">
        <f t="shared" si="70"/>
        <v>0</v>
      </c>
      <c r="DA9" s="26">
        <f t="shared" si="71"/>
        <v>0</v>
      </c>
      <c r="DB9" s="26">
        <f t="shared" si="72"/>
        <v>1.7736468826918237</v>
      </c>
      <c r="DC9" s="26">
        <f t="shared" si="73"/>
        <v>2.6496268076711105</v>
      </c>
      <c r="DD9" s="26">
        <f t="shared" si="74"/>
        <v>2.2552403406980823</v>
      </c>
      <c r="DE9" s="26">
        <f t="shared" si="75"/>
        <v>5.9755452644549676</v>
      </c>
      <c r="DF9" s="1"/>
      <c r="DG9" s="22">
        <v>3.0957956143705552</v>
      </c>
      <c r="DH9" s="14">
        <v>3825.1661031671301</v>
      </c>
      <c r="DI9" s="14">
        <v>73766.730809727364</v>
      </c>
      <c r="DJ9" s="14">
        <v>2060.7388697711017</v>
      </c>
      <c r="DK9" s="14">
        <v>247030.37072308044</v>
      </c>
      <c r="DL9" s="14">
        <v>155697.99238792609</v>
      </c>
      <c r="DM9" s="96">
        <v>147.62308843620747</v>
      </c>
      <c r="DN9" s="14">
        <v>499.69343979692513</v>
      </c>
      <c r="DO9" s="96">
        <v>261.71523712914239</v>
      </c>
      <c r="DP9" s="22">
        <v>14.240135940659549</v>
      </c>
      <c r="DQ9" s="14">
        <v>1540.8607167739733</v>
      </c>
      <c r="DR9" s="22">
        <v>25.86701276519884</v>
      </c>
      <c r="DS9" s="22">
        <v>37.920014623201808</v>
      </c>
      <c r="DT9" s="22">
        <v>0.8635758163867886</v>
      </c>
      <c r="DU9" s="22">
        <v>19.22578659051176</v>
      </c>
      <c r="DV9" s="22">
        <v>0.24492240337873294</v>
      </c>
      <c r="DW9" s="22">
        <v>8.8038392290623371</v>
      </c>
      <c r="DX9" s="22">
        <v>9.375148565141636</v>
      </c>
      <c r="DY9" s="22">
        <v>68.937480785948182</v>
      </c>
      <c r="DZ9" s="22">
        <v>18.530050876447312</v>
      </c>
      <c r="EA9" s="22">
        <v>0.14404112848463874</v>
      </c>
      <c r="EB9" s="22">
        <v>0</v>
      </c>
      <c r="EC9" s="22">
        <v>1.4113241304004589</v>
      </c>
      <c r="ED9" s="22">
        <v>18.519088958375942</v>
      </c>
      <c r="EE9" s="22">
        <v>59.821262015490674</v>
      </c>
      <c r="EF9" s="22">
        <v>8.6226614128794683</v>
      </c>
      <c r="EG9" s="22">
        <v>42.784997421719567</v>
      </c>
      <c r="EH9" s="22">
        <v>9.2094485336853875</v>
      </c>
      <c r="EI9" s="22">
        <v>1.071522887157031</v>
      </c>
      <c r="EJ9" s="22">
        <v>11.524427731646162</v>
      </c>
      <c r="EK9" s="22">
        <v>1.6738039673584739</v>
      </c>
      <c r="EL9" s="22">
        <v>10.549223742643559</v>
      </c>
      <c r="EM9" s="22">
        <v>2.7379017425132099</v>
      </c>
      <c r="EN9" s="22">
        <v>7.8191608863421811</v>
      </c>
      <c r="EO9" s="22">
        <v>1.2809205736611391</v>
      </c>
      <c r="EP9" s="22">
        <v>10.237855794716401</v>
      </c>
      <c r="EQ9" s="22">
        <v>1.8446010279698857</v>
      </c>
      <c r="ER9" s="22">
        <v>1.8218998504171853</v>
      </c>
      <c r="ES9" s="22">
        <v>0</v>
      </c>
      <c r="ET9" s="22">
        <v>2.0545385206251221</v>
      </c>
      <c r="EU9" s="22">
        <v>0.22486594308428787</v>
      </c>
      <c r="EV9" s="22">
        <v>7.4597731238463708E-2</v>
      </c>
      <c r="EW9" s="22">
        <f>(EI9/0.05883)/SQRT((EH9/0.1536)*(EJ9/0.2069))</f>
        <v>0.31517514371943711</v>
      </c>
      <c r="EX9" s="22"/>
      <c r="EY9" s="22"/>
      <c r="EZ9" s="22"/>
      <c r="FA9" s="22"/>
      <c r="FB9" s="22"/>
      <c r="FC9" s="22"/>
      <c r="FD9" s="22"/>
      <c r="FE9" s="22"/>
      <c r="FF9" s="22"/>
      <c r="FG9" s="22"/>
      <c r="FH9" s="22"/>
      <c r="FI9" s="22">
        <f>-0.50354-2.23025*BP9+ N("eqn 18 Mg# R2 0.28 best")</f>
        <v>-2.0415568256937955</v>
      </c>
      <c r="FJ9" s="22"/>
      <c r="FK9" s="22">
        <f xml:space="preserve"> -0.03692  +  0.931085 + FX9   + N("488 NN Dy")</f>
        <v>0.8941650000000001</v>
      </c>
      <c r="FL9" s="22">
        <f>-0.48986  +   0    +   (1.071278 + 0) * GD9  +N("eqn 119 LnD Hf  (which has R2 of 0.51 for TS")</f>
        <v>-0.48986000000000002</v>
      </c>
      <c r="FM9" s="22"/>
      <c r="FN9" s="22"/>
      <c r="FO9" s="22">
        <f>3.94011-11.9214*BP9</f>
        <v>-4.2810821469907046</v>
      </c>
      <c r="FP9" s="22">
        <f xml:space="preserve">  -0.49862 +   1.013256 * FQ9 + N("294 NN")</f>
        <v>-0.49862000000000001</v>
      </c>
      <c r="FQ9" s="46"/>
      <c r="FR9" s="46"/>
      <c r="FS9" s="46"/>
      <c r="FT9" s="46"/>
      <c r="FU9" s="46"/>
      <c r="FV9" s="46"/>
      <c r="FW9" s="46"/>
      <c r="FX9" s="46"/>
      <c r="FY9" s="46"/>
      <c r="FZ9" s="46"/>
      <c r="GA9" s="46"/>
      <c r="GB9" s="46"/>
      <c r="GC9" s="46"/>
      <c r="GD9" s="46"/>
      <c r="GE9" s="46"/>
      <c r="GF9" s="46"/>
      <c r="GG9" s="46"/>
      <c r="GH9" s="46"/>
    </row>
    <row r="10" spans="1:190" x14ac:dyDescent="0.25">
      <c r="A10" s="5" t="s">
        <v>90</v>
      </c>
      <c r="B10" s="1">
        <v>308</v>
      </c>
      <c r="C10" s="98" t="s">
        <v>95</v>
      </c>
      <c r="D10" s="98" t="s">
        <v>105</v>
      </c>
      <c r="E10" s="1">
        <v>140</v>
      </c>
      <c r="F10" s="22">
        <v>52.95</v>
      </c>
      <c r="G10" s="22">
        <v>0.14899999999999999</v>
      </c>
      <c r="H10" s="22">
        <v>0.67200000000000004</v>
      </c>
      <c r="I10" s="22">
        <v>0.04</v>
      </c>
      <c r="J10" s="22">
        <v>8.9700000000000006</v>
      </c>
      <c r="K10" s="22">
        <v>0.121</v>
      </c>
      <c r="L10" s="22">
        <v>13.32</v>
      </c>
      <c r="M10" s="22">
        <v>22.21</v>
      </c>
      <c r="N10" s="22">
        <v>0.82</v>
      </c>
      <c r="O10" s="22">
        <v>0</v>
      </c>
      <c r="P10" s="22">
        <v>0</v>
      </c>
      <c r="Q10" s="22"/>
      <c r="R10" s="22"/>
      <c r="S10" s="22">
        <f t="shared" si="0"/>
        <v>99.25200000000001</v>
      </c>
      <c r="T10" s="3"/>
      <c r="U10" s="22">
        <f t="shared" si="1"/>
        <v>7.3288274019683586</v>
      </c>
      <c r="V10" s="22">
        <f t="shared" si="2"/>
        <v>1.8238351081925641</v>
      </c>
      <c r="W10" s="22">
        <f t="shared" si="3"/>
        <v>99.434662510160933</v>
      </c>
      <c r="X10" s="1"/>
      <c r="Y10" s="1"/>
      <c r="Z10" s="1"/>
      <c r="AA10" s="1" t="s">
        <v>185</v>
      </c>
      <c r="AC10" s="1">
        <v>6</v>
      </c>
      <c r="AD10" s="1">
        <v>4</v>
      </c>
      <c r="AE10" s="1"/>
      <c r="AF10" s="26">
        <f t="shared" si="4"/>
        <v>1.9929828037933051</v>
      </c>
      <c r="AG10" s="26">
        <f t="shared" si="5"/>
        <v>4.2180888473724188E-3</v>
      </c>
      <c r="AH10" s="26">
        <f t="shared" si="6"/>
        <v>2.9808282462406514E-2</v>
      </c>
      <c r="AI10" s="26">
        <f t="shared" si="7"/>
        <v>1.1902617652896055E-3</v>
      </c>
      <c r="AJ10" s="26">
        <f t="shared" si="8"/>
        <v>0.28231449804908026</v>
      </c>
      <c r="AK10" s="26">
        <f t="shared" si="9"/>
        <v>3.8571070923439569E-3</v>
      </c>
      <c r="AL10" s="26">
        <f t="shared" si="10"/>
        <v>0.747423398762038</v>
      </c>
      <c r="AM10" s="26">
        <f t="shared" si="11"/>
        <v>0.89558758504333413</v>
      </c>
      <c r="AN10" s="26">
        <f t="shared" si="12"/>
        <v>5.9835618860608689E-2</v>
      </c>
      <c r="AO10" s="26">
        <f t="shared" si="13"/>
        <v>0</v>
      </c>
      <c r="AP10" s="26">
        <f t="shared" si="14"/>
        <v>0</v>
      </c>
      <c r="AQ10" s="26">
        <f t="shared" si="15"/>
        <v>0</v>
      </c>
      <c r="AR10" s="26">
        <f t="shared" si="16"/>
        <v>0</v>
      </c>
      <c r="AS10" s="26">
        <f t="shared" si="17"/>
        <v>4.017217644675779</v>
      </c>
      <c r="AT10" s="26">
        <f t="shared" si="18"/>
        <v>2.0227910862557117</v>
      </c>
      <c r="AU10" s="26">
        <f t="shared" si="19"/>
        <v>0.95542320390394286</v>
      </c>
      <c r="AV10" s="47"/>
      <c r="AW10" s="26">
        <f t="shared" si="20"/>
        <v>1.9844409539868526</v>
      </c>
      <c r="AX10" s="26">
        <f t="shared" si="21"/>
        <v>4.2000102762297323E-3</v>
      </c>
      <c r="AY10" s="26">
        <f t="shared" si="22"/>
        <v>2.9680525277900174E-2</v>
      </c>
      <c r="AZ10" s="26">
        <f t="shared" si="23"/>
        <v>1.1851603478513237E-3</v>
      </c>
      <c r="BA10" s="26">
        <f t="shared" si="24"/>
        <v>0.22967295717965514</v>
      </c>
      <c r="BB10" s="26">
        <f t="shared" si="25"/>
        <v>5.1431551482698179E-2</v>
      </c>
      <c r="BC10" s="26">
        <f t="shared" si="26"/>
        <v>3.8405756755111094E-3</v>
      </c>
      <c r="BD10" s="26">
        <f t="shared" si="27"/>
        <v>0.74421997001097107</v>
      </c>
      <c r="BE10" s="26">
        <f t="shared" si="28"/>
        <v>0.89174913012771562</v>
      </c>
      <c r="BF10" s="26">
        <f t="shared" si="29"/>
        <v>5.9579165634614635E-2</v>
      </c>
      <c r="BG10" s="26">
        <f t="shared" si="30"/>
        <v>0</v>
      </c>
      <c r="BH10" s="26">
        <f t="shared" si="31"/>
        <v>0</v>
      </c>
      <c r="BI10" s="26">
        <f t="shared" si="32"/>
        <v>0</v>
      </c>
      <c r="BJ10" s="26">
        <f t="shared" si="33"/>
        <v>0</v>
      </c>
      <c r="BK10" s="25">
        <f t="shared" si="34"/>
        <v>3.9999999999999991</v>
      </c>
      <c r="BL10" s="24">
        <f t="shared" si="35"/>
        <v>6</v>
      </c>
      <c r="BM10" s="26">
        <f t="shared" si="36"/>
        <v>2.0141214792647526</v>
      </c>
      <c r="BN10" s="26">
        <f t="shared" si="37"/>
        <v>0.95132829576233024</v>
      </c>
      <c r="BO10" s="22"/>
      <c r="BP10" s="23">
        <f t="shared" si="38"/>
        <v>0.72583848868401479</v>
      </c>
      <c r="BQ10" s="26">
        <f t="shared" si="39"/>
        <v>1.5559046013147393E-2</v>
      </c>
      <c r="BR10" s="26">
        <f t="shared" si="40"/>
        <v>1.4121479264752781E-2</v>
      </c>
      <c r="BS10" s="26"/>
      <c r="BT10" s="26">
        <f t="shared" si="41"/>
        <v>1.4121479264752781E-2</v>
      </c>
      <c r="BU10" s="26">
        <f t="shared" si="42"/>
        <v>0</v>
      </c>
      <c r="BV10" s="26">
        <f t="shared" si="43"/>
        <v>1.4121479264752781E-2</v>
      </c>
      <c r="BW10" s="26">
        <f t="shared" si="44"/>
        <v>5.9513088264480276E-4</v>
      </c>
      <c r="BX10" s="26">
        <f t="shared" si="45"/>
        <v>0.88087097489593646</v>
      </c>
      <c r="BY10" s="26">
        <f t="shared" si="46"/>
        <v>7.4433460957590847E-2</v>
      </c>
      <c r="BZ10" s="26">
        <f t="shared" si="47"/>
        <v>0.98414252526567769</v>
      </c>
      <c r="CA10" s="22"/>
      <c r="CB10" s="22">
        <f t="shared" si="48"/>
        <v>5.1431551482698179E-2</v>
      </c>
      <c r="CC10" s="22">
        <f t="shared" si="49"/>
        <v>8.147614151916456E-3</v>
      </c>
      <c r="CD10" s="22">
        <f t="shared" si="50"/>
        <v>0</v>
      </c>
      <c r="CE10" s="22">
        <f t="shared" si="51"/>
        <v>1.1851603478513237E-3</v>
      </c>
      <c r="CF10" s="22">
        <f t="shared" si="52"/>
        <v>5.9738651128363254E-3</v>
      </c>
      <c r="CG10" s="22">
        <f t="shared" si="53"/>
        <v>0.46801082807486305</v>
      </c>
      <c r="CH10" s="22">
        <f t="shared" si="54"/>
        <v>0.40653028122750851</v>
      </c>
      <c r="CI10" s="22">
        <f t="shared" si="55"/>
        <v>0.12545889069762842</v>
      </c>
      <c r="CJ10" s="22"/>
      <c r="CK10" s="22">
        <f t="shared" si="56"/>
        <v>0.46423163373678616</v>
      </c>
      <c r="CL10" s="22">
        <f t="shared" si="57"/>
        <v>0.38743009761978042</v>
      </c>
      <c r="CM10" s="22">
        <f t="shared" si="58"/>
        <v>0.14833826864343339</v>
      </c>
      <c r="CN10" s="1"/>
      <c r="CO10" s="26">
        <f t="shared" si="59"/>
        <v>0.8813249001331559</v>
      </c>
      <c r="CP10" s="26">
        <f t="shared" si="60"/>
        <v>1.8652979469203806E-3</v>
      </c>
      <c r="CQ10" s="26">
        <f t="shared" si="61"/>
        <v>1.3181639858768145E-2</v>
      </c>
      <c r="CR10" s="26">
        <f t="shared" si="62"/>
        <v>5.2635041779064407E-4</v>
      </c>
      <c r="CS10" s="26">
        <f t="shared" si="63"/>
        <v>0.12484342379958248</v>
      </c>
      <c r="CT10" s="26">
        <f t="shared" si="64"/>
        <v>1.7056667606427968E-3</v>
      </c>
      <c r="CU10" s="26">
        <f t="shared" si="65"/>
        <v>0.33052109181141442</v>
      </c>
      <c r="CV10" s="26">
        <f t="shared" si="66"/>
        <v>0.3960413694721826</v>
      </c>
      <c r="CW10" s="26">
        <f t="shared" si="67"/>
        <v>2.6460148434979024E-2</v>
      </c>
      <c r="CX10" s="26">
        <f t="shared" si="68"/>
        <v>0</v>
      </c>
      <c r="CY10" s="26">
        <f t="shared" si="69"/>
        <v>0</v>
      </c>
      <c r="CZ10" s="26">
        <f t="shared" si="70"/>
        <v>0</v>
      </c>
      <c r="DA10" s="26">
        <f t="shared" si="71"/>
        <v>0</v>
      </c>
      <c r="DB10" s="26">
        <f t="shared" si="72"/>
        <v>1.7764698886354364</v>
      </c>
      <c r="DC10" s="26">
        <f t="shared" si="73"/>
        <v>2.6532840076363025</v>
      </c>
      <c r="DD10" s="26">
        <f t="shared" si="74"/>
        <v>2.2516565158740338</v>
      </c>
      <c r="DE10" s="26">
        <f t="shared" si="75"/>
        <v>5.9742842242586498</v>
      </c>
      <c r="DF10" s="1"/>
      <c r="DG10" s="22"/>
      <c r="DH10" s="14"/>
      <c r="DI10" s="14"/>
      <c r="DJ10" s="14"/>
      <c r="DK10" s="14"/>
      <c r="DL10" s="14"/>
      <c r="DM10" s="96"/>
      <c r="DN10" s="14"/>
      <c r="DO10" s="96"/>
      <c r="DP10" s="22"/>
      <c r="DQ10" s="14"/>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46"/>
      <c r="FR10" s="46"/>
      <c r="FS10" s="46"/>
      <c r="FT10" s="46"/>
      <c r="FU10" s="46"/>
      <c r="FV10" s="46"/>
      <c r="FW10" s="46"/>
      <c r="FX10" s="46"/>
      <c r="FY10" s="46"/>
      <c r="FZ10" s="46"/>
      <c r="GA10" s="46"/>
      <c r="GB10" s="46"/>
      <c r="GC10" s="46"/>
      <c r="GD10" s="46"/>
      <c r="GE10" s="46"/>
      <c r="GF10" s="46"/>
      <c r="GG10" s="46"/>
      <c r="GH10" s="46"/>
    </row>
    <row r="11" spans="1:190" x14ac:dyDescent="0.25">
      <c r="A11" s="5" t="s">
        <v>90</v>
      </c>
      <c r="B11" s="1">
        <v>309</v>
      </c>
      <c r="C11" s="98" t="s">
        <v>95</v>
      </c>
      <c r="D11" s="98" t="s">
        <v>105</v>
      </c>
      <c r="E11" s="1">
        <v>141</v>
      </c>
      <c r="F11" s="22">
        <v>53.49</v>
      </c>
      <c r="G11" s="22">
        <v>0.108</v>
      </c>
      <c r="H11" s="22">
        <v>0.30299999999999999</v>
      </c>
      <c r="I11" s="22">
        <v>0</v>
      </c>
      <c r="J11" s="22">
        <v>8.74</v>
      </c>
      <c r="K11" s="22">
        <v>0.14299999999999999</v>
      </c>
      <c r="L11" s="22">
        <v>14.06</v>
      </c>
      <c r="M11" s="22">
        <v>22.63</v>
      </c>
      <c r="N11" s="22">
        <v>0.54900000000000004</v>
      </c>
      <c r="O11" s="22">
        <v>0</v>
      </c>
      <c r="P11" s="22">
        <v>0</v>
      </c>
      <c r="Q11" s="22"/>
      <c r="R11" s="22"/>
      <c r="S11" s="22">
        <f t="shared" si="0"/>
        <v>100.023</v>
      </c>
      <c r="T11" s="3"/>
      <c r="U11" s="22">
        <f t="shared" si="1"/>
        <v>7.3146408862971359</v>
      </c>
      <c r="V11" s="22">
        <f t="shared" si="2"/>
        <v>1.584001583057993</v>
      </c>
      <c r="W11" s="22">
        <f t="shared" si="3"/>
        <v>100.18164246935511</v>
      </c>
      <c r="X11" s="1"/>
      <c r="Y11" s="1"/>
      <c r="Z11" s="1"/>
      <c r="AA11" s="1" t="s">
        <v>185</v>
      </c>
      <c r="AC11" s="1">
        <v>6</v>
      </c>
      <c r="AD11" s="1">
        <v>4</v>
      </c>
      <c r="AE11" s="1"/>
      <c r="AF11" s="26">
        <f t="shared" si="4"/>
        <v>1.9953411783425805</v>
      </c>
      <c r="AG11" s="26">
        <f t="shared" si="5"/>
        <v>3.0301225308332663E-3</v>
      </c>
      <c r="AH11" s="26">
        <f t="shared" si="6"/>
        <v>1.3320400682216934E-2</v>
      </c>
      <c r="AI11" s="26">
        <f t="shared" si="7"/>
        <v>0</v>
      </c>
      <c r="AJ11" s="26">
        <f t="shared" si="8"/>
        <v>0.27262090273567385</v>
      </c>
      <c r="AK11" s="26">
        <f t="shared" si="9"/>
        <v>4.517720354460142E-3</v>
      </c>
      <c r="AL11" s="26">
        <f t="shared" si="10"/>
        <v>0.78190639645878979</v>
      </c>
      <c r="AM11" s="26">
        <f t="shared" si="11"/>
        <v>0.90438018919331753</v>
      </c>
      <c r="AN11" s="26">
        <f t="shared" si="12"/>
        <v>3.9703176975208782E-2</v>
      </c>
      <c r="AO11" s="26">
        <f t="shared" si="13"/>
        <v>0</v>
      </c>
      <c r="AP11" s="26">
        <f t="shared" si="14"/>
        <v>0</v>
      </c>
      <c r="AQ11" s="26">
        <f t="shared" si="15"/>
        <v>0</v>
      </c>
      <c r="AR11" s="26">
        <f t="shared" si="16"/>
        <v>0</v>
      </c>
      <c r="AS11" s="26">
        <f t="shared" si="17"/>
        <v>4.0148200872730815</v>
      </c>
      <c r="AT11" s="26">
        <f t="shared" si="18"/>
        <v>2.0086615790247975</v>
      </c>
      <c r="AU11" s="26">
        <f t="shared" si="19"/>
        <v>0.94408336616852628</v>
      </c>
      <c r="AV11" s="47"/>
      <c r="AW11" s="26">
        <f t="shared" si="20"/>
        <v>1.9879756850552601</v>
      </c>
      <c r="AX11" s="26">
        <f t="shared" si="21"/>
        <v>3.0189373022604018E-3</v>
      </c>
      <c r="AY11" s="26">
        <f t="shared" si="22"/>
        <v>1.327123048371946E-2</v>
      </c>
      <c r="AZ11" s="26">
        <f t="shared" si="23"/>
        <v>0</v>
      </c>
      <c r="BA11" s="26">
        <f t="shared" si="24"/>
        <v>0.22731842120616602</v>
      </c>
      <c r="BB11" s="26">
        <f t="shared" si="25"/>
        <v>4.4296143640590646E-2</v>
      </c>
      <c r="BC11" s="26">
        <f t="shared" si="26"/>
        <v>4.5010438886477107E-3</v>
      </c>
      <c r="BD11" s="26">
        <f t="shared" si="27"/>
        <v>0.77902010995453685</v>
      </c>
      <c r="BE11" s="26">
        <f t="shared" si="28"/>
        <v>0.90104180962946667</v>
      </c>
      <c r="BF11" s="26">
        <f t="shared" si="29"/>
        <v>3.9556618839351985E-2</v>
      </c>
      <c r="BG11" s="26">
        <f t="shared" si="30"/>
        <v>0</v>
      </c>
      <c r="BH11" s="26">
        <f t="shared" si="31"/>
        <v>0</v>
      </c>
      <c r="BI11" s="26">
        <f t="shared" si="32"/>
        <v>0</v>
      </c>
      <c r="BJ11" s="26">
        <f t="shared" si="33"/>
        <v>0</v>
      </c>
      <c r="BK11" s="25">
        <f t="shared" si="34"/>
        <v>3.9999999999999996</v>
      </c>
      <c r="BL11" s="24">
        <f t="shared" si="35"/>
        <v>6</v>
      </c>
      <c r="BM11" s="26">
        <f t="shared" si="36"/>
        <v>2.0012469155389794</v>
      </c>
      <c r="BN11" s="26">
        <f t="shared" si="37"/>
        <v>0.94059842846881869</v>
      </c>
      <c r="BO11" s="22"/>
      <c r="BP11" s="23">
        <f t="shared" si="38"/>
        <v>0.74147572761376157</v>
      </c>
      <c r="BQ11" s="26">
        <f t="shared" si="39"/>
        <v>1.2024314944739878E-2</v>
      </c>
      <c r="BR11" s="26">
        <f t="shared" si="40"/>
        <v>1.2469155389795827E-3</v>
      </c>
      <c r="BS11" s="26"/>
      <c r="BT11" s="26">
        <f t="shared" si="41"/>
        <v>1.2469155389795827E-3</v>
      </c>
      <c r="BU11" s="26">
        <f t="shared" si="42"/>
        <v>0</v>
      </c>
      <c r="BV11" s="26">
        <f t="shared" si="43"/>
        <v>1.2469155389795827E-3</v>
      </c>
      <c r="BW11" s="26">
        <f t="shared" si="44"/>
        <v>0</v>
      </c>
      <c r="BX11" s="26">
        <f t="shared" si="45"/>
        <v>0.90313327365433793</v>
      </c>
      <c r="BY11" s="26">
        <f t="shared" si="46"/>
        <v>7.5697012770062855E-2</v>
      </c>
      <c r="BZ11" s="26">
        <f t="shared" si="47"/>
        <v>0.98132411750235993</v>
      </c>
      <c r="CA11" s="22"/>
      <c r="CB11" s="22">
        <f t="shared" si="48"/>
        <v>3.9556618839351985E-2</v>
      </c>
      <c r="CC11" s="22">
        <f t="shared" si="49"/>
        <v>0</v>
      </c>
      <c r="CD11" s="22">
        <f t="shared" si="50"/>
        <v>4.7395248012386607E-3</v>
      </c>
      <c r="CE11" s="22">
        <f t="shared" si="51"/>
        <v>0</v>
      </c>
      <c r="CF11" s="22">
        <f t="shared" si="52"/>
        <v>1.2469155389795827E-3</v>
      </c>
      <c r="CG11" s="22">
        <f t="shared" si="53"/>
        <v>0.46730599406430023</v>
      </c>
      <c r="CH11" s="22">
        <f t="shared" si="54"/>
        <v>0.41236555118039414</v>
      </c>
      <c r="CI11" s="22">
        <f t="shared" si="55"/>
        <v>0.12032845475530556</v>
      </c>
      <c r="CJ11" s="22"/>
      <c r="CK11" s="22">
        <f t="shared" si="56"/>
        <v>0.46061351619940655</v>
      </c>
      <c r="CL11" s="22">
        <f t="shared" si="57"/>
        <v>0.39823589560596218</v>
      </c>
      <c r="CM11" s="22">
        <f t="shared" si="58"/>
        <v>0.14115058819463125</v>
      </c>
      <c r="CN11" s="1"/>
      <c r="CO11" s="26">
        <f t="shared" si="59"/>
        <v>0.89031291611185093</v>
      </c>
      <c r="CP11" s="26">
        <f t="shared" si="60"/>
        <v>1.3520280420630947E-3</v>
      </c>
      <c r="CQ11" s="26">
        <f t="shared" si="61"/>
        <v>5.9435072577481369E-3</v>
      </c>
      <c r="CR11" s="26">
        <f t="shared" si="62"/>
        <v>0</v>
      </c>
      <c r="CS11" s="26">
        <f t="shared" si="63"/>
        <v>0.12164231036882395</v>
      </c>
      <c r="CT11" s="26">
        <f t="shared" si="64"/>
        <v>2.015787989850578E-3</v>
      </c>
      <c r="CU11" s="26">
        <f t="shared" si="65"/>
        <v>0.34888337468982633</v>
      </c>
      <c r="CV11" s="26">
        <f t="shared" si="66"/>
        <v>0.40353067047075608</v>
      </c>
      <c r="CW11" s="26">
        <f t="shared" si="67"/>
        <v>1.7715392061955472E-2</v>
      </c>
      <c r="CX11" s="26">
        <f t="shared" si="68"/>
        <v>0</v>
      </c>
      <c r="CY11" s="26">
        <f t="shared" si="69"/>
        <v>0</v>
      </c>
      <c r="CZ11" s="26">
        <f t="shared" si="70"/>
        <v>0</v>
      </c>
      <c r="DA11" s="26">
        <f t="shared" si="71"/>
        <v>0</v>
      </c>
      <c r="DB11" s="26">
        <f t="shared" si="72"/>
        <v>1.7913959869928748</v>
      </c>
      <c r="DC11" s="26">
        <f t="shared" si="73"/>
        <v>2.6771749887446852</v>
      </c>
      <c r="DD11" s="26">
        <f t="shared" si="74"/>
        <v>2.2328954787459341</v>
      </c>
      <c r="DE11" s="26">
        <f t="shared" si="75"/>
        <v>5.9778519281797049</v>
      </c>
      <c r="DF11" s="1"/>
      <c r="DG11" s="22"/>
      <c r="DH11" s="14"/>
      <c r="DI11" s="14"/>
      <c r="DJ11" s="14"/>
      <c r="DK11" s="14"/>
      <c r="DL11" s="14"/>
      <c r="DM11" s="96"/>
      <c r="DN11" s="14"/>
      <c r="DO11" s="96"/>
      <c r="DP11" s="22"/>
      <c r="DQ11" s="14"/>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46">
        <f xml:space="preserve">  -0.73306   +   1.025016   *  FS11     +N("316 NN Nd")</f>
        <v>-1.5516718235447235</v>
      </c>
      <c r="FR11" s="46">
        <f xml:space="preserve">  -0.33671   +   1.013871 *  FS11    +N("340 NN")</f>
        <v>-1.1464210563631323</v>
      </c>
      <c r="FS11" s="46">
        <f>-0.42496     +   1.017678*FT11                 + N("361 NN")</f>
        <v>-0.79863321503734919</v>
      </c>
      <c r="FT11" s="46">
        <f xml:space="preserve"> 0.68509  -3.34181 * BP11 + 0.03095*(100*CK11) +N("642 cpx Mg# Wo R2 0.59")</f>
        <v>-0.36718216865978159</v>
      </c>
      <c r="FU11" s="46">
        <f xml:space="preserve"> -0.06599 + 0.926002 * FT11  + N("409 NN")</f>
        <v>-0.40600142254329508</v>
      </c>
      <c r="FV11" s="46">
        <f t="shared" ref="FV11" si="79">0.1453     +   0.925549*FT11     +N("424 LnD Sm")</f>
        <v>-0.19454508902089215</v>
      </c>
      <c r="FW11" s="46">
        <f xml:space="preserve">  0.053547 + 0.932974 * FV11  +  N("445 NN")</f>
        <v>-0.12795850988417784</v>
      </c>
      <c r="FX11" s="46">
        <f xml:space="preserve">  0.027177  +  0.867603 * FV11 + N("464 NN Gd")</f>
        <v>-0.14161090286979308</v>
      </c>
      <c r="FY11" s="46">
        <f xml:space="preserve">  -0.06187  +  0.953618 * FX11   + N("505 NN Dy")</f>
        <v>-0.19691270597288635</v>
      </c>
      <c r="FZ11" s="46">
        <f xml:space="preserve"> -0.05652 + 0.972005*FY11   +N("533 NN")</f>
        <v>-0.2479201347691754</v>
      </c>
      <c r="GA11" s="46">
        <f xml:space="preserve">     0.018586 + 0.960264 * FZ11    +N("549 LnD Er")</f>
        <v>-0.21948278029398746</v>
      </c>
      <c r="GB11" s="46">
        <f xml:space="preserve"> -0.02011 + 0.936315 * FZ11    +N("574 NN Er")</f>
        <v>-0.2522413409864005</v>
      </c>
      <c r="GC11" s="46">
        <f xml:space="preserve">   0.01732 + 1.006083 * GB11  +N("597 NN Yb")</f>
        <v>-0.23645572506362078</v>
      </c>
      <c r="GD11" s="46">
        <f>(-1.72947 +0 ) * (3.46258+0) * BQ11   - (1.87473 + 0) *BP11   + (0.03253+0) * (CK11*100)    +N("eqn625 aliv mg# wo")</f>
        <v>3.6302230274568137E-2</v>
      </c>
      <c r="GE11" s="46"/>
      <c r="GF11" s="46"/>
      <c r="GG11" s="46"/>
      <c r="GH11" s="46"/>
    </row>
    <row r="12" spans="1:190" x14ac:dyDescent="0.25">
      <c r="A12" s="5" t="s">
        <v>90</v>
      </c>
      <c r="B12" s="1">
        <v>310</v>
      </c>
      <c r="C12" s="98" t="s">
        <v>95</v>
      </c>
      <c r="D12" s="98" t="s">
        <v>105</v>
      </c>
      <c r="E12" s="1">
        <v>142</v>
      </c>
      <c r="F12" s="22">
        <v>53.24</v>
      </c>
      <c r="G12" s="22">
        <v>0.10199999999999999</v>
      </c>
      <c r="H12" s="22">
        <v>0.437</v>
      </c>
      <c r="I12" s="22">
        <v>1.0999999999999999E-2</v>
      </c>
      <c r="J12" s="22">
        <v>9.4499999999999993</v>
      </c>
      <c r="K12" s="22">
        <v>8.5000000000000006E-2</v>
      </c>
      <c r="L12" s="22">
        <v>13.26</v>
      </c>
      <c r="M12" s="22">
        <v>22.49</v>
      </c>
      <c r="N12" s="22">
        <v>0.74299999999999999</v>
      </c>
      <c r="O12" s="22">
        <v>0</v>
      </c>
      <c r="P12" s="22">
        <v>0</v>
      </c>
      <c r="Q12" s="22"/>
      <c r="R12" s="22"/>
      <c r="S12" s="22">
        <f t="shared" si="0"/>
        <v>99.817999999999984</v>
      </c>
      <c r="T12" s="3"/>
      <c r="U12" s="22">
        <f t="shared" si="1"/>
        <v>7.7751091175013247</v>
      </c>
      <c r="V12" s="22">
        <f t="shared" si="2"/>
        <v>1.8613062377207763</v>
      </c>
      <c r="W12" s="22">
        <f t="shared" si="3"/>
        <v>100.00441535522209</v>
      </c>
      <c r="X12" s="1"/>
      <c r="Y12" s="1"/>
      <c r="Z12" s="1"/>
      <c r="AA12" s="1" t="s">
        <v>185</v>
      </c>
      <c r="AC12" s="1">
        <v>6</v>
      </c>
      <c r="AD12" s="1">
        <v>4</v>
      </c>
      <c r="AE12" s="1"/>
      <c r="AF12" s="26">
        <f t="shared" si="4"/>
        <v>1.9968050784927496</v>
      </c>
      <c r="AG12" s="26">
        <f t="shared" si="5"/>
        <v>2.8773299435009311E-3</v>
      </c>
      <c r="AH12" s="26">
        <f t="shared" si="6"/>
        <v>1.9315642359278795E-2</v>
      </c>
      <c r="AI12" s="26">
        <f t="shared" si="7"/>
        <v>3.261633924258946E-4</v>
      </c>
      <c r="AJ12" s="26">
        <f t="shared" si="8"/>
        <v>0.29636887103180293</v>
      </c>
      <c r="AK12" s="26">
        <f t="shared" si="9"/>
        <v>2.6999473250499764E-3</v>
      </c>
      <c r="AL12" s="26">
        <f t="shared" si="10"/>
        <v>0.74142295447372386</v>
      </c>
      <c r="AM12" s="26">
        <f t="shared" si="11"/>
        <v>0.90366820094111966</v>
      </c>
      <c r="AN12" s="26">
        <f t="shared" si="12"/>
        <v>5.4025001456489065E-2</v>
      </c>
      <c r="AO12" s="26">
        <f t="shared" si="13"/>
        <v>0</v>
      </c>
      <c r="AP12" s="26">
        <f t="shared" si="14"/>
        <v>0</v>
      </c>
      <c r="AQ12" s="26">
        <f t="shared" si="15"/>
        <v>0</v>
      </c>
      <c r="AR12" s="26">
        <f t="shared" si="16"/>
        <v>0</v>
      </c>
      <c r="AS12" s="26">
        <f t="shared" si="17"/>
        <v>4.017509189416141</v>
      </c>
      <c r="AT12" s="26">
        <f t="shared" si="18"/>
        <v>2.0161207208520282</v>
      </c>
      <c r="AU12" s="26">
        <f t="shared" si="19"/>
        <v>0.95769320239760869</v>
      </c>
      <c r="AV12" s="47"/>
      <c r="AW12" s="26">
        <f t="shared" si="20"/>
        <v>1.9881025624067759</v>
      </c>
      <c r="AX12" s="26">
        <f t="shared" si="21"/>
        <v>2.8647899062245476E-3</v>
      </c>
      <c r="AY12" s="26">
        <f t="shared" si="22"/>
        <v>1.9231460537951786E-2</v>
      </c>
      <c r="AZ12" s="26">
        <f t="shared" si="23"/>
        <v>3.247419005638123E-4</v>
      </c>
      <c r="BA12" s="26">
        <f t="shared" si="24"/>
        <v>0.24277858870940638</v>
      </c>
      <c r="BB12" s="26">
        <f t="shared" si="25"/>
        <v>5.2298641543175872E-2</v>
      </c>
      <c r="BC12" s="26">
        <f t="shared" si="26"/>
        <v>2.6881803602717895E-3</v>
      </c>
      <c r="BD12" s="26">
        <f t="shared" si="27"/>
        <v>0.73819167002973185</v>
      </c>
      <c r="BE12" s="26">
        <f t="shared" si="28"/>
        <v>0.89972981599820412</v>
      </c>
      <c r="BF12" s="26">
        <f t="shared" si="29"/>
        <v>5.378954860769386E-2</v>
      </c>
      <c r="BG12" s="26">
        <f t="shared" si="30"/>
        <v>0</v>
      </c>
      <c r="BH12" s="26">
        <f t="shared" si="31"/>
        <v>0</v>
      </c>
      <c r="BI12" s="26">
        <f t="shared" si="32"/>
        <v>0</v>
      </c>
      <c r="BJ12" s="26">
        <f t="shared" si="33"/>
        <v>0</v>
      </c>
      <c r="BK12" s="25">
        <f t="shared" si="34"/>
        <v>3.9999999999999996</v>
      </c>
      <c r="BL12" s="24">
        <f t="shared" si="35"/>
        <v>5.9999999999999991</v>
      </c>
      <c r="BM12" s="26">
        <f t="shared" si="36"/>
        <v>2.0073340229447276</v>
      </c>
      <c r="BN12" s="26">
        <f t="shared" si="37"/>
        <v>0.95351936460589792</v>
      </c>
      <c r="BO12" s="22"/>
      <c r="BP12" s="23">
        <f t="shared" si="38"/>
        <v>0.71442358308475173</v>
      </c>
      <c r="BQ12" s="26">
        <f t="shared" si="39"/>
        <v>1.1897437593224147E-2</v>
      </c>
      <c r="BR12" s="26">
        <f t="shared" si="40"/>
        <v>7.3340229447276389E-3</v>
      </c>
      <c r="BS12" s="26"/>
      <c r="BT12" s="26">
        <f t="shared" si="41"/>
        <v>7.3340229447276389E-3</v>
      </c>
      <c r="BU12" s="26">
        <f t="shared" si="42"/>
        <v>0</v>
      </c>
      <c r="BV12" s="26">
        <f t="shared" si="43"/>
        <v>7.3340229447276389E-3</v>
      </c>
      <c r="BW12" s="26">
        <f t="shared" si="44"/>
        <v>1.630816962129473E-4</v>
      </c>
      <c r="BX12" s="26">
        <f t="shared" si="45"/>
        <v>0.8961710963001791</v>
      </c>
      <c r="BY12" s="26">
        <f t="shared" si="46"/>
        <v>7.0810364602673814E-2</v>
      </c>
      <c r="BZ12" s="26">
        <f t="shared" si="47"/>
        <v>0.98181258848852115</v>
      </c>
      <c r="CA12" s="22"/>
      <c r="CB12" s="22">
        <f t="shared" si="48"/>
        <v>5.2298641543175872E-2</v>
      </c>
      <c r="CC12" s="22">
        <f t="shared" si="49"/>
        <v>1.4909070645179878E-3</v>
      </c>
      <c r="CD12" s="22">
        <f t="shared" si="50"/>
        <v>0</v>
      </c>
      <c r="CE12" s="22">
        <f t="shared" si="51"/>
        <v>3.247419005638123E-4</v>
      </c>
      <c r="CF12" s="22">
        <f t="shared" si="52"/>
        <v>5.8431158802096511E-3</v>
      </c>
      <c r="CG12" s="22">
        <f t="shared" si="53"/>
        <v>0.47293029988030327</v>
      </c>
      <c r="CH12" s="22">
        <f t="shared" si="54"/>
        <v>0.39662615526542017</v>
      </c>
      <c r="CI12" s="22">
        <f t="shared" si="55"/>
        <v>0.13044354485427651</v>
      </c>
      <c r="CJ12" s="22"/>
      <c r="CK12" s="22">
        <f t="shared" si="56"/>
        <v>0.46481164777196349</v>
      </c>
      <c r="CL12" s="22">
        <f t="shared" si="57"/>
        <v>0.38135902625098966</v>
      </c>
      <c r="CM12" s="22">
        <f t="shared" si="58"/>
        <v>0.15382932597704671</v>
      </c>
      <c r="CN12" s="1"/>
      <c r="CO12" s="26">
        <f t="shared" si="59"/>
        <v>0.88615179760319585</v>
      </c>
      <c r="CP12" s="26">
        <f t="shared" si="60"/>
        <v>1.2769153730595893E-3</v>
      </c>
      <c r="CQ12" s="26">
        <f t="shared" si="61"/>
        <v>8.5719890153001174E-3</v>
      </c>
      <c r="CR12" s="26">
        <f t="shared" si="62"/>
        <v>1.4474636489242711E-4</v>
      </c>
      <c r="CS12" s="26">
        <f t="shared" si="63"/>
        <v>0.13152400835073069</v>
      </c>
      <c r="CT12" s="26">
        <f t="shared" si="64"/>
        <v>1.1981956583027912E-3</v>
      </c>
      <c r="CU12" s="26">
        <f t="shared" si="65"/>
        <v>0.32903225806451614</v>
      </c>
      <c r="CV12" s="26">
        <f t="shared" si="66"/>
        <v>0.4010342368045649</v>
      </c>
      <c r="CW12" s="26">
        <f t="shared" si="67"/>
        <v>2.3975475959987093E-2</v>
      </c>
      <c r="CX12" s="26">
        <f t="shared" si="68"/>
        <v>0</v>
      </c>
      <c r="CY12" s="26">
        <f t="shared" si="69"/>
        <v>0</v>
      </c>
      <c r="CZ12" s="26">
        <f t="shared" si="70"/>
        <v>0</v>
      </c>
      <c r="DA12" s="26">
        <f t="shared" si="71"/>
        <v>0</v>
      </c>
      <c r="DB12" s="26">
        <f t="shared" si="72"/>
        <v>1.7829096231945496</v>
      </c>
      <c r="DC12" s="26">
        <f t="shared" si="73"/>
        <v>2.662708965880908</v>
      </c>
      <c r="DD12" s="26">
        <f t="shared" si="74"/>
        <v>2.243523703031538</v>
      </c>
      <c r="DE12" s="26">
        <f t="shared" si="75"/>
        <v>5.9738506792284118</v>
      </c>
      <c r="DF12" s="1"/>
      <c r="DG12" s="22">
        <v>3.8392667804639302</v>
      </c>
      <c r="DH12" s="14">
        <v>4474.2836482237171</v>
      </c>
      <c r="DI12" s="14">
        <v>80017.308289616747</v>
      </c>
      <c r="DJ12" s="14">
        <v>2358.3781030331784</v>
      </c>
      <c r="DK12" s="14">
        <v>249541.76176394557</v>
      </c>
      <c r="DL12" s="14">
        <v>159720.02804071439</v>
      </c>
      <c r="DM12" s="96">
        <v>47.568542575525726</v>
      </c>
      <c r="DN12" s="14">
        <v>875.71706004188115</v>
      </c>
      <c r="DO12" s="96">
        <v>638.3436739824316</v>
      </c>
      <c r="DP12" s="22">
        <v>13.189237906946216</v>
      </c>
      <c r="DQ12" s="14">
        <v>997.95425856430393</v>
      </c>
      <c r="DR12" s="22">
        <v>19.188379250280853</v>
      </c>
      <c r="DS12" s="22">
        <v>0</v>
      </c>
      <c r="DT12" s="22">
        <v>1.2500515762050242</v>
      </c>
      <c r="DU12" s="22">
        <v>18.482367086360664</v>
      </c>
      <c r="DV12" s="22">
        <v>0</v>
      </c>
      <c r="DW12" s="22">
        <v>12.545156889533606</v>
      </c>
      <c r="DX12" s="22">
        <v>13.656611594958628</v>
      </c>
      <c r="DY12" s="22">
        <v>32.764089539349129</v>
      </c>
      <c r="DZ12" s="22">
        <v>48.342839067263853</v>
      </c>
      <c r="EA12" s="22">
        <v>0</v>
      </c>
      <c r="EB12" s="22">
        <v>0</v>
      </c>
      <c r="EC12" s="22">
        <v>0.85879918834547153</v>
      </c>
      <c r="ED12" s="22">
        <v>16.248507708468246</v>
      </c>
      <c r="EE12" s="22">
        <v>39.15746883897171</v>
      </c>
      <c r="EF12" s="22">
        <v>4.526706112988176</v>
      </c>
      <c r="EG12" s="22">
        <v>17.848932985465911</v>
      </c>
      <c r="EH12" s="22">
        <v>3.8752537334551129</v>
      </c>
      <c r="EI12" s="22">
        <v>1.0073080831589147</v>
      </c>
      <c r="EJ12" s="22">
        <v>4.3381567151345362</v>
      </c>
      <c r="EK12" s="22">
        <v>0.76539927466807978</v>
      </c>
      <c r="EL12" s="22">
        <v>4.9933694885437632</v>
      </c>
      <c r="EM12" s="22">
        <v>1.1480390569117762</v>
      </c>
      <c r="EN12" s="22">
        <v>3.7705244465543863</v>
      </c>
      <c r="EO12" s="22">
        <v>0.54626159043731826</v>
      </c>
      <c r="EP12" s="22">
        <v>4.7838498928447128</v>
      </c>
      <c r="EQ12" s="22">
        <v>1.0850661980599325</v>
      </c>
      <c r="ER12" s="22">
        <v>1.4264910060391467</v>
      </c>
      <c r="ES12" s="22">
        <v>0</v>
      </c>
      <c r="ET12" s="22">
        <v>1.0545074166904225</v>
      </c>
      <c r="EU12" s="22">
        <v>0.52260675865997563</v>
      </c>
      <c r="EV12" s="22">
        <v>6.5010266311448489E-2</v>
      </c>
      <c r="EW12" s="22">
        <f>(EI12/0.05883)/SQRT((EH12/0.1536)*(EJ12/0.2069))</f>
        <v>0.74445188463711476</v>
      </c>
      <c r="EX12" s="22"/>
      <c r="EY12" s="22"/>
      <c r="EZ12" s="22"/>
      <c r="FA12" s="22"/>
      <c r="FB12" s="22"/>
      <c r="FC12" s="22"/>
      <c r="FD12" s="22"/>
      <c r="FE12" s="22"/>
      <c r="FF12" s="22"/>
      <c r="FG12" s="22"/>
      <c r="FH12" s="22"/>
      <c r="FI12" s="22">
        <f>-0.50354-2.23025*BP12+ N("eqn 18 Mg# R2 0.28 best")</f>
        <v>-2.0968831961747676</v>
      </c>
      <c r="FJ12" s="22"/>
      <c r="FK12" s="22">
        <f xml:space="preserve"> -0.03692  +  0.931085 + FX12   + N("488 NN Dy")</f>
        <v>0.8941650000000001</v>
      </c>
      <c r="FL12" s="22">
        <f>-0.48986  +   0    +   (1.071278 + 0) * GD12  +N("eqn 119 LnD Hf  (which has R2 of 0.51 for TS")</f>
        <v>-0.48986000000000002</v>
      </c>
      <c r="FM12" s="22"/>
      <c r="FN12" s="22"/>
      <c r="FO12" s="22">
        <f>3.94011-11.9214*BP12</f>
        <v>-4.5768193033865598</v>
      </c>
      <c r="FP12" s="22">
        <f xml:space="preserve">  -0.49862 +   1.013256 * FQ12 + N("294 NN")</f>
        <v>-0.49862000000000001</v>
      </c>
      <c r="FQ12" s="46"/>
      <c r="FR12" s="46"/>
      <c r="FS12" s="46"/>
      <c r="FT12" s="46"/>
      <c r="FU12" s="46"/>
      <c r="FV12" s="46"/>
      <c r="FW12" s="46"/>
      <c r="FX12" s="46"/>
      <c r="FY12" s="46"/>
      <c r="FZ12" s="46"/>
      <c r="GA12" s="46"/>
      <c r="GB12" s="46"/>
      <c r="GC12" s="46"/>
      <c r="GD12" s="46"/>
      <c r="GE12" s="46"/>
      <c r="GF12" s="46"/>
      <c r="GG12" s="46"/>
      <c r="GH12" s="46"/>
    </row>
    <row r="13" spans="1:190" x14ac:dyDescent="0.25">
      <c r="A13" s="5" t="s">
        <v>90</v>
      </c>
      <c r="B13" s="1">
        <v>311</v>
      </c>
      <c r="C13" s="98" t="s">
        <v>95</v>
      </c>
      <c r="D13" s="98" t="s">
        <v>105</v>
      </c>
      <c r="E13" s="1">
        <v>143</v>
      </c>
      <c r="F13" s="22">
        <v>52.71</v>
      </c>
      <c r="G13" s="22">
        <v>0.20799999999999999</v>
      </c>
      <c r="H13" s="22">
        <v>0.5</v>
      </c>
      <c r="I13" s="22">
        <v>8.0000000000000002E-3</v>
      </c>
      <c r="J13" s="22">
        <v>9.3000000000000007</v>
      </c>
      <c r="K13" s="22">
        <v>0.41899999999999998</v>
      </c>
      <c r="L13" s="22">
        <v>13.16</v>
      </c>
      <c r="M13" s="22">
        <v>22.6</v>
      </c>
      <c r="N13" s="22">
        <v>0.21099999999999999</v>
      </c>
      <c r="O13" s="22">
        <v>8.0000000000000002E-3</v>
      </c>
      <c r="P13" s="22">
        <v>0</v>
      </c>
      <c r="Q13" s="22"/>
      <c r="R13" s="22"/>
      <c r="S13" s="22">
        <f t="shared" si="0"/>
        <v>99.123999999999995</v>
      </c>
      <c r="T13" s="3"/>
      <c r="U13" s="22">
        <f t="shared" si="1"/>
        <v>9.3000000000000007</v>
      </c>
      <c r="V13" s="22">
        <f t="shared" si="2"/>
        <v>0</v>
      </c>
      <c r="W13" s="22">
        <f t="shared" si="3"/>
        <v>99.124000000000009</v>
      </c>
      <c r="X13" s="1"/>
      <c r="Y13" s="1"/>
      <c r="Z13" s="1"/>
      <c r="AA13" s="1" t="s">
        <v>185</v>
      </c>
      <c r="AC13" s="1">
        <v>6</v>
      </c>
      <c r="AD13" s="1">
        <v>4</v>
      </c>
      <c r="AE13" s="1"/>
      <c r="AF13" s="26">
        <f t="shared" si="4"/>
        <v>1.9915813725247467</v>
      </c>
      <c r="AG13" s="26">
        <f t="shared" si="5"/>
        <v>5.9109902387131366E-3</v>
      </c>
      <c r="AH13" s="26">
        <f t="shared" si="6"/>
        <v>2.2264099621854227E-2</v>
      </c>
      <c r="AI13" s="26">
        <f t="shared" si="7"/>
        <v>2.3896810026388646E-4</v>
      </c>
      <c r="AJ13" s="26">
        <f t="shared" si="8"/>
        <v>0.29382662012848421</v>
      </c>
      <c r="AK13" s="26">
        <f t="shared" si="9"/>
        <v>1.3407808617552065E-2</v>
      </c>
      <c r="AL13" s="26">
        <f t="shared" si="10"/>
        <v>0.74128601445077968</v>
      </c>
      <c r="AM13" s="26">
        <f t="shared" si="11"/>
        <v>0.91481946687304216</v>
      </c>
      <c r="AN13" s="26">
        <f t="shared" si="12"/>
        <v>1.5455954922902167E-2</v>
      </c>
      <c r="AO13" s="26">
        <f t="shared" si="13"/>
        <v>3.8557071718798419E-4</v>
      </c>
      <c r="AP13" s="26">
        <f t="shared" si="14"/>
        <v>0</v>
      </c>
      <c r="AQ13" s="26">
        <f t="shared" si="15"/>
        <v>0</v>
      </c>
      <c r="AR13" s="26">
        <f t="shared" si="16"/>
        <v>0</v>
      </c>
      <c r="AS13" s="26">
        <f t="shared" si="17"/>
        <v>3.9991768661955263</v>
      </c>
      <c r="AT13" s="26">
        <f t="shared" si="18"/>
        <v>2.0138454721466008</v>
      </c>
      <c r="AU13" s="26">
        <f t="shared" si="19"/>
        <v>0.93066099251313239</v>
      </c>
      <c r="AV13" s="47"/>
      <c r="AW13" s="26">
        <f t="shared" si="20"/>
        <v>1.9919912913672819</v>
      </c>
      <c r="AX13" s="26">
        <f t="shared" si="21"/>
        <v>5.9122068730471976E-3</v>
      </c>
      <c r="AY13" s="26">
        <f t="shared" si="22"/>
        <v>2.2268682148118522E-2</v>
      </c>
      <c r="AZ13" s="26">
        <f t="shared" si="23"/>
        <v>2.3901728606589003E-4</v>
      </c>
      <c r="BA13" s="26">
        <f t="shared" si="24"/>
        <v>0.29388709722959128</v>
      </c>
      <c r="BB13" s="26">
        <f t="shared" si="25"/>
        <v>0</v>
      </c>
      <c r="BC13" s="26">
        <f t="shared" si="26"/>
        <v>1.3410568290576359E-2</v>
      </c>
      <c r="BD13" s="26">
        <f t="shared" si="27"/>
        <v>0.74143859024267211</v>
      </c>
      <c r="BE13" s="26">
        <f t="shared" si="28"/>
        <v>0.91500776032776254</v>
      </c>
      <c r="BF13" s="26">
        <f t="shared" si="29"/>
        <v>1.5459136157291923E-2</v>
      </c>
      <c r="BG13" s="26">
        <f t="shared" si="30"/>
        <v>3.8565007759187506E-4</v>
      </c>
      <c r="BH13" s="26">
        <f t="shared" si="31"/>
        <v>0</v>
      </c>
      <c r="BI13" s="26">
        <f t="shared" si="32"/>
        <v>0</v>
      </c>
      <c r="BJ13" s="26">
        <f t="shared" si="33"/>
        <v>0</v>
      </c>
      <c r="BK13" s="25">
        <f t="shared" si="34"/>
        <v>4</v>
      </c>
      <c r="BL13" s="24">
        <f t="shared" si="35"/>
        <v>6.0012349548399797</v>
      </c>
      <c r="BM13" s="26">
        <f t="shared" si="36"/>
        <v>2.0142599735154003</v>
      </c>
      <c r="BN13" s="26">
        <f t="shared" si="37"/>
        <v>0.93085254656264627</v>
      </c>
      <c r="BO13" s="22"/>
      <c r="BP13" s="23">
        <f t="shared" si="38"/>
        <v>0.71614043697967789</v>
      </c>
      <c r="BQ13" s="26">
        <f t="shared" si="39"/>
        <v>8.0087086327180756E-3</v>
      </c>
      <c r="BR13" s="26">
        <f t="shared" si="40"/>
        <v>1.4259973515400447E-2</v>
      </c>
      <c r="BS13" s="26"/>
      <c r="BT13" s="26">
        <f t="shared" si="41"/>
        <v>1.4259973515400447E-2</v>
      </c>
      <c r="BU13" s="26">
        <f t="shared" si="42"/>
        <v>0</v>
      </c>
      <c r="BV13" s="26">
        <f t="shared" si="43"/>
        <v>1.4259973515400447E-2</v>
      </c>
      <c r="BW13" s="26">
        <f t="shared" si="44"/>
        <v>1.1948405013194323E-4</v>
      </c>
      <c r="BX13" s="26">
        <f t="shared" si="45"/>
        <v>0.90044000930750978</v>
      </c>
      <c r="BY13" s="26">
        <f t="shared" si="46"/>
        <v>6.7336312635877027E-2</v>
      </c>
      <c r="BZ13" s="26">
        <f t="shared" si="47"/>
        <v>0.99641575302431962</v>
      </c>
      <c r="CA13" s="22"/>
      <c r="CB13" s="22">
        <f t="shared" si="48"/>
        <v>0</v>
      </c>
      <c r="CC13" s="22">
        <f t="shared" si="49"/>
        <v>1.4259973515400447E-2</v>
      </c>
      <c r="CD13" s="22">
        <f t="shared" si="50"/>
        <v>0</v>
      </c>
      <c r="CE13" s="22">
        <f t="shared" si="51"/>
        <v>2.3901728606589003E-4</v>
      </c>
      <c r="CF13" s="22">
        <f t="shared" si="52"/>
        <v>0</v>
      </c>
      <c r="CG13" s="22">
        <f t="shared" si="53"/>
        <v>0.45738437152084832</v>
      </c>
      <c r="CH13" s="22">
        <f t="shared" si="54"/>
        <v>0.38858899329106222</v>
      </c>
      <c r="CI13" s="22">
        <f t="shared" si="55"/>
        <v>0.15402663518808946</v>
      </c>
      <c r="CJ13" s="22"/>
      <c r="CK13" s="22">
        <f t="shared" si="56"/>
        <v>0.46595062942539162</v>
      </c>
      <c r="CL13" s="22">
        <f t="shared" si="57"/>
        <v>0.37756376807131869</v>
      </c>
      <c r="CM13" s="22">
        <f t="shared" si="58"/>
        <v>0.15648560250328966</v>
      </c>
      <c r="CN13" s="1"/>
      <c r="CO13" s="26">
        <f t="shared" si="59"/>
        <v>0.87733022636484692</v>
      </c>
      <c r="CP13" s="26">
        <f t="shared" si="60"/>
        <v>2.6039058587881822E-3</v>
      </c>
      <c r="CQ13" s="26">
        <f t="shared" si="61"/>
        <v>9.8077677520596318E-3</v>
      </c>
      <c r="CR13" s="26">
        <f t="shared" si="62"/>
        <v>1.0527008355812881E-4</v>
      </c>
      <c r="CS13" s="26">
        <f t="shared" si="63"/>
        <v>0.12943632567849689</v>
      </c>
      <c r="CT13" s="26">
        <f t="shared" si="64"/>
        <v>5.9063997744572879E-3</v>
      </c>
      <c r="CU13" s="26">
        <f t="shared" si="65"/>
        <v>0.3265508684863524</v>
      </c>
      <c r="CV13" s="26">
        <f t="shared" si="66"/>
        <v>0.40299572039942944</v>
      </c>
      <c r="CW13" s="26">
        <f t="shared" si="67"/>
        <v>6.8086479509519198E-3</v>
      </c>
      <c r="CX13" s="26">
        <f t="shared" si="68"/>
        <v>1.6985138004246286E-4</v>
      </c>
      <c r="CY13" s="26">
        <f t="shared" si="69"/>
        <v>0</v>
      </c>
      <c r="CZ13" s="26">
        <f t="shared" si="70"/>
        <v>0</v>
      </c>
      <c r="DA13" s="26">
        <f t="shared" si="71"/>
        <v>0</v>
      </c>
      <c r="DB13" s="26">
        <f t="shared" si="72"/>
        <v>1.7617149837289834</v>
      </c>
      <c r="DC13" s="26">
        <f t="shared" si="73"/>
        <v>2.6431163852049302</v>
      </c>
      <c r="DD13" s="26">
        <f t="shared" si="74"/>
        <v>2.2705148318221644</v>
      </c>
      <c r="DE13" s="26">
        <f t="shared" si="75"/>
        <v>6.0012349548399788</v>
      </c>
      <c r="DF13" s="1"/>
      <c r="DG13" s="22">
        <v>4.4991249490513701</v>
      </c>
      <c r="DH13" s="14">
        <v>3002.5319925101612</v>
      </c>
      <c r="DI13" s="14">
        <v>79532.54811048937</v>
      </c>
      <c r="DJ13" s="14">
        <v>1517.8137231496785</v>
      </c>
      <c r="DK13" s="14">
        <v>247197.59036182694</v>
      </c>
      <c r="DL13" s="14">
        <v>160302.25464406784</v>
      </c>
      <c r="DM13" s="96">
        <v>127.30307421884403</v>
      </c>
      <c r="DN13" s="14">
        <v>626.70716428420553</v>
      </c>
      <c r="DO13" s="96">
        <v>304.59846665268071</v>
      </c>
      <c r="DP13" s="22">
        <v>8.3698050239644122</v>
      </c>
      <c r="DQ13" s="14">
        <v>1884.3859505275561</v>
      </c>
      <c r="DR13" s="22">
        <v>29.403763216204652</v>
      </c>
      <c r="DS13" s="22">
        <v>19.01865332468013</v>
      </c>
      <c r="DT13" s="22">
        <v>0.69316400947111367</v>
      </c>
      <c r="DU13" s="22">
        <v>36.944756827010565</v>
      </c>
      <c r="DV13" s="22">
        <v>0.27694592391087053</v>
      </c>
      <c r="DW13" s="22">
        <v>11.117931448577378</v>
      </c>
      <c r="DX13" s="22">
        <v>11.047816386670538</v>
      </c>
      <c r="DY13" s="22">
        <v>42.40376660759992</v>
      </c>
      <c r="DZ13" s="22">
        <v>14.180621612347755</v>
      </c>
      <c r="EA13" s="22">
        <v>1.0226649996239758</v>
      </c>
      <c r="EB13" s="22">
        <v>4.4176037637403041E-2</v>
      </c>
      <c r="EC13" s="22">
        <v>1.7481199953662308</v>
      </c>
      <c r="ED13" s="22">
        <v>7.178690864685211</v>
      </c>
      <c r="EE13" s="22">
        <v>21.270687580573043</v>
      </c>
      <c r="EF13" s="22">
        <v>2.8510022140389841</v>
      </c>
      <c r="EG13" s="22">
        <v>14.009672134976064</v>
      </c>
      <c r="EH13" s="22">
        <v>3.8454392902325445</v>
      </c>
      <c r="EI13" s="22">
        <v>0.40654163825960438</v>
      </c>
      <c r="EJ13" s="22">
        <v>5.2087662022336909</v>
      </c>
      <c r="EK13" s="22">
        <v>1.1063639551630875</v>
      </c>
      <c r="EL13" s="22">
        <v>7.4318769902784441</v>
      </c>
      <c r="EM13" s="22">
        <v>1.7525431534445637</v>
      </c>
      <c r="EN13" s="22">
        <v>5.2604563878308355</v>
      </c>
      <c r="EO13" s="22">
        <v>0.63901521844545894</v>
      </c>
      <c r="EP13" s="22">
        <v>5.7058942793957579</v>
      </c>
      <c r="EQ13" s="22">
        <v>0.9699543768265162</v>
      </c>
      <c r="ER13" s="22">
        <v>0.89813175895401232</v>
      </c>
      <c r="ES13" s="22">
        <v>4.0897264037431318E-2</v>
      </c>
      <c r="ET13" s="22">
        <v>1.2426351969428295</v>
      </c>
      <c r="EU13" s="22">
        <v>0.50685741038771692</v>
      </c>
      <c r="EV13" s="22">
        <v>0.80338400730353421</v>
      </c>
      <c r="EW13" s="22">
        <f>(EI13/0.05883)/SQRT((EH13/0.1536)*(EJ13/0.2069))</f>
        <v>0.27525906217468249</v>
      </c>
      <c r="EX13" s="22"/>
      <c r="EY13" s="22"/>
      <c r="EZ13" s="22"/>
      <c r="FA13" s="22"/>
      <c r="FB13" s="22"/>
      <c r="FC13" s="22"/>
      <c r="FD13" s="22"/>
      <c r="FE13" s="22"/>
      <c r="FF13" s="22"/>
      <c r="FG13" s="22"/>
      <c r="FH13" s="22"/>
      <c r="FI13" s="22">
        <f>-0.50354-2.23025*BP13+ N("eqn 18 Mg# R2 0.28 best")</f>
        <v>-2.1007122095739263</v>
      </c>
      <c r="FJ13" s="22"/>
      <c r="FK13" s="22">
        <f xml:space="preserve"> -0.03692  +  0.931085 + FX13   + N("488 NN Dy")</f>
        <v>0.83380584349891773</v>
      </c>
      <c r="FL13" s="22">
        <f>-0.48986  +   0    +   (1.071278 + 0) * GD13  +N("eqn 119 LnD Hf  (which has R2 of 0.51 for TS")</f>
        <v>-0.35572757499153318</v>
      </c>
      <c r="FM13" s="22"/>
      <c r="FN13" s="22"/>
      <c r="FO13" s="22">
        <f>3.94011-11.9214*BP13</f>
        <v>-4.5972866054095318</v>
      </c>
      <c r="FP13" s="22">
        <f xml:space="preserve">  -0.49862 +   1.013256 * FQ13 + N("294 NN")</f>
        <v>-1.9639128368036367</v>
      </c>
      <c r="FQ13" s="46">
        <f t="shared" ref="FQ13:FQ14" si="80" xml:space="preserve">  -0.73306   +   1.025016   *  FS13     +N("316 NN Nd")</f>
        <v>-1.44612302991903</v>
      </c>
      <c r="FR13" s="46">
        <f t="shared" ref="FR13:FR14" si="81" xml:space="preserve">  -0.33671   +   1.013871 *  FS13    +N("340 NN")</f>
        <v>-1.0420198948767987</v>
      </c>
      <c r="FS13" s="46">
        <f t="shared" ref="FS13:FS14" si="82">-0.42496     +   1.017678*FT13                 + N("361 NN")</f>
        <v>-0.695660389612484</v>
      </c>
      <c r="FT13" s="46">
        <f xml:space="preserve"> 0.68509  -3.34181 * BP13 + 0.03095*(100*CK13) +N("642 cpx Mg# Wo R2 0.59")</f>
        <v>-0.26599807563147082</v>
      </c>
      <c r="FU13" s="46">
        <f t="shared" ref="FU13:FU14" si="83" xml:space="preserve"> -0.06599 + 0.926002 * FT13  + N("409 NN")</f>
        <v>-0.3123047500308932</v>
      </c>
      <c r="FV13" s="46">
        <f t="shared" ref="FV13:FV14" si="84">0.1453     +   0.925549*FT13     +N("424 LnD Sm")</f>
        <v>-0.10089425290263215</v>
      </c>
      <c r="FW13" s="46">
        <f t="shared" ref="FW13:FW14" si="85" xml:space="preserve">  0.053547 + 0.932974 * FV13  +  N("445 NN")</f>
        <v>-4.0584714707580336E-2</v>
      </c>
      <c r="FX13" s="46">
        <f t="shared" ref="FX13:FX14" si="86" xml:space="preserve">  0.027177  +  0.867603 * FV13 + N("464 NN Gd")</f>
        <v>-6.035915650108236E-2</v>
      </c>
      <c r="FY13" s="46">
        <f t="shared" ref="FY13:FY14" si="87" xml:space="preserve">  -0.06187  +  0.953618 * FX13   + N("505 NN Dy")</f>
        <v>-0.11942957810424916</v>
      </c>
      <c r="FZ13" s="46">
        <f t="shared" ref="FZ13:FZ14" si="88" xml:space="preserve"> -0.05652 + 0.972005*FY13   +N("533 NN")</f>
        <v>-0.17260614706522071</v>
      </c>
      <c r="GA13" s="46">
        <f t="shared" ref="GA13:GA14" si="89" xml:space="preserve">     0.018586 + 0.960264 * FZ13    +N("549 LnD Er")</f>
        <v>-0.1471614692054371</v>
      </c>
      <c r="GB13" s="46">
        <f t="shared" ref="GB13:GB14" si="90" xml:space="preserve"> -0.02011 + 0.936315 * FZ13    +N("574 NN Er")</f>
        <v>-0.18172372458937211</v>
      </c>
      <c r="GC13" s="46">
        <f t="shared" ref="GC13:GC14" si="91" xml:space="preserve">   0.01732 + 1.006083 * GB13  +N("597 NN Yb")</f>
        <v>-0.16550915000604927</v>
      </c>
      <c r="GD13" s="46">
        <f>(-1.72947 +0 ) * (3.46258+0) * BQ13   - (1.87473 + 0) *BP13   + (0.03253+0) * (CK13*100)    +N("eqn625 aliv mg# wo")</f>
        <v>0.12520785921905131</v>
      </c>
      <c r="GE13" s="46"/>
      <c r="GF13" s="46"/>
      <c r="GG13" s="46"/>
      <c r="GH13" s="46"/>
    </row>
    <row r="14" spans="1:190" x14ac:dyDescent="0.25">
      <c r="A14" s="5" t="s">
        <v>90</v>
      </c>
      <c r="B14" s="1">
        <v>317</v>
      </c>
      <c r="C14" s="98" t="s">
        <v>95</v>
      </c>
      <c r="D14" s="98" t="s">
        <v>105</v>
      </c>
      <c r="E14" s="1">
        <v>149</v>
      </c>
      <c r="F14" s="22">
        <v>53.12</v>
      </c>
      <c r="G14" s="22">
        <v>0.151</v>
      </c>
      <c r="H14" s="22">
        <v>0.46300000000000002</v>
      </c>
      <c r="I14" s="22">
        <v>0.01</v>
      </c>
      <c r="J14" s="22">
        <v>7.64</v>
      </c>
      <c r="K14" s="22">
        <v>0.17100000000000001</v>
      </c>
      <c r="L14" s="22">
        <v>14.63</v>
      </c>
      <c r="M14" s="22">
        <v>22.88</v>
      </c>
      <c r="N14" s="22">
        <v>0.54600000000000004</v>
      </c>
      <c r="O14" s="22">
        <v>0</v>
      </c>
      <c r="P14" s="22">
        <v>0</v>
      </c>
      <c r="Q14" s="22"/>
      <c r="R14" s="22"/>
      <c r="S14" s="22">
        <f t="shared" si="0"/>
        <v>99.611000000000004</v>
      </c>
      <c r="T14" s="3"/>
      <c r="U14" s="22">
        <f t="shared" si="1"/>
        <v>5.559842969657903</v>
      </c>
      <c r="V14" s="22">
        <f t="shared" si="2"/>
        <v>2.3116785078191726</v>
      </c>
      <c r="W14" s="22">
        <f t="shared" si="3"/>
        <v>99.842521477477078</v>
      </c>
      <c r="X14" s="1"/>
      <c r="Y14" s="1"/>
      <c r="Z14" s="1"/>
      <c r="AA14" s="1" t="s">
        <v>185</v>
      </c>
      <c r="AC14" s="1">
        <v>6</v>
      </c>
      <c r="AD14" s="1">
        <v>4</v>
      </c>
      <c r="AE14" s="1"/>
      <c r="AF14" s="26">
        <f t="shared" si="4"/>
        <v>1.9835370637297352</v>
      </c>
      <c r="AG14" s="26">
        <f t="shared" si="5"/>
        <v>4.2408320041058519E-3</v>
      </c>
      <c r="AH14" s="26">
        <f t="shared" si="6"/>
        <v>2.0374799207835387E-2</v>
      </c>
      <c r="AI14" s="26">
        <f t="shared" si="7"/>
        <v>2.9520734458216398E-4</v>
      </c>
      <c r="AJ14" s="26">
        <f t="shared" si="8"/>
        <v>0.23854963902244214</v>
      </c>
      <c r="AK14" s="26">
        <f t="shared" si="9"/>
        <v>5.4077561994786954E-3</v>
      </c>
      <c r="AL14" s="26">
        <f t="shared" si="10"/>
        <v>0.8144256771135493</v>
      </c>
      <c r="AM14" s="26">
        <f t="shared" si="11"/>
        <v>0.91529310917762685</v>
      </c>
      <c r="AN14" s="26">
        <f t="shared" si="12"/>
        <v>3.952603438118997E-2</v>
      </c>
      <c r="AO14" s="26">
        <f t="shared" si="13"/>
        <v>0</v>
      </c>
      <c r="AP14" s="26">
        <f t="shared" si="14"/>
        <v>0</v>
      </c>
      <c r="AQ14" s="26">
        <f t="shared" si="15"/>
        <v>0</v>
      </c>
      <c r="AR14" s="26">
        <f t="shared" si="16"/>
        <v>0</v>
      </c>
      <c r="AS14" s="26">
        <f t="shared" si="17"/>
        <v>4.0216501181805455</v>
      </c>
      <c r="AT14" s="26">
        <f t="shared" si="18"/>
        <v>2.0039118629375707</v>
      </c>
      <c r="AU14" s="26">
        <f t="shared" si="19"/>
        <v>0.95481914355881681</v>
      </c>
      <c r="AV14" s="47"/>
      <c r="AW14" s="26">
        <f t="shared" si="20"/>
        <v>1.9728589066093267</v>
      </c>
      <c r="AX14" s="26">
        <f t="shared" si="21"/>
        <v>4.2180019439627117E-3</v>
      </c>
      <c r="AY14" s="26">
        <f t="shared" si="22"/>
        <v>2.0265113681299803E-2</v>
      </c>
      <c r="AZ14" s="26">
        <f t="shared" si="23"/>
        <v>2.9361812779051021E-4</v>
      </c>
      <c r="BA14" s="26">
        <f t="shared" si="24"/>
        <v>0.17266473152005038</v>
      </c>
      <c r="BB14" s="26">
        <f t="shared" si="25"/>
        <v>6.4600701337013344E-2</v>
      </c>
      <c r="BC14" s="26">
        <f t="shared" si="26"/>
        <v>5.3786441292165369E-3</v>
      </c>
      <c r="BD14" s="26">
        <f t="shared" si="27"/>
        <v>0.81004130461951529</v>
      </c>
      <c r="BE14" s="26">
        <f t="shared" si="28"/>
        <v>0.91036572777914271</v>
      </c>
      <c r="BF14" s="26">
        <f t="shared" si="29"/>
        <v>3.9313250252681987E-2</v>
      </c>
      <c r="BG14" s="26">
        <f t="shared" si="30"/>
        <v>0</v>
      </c>
      <c r="BH14" s="26">
        <f t="shared" si="31"/>
        <v>0</v>
      </c>
      <c r="BI14" s="26">
        <f t="shared" si="32"/>
        <v>0</v>
      </c>
      <c r="BJ14" s="26">
        <f t="shared" si="33"/>
        <v>0</v>
      </c>
      <c r="BK14" s="25">
        <f t="shared" si="34"/>
        <v>4</v>
      </c>
      <c r="BL14" s="24">
        <f t="shared" si="35"/>
        <v>6</v>
      </c>
      <c r="BM14" s="26">
        <f t="shared" si="36"/>
        <v>1.9931240202906266</v>
      </c>
      <c r="BN14" s="26">
        <f t="shared" si="37"/>
        <v>0.94967897803182466</v>
      </c>
      <c r="BO14" s="22"/>
      <c r="BP14" s="23">
        <f t="shared" si="38"/>
        <v>0.77345182231068232</v>
      </c>
      <c r="BQ14" s="26">
        <f t="shared" si="39"/>
        <v>2.7141093390673277E-2</v>
      </c>
      <c r="BR14" s="26">
        <f t="shared" si="40"/>
        <v>0</v>
      </c>
      <c r="BS14" s="26"/>
      <c r="BT14" s="26">
        <f t="shared" si="41"/>
        <v>0</v>
      </c>
      <c r="BU14" s="26">
        <f t="shared" si="42"/>
        <v>0</v>
      </c>
      <c r="BV14" s="26">
        <f t="shared" si="43"/>
        <v>0</v>
      </c>
      <c r="BW14" s="26">
        <f t="shared" si="44"/>
        <v>1.4760367229108199E-4</v>
      </c>
      <c r="BX14" s="26">
        <f t="shared" si="45"/>
        <v>0.9151455055053358</v>
      </c>
      <c r="BY14" s="26">
        <f t="shared" si="46"/>
        <v>6.891490531532779E-2</v>
      </c>
      <c r="BZ14" s="26">
        <f t="shared" si="47"/>
        <v>0.98420801449295459</v>
      </c>
      <c r="CA14" s="22"/>
      <c r="CB14" s="22">
        <f t="shared" si="48"/>
        <v>3.9313250252681987E-2</v>
      </c>
      <c r="CC14" s="22">
        <f t="shared" si="49"/>
        <v>0</v>
      </c>
      <c r="CD14" s="22">
        <f t="shared" si="50"/>
        <v>2.5287451084331357E-2</v>
      </c>
      <c r="CE14" s="22">
        <f t="shared" si="51"/>
        <v>2.9361812779051021E-4</v>
      </c>
      <c r="CF14" s="22">
        <f t="shared" si="52"/>
        <v>0</v>
      </c>
      <c r="CG14" s="22">
        <f t="shared" si="53"/>
        <v>0.46204895440985139</v>
      </c>
      <c r="CH14" s="22">
        <f t="shared" si="54"/>
        <v>0.44343125081750134</v>
      </c>
      <c r="CI14" s="22">
        <f t="shared" si="55"/>
        <v>9.4519794772647228E-2</v>
      </c>
      <c r="CJ14" s="22"/>
      <c r="CK14" s="22">
        <f t="shared" si="56"/>
        <v>0.46375039520207795</v>
      </c>
      <c r="CL14" s="22">
        <f t="shared" si="57"/>
        <v>0.41264402172051284</v>
      </c>
      <c r="CM14" s="22">
        <f t="shared" si="58"/>
        <v>0.1236055830774092</v>
      </c>
      <c r="CN14" s="1"/>
      <c r="CO14" s="26">
        <f t="shared" si="59"/>
        <v>0.88415446071904125</v>
      </c>
      <c r="CP14" s="26">
        <f t="shared" si="60"/>
        <v>1.8903355032548824E-3</v>
      </c>
      <c r="CQ14" s="26">
        <f t="shared" si="61"/>
        <v>9.0819929384072188E-3</v>
      </c>
      <c r="CR14" s="26">
        <f t="shared" si="62"/>
        <v>1.3158760444766102E-4</v>
      </c>
      <c r="CS14" s="26">
        <f t="shared" si="63"/>
        <v>0.10633263743910926</v>
      </c>
      <c r="CT14" s="26">
        <f t="shared" si="64"/>
        <v>2.4104877361150272E-3</v>
      </c>
      <c r="CU14" s="26">
        <f t="shared" si="65"/>
        <v>0.36302729528535982</v>
      </c>
      <c r="CV14" s="26">
        <f t="shared" si="66"/>
        <v>0.40798858773181168</v>
      </c>
      <c r="CW14" s="26">
        <f t="shared" si="67"/>
        <v>1.7618586640851891E-2</v>
      </c>
      <c r="CX14" s="26">
        <f t="shared" si="68"/>
        <v>0</v>
      </c>
      <c r="CY14" s="26">
        <f t="shared" si="69"/>
        <v>0</v>
      </c>
      <c r="CZ14" s="26">
        <f t="shared" si="70"/>
        <v>0</v>
      </c>
      <c r="DA14" s="26">
        <f t="shared" si="71"/>
        <v>0</v>
      </c>
      <c r="DB14" s="26">
        <f t="shared" si="72"/>
        <v>1.7926359715983986</v>
      </c>
      <c r="DC14" s="26">
        <f t="shared" si="73"/>
        <v>2.6744782647716963</v>
      </c>
      <c r="DD14" s="26">
        <f t="shared" si="74"/>
        <v>2.2313509621439827</v>
      </c>
      <c r="DE14" s="26">
        <f t="shared" si="75"/>
        <v>5.967699649331494</v>
      </c>
      <c r="DF14" s="1"/>
      <c r="DG14" s="22"/>
      <c r="DH14" s="14"/>
      <c r="DI14" s="14"/>
      <c r="DJ14" s="14"/>
      <c r="DK14" s="14"/>
      <c r="DL14" s="14"/>
      <c r="DM14" s="96"/>
      <c r="DN14" s="14"/>
      <c r="DO14" s="96"/>
      <c r="DP14" s="22"/>
      <c r="DQ14" s="14"/>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46">
        <f t="shared" si="80"/>
        <v>-1.6530118748667462</v>
      </c>
      <c r="FR14" s="46">
        <f t="shared" si="81"/>
        <v>-1.2466592372051</v>
      </c>
      <c r="FS14" s="46">
        <f t="shared" si="82"/>
        <v>-0.89750001450391625</v>
      </c>
      <c r="FT14" s="46">
        <f xml:space="preserve"> 0.68509  -3.34181 * BP14 + 0.03095*(100*CK14) +N("642 cpx Mg# Wo R2 0.59")</f>
        <v>-0.46433156116563024</v>
      </c>
      <c r="FU14" s="46">
        <f t="shared" si="83"/>
        <v>-0.4959619543024959</v>
      </c>
      <c r="FV14" s="46">
        <f t="shared" si="84"/>
        <v>-0.28446161210528786</v>
      </c>
      <c r="FW14" s="46">
        <f t="shared" si="85"/>
        <v>-0.21184828809231881</v>
      </c>
      <c r="FX14" s="46">
        <f t="shared" si="86"/>
        <v>-0.21962274804738408</v>
      </c>
      <c r="FY14" s="46">
        <f t="shared" si="87"/>
        <v>-0.27130620574745029</v>
      </c>
      <c r="FZ14" s="46">
        <f t="shared" si="88"/>
        <v>-0.32023098851755044</v>
      </c>
      <c r="GA14" s="46">
        <f t="shared" si="89"/>
        <v>-0.28892028995781704</v>
      </c>
      <c r="GB14" s="46">
        <f t="shared" si="90"/>
        <v>-0.31994707801381028</v>
      </c>
      <c r="GC14" s="46">
        <f t="shared" si="91"/>
        <v>-0.30457331608936833</v>
      </c>
      <c r="GD14" s="46">
        <f>(-1.72947 +0 ) * (3.46258+0) * BQ14   - (1.87473 + 0) *BP14   + (0.03253+0) * (CK14*100)    +N("eqn625 aliv mg# wo")</f>
        <v>-0.10396578917248722</v>
      </c>
      <c r="GE14" s="46"/>
      <c r="GF14" s="46"/>
      <c r="GG14" s="46"/>
      <c r="GH14" s="46"/>
    </row>
    <row r="15" spans="1:190" x14ac:dyDescent="0.25">
      <c r="A15" s="5" t="s">
        <v>90</v>
      </c>
      <c r="B15" s="1">
        <v>318</v>
      </c>
      <c r="C15" s="98" t="s">
        <v>95</v>
      </c>
      <c r="D15" s="98" t="s">
        <v>105</v>
      </c>
      <c r="E15" s="1">
        <v>150</v>
      </c>
      <c r="F15" s="22">
        <v>51.5</v>
      </c>
      <c r="G15" s="22">
        <v>0.54400000000000004</v>
      </c>
      <c r="H15" s="22">
        <v>1.8049999999999999</v>
      </c>
      <c r="I15" s="22">
        <v>0</v>
      </c>
      <c r="J15" s="22">
        <v>9.9499999999999993</v>
      </c>
      <c r="K15" s="22">
        <v>0.39</v>
      </c>
      <c r="L15" s="22">
        <v>14.34</v>
      </c>
      <c r="M15" s="22">
        <v>20.23</v>
      </c>
      <c r="N15" s="22">
        <v>0.40899999999999997</v>
      </c>
      <c r="O15" s="22">
        <v>0</v>
      </c>
      <c r="P15" s="22">
        <v>0</v>
      </c>
      <c r="Q15" s="22"/>
      <c r="R15" s="22"/>
      <c r="S15" s="22">
        <f t="shared" si="0"/>
        <v>99.168000000000006</v>
      </c>
      <c r="T15" s="3"/>
      <c r="U15" s="22">
        <f t="shared" si="1"/>
        <v>8.3016555346084164</v>
      </c>
      <c r="V15" s="22">
        <f t="shared" si="2"/>
        <v>1.8318052043896673</v>
      </c>
      <c r="W15" s="22">
        <f t="shared" si="3"/>
        <v>99.351460738998071</v>
      </c>
      <c r="X15" s="1"/>
      <c r="Y15" s="1"/>
      <c r="Z15" s="1"/>
      <c r="AA15" s="1" t="s">
        <v>185</v>
      </c>
      <c r="AC15" s="1">
        <v>6</v>
      </c>
      <c r="AD15" s="1">
        <v>4</v>
      </c>
      <c r="AE15" s="1"/>
      <c r="AF15" s="26">
        <f t="shared" si="4"/>
        <v>1.9420868102623461</v>
      </c>
      <c r="AG15" s="26">
        <f t="shared" si="5"/>
        <v>1.5429511525770599E-2</v>
      </c>
      <c r="AH15" s="26">
        <f t="shared" si="6"/>
        <v>8.0217423503911298E-2</v>
      </c>
      <c r="AI15" s="26">
        <f t="shared" si="7"/>
        <v>0</v>
      </c>
      <c r="AJ15" s="26">
        <f t="shared" si="8"/>
        <v>0.31375282291926665</v>
      </c>
      <c r="AK15" s="26">
        <f t="shared" si="9"/>
        <v>1.2455602976019414E-2</v>
      </c>
      <c r="AL15" s="26">
        <f t="shared" si="10"/>
        <v>0.80618634683488188</v>
      </c>
      <c r="AM15" s="26">
        <f t="shared" si="11"/>
        <v>0.81729569532781332</v>
      </c>
      <c r="AN15" s="26">
        <f t="shared" si="12"/>
        <v>2.9901506219839009E-2</v>
      </c>
      <c r="AO15" s="26">
        <f t="shared" si="13"/>
        <v>0</v>
      </c>
      <c r="AP15" s="26">
        <f t="shared" si="14"/>
        <v>0</v>
      </c>
      <c r="AQ15" s="26">
        <f t="shared" si="15"/>
        <v>0</v>
      </c>
      <c r="AR15" s="26">
        <f t="shared" si="16"/>
        <v>0</v>
      </c>
      <c r="AS15" s="26">
        <f t="shared" si="17"/>
        <v>4.0173257195698477</v>
      </c>
      <c r="AT15" s="26">
        <f t="shared" si="18"/>
        <v>2.0223042337662576</v>
      </c>
      <c r="AU15" s="26">
        <f t="shared" si="19"/>
        <v>0.84719720154765232</v>
      </c>
      <c r="AV15" s="47"/>
      <c r="AW15" s="26">
        <f t="shared" si="20"/>
        <v>1.933711076303062</v>
      </c>
      <c r="AX15" s="26">
        <f t="shared" si="21"/>
        <v>1.5362967907339811E-2</v>
      </c>
      <c r="AY15" s="26">
        <f t="shared" si="22"/>
        <v>7.9871465849177412E-2</v>
      </c>
      <c r="AZ15" s="26">
        <f t="shared" si="23"/>
        <v>0</v>
      </c>
      <c r="BA15" s="26">
        <f t="shared" si="24"/>
        <v>0.26064669133948387</v>
      </c>
      <c r="BB15" s="26">
        <f t="shared" si="25"/>
        <v>5.1752994243253969E-2</v>
      </c>
      <c r="BC15" s="26">
        <f t="shared" si="26"/>
        <v>1.2401885080259897E-2</v>
      </c>
      <c r="BD15" s="26">
        <f t="shared" si="27"/>
        <v>0.80270946705432056</v>
      </c>
      <c r="BE15" s="26">
        <f t="shared" si="28"/>
        <v>0.8137709037098686</v>
      </c>
      <c r="BF15" s="26">
        <f t="shared" si="29"/>
        <v>2.977254851323401E-2</v>
      </c>
      <c r="BG15" s="26">
        <f t="shared" si="30"/>
        <v>0</v>
      </c>
      <c r="BH15" s="26">
        <f t="shared" si="31"/>
        <v>0</v>
      </c>
      <c r="BI15" s="26">
        <f t="shared" si="32"/>
        <v>0</v>
      </c>
      <c r="BJ15" s="26">
        <f t="shared" si="33"/>
        <v>0</v>
      </c>
      <c r="BK15" s="25">
        <f t="shared" si="34"/>
        <v>4</v>
      </c>
      <c r="BL15" s="24">
        <f t="shared" si="35"/>
        <v>6.0000000000000009</v>
      </c>
      <c r="BM15" s="26">
        <f t="shared" si="36"/>
        <v>2.0135825421522395</v>
      </c>
      <c r="BN15" s="26">
        <f t="shared" si="37"/>
        <v>0.84354345222310256</v>
      </c>
      <c r="BO15" s="22"/>
      <c r="BP15" s="23">
        <f t="shared" si="38"/>
        <v>0.71984833516614799</v>
      </c>
      <c r="BQ15" s="26">
        <f t="shared" si="39"/>
        <v>6.6288923696937951E-2</v>
      </c>
      <c r="BR15" s="26">
        <f t="shared" si="40"/>
        <v>1.358254215223946E-2</v>
      </c>
      <c r="BS15" s="26"/>
      <c r="BT15" s="26">
        <f t="shared" si="41"/>
        <v>1.358254215223946E-2</v>
      </c>
      <c r="BU15" s="26">
        <f t="shared" si="42"/>
        <v>0</v>
      </c>
      <c r="BV15" s="26">
        <f t="shared" si="43"/>
        <v>1.358254215223946E-2</v>
      </c>
      <c r="BW15" s="26">
        <f t="shared" si="44"/>
        <v>0</v>
      </c>
      <c r="BX15" s="26">
        <f t="shared" si="45"/>
        <v>0.8037131531755739</v>
      </c>
      <c r="BY15" s="26">
        <f t="shared" si="46"/>
        <v>0.15811300828928732</v>
      </c>
      <c r="BZ15" s="26">
        <f t="shared" si="47"/>
        <v>0.98899124576934017</v>
      </c>
      <c r="CA15" s="22"/>
      <c r="CB15" s="22">
        <f t="shared" si="48"/>
        <v>2.977254851323401E-2</v>
      </c>
      <c r="CC15" s="22">
        <f t="shared" si="49"/>
        <v>0</v>
      </c>
      <c r="CD15" s="22">
        <f t="shared" si="50"/>
        <v>2.1980445730019959E-2</v>
      </c>
      <c r="CE15" s="22">
        <f t="shared" si="51"/>
        <v>0</v>
      </c>
      <c r="CF15" s="22">
        <f t="shared" si="52"/>
        <v>1.358254215223946E-2</v>
      </c>
      <c r="CG15" s="22">
        <f t="shared" si="53"/>
        <v>0.40399023217042157</v>
      </c>
      <c r="CH15" s="22">
        <f t="shared" si="54"/>
        <v>0.44991763043560667</v>
      </c>
      <c r="CI15" s="22">
        <f t="shared" si="55"/>
        <v>0.14609213739397164</v>
      </c>
      <c r="CJ15" s="22"/>
      <c r="CK15" s="22">
        <f t="shared" si="56"/>
        <v>0.41919253785032506</v>
      </c>
      <c r="CL15" s="22">
        <f t="shared" si="57"/>
        <v>0.41349453158987642</v>
      </c>
      <c r="CM15" s="22">
        <f t="shared" si="58"/>
        <v>0.16731293055979851</v>
      </c>
      <c r="CN15" s="1"/>
      <c r="CO15" s="26">
        <f t="shared" si="59"/>
        <v>0.85719041278295605</v>
      </c>
      <c r="CP15" s="26">
        <f t="shared" si="60"/>
        <v>6.8102153229844774E-3</v>
      </c>
      <c r="CQ15" s="26">
        <f t="shared" si="61"/>
        <v>3.5406041584935273E-2</v>
      </c>
      <c r="CR15" s="26">
        <f t="shared" si="62"/>
        <v>0</v>
      </c>
      <c r="CS15" s="26">
        <f t="shared" si="63"/>
        <v>0.13848295059151008</v>
      </c>
      <c r="CT15" s="26">
        <f t="shared" si="64"/>
        <v>5.4976036086833947E-3</v>
      </c>
      <c r="CU15" s="26">
        <f t="shared" si="65"/>
        <v>0.35583126550868488</v>
      </c>
      <c r="CV15" s="26">
        <f t="shared" si="66"/>
        <v>0.36073466476462196</v>
      </c>
      <c r="CW15" s="26">
        <f t="shared" si="67"/>
        <v>1.3197805743788319E-2</v>
      </c>
      <c r="CX15" s="26">
        <f t="shared" si="68"/>
        <v>0</v>
      </c>
      <c r="CY15" s="26">
        <f t="shared" si="69"/>
        <v>0</v>
      </c>
      <c r="CZ15" s="26">
        <f t="shared" si="70"/>
        <v>0</v>
      </c>
      <c r="DA15" s="26">
        <f t="shared" si="71"/>
        <v>0</v>
      </c>
      <c r="DB15" s="26">
        <f t="shared" si="72"/>
        <v>1.7731509599081643</v>
      </c>
      <c r="DC15" s="26">
        <f t="shared" si="73"/>
        <v>2.6482557059346781</v>
      </c>
      <c r="DD15" s="26">
        <f t="shared" si="74"/>
        <v>2.2558710963939412</v>
      </c>
      <c r="DE15" s="26">
        <f t="shared" si="75"/>
        <v>5.9741235028783732</v>
      </c>
      <c r="DF15" s="1"/>
      <c r="DG15" s="22">
        <v>7.441326406260254</v>
      </c>
      <c r="DH15" s="14">
        <v>2326.1296729085534</v>
      </c>
      <c r="DI15" s="14">
        <v>82623.781177046054</v>
      </c>
      <c r="DJ15" s="14">
        <v>8308.5945928220899</v>
      </c>
      <c r="DK15" s="14">
        <v>244061.79140764492</v>
      </c>
      <c r="DL15" s="14">
        <v>139510.44584102769</v>
      </c>
      <c r="DM15" s="96">
        <v>143.90187515332624</v>
      </c>
      <c r="DN15" s="14">
        <v>2776.9786272982369</v>
      </c>
      <c r="DO15" s="96">
        <v>279.65965370598229</v>
      </c>
      <c r="DP15" s="22">
        <v>14.064099605291906</v>
      </c>
      <c r="DQ15" s="14">
        <v>2810.2231127589907</v>
      </c>
      <c r="DR15" s="22">
        <v>51.056656997353862</v>
      </c>
      <c r="DS15" s="22">
        <v>54.232571265704244</v>
      </c>
      <c r="DT15" s="22">
        <v>1.8683889507156137</v>
      </c>
      <c r="DU15" s="22">
        <v>90.96988607588294</v>
      </c>
      <c r="DV15" s="22">
        <v>1.2913642905819358</v>
      </c>
      <c r="DW15" s="22">
        <v>10.853160209131381</v>
      </c>
      <c r="DX15" s="22">
        <v>11.368522901953755</v>
      </c>
      <c r="DY15" s="22">
        <v>71.168527010582537</v>
      </c>
      <c r="DZ15" s="22">
        <v>51.966423236302816</v>
      </c>
      <c r="EA15" s="22">
        <v>0</v>
      </c>
      <c r="EB15" s="22">
        <v>6.8817159591923138E-2</v>
      </c>
      <c r="EC15" s="22">
        <v>2.1238124635069071</v>
      </c>
      <c r="ED15" s="22">
        <v>5.7018850272694115</v>
      </c>
      <c r="EE15" s="22">
        <v>23.942384274479245</v>
      </c>
      <c r="EF15" s="22">
        <v>4.5292787196258981</v>
      </c>
      <c r="EG15" s="22">
        <v>24.164806253049083</v>
      </c>
      <c r="EH15" s="22">
        <v>8.3534817071295215</v>
      </c>
      <c r="EI15" s="22">
        <v>0.97130867888193917</v>
      </c>
      <c r="EJ15" s="22">
        <v>11.67244984422147</v>
      </c>
      <c r="EK15" s="22">
        <v>2.1816527250755628</v>
      </c>
      <c r="EL15" s="22">
        <v>13.764620268023611</v>
      </c>
      <c r="EM15" s="22">
        <v>2.9629921324744553</v>
      </c>
      <c r="EN15" s="22">
        <v>8.1157390662354025</v>
      </c>
      <c r="EO15" s="22">
        <v>1.0614205287198779</v>
      </c>
      <c r="EP15" s="22">
        <v>7.8443136636016444</v>
      </c>
      <c r="EQ15" s="22">
        <v>1.0444073036328434</v>
      </c>
      <c r="ER15" s="22">
        <v>2.648628232960673</v>
      </c>
      <c r="ES15" s="22">
        <v>4.0798286292967376E-2</v>
      </c>
      <c r="ET15" s="22">
        <v>0.44423034877250034</v>
      </c>
      <c r="EU15" s="22">
        <v>0.18823306915717913</v>
      </c>
      <c r="EV15" s="22">
        <v>7.7889885425158248E-2</v>
      </c>
      <c r="EW15" s="22">
        <f>(EI15/0.05883)/SQRT((EH15/0.1536)*(EJ15/0.2069))</f>
        <v>0.29807084783113524</v>
      </c>
      <c r="EX15" s="22"/>
      <c r="EY15" s="22"/>
      <c r="EZ15" s="22"/>
      <c r="FA15" s="22"/>
      <c r="FB15" s="22"/>
      <c r="FC15" s="22"/>
      <c r="FD15" s="22"/>
      <c r="FE15" s="22"/>
      <c r="FF15" s="22"/>
      <c r="FG15" s="22"/>
      <c r="FH15" s="22"/>
      <c r="FI15" s="22">
        <f>-0.50354-2.23025*BP15+ N("eqn 18 Mg# R2 0.28 best")</f>
        <v>-2.1089817495043013</v>
      </c>
      <c r="FJ15" s="22"/>
      <c r="FK15" s="22">
        <f xml:space="preserve"> -0.03692  +  0.931085 + FX15   + N("488 NN Dy")</f>
        <v>0.8941650000000001</v>
      </c>
      <c r="FL15" s="22">
        <f>-0.48986  +   0    +   (1.071278 + 0) * GD15  +N("eqn 119 LnD Hf  (which has R2 of 0.51 for TS")</f>
        <v>-0.48986000000000002</v>
      </c>
      <c r="FM15" s="22"/>
      <c r="FN15" s="22"/>
      <c r="FO15" s="22">
        <f>3.94011-11.9214*BP15</f>
        <v>-4.6414899428497174</v>
      </c>
      <c r="FP15" s="22">
        <f xml:space="preserve">  -0.49862 +   1.013256 * FQ15 + N("294 NN")</f>
        <v>-0.49862000000000001</v>
      </c>
      <c r="FQ15" s="46"/>
      <c r="FR15" s="46"/>
      <c r="FS15" s="46"/>
      <c r="FT15" s="46"/>
      <c r="FU15" s="46"/>
      <c r="FV15" s="46"/>
      <c r="FW15" s="46"/>
      <c r="FX15" s="46"/>
      <c r="FY15" s="46"/>
      <c r="FZ15" s="46"/>
      <c r="GA15" s="46"/>
      <c r="GB15" s="46"/>
      <c r="GC15" s="46"/>
      <c r="GD15" s="46"/>
      <c r="GE15" s="46"/>
      <c r="GF15" s="46"/>
      <c r="GG15" s="46"/>
      <c r="GH15" s="46"/>
    </row>
    <row r="16" spans="1:190" x14ac:dyDescent="0.25">
      <c r="A16" s="5" t="s">
        <v>90</v>
      </c>
      <c r="B16" s="1">
        <v>319</v>
      </c>
      <c r="C16" s="98" t="s">
        <v>95</v>
      </c>
      <c r="D16" s="98" t="s">
        <v>105</v>
      </c>
      <c r="E16" s="1">
        <v>151</v>
      </c>
      <c r="F16" s="22">
        <v>52.38</v>
      </c>
      <c r="G16" s="22">
        <v>0</v>
      </c>
      <c r="H16" s="22">
        <v>0.20799999999999999</v>
      </c>
      <c r="I16" s="22">
        <v>0</v>
      </c>
      <c r="J16" s="22">
        <v>11.22</v>
      </c>
      <c r="K16" s="22">
        <v>0.107</v>
      </c>
      <c r="L16" s="22">
        <v>11.74</v>
      </c>
      <c r="M16" s="22">
        <v>23.08</v>
      </c>
      <c r="N16" s="22">
        <v>0.64</v>
      </c>
      <c r="O16" s="22">
        <v>0</v>
      </c>
      <c r="P16" s="22">
        <v>0</v>
      </c>
      <c r="Q16" s="22"/>
      <c r="R16" s="22"/>
      <c r="S16" s="22">
        <f t="shared" si="0"/>
        <v>99.375</v>
      </c>
      <c r="T16" s="3"/>
      <c r="U16" s="22">
        <f t="shared" si="1"/>
        <v>9.0642747364698213</v>
      </c>
      <c r="V16" s="22">
        <f t="shared" si="2"/>
        <v>2.3956574853610872</v>
      </c>
      <c r="W16" s="22">
        <f t="shared" si="3"/>
        <v>99.614932221830912</v>
      </c>
      <c r="X16" s="1"/>
      <c r="Y16" s="1"/>
      <c r="Z16" s="1"/>
      <c r="AA16" s="1" t="s">
        <v>185</v>
      </c>
      <c r="AC16" s="1">
        <v>6</v>
      </c>
      <c r="AD16" s="1">
        <v>4</v>
      </c>
      <c r="AE16" s="1"/>
      <c r="AF16" s="26">
        <f t="shared" si="4"/>
        <v>1.9960731638200362</v>
      </c>
      <c r="AG16" s="26">
        <f t="shared" si="5"/>
        <v>0</v>
      </c>
      <c r="AH16" s="26">
        <f t="shared" si="6"/>
        <v>9.3412369718166976E-3</v>
      </c>
      <c r="AI16" s="26">
        <f t="shared" si="7"/>
        <v>0</v>
      </c>
      <c r="AJ16" s="26">
        <f t="shared" si="8"/>
        <v>0.35752545677670333</v>
      </c>
      <c r="AK16" s="26">
        <f t="shared" si="9"/>
        <v>3.4532934053211296E-3</v>
      </c>
      <c r="AL16" s="26">
        <f t="shared" si="10"/>
        <v>0.66696637025965677</v>
      </c>
      <c r="AM16" s="26">
        <f t="shared" si="11"/>
        <v>0.94225550893982213</v>
      </c>
      <c r="AN16" s="26">
        <f t="shared" si="12"/>
        <v>4.7282375041399489E-2</v>
      </c>
      <c r="AO16" s="26">
        <f t="shared" si="13"/>
        <v>0</v>
      </c>
      <c r="AP16" s="26">
        <f t="shared" si="14"/>
        <v>0</v>
      </c>
      <c r="AQ16" s="26">
        <f t="shared" si="15"/>
        <v>0</v>
      </c>
      <c r="AR16" s="26">
        <f t="shared" si="16"/>
        <v>0</v>
      </c>
      <c r="AS16" s="26">
        <f t="shared" si="17"/>
        <v>4.0228974052147564</v>
      </c>
      <c r="AT16" s="26">
        <f t="shared" si="18"/>
        <v>2.0054144007918531</v>
      </c>
      <c r="AU16" s="26">
        <f t="shared" si="19"/>
        <v>0.98953788398122167</v>
      </c>
      <c r="AV16" s="47"/>
      <c r="AW16" s="26">
        <f t="shared" si="20"/>
        <v>1.9847119752371405</v>
      </c>
      <c r="AX16" s="26">
        <f t="shared" si="21"/>
        <v>0</v>
      </c>
      <c r="AY16" s="26">
        <f t="shared" si="22"/>
        <v>9.2880688030551762E-3</v>
      </c>
      <c r="AZ16" s="26">
        <f t="shared" si="23"/>
        <v>0</v>
      </c>
      <c r="BA16" s="26">
        <f t="shared" si="24"/>
        <v>0.28718926886679053</v>
      </c>
      <c r="BB16" s="26">
        <f t="shared" si="25"/>
        <v>6.8301235378487313E-2</v>
      </c>
      <c r="BC16" s="26">
        <f t="shared" si="26"/>
        <v>3.433638054845479E-3</v>
      </c>
      <c r="BD16" s="26">
        <f t="shared" si="27"/>
        <v>0.66317015133927026</v>
      </c>
      <c r="BE16" s="26">
        <f t="shared" si="28"/>
        <v>0.93689240766459114</v>
      </c>
      <c r="BF16" s="26">
        <f t="shared" si="29"/>
        <v>4.7013254655819785E-2</v>
      </c>
      <c r="BG16" s="26">
        <f t="shared" si="30"/>
        <v>0</v>
      </c>
      <c r="BH16" s="26">
        <f t="shared" si="31"/>
        <v>0</v>
      </c>
      <c r="BI16" s="26">
        <f t="shared" si="32"/>
        <v>0</v>
      </c>
      <c r="BJ16" s="26">
        <f t="shared" si="33"/>
        <v>0</v>
      </c>
      <c r="BK16" s="25">
        <f t="shared" si="34"/>
        <v>4</v>
      </c>
      <c r="BL16" s="24">
        <f t="shared" si="35"/>
        <v>6.0000000000000027</v>
      </c>
      <c r="BM16" s="26">
        <f t="shared" si="36"/>
        <v>1.9940000440401957</v>
      </c>
      <c r="BN16" s="26">
        <f t="shared" si="37"/>
        <v>0.98390566232041088</v>
      </c>
      <c r="BO16" s="22"/>
      <c r="BP16" s="23">
        <f t="shared" si="38"/>
        <v>0.65102166035726272</v>
      </c>
      <c r="BQ16" s="26">
        <f t="shared" si="39"/>
        <v>1.5288024762859509E-2</v>
      </c>
      <c r="BR16" s="26">
        <f t="shared" si="40"/>
        <v>0</v>
      </c>
      <c r="BS16" s="26"/>
      <c r="BT16" s="26">
        <f t="shared" si="41"/>
        <v>0</v>
      </c>
      <c r="BU16" s="26">
        <f t="shared" si="42"/>
        <v>0</v>
      </c>
      <c r="BV16" s="26">
        <f t="shared" si="43"/>
        <v>0</v>
      </c>
      <c r="BW16" s="26">
        <f t="shared" si="44"/>
        <v>0</v>
      </c>
      <c r="BX16" s="26">
        <f t="shared" si="45"/>
        <v>0.94225550893982213</v>
      </c>
      <c r="BY16" s="26">
        <f t="shared" si="46"/>
        <v>4.1118159048268987E-2</v>
      </c>
      <c r="BZ16" s="26">
        <f t="shared" si="47"/>
        <v>0.98337366798809112</v>
      </c>
      <c r="CA16" s="22"/>
      <c r="CB16" s="22">
        <f t="shared" si="48"/>
        <v>4.7013254655819785E-2</v>
      </c>
      <c r="CC16" s="22">
        <f t="shared" si="49"/>
        <v>0</v>
      </c>
      <c r="CD16" s="22">
        <f t="shared" si="50"/>
        <v>2.1287980722667528E-2</v>
      </c>
      <c r="CE16" s="22">
        <f t="shared" si="51"/>
        <v>0</v>
      </c>
      <c r="CF16" s="22">
        <f t="shared" si="52"/>
        <v>0</v>
      </c>
      <c r="CG16" s="22">
        <f t="shared" si="53"/>
        <v>0.48130884079887165</v>
      </c>
      <c r="CH16" s="22">
        <f t="shared" si="54"/>
        <v>0.36194779283733569</v>
      </c>
      <c r="CI16" s="22">
        <f t="shared" si="55"/>
        <v>0.15674336636379257</v>
      </c>
      <c r="CJ16" s="22"/>
      <c r="CK16" s="22">
        <f t="shared" si="56"/>
        <v>0.47825358234487036</v>
      </c>
      <c r="CL16" s="22">
        <f t="shared" si="57"/>
        <v>0.33852713287835806</v>
      </c>
      <c r="CM16" s="22">
        <f t="shared" si="58"/>
        <v>0.18321928477677168</v>
      </c>
      <c r="CN16" s="1"/>
      <c r="CO16" s="26">
        <f t="shared" si="59"/>
        <v>0.87183754993342222</v>
      </c>
      <c r="CP16" s="26">
        <f t="shared" si="60"/>
        <v>0</v>
      </c>
      <c r="CQ16" s="26">
        <f t="shared" si="61"/>
        <v>4.0800313848568066E-3</v>
      </c>
      <c r="CR16" s="26">
        <f t="shared" si="62"/>
        <v>0</v>
      </c>
      <c r="CS16" s="26">
        <f t="shared" si="63"/>
        <v>0.1561586638830898</v>
      </c>
      <c r="CT16" s="26">
        <f t="shared" si="64"/>
        <v>1.5083168875105724E-3</v>
      </c>
      <c r="CU16" s="26">
        <f t="shared" si="65"/>
        <v>0.29131513647642682</v>
      </c>
      <c r="CV16" s="26">
        <f t="shared" si="66"/>
        <v>0.4115549215406562</v>
      </c>
      <c r="CW16" s="26">
        <f t="shared" si="67"/>
        <v>2.065182316876412E-2</v>
      </c>
      <c r="CX16" s="26">
        <f t="shared" si="68"/>
        <v>0</v>
      </c>
      <c r="CY16" s="26">
        <f t="shared" si="69"/>
        <v>0</v>
      </c>
      <c r="CZ16" s="26">
        <f t="shared" si="70"/>
        <v>0</v>
      </c>
      <c r="DA16" s="26">
        <f t="shared" si="71"/>
        <v>0</v>
      </c>
      <c r="DB16" s="26">
        <f t="shared" si="72"/>
        <v>1.7571064432747263</v>
      </c>
      <c r="DC16" s="26">
        <f t="shared" si="73"/>
        <v>2.6206580973161948</v>
      </c>
      <c r="DD16" s="26">
        <f t="shared" si="74"/>
        <v>2.2764699402872735</v>
      </c>
      <c r="DE16" s="26">
        <f t="shared" si="75"/>
        <v>5.9658493823107577</v>
      </c>
      <c r="DF16" s="1"/>
      <c r="DG16" s="22">
        <v>3.1773871077463558</v>
      </c>
      <c r="DH16" s="14">
        <v>3744.7623925297989</v>
      </c>
      <c r="DI16" s="14">
        <v>70953.713255125476</v>
      </c>
      <c r="DJ16" s="14">
        <v>1725.8313907842669</v>
      </c>
      <c r="DK16" s="14">
        <v>245222.73450190699</v>
      </c>
      <c r="DL16" s="14">
        <v>164393.60088158987</v>
      </c>
      <c r="DM16" s="96">
        <v>39.026552687466449</v>
      </c>
      <c r="DN16" s="14">
        <v>241.81073178956814</v>
      </c>
      <c r="DO16" s="96">
        <v>205.85797427874161</v>
      </c>
      <c r="DP16" s="22">
        <v>2.9282211149507065</v>
      </c>
      <c r="DQ16" s="14">
        <v>1347.1126663216442</v>
      </c>
      <c r="DR16" s="22">
        <v>29.945551132598919</v>
      </c>
      <c r="DS16" s="22">
        <v>17.772530855613127</v>
      </c>
      <c r="DT16" s="22">
        <v>0.71735074350339323</v>
      </c>
      <c r="DU16" s="22">
        <v>23.140942252034669</v>
      </c>
      <c r="DV16" s="22">
        <v>1.3174913587387052</v>
      </c>
      <c r="DW16" s="22">
        <v>7.948010166209758</v>
      </c>
      <c r="DX16" s="22">
        <v>7.8925791483474788</v>
      </c>
      <c r="DY16" s="22">
        <v>21.754400156984044</v>
      </c>
      <c r="DZ16" s="22">
        <v>7.2344842216660163</v>
      </c>
      <c r="EA16" s="22">
        <v>0.10473061992779543</v>
      </c>
      <c r="EB16" s="22">
        <v>6.6864240733429323E-2</v>
      </c>
      <c r="EC16" s="22">
        <v>3.676272871588754</v>
      </c>
      <c r="ED16" s="22">
        <v>3.8190705124750348</v>
      </c>
      <c r="EE16" s="22">
        <v>12.658359475366202</v>
      </c>
      <c r="EF16" s="22">
        <v>2.0388822700056064</v>
      </c>
      <c r="EG16" s="22">
        <v>8.4512295632388845</v>
      </c>
      <c r="EH16" s="22">
        <v>2.053188293209061</v>
      </c>
      <c r="EI16" s="22">
        <v>0.2305526729752056</v>
      </c>
      <c r="EJ16" s="22">
        <v>2.7800830344749294</v>
      </c>
      <c r="EK16" s="22">
        <v>0.45400010296478366</v>
      </c>
      <c r="EL16" s="22">
        <v>3.4536260332447628</v>
      </c>
      <c r="EM16" s="22">
        <v>0.7598843524930724</v>
      </c>
      <c r="EN16" s="22">
        <v>2.4436824174401921</v>
      </c>
      <c r="EO16" s="22">
        <v>0.38061645728894838</v>
      </c>
      <c r="EP16" s="22">
        <v>3.5503149635798477</v>
      </c>
      <c r="EQ16" s="22">
        <v>0.94087459701738152</v>
      </c>
      <c r="ER16" s="22">
        <v>0.71874005219672421</v>
      </c>
      <c r="ES16" s="22">
        <v>4.8577544255795788E-2</v>
      </c>
      <c r="ET16" s="22">
        <v>1.3964568992702271</v>
      </c>
      <c r="EU16" s="22">
        <v>0.340620620854167</v>
      </c>
      <c r="EV16" s="22">
        <v>0.10691994341565991</v>
      </c>
      <c r="EW16" s="22">
        <f>(EI16/0.05883)/SQRT((EH16/0.1536)*(EJ16/0.2069))</f>
        <v>0.29241785905295986</v>
      </c>
      <c r="EX16" s="22"/>
      <c r="EY16" s="22"/>
      <c r="EZ16" s="22"/>
      <c r="FA16" s="22"/>
      <c r="FB16" s="22"/>
      <c r="FC16" s="22"/>
      <c r="FD16" s="22"/>
      <c r="FE16" s="22"/>
      <c r="FF16" s="22"/>
      <c r="FG16" s="22"/>
      <c r="FH16" s="22"/>
      <c r="FI16" s="22">
        <f>-0.50354-2.23025*BP16+ N("eqn 18 Mg# R2 0.28 best")</f>
        <v>-1.955481058011785</v>
      </c>
      <c r="FJ16" s="22"/>
      <c r="FK16" s="22">
        <f xml:space="preserve"> -0.03692  +  0.931085 + FX16   + N("488 NN Dy")</f>
        <v>1.0391290187043496</v>
      </c>
      <c r="FL16" s="22">
        <f>-0.48986  +   0    +   (1.071278 + 0) * GD16  +N("eqn 119 LnD Hf  (which has R2 of 0.51 for TS")</f>
        <v>-0.22877045379598115</v>
      </c>
      <c r="FM16" s="22"/>
      <c r="FN16" s="22"/>
      <c r="FO16" s="22">
        <f>3.94011-11.9214*BP16</f>
        <v>-3.8209796217830725</v>
      </c>
      <c r="FP16" s="22">
        <f xml:space="preserve">  -0.49862 +   1.013256 * FQ16 + N("294 NN")</f>
        <v>-1.6936553551425286</v>
      </c>
      <c r="FQ16" s="46">
        <f xml:space="preserve">  -0.73306   +   1.025016   *  FS16     +N("316 NN Nd")</f>
        <v>-1.1794012126674094</v>
      </c>
      <c r="FR16" s="46">
        <f xml:space="preserve">  -0.33671   +   1.013871 *  FS16    +N("340 NN")</f>
        <v>-0.7781981442126944</v>
      </c>
      <c r="FS16" s="46">
        <f>-0.42496     +   1.017678*FT16                 + N("361 NN")</f>
        <v>-0.43544804438897489</v>
      </c>
      <c r="FT16" s="46">
        <f xml:space="preserve"> 0.68509  -3.34181 * BP16 + 0.03095*(100*CK16) +N("642 cpx Mg# Wo R2 0.59")</f>
        <v>-1.030585744113055E-2</v>
      </c>
      <c r="FU16" s="46">
        <f xml:space="preserve"> -0.06599 + 0.926002 * FT16  + N("409 NN")</f>
        <v>-7.553324460220176E-2</v>
      </c>
      <c r="FV16" s="46">
        <f t="shared" ref="FV16" si="92">0.1453     +   0.925549*FT16     +N("424 LnD Sm")</f>
        <v>0.13576142395121907</v>
      </c>
      <c r="FW16" s="46">
        <f xml:space="preserve">  0.053547 + 0.932974 * FV16  +  N("445 NN")</f>
        <v>0.18020887874946467</v>
      </c>
      <c r="FX16" s="46">
        <f xml:space="preserve">  0.027177  +  0.867603 * FV16 + N("464 NN Gd")</f>
        <v>0.14496401870434952</v>
      </c>
      <c r="FY16" s="46">
        <f xml:space="preserve">  -0.06187  +  0.953618 * FX16   + N("505 NN Dy")</f>
        <v>7.637029758880437E-2</v>
      </c>
      <c r="FZ16" s="46">
        <f xml:space="preserve"> -0.05652 + 0.972005*FY16   +N("533 NN")</f>
        <v>1.7712311107805787E-2</v>
      </c>
      <c r="GA16" s="46">
        <f xml:space="preserve">     0.018586 + 0.960264 * FZ16    +N("549 LnD Er")</f>
        <v>3.559449471362601E-2</v>
      </c>
      <c r="GB16" s="46">
        <f xml:space="preserve"> -0.02011 + 0.936315 * FZ16    +N("574 NN Er")</f>
        <v>-3.5256974250948252E-3</v>
      </c>
      <c r="GC16" s="46">
        <f xml:space="preserve">   0.01732 + 1.006083 * GB16  +N("597 NN Yb")</f>
        <v>1.3772855757468321E-2</v>
      </c>
      <c r="GD16" s="46">
        <f>(-1.72947 +0 ) * (3.46258+0) * BQ16   - (1.87473 + 0) *BP16   + (0.03253+0) * (CK16*100)    +N("eqn625 aliv mg# wo")</f>
        <v>0.24371782693569632</v>
      </c>
      <c r="GE16" s="46"/>
      <c r="GF16" s="46"/>
      <c r="GG16" s="46"/>
      <c r="GH16" s="46"/>
    </row>
    <row r="17" spans="1:190" x14ac:dyDescent="0.25">
      <c r="A17" s="5" t="s">
        <v>90</v>
      </c>
      <c r="B17" s="1">
        <v>320</v>
      </c>
      <c r="C17" s="98" t="s">
        <v>95</v>
      </c>
      <c r="D17" s="98" t="s">
        <v>105</v>
      </c>
      <c r="E17" s="1">
        <v>152</v>
      </c>
      <c r="F17" s="22">
        <v>52.81</v>
      </c>
      <c r="G17" s="22">
        <v>0.13200000000000001</v>
      </c>
      <c r="H17" s="22">
        <v>0.35099999999999998</v>
      </c>
      <c r="I17" s="22">
        <v>0</v>
      </c>
      <c r="J17" s="22">
        <v>9.4700000000000006</v>
      </c>
      <c r="K17" s="22">
        <v>0.17100000000000001</v>
      </c>
      <c r="L17" s="22">
        <v>13.25</v>
      </c>
      <c r="M17" s="22">
        <v>23.03</v>
      </c>
      <c r="N17" s="22">
        <v>0.72399999999999998</v>
      </c>
      <c r="O17" s="22">
        <v>0</v>
      </c>
      <c r="P17" s="22">
        <v>0</v>
      </c>
      <c r="Q17" s="22"/>
      <c r="R17" s="22"/>
      <c r="S17" s="22">
        <f t="shared" si="0"/>
        <v>99.938000000000002</v>
      </c>
      <c r="T17" s="3"/>
      <c r="U17" s="22">
        <f t="shared" si="1"/>
        <v>6.6148312811320951</v>
      </c>
      <c r="V17" s="22">
        <f t="shared" si="2"/>
        <v>3.1729489972779032</v>
      </c>
      <c r="W17" s="22">
        <f t="shared" si="3"/>
        <v>100.25578027840999</v>
      </c>
      <c r="X17" s="1"/>
      <c r="Y17" s="1"/>
      <c r="Z17" s="1"/>
      <c r="AA17" s="1" t="s">
        <v>185</v>
      </c>
      <c r="AC17" s="1">
        <v>6</v>
      </c>
      <c r="AD17" s="1">
        <v>4</v>
      </c>
      <c r="AE17" s="1"/>
      <c r="AF17" s="26">
        <f t="shared" si="4"/>
        <v>1.9849607550551498</v>
      </c>
      <c r="AG17" s="26">
        <f t="shared" si="5"/>
        <v>3.7316556082016812E-3</v>
      </c>
      <c r="AH17" s="26">
        <f t="shared" si="6"/>
        <v>1.5547943956644578E-2</v>
      </c>
      <c r="AI17" s="26">
        <f t="shared" si="7"/>
        <v>0</v>
      </c>
      <c r="AJ17" s="26">
        <f t="shared" si="8"/>
        <v>0.29763834960676006</v>
      </c>
      <c r="AK17" s="26">
        <f t="shared" si="9"/>
        <v>5.4434044932463958E-3</v>
      </c>
      <c r="AL17" s="26">
        <f t="shared" si="10"/>
        <v>0.74246590199953788</v>
      </c>
      <c r="AM17" s="26">
        <f t="shared" si="11"/>
        <v>0.92736694996216873</v>
      </c>
      <c r="AN17" s="26">
        <f t="shared" si="12"/>
        <v>5.2757313353232423E-2</v>
      </c>
      <c r="AO17" s="26">
        <f t="shared" si="13"/>
        <v>0</v>
      </c>
      <c r="AP17" s="26">
        <f t="shared" si="14"/>
        <v>0</v>
      </c>
      <c r="AQ17" s="26">
        <f t="shared" si="15"/>
        <v>0</v>
      </c>
      <c r="AR17" s="26">
        <f t="shared" si="16"/>
        <v>0</v>
      </c>
      <c r="AS17" s="26">
        <f t="shared" si="17"/>
        <v>4.0299122740349418</v>
      </c>
      <c r="AT17" s="26">
        <f t="shared" si="18"/>
        <v>2.0005086990117942</v>
      </c>
      <c r="AU17" s="26">
        <f t="shared" si="19"/>
        <v>0.98012426331540115</v>
      </c>
      <c r="AV17" s="47"/>
      <c r="AW17" s="26">
        <f t="shared" si="20"/>
        <v>1.9702272606224371</v>
      </c>
      <c r="AX17" s="26">
        <f t="shared" si="21"/>
        <v>3.7039571627849543E-3</v>
      </c>
      <c r="AY17" s="26">
        <f t="shared" si="22"/>
        <v>1.5432538377394733E-2</v>
      </c>
      <c r="AZ17" s="26">
        <f t="shared" si="23"/>
        <v>0</v>
      </c>
      <c r="BA17" s="26">
        <f t="shared" si="24"/>
        <v>0.20635836550732084</v>
      </c>
      <c r="BB17" s="26">
        <f t="shared" si="25"/>
        <v>8.9070744971801563E-2</v>
      </c>
      <c r="BC17" s="26">
        <f t="shared" si="26"/>
        <v>5.4030004854633698E-3</v>
      </c>
      <c r="BD17" s="26">
        <f t="shared" si="27"/>
        <v>0.73695490274893305</v>
      </c>
      <c r="BE17" s="26">
        <f t="shared" si="28"/>
        <v>0.92048351120422234</v>
      </c>
      <c r="BF17" s="26">
        <f t="shared" si="29"/>
        <v>5.236571891964216E-2</v>
      </c>
      <c r="BG17" s="26">
        <f t="shared" si="30"/>
        <v>0</v>
      </c>
      <c r="BH17" s="26">
        <f t="shared" si="31"/>
        <v>0</v>
      </c>
      <c r="BI17" s="26">
        <f t="shared" si="32"/>
        <v>0</v>
      </c>
      <c r="BJ17" s="26">
        <f t="shared" si="33"/>
        <v>0</v>
      </c>
      <c r="BK17" s="25">
        <f t="shared" si="34"/>
        <v>4.0000000000000009</v>
      </c>
      <c r="BL17" s="24">
        <f t="shared" si="35"/>
        <v>6</v>
      </c>
      <c r="BM17" s="26">
        <f t="shared" si="36"/>
        <v>1.9856597989998319</v>
      </c>
      <c r="BN17" s="26">
        <f t="shared" si="37"/>
        <v>0.97284923012386448</v>
      </c>
      <c r="BO17" s="22"/>
      <c r="BP17" s="23">
        <f t="shared" si="38"/>
        <v>0.71383796465873628</v>
      </c>
      <c r="BQ17" s="26">
        <f t="shared" si="39"/>
        <v>2.9772739377562862E-2</v>
      </c>
      <c r="BR17" s="26">
        <f t="shared" si="40"/>
        <v>0</v>
      </c>
      <c r="BS17" s="26"/>
      <c r="BT17" s="26">
        <f t="shared" si="41"/>
        <v>0</v>
      </c>
      <c r="BU17" s="26">
        <f t="shared" si="42"/>
        <v>0</v>
      </c>
      <c r="BV17" s="26">
        <f t="shared" si="43"/>
        <v>0</v>
      </c>
      <c r="BW17" s="26">
        <f t="shared" si="44"/>
        <v>0</v>
      </c>
      <c r="BX17" s="26">
        <f t="shared" si="45"/>
        <v>0.92736694996216873</v>
      </c>
      <c r="BY17" s="26">
        <f t="shared" si="46"/>
        <v>5.6368650822064603E-2</v>
      </c>
      <c r="BZ17" s="26">
        <f t="shared" si="47"/>
        <v>0.98373560078423328</v>
      </c>
      <c r="CA17" s="22"/>
      <c r="CB17" s="22">
        <f t="shared" si="48"/>
        <v>5.236571891964216E-2</v>
      </c>
      <c r="CC17" s="22">
        <f t="shared" si="49"/>
        <v>0</v>
      </c>
      <c r="CD17" s="22">
        <f t="shared" si="50"/>
        <v>3.6705026052159404E-2</v>
      </c>
      <c r="CE17" s="22">
        <f t="shared" si="51"/>
        <v>0</v>
      </c>
      <c r="CF17" s="22">
        <f t="shared" si="52"/>
        <v>0</v>
      </c>
      <c r="CG17" s="22">
        <f t="shared" si="53"/>
        <v>0.46807210203585253</v>
      </c>
      <c r="CH17" s="22">
        <f t="shared" si="54"/>
        <v>0.41556382752704257</v>
      </c>
      <c r="CI17" s="22">
        <f t="shared" si="55"/>
        <v>0.11636407043710496</v>
      </c>
      <c r="CJ17" s="22"/>
      <c r="CK17" s="22">
        <f t="shared" si="56"/>
        <v>0.47004920897887081</v>
      </c>
      <c r="CL17" s="22">
        <f t="shared" si="57"/>
        <v>0.37632946693097447</v>
      </c>
      <c r="CM17" s="22">
        <f t="shared" si="58"/>
        <v>0.15362132409015478</v>
      </c>
      <c r="CN17" s="1"/>
      <c r="CO17" s="26">
        <f t="shared" si="59"/>
        <v>0.87899467376830898</v>
      </c>
      <c r="CP17" s="26">
        <f t="shared" si="60"/>
        <v>1.6524787180771158E-3</v>
      </c>
      <c r="CQ17" s="26">
        <f t="shared" si="61"/>
        <v>6.8850529619458615E-3</v>
      </c>
      <c r="CR17" s="26">
        <f t="shared" si="62"/>
        <v>0</v>
      </c>
      <c r="CS17" s="26">
        <f t="shared" si="63"/>
        <v>0.13180236604036188</v>
      </c>
      <c r="CT17" s="26">
        <f t="shared" si="64"/>
        <v>2.4104877361150272E-3</v>
      </c>
      <c r="CU17" s="26">
        <f t="shared" si="65"/>
        <v>0.3287841191066998</v>
      </c>
      <c r="CV17" s="26">
        <f t="shared" si="66"/>
        <v>0.41066333808844513</v>
      </c>
      <c r="CW17" s="26">
        <f t="shared" si="67"/>
        <v>2.3362374959664409E-2</v>
      </c>
      <c r="CX17" s="26">
        <f t="shared" si="68"/>
        <v>0</v>
      </c>
      <c r="CY17" s="26">
        <f t="shared" si="69"/>
        <v>0</v>
      </c>
      <c r="CZ17" s="26">
        <f t="shared" si="70"/>
        <v>0</v>
      </c>
      <c r="DA17" s="26">
        <f t="shared" si="71"/>
        <v>0</v>
      </c>
      <c r="DB17" s="26">
        <f t="shared" si="72"/>
        <v>1.7845548913796181</v>
      </c>
      <c r="DC17" s="26">
        <f t="shared" si="73"/>
        <v>2.6569633828671453</v>
      </c>
      <c r="DD17" s="26">
        <f t="shared" si="74"/>
        <v>2.2414552891156223</v>
      </c>
      <c r="DE17" s="26">
        <f t="shared" si="75"/>
        <v>5.9554646275140994</v>
      </c>
      <c r="DF17" s="1"/>
      <c r="DG17" s="22"/>
      <c r="DH17" s="14"/>
      <c r="DI17" s="14"/>
      <c r="DJ17" s="14"/>
      <c r="DK17" s="14"/>
      <c r="DL17" s="14"/>
      <c r="DM17" s="96"/>
      <c r="DN17" s="14"/>
      <c r="DO17" s="96"/>
      <c r="DP17" s="22"/>
      <c r="DQ17" s="14"/>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46"/>
      <c r="FR17" s="46"/>
      <c r="FS17" s="46"/>
      <c r="FT17" s="46"/>
      <c r="FU17" s="46"/>
      <c r="FV17" s="46"/>
      <c r="FW17" s="46"/>
      <c r="FX17" s="46"/>
      <c r="FY17" s="46"/>
      <c r="FZ17" s="46"/>
      <c r="GA17" s="46"/>
      <c r="GB17" s="46"/>
      <c r="GC17" s="46"/>
      <c r="GD17" s="46"/>
      <c r="GE17" s="46"/>
      <c r="GF17" s="46"/>
      <c r="GG17" s="46"/>
      <c r="GH17" s="46"/>
    </row>
    <row r="18" spans="1:190" x14ac:dyDescent="0.25">
      <c r="A18" s="5" t="s">
        <v>90</v>
      </c>
      <c r="B18" s="1">
        <v>321</v>
      </c>
      <c r="C18" s="98" t="s">
        <v>95</v>
      </c>
      <c r="D18" s="98" t="s">
        <v>105</v>
      </c>
      <c r="E18" s="1">
        <v>153</v>
      </c>
      <c r="F18" s="22">
        <v>53.08</v>
      </c>
      <c r="G18" s="22">
        <v>6.6000000000000003E-2</v>
      </c>
      <c r="H18" s="22">
        <v>0.32</v>
      </c>
      <c r="I18" s="22">
        <v>0</v>
      </c>
      <c r="J18" s="22">
        <v>7.94</v>
      </c>
      <c r="K18" s="22">
        <v>0.106</v>
      </c>
      <c r="L18" s="22">
        <v>14.26</v>
      </c>
      <c r="M18" s="22">
        <v>22.94</v>
      </c>
      <c r="N18" s="22">
        <v>0.46899999999999997</v>
      </c>
      <c r="O18" s="22">
        <v>1.9E-2</v>
      </c>
      <c r="P18" s="22">
        <v>0</v>
      </c>
      <c r="Q18" s="22"/>
      <c r="R18" s="22"/>
      <c r="S18" s="22">
        <f t="shared" si="0"/>
        <v>99.2</v>
      </c>
      <c r="T18" s="3"/>
      <c r="U18" s="22">
        <f t="shared" si="1"/>
        <v>6.3832572154818754</v>
      </c>
      <c r="V18" s="22">
        <f t="shared" si="2"/>
        <v>1.7300082564349917</v>
      </c>
      <c r="W18" s="22">
        <f t="shared" si="3"/>
        <v>99.373265471916852</v>
      </c>
      <c r="X18" s="1"/>
      <c r="Y18" s="1"/>
      <c r="Z18" s="1"/>
      <c r="AA18" s="1" t="s">
        <v>185</v>
      </c>
      <c r="AC18" s="1">
        <v>6</v>
      </c>
      <c r="AD18" s="1">
        <v>4</v>
      </c>
      <c r="AE18" s="1"/>
      <c r="AF18" s="26">
        <f t="shared" si="4"/>
        <v>1.9922917320037166</v>
      </c>
      <c r="AG18" s="26">
        <f t="shared" si="5"/>
        <v>1.8631929051923066E-3</v>
      </c>
      <c r="AH18" s="26">
        <f t="shared" si="6"/>
        <v>1.4154746295446718E-2</v>
      </c>
      <c r="AI18" s="26">
        <f t="shared" si="7"/>
        <v>0</v>
      </c>
      <c r="AJ18" s="26">
        <f t="shared" si="8"/>
        <v>0.2491986426220632</v>
      </c>
      <c r="AK18" s="26">
        <f t="shared" si="9"/>
        <v>3.3695090221947514E-3</v>
      </c>
      <c r="AL18" s="26">
        <f t="shared" si="10"/>
        <v>0.79793299140687957</v>
      </c>
      <c r="AM18" s="26">
        <f t="shared" si="11"/>
        <v>0.92243835164578414</v>
      </c>
      <c r="AN18" s="26">
        <f t="shared" si="12"/>
        <v>3.412740048408143E-2</v>
      </c>
      <c r="AO18" s="26">
        <f t="shared" si="13"/>
        <v>9.0967160009923032E-4</v>
      </c>
      <c r="AP18" s="26">
        <f t="shared" si="14"/>
        <v>0</v>
      </c>
      <c r="AQ18" s="26">
        <f t="shared" si="15"/>
        <v>0</v>
      </c>
      <c r="AR18" s="26">
        <f t="shared" si="16"/>
        <v>0</v>
      </c>
      <c r="AS18" s="26">
        <f t="shared" si="17"/>
        <v>4.016286237985458</v>
      </c>
      <c r="AT18" s="26">
        <f t="shared" si="18"/>
        <v>2.0064464782991633</v>
      </c>
      <c r="AU18" s="26">
        <f t="shared" si="19"/>
        <v>0.95747542372996486</v>
      </c>
      <c r="AV18" s="47"/>
      <c r="AW18" s="26">
        <f t="shared" si="20"/>
        <v>1.9842128911638897</v>
      </c>
      <c r="AX18" s="26">
        <f t="shared" si="21"/>
        <v>1.8556375664368699E-3</v>
      </c>
      <c r="AY18" s="26">
        <f t="shared" si="22"/>
        <v>1.4097348103900727E-2</v>
      </c>
      <c r="AZ18" s="26">
        <f t="shared" si="23"/>
        <v>0</v>
      </c>
      <c r="BA18" s="26">
        <f t="shared" si="24"/>
        <v>0.19952754041373169</v>
      </c>
      <c r="BB18" s="26">
        <f t="shared" si="25"/>
        <v>4.8660589471213544E-2</v>
      </c>
      <c r="BC18" s="26">
        <f t="shared" si="26"/>
        <v>3.355845497590704E-3</v>
      </c>
      <c r="BD18" s="26">
        <f t="shared" si="27"/>
        <v>0.7946973339301806</v>
      </c>
      <c r="BE18" s="26">
        <f t="shared" si="28"/>
        <v>0.91869781881728929</v>
      </c>
      <c r="BF18" s="26">
        <f t="shared" si="29"/>
        <v>3.3989012198691798E-2</v>
      </c>
      <c r="BG18" s="26">
        <f t="shared" si="30"/>
        <v>9.0598283707539278E-4</v>
      </c>
      <c r="BH18" s="26">
        <f t="shared" si="31"/>
        <v>0</v>
      </c>
      <c r="BI18" s="26">
        <f t="shared" si="32"/>
        <v>0</v>
      </c>
      <c r="BJ18" s="26">
        <f t="shared" si="33"/>
        <v>0</v>
      </c>
      <c r="BK18" s="25">
        <f t="shared" si="34"/>
        <v>4.0000000000000009</v>
      </c>
      <c r="BL18" s="24">
        <f t="shared" si="35"/>
        <v>6.0000000000000009</v>
      </c>
      <c r="BM18" s="26">
        <f t="shared" si="36"/>
        <v>1.9983102392677903</v>
      </c>
      <c r="BN18" s="26">
        <f t="shared" si="37"/>
        <v>0.9535928138530565</v>
      </c>
      <c r="BO18" s="22"/>
      <c r="BP18" s="23">
        <f t="shared" si="38"/>
        <v>0.76201784520323712</v>
      </c>
      <c r="BQ18" s="26">
        <f t="shared" si="39"/>
        <v>1.5787108836110342E-2</v>
      </c>
      <c r="BR18" s="26">
        <f t="shared" si="40"/>
        <v>0</v>
      </c>
      <c r="BS18" s="26"/>
      <c r="BT18" s="26">
        <f t="shared" si="41"/>
        <v>0</v>
      </c>
      <c r="BU18" s="26">
        <f t="shared" si="42"/>
        <v>0</v>
      </c>
      <c r="BV18" s="26">
        <f t="shared" si="43"/>
        <v>0</v>
      </c>
      <c r="BW18" s="26">
        <f t="shared" si="44"/>
        <v>0</v>
      </c>
      <c r="BX18" s="26">
        <f t="shared" si="45"/>
        <v>0.92243835164578414</v>
      </c>
      <c r="BY18" s="26">
        <f t="shared" si="46"/>
        <v>6.2346641191579288E-2</v>
      </c>
      <c r="BZ18" s="26">
        <f t="shared" si="47"/>
        <v>0.98478499283736343</v>
      </c>
      <c r="CA18" s="22"/>
      <c r="CB18" s="22">
        <f t="shared" si="48"/>
        <v>3.3989012198691798E-2</v>
      </c>
      <c r="CC18" s="22">
        <f t="shared" si="49"/>
        <v>0</v>
      </c>
      <c r="CD18" s="22">
        <f t="shared" si="50"/>
        <v>1.4671577272521746E-2</v>
      </c>
      <c r="CE18" s="22">
        <f t="shared" si="51"/>
        <v>0</v>
      </c>
      <c r="CF18" s="22">
        <f t="shared" si="52"/>
        <v>0</v>
      </c>
      <c r="CG18" s="22">
        <f t="shared" si="53"/>
        <v>0.46900762687172964</v>
      </c>
      <c r="CH18" s="22">
        <f t="shared" si="54"/>
        <v>0.42442935612605659</v>
      </c>
      <c r="CI18" s="22">
        <f t="shared" si="55"/>
        <v>0.10656301700221388</v>
      </c>
      <c r="CJ18" s="22"/>
      <c r="CK18" s="22">
        <f t="shared" si="56"/>
        <v>0.46754518023751507</v>
      </c>
      <c r="CL18" s="22">
        <f t="shared" si="57"/>
        <v>0.40443865285866565</v>
      </c>
      <c r="CM18" s="22">
        <f t="shared" si="58"/>
        <v>0.12801616690381926</v>
      </c>
      <c r="CN18" s="1"/>
      <c r="CO18" s="26">
        <f t="shared" si="59"/>
        <v>0.88348868175765649</v>
      </c>
      <c r="CP18" s="26">
        <f t="shared" si="60"/>
        <v>8.2623935903855788E-4</v>
      </c>
      <c r="CQ18" s="26">
        <f t="shared" si="61"/>
        <v>6.2769713613181647E-3</v>
      </c>
      <c r="CR18" s="26">
        <f t="shared" si="62"/>
        <v>0</v>
      </c>
      <c r="CS18" s="26">
        <f t="shared" si="63"/>
        <v>0.11050800278357691</v>
      </c>
      <c r="CT18" s="26">
        <f t="shared" si="64"/>
        <v>1.4942204680011277E-3</v>
      </c>
      <c r="CU18" s="26">
        <f t="shared" si="65"/>
        <v>0.35384615384615387</v>
      </c>
      <c r="CV18" s="26">
        <f t="shared" si="66"/>
        <v>0.40905848787446508</v>
      </c>
      <c r="CW18" s="26">
        <f t="shared" si="67"/>
        <v>1.5133914165859954E-2</v>
      </c>
      <c r="CX18" s="26">
        <f t="shared" si="68"/>
        <v>4.0339702760084923E-4</v>
      </c>
      <c r="CY18" s="26">
        <f t="shared" si="69"/>
        <v>0</v>
      </c>
      <c r="CZ18" s="26">
        <f t="shared" si="70"/>
        <v>0</v>
      </c>
      <c r="DA18" s="26">
        <f t="shared" si="71"/>
        <v>0</v>
      </c>
      <c r="DB18" s="26">
        <f t="shared" si="72"/>
        <v>1.781036068643671</v>
      </c>
      <c r="DC18" s="26">
        <f t="shared" si="73"/>
        <v>2.6607208198442946</v>
      </c>
      <c r="DD18" s="26">
        <f t="shared" si="74"/>
        <v>2.2458837698026843</v>
      </c>
      <c r="DE18" s="26">
        <f t="shared" si="75"/>
        <v>5.9756697052643934</v>
      </c>
      <c r="DF18" s="1"/>
      <c r="DG18" s="22"/>
      <c r="DH18" s="14"/>
      <c r="DI18" s="14"/>
      <c r="DJ18" s="14"/>
      <c r="DK18" s="14"/>
      <c r="DL18" s="14"/>
      <c r="DM18" s="96"/>
      <c r="DN18" s="14"/>
      <c r="DO18" s="96"/>
      <c r="DP18" s="22"/>
      <c r="DQ18" s="14"/>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46"/>
      <c r="FR18" s="46"/>
      <c r="FS18" s="46"/>
      <c r="FT18" s="46"/>
      <c r="FU18" s="46"/>
      <c r="FV18" s="46"/>
      <c r="FW18" s="46"/>
      <c r="FX18" s="46"/>
      <c r="FY18" s="46"/>
      <c r="FZ18" s="46"/>
      <c r="GA18" s="46"/>
      <c r="GB18" s="46"/>
      <c r="GC18" s="46"/>
      <c r="GD18" s="46"/>
      <c r="GE18" s="46"/>
      <c r="GF18" s="46"/>
      <c r="GG18" s="46"/>
      <c r="GH18" s="46"/>
    </row>
    <row r="19" spans="1:190" x14ac:dyDescent="0.25">
      <c r="A19" s="5" t="s">
        <v>257</v>
      </c>
      <c r="B19" s="1">
        <v>1241</v>
      </c>
      <c r="C19" s="98" t="s">
        <v>101</v>
      </c>
      <c r="D19" s="98" t="s">
        <v>104</v>
      </c>
      <c r="E19" s="1">
        <v>74</v>
      </c>
      <c r="F19" s="22">
        <v>52.8</v>
      </c>
      <c r="G19" s="22">
        <v>0.108</v>
      </c>
      <c r="H19" s="22">
        <v>1.004</v>
      </c>
      <c r="I19" s="22">
        <v>5.3999999999999999E-2</v>
      </c>
      <c r="J19" s="22">
        <v>7.65</v>
      </c>
      <c r="K19" s="22">
        <v>0.34699999999999998</v>
      </c>
      <c r="L19" s="22">
        <v>15.16</v>
      </c>
      <c r="M19" s="22">
        <v>21.74</v>
      </c>
      <c r="N19" s="22">
        <v>0.30399999999999999</v>
      </c>
      <c r="O19" s="22">
        <v>0</v>
      </c>
      <c r="P19" s="22">
        <v>0</v>
      </c>
      <c r="Q19" s="22"/>
      <c r="R19" s="22"/>
      <c r="S19" s="22">
        <f t="shared" si="0"/>
        <v>99.166999999999987</v>
      </c>
      <c r="T19" s="3"/>
      <c r="U19" s="22">
        <f t="shared" si="1"/>
        <v>6.5980158507977658</v>
      </c>
      <c r="V19" s="22">
        <f t="shared" si="2"/>
        <v>1.1690699850084432</v>
      </c>
      <c r="W19" s="22">
        <f t="shared" si="3"/>
        <v>99.284085835806209</v>
      </c>
      <c r="X19" s="1"/>
      <c r="Y19" s="1"/>
      <c r="Z19" s="1"/>
      <c r="AA19" s="1" t="s">
        <v>185</v>
      </c>
      <c r="AC19" s="1">
        <v>6</v>
      </c>
      <c r="AD19" s="1">
        <v>4</v>
      </c>
      <c r="AE19" s="1"/>
      <c r="AF19" s="26">
        <f t="shared" si="4"/>
        <v>1.9741003788618743</v>
      </c>
      <c r="AG19" s="26">
        <f t="shared" si="5"/>
        <v>3.0370429418508237E-3</v>
      </c>
      <c r="AH19" s="26">
        <f t="shared" si="6"/>
        <v>4.4238369832000926E-2</v>
      </c>
      <c r="AI19" s="26">
        <f t="shared" si="7"/>
        <v>1.5961509980593708E-3</v>
      </c>
      <c r="AJ19" s="26">
        <f t="shared" si="8"/>
        <v>0.23916625106215175</v>
      </c>
      <c r="AK19" s="26">
        <f t="shared" si="9"/>
        <v>1.0987617287128429E-2</v>
      </c>
      <c r="AL19" s="26">
        <f t="shared" si="10"/>
        <v>0.84500521352744784</v>
      </c>
      <c r="AM19" s="26">
        <f t="shared" si="11"/>
        <v>0.87079668708066715</v>
      </c>
      <c r="AN19" s="26">
        <f t="shared" si="12"/>
        <v>2.2035212380126599E-2</v>
      </c>
      <c r="AO19" s="26">
        <f t="shared" si="13"/>
        <v>0</v>
      </c>
      <c r="AP19" s="26">
        <f t="shared" si="14"/>
        <v>0</v>
      </c>
      <c r="AQ19" s="26">
        <f t="shared" si="15"/>
        <v>0</v>
      </c>
      <c r="AR19" s="26">
        <f t="shared" si="16"/>
        <v>0</v>
      </c>
      <c r="AS19" s="26">
        <f t="shared" si="17"/>
        <v>4.0109629239713076</v>
      </c>
      <c r="AT19" s="26">
        <f t="shared" si="18"/>
        <v>2.0183387486938753</v>
      </c>
      <c r="AU19" s="26">
        <f t="shared" si="19"/>
        <v>0.89283189946079378</v>
      </c>
      <c r="AV19" s="47"/>
      <c r="AW19" s="26">
        <f t="shared" si="20"/>
        <v>1.968704688905268</v>
      </c>
      <c r="AX19" s="26">
        <f t="shared" si="21"/>
        <v>3.0287419748510737E-3</v>
      </c>
      <c r="AY19" s="26">
        <f t="shared" si="22"/>
        <v>4.4117455753692116E-2</v>
      </c>
      <c r="AZ19" s="26">
        <f t="shared" si="23"/>
        <v>1.5917883344371585E-3</v>
      </c>
      <c r="BA19" s="26">
        <f t="shared" si="24"/>
        <v>0.20571367330814555</v>
      </c>
      <c r="BB19" s="26">
        <f t="shared" si="25"/>
        <v>3.2798879009690474E-2</v>
      </c>
      <c r="BC19" s="26">
        <f t="shared" si="26"/>
        <v>1.095758549296132E-2</v>
      </c>
      <c r="BD19" s="26">
        <f t="shared" si="27"/>
        <v>0.84269561154736083</v>
      </c>
      <c r="BE19" s="26">
        <f t="shared" si="28"/>
        <v>0.86841659081553402</v>
      </c>
      <c r="BF19" s="26">
        <f t="shared" si="29"/>
        <v>2.1974984858059213E-2</v>
      </c>
      <c r="BG19" s="26">
        <f t="shared" si="30"/>
        <v>0</v>
      </c>
      <c r="BH19" s="26">
        <f t="shared" si="31"/>
        <v>0</v>
      </c>
      <c r="BI19" s="26">
        <f t="shared" si="32"/>
        <v>0</v>
      </c>
      <c r="BJ19" s="26">
        <f t="shared" si="33"/>
        <v>0</v>
      </c>
      <c r="BK19" s="25">
        <f t="shared" si="34"/>
        <v>3.9999999999999996</v>
      </c>
      <c r="BL19" s="24">
        <f t="shared" si="35"/>
        <v>5.9999999999999991</v>
      </c>
      <c r="BM19" s="26">
        <f t="shared" si="36"/>
        <v>2.0128221446589603</v>
      </c>
      <c r="BN19" s="26">
        <f t="shared" si="37"/>
        <v>0.89039157567359328</v>
      </c>
      <c r="BO19" s="22"/>
      <c r="BP19" s="23">
        <f t="shared" si="38"/>
        <v>0.77940182076948006</v>
      </c>
      <c r="BQ19" s="26">
        <f t="shared" si="39"/>
        <v>3.1295311094732048E-2</v>
      </c>
      <c r="BR19" s="26">
        <f t="shared" si="40"/>
        <v>1.2822144658960068E-2</v>
      </c>
      <c r="BS19" s="26"/>
      <c r="BT19" s="26">
        <f t="shared" si="41"/>
        <v>1.2822144658960068E-2</v>
      </c>
      <c r="BU19" s="26">
        <f t="shared" si="42"/>
        <v>0</v>
      </c>
      <c r="BV19" s="26">
        <f t="shared" si="43"/>
        <v>1.2822144658960068E-2</v>
      </c>
      <c r="BW19" s="26">
        <f t="shared" si="44"/>
        <v>7.9807549902968539E-4</v>
      </c>
      <c r="BX19" s="26">
        <f t="shared" si="45"/>
        <v>0.85717646692267746</v>
      </c>
      <c r="BY19" s="26">
        <f t="shared" si="46"/>
        <v>0.11349749883346111</v>
      </c>
      <c r="BZ19" s="26">
        <f t="shared" si="47"/>
        <v>0.99711633057308835</v>
      </c>
      <c r="CA19" s="22"/>
      <c r="CB19" s="22">
        <f t="shared" si="48"/>
        <v>2.1974984858059213E-2</v>
      </c>
      <c r="CC19" s="22">
        <f t="shared" si="49"/>
        <v>0</v>
      </c>
      <c r="CD19" s="22">
        <f t="shared" si="50"/>
        <v>1.082389415163126E-2</v>
      </c>
      <c r="CE19" s="22">
        <f t="shared" si="51"/>
        <v>1.5917883344371585E-3</v>
      </c>
      <c r="CF19" s="22">
        <f t="shared" si="52"/>
        <v>1.2822144658960068E-2</v>
      </c>
      <c r="CG19" s="22">
        <f t="shared" si="53"/>
        <v>0.43257687426428237</v>
      </c>
      <c r="CH19" s="22">
        <f t="shared" si="54"/>
        <v>0.45608617250454547</v>
      </c>
      <c r="CI19" s="22">
        <f t="shared" si="55"/>
        <v>0.11133695323117219</v>
      </c>
      <c r="CJ19" s="22"/>
      <c r="CK19" s="22">
        <f t="shared" si="56"/>
        <v>0.44293808682301972</v>
      </c>
      <c r="CL19" s="22">
        <f t="shared" si="57"/>
        <v>0.429819036048598</v>
      </c>
      <c r="CM19" s="22">
        <f t="shared" si="58"/>
        <v>0.12724287712838231</v>
      </c>
      <c r="CN19" s="1"/>
      <c r="CO19" s="26">
        <f t="shared" si="59"/>
        <v>0.87882822902796265</v>
      </c>
      <c r="CP19" s="26">
        <f t="shared" si="60"/>
        <v>1.3520280420630947E-3</v>
      </c>
      <c r="CQ19" s="26">
        <f t="shared" si="61"/>
        <v>1.969399764613574E-2</v>
      </c>
      <c r="CR19" s="26">
        <f t="shared" si="62"/>
        <v>7.1057306401736946E-4</v>
      </c>
      <c r="CS19" s="26">
        <f t="shared" si="63"/>
        <v>0.10647181628392485</v>
      </c>
      <c r="CT19" s="26">
        <f t="shared" si="64"/>
        <v>4.8914575697772767E-3</v>
      </c>
      <c r="CU19" s="26">
        <f t="shared" si="65"/>
        <v>0.3761786600496278</v>
      </c>
      <c r="CV19" s="26">
        <f t="shared" si="66"/>
        <v>0.38766048502139799</v>
      </c>
      <c r="CW19" s="26">
        <f t="shared" si="67"/>
        <v>9.8096160051629553E-3</v>
      </c>
      <c r="CX19" s="26">
        <f t="shared" si="68"/>
        <v>0</v>
      </c>
      <c r="CY19" s="26">
        <f t="shared" si="69"/>
        <v>0</v>
      </c>
      <c r="CZ19" s="26">
        <f t="shared" si="70"/>
        <v>0</v>
      </c>
      <c r="DA19" s="26">
        <f t="shared" si="71"/>
        <v>0</v>
      </c>
      <c r="DB19" s="26">
        <f t="shared" si="72"/>
        <v>1.78559686271007</v>
      </c>
      <c r="DC19" s="26">
        <f t="shared" si="73"/>
        <v>2.6710745971325909</v>
      </c>
      <c r="DD19" s="26">
        <f t="shared" si="74"/>
        <v>2.2401473051028127</v>
      </c>
      <c r="DE19" s="26">
        <f t="shared" si="75"/>
        <v>5.9836005604951543</v>
      </c>
      <c r="DF19" s="1"/>
      <c r="DG19" s="22"/>
      <c r="DH19" s="14"/>
      <c r="DI19" s="14"/>
      <c r="DJ19" s="14"/>
      <c r="DK19" s="14"/>
      <c r="DL19" s="14"/>
      <c r="DM19" s="96"/>
      <c r="DN19" s="14"/>
      <c r="DO19" s="96"/>
      <c r="DP19" s="22"/>
      <c r="DQ19" s="14"/>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46">
        <f xml:space="preserve">  -0.73306   +   1.025016   *  FS19     +N("316 NN Nd")</f>
        <v>-1.7409460257145681</v>
      </c>
      <c r="FR19" s="46">
        <f xml:space="preserve">  -0.33671   +   1.013871 *  FS19    +N("340 NN")</f>
        <v>-1.3336372799422203</v>
      </c>
      <c r="FS19" s="46">
        <f>-0.42496     +   1.017678*FT19                 + N("361 NN")</f>
        <v>-0.98328809083425839</v>
      </c>
      <c r="FT19" s="46">
        <f xml:space="preserve"> 0.68509  -3.34181 * BP19 + 0.03095*(100*CK19) +N("642 cpx Mg# Wo R2 0.59")</f>
        <v>-0.5486294199484103</v>
      </c>
      <c r="FU19" s="46">
        <f xml:space="preserve"> -0.06599 + 0.926002 * FT19  + N("409 NN")</f>
        <v>-0.57402194013106778</v>
      </c>
      <c r="FV19" s="46">
        <f t="shared" ref="FV19" si="93">0.1453     +   0.925549*FT19     +N("424 LnD Sm")</f>
        <v>-0.36248341100383119</v>
      </c>
      <c r="FW19" s="46">
        <f xml:space="preserve">  0.053547 + 0.932974 * FV19  +  N("445 NN")</f>
        <v>-0.28464059789788837</v>
      </c>
      <c r="FX19" s="46">
        <f xml:space="preserve">  0.027177  +  0.867603 * FV19 + N("464 NN Gd")</f>
        <v>-0.28731469483715694</v>
      </c>
      <c r="FY19" s="46">
        <f xml:space="preserve">  -0.06187  +  0.953618 * FX19   + N("505 NN Dy")</f>
        <v>-0.33585846466121988</v>
      </c>
      <c r="FZ19" s="46">
        <f xml:space="preserve"> -0.05652 + 0.972005*FY19   +N("533 NN")</f>
        <v>-0.38297610694302903</v>
      </c>
      <c r="GA19" s="46">
        <f xml:space="preserve">     0.018586 + 0.960264 * FZ19    +N("549 LnD Er")</f>
        <v>-0.34917216835754084</v>
      </c>
      <c r="GB19" s="46">
        <f xml:space="preserve"> -0.02011 + 0.936315 * FZ19    +N("574 NN Er")</f>
        <v>-0.37869627357236224</v>
      </c>
      <c r="GC19" s="46">
        <f xml:space="preserve">   0.01732 + 1.006083 * GB19  +N("597 NN Yb")</f>
        <v>-0.36367988300450294</v>
      </c>
      <c r="GD19" s="46">
        <f>(-1.72947 +0 ) * (3.46258+0) * BQ19   - (1.87473 + 0) *BP19   + (0.03253+0) * (CK19*100)    +N("eqn625 aliv mg# wo")</f>
        <v>-0.20770010352357726</v>
      </c>
      <c r="GE19" s="46"/>
      <c r="GF19" s="46"/>
      <c r="GG19" s="46"/>
      <c r="GH19" s="46"/>
    </row>
    <row r="20" spans="1:190" x14ac:dyDescent="0.25">
      <c r="A20" s="5" t="s">
        <v>257</v>
      </c>
      <c r="B20" s="1">
        <v>1249</v>
      </c>
      <c r="C20" s="98" t="s">
        <v>101</v>
      </c>
      <c r="D20" s="98" t="s">
        <v>104</v>
      </c>
      <c r="E20" s="1">
        <v>82</v>
      </c>
      <c r="F20" s="22">
        <v>52.98</v>
      </c>
      <c r="G20" s="22">
        <v>0.19800000000000001</v>
      </c>
      <c r="H20" s="22">
        <v>1.3380000000000001</v>
      </c>
      <c r="I20" s="22">
        <v>0.01</v>
      </c>
      <c r="J20" s="22">
        <v>7.71</v>
      </c>
      <c r="K20" s="22">
        <v>0.32500000000000001</v>
      </c>
      <c r="L20" s="22">
        <v>14.95</v>
      </c>
      <c r="M20" s="22">
        <v>21.84</v>
      </c>
      <c r="N20" s="22">
        <v>0.32400000000000001</v>
      </c>
      <c r="O20" s="22">
        <v>0</v>
      </c>
      <c r="P20" s="22">
        <v>0</v>
      </c>
      <c r="Q20" s="22"/>
      <c r="R20" s="22"/>
      <c r="S20" s="22">
        <f t="shared" si="0"/>
        <v>99.674999999999997</v>
      </c>
      <c r="T20" s="3"/>
      <c r="U20" s="22">
        <f t="shared" si="1"/>
        <v>7.0700580538258704</v>
      </c>
      <c r="V20" s="22">
        <f t="shared" si="2"/>
        <v>0.71116748478331027</v>
      </c>
      <c r="W20" s="22">
        <f t="shared" si="3"/>
        <v>99.746225538609167</v>
      </c>
      <c r="X20" s="1"/>
      <c r="Y20" s="1"/>
      <c r="Z20" s="1"/>
      <c r="AA20" s="1" t="s">
        <v>185</v>
      </c>
      <c r="AC20" s="1">
        <v>6</v>
      </c>
      <c r="AD20" s="1">
        <v>4</v>
      </c>
      <c r="AE20" s="1"/>
      <c r="AF20" s="26">
        <f t="shared" si="4"/>
        <v>1.9700442390766406</v>
      </c>
      <c r="AG20" s="26">
        <f t="shared" si="5"/>
        <v>5.5375936358712918E-3</v>
      </c>
      <c r="AH20" s="26">
        <f t="shared" si="6"/>
        <v>5.8634095639554393E-2</v>
      </c>
      <c r="AI20" s="26">
        <f t="shared" si="7"/>
        <v>2.9397400522322952E-4</v>
      </c>
      <c r="AJ20" s="26">
        <f t="shared" si="8"/>
        <v>0.23972954127028845</v>
      </c>
      <c r="AK20" s="26">
        <f t="shared" si="9"/>
        <v>1.0234959432274151E-2</v>
      </c>
      <c r="AL20" s="26">
        <f t="shared" si="10"/>
        <v>0.82876250664452356</v>
      </c>
      <c r="AM20" s="26">
        <f t="shared" si="11"/>
        <v>0.87003871410191691</v>
      </c>
      <c r="AN20" s="26">
        <f t="shared" si="12"/>
        <v>2.3357017317613245E-2</v>
      </c>
      <c r="AO20" s="26">
        <f t="shared" si="13"/>
        <v>0</v>
      </c>
      <c r="AP20" s="26">
        <f t="shared" si="14"/>
        <v>0</v>
      </c>
      <c r="AQ20" s="26">
        <f t="shared" si="15"/>
        <v>0</v>
      </c>
      <c r="AR20" s="26">
        <f t="shared" si="16"/>
        <v>0</v>
      </c>
      <c r="AS20" s="26">
        <f t="shared" si="17"/>
        <v>4.0066326411239057</v>
      </c>
      <c r="AT20" s="26">
        <f t="shared" si="18"/>
        <v>2.028678334716195</v>
      </c>
      <c r="AU20" s="26">
        <f t="shared" si="19"/>
        <v>0.8933957314195301</v>
      </c>
      <c r="AV20" s="47"/>
      <c r="AW20" s="26">
        <f t="shared" si="20"/>
        <v>1.9667829976286728</v>
      </c>
      <c r="AX20" s="26">
        <f t="shared" si="21"/>
        <v>5.5284266184363077E-3</v>
      </c>
      <c r="AY20" s="26">
        <f t="shared" si="22"/>
        <v>5.8537031858360601E-2</v>
      </c>
      <c r="AZ20" s="26">
        <f t="shared" si="23"/>
        <v>2.9348735614629897E-4</v>
      </c>
      <c r="BA20" s="26">
        <f t="shared" si="24"/>
        <v>0.21946770526674086</v>
      </c>
      <c r="BB20" s="26">
        <f t="shared" si="25"/>
        <v>1.9864984044192902E-2</v>
      </c>
      <c r="BC20" s="26">
        <f t="shared" si="26"/>
        <v>1.0218016323456227E-2</v>
      </c>
      <c r="BD20" s="26">
        <f t="shared" si="27"/>
        <v>0.82739056048028026</v>
      </c>
      <c r="BE20" s="26">
        <f t="shared" si="28"/>
        <v>0.86859843867079478</v>
      </c>
      <c r="BF20" s="26">
        <f t="shared" si="29"/>
        <v>2.3318351752918715E-2</v>
      </c>
      <c r="BG20" s="26">
        <f t="shared" si="30"/>
        <v>0</v>
      </c>
      <c r="BH20" s="26">
        <f t="shared" si="31"/>
        <v>0</v>
      </c>
      <c r="BI20" s="26">
        <f t="shared" si="32"/>
        <v>0</v>
      </c>
      <c r="BJ20" s="26">
        <f t="shared" si="33"/>
        <v>0</v>
      </c>
      <c r="BK20" s="25">
        <f t="shared" si="34"/>
        <v>3.9999999999999996</v>
      </c>
      <c r="BL20" s="24">
        <f t="shared" si="35"/>
        <v>5.9999999999999991</v>
      </c>
      <c r="BM20" s="26">
        <f t="shared" si="36"/>
        <v>2.0253200294870335</v>
      </c>
      <c r="BN20" s="26">
        <f t="shared" si="37"/>
        <v>0.89191679042371352</v>
      </c>
      <c r="BO20" s="22"/>
      <c r="BP20" s="23">
        <f t="shared" si="38"/>
        <v>0.77563750545628629</v>
      </c>
      <c r="BQ20" s="26">
        <f t="shared" si="39"/>
        <v>3.3217002371327187E-2</v>
      </c>
      <c r="BR20" s="26">
        <f t="shared" si="40"/>
        <v>2.5320029487033414E-2</v>
      </c>
      <c r="BS20" s="26"/>
      <c r="BT20" s="26">
        <f t="shared" si="41"/>
        <v>2.3357017317613245E-2</v>
      </c>
      <c r="BU20" s="26">
        <f t="shared" si="42"/>
        <v>2.0016777341146999E-3</v>
      </c>
      <c r="BV20" s="26">
        <f t="shared" si="43"/>
        <v>2.4319190619976064E-2</v>
      </c>
      <c r="BW20" s="26">
        <f t="shared" si="44"/>
        <v>1.4698700261161476E-4</v>
      </c>
      <c r="BX20" s="26">
        <f t="shared" si="45"/>
        <v>0.84357085874521442</v>
      </c>
      <c r="BY20" s="26">
        <f t="shared" si="46"/>
        <v>0.11246059458479885</v>
      </c>
      <c r="BZ20" s="26">
        <f t="shared" si="47"/>
        <v>1.0058563260043289</v>
      </c>
      <c r="CA20" s="22"/>
      <c r="CB20" s="22">
        <f t="shared" si="48"/>
        <v>1.9864984044192902E-2</v>
      </c>
      <c r="CC20" s="22">
        <f t="shared" si="49"/>
        <v>3.453367708725813E-3</v>
      </c>
      <c r="CD20" s="22">
        <f t="shared" si="50"/>
        <v>0</v>
      </c>
      <c r="CE20" s="22">
        <f t="shared" si="51"/>
        <v>2.9348735614629897E-4</v>
      </c>
      <c r="CF20" s="22">
        <f t="shared" si="52"/>
        <v>2.1866661778307601E-2</v>
      </c>
      <c r="CG20" s="22">
        <f t="shared" si="53"/>
        <v>0.43315163679026691</v>
      </c>
      <c r="CH20" s="22">
        <f t="shared" si="54"/>
        <v>0.44801192318881505</v>
      </c>
      <c r="CI20" s="22">
        <f t="shared" si="55"/>
        <v>0.11883644002091806</v>
      </c>
      <c r="CJ20" s="22"/>
      <c r="CK20" s="22">
        <f t="shared" si="56"/>
        <v>0.44645629001263443</v>
      </c>
      <c r="CL20" s="22">
        <f t="shared" si="57"/>
        <v>0.42527559753478111</v>
      </c>
      <c r="CM20" s="22">
        <f t="shared" si="58"/>
        <v>0.12826811245258446</v>
      </c>
      <c r="CN20" s="1"/>
      <c r="CO20" s="26">
        <f t="shared" si="59"/>
        <v>0.88182423435419433</v>
      </c>
      <c r="CP20" s="26">
        <f t="shared" si="60"/>
        <v>2.4787180771156736E-3</v>
      </c>
      <c r="CQ20" s="26">
        <f t="shared" si="61"/>
        <v>2.6245586504511576E-2</v>
      </c>
      <c r="CR20" s="26">
        <f t="shared" si="62"/>
        <v>1.3158760444766102E-4</v>
      </c>
      <c r="CS20" s="26">
        <f t="shared" si="63"/>
        <v>0.10730688935281837</v>
      </c>
      <c r="CT20" s="26">
        <f t="shared" si="64"/>
        <v>4.5813363405694954E-3</v>
      </c>
      <c r="CU20" s="26">
        <f t="shared" si="65"/>
        <v>0.37096774193548387</v>
      </c>
      <c r="CV20" s="26">
        <f t="shared" si="66"/>
        <v>0.38944365192582026</v>
      </c>
      <c r="CW20" s="26">
        <f t="shared" si="67"/>
        <v>1.0454985479186836E-2</v>
      </c>
      <c r="CX20" s="26">
        <f t="shared" si="68"/>
        <v>0</v>
      </c>
      <c r="CY20" s="26">
        <f t="shared" si="69"/>
        <v>0</v>
      </c>
      <c r="CZ20" s="26">
        <f t="shared" si="70"/>
        <v>0</v>
      </c>
      <c r="DA20" s="26">
        <f t="shared" si="71"/>
        <v>0</v>
      </c>
      <c r="DB20" s="26">
        <f t="shared" si="72"/>
        <v>1.7934347315741481</v>
      </c>
      <c r="DC20" s="26">
        <f t="shared" si="73"/>
        <v>2.6856987783203441</v>
      </c>
      <c r="DD20" s="26">
        <f t="shared" si="74"/>
        <v>2.2303571630337991</v>
      </c>
      <c r="DE20" s="26">
        <f t="shared" si="75"/>
        <v>5.9900675079779022</v>
      </c>
      <c r="DF20" s="1"/>
      <c r="DG20" s="22"/>
      <c r="DH20" s="14"/>
      <c r="DI20" s="14"/>
      <c r="DJ20" s="14"/>
      <c r="DK20" s="14"/>
      <c r="DL20" s="14"/>
      <c r="DM20" s="96"/>
      <c r="DN20" s="14"/>
      <c r="DO20" s="96"/>
      <c r="DP20" s="22"/>
      <c r="DQ20" s="14"/>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46"/>
      <c r="FR20" s="46"/>
      <c r="FS20" s="46"/>
      <c r="FT20" s="46"/>
      <c r="FU20" s="46"/>
      <c r="FV20" s="46"/>
      <c r="FW20" s="46"/>
      <c r="FX20" s="46"/>
      <c r="FY20" s="46"/>
      <c r="FZ20" s="46"/>
      <c r="GA20" s="46"/>
      <c r="GB20" s="46"/>
      <c r="GC20" s="46"/>
      <c r="GD20" s="46"/>
      <c r="GE20" s="46"/>
      <c r="GF20" s="46"/>
      <c r="GG20" s="46"/>
      <c r="GH20" s="46"/>
    </row>
    <row r="21" spans="1:190" x14ac:dyDescent="0.25">
      <c r="A21" s="5" t="s">
        <v>87</v>
      </c>
      <c r="B21" s="1">
        <v>418</v>
      </c>
      <c r="C21" s="98" t="s">
        <v>99</v>
      </c>
      <c r="D21" s="98" t="s">
        <v>106</v>
      </c>
      <c r="E21" s="1">
        <v>100</v>
      </c>
      <c r="F21" s="22">
        <v>51.46</v>
      </c>
      <c r="G21" s="22">
        <v>0.49099999999999999</v>
      </c>
      <c r="H21" s="22">
        <v>1.93</v>
      </c>
      <c r="I21" s="22">
        <v>0.01</v>
      </c>
      <c r="J21" s="22">
        <v>11.22</v>
      </c>
      <c r="K21" s="22">
        <v>0.378</v>
      </c>
      <c r="L21" s="22">
        <v>15.83</v>
      </c>
      <c r="M21" s="22">
        <v>16.95</v>
      </c>
      <c r="N21" s="22">
        <v>0.28499999999999998</v>
      </c>
      <c r="O21" s="22">
        <v>2.1000000000000001E-2</v>
      </c>
      <c r="P21" s="22">
        <v>0</v>
      </c>
      <c r="Q21" s="22"/>
      <c r="R21" s="22"/>
      <c r="S21" s="22">
        <f t="shared" si="0"/>
        <v>98.575000000000003</v>
      </c>
      <c r="T21" s="3"/>
      <c r="U21" s="22">
        <f t="shared" si="1"/>
        <v>10.275081477993796</v>
      </c>
      <c r="V21" s="22">
        <f t="shared" si="2"/>
        <v>1.0500879535054952</v>
      </c>
      <c r="W21" s="22">
        <f t="shared" si="3"/>
        <v>98.68016943149928</v>
      </c>
      <c r="X21" s="1"/>
      <c r="Y21" s="1"/>
      <c r="Z21" s="1"/>
      <c r="AA21" s="1" t="s">
        <v>185</v>
      </c>
      <c r="AC21" s="1">
        <v>6</v>
      </c>
      <c r="AD21" s="1">
        <v>4</v>
      </c>
      <c r="AE21" s="1"/>
      <c r="AF21" s="26">
        <f t="shared" si="4"/>
        <v>1.9439326621971553</v>
      </c>
      <c r="AG21" s="26">
        <f t="shared" si="5"/>
        <v>1.3950340080490758E-2</v>
      </c>
      <c r="AH21" s="26">
        <f t="shared" si="6"/>
        <v>8.5920903835341816E-2</v>
      </c>
      <c r="AI21" s="26">
        <f t="shared" si="7"/>
        <v>2.9864575065960674E-4</v>
      </c>
      <c r="AJ21" s="26">
        <f t="shared" si="8"/>
        <v>0.35441120455928726</v>
      </c>
      <c r="AK21" s="26">
        <f t="shared" si="9"/>
        <v>1.2093220587088295E-2</v>
      </c>
      <c r="AL21" s="26">
        <f t="shared" si="10"/>
        <v>0.89149154315730772</v>
      </c>
      <c r="AM21" s="26">
        <f t="shared" si="11"/>
        <v>0.68596673639860373</v>
      </c>
      <c r="AN21" s="26">
        <f t="shared" si="12"/>
        <v>2.0872027715690196E-2</v>
      </c>
      <c r="AO21" s="26">
        <f t="shared" si="13"/>
        <v>1.0119050111441891E-3</v>
      </c>
      <c r="AP21" s="26">
        <f t="shared" si="14"/>
        <v>0</v>
      </c>
      <c r="AQ21" s="26">
        <f t="shared" si="15"/>
        <v>0</v>
      </c>
      <c r="AR21" s="26">
        <f t="shared" si="16"/>
        <v>0</v>
      </c>
      <c r="AS21" s="26">
        <f t="shared" si="17"/>
        <v>4.0099491892927688</v>
      </c>
      <c r="AT21" s="26">
        <f t="shared" si="18"/>
        <v>2.029853566032497</v>
      </c>
      <c r="AU21" s="26">
        <f t="shared" si="19"/>
        <v>0.70785066912543815</v>
      </c>
      <c r="AV21" s="47"/>
      <c r="AW21" s="26">
        <f t="shared" si="20"/>
        <v>1.9391095202779913</v>
      </c>
      <c r="AX21" s="26">
        <f t="shared" si="21"/>
        <v>1.3915727528658453E-2</v>
      </c>
      <c r="AY21" s="26">
        <f t="shared" si="22"/>
        <v>8.5707723244738285E-2</v>
      </c>
      <c r="AZ21" s="26">
        <f t="shared" si="23"/>
        <v>2.9790477291536814E-4</v>
      </c>
      <c r="BA21" s="26">
        <f t="shared" si="24"/>
        <v>0.32375835339521958</v>
      </c>
      <c r="BB21" s="26">
        <f t="shared" si="25"/>
        <v>2.9773512300858673E-2</v>
      </c>
      <c r="BC21" s="26">
        <f t="shared" si="26"/>
        <v>1.2063215782762739E-2</v>
      </c>
      <c r="BD21" s="26">
        <f t="shared" si="27"/>
        <v>0.88927964028844886</v>
      </c>
      <c r="BE21" s="26">
        <f t="shared" si="28"/>
        <v>0.68426476647659173</v>
      </c>
      <c r="BF21" s="26">
        <f t="shared" si="29"/>
        <v>2.0820241584528783E-2</v>
      </c>
      <c r="BG21" s="26">
        <f t="shared" si="30"/>
        <v>1.0093943472861391E-3</v>
      </c>
      <c r="BH21" s="26">
        <f t="shared" si="31"/>
        <v>0</v>
      </c>
      <c r="BI21" s="26">
        <f t="shared" si="32"/>
        <v>0</v>
      </c>
      <c r="BJ21" s="26">
        <f t="shared" si="33"/>
        <v>0</v>
      </c>
      <c r="BK21" s="25">
        <f t="shared" si="34"/>
        <v>4</v>
      </c>
      <c r="BL21" s="24">
        <f t="shared" si="35"/>
        <v>5.9999999999999991</v>
      </c>
      <c r="BM21" s="26">
        <f t="shared" si="36"/>
        <v>2.0248172435227296</v>
      </c>
      <c r="BN21" s="26">
        <f t="shared" si="37"/>
        <v>0.7060944024084066</v>
      </c>
      <c r="BO21" s="22"/>
      <c r="BP21" s="23">
        <f t="shared" si="38"/>
        <v>0.71553862834894</v>
      </c>
      <c r="BQ21" s="26">
        <f t="shared" si="39"/>
        <v>6.0890479722008672E-2</v>
      </c>
      <c r="BR21" s="26">
        <f t="shared" si="40"/>
        <v>2.4817243522729612E-2</v>
      </c>
      <c r="BS21" s="26"/>
      <c r="BT21" s="26">
        <f t="shared" si="41"/>
        <v>2.0872027715690196E-2</v>
      </c>
      <c r="BU21" s="26">
        <f t="shared" si="42"/>
        <v>3.9970019382008296E-3</v>
      </c>
      <c r="BV21" s="26">
        <f t="shared" si="43"/>
        <v>2.2818742553629198E-2</v>
      </c>
      <c r="BW21" s="26">
        <f t="shared" si="44"/>
        <v>1.4932287532980337E-4</v>
      </c>
      <c r="BX21" s="26">
        <f t="shared" si="45"/>
        <v>0.65900166903144397</v>
      </c>
      <c r="BY21" s="26">
        <f t="shared" si="46"/>
        <v>0.29345053934257548</v>
      </c>
      <c r="BZ21" s="26">
        <f t="shared" si="47"/>
        <v>1.0002893034568694</v>
      </c>
      <c r="CA21" s="22"/>
      <c r="CB21" s="22">
        <f t="shared" si="48"/>
        <v>2.0820241584528783E-2</v>
      </c>
      <c r="CC21" s="22">
        <f t="shared" si="49"/>
        <v>0</v>
      </c>
      <c r="CD21" s="22">
        <f t="shared" si="50"/>
        <v>8.9532707163298905E-3</v>
      </c>
      <c r="CE21" s="22">
        <f t="shared" si="51"/>
        <v>2.9790477291536814E-4</v>
      </c>
      <c r="CF21" s="22">
        <f t="shared" si="52"/>
        <v>2.4817243522729612E-2</v>
      </c>
      <c r="CG21" s="22">
        <f t="shared" si="53"/>
        <v>0.33550829452457281</v>
      </c>
      <c r="CH21" s="22">
        <f t="shared" si="54"/>
        <v>0.48713968391491569</v>
      </c>
      <c r="CI21" s="22">
        <f t="shared" si="55"/>
        <v>0.17735202156051144</v>
      </c>
      <c r="CJ21" s="22"/>
      <c r="CK21" s="22">
        <f t="shared" si="56"/>
        <v>0.35287031728505197</v>
      </c>
      <c r="CL21" s="22">
        <f t="shared" si="57"/>
        <v>0.45859498281570038</v>
      </c>
      <c r="CM21" s="22">
        <f t="shared" si="58"/>
        <v>0.18853469989924773</v>
      </c>
      <c r="CN21" s="1"/>
      <c r="CO21" s="26">
        <f t="shared" si="59"/>
        <v>0.85652463382157129</v>
      </c>
      <c r="CP21" s="26">
        <f t="shared" si="60"/>
        <v>6.1467200801201809E-3</v>
      </c>
      <c r="CQ21" s="26">
        <f t="shared" si="61"/>
        <v>3.7857983522950181E-2</v>
      </c>
      <c r="CR21" s="26">
        <f t="shared" si="62"/>
        <v>1.3158760444766102E-4</v>
      </c>
      <c r="CS21" s="26">
        <f t="shared" si="63"/>
        <v>0.1561586638830898</v>
      </c>
      <c r="CT21" s="26">
        <f t="shared" si="64"/>
        <v>5.3284465745700596E-3</v>
      </c>
      <c r="CU21" s="26">
        <f t="shared" si="65"/>
        <v>0.39280397022332508</v>
      </c>
      <c r="CV21" s="26">
        <f t="shared" si="66"/>
        <v>0.30224679029957202</v>
      </c>
      <c r="CW21" s="26">
        <f t="shared" si="67"/>
        <v>9.1965150048402711E-3</v>
      </c>
      <c r="CX21" s="26">
        <f t="shared" si="68"/>
        <v>4.4585987261146497E-4</v>
      </c>
      <c r="CY21" s="26">
        <f t="shared" si="69"/>
        <v>0</v>
      </c>
      <c r="CZ21" s="26">
        <f t="shared" si="70"/>
        <v>0</v>
      </c>
      <c r="DA21" s="26">
        <f t="shared" si="71"/>
        <v>0</v>
      </c>
      <c r="DB21" s="26">
        <f t="shared" si="72"/>
        <v>1.7668411708870979</v>
      </c>
      <c r="DC21" s="26">
        <f t="shared" si="73"/>
        <v>2.6436861229137629</v>
      </c>
      <c r="DD21" s="26">
        <f t="shared" si="74"/>
        <v>2.2639273217703404</v>
      </c>
      <c r="DE21" s="26">
        <f t="shared" si="75"/>
        <v>5.98511324384957</v>
      </c>
      <c r="DF21" s="1"/>
      <c r="DG21" s="22"/>
      <c r="DH21" s="14"/>
      <c r="DI21" s="14"/>
      <c r="DJ21" s="14"/>
      <c r="DK21" s="14"/>
      <c r="DL21" s="14"/>
      <c r="DM21" s="96"/>
      <c r="DN21" s="14"/>
      <c r="DO21" s="96"/>
      <c r="DP21" s="22"/>
      <c r="DQ21" s="14"/>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46"/>
      <c r="FR21" s="46"/>
      <c r="FS21" s="46"/>
      <c r="FT21" s="46"/>
      <c r="FU21" s="46"/>
      <c r="FV21" s="46"/>
      <c r="FW21" s="46"/>
      <c r="FX21" s="46"/>
      <c r="FY21" s="46"/>
      <c r="FZ21" s="46"/>
      <c r="GA21" s="46"/>
      <c r="GB21" s="46"/>
      <c r="GC21" s="46"/>
      <c r="GD21" s="46"/>
      <c r="GE21" s="46"/>
      <c r="GF21" s="46"/>
      <c r="GG21" s="46"/>
      <c r="GH21" s="46"/>
    </row>
    <row r="22" spans="1:190" x14ac:dyDescent="0.25">
      <c r="A22" s="5" t="s">
        <v>87</v>
      </c>
      <c r="B22" s="1">
        <v>422</v>
      </c>
      <c r="C22" s="98" t="s">
        <v>99</v>
      </c>
      <c r="D22" s="98" t="s">
        <v>106</v>
      </c>
      <c r="E22" s="1">
        <v>104</v>
      </c>
      <c r="F22" s="22">
        <v>51.01</v>
      </c>
      <c r="G22" s="22">
        <v>0.307</v>
      </c>
      <c r="H22" s="22">
        <v>1.1679999999999999</v>
      </c>
      <c r="I22" s="22">
        <v>1.0999999999999999E-2</v>
      </c>
      <c r="J22" s="22">
        <v>13.76</v>
      </c>
      <c r="K22" s="22">
        <v>0.438</v>
      </c>
      <c r="L22" s="22">
        <v>12.14</v>
      </c>
      <c r="M22" s="22">
        <v>19.86</v>
      </c>
      <c r="N22" s="22">
        <v>0.28499999999999998</v>
      </c>
      <c r="O22" s="22">
        <v>0</v>
      </c>
      <c r="P22" s="22">
        <v>0</v>
      </c>
      <c r="Q22" s="22"/>
      <c r="R22" s="22"/>
      <c r="S22" s="22">
        <f t="shared" si="0"/>
        <v>98.978999999999999</v>
      </c>
      <c r="T22" s="3"/>
      <c r="U22" s="22">
        <f t="shared" si="1"/>
        <v>12.425234730918765</v>
      </c>
      <c r="V22" s="22">
        <f t="shared" si="2"/>
        <v>1.4833246435299761</v>
      </c>
      <c r="W22" s="22">
        <f t="shared" si="3"/>
        <v>99.127559374448737</v>
      </c>
      <c r="X22" s="1"/>
      <c r="Y22" s="1"/>
      <c r="Z22" s="1"/>
      <c r="AA22" s="1" t="s">
        <v>185</v>
      </c>
      <c r="AC22" s="1">
        <v>6</v>
      </c>
      <c r="AD22" s="1">
        <v>4</v>
      </c>
      <c r="AE22" s="1"/>
      <c r="AF22" s="26">
        <f t="shared" si="4"/>
        <v>1.9608193395208584</v>
      </c>
      <c r="AG22" s="26">
        <f t="shared" si="5"/>
        <v>8.8759020605385739E-3</v>
      </c>
      <c r="AH22" s="26">
        <f t="shared" si="6"/>
        <v>5.2912123813254941E-2</v>
      </c>
      <c r="AI22" s="26">
        <f t="shared" si="7"/>
        <v>3.3428727728118717E-4</v>
      </c>
      <c r="AJ22" s="26">
        <f t="shared" si="8"/>
        <v>0.44228666302890801</v>
      </c>
      <c r="AK22" s="26">
        <f t="shared" si="9"/>
        <v>1.4259198294331851E-2</v>
      </c>
      <c r="AL22" s="26">
        <f t="shared" si="10"/>
        <v>0.69570611836901353</v>
      </c>
      <c r="AM22" s="26">
        <f t="shared" si="11"/>
        <v>0.81786838625097058</v>
      </c>
      <c r="AN22" s="26">
        <f t="shared" si="12"/>
        <v>2.1239068516355396E-2</v>
      </c>
      <c r="AO22" s="26">
        <f t="shared" si="13"/>
        <v>0</v>
      </c>
      <c r="AP22" s="26">
        <f t="shared" si="14"/>
        <v>0</v>
      </c>
      <c r="AQ22" s="26">
        <f t="shared" si="15"/>
        <v>0</v>
      </c>
      <c r="AR22" s="26">
        <f t="shared" si="16"/>
        <v>0</v>
      </c>
      <c r="AS22" s="26">
        <f t="shared" si="17"/>
        <v>4.0143010871315123</v>
      </c>
      <c r="AT22" s="26">
        <f t="shared" si="18"/>
        <v>2.0137314633341132</v>
      </c>
      <c r="AU22" s="26">
        <f t="shared" si="19"/>
        <v>0.83910745476732596</v>
      </c>
      <c r="AV22" s="47"/>
      <c r="AW22" s="26">
        <f t="shared" si="20"/>
        <v>1.9538338524796555</v>
      </c>
      <c r="AX22" s="26">
        <f t="shared" si="21"/>
        <v>8.8442813509845616E-3</v>
      </c>
      <c r="AY22" s="26">
        <f t="shared" si="22"/>
        <v>5.2723622533320434E-2</v>
      </c>
      <c r="AZ22" s="26">
        <f t="shared" si="23"/>
        <v>3.330963672384204E-4</v>
      </c>
      <c r="BA22" s="26">
        <f t="shared" si="24"/>
        <v>0.39796058438631737</v>
      </c>
      <c r="BB22" s="26">
        <f t="shared" si="25"/>
        <v>4.2750417034805643E-2</v>
      </c>
      <c r="BC22" s="26">
        <f t="shared" si="26"/>
        <v>1.420839940485979E-2</v>
      </c>
      <c r="BD22" s="26">
        <f t="shared" si="27"/>
        <v>0.69322764114451818</v>
      </c>
      <c r="BE22" s="26">
        <f t="shared" si="28"/>
        <v>0.81495470170165263</v>
      </c>
      <c r="BF22" s="26">
        <f t="shared" si="29"/>
        <v>2.1163403596646639E-2</v>
      </c>
      <c r="BG22" s="26">
        <f t="shared" si="30"/>
        <v>0</v>
      </c>
      <c r="BH22" s="26">
        <f t="shared" si="31"/>
        <v>0</v>
      </c>
      <c r="BI22" s="26">
        <f t="shared" si="32"/>
        <v>0</v>
      </c>
      <c r="BJ22" s="26">
        <f t="shared" si="33"/>
        <v>0</v>
      </c>
      <c r="BK22" s="25">
        <f t="shared" si="34"/>
        <v>3.9999999999999996</v>
      </c>
      <c r="BL22" s="24">
        <f t="shared" si="35"/>
        <v>5.9999999999999982</v>
      </c>
      <c r="BM22" s="26">
        <f t="shared" si="36"/>
        <v>2.006557475012976</v>
      </c>
      <c r="BN22" s="26">
        <f t="shared" si="37"/>
        <v>0.83611810529829922</v>
      </c>
      <c r="BO22" s="22"/>
      <c r="BP22" s="23">
        <f t="shared" si="38"/>
        <v>0.61134493095325371</v>
      </c>
      <c r="BQ22" s="26">
        <f t="shared" si="39"/>
        <v>4.6166147520344536E-2</v>
      </c>
      <c r="BR22" s="26">
        <f t="shared" si="40"/>
        <v>6.5574750129758982E-3</v>
      </c>
      <c r="BS22" s="26"/>
      <c r="BT22" s="26">
        <f t="shared" si="41"/>
        <v>6.5574750129758982E-3</v>
      </c>
      <c r="BU22" s="26">
        <f t="shared" si="42"/>
        <v>0</v>
      </c>
      <c r="BV22" s="26">
        <f t="shared" si="43"/>
        <v>6.5574750129758982E-3</v>
      </c>
      <c r="BW22" s="26">
        <f t="shared" si="44"/>
        <v>1.6714363864059358E-4</v>
      </c>
      <c r="BX22" s="26">
        <f t="shared" si="45"/>
        <v>0.81114376759935414</v>
      </c>
      <c r="BY22" s="26">
        <f t="shared" si="46"/>
        <v>0.16342450689928373</v>
      </c>
      <c r="BZ22" s="26">
        <f t="shared" si="47"/>
        <v>0.98785036816323024</v>
      </c>
      <c r="CA22" s="22"/>
      <c r="CB22" s="22">
        <f t="shared" si="48"/>
        <v>2.1163403596646639E-2</v>
      </c>
      <c r="CC22" s="22">
        <f t="shared" si="49"/>
        <v>0</v>
      </c>
      <c r="CD22" s="22">
        <f t="shared" si="50"/>
        <v>2.1587013438159004E-2</v>
      </c>
      <c r="CE22" s="22">
        <f t="shared" si="51"/>
        <v>3.330963672384204E-4</v>
      </c>
      <c r="CF22" s="22">
        <f t="shared" si="52"/>
        <v>6.5574750129758982E-3</v>
      </c>
      <c r="CG22" s="22">
        <f t="shared" si="53"/>
        <v>0.40382026023996292</v>
      </c>
      <c r="CH22" s="22">
        <f t="shared" si="54"/>
        <v>0.37875067291066933</v>
      </c>
      <c r="CI22" s="22">
        <f t="shared" si="55"/>
        <v>0.21742906684936766</v>
      </c>
      <c r="CJ22" s="22"/>
      <c r="CK22" s="22">
        <f t="shared" si="56"/>
        <v>0.41513625278392779</v>
      </c>
      <c r="CL22" s="22">
        <f t="shared" si="57"/>
        <v>0.353128737916444</v>
      </c>
      <c r="CM22" s="22">
        <f t="shared" si="58"/>
        <v>0.23173500929962818</v>
      </c>
      <c r="CN22" s="1"/>
      <c r="CO22" s="26">
        <f t="shared" si="59"/>
        <v>0.84903462050599199</v>
      </c>
      <c r="CP22" s="26">
        <f t="shared" si="60"/>
        <v>3.843264897346019E-3</v>
      </c>
      <c r="CQ22" s="26">
        <f t="shared" si="61"/>
        <v>2.2910945468811297E-2</v>
      </c>
      <c r="CR22" s="26">
        <f t="shared" si="62"/>
        <v>1.4474636489242711E-4</v>
      </c>
      <c r="CS22" s="26">
        <f t="shared" si="63"/>
        <v>0.19151009046624914</v>
      </c>
      <c r="CT22" s="26">
        <f t="shared" si="64"/>
        <v>6.1742317451367358E-3</v>
      </c>
      <c r="CU22" s="26">
        <f t="shared" si="65"/>
        <v>0.30124069478908194</v>
      </c>
      <c r="CV22" s="26">
        <f t="shared" si="66"/>
        <v>0.35413694721825961</v>
      </c>
      <c r="CW22" s="26">
        <f t="shared" si="67"/>
        <v>9.1965150048402711E-3</v>
      </c>
      <c r="CX22" s="26">
        <f t="shared" si="68"/>
        <v>0</v>
      </c>
      <c r="CY22" s="26">
        <f t="shared" si="69"/>
        <v>0</v>
      </c>
      <c r="CZ22" s="26">
        <f t="shared" si="70"/>
        <v>0</v>
      </c>
      <c r="DA22" s="26">
        <f t="shared" si="71"/>
        <v>0</v>
      </c>
      <c r="DB22" s="26">
        <f t="shared" si="72"/>
        <v>1.7381920564606097</v>
      </c>
      <c r="DC22" s="26">
        <f t="shared" si="73"/>
        <v>2.5979995302783792</v>
      </c>
      <c r="DD22" s="26">
        <f t="shared" si="74"/>
        <v>2.3012416752985239</v>
      </c>
      <c r="DE22" s="26">
        <f t="shared" si="75"/>
        <v>5.978624791482595</v>
      </c>
      <c r="DF22" s="1"/>
      <c r="DG22" s="22"/>
      <c r="DH22" s="14"/>
      <c r="DI22" s="14"/>
      <c r="DJ22" s="14"/>
      <c r="DK22" s="14"/>
      <c r="DL22" s="14"/>
      <c r="DM22" s="96"/>
      <c r="DN22" s="14"/>
      <c r="DO22" s="96"/>
      <c r="DP22" s="22"/>
      <c r="DQ22" s="14"/>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46"/>
      <c r="FR22" s="46"/>
      <c r="FS22" s="46"/>
      <c r="FT22" s="46"/>
      <c r="FU22" s="46"/>
      <c r="FV22" s="46"/>
      <c r="FW22" s="46"/>
      <c r="FX22" s="46"/>
      <c r="FY22" s="46"/>
      <c r="FZ22" s="46"/>
      <c r="GA22" s="46"/>
      <c r="GB22" s="46"/>
      <c r="GC22" s="46"/>
      <c r="GD22" s="46"/>
      <c r="GE22" s="46"/>
      <c r="GF22" s="46"/>
      <c r="GG22" s="46"/>
      <c r="GH22" s="46"/>
    </row>
    <row r="23" spans="1:190" x14ac:dyDescent="0.25">
      <c r="A23" s="5" t="s">
        <v>87</v>
      </c>
      <c r="B23" s="1">
        <v>428</v>
      </c>
      <c r="C23" s="98" t="s">
        <v>99</v>
      </c>
      <c r="D23" s="98" t="s">
        <v>106</v>
      </c>
      <c r="E23" s="1">
        <v>110</v>
      </c>
      <c r="F23" s="22">
        <v>51.63</v>
      </c>
      <c r="G23" s="22">
        <v>8.4000000000000005E-2</v>
      </c>
      <c r="H23" s="22">
        <v>0.432</v>
      </c>
      <c r="I23" s="22">
        <v>0</v>
      </c>
      <c r="J23" s="22">
        <v>13.66</v>
      </c>
      <c r="K23" s="22">
        <v>0.434</v>
      </c>
      <c r="L23" s="22">
        <v>11.45</v>
      </c>
      <c r="M23" s="22">
        <v>20.81</v>
      </c>
      <c r="N23" s="22">
        <v>0.216</v>
      </c>
      <c r="O23" s="22">
        <v>0</v>
      </c>
      <c r="P23" s="22">
        <v>0</v>
      </c>
      <c r="Q23" s="22"/>
      <c r="R23" s="22"/>
      <c r="S23" s="22">
        <f t="shared" si="0"/>
        <v>98.716000000000008</v>
      </c>
      <c r="T23" s="3"/>
      <c r="U23" s="22">
        <f t="shared" si="1"/>
        <v>13.303157229304176</v>
      </c>
      <c r="V23" s="22">
        <f t="shared" si="2"/>
        <v>0.39655937107426947</v>
      </c>
      <c r="W23" s="22">
        <f t="shared" si="3"/>
        <v>98.755716600378463</v>
      </c>
      <c r="X23" s="1"/>
      <c r="Y23" s="1"/>
      <c r="Z23" s="1"/>
      <c r="AA23" s="1" t="s">
        <v>185</v>
      </c>
      <c r="AC23" s="1">
        <v>6</v>
      </c>
      <c r="AD23" s="1">
        <v>4</v>
      </c>
      <c r="AE23" s="1"/>
      <c r="AF23" s="26">
        <f t="shared" si="4"/>
        <v>1.9919819572284563</v>
      </c>
      <c r="AG23" s="26">
        <f t="shared" si="5"/>
        <v>2.4375550307797538E-3</v>
      </c>
      <c r="AH23" s="26">
        <f t="shared" si="6"/>
        <v>1.9642515975207987E-2</v>
      </c>
      <c r="AI23" s="26">
        <f t="shared" si="7"/>
        <v>0</v>
      </c>
      <c r="AJ23" s="26">
        <f t="shared" si="8"/>
        <v>0.44069398837353957</v>
      </c>
      <c r="AK23" s="26">
        <f t="shared" si="9"/>
        <v>1.4181159598767239E-2</v>
      </c>
      <c r="AL23" s="26">
        <f t="shared" si="10"/>
        <v>0.65858773708553786</v>
      </c>
      <c r="AM23" s="26">
        <f t="shared" si="11"/>
        <v>0.86015610200123771</v>
      </c>
      <c r="AN23" s="26">
        <f t="shared" si="12"/>
        <v>1.6156428919265942E-2</v>
      </c>
      <c r="AO23" s="26">
        <f t="shared" si="13"/>
        <v>0</v>
      </c>
      <c r="AP23" s="26">
        <f t="shared" si="14"/>
        <v>0</v>
      </c>
      <c r="AQ23" s="26">
        <f t="shared" si="15"/>
        <v>0</v>
      </c>
      <c r="AR23" s="26">
        <f t="shared" si="16"/>
        <v>0</v>
      </c>
      <c r="AS23" s="26">
        <f t="shared" si="17"/>
        <v>4.0038374442127918</v>
      </c>
      <c r="AT23" s="26">
        <f t="shared" si="18"/>
        <v>2.0116244732036641</v>
      </c>
      <c r="AU23" s="26">
        <f t="shared" si="19"/>
        <v>0.87631253092050365</v>
      </c>
      <c r="AV23" s="47"/>
      <c r="AW23" s="26">
        <f t="shared" si="20"/>
        <v>1.9900727589305076</v>
      </c>
      <c r="AX23" s="26">
        <f t="shared" si="21"/>
        <v>2.435218776729343E-3</v>
      </c>
      <c r="AY23" s="26">
        <f t="shared" si="22"/>
        <v>1.9623689771521145E-2</v>
      </c>
      <c r="AZ23" s="26">
        <f t="shared" si="23"/>
        <v>0</v>
      </c>
      <c r="BA23" s="26">
        <f t="shared" si="24"/>
        <v>0.4287703101987918</v>
      </c>
      <c r="BB23" s="26">
        <f t="shared" si="25"/>
        <v>1.1501298740302701E-2</v>
      </c>
      <c r="BC23" s="26">
        <f t="shared" si="26"/>
        <v>1.4167567786014792E-2</v>
      </c>
      <c r="BD23" s="26">
        <f t="shared" si="27"/>
        <v>0.65795651922629439</v>
      </c>
      <c r="BE23" s="26">
        <f t="shared" si="28"/>
        <v>0.85933169264353659</v>
      </c>
      <c r="BF23" s="26">
        <f t="shared" si="29"/>
        <v>1.6140943926301193E-2</v>
      </c>
      <c r="BG23" s="26">
        <f t="shared" si="30"/>
        <v>0</v>
      </c>
      <c r="BH23" s="26">
        <f t="shared" si="31"/>
        <v>0</v>
      </c>
      <c r="BI23" s="26">
        <f t="shared" si="32"/>
        <v>0</v>
      </c>
      <c r="BJ23" s="26">
        <f t="shared" si="33"/>
        <v>0</v>
      </c>
      <c r="BK23" s="25">
        <f t="shared" si="34"/>
        <v>3.9999999999999996</v>
      </c>
      <c r="BL23" s="24">
        <f t="shared" si="35"/>
        <v>5.9999999999999982</v>
      </c>
      <c r="BM23" s="26">
        <f t="shared" si="36"/>
        <v>2.0096964487020288</v>
      </c>
      <c r="BN23" s="26">
        <f t="shared" si="37"/>
        <v>0.87547263656983776</v>
      </c>
      <c r="BO23" s="22"/>
      <c r="BP23" s="23">
        <f t="shared" si="38"/>
        <v>0.59910732784218823</v>
      </c>
      <c r="BQ23" s="26">
        <f t="shared" si="39"/>
        <v>9.9272410694923874E-3</v>
      </c>
      <c r="BR23" s="26">
        <f t="shared" si="40"/>
        <v>9.6964487020287579E-3</v>
      </c>
      <c r="BS23" s="26"/>
      <c r="BT23" s="26">
        <f t="shared" si="41"/>
        <v>9.6964487020287579E-3</v>
      </c>
      <c r="BU23" s="26">
        <f t="shared" si="42"/>
        <v>0</v>
      </c>
      <c r="BV23" s="26">
        <f t="shared" si="43"/>
        <v>9.6964487020287579E-3</v>
      </c>
      <c r="BW23" s="26">
        <f t="shared" si="44"/>
        <v>0</v>
      </c>
      <c r="BX23" s="26">
        <f t="shared" si="45"/>
        <v>0.85045965329920892</v>
      </c>
      <c r="BY23" s="26">
        <f t="shared" si="46"/>
        <v>0.12441103607993426</v>
      </c>
      <c r="BZ23" s="26">
        <f t="shared" si="47"/>
        <v>0.99426358678320059</v>
      </c>
      <c r="CA23" s="22"/>
      <c r="CB23" s="22">
        <f t="shared" si="48"/>
        <v>1.1501298740302701E-2</v>
      </c>
      <c r="CC23" s="22">
        <f t="shared" si="49"/>
        <v>4.6396451859984922E-3</v>
      </c>
      <c r="CD23" s="22">
        <f t="shared" si="50"/>
        <v>0</v>
      </c>
      <c r="CE23" s="22">
        <f t="shared" si="51"/>
        <v>0</v>
      </c>
      <c r="CF23" s="22">
        <f t="shared" si="52"/>
        <v>5.0568035160302657E-3</v>
      </c>
      <c r="CG23" s="22">
        <f t="shared" si="53"/>
        <v>0.43288809393390454</v>
      </c>
      <c r="CH23" s="22">
        <f t="shared" si="54"/>
        <v>0.34335673475958806</v>
      </c>
      <c r="CI23" s="22">
        <f t="shared" si="55"/>
        <v>0.22375517130650738</v>
      </c>
      <c r="CJ23" s="22"/>
      <c r="CK23" s="22">
        <f t="shared" si="56"/>
        <v>0.43582682758994351</v>
      </c>
      <c r="CL23" s="22">
        <f t="shared" si="57"/>
        <v>0.33369548094331464</v>
      </c>
      <c r="CM23" s="22">
        <f t="shared" si="58"/>
        <v>0.23047769146674188</v>
      </c>
      <c r="CN23" s="1"/>
      <c r="CO23" s="26">
        <f t="shared" si="59"/>
        <v>0.85935419440745675</v>
      </c>
      <c r="CP23" s="26">
        <f t="shared" si="60"/>
        <v>1.0515773660490738E-3</v>
      </c>
      <c r="CQ23" s="26">
        <f t="shared" si="61"/>
        <v>8.473911337779522E-3</v>
      </c>
      <c r="CR23" s="26">
        <f t="shared" si="62"/>
        <v>0</v>
      </c>
      <c r="CS23" s="26">
        <f t="shared" si="63"/>
        <v>0.19011830201809327</v>
      </c>
      <c r="CT23" s="26">
        <f t="shared" si="64"/>
        <v>6.1178460670989572E-3</v>
      </c>
      <c r="CU23" s="26">
        <f t="shared" si="65"/>
        <v>0.28411910669975188</v>
      </c>
      <c r="CV23" s="26">
        <f t="shared" si="66"/>
        <v>0.37107703281027105</v>
      </c>
      <c r="CW23" s="26">
        <f t="shared" si="67"/>
        <v>6.9699903194578895E-3</v>
      </c>
      <c r="CX23" s="26">
        <f t="shared" si="68"/>
        <v>0</v>
      </c>
      <c r="CY23" s="26">
        <f t="shared" si="69"/>
        <v>0</v>
      </c>
      <c r="CZ23" s="26">
        <f t="shared" si="70"/>
        <v>0</v>
      </c>
      <c r="DA23" s="26">
        <f t="shared" si="71"/>
        <v>0</v>
      </c>
      <c r="DB23" s="26">
        <f t="shared" si="72"/>
        <v>1.7272819610259587</v>
      </c>
      <c r="DC23" s="26">
        <f t="shared" si="73"/>
        <v>2.5884396933086253</v>
      </c>
      <c r="DD23" s="26">
        <f t="shared" si="74"/>
        <v>2.3157770938707127</v>
      </c>
      <c r="DE23" s="26">
        <f t="shared" si="75"/>
        <v>5.9942493506298478</v>
      </c>
      <c r="DF23" s="1"/>
      <c r="DG23" s="22"/>
      <c r="DH23" s="14"/>
      <c r="DI23" s="14"/>
      <c r="DJ23" s="14"/>
      <c r="DK23" s="14"/>
      <c r="DL23" s="14"/>
      <c r="DM23" s="96"/>
      <c r="DN23" s="14"/>
      <c r="DO23" s="96"/>
      <c r="DP23" s="22"/>
      <c r="DQ23" s="14"/>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46"/>
      <c r="FR23" s="46"/>
      <c r="FS23" s="46"/>
      <c r="FT23" s="46"/>
      <c r="FU23" s="46"/>
      <c r="FV23" s="46"/>
      <c r="FW23" s="46"/>
      <c r="FX23" s="46"/>
      <c r="FY23" s="46"/>
      <c r="FZ23" s="46"/>
      <c r="GA23" s="46"/>
      <c r="GB23" s="46"/>
      <c r="GC23" s="46"/>
      <c r="GD23" s="46"/>
      <c r="GE23" s="46"/>
      <c r="GF23" s="46"/>
      <c r="GG23" s="46"/>
      <c r="GH23" s="46"/>
    </row>
    <row r="24" spans="1:190" x14ac:dyDescent="0.25">
      <c r="A24" s="5" t="s">
        <v>87</v>
      </c>
      <c r="B24" s="1">
        <v>434</v>
      </c>
      <c r="C24" s="98" t="s">
        <v>99</v>
      </c>
      <c r="D24" s="98" t="s">
        <v>106</v>
      </c>
      <c r="E24" s="1">
        <v>116</v>
      </c>
      <c r="F24" s="22">
        <v>49.16</v>
      </c>
      <c r="G24" s="22">
        <v>0.20899999999999999</v>
      </c>
      <c r="H24" s="22">
        <v>0.66900000000000004</v>
      </c>
      <c r="I24" s="22">
        <v>0</v>
      </c>
      <c r="J24" s="22">
        <v>13.87</v>
      </c>
      <c r="K24" s="22">
        <v>0.442</v>
      </c>
      <c r="L24" s="22">
        <v>11.66</v>
      </c>
      <c r="M24" s="22">
        <v>19.03</v>
      </c>
      <c r="N24" s="22">
        <v>0.29599999999999999</v>
      </c>
      <c r="O24" s="22">
        <v>0</v>
      </c>
      <c r="P24" s="22">
        <v>0</v>
      </c>
      <c r="Q24" s="22"/>
      <c r="R24" s="22"/>
      <c r="S24" s="22">
        <f t="shared" si="0"/>
        <v>95.335999999999999</v>
      </c>
      <c r="T24" s="3"/>
      <c r="U24" s="22">
        <f t="shared" si="1"/>
        <v>11.988785208000193</v>
      </c>
      <c r="V24" s="22">
        <f t="shared" si="2"/>
        <v>2.0905939983493851</v>
      </c>
      <c r="W24" s="22">
        <f t="shared" si="3"/>
        <v>95.545379206349565</v>
      </c>
      <c r="X24" s="1"/>
      <c r="Y24" s="1"/>
      <c r="Z24" s="1"/>
      <c r="AA24" s="1" t="s">
        <v>185</v>
      </c>
      <c r="AC24" s="1">
        <v>6</v>
      </c>
      <c r="AD24" s="1">
        <v>4</v>
      </c>
      <c r="AE24" s="1"/>
      <c r="AF24" s="26">
        <f t="shared" si="4"/>
        <v>1.9684146251151953</v>
      </c>
      <c r="AG24" s="26">
        <f t="shared" si="5"/>
        <v>6.2942336846086048E-3</v>
      </c>
      <c r="AH24" s="26">
        <f t="shared" si="6"/>
        <v>3.1569006864503778E-2</v>
      </c>
      <c r="AI24" s="26">
        <f t="shared" si="7"/>
        <v>0</v>
      </c>
      <c r="AJ24" s="26">
        <f t="shared" si="8"/>
        <v>0.4643915636241801</v>
      </c>
      <c r="AK24" s="26">
        <f t="shared" si="9"/>
        <v>1.4988760427851867E-2</v>
      </c>
      <c r="AL24" s="26">
        <f t="shared" si="10"/>
        <v>0.69603028592154559</v>
      </c>
      <c r="AM24" s="26">
        <f t="shared" si="11"/>
        <v>0.81632935940846352</v>
      </c>
      <c r="AN24" s="26">
        <f t="shared" si="12"/>
        <v>2.2977605443190417E-2</v>
      </c>
      <c r="AO24" s="26">
        <f t="shared" si="13"/>
        <v>0</v>
      </c>
      <c r="AP24" s="26">
        <f t="shared" si="14"/>
        <v>0</v>
      </c>
      <c r="AQ24" s="26">
        <f t="shared" si="15"/>
        <v>0</v>
      </c>
      <c r="AR24" s="26">
        <f t="shared" si="16"/>
        <v>0</v>
      </c>
      <c r="AS24" s="26">
        <f t="shared" si="17"/>
        <v>4.0209954404895392</v>
      </c>
      <c r="AT24" s="26">
        <f t="shared" si="18"/>
        <v>1.9999836319796991</v>
      </c>
      <c r="AU24" s="26">
        <f t="shared" si="19"/>
        <v>0.8393069648516539</v>
      </c>
      <c r="AV24" s="47"/>
      <c r="AW24" s="26">
        <f t="shared" si="20"/>
        <v>1.9581366397924085</v>
      </c>
      <c r="AX24" s="26">
        <f t="shared" si="21"/>
        <v>6.2613686364611336E-3</v>
      </c>
      <c r="AY24" s="26">
        <f t="shared" si="22"/>
        <v>3.140417076489934E-2</v>
      </c>
      <c r="AZ24" s="26">
        <f t="shared" si="23"/>
        <v>0</v>
      </c>
      <c r="BA24" s="26">
        <f t="shared" si="24"/>
        <v>0.39930932337162073</v>
      </c>
      <c r="BB24" s="26">
        <f t="shared" si="25"/>
        <v>6.2657441323484164E-2</v>
      </c>
      <c r="BC24" s="26">
        <f t="shared" si="26"/>
        <v>1.4910497313100211E-2</v>
      </c>
      <c r="BD24" s="26">
        <f t="shared" si="27"/>
        <v>0.6923959961882542</v>
      </c>
      <c r="BE24" s="26">
        <f t="shared" si="28"/>
        <v>0.81206693366364924</v>
      </c>
      <c r="BF24" s="26">
        <f t="shared" si="29"/>
        <v>2.2857628946122845E-2</v>
      </c>
      <c r="BG24" s="26">
        <f t="shared" si="30"/>
        <v>0</v>
      </c>
      <c r="BH24" s="26">
        <f t="shared" si="31"/>
        <v>0</v>
      </c>
      <c r="BI24" s="26">
        <f t="shared" si="32"/>
        <v>0</v>
      </c>
      <c r="BJ24" s="26">
        <f t="shared" si="33"/>
        <v>0</v>
      </c>
      <c r="BK24" s="25">
        <f t="shared" si="34"/>
        <v>4</v>
      </c>
      <c r="BL24" s="24">
        <f t="shared" si="35"/>
        <v>6</v>
      </c>
      <c r="BM24" s="26">
        <f t="shared" si="36"/>
        <v>1.9895408105573078</v>
      </c>
      <c r="BN24" s="26">
        <f t="shared" si="37"/>
        <v>0.8349245626097721</v>
      </c>
      <c r="BO24" s="22"/>
      <c r="BP24" s="23">
        <f t="shared" si="38"/>
        <v>0.59980798034268568</v>
      </c>
      <c r="BQ24" s="26">
        <f t="shared" si="39"/>
        <v>4.1863360207591516E-2</v>
      </c>
      <c r="BR24" s="26">
        <f t="shared" si="40"/>
        <v>0</v>
      </c>
      <c r="BS24" s="26"/>
      <c r="BT24" s="26">
        <f t="shared" si="41"/>
        <v>0</v>
      </c>
      <c r="BU24" s="26">
        <f t="shared" si="42"/>
        <v>0</v>
      </c>
      <c r="BV24" s="26">
        <f t="shared" si="43"/>
        <v>0</v>
      </c>
      <c r="BW24" s="26">
        <f t="shared" si="44"/>
        <v>0</v>
      </c>
      <c r="BX24" s="26">
        <f t="shared" si="45"/>
        <v>0.81632935940846352</v>
      </c>
      <c r="BY24" s="26">
        <f t="shared" si="46"/>
        <v>0.17204624506863109</v>
      </c>
      <c r="BZ24" s="26">
        <f t="shared" si="47"/>
        <v>0.9883756044770946</v>
      </c>
      <c r="CA24" s="22"/>
      <c r="CB24" s="22">
        <f t="shared" si="48"/>
        <v>2.2857628946122845E-2</v>
      </c>
      <c r="CC24" s="22">
        <f t="shared" si="49"/>
        <v>0</v>
      </c>
      <c r="CD24" s="22">
        <f t="shared" si="50"/>
        <v>3.979981237736132E-2</v>
      </c>
      <c r="CE24" s="22">
        <f t="shared" si="51"/>
        <v>0</v>
      </c>
      <c r="CF24" s="22">
        <f t="shared" si="52"/>
        <v>0</v>
      </c>
      <c r="CG24" s="22">
        <f t="shared" si="53"/>
        <v>0.3975623751162054</v>
      </c>
      <c r="CH24" s="22">
        <f t="shared" si="54"/>
        <v>0.38208607391495208</v>
      </c>
      <c r="CI24" s="22">
        <f t="shared" si="55"/>
        <v>0.22035155096884251</v>
      </c>
      <c r="CJ24" s="22"/>
      <c r="CK24" s="22">
        <f t="shared" si="56"/>
        <v>0.4098573970284578</v>
      </c>
      <c r="CL24" s="22">
        <f t="shared" si="57"/>
        <v>0.34945841155032725</v>
      </c>
      <c r="CM24" s="22">
        <f t="shared" si="58"/>
        <v>0.24068419142121494</v>
      </c>
      <c r="CN24" s="1"/>
      <c r="CO24" s="26">
        <f t="shared" si="59"/>
        <v>0.81824234354194403</v>
      </c>
      <c r="CP24" s="26">
        <f t="shared" si="60"/>
        <v>2.6164246369554333E-3</v>
      </c>
      <c r="CQ24" s="26">
        <f t="shared" si="61"/>
        <v>1.3122793252255788E-2</v>
      </c>
      <c r="CR24" s="26">
        <f t="shared" si="62"/>
        <v>0</v>
      </c>
      <c r="CS24" s="26">
        <f t="shared" si="63"/>
        <v>0.19304105775922059</v>
      </c>
      <c r="CT24" s="26">
        <f t="shared" si="64"/>
        <v>6.2306174231745136E-3</v>
      </c>
      <c r="CU24" s="26">
        <f t="shared" si="65"/>
        <v>0.2893300248138958</v>
      </c>
      <c r="CV24" s="26">
        <f t="shared" si="66"/>
        <v>0.33933666191155493</v>
      </c>
      <c r="CW24" s="26">
        <f t="shared" si="67"/>
        <v>9.5514682155534037E-3</v>
      </c>
      <c r="CX24" s="26">
        <f t="shared" si="68"/>
        <v>0</v>
      </c>
      <c r="CY24" s="26">
        <f t="shared" si="69"/>
        <v>0</v>
      </c>
      <c r="CZ24" s="26">
        <f t="shared" si="70"/>
        <v>0</v>
      </c>
      <c r="DA24" s="26">
        <f t="shared" si="71"/>
        <v>0</v>
      </c>
      <c r="DB24" s="26">
        <f t="shared" si="72"/>
        <v>1.6714713915545545</v>
      </c>
      <c r="DC24" s="26">
        <f t="shared" si="73"/>
        <v>2.4941158222518052</v>
      </c>
      <c r="DD24" s="26">
        <f t="shared" si="74"/>
        <v>2.393101084595767</v>
      </c>
      <c r="DE24" s="26">
        <f t="shared" si="75"/>
        <v>5.9686712793382579</v>
      </c>
      <c r="DF24" s="1"/>
      <c r="DG24" s="22"/>
      <c r="DH24" s="14"/>
      <c r="DI24" s="14"/>
      <c r="DJ24" s="14"/>
      <c r="DK24" s="14"/>
      <c r="DL24" s="14"/>
      <c r="DM24" s="96"/>
      <c r="DN24" s="14"/>
      <c r="DO24" s="96"/>
      <c r="DP24" s="22"/>
      <c r="DQ24" s="14"/>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46"/>
      <c r="FR24" s="46"/>
      <c r="FS24" s="46"/>
      <c r="FT24" s="46"/>
      <c r="FU24" s="46"/>
      <c r="FV24" s="46"/>
      <c r="FW24" s="46"/>
      <c r="FX24" s="46"/>
      <c r="FY24" s="46"/>
      <c r="FZ24" s="46"/>
      <c r="GA24" s="46"/>
      <c r="GB24" s="46"/>
      <c r="GC24" s="46"/>
      <c r="GD24" s="46"/>
      <c r="GE24" s="46"/>
      <c r="GF24" s="46"/>
      <c r="GG24" s="46"/>
      <c r="GH24" s="46"/>
    </row>
    <row r="25" spans="1:190" x14ac:dyDescent="0.25">
      <c r="A25" s="5" t="s">
        <v>87</v>
      </c>
      <c r="B25" s="1">
        <v>435</v>
      </c>
      <c r="C25" s="98" t="s">
        <v>99</v>
      </c>
      <c r="D25" s="98" t="s">
        <v>106</v>
      </c>
      <c r="E25" s="1">
        <v>117</v>
      </c>
      <c r="F25" s="22">
        <v>50.29</v>
      </c>
      <c r="G25" s="22">
        <v>0.24299999999999999</v>
      </c>
      <c r="H25" s="22">
        <v>0.94299999999999995</v>
      </c>
      <c r="I25" s="22">
        <v>0</v>
      </c>
      <c r="J25" s="22">
        <v>15.92</v>
      </c>
      <c r="K25" s="22">
        <v>0.504</v>
      </c>
      <c r="L25" s="22">
        <v>12.06</v>
      </c>
      <c r="M25" s="22">
        <v>18.28</v>
      </c>
      <c r="N25" s="22">
        <v>0.28399999999999997</v>
      </c>
      <c r="O25" s="22">
        <v>0</v>
      </c>
      <c r="P25" s="22">
        <v>0</v>
      </c>
      <c r="Q25" s="22"/>
      <c r="R25" s="22"/>
      <c r="S25" s="22">
        <f t="shared" si="0"/>
        <v>98.524000000000015</v>
      </c>
      <c r="T25" s="3"/>
      <c r="U25" s="22">
        <f t="shared" si="1"/>
        <v>13.611341637210636</v>
      </c>
      <c r="V25" s="22">
        <f t="shared" si="2"/>
        <v>2.5656120385678198</v>
      </c>
      <c r="W25" s="22">
        <f t="shared" si="3"/>
        <v>98.780953675778449</v>
      </c>
      <c r="X25" s="1"/>
      <c r="Y25" s="1"/>
      <c r="Z25" s="1"/>
      <c r="AA25" s="1" t="s">
        <v>185</v>
      </c>
      <c r="AC25" s="1">
        <v>6</v>
      </c>
      <c r="AD25" s="1">
        <v>4</v>
      </c>
      <c r="AE25" s="1"/>
      <c r="AF25" s="26">
        <f t="shared" si="4"/>
        <v>1.9569377869645086</v>
      </c>
      <c r="AG25" s="26">
        <f t="shared" si="5"/>
        <v>7.1120291006506594E-3</v>
      </c>
      <c r="AH25" s="26">
        <f t="shared" si="6"/>
        <v>4.3245126236873016E-2</v>
      </c>
      <c r="AI25" s="26">
        <f t="shared" si="7"/>
        <v>0</v>
      </c>
      <c r="AJ25" s="26">
        <f t="shared" si="8"/>
        <v>0.51801412076455566</v>
      </c>
      <c r="AK25" s="26">
        <f t="shared" si="9"/>
        <v>1.6609809821214894E-2</v>
      </c>
      <c r="AL25" s="26">
        <f t="shared" si="10"/>
        <v>0.6996286235735375</v>
      </c>
      <c r="AM25" s="26">
        <f t="shared" si="11"/>
        <v>0.76206759374881405</v>
      </c>
      <c r="AN25" s="26">
        <f t="shared" si="12"/>
        <v>2.1425061212502212E-2</v>
      </c>
      <c r="AO25" s="26">
        <f t="shared" si="13"/>
        <v>0</v>
      </c>
      <c r="AP25" s="26">
        <f t="shared" si="14"/>
        <v>0</v>
      </c>
      <c r="AQ25" s="26">
        <f t="shared" si="15"/>
        <v>0</v>
      </c>
      <c r="AR25" s="26">
        <f t="shared" si="16"/>
        <v>0</v>
      </c>
      <c r="AS25" s="26">
        <f t="shared" si="17"/>
        <v>4.0250401514226564</v>
      </c>
      <c r="AT25" s="26">
        <f t="shared" si="18"/>
        <v>2.0001829132013818</v>
      </c>
      <c r="AU25" s="26">
        <f t="shared" si="19"/>
        <v>0.78349265496131626</v>
      </c>
      <c r="AV25" s="47"/>
      <c r="AW25" s="26">
        <f t="shared" si="20"/>
        <v>1.9447634938725529</v>
      </c>
      <c r="AX25" s="26">
        <f t="shared" si="21"/>
        <v>7.0677845021117633E-3</v>
      </c>
      <c r="AY25" s="26">
        <f t="shared" si="22"/>
        <v>4.2976094259917344E-2</v>
      </c>
      <c r="AZ25" s="26">
        <f t="shared" si="23"/>
        <v>0</v>
      </c>
      <c r="BA25" s="26">
        <f t="shared" si="24"/>
        <v>0.44013838355380874</v>
      </c>
      <c r="BB25" s="26">
        <f t="shared" si="25"/>
        <v>7.465312289261794E-2</v>
      </c>
      <c r="BC25" s="26">
        <f t="shared" si="26"/>
        <v>1.6506478640064378E-2</v>
      </c>
      <c r="BD25" s="26">
        <f t="shared" si="27"/>
        <v>0.69527616843896844</v>
      </c>
      <c r="BE25" s="26">
        <f t="shared" si="28"/>
        <v>0.75732669993809631</v>
      </c>
      <c r="BF25" s="26">
        <f t="shared" si="29"/>
        <v>2.1291773901862314E-2</v>
      </c>
      <c r="BG25" s="26">
        <f t="shared" si="30"/>
        <v>0</v>
      </c>
      <c r="BH25" s="26">
        <f t="shared" si="31"/>
        <v>0</v>
      </c>
      <c r="BI25" s="26">
        <f t="shared" si="32"/>
        <v>0</v>
      </c>
      <c r="BJ25" s="26">
        <f t="shared" si="33"/>
        <v>0</v>
      </c>
      <c r="BK25" s="25">
        <f t="shared" si="34"/>
        <v>4</v>
      </c>
      <c r="BL25" s="24">
        <f t="shared" si="35"/>
        <v>6</v>
      </c>
      <c r="BM25" s="26">
        <f t="shared" si="36"/>
        <v>1.9877395881324702</v>
      </c>
      <c r="BN25" s="26">
        <f t="shared" si="37"/>
        <v>0.77861847383995864</v>
      </c>
      <c r="BO25" s="22"/>
      <c r="BP25" s="23">
        <f t="shared" si="38"/>
        <v>0.57457626781478788</v>
      </c>
      <c r="BQ25" s="26">
        <f t="shared" si="39"/>
        <v>5.5236506127447127E-2</v>
      </c>
      <c r="BR25" s="26">
        <f t="shared" si="40"/>
        <v>0</v>
      </c>
      <c r="BS25" s="26"/>
      <c r="BT25" s="26">
        <f t="shared" si="41"/>
        <v>0</v>
      </c>
      <c r="BU25" s="26">
        <f t="shared" si="42"/>
        <v>0</v>
      </c>
      <c r="BV25" s="26">
        <f t="shared" si="43"/>
        <v>0</v>
      </c>
      <c r="BW25" s="26">
        <f t="shared" si="44"/>
        <v>0</v>
      </c>
      <c r="BX25" s="26">
        <f t="shared" si="45"/>
        <v>0.76206759374881405</v>
      </c>
      <c r="BY25" s="26">
        <f t="shared" si="46"/>
        <v>0.2277875752946395</v>
      </c>
      <c r="BZ25" s="26">
        <f t="shared" si="47"/>
        <v>0.98985516904345361</v>
      </c>
      <c r="CA25" s="22"/>
      <c r="CB25" s="22">
        <f t="shared" si="48"/>
        <v>2.1291773901862314E-2</v>
      </c>
      <c r="CC25" s="22">
        <f t="shared" si="49"/>
        <v>0</v>
      </c>
      <c r="CD25" s="22">
        <f t="shared" si="50"/>
        <v>5.3361348990755626E-2</v>
      </c>
      <c r="CE25" s="22">
        <f t="shared" si="51"/>
        <v>0</v>
      </c>
      <c r="CF25" s="22">
        <f t="shared" si="52"/>
        <v>0</v>
      </c>
      <c r="CG25" s="22">
        <f t="shared" si="53"/>
        <v>0.36262856242460151</v>
      </c>
      <c r="CH25" s="22">
        <f t="shared" si="54"/>
        <v>0.39029724448403869</v>
      </c>
      <c r="CI25" s="22">
        <f t="shared" si="55"/>
        <v>0.24707419309135978</v>
      </c>
      <c r="CJ25" s="22"/>
      <c r="CK25" s="22">
        <f t="shared" si="56"/>
        <v>0.38173616318372555</v>
      </c>
      <c r="CL25" s="22">
        <f t="shared" si="57"/>
        <v>0.35045913066932438</v>
      </c>
      <c r="CM25" s="22">
        <f t="shared" si="58"/>
        <v>0.26780470614695007</v>
      </c>
      <c r="CN25" s="1"/>
      <c r="CO25" s="26">
        <f t="shared" si="59"/>
        <v>0.83705059920106528</v>
      </c>
      <c r="CP25" s="26">
        <f t="shared" si="60"/>
        <v>3.0420630946419629E-3</v>
      </c>
      <c r="CQ25" s="26">
        <f t="shared" si="61"/>
        <v>1.8497449980384464E-2</v>
      </c>
      <c r="CR25" s="26">
        <f t="shared" si="62"/>
        <v>0</v>
      </c>
      <c r="CS25" s="26">
        <f t="shared" si="63"/>
        <v>0.22157272094641617</v>
      </c>
      <c r="CT25" s="26">
        <f t="shared" si="64"/>
        <v>7.1045954327600795E-3</v>
      </c>
      <c r="CU25" s="26">
        <f t="shared" si="65"/>
        <v>0.29925558312655093</v>
      </c>
      <c r="CV25" s="26">
        <f t="shared" si="66"/>
        <v>0.32596291012838807</v>
      </c>
      <c r="CW25" s="26">
        <f t="shared" si="67"/>
        <v>9.1642465311390763E-3</v>
      </c>
      <c r="CX25" s="26">
        <f t="shared" si="68"/>
        <v>0</v>
      </c>
      <c r="CY25" s="26">
        <f t="shared" si="69"/>
        <v>0</v>
      </c>
      <c r="CZ25" s="26">
        <f t="shared" si="70"/>
        <v>0</v>
      </c>
      <c r="DA25" s="26">
        <f t="shared" si="71"/>
        <v>0</v>
      </c>
      <c r="DB25" s="26">
        <f t="shared" si="72"/>
        <v>1.7216501684413459</v>
      </c>
      <c r="DC25" s="26">
        <f t="shared" si="73"/>
        <v>2.5664094324616755</v>
      </c>
      <c r="DD25" s="26">
        <f t="shared" si="74"/>
        <v>2.3233523704884265</v>
      </c>
      <c r="DE25" s="26">
        <f t="shared" si="75"/>
        <v>5.9626734385536908</v>
      </c>
      <c r="DF25" s="1"/>
      <c r="DG25" s="22"/>
      <c r="DH25" s="14"/>
      <c r="DI25" s="14"/>
      <c r="DJ25" s="14"/>
      <c r="DK25" s="14"/>
      <c r="DL25" s="14"/>
      <c r="DM25" s="96"/>
      <c r="DN25" s="14"/>
      <c r="DO25" s="96"/>
      <c r="DP25" s="22"/>
      <c r="DQ25" s="14"/>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46">
        <f t="shared" ref="FQ25" si="94" xml:space="preserve">  -0.73306   +   1.025016   *  FS25     +N("316 NN Nd")</f>
        <v>-1.2245225242371025</v>
      </c>
      <c r="FR25" s="46">
        <f t="shared" ref="FR25" si="95" xml:space="preserve">  -0.33671   +   1.013871 *  FS25    +N("340 NN")</f>
        <v>-0.82282885171626141</v>
      </c>
      <c r="FS25" s="46">
        <f t="shared" ref="FS25" si="96">-0.42496     +   1.017678*FT25                 + N("361 NN")</f>
        <v>-0.47946814902118851</v>
      </c>
      <c r="FT25" s="46">
        <f xml:space="preserve"> 0.68509  -3.34181 * BP25 + 0.03095*(100*CK25) +N("642 cpx Mg# Wo R2 0.59")</f>
        <v>-5.3561292492505963E-2</v>
      </c>
      <c r="FU25" s="46">
        <f t="shared" ref="FU25" si="97" xml:space="preserve"> -0.06599 + 0.926002 * FT25  + N("409 NN")</f>
        <v>-0.11558786397064549</v>
      </c>
      <c r="FV25" s="46">
        <f t="shared" ref="FV25" si="98">0.1453     +   0.925549*FT25     +N("424 LnD Sm")</f>
        <v>9.5726399294853604E-2</v>
      </c>
      <c r="FW25" s="46">
        <f t="shared" ref="FW25" si="99" xml:space="preserve">  0.053547 + 0.932974 * FV25  +  N("445 NN")</f>
        <v>0.14285724165571673</v>
      </c>
      <c r="FX25" s="46">
        <f t="shared" ref="FX25" si="100" xml:space="preserve">  0.027177  +  0.867603 * FV25 + N("464 NN Gd")</f>
        <v>0.11022951120741287</v>
      </c>
      <c r="FY25" s="46">
        <f t="shared" ref="FY25" si="101" xml:space="preserve">  -0.06187  +  0.953618 * FX25   + N("505 NN Dy")</f>
        <v>4.3246846018590641E-2</v>
      </c>
      <c r="FZ25" s="46">
        <f t="shared" ref="FZ25" si="102" xml:space="preserve"> -0.05652 + 0.972005*FY25   +N("533 NN")</f>
        <v>-1.4483849435699803E-2</v>
      </c>
      <c r="GA25" s="46">
        <f t="shared" ref="GA25" si="103" xml:space="preserve">     0.018586 + 0.960264 * FZ25    +N("549 LnD Er")</f>
        <v>4.6776808054771624E-3</v>
      </c>
      <c r="GB25" s="46">
        <f t="shared" ref="GB25" si="104" xml:space="preserve"> -0.02011 + 0.936315 * FZ25    +N("574 NN Er")</f>
        <v>-3.3671445484387261E-2</v>
      </c>
      <c r="GC25" s="46">
        <f t="shared" ref="GC25" si="105" xml:space="preserve">   0.01732 + 1.006083 * GB25  +N("597 NN Yb")</f>
        <v>-1.6556268887268789E-2</v>
      </c>
      <c r="GD25" s="46">
        <f>(-1.72947 +0 ) * (3.46258+0) * BQ25   - (1.87473 + 0) *BP25   + (0.03253+0) * (CK25*100)    +N("eqn625 aliv mg# wo")</f>
        <v>-0.16616748048754548</v>
      </c>
      <c r="GE25" s="46"/>
      <c r="GF25" s="46"/>
      <c r="GG25" s="46"/>
      <c r="GH25" s="46"/>
    </row>
    <row r="26" spans="1:190" x14ac:dyDescent="0.25">
      <c r="A26" s="5" t="s">
        <v>87</v>
      </c>
      <c r="B26" s="1">
        <v>436</v>
      </c>
      <c r="C26" s="98" t="s">
        <v>99</v>
      </c>
      <c r="D26" s="98" t="s">
        <v>106</v>
      </c>
      <c r="E26" s="1">
        <v>118</v>
      </c>
      <c r="F26" s="22">
        <v>50.84</v>
      </c>
      <c r="G26" s="22">
        <v>0.48799999999999999</v>
      </c>
      <c r="H26" s="22">
        <v>1.1359999999999999</v>
      </c>
      <c r="I26" s="22">
        <v>0</v>
      </c>
      <c r="J26" s="22">
        <v>13.63</v>
      </c>
      <c r="K26" s="22">
        <v>0.47499999999999998</v>
      </c>
      <c r="L26" s="22">
        <v>11.97</v>
      </c>
      <c r="M26" s="22">
        <v>19.72</v>
      </c>
      <c r="N26" s="22">
        <v>0.28899999999999998</v>
      </c>
      <c r="O26" s="22">
        <v>0</v>
      </c>
      <c r="P26" s="22">
        <v>0</v>
      </c>
      <c r="Q26" s="22"/>
      <c r="R26" s="22"/>
      <c r="S26" s="22">
        <f t="shared" si="0"/>
        <v>98.548000000000002</v>
      </c>
      <c r="T26" s="3"/>
      <c r="U26" s="22">
        <f t="shared" si="1"/>
        <v>12.811171178883571</v>
      </c>
      <c r="V26" s="22">
        <f t="shared" si="2"/>
        <v>0.90996446890668747</v>
      </c>
      <c r="W26" s="22">
        <f t="shared" si="3"/>
        <v>98.639135647790269</v>
      </c>
      <c r="X26" s="1"/>
      <c r="Y26" s="1"/>
      <c r="Z26" s="1"/>
      <c r="AA26" s="1" t="s">
        <v>185</v>
      </c>
      <c r="AC26" s="1">
        <v>6</v>
      </c>
      <c r="AD26" s="1">
        <v>4</v>
      </c>
      <c r="AE26" s="1"/>
      <c r="AF26" s="26">
        <f t="shared" si="4"/>
        <v>1.9620057111969305</v>
      </c>
      <c r="AG26" s="26">
        <f t="shared" si="5"/>
        <v>1.416466850324938E-2</v>
      </c>
      <c r="AH26" s="26">
        <f t="shared" si="6"/>
        <v>5.1665798945783166E-2</v>
      </c>
      <c r="AI26" s="26">
        <f t="shared" si="7"/>
        <v>0</v>
      </c>
      <c r="AJ26" s="26">
        <f t="shared" si="8"/>
        <v>0.43983899757404454</v>
      </c>
      <c r="AK26" s="26">
        <f t="shared" si="9"/>
        <v>1.5524837920604551E-2</v>
      </c>
      <c r="AL26" s="26">
        <f t="shared" si="10"/>
        <v>0.68867410552381414</v>
      </c>
      <c r="AM26" s="26">
        <f t="shared" si="11"/>
        <v>0.8153114753798778</v>
      </c>
      <c r="AN26" s="26">
        <f t="shared" si="12"/>
        <v>2.1622251565247975E-2</v>
      </c>
      <c r="AO26" s="26">
        <f t="shared" si="13"/>
        <v>0</v>
      </c>
      <c r="AP26" s="26">
        <f t="shared" si="14"/>
        <v>0</v>
      </c>
      <c r="AQ26" s="26">
        <f t="shared" si="15"/>
        <v>0</v>
      </c>
      <c r="AR26" s="26">
        <f t="shared" si="16"/>
        <v>0</v>
      </c>
      <c r="AS26" s="26">
        <f t="shared" si="17"/>
        <v>4.0088078466095523</v>
      </c>
      <c r="AT26" s="26">
        <f t="shared" si="18"/>
        <v>2.0136715101427138</v>
      </c>
      <c r="AU26" s="26">
        <f t="shared" si="19"/>
        <v>0.8369337269451258</v>
      </c>
      <c r="AV26" s="47"/>
      <c r="AW26" s="26">
        <f t="shared" si="20"/>
        <v>1.9576949420075558</v>
      </c>
      <c r="AX26" s="26">
        <f t="shared" si="21"/>
        <v>1.4133546974798647E-2</v>
      </c>
      <c r="AY26" s="26">
        <f t="shared" si="22"/>
        <v>5.1552282795973361E-2</v>
      </c>
      <c r="AZ26" s="26">
        <f t="shared" si="23"/>
        <v>0</v>
      </c>
      <c r="BA26" s="26">
        <f t="shared" si="24"/>
        <v>0.41250713285749935</v>
      </c>
      <c r="BB26" s="26">
        <f t="shared" si="25"/>
        <v>2.63654840438452E-2</v>
      </c>
      <c r="BC26" s="26">
        <f t="shared" si="26"/>
        <v>1.5490727931731301E-2</v>
      </c>
      <c r="BD26" s="26">
        <f t="shared" si="27"/>
        <v>0.68716100334543095</v>
      </c>
      <c r="BE26" s="26">
        <f t="shared" si="28"/>
        <v>0.81352013523863675</v>
      </c>
      <c r="BF26" s="26">
        <f t="shared" si="29"/>
        <v>2.1574744804528343E-2</v>
      </c>
      <c r="BG26" s="26">
        <f t="shared" si="30"/>
        <v>0</v>
      </c>
      <c r="BH26" s="26">
        <f t="shared" si="31"/>
        <v>0</v>
      </c>
      <c r="BI26" s="26">
        <f t="shared" si="32"/>
        <v>0</v>
      </c>
      <c r="BJ26" s="26">
        <f t="shared" si="33"/>
        <v>0</v>
      </c>
      <c r="BK26" s="25">
        <f t="shared" si="34"/>
        <v>4</v>
      </c>
      <c r="BL26" s="24">
        <f t="shared" si="35"/>
        <v>6</v>
      </c>
      <c r="BM26" s="26">
        <f t="shared" si="36"/>
        <v>2.0092472248035294</v>
      </c>
      <c r="BN26" s="26">
        <f t="shared" si="37"/>
        <v>0.83509488004316512</v>
      </c>
      <c r="BO26" s="22"/>
      <c r="BP26" s="23">
        <f t="shared" si="38"/>
        <v>0.61024910001784538</v>
      </c>
      <c r="BQ26" s="26">
        <f t="shared" si="39"/>
        <v>4.2305057992444217E-2</v>
      </c>
      <c r="BR26" s="26">
        <f t="shared" si="40"/>
        <v>9.2472248035291443E-3</v>
      </c>
      <c r="BS26" s="26"/>
      <c r="BT26" s="26">
        <f t="shared" si="41"/>
        <v>9.2472248035291443E-3</v>
      </c>
      <c r="BU26" s="26">
        <f t="shared" si="42"/>
        <v>0</v>
      </c>
      <c r="BV26" s="26">
        <f t="shared" si="43"/>
        <v>9.2472248035291443E-3</v>
      </c>
      <c r="BW26" s="26">
        <f t="shared" si="44"/>
        <v>0</v>
      </c>
      <c r="BX26" s="26">
        <f t="shared" si="45"/>
        <v>0.80606425057634867</v>
      </c>
      <c r="BY26" s="26">
        <f t="shared" si="46"/>
        <v>0.16122442626075495</v>
      </c>
      <c r="BZ26" s="26">
        <f t="shared" si="47"/>
        <v>0.98578312644416188</v>
      </c>
      <c r="CA26" s="22"/>
      <c r="CB26" s="22">
        <f t="shared" si="48"/>
        <v>2.1574744804528343E-2</v>
      </c>
      <c r="CC26" s="22">
        <f t="shared" si="49"/>
        <v>0</v>
      </c>
      <c r="CD26" s="22">
        <f t="shared" si="50"/>
        <v>4.7907392393168567E-3</v>
      </c>
      <c r="CE26" s="22">
        <f t="shared" si="51"/>
        <v>0</v>
      </c>
      <c r="CF26" s="22">
        <f t="shared" si="52"/>
        <v>9.2472248035291443E-3</v>
      </c>
      <c r="CG26" s="22">
        <f t="shared" si="53"/>
        <v>0.41052845800015958</v>
      </c>
      <c r="CH26" s="22">
        <f t="shared" si="54"/>
        <v>0.36834918000155592</v>
      </c>
      <c r="CI26" s="22">
        <f t="shared" si="55"/>
        <v>0.22112236199828447</v>
      </c>
      <c r="CJ26" s="22"/>
      <c r="CK26" s="22">
        <f t="shared" si="56"/>
        <v>0.41611336321960185</v>
      </c>
      <c r="CL26" s="22">
        <f t="shared" si="57"/>
        <v>0.35148100678730843</v>
      </c>
      <c r="CM26" s="22">
        <f t="shared" si="58"/>
        <v>0.23240562999308967</v>
      </c>
      <c r="CN26" s="1"/>
      <c r="CO26" s="26">
        <f t="shared" si="59"/>
        <v>0.84620505992010664</v>
      </c>
      <c r="CP26" s="26">
        <f t="shared" si="60"/>
        <v>6.109163745618428E-3</v>
      </c>
      <c r="CQ26" s="26">
        <f t="shared" si="61"/>
        <v>2.2283248332679483E-2</v>
      </c>
      <c r="CR26" s="26">
        <f t="shared" si="62"/>
        <v>0</v>
      </c>
      <c r="CS26" s="26">
        <f t="shared" si="63"/>
        <v>0.18970076548364651</v>
      </c>
      <c r="CT26" s="26">
        <f t="shared" si="64"/>
        <v>6.6957992669861854E-3</v>
      </c>
      <c r="CU26" s="26">
        <f t="shared" si="65"/>
        <v>0.29702233250620352</v>
      </c>
      <c r="CV26" s="26">
        <f t="shared" si="66"/>
        <v>0.35164051355206849</v>
      </c>
      <c r="CW26" s="26">
        <f t="shared" si="67"/>
        <v>9.3255888996450469E-3</v>
      </c>
      <c r="CX26" s="26">
        <f t="shared" si="68"/>
        <v>0</v>
      </c>
      <c r="CY26" s="26">
        <f t="shared" si="69"/>
        <v>0</v>
      </c>
      <c r="CZ26" s="26">
        <f t="shared" si="70"/>
        <v>0</v>
      </c>
      <c r="DA26" s="26">
        <f t="shared" si="71"/>
        <v>0</v>
      </c>
      <c r="DB26" s="26">
        <f t="shared" si="72"/>
        <v>1.7289824717069546</v>
      </c>
      <c r="DC26" s="26">
        <f t="shared" si="73"/>
        <v>2.5877755250891967</v>
      </c>
      <c r="DD26" s="26">
        <f t="shared" si="74"/>
        <v>2.3134994515305651</v>
      </c>
      <c r="DE26" s="26">
        <f t="shared" si="75"/>
        <v>5.9868172579780765</v>
      </c>
      <c r="DF26" s="1"/>
      <c r="DG26" s="22">
        <v>12.396269491728031</v>
      </c>
      <c r="DH26" s="14">
        <v>1729.6017535288063</v>
      </c>
      <c r="DI26" s="14">
        <v>71379.316047845597</v>
      </c>
      <c r="DJ26" s="14">
        <v>5751.2770845938212</v>
      </c>
      <c r="DK26" s="14">
        <v>241144.71511591619</v>
      </c>
      <c r="DL26" s="14">
        <v>135608.36579762158</v>
      </c>
      <c r="DM26" s="96">
        <v>164.28482801464349</v>
      </c>
      <c r="DN26" s="14">
        <v>2395.5243942402622</v>
      </c>
      <c r="DO26" s="96">
        <v>378.34674085562932</v>
      </c>
      <c r="DP26" s="22">
        <v>5.6750346654193926</v>
      </c>
      <c r="DQ26" s="14">
        <v>3851.2796622488463</v>
      </c>
      <c r="DR26" s="22">
        <v>53.278123592346468</v>
      </c>
      <c r="DS26" s="22">
        <v>0</v>
      </c>
      <c r="DT26" s="22">
        <v>0</v>
      </c>
      <c r="DU26" s="22">
        <v>127.00289431626946</v>
      </c>
      <c r="DV26" s="22">
        <v>0</v>
      </c>
      <c r="DW26" s="22">
        <v>10.254937452247919</v>
      </c>
      <c r="DX26" s="22">
        <v>10.39482724912358</v>
      </c>
      <c r="DY26" s="22">
        <v>95.681954422597315</v>
      </c>
      <c r="DZ26" s="22">
        <v>48.587664016307805</v>
      </c>
      <c r="EA26" s="22">
        <v>8.351477158958566E-2</v>
      </c>
      <c r="EB26" s="22">
        <v>0</v>
      </c>
      <c r="EC26" s="22">
        <v>0</v>
      </c>
      <c r="ED26" s="22">
        <v>5.4364651228554584</v>
      </c>
      <c r="EE26" s="22">
        <v>23.296793357088042</v>
      </c>
      <c r="EF26" s="22">
        <v>4.4300787237601691</v>
      </c>
      <c r="EG26" s="22">
        <v>27.903631904265961</v>
      </c>
      <c r="EH26" s="22">
        <v>10.615665460521846</v>
      </c>
      <c r="EI26" s="22">
        <v>1.1709861242567301</v>
      </c>
      <c r="EJ26" s="22">
        <v>16.377291269066401</v>
      </c>
      <c r="EK26" s="22">
        <v>2.5928271845693951</v>
      </c>
      <c r="EL26" s="22">
        <v>17.928740475733601</v>
      </c>
      <c r="EM26" s="22">
        <v>4.0023054480020814</v>
      </c>
      <c r="EN26" s="22">
        <v>11.985039100611365</v>
      </c>
      <c r="EO26" s="22">
        <v>1.6283969794195141</v>
      </c>
      <c r="EP26" s="22">
        <v>10.548033877860725</v>
      </c>
      <c r="EQ26" s="22">
        <v>1.5542462768195753</v>
      </c>
      <c r="ER26" s="22">
        <v>2.0171513662978793</v>
      </c>
      <c r="ES26" s="22">
        <v>0</v>
      </c>
      <c r="ET26" s="22">
        <v>0.20896865389380065</v>
      </c>
      <c r="EU26" s="22">
        <v>0.14075876490759376</v>
      </c>
      <c r="EV26" s="22">
        <v>6.0438471343561027E-2</v>
      </c>
      <c r="EW26" s="22">
        <f>(EI26/0.05883)/SQRT((EH26/0.1536)*(EJ26/0.2069))</f>
        <v>0.26911264530677143</v>
      </c>
      <c r="EX26" s="22"/>
      <c r="EY26" s="22"/>
      <c r="EZ26" s="22"/>
      <c r="FA26" s="22"/>
      <c r="FB26" s="22"/>
      <c r="FC26" s="22"/>
      <c r="FD26" s="22"/>
      <c r="FE26" s="22"/>
      <c r="FF26" s="22"/>
      <c r="FG26" s="22"/>
      <c r="FH26" s="22"/>
      <c r="FI26" s="22">
        <f>-0.50354-2.23025*BP26+ N("eqn 18 Mg# R2 0.28 best")</f>
        <v>-1.8645480553147995</v>
      </c>
      <c r="FJ26" s="22"/>
      <c r="FK26" s="22">
        <f xml:space="preserve"> -0.03692  +  0.931085 + FX26   + N("488 NN Dy")</f>
        <v>0.8941650000000001</v>
      </c>
      <c r="FL26" s="22">
        <f>-0.48986  +   0    +   (1.071278 + 0) * GD26  +N("eqn 119 LnD Hf  (which has R2 of 0.51 for TS")</f>
        <v>-0.48986000000000002</v>
      </c>
      <c r="FM26" s="22"/>
      <c r="FN26" s="22"/>
      <c r="FO26" s="22">
        <f>3.94011-11.9214*BP26</f>
        <v>-3.3349136209527419</v>
      </c>
      <c r="FP26" s="22">
        <f xml:space="preserve">  -0.49862 +   1.013256 * FQ26 + N("294 NN")</f>
        <v>-0.49862000000000001</v>
      </c>
      <c r="FQ26" s="46"/>
      <c r="FR26" s="46"/>
      <c r="FS26" s="46"/>
      <c r="FT26" s="46"/>
      <c r="FU26" s="46"/>
      <c r="FV26" s="46"/>
      <c r="FW26" s="46"/>
      <c r="FX26" s="46"/>
      <c r="FY26" s="46"/>
      <c r="FZ26" s="46"/>
      <c r="GA26" s="46"/>
      <c r="GB26" s="46"/>
      <c r="GC26" s="46"/>
      <c r="GD26" s="46"/>
      <c r="GE26" s="46"/>
      <c r="GF26" s="46"/>
      <c r="GG26" s="46"/>
      <c r="GH26" s="46"/>
    </row>
    <row r="27" spans="1:190" x14ac:dyDescent="0.25">
      <c r="A27" s="5" t="s">
        <v>87</v>
      </c>
      <c r="B27" s="1">
        <v>438</v>
      </c>
      <c r="C27" s="98" t="s">
        <v>99</v>
      </c>
      <c r="D27" s="98" t="s">
        <v>106</v>
      </c>
      <c r="E27" s="1">
        <v>120</v>
      </c>
      <c r="F27" s="22">
        <v>51.47</v>
      </c>
      <c r="G27" s="22">
        <v>7.5999999999999998E-2</v>
      </c>
      <c r="H27" s="22">
        <v>0.43</v>
      </c>
      <c r="I27" s="22">
        <v>1.2999999999999999E-2</v>
      </c>
      <c r="J27" s="22">
        <v>14.54</v>
      </c>
      <c r="K27" s="22">
        <v>0.43</v>
      </c>
      <c r="L27" s="22">
        <v>11.55</v>
      </c>
      <c r="M27" s="22">
        <v>19.89</v>
      </c>
      <c r="N27" s="22">
        <v>0.22800000000000001</v>
      </c>
      <c r="O27" s="22">
        <v>0</v>
      </c>
      <c r="P27" s="22">
        <v>0</v>
      </c>
      <c r="Q27" s="22"/>
      <c r="R27" s="22"/>
      <c r="S27" s="22">
        <f t="shared" si="0"/>
        <v>98.626999999999995</v>
      </c>
      <c r="T27" s="3"/>
      <c r="U27" s="22">
        <f t="shared" si="1"/>
        <v>14.053445262998254</v>
      </c>
      <c r="V27" s="22">
        <f t="shared" si="2"/>
        <v>0.54070827923003961</v>
      </c>
      <c r="W27" s="22">
        <f t="shared" si="3"/>
        <v>98.681153542228287</v>
      </c>
      <c r="X27" s="1"/>
      <c r="Y27" s="1"/>
      <c r="Z27" s="1"/>
      <c r="AA27" s="1" t="s">
        <v>185</v>
      </c>
      <c r="AC27" s="1">
        <v>6</v>
      </c>
      <c r="AD27" s="1">
        <v>4</v>
      </c>
      <c r="AE27" s="1"/>
      <c r="AF27" s="26">
        <f t="shared" si="4"/>
        <v>1.9910915584002606</v>
      </c>
      <c r="AG27" s="26">
        <f t="shared" si="5"/>
        <v>2.2112738135229514E-3</v>
      </c>
      <c r="AH27" s="26">
        <f t="shared" si="6"/>
        <v>1.9603590018895892E-2</v>
      </c>
      <c r="AI27" s="26">
        <f t="shared" si="7"/>
        <v>3.9758072361318323E-4</v>
      </c>
      <c r="AJ27" s="26">
        <f t="shared" si="8"/>
        <v>0.47033210074718207</v>
      </c>
      <c r="AK27" s="26">
        <f t="shared" si="9"/>
        <v>1.4087835060097441E-2</v>
      </c>
      <c r="AL27" s="26">
        <f t="shared" si="10"/>
        <v>0.66610688852999367</v>
      </c>
      <c r="AM27" s="26">
        <f t="shared" si="11"/>
        <v>0.82431606721122175</v>
      </c>
      <c r="AN27" s="26">
        <f t="shared" si="12"/>
        <v>1.7099375820349795E-2</v>
      </c>
      <c r="AO27" s="26">
        <f t="shared" si="13"/>
        <v>0</v>
      </c>
      <c r="AP27" s="26">
        <f t="shared" si="14"/>
        <v>0</v>
      </c>
      <c r="AQ27" s="26">
        <f t="shared" si="15"/>
        <v>0</v>
      </c>
      <c r="AR27" s="26">
        <f t="shared" si="16"/>
        <v>0</v>
      </c>
      <c r="AS27" s="26">
        <f t="shared" si="17"/>
        <v>4.0052462703251379</v>
      </c>
      <c r="AT27" s="26">
        <f t="shared" si="18"/>
        <v>2.0106951484191566</v>
      </c>
      <c r="AU27" s="26">
        <f t="shared" si="19"/>
        <v>0.84141544303157156</v>
      </c>
      <c r="AV27" s="47"/>
      <c r="AW27" s="26">
        <f t="shared" si="20"/>
        <v>1.9884835278691895</v>
      </c>
      <c r="AX27" s="26">
        <f t="shared" si="21"/>
        <v>2.2083773773475808E-3</v>
      </c>
      <c r="AY27" s="26">
        <f t="shared" si="22"/>
        <v>1.9577912263861384E-2</v>
      </c>
      <c r="AZ27" s="26">
        <f t="shared" si="23"/>
        <v>3.970599526514593E-4</v>
      </c>
      <c r="BA27" s="26">
        <f t="shared" si="24"/>
        <v>0.45399784092164192</v>
      </c>
      <c r="BB27" s="26">
        <f t="shared" si="25"/>
        <v>1.5718195499760501E-2</v>
      </c>
      <c r="BC27" s="26">
        <f t="shared" si="26"/>
        <v>1.4069382114627197E-2</v>
      </c>
      <c r="BD27" s="26">
        <f t="shared" si="27"/>
        <v>0.66523438867185625</v>
      </c>
      <c r="BE27" s="26">
        <f t="shared" si="28"/>
        <v>0.82323633711972033</v>
      </c>
      <c r="BF27" s="26">
        <f t="shared" si="29"/>
        <v>1.7076978209344122E-2</v>
      </c>
      <c r="BG27" s="26">
        <f t="shared" si="30"/>
        <v>0</v>
      </c>
      <c r="BH27" s="26">
        <f t="shared" si="31"/>
        <v>0</v>
      </c>
      <c r="BI27" s="26">
        <f t="shared" si="32"/>
        <v>0</v>
      </c>
      <c r="BJ27" s="26">
        <f t="shared" si="33"/>
        <v>0</v>
      </c>
      <c r="BK27" s="25">
        <f t="shared" si="34"/>
        <v>4</v>
      </c>
      <c r="BL27" s="24">
        <f t="shared" si="35"/>
        <v>6.0000000000000018</v>
      </c>
      <c r="BM27" s="26">
        <f t="shared" si="36"/>
        <v>2.008061440133051</v>
      </c>
      <c r="BN27" s="26">
        <f t="shared" si="37"/>
        <v>0.8403133153290645</v>
      </c>
      <c r="BO27" s="22"/>
      <c r="BP27" s="23">
        <f t="shared" si="38"/>
        <v>0.58613519495108701</v>
      </c>
      <c r="BQ27" s="26">
        <f t="shared" si="39"/>
        <v>1.1516472130810529E-2</v>
      </c>
      <c r="BR27" s="26">
        <f t="shared" si="40"/>
        <v>8.0614401330508546E-3</v>
      </c>
      <c r="BS27" s="26"/>
      <c r="BT27" s="26">
        <f t="shared" si="41"/>
        <v>8.0614401330508546E-3</v>
      </c>
      <c r="BU27" s="26">
        <f t="shared" si="42"/>
        <v>0</v>
      </c>
      <c r="BV27" s="26">
        <f t="shared" si="43"/>
        <v>8.0614401330508546E-3</v>
      </c>
      <c r="BW27" s="26">
        <f t="shared" si="44"/>
        <v>1.9879036180659162E-4</v>
      </c>
      <c r="BX27" s="26">
        <f t="shared" si="45"/>
        <v>0.81605583671636428</v>
      </c>
      <c r="BY27" s="26">
        <f t="shared" si="46"/>
        <v>0.16019157628040576</v>
      </c>
      <c r="BZ27" s="26">
        <f t="shared" si="47"/>
        <v>0.99256908362467833</v>
      </c>
      <c r="CA27" s="22"/>
      <c r="CB27" s="22">
        <f t="shared" si="48"/>
        <v>1.5718195499760501E-2</v>
      </c>
      <c r="CC27" s="22">
        <f t="shared" si="49"/>
        <v>1.3587827095836204E-3</v>
      </c>
      <c r="CD27" s="22">
        <f t="shared" si="50"/>
        <v>0</v>
      </c>
      <c r="CE27" s="22">
        <f t="shared" si="51"/>
        <v>3.970599526514593E-4</v>
      </c>
      <c r="CF27" s="22">
        <f t="shared" si="52"/>
        <v>6.7026574234672343E-3</v>
      </c>
      <c r="CG27" s="22">
        <f t="shared" si="53"/>
        <v>0.41592740762168107</v>
      </c>
      <c r="CH27" s="22">
        <f t="shared" si="54"/>
        <v>0.34715331068682304</v>
      </c>
      <c r="CI27" s="22">
        <f t="shared" si="55"/>
        <v>0.23691928169149595</v>
      </c>
      <c r="CJ27" s="22"/>
      <c r="CK27" s="22">
        <f t="shared" si="56"/>
        <v>0.41740842815342488</v>
      </c>
      <c r="CL27" s="22">
        <f t="shared" si="57"/>
        <v>0.33729614207826547</v>
      </c>
      <c r="CM27" s="22">
        <f t="shared" si="58"/>
        <v>0.24529542976830973</v>
      </c>
      <c r="CN27" s="1"/>
      <c r="CO27" s="26">
        <f t="shared" si="59"/>
        <v>0.8566910785619174</v>
      </c>
      <c r="CP27" s="26">
        <f t="shared" si="60"/>
        <v>9.5142714071106663E-4</v>
      </c>
      <c r="CQ27" s="26">
        <f t="shared" si="61"/>
        <v>8.4346802667712838E-3</v>
      </c>
      <c r="CR27" s="26">
        <f t="shared" si="62"/>
        <v>1.7106388578195931E-4</v>
      </c>
      <c r="CS27" s="26">
        <f t="shared" si="63"/>
        <v>0.20236604036186501</v>
      </c>
      <c r="CT27" s="26">
        <f t="shared" si="64"/>
        <v>6.0614603890611785E-3</v>
      </c>
      <c r="CU27" s="26">
        <f t="shared" si="65"/>
        <v>0.28660049627791567</v>
      </c>
      <c r="CV27" s="26">
        <f t="shared" si="66"/>
        <v>0.35467189728958631</v>
      </c>
      <c r="CW27" s="26">
        <f t="shared" si="67"/>
        <v>7.3572120038722178E-3</v>
      </c>
      <c r="CX27" s="26">
        <f t="shared" si="68"/>
        <v>0</v>
      </c>
      <c r="CY27" s="26">
        <f t="shared" si="69"/>
        <v>0</v>
      </c>
      <c r="CZ27" s="26">
        <f t="shared" si="70"/>
        <v>0</v>
      </c>
      <c r="DA27" s="26">
        <f t="shared" si="71"/>
        <v>0</v>
      </c>
      <c r="DB27" s="26">
        <f t="shared" si="72"/>
        <v>1.723305356177482</v>
      </c>
      <c r="DC27" s="26">
        <f t="shared" si="73"/>
        <v>2.581572127954451</v>
      </c>
      <c r="DD27" s="26">
        <f t="shared" si="74"/>
        <v>2.321120853980589</v>
      </c>
      <c r="DE27" s="26">
        <f t="shared" si="75"/>
        <v>5.9921409022501217</v>
      </c>
      <c r="DF27" s="1"/>
      <c r="DG27" s="22">
        <v>8.069054600692823</v>
      </c>
      <c r="DH27" s="14">
        <v>1611.546738238804</v>
      </c>
      <c r="DI27" s="14">
        <v>67330.264115199941</v>
      </c>
      <c r="DJ27" s="14">
        <v>2505.9851766068996</v>
      </c>
      <c r="DK27" s="14">
        <v>239909.68078721143</v>
      </c>
      <c r="DL27" s="14">
        <v>143214.13011720785</v>
      </c>
      <c r="DM27" s="96">
        <v>173.42616292671536</v>
      </c>
      <c r="DN27" s="14">
        <v>914.36933463521791</v>
      </c>
      <c r="DO27" s="96">
        <v>227.15905774286551</v>
      </c>
      <c r="DP27" s="22">
        <v>2.560210322082046</v>
      </c>
      <c r="DQ27" s="14">
        <v>3473.3646084961265</v>
      </c>
      <c r="DR27" s="22">
        <v>55.613121208931346</v>
      </c>
      <c r="DS27" s="22">
        <v>18.997497803113706</v>
      </c>
      <c r="DT27" s="22">
        <v>0</v>
      </c>
      <c r="DU27" s="22">
        <v>130.92002722714795</v>
      </c>
      <c r="DV27" s="22">
        <v>0.27059862398130036</v>
      </c>
      <c r="DW27" s="22">
        <v>6.9473725819290895</v>
      </c>
      <c r="DX27" s="22">
        <v>6.3817457747108906</v>
      </c>
      <c r="DY27" s="22">
        <v>107.54264026442488</v>
      </c>
      <c r="DZ27" s="22">
        <v>36.446396594398635</v>
      </c>
      <c r="EA27" s="22">
        <v>0</v>
      </c>
      <c r="EB27" s="22">
        <v>0</v>
      </c>
      <c r="EC27" s="22">
        <v>0.3774503178788472</v>
      </c>
      <c r="ED27" s="22">
        <v>8.5722645346027377</v>
      </c>
      <c r="EE27" s="22">
        <v>33.963408793277289</v>
      </c>
      <c r="EF27" s="22">
        <v>6.1042912240691596</v>
      </c>
      <c r="EG27" s="22">
        <v>34.22582649416993</v>
      </c>
      <c r="EH27" s="22">
        <v>13.240523234198221</v>
      </c>
      <c r="EI27" s="22">
        <v>0.70397588005759293</v>
      </c>
      <c r="EJ27" s="22">
        <v>16.209249171722089</v>
      </c>
      <c r="EK27" s="22">
        <v>2.8452553641290415</v>
      </c>
      <c r="EL27" s="22">
        <v>20.334396087695836</v>
      </c>
      <c r="EM27" s="22">
        <v>4.2214477079938266</v>
      </c>
      <c r="EN27" s="22">
        <v>12.593083916461607</v>
      </c>
      <c r="EO27" s="22">
        <v>1.6844116205946533</v>
      </c>
      <c r="EP27" s="22">
        <v>11.934614565318556</v>
      </c>
      <c r="EQ27" s="22">
        <v>1.6714367381739685</v>
      </c>
      <c r="ER27" s="22">
        <v>1.3648006378364275</v>
      </c>
      <c r="ES27" s="22">
        <v>0</v>
      </c>
      <c r="ET27" s="22">
        <v>0.39713914969777031</v>
      </c>
      <c r="EU27" s="22">
        <v>0.31352130930262856</v>
      </c>
      <c r="EV27" s="22">
        <v>7.6262563221458413E-2</v>
      </c>
      <c r="EW27" s="22">
        <f>(EI27/0.05883)/SQRT((EH27/0.1536)*(EJ27/0.2069))</f>
        <v>0.14561320506250733</v>
      </c>
      <c r="EX27" s="22"/>
      <c r="EY27" s="22"/>
      <c r="EZ27" s="22"/>
      <c r="FA27" s="22"/>
      <c r="FB27" s="22"/>
      <c r="FC27" s="22"/>
      <c r="FD27" s="22"/>
      <c r="FE27" s="22"/>
      <c r="FF27" s="22"/>
      <c r="FG27" s="22"/>
      <c r="FH27" s="22"/>
      <c r="FI27" s="22">
        <f>-0.50354-2.23025*BP27+ N("eqn 18 Mg# R2 0.28 best")</f>
        <v>-1.8107680185396617</v>
      </c>
      <c r="FJ27" s="22"/>
      <c r="FK27" s="22">
        <f xml:space="preserve"> -0.03692  +  0.931085 + FX27   + N("488 NN Dy")</f>
        <v>1.0620328347959722</v>
      </c>
      <c r="FL27" s="22">
        <f>-0.48986  +   0    +   (1.071278 + 0) * GD27  +N("eqn 119 LnD Hf  (which has R2 of 0.51 for TS")</f>
        <v>-0.28629702293562731</v>
      </c>
      <c r="FM27" s="22"/>
      <c r="FN27" s="22"/>
      <c r="FO27" s="22">
        <f>3.94011-11.9214*BP27</f>
        <v>-3.0474421130898888</v>
      </c>
      <c r="FP27" s="22">
        <f xml:space="preserve">  -0.49862 +   1.013256 * FQ27 + N("294 NN")</f>
        <v>-1.6635081121381385</v>
      </c>
      <c r="FQ27" s="46">
        <f t="shared" ref="FQ27" si="106" xml:space="preserve">  -0.73306   +   1.025016   *  FS27     +N("316 NN Nd")</f>
        <v>-1.1496483733016518</v>
      </c>
      <c r="FR27" s="46">
        <f t="shared" ref="FR27" si="107" xml:space="preserve">  -0.33671   +   1.013871 *  FS27    +N("340 NN")</f>
        <v>-0.74876880749931618</v>
      </c>
      <c r="FS27" s="46">
        <f t="shared" ref="FS27" si="108">-0.42496     +   1.017678*FT27                 + N("361 NN")</f>
        <v>-0.40642133713195883</v>
      </c>
      <c r="FT27" s="46">
        <f xml:space="preserve"> 0.68509  -3.34181 * BP27 + 0.03095*(100*CK27) +N("642 cpx Mg# Wo R2 0.59")</f>
        <v>1.8216629295357833E-2</v>
      </c>
      <c r="FU27" s="46">
        <f t="shared" ref="FU27" si="109" xml:space="preserve"> -0.06599 + 0.926002 * FT27  + N("409 NN")</f>
        <v>-4.9121364839240053E-2</v>
      </c>
      <c r="FV27" s="46">
        <f t="shared" ref="FV27" si="110">0.1453     +   0.925549*FT27     +N("424 LnD Sm")</f>
        <v>0.16216038302768915</v>
      </c>
      <c r="FW27" s="46">
        <f t="shared" ref="FW27" si="111" xml:space="preserve">  0.053547 + 0.932974 * FV27  +  N("445 NN")</f>
        <v>0.20483842119487522</v>
      </c>
      <c r="FX27" s="46">
        <f t="shared" ref="FX27" si="112" xml:space="preserve">  0.027177  +  0.867603 * FV27 + N("464 NN Gd")</f>
        <v>0.1678678347959722</v>
      </c>
      <c r="FY27" s="46">
        <f t="shared" ref="FY27" si="113" xml:space="preserve">  -0.06187  +  0.953618 * FX27   + N("505 NN Dy")</f>
        <v>9.8211788882465401E-2</v>
      </c>
      <c r="FZ27" s="46">
        <f t="shared" ref="FZ27" si="114" xml:space="preserve"> -0.05652 + 0.972005*FY27   +N("533 NN")</f>
        <v>3.8942349852700786E-2</v>
      </c>
      <c r="GA27" s="46">
        <f t="shared" ref="GA27" si="115" xml:space="preserve">     0.018586 + 0.960264 * FZ27    +N("549 LnD Er")</f>
        <v>5.5980936638953864E-2</v>
      </c>
      <c r="GB27" s="46">
        <f t="shared" ref="GB27" si="116" xml:space="preserve"> -0.02011 + 0.936315 * FZ27    +N("574 NN Er")</f>
        <v>1.6352306302331535E-2</v>
      </c>
      <c r="GC27" s="46">
        <f t="shared" ref="GC27" si="117" xml:space="preserve">   0.01732 + 1.006083 * GB27  +N("597 NN Yb")</f>
        <v>3.3771777381568613E-2</v>
      </c>
      <c r="GD27" s="46">
        <f>(-1.72947 +0 ) * (3.46258+0) * BQ27   - (1.87473 + 0) *BP27   + (0.03253+0) * (CK27*100)    +N("eqn625 aliv mg# wo")</f>
        <v>0.190018815904343</v>
      </c>
      <c r="GE27" s="46"/>
      <c r="GF27" s="46"/>
      <c r="GG27" s="46"/>
      <c r="GH27" s="46"/>
    </row>
    <row r="28" spans="1:190" x14ac:dyDescent="0.25">
      <c r="A28" s="5" t="s">
        <v>85</v>
      </c>
      <c r="B28" s="1">
        <v>1309</v>
      </c>
      <c r="C28" s="98" t="s">
        <v>98</v>
      </c>
      <c r="D28" s="98" t="s">
        <v>105</v>
      </c>
      <c r="E28" s="1">
        <v>316</v>
      </c>
      <c r="F28" s="22">
        <v>49.18</v>
      </c>
      <c r="G28" s="22">
        <v>1.173</v>
      </c>
      <c r="H28" s="22">
        <v>3.79</v>
      </c>
      <c r="I28" s="22">
        <v>8.9999999999999993E-3</v>
      </c>
      <c r="J28" s="22">
        <v>10.52</v>
      </c>
      <c r="K28" s="22">
        <v>0.438</v>
      </c>
      <c r="L28" s="22">
        <v>13.72</v>
      </c>
      <c r="M28" s="22">
        <v>19.05</v>
      </c>
      <c r="N28" s="22">
        <v>0.35</v>
      </c>
      <c r="O28" s="22">
        <v>0</v>
      </c>
      <c r="P28" s="22">
        <v>0</v>
      </c>
      <c r="Q28" s="22"/>
      <c r="R28" s="22"/>
      <c r="S28" s="22">
        <f t="shared" si="0"/>
        <v>98.22999999999999</v>
      </c>
      <c r="T28" s="3"/>
      <c r="U28" s="22">
        <f t="shared" si="1"/>
        <v>8.935097228685521</v>
      </c>
      <c r="V28" s="22">
        <f t="shared" si="2"/>
        <v>1.7613024497617804</v>
      </c>
      <c r="W28" s="22">
        <f t="shared" si="3"/>
        <v>98.406399678447315</v>
      </c>
      <c r="X28" s="1"/>
      <c r="Y28" s="1"/>
      <c r="Z28" s="1"/>
      <c r="AA28" s="1" t="s">
        <v>185</v>
      </c>
      <c r="AC28" s="1">
        <v>6</v>
      </c>
      <c r="AD28" s="1">
        <v>4</v>
      </c>
      <c r="AE28" s="1"/>
      <c r="AF28" s="26">
        <f t="shared" si="4"/>
        <v>1.8770436617577089</v>
      </c>
      <c r="AG28" s="26">
        <f t="shared" si="5"/>
        <v>3.3672528590498324E-2</v>
      </c>
      <c r="AH28" s="26">
        <f t="shared" si="6"/>
        <v>0.17047282307917641</v>
      </c>
      <c r="AI28" s="26">
        <f t="shared" si="7"/>
        <v>2.7156466753102841E-4</v>
      </c>
      <c r="AJ28" s="26">
        <f t="shared" si="8"/>
        <v>0.33574127995499226</v>
      </c>
      <c r="AK28" s="26">
        <f t="shared" si="9"/>
        <v>1.4157895445526708E-2</v>
      </c>
      <c r="AL28" s="26">
        <f t="shared" si="10"/>
        <v>0.78066523515787523</v>
      </c>
      <c r="AM28" s="26">
        <f t="shared" si="11"/>
        <v>0.7789377459122695</v>
      </c>
      <c r="AN28" s="26">
        <f t="shared" si="12"/>
        <v>2.5897762425718607E-2</v>
      </c>
      <c r="AO28" s="26">
        <f t="shared" si="13"/>
        <v>0</v>
      </c>
      <c r="AP28" s="26">
        <f t="shared" si="14"/>
        <v>0</v>
      </c>
      <c r="AQ28" s="26">
        <f t="shared" si="15"/>
        <v>0</v>
      </c>
      <c r="AR28" s="26">
        <f t="shared" si="16"/>
        <v>0</v>
      </c>
      <c r="AS28" s="26">
        <f t="shared" si="17"/>
        <v>4.0168604969912973</v>
      </c>
      <c r="AT28" s="26">
        <f t="shared" si="18"/>
        <v>2.0475164848368852</v>
      </c>
      <c r="AU28" s="26">
        <f t="shared" si="19"/>
        <v>0.80483550833798811</v>
      </c>
      <c r="AV28" s="47"/>
      <c r="AW28" s="26">
        <f t="shared" si="20"/>
        <v>1.8691648994667847</v>
      </c>
      <c r="AX28" s="26">
        <f t="shared" si="21"/>
        <v>3.3531190456546525E-2</v>
      </c>
      <c r="AY28" s="26">
        <f t="shared" si="22"/>
        <v>0.16975727507277261</v>
      </c>
      <c r="AZ28" s="26">
        <f t="shared" si="23"/>
        <v>2.704247934270412E-4</v>
      </c>
      <c r="BA28" s="26">
        <f t="shared" si="24"/>
        <v>0.28396285028538165</v>
      </c>
      <c r="BB28" s="26">
        <f t="shared" si="25"/>
        <v>5.0369178627714728E-2</v>
      </c>
      <c r="BC28" s="26">
        <f t="shared" si="26"/>
        <v>1.4098468648469354E-2</v>
      </c>
      <c r="BD28" s="26">
        <f t="shared" si="27"/>
        <v>0.77738844626803238</v>
      </c>
      <c r="BE28" s="26">
        <f t="shared" si="28"/>
        <v>0.77566820804029246</v>
      </c>
      <c r="BF28" s="26">
        <f t="shared" si="29"/>
        <v>2.578905834057868E-2</v>
      </c>
      <c r="BG28" s="26">
        <f t="shared" si="30"/>
        <v>0</v>
      </c>
      <c r="BH28" s="26">
        <f t="shared" si="31"/>
        <v>0</v>
      </c>
      <c r="BI28" s="26">
        <f t="shared" si="32"/>
        <v>0</v>
      </c>
      <c r="BJ28" s="26">
        <f t="shared" si="33"/>
        <v>0</v>
      </c>
      <c r="BK28" s="25">
        <f t="shared" si="34"/>
        <v>4.0000000000000009</v>
      </c>
      <c r="BL28" s="24">
        <f t="shared" si="35"/>
        <v>5.9999999999999982</v>
      </c>
      <c r="BM28" s="26">
        <f t="shared" si="36"/>
        <v>2.0389221745395574</v>
      </c>
      <c r="BN28" s="26">
        <f t="shared" si="37"/>
        <v>0.80145726638087111</v>
      </c>
      <c r="BO28" s="22"/>
      <c r="BP28" s="23">
        <f t="shared" si="38"/>
        <v>0.69926610476556639</v>
      </c>
      <c r="BQ28" s="26">
        <f t="shared" si="39"/>
        <v>0.13083510053321534</v>
      </c>
      <c r="BR28" s="26">
        <f t="shared" si="40"/>
        <v>3.8922174539557264E-2</v>
      </c>
      <c r="BS28" s="26"/>
      <c r="BT28" s="26">
        <f t="shared" si="41"/>
        <v>2.5897762425718607E-2</v>
      </c>
      <c r="BU28" s="26">
        <f t="shared" si="42"/>
        <v>1.3133116198978584E-2</v>
      </c>
      <c r="BV28" s="26">
        <f t="shared" si="43"/>
        <v>3.2355616440067972E-2</v>
      </c>
      <c r="BW28" s="26">
        <f t="shared" si="44"/>
        <v>1.357823337655142E-4</v>
      </c>
      <c r="BX28" s="26">
        <f t="shared" si="45"/>
        <v>0.73331323093945733</v>
      </c>
      <c r="BY28" s="26">
        <f t="shared" si="46"/>
        <v>0.19154664208670508</v>
      </c>
      <c r="BZ28" s="26">
        <f t="shared" si="47"/>
        <v>0.99638215042469302</v>
      </c>
      <c r="CA28" s="22"/>
      <c r="CB28" s="22">
        <f t="shared" si="48"/>
        <v>2.578905834057868E-2</v>
      </c>
      <c r="CC28" s="22">
        <f t="shared" si="49"/>
        <v>0</v>
      </c>
      <c r="CD28" s="22">
        <f t="shared" si="50"/>
        <v>2.4580120287136048E-2</v>
      </c>
      <c r="CE28" s="22">
        <f t="shared" si="51"/>
        <v>2.704247934270412E-4</v>
      </c>
      <c r="CF28" s="22">
        <f t="shared" si="52"/>
        <v>3.8922174539557264E-2</v>
      </c>
      <c r="CG28" s="22">
        <f t="shared" si="53"/>
        <v>0.3688422733803754</v>
      </c>
      <c r="CH28" s="22">
        <f t="shared" si="54"/>
        <v>0.46229248133037981</v>
      </c>
      <c r="CI28" s="22">
        <f t="shared" si="55"/>
        <v>0.16886524528924485</v>
      </c>
      <c r="CJ28" s="22"/>
      <c r="CK28" s="22">
        <f t="shared" si="56"/>
        <v>0.40792713601956937</v>
      </c>
      <c r="CL28" s="22">
        <f t="shared" si="57"/>
        <v>0.4088318164566937</v>
      </c>
      <c r="CM28" s="22">
        <f t="shared" si="58"/>
        <v>0.18324104752373691</v>
      </c>
      <c r="CN28" s="1"/>
      <c r="CO28" s="26">
        <f t="shared" si="59"/>
        <v>0.81857523302263646</v>
      </c>
      <c r="CP28" s="26">
        <f t="shared" si="60"/>
        <v>1.468452679018528E-2</v>
      </c>
      <c r="CQ28" s="26">
        <f t="shared" si="61"/>
        <v>7.4342879560612016E-2</v>
      </c>
      <c r="CR28" s="26">
        <f t="shared" si="62"/>
        <v>1.1842884400289492E-4</v>
      </c>
      <c r="CS28" s="26">
        <f t="shared" si="63"/>
        <v>0.14641614474599862</v>
      </c>
      <c r="CT28" s="26">
        <f t="shared" si="64"/>
        <v>6.1742317451367358E-3</v>
      </c>
      <c r="CU28" s="26">
        <f t="shared" si="65"/>
        <v>0.34044665012406949</v>
      </c>
      <c r="CV28" s="26">
        <f t="shared" si="66"/>
        <v>0.33969329529243941</v>
      </c>
      <c r="CW28" s="26">
        <f t="shared" si="67"/>
        <v>1.1293965795417877E-2</v>
      </c>
      <c r="CX28" s="26">
        <f t="shared" si="68"/>
        <v>0</v>
      </c>
      <c r="CY28" s="26">
        <f t="shared" si="69"/>
        <v>0</v>
      </c>
      <c r="CZ28" s="26">
        <f t="shared" si="70"/>
        <v>0</v>
      </c>
      <c r="DA28" s="26">
        <f t="shared" si="71"/>
        <v>0</v>
      </c>
      <c r="DB28" s="26">
        <f t="shared" si="72"/>
        <v>1.7517453559204987</v>
      </c>
      <c r="DC28" s="26">
        <f t="shared" si="73"/>
        <v>2.6165887870379194</v>
      </c>
      <c r="DD28" s="26">
        <f t="shared" si="74"/>
        <v>2.2834369084986665</v>
      </c>
      <c r="DE28" s="26">
        <f t="shared" si="75"/>
        <v>5.9748154106861424</v>
      </c>
      <c r="DF28" s="1"/>
      <c r="DG28" s="22">
        <v>8.4259040136701611</v>
      </c>
      <c r="DH28" s="14">
        <v>2366.5905490952928</v>
      </c>
      <c r="DI28" s="14">
        <v>80738.018051539984</v>
      </c>
      <c r="DJ28" s="14">
        <v>19672.171527251921</v>
      </c>
      <c r="DK28" s="14">
        <v>230042.24302940819</v>
      </c>
      <c r="DL28" s="14">
        <v>135930.26994817748</v>
      </c>
      <c r="DM28" s="96">
        <v>167.53718563753478</v>
      </c>
      <c r="DN28" s="14">
        <v>6774.889813761285</v>
      </c>
      <c r="DO28" s="96">
        <v>188.97391683943607</v>
      </c>
      <c r="DP28" s="22">
        <v>0</v>
      </c>
      <c r="DQ28" s="14">
        <v>3185.5782447131874</v>
      </c>
      <c r="DR28" s="22">
        <v>25.13249995579968</v>
      </c>
      <c r="DS28" s="22">
        <v>0</v>
      </c>
      <c r="DT28" s="22">
        <v>0</v>
      </c>
      <c r="DU28" s="22">
        <v>77.197738129054784</v>
      </c>
      <c r="DV28" s="22">
        <v>0</v>
      </c>
      <c r="DW28" s="22">
        <v>11.523833894877754</v>
      </c>
      <c r="DX28" s="22">
        <v>14.649483411970245</v>
      </c>
      <c r="DY28" s="22">
        <v>73.70893755290308</v>
      </c>
      <c r="DZ28" s="22">
        <v>65.684499004000301</v>
      </c>
      <c r="EA28" s="22">
        <v>0</v>
      </c>
      <c r="EB28" s="22">
        <v>0</v>
      </c>
      <c r="EC28" s="22">
        <v>0</v>
      </c>
      <c r="ED28" s="22">
        <v>3.0397878011740187</v>
      </c>
      <c r="EE28" s="22">
        <v>13.156415629287165</v>
      </c>
      <c r="EF28" s="22">
        <v>2.7381236430919835</v>
      </c>
      <c r="EG28" s="22">
        <v>19.02648169363016</v>
      </c>
      <c r="EH28" s="22">
        <v>7.8461657143214172</v>
      </c>
      <c r="EI28" s="22">
        <v>2.116865438281573</v>
      </c>
      <c r="EJ28" s="22">
        <v>11.431305206186167</v>
      </c>
      <c r="EK28" s="22">
        <v>2.0922609968430579</v>
      </c>
      <c r="EL28" s="22">
        <v>14.278827399876464</v>
      </c>
      <c r="EM28" s="22">
        <v>3.1771200733596046</v>
      </c>
      <c r="EN28" s="22">
        <v>8.2557101336432694</v>
      </c>
      <c r="EO28" s="22">
        <v>1.0104040820004938</v>
      </c>
      <c r="EP28" s="22">
        <v>7.9860716496619775</v>
      </c>
      <c r="EQ28" s="22">
        <v>0.89697212296199724</v>
      </c>
      <c r="ER28" s="22">
        <v>3.2412029401415547</v>
      </c>
      <c r="ES28" s="22">
        <v>0</v>
      </c>
      <c r="ET28" s="22">
        <v>6.6854500960313826E-2</v>
      </c>
      <c r="EU28" s="22">
        <v>0.11212942477370118</v>
      </c>
      <c r="EV28" s="22">
        <v>2.5032569500181234E-2</v>
      </c>
      <c r="EW28" s="22">
        <f>(EI28/0.05883)/SQRT((EH28/0.1536)*(EJ28/0.2069))</f>
        <v>0.67731954634826763</v>
      </c>
      <c r="EX28" s="22"/>
      <c r="EY28" s="22"/>
      <c r="EZ28" s="22"/>
      <c r="FA28" s="22"/>
      <c r="FB28" s="22"/>
      <c r="FC28" s="22"/>
      <c r="FD28" s="22"/>
      <c r="FE28" s="22"/>
      <c r="FF28" s="22"/>
      <c r="FG28" s="22"/>
      <c r="FH28" s="22"/>
      <c r="FI28" s="22">
        <f>-0.50354-2.23025*BP28+ N("eqn 18 Mg# R2 0.28 best")</f>
        <v>-2.0630782301534043</v>
      </c>
      <c r="FJ28" s="22"/>
      <c r="FK28" s="22">
        <f xml:space="preserve"> -0.03692  +  0.931085 + FX28   + N("488 NN Dy")</f>
        <v>0.8941650000000001</v>
      </c>
      <c r="FL28" s="22">
        <f>-0.48986  +   0    +   (1.071278 + 0) * GD28  +N("eqn 119 LnD Hf  (which has R2 of 0.51 for TS")</f>
        <v>-0.48986000000000002</v>
      </c>
      <c r="FM28" s="22"/>
      <c r="FN28" s="22"/>
      <c r="FO28" s="22">
        <f>3.94011-11.9214*BP28</f>
        <v>-4.3961209413522235</v>
      </c>
      <c r="FP28" s="22">
        <f xml:space="preserve">  -0.49862 +   1.013256 * FQ28 + N("294 NN")</f>
        <v>-0.49862000000000001</v>
      </c>
      <c r="FQ28" s="46"/>
      <c r="FR28" s="46"/>
      <c r="FS28" s="46"/>
      <c r="FT28" s="46"/>
      <c r="FU28" s="46"/>
      <c r="FV28" s="46"/>
      <c r="FW28" s="46"/>
      <c r="FX28" s="46"/>
      <c r="FY28" s="46"/>
      <c r="FZ28" s="46"/>
      <c r="GA28" s="46"/>
      <c r="GB28" s="46"/>
      <c r="GC28" s="46"/>
      <c r="GD28" s="46"/>
      <c r="GE28" s="46"/>
      <c r="GF28" s="46"/>
      <c r="GG28" s="46"/>
      <c r="GH28" s="46"/>
    </row>
    <row r="29" spans="1:190" x14ac:dyDescent="0.25">
      <c r="A29" s="5" t="s">
        <v>85</v>
      </c>
      <c r="B29" s="1">
        <v>1310</v>
      </c>
      <c r="C29" s="98" t="s">
        <v>98</v>
      </c>
      <c r="D29" s="98" t="s">
        <v>105</v>
      </c>
      <c r="E29" s="1">
        <v>317</v>
      </c>
      <c r="F29" s="22">
        <v>51.01</v>
      </c>
      <c r="G29" s="22">
        <v>0.67700000000000005</v>
      </c>
      <c r="H29" s="22">
        <v>1.782</v>
      </c>
      <c r="I29" s="22">
        <v>7.0000000000000001E-3</v>
      </c>
      <c r="J29" s="22">
        <v>11.43</v>
      </c>
      <c r="K29" s="22">
        <v>0.61899999999999999</v>
      </c>
      <c r="L29" s="22">
        <v>14.19</v>
      </c>
      <c r="M29" s="22">
        <v>18.38</v>
      </c>
      <c r="N29" s="22">
        <v>0.30599999999999999</v>
      </c>
      <c r="O29" s="22">
        <v>0</v>
      </c>
      <c r="P29" s="22">
        <v>0</v>
      </c>
      <c r="Q29" s="22"/>
      <c r="R29" s="22"/>
      <c r="S29" s="22">
        <f t="shared" si="0"/>
        <v>98.400999999999982</v>
      </c>
      <c r="T29" s="3"/>
      <c r="U29" s="22">
        <f t="shared" si="1"/>
        <v>10.718625073168162</v>
      </c>
      <c r="V29" s="22">
        <f t="shared" si="2"/>
        <v>0.79055095618821991</v>
      </c>
      <c r="W29" s="22">
        <f t="shared" si="3"/>
        <v>98.480176029356372</v>
      </c>
      <c r="X29" s="1"/>
      <c r="Y29" s="1"/>
      <c r="Z29" s="1"/>
      <c r="AA29" s="1" t="s">
        <v>185</v>
      </c>
      <c r="AC29" s="1">
        <v>6</v>
      </c>
      <c r="AD29" s="1">
        <v>4</v>
      </c>
      <c r="AE29" s="1"/>
      <c r="AF29" s="26">
        <f t="shared" si="4"/>
        <v>1.9442133985060905</v>
      </c>
      <c r="AG29" s="26">
        <f t="shared" si="5"/>
        <v>1.9407479884053804E-2</v>
      </c>
      <c r="AH29" s="26">
        <f t="shared" si="6"/>
        <v>8.0043560882400791E-2</v>
      </c>
      <c r="AI29" s="26">
        <f t="shared" si="7"/>
        <v>2.1092669748189573E-4</v>
      </c>
      <c r="AJ29" s="26">
        <f t="shared" si="8"/>
        <v>0.36428223304068419</v>
      </c>
      <c r="AK29" s="26">
        <f t="shared" si="9"/>
        <v>1.9981035761024602E-2</v>
      </c>
      <c r="AL29" s="26">
        <f t="shared" si="10"/>
        <v>0.80629855506270598</v>
      </c>
      <c r="AM29" s="26">
        <f t="shared" si="11"/>
        <v>0.75050922410589971</v>
      </c>
      <c r="AN29" s="26">
        <f t="shared" si="12"/>
        <v>2.2610927759147283E-2</v>
      </c>
      <c r="AO29" s="26">
        <f t="shared" si="13"/>
        <v>0</v>
      </c>
      <c r="AP29" s="26">
        <f t="shared" si="14"/>
        <v>0</v>
      </c>
      <c r="AQ29" s="26">
        <f t="shared" si="15"/>
        <v>0</v>
      </c>
      <c r="AR29" s="26">
        <f t="shared" si="16"/>
        <v>0</v>
      </c>
      <c r="AS29" s="26">
        <f t="shared" si="17"/>
        <v>4.0075573416994885</v>
      </c>
      <c r="AT29" s="26">
        <f t="shared" si="18"/>
        <v>2.0242569593884912</v>
      </c>
      <c r="AU29" s="26">
        <f t="shared" si="19"/>
        <v>0.77312015186504701</v>
      </c>
      <c r="AV29" s="47"/>
      <c r="AW29" s="26">
        <f t="shared" si="20"/>
        <v>1.9405470542129346</v>
      </c>
      <c r="AX29" s="26">
        <f t="shared" si="21"/>
        <v>1.9370881790875292E-2</v>
      </c>
      <c r="AY29" s="26">
        <f t="shared" si="22"/>
        <v>7.9892616931047211E-2</v>
      </c>
      <c r="AZ29" s="26">
        <f t="shared" si="23"/>
        <v>2.1052893770193476E-4</v>
      </c>
      <c r="BA29" s="26">
        <f t="shared" si="24"/>
        <v>0.34096600878314792</v>
      </c>
      <c r="BB29" s="26">
        <f t="shared" si="25"/>
        <v>2.2629270815474278E-2</v>
      </c>
      <c r="BC29" s="26">
        <f t="shared" si="26"/>
        <v>1.9943356071907108E-2</v>
      </c>
      <c r="BD29" s="26">
        <f t="shared" si="27"/>
        <v>0.8047780593659859</v>
      </c>
      <c r="BE29" s="26">
        <f t="shared" si="28"/>
        <v>0.74909393439908256</v>
      </c>
      <c r="BF29" s="26">
        <f t="shared" si="29"/>
        <v>2.2568288691843044E-2</v>
      </c>
      <c r="BG29" s="26">
        <f t="shared" si="30"/>
        <v>0</v>
      </c>
      <c r="BH29" s="26">
        <f t="shared" si="31"/>
        <v>0</v>
      </c>
      <c r="BI29" s="26">
        <f t="shared" si="32"/>
        <v>0</v>
      </c>
      <c r="BJ29" s="26">
        <f t="shared" si="33"/>
        <v>0</v>
      </c>
      <c r="BK29" s="25">
        <f t="shared" si="34"/>
        <v>4.0000000000000009</v>
      </c>
      <c r="BL29" s="24">
        <f t="shared" si="35"/>
        <v>6</v>
      </c>
      <c r="BM29" s="26">
        <f t="shared" si="36"/>
        <v>2.0204396711439818</v>
      </c>
      <c r="BN29" s="26">
        <f t="shared" si="37"/>
        <v>0.77166222309092558</v>
      </c>
      <c r="BO29" s="22"/>
      <c r="BP29" s="23">
        <f t="shared" si="38"/>
        <v>0.68880214271164897</v>
      </c>
      <c r="BQ29" s="26">
        <f t="shared" si="39"/>
        <v>5.9452945787065392E-2</v>
      </c>
      <c r="BR29" s="26">
        <f t="shared" si="40"/>
        <v>2.0439671143981819E-2</v>
      </c>
      <c r="BS29" s="26"/>
      <c r="BT29" s="26">
        <f t="shared" si="41"/>
        <v>2.0439671143981819E-2</v>
      </c>
      <c r="BU29" s="26">
        <f t="shared" si="42"/>
        <v>0</v>
      </c>
      <c r="BV29" s="26">
        <f t="shared" si="43"/>
        <v>2.0439671143981819E-2</v>
      </c>
      <c r="BW29" s="26">
        <f t="shared" si="44"/>
        <v>1.0546334874094787E-4</v>
      </c>
      <c r="BX29" s="26">
        <f t="shared" si="45"/>
        <v>0.72996408961317694</v>
      </c>
      <c r="BY29" s="26">
        <f t="shared" si="46"/>
        <v>0.22030834924510667</v>
      </c>
      <c r="BZ29" s="26">
        <f t="shared" si="47"/>
        <v>0.9912572444949882</v>
      </c>
      <c r="CA29" s="22"/>
      <c r="CB29" s="22">
        <f t="shared" si="48"/>
        <v>2.2568288691843044E-2</v>
      </c>
      <c r="CC29" s="22">
        <f t="shared" si="49"/>
        <v>0</v>
      </c>
      <c r="CD29" s="22">
        <f t="shared" si="50"/>
        <v>6.0982123631234814E-5</v>
      </c>
      <c r="CE29" s="22">
        <f t="shared" si="51"/>
        <v>2.1052893770193476E-4</v>
      </c>
      <c r="CF29" s="22">
        <f t="shared" si="52"/>
        <v>2.0439671143981819E-2</v>
      </c>
      <c r="CG29" s="22">
        <f t="shared" si="53"/>
        <v>0.3754755204428053</v>
      </c>
      <c r="CH29" s="22">
        <f t="shared" si="54"/>
        <v>0.43867004216439975</v>
      </c>
      <c r="CI29" s="22">
        <f t="shared" si="55"/>
        <v>0.18585443739279492</v>
      </c>
      <c r="CJ29" s="22"/>
      <c r="CK29" s="22">
        <f t="shared" si="56"/>
        <v>0.38664696219680955</v>
      </c>
      <c r="CL29" s="22">
        <f t="shared" si="57"/>
        <v>0.41538848148078555</v>
      </c>
      <c r="CM29" s="22">
        <f t="shared" si="58"/>
        <v>0.19796455632240489</v>
      </c>
      <c r="CN29" s="1"/>
      <c r="CO29" s="26">
        <f t="shared" si="59"/>
        <v>0.84903462050599199</v>
      </c>
      <c r="CP29" s="26">
        <f t="shared" si="60"/>
        <v>8.4752128192288438E-3</v>
      </c>
      <c r="CQ29" s="26">
        <f t="shared" si="61"/>
        <v>3.4954884268340529E-2</v>
      </c>
      <c r="CR29" s="26">
        <f t="shared" si="62"/>
        <v>9.2111323113362712E-5</v>
      </c>
      <c r="CS29" s="26">
        <f t="shared" si="63"/>
        <v>0.15908141962421712</v>
      </c>
      <c r="CT29" s="26">
        <f t="shared" si="64"/>
        <v>8.7256836763462079E-3</v>
      </c>
      <c r="CU29" s="26">
        <f t="shared" si="65"/>
        <v>0.35210918114143924</v>
      </c>
      <c r="CV29" s="26">
        <f t="shared" si="66"/>
        <v>0.32774607703281028</v>
      </c>
      <c r="CW29" s="26">
        <f t="shared" si="67"/>
        <v>9.8741529525653432E-3</v>
      </c>
      <c r="CX29" s="26">
        <f t="shared" si="68"/>
        <v>0</v>
      </c>
      <c r="CY29" s="26">
        <f t="shared" si="69"/>
        <v>0</v>
      </c>
      <c r="CZ29" s="26">
        <f t="shared" si="70"/>
        <v>0</v>
      </c>
      <c r="DA29" s="26">
        <f t="shared" si="71"/>
        <v>0</v>
      </c>
      <c r="DB29" s="26">
        <f t="shared" si="72"/>
        <v>1.7500933433440529</v>
      </c>
      <c r="DC29" s="26">
        <f t="shared" si="73"/>
        <v>2.620189597988718</v>
      </c>
      <c r="DD29" s="26">
        <f t="shared" si="74"/>
        <v>2.2855923743797906</v>
      </c>
      <c r="DE29" s="26">
        <f t="shared" si="75"/>
        <v>5.9886853645922624</v>
      </c>
      <c r="DF29" s="1"/>
      <c r="DG29" s="22"/>
      <c r="DH29" s="14"/>
      <c r="DI29" s="14"/>
      <c r="DJ29" s="14"/>
      <c r="DK29" s="14"/>
      <c r="DL29" s="14"/>
      <c r="DM29" s="96"/>
      <c r="DN29" s="14"/>
      <c r="DO29" s="96"/>
      <c r="DP29" s="22"/>
      <c r="DQ29" s="14"/>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46"/>
      <c r="FR29" s="46"/>
      <c r="FS29" s="46"/>
      <c r="FT29" s="46"/>
      <c r="FU29" s="46"/>
      <c r="FV29" s="46"/>
      <c r="FW29" s="46"/>
      <c r="FX29" s="46"/>
      <c r="FY29" s="46"/>
      <c r="FZ29" s="46"/>
      <c r="GA29" s="46"/>
      <c r="GB29" s="46"/>
      <c r="GC29" s="46"/>
      <c r="GD29" s="46"/>
      <c r="GE29" s="46"/>
      <c r="GF29" s="46"/>
      <c r="GG29" s="46"/>
      <c r="GH29" s="46"/>
    </row>
    <row r="30" spans="1:190" x14ac:dyDescent="0.25">
      <c r="A30" s="5" t="s">
        <v>85</v>
      </c>
      <c r="B30" s="1">
        <v>1311</v>
      </c>
      <c r="C30" s="98" t="s">
        <v>98</v>
      </c>
      <c r="D30" s="98" t="s">
        <v>105</v>
      </c>
      <c r="E30" s="1">
        <v>318</v>
      </c>
      <c r="F30" s="22">
        <v>49.33</v>
      </c>
      <c r="G30" s="22">
        <v>1.097</v>
      </c>
      <c r="H30" s="22">
        <v>3.02</v>
      </c>
      <c r="I30" s="22">
        <v>2.9000000000000001E-2</v>
      </c>
      <c r="J30" s="22">
        <v>9.6</v>
      </c>
      <c r="K30" s="22">
        <v>0.35599999999999998</v>
      </c>
      <c r="L30" s="22">
        <v>13.67</v>
      </c>
      <c r="M30" s="22">
        <v>20.5</v>
      </c>
      <c r="N30" s="22">
        <v>0.33700000000000002</v>
      </c>
      <c r="O30" s="22">
        <v>0</v>
      </c>
      <c r="P30" s="22">
        <v>0</v>
      </c>
      <c r="Q30" s="22"/>
      <c r="R30" s="22"/>
      <c r="S30" s="22">
        <f t="shared" si="0"/>
        <v>97.939000000000007</v>
      </c>
      <c r="T30" s="3"/>
      <c r="U30" s="22">
        <f t="shared" si="1"/>
        <v>7.4208516784743006</v>
      </c>
      <c r="V30" s="22">
        <f t="shared" si="2"/>
        <v>2.4216875297115097</v>
      </c>
      <c r="W30" s="22">
        <f t="shared" si="3"/>
        <v>98.181539208185811</v>
      </c>
      <c r="X30" s="1"/>
      <c r="Y30" s="1"/>
      <c r="Z30" s="1"/>
      <c r="AA30" s="1" t="s">
        <v>185</v>
      </c>
      <c r="AC30" s="1">
        <v>6</v>
      </c>
      <c r="AD30" s="1">
        <v>4</v>
      </c>
      <c r="AE30" s="1"/>
      <c r="AF30" s="26">
        <f t="shared" si="4"/>
        <v>1.8890681833202305</v>
      </c>
      <c r="AG30" s="26">
        <f t="shared" si="5"/>
        <v>3.1596211581183288E-2</v>
      </c>
      <c r="AH30" s="26">
        <f t="shared" si="6"/>
        <v>0.1362930008646725</v>
      </c>
      <c r="AI30" s="26">
        <f t="shared" si="7"/>
        <v>8.7796948273587659E-4</v>
      </c>
      <c r="AJ30" s="26">
        <f t="shared" si="8"/>
        <v>0.30740498263572308</v>
      </c>
      <c r="AK30" s="26">
        <f t="shared" si="9"/>
        <v>1.1545832582766693E-2</v>
      </c>
      <c r="AL30" s="26">
        <f t="shared" si="10"/>
        <v>0.78042273105999149</v>
      </c>
      <c r="AM30" s="26">
        <f t="shared" si="11"/>
        <v>0.84103156957457048</v>
      </c>
      <c r="AN30" s="26">
        <f t="shared" si="12"/>
        <v>2.501927764601803E-2</v>
      </c>
      <c r="AO30" s="26">
        <f t="shared" si="13"/>
        <v>0</v>
      </c>
      <c r="AP30" s="26">
        <f t="shared" si="14"/>
        <v>0</v>
      </c>
      <c r="AQ30" s="26">
        <f t="shared" si="15"/>
        <v>0</v>
      </c>
      <c r="AR30" s="26">
        <f t="shared" si="16"/>
        <v>0</v>
      </c>
      <c r="AS30" s="26">
        <f t="shared" si="17"/>
        <v>4.0232597587478915</v>
      </c>
      <c r="AT30" s="26">
        <f t="shared" si="18"/>
        <v>2.0253611841849031</v>
      </c>
      <c r="AU30" s="26">
        <f t="shared" si="19"/>
        <v>0.86605084722058856</v>
      </c>
      <c r="AV30" s="47"/>
      <c r="AW30" s="26">
        <f t="shared" si="20"/>
        <v>1.8781468725331736</v>
      </c>
      <c r="AX30" s="26">
        <f t="shared" si="21"/>
        <v>3.1413543719102627E-2</v>
      </c>
      <c r="AY30" s="26">
        <f t="shared" si="22"/>
        <v>0.13550504718799392</v>
      </c>
      <c r="AZ30" s="26">
        <f t="shared" si="23"/>
        <v>8.7289365875706335E-4</v>
      </c>
      <c r="BA30" s="26">
        <f t="shared" si="24"/>
        <v>0.23625191575102483</v>
      </c>
      <c r="BB30" s="26">
        <f t="shared" si="25"/>
        <v>6.9375859803186835E-2</v>
      </c>
      <c r="BC30" s="26">
        <f t="shared" si="26"/>
        <v>1.1479082410885603E-2</v>
      </c>
      <c r="BD30" s="26">
        <f t="shared" si="27"/>
        <v>0.77591085622855505</v>
      </c>
      <c r="BE30" s="26">
        <f t="shared" si="28"/>
        <v>0.83616929555283226</v>
      </c>
      <c r="BF30" s="26">
        <f t="shared" si="29"/>
        <v>2.4874633154489106E-2</v>
      </c>
      <c r="BG30" s="26">
        <f t="shared" si="30"/>
        <v>0</v>
      </c>
      <c r="BH30" s="26">
        <f t="shared" si="31"/>
        <v>0</v>
      </c>
      <c r="BI30" s="26">
        <f t="shared" si="32"/>
        <v>0</v>
      </c>
      <c r="BJ30" s="26">
        <f t="shared" si="33"/>
        <v>0</v>
      </c>
      <c r="BK30" s="25">
        <f t="shared" si="34"/>
        <v>4.0000000000000009</v>
      </c>
      <c r="BL30" s="24">
        <f t="shared" si="35"/>
        <v>6.0000000000000009</v>
      </c>
      <c r="BM30" s="26">
        <f t="shared" si="36"/>
        <v>2.0136519197211675</v>
      </c>
      <c r="BN30" s="26">
        <f t="shared" si="37"/>
        <v>0.86104392870732138</v>
      </c>
      <c r="BO30" s="22"/>
      <c r="BP30" s="23">
        <f t="shared" si="38"/>
        <v>0.71741390776728275</v>
      </c>
      <c r="BQ30" s="26">
        <f t="shared" si="39"/>
        <v>0.12185312746682642</v>
      </c>
      <c r="BR30" s="26">
        <f t="shared" si="40"/>
        <v>1.3651919721167499E-2</v>
      </c>
      <c r="BS30" s="26"/>
      <c r="BT30" s="26">
        <f t="shared" si="41"/>
        <v>1.3651919721167499E-2</v>
      </c>
      <c r="BU30" s="26">
        <f t="shared" si="42"/>
        <v>0</v>
      </c>
      <c r="BV30" s="26">
        <f t="shared" si="43"/>
        <v>1.3651919721167499E-2</v>
      </c>
      <c r="BW30" s="26">
        <f t="shared" si="44"/>
        <v>4.389847413679383E-4</v>
      </c>
      <c r="BX30" s="26">
        <f t="shared" si="45"/>
        <v>0.82694066511203501</v>
      </c>
      <c r="BY30" s="26">
        <f t="shared" si="46"/>
        <v>0.13044352429183981</v>
      </c>
      <c r="BZ30" s="26">
        <f t="shared" si="47"/>
        <v>0.9851270135875777</v>
      </c>
      <c r="CA30" s="22"/>
      <c r="CB30" s="22">
        <f t="shared" si="48"/>
        <v>2.4874633154489106E-2</v>
      </c>
      <c r="CC30" s="22">
        <f t="shared" si="49"/>
        <v>0</v>
      </c>
      <c r="CD30" s="22">
        <f t="shared" si="50"/>
        <v>4.4501226648697725E-2</v>
      </c>
      <c r="CE30" s="22">
        <f t="shared" si="51"/>
        <v>8.7289365875706335E-4</v>
      </c>
      <c r="CF30" s="22">
        <f t="shared" si="52"/>
        <v>1.3651919721167499E-2</v>
      </c>
      <c r="CG30" s="22">
        <f t="shared" si="53"/>
        <v>0.40100894433934953</v>
      </c>
      <c r="CH30" s="22">
        <f t="shared" si="54"/>
        <v>0.45917877611910218</v>
      </c>
      <c r="CI30" s="22">
        <f t="shared" si="55"/>
        <v>0.13981227954154829</v>
      </c>
      <c r="CJ30" s="22"/>
      <c r="CK30" s="22">
        <f t="shared" si="56"/>
        <v>0.4334309174426349</v>
      </c>
      <c r="CL30" s="22">
        <f t="shared" si="57"/>
        <v>0.40219577070992091</v>
      </c>
      <c r="CM30" s="22">
        <f t="shared" si="58"/>
        <v>0.16437331184744419</v>
      </c>
      <c r="CN30" s="1"/>
      <c r="CO30" s="26">
        <f t="shared" si="59"/>
        <v>0.8210719041278296</v>
      </c>
      <c r="CP30" s="26">
        <f t="shared" si="60"/>
        <v>1.3733099649474213E-2</v>
      </c>
      <c r="CQ30" s="26">
        <f t="shared" si="61"/>
        <v>5.9238917222440179E-2</v>
      </c>
      <c r="CR30" s="26">
        <f t="shared" si="62"/>
        <v>3.8160405289821696E-4</v>
      </c>
      <c r="CS30" s="26">
        <f t="shared" si="63"/>
        <v>0.13361169102296452</v>
      </c>
      <c r="CT30" s="26">
        <f t="shared" si="64"/>
        <v>5.0183253453622775E-3</v>
      </c>
      <c r="CU30" s="26">
        <f t="shared" si="65"/>
        <v>0.3392059553349876</v>
      </c>
      <c r="CV30" s="26">
        <f t="shared" si="66"/>
        <v>0.36554921540656204</v>
      </c>
      <c r="CW30" s="26">
        <f t="shared" si="67"/>
        <v>1.0874475637302356E-2</v>
      </c>
      <c r="CX30" s="26">
        <f t="shared" si="68"/>
        <v>0</v>
      </c>
      <c r="CY30" s="26">
        <f t="shared" si="69"/>
        <v>0</v>
      </c>
      <c r="CZ30" s="26">
        <f t="shared" si="70"/>
        <v>0</v>
      </c>
      <c r="DA30" s="26">
        <f t="shared" si="71"/>
        <v>0</v>
      </c>
      <c r="DB30" s="26">
        <f t="shared" si="72"/>
        <v>1.7486851877998206</v>
      </c>
      <c r="DC30" s="26">
        <f t="shared" si="73"/>
        <v>2.6078632143961427</v>
      </c>
      <c r="DD30" s="26">
        <f t="shared" si="74"/>
        <v>2.2874328826635528</v>
      </c>
      <c r="DE30" s="26">
        <f t="shared" si="75"/>
        <v>5.9653120700984079</v>
      </c>
      <c r="DF30" s="1"/>
      <c r="DG30" s="22"/>
      <c r="DH30" s="14"/>
      <c r="DI30" s="14"/>
      <c r="DJ30" s="14"/>
      <c r="DK30" s="14"/>
      <c r="DL30" s="14"/>
      <c r="DM30" s="96"/>
      <c r="DN30" s="14"/>
      <c r="DO30" s="96"/>
      <c r="DP30" s="22"/>
      <c r="DQ30" s="14"/>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46">
        <f t="shared" ref="FQ30" si="118" xml:space="preserve">  -0.73306   +   1.025016   *  FS30     +N("316 NN Nd")</f>
        <v>-1.5555524081751104</v>
      </c>
      <c r="FR30" s="46">
        <f t="shared" ref="FR30" si="119" xml:space="preserve">  -0.33671   +   1.013871 *  FS30    +N("340 NN")</f>
        <v>-1.150259447392926</v>
      </c>
      <c r="FS30" s="46">
        <f t="shared" ref="FS30" si="120">-0.42496     +   1.017678*FT30                 + N("361 NN")</f>
        <v>-0.80241909216549834</v>
      </c>
      <c r="FT30" s="46">
        <f xml:space="preserve"> 0.68509  -3.34181 * BP30 + 0.03095*(100*CK30) +N("642 cpx Mg# Wo R2 0.59")</f>
        <v>-0.3709022816308285</v>
      </c>
      <c r="FU30" s="46">
        <f t="shared" ref="FU30" si="121" xml:space="preserve"> -0.06599 + 0.926002 * FT30  + N("409 NN")</f>
        <v>-0.40944625459471046</v>
      </c>
      <c r="FV30" s="46">
        <f t="shared" ref="FV30" si="122">0.1453     +   0.925549*FT30     +N("424 LnD Sm")</f>
        <v>-0.19798823586113165</v>
      </c>
      <c r="FW30" s="46">
        <f t="shared" ref="FW30" si="123" xml:space="preserve">  0.053547 + 0.932974 * FV30  +  N("445 NN")</f>
        <v>-0.13117087636430341</v>
      </c>
      <c r="FX30" s="46">
        <f t="shared" ref="FX30" si="124" xml:space="preserve">  0.027177  +  0.867603 * FV30 + N("464 NN Gd")</f>
        <v>-0.1445981873978254</v>
      </c>
      <c r="FY30" s="46">
        <f t="shared" ref="FY30" si="125" xml:space="preserve">  -0.06187  +  0.953618 * FX30   + N("505 NN Dy")</f>
        <v>-0.19976143426993948</v>
      </c>
      <c r="FZ30" s="46">
        <f t="shared" ref="FZ30" si="126" xml:space="preserve"> -0.05652 + 0.972005*FY30   +N("533 NN")</f>
        <v>-0.25068911291755253</v>
      </c>
      <c r="GA30" s="46">
        <f t="shared" ref="GA30" si="127" xml:space="preserve">     0.018586 + 0.960264 * FZ30    +N("549 LnD Er")</f>
        <v>-0.22214173032666068</v>
      </c>
      <c r="GB30" s="46">
        <f t="shared" ref="GB30" si="128" xml:space="preserve"> -0.02011 + 0.936315 * FZ30    +N("574 NN Er")</f>
        <v>-0.25483397676139818</v>
      </c>
      <c r="GC30" s="46">
        <f t="shared" ref="GC30" si="129" xml:space="preserve">   0.01732 + 1.006083 * GB30  +N("597 NN Yb")</f>
        <v>-0.23906413184203779</v>
      </c>
      <c r="GD30" s="46">
        <f>(-1.72947 +0 ) * (3.46258+0) * BQ30   - (1.87473 + 0) *BP30   + (0.03253+0) * (CK30*100)    +N("eqn625 aliv mg# wo")</f>
        <v>-0.6647153096206162</v>
      </c>
      <c r="GE30" s="46"/>
      <c r="GF30" s="46"/>
      <c r="GG30" s="46"/>
      <c r="GH30" s="46"/>
    </row>
    <row r="31" spans="1:190" x14ac:dyDescent="0.25">
      <c r="A31" s="5" t="s">
        <v>85</v>
      </c>
      <c r="B31" s="1">
        <v>1312</v>
      </c>
      <c r="C31" s="98" t="s">
        <v>98</v>
      </c>
      <c r="D31" s="98" t="s">
        <v>105</v>
      </c>
      <c r="E31" s="1">
        <v>319</v>
      </c>
      <c r="F31" s="22">
        <v>49.33</v>
      </c>
      <c r="G31" s="22">
        <v>1.1040000000000001</v>
      </c>
      <c r="H31" s="22">
        <v>3.31</v>
      </c>
      <c r="I31" s="22">
        <v>0</v>
      </c>
      <c r="J31" s="22">
        <v>10.3</v>
      </c>
      <c r="K31" s="22">
        <v>0.42599999999999999</v>
      </c>
      <c r="L31" s="22">
        <v>13.72</v>
      </c>
      <c r="M31" s="22">
        <v>19.48</v>
      </c>
      <c r="N31" s="22">
        <v>0.34200000000000003</v>
      </c>
      <c r="O31" s="22">
        <v>0</v>
      </c>
      <c r="P31" s="22">
        <v>0</v>
      </c>
      <c r="Q31" s="22"/>
      <c r="R31" s="22"/>
      <c r="S31" s="22">
        <f t="shared" si="0"/>
        <v>98.012</v>
      </c>
      <c r="T31" s="3"/>
      <c r="U31" s="22">
        <f t="shared" si="1"/>
        <v>8.5507507663249971</v>
      </c>
      <c r="V31" s="22">
        <f t="shared" si="2"/>
        <v>1.9439406733830329</v>
      </c>
      <c r="W31" s="22">
        <f t="shared" si="3"/>
        <v>98.206691439708038</v>
      </c>
      <c r="X31" s="1"/>
      <c r="Y31" s="1"/>
      <c r="Z31" s="1"/>
      <c r="AA31" s="1" t="s">
        <v>185</v>
      </c>
      <c r="AC31" s="1">
        <v>6</v>
      </c>
      <c r="AD31" s="1">
        <v>4</v>
      </c>
      <c r="AE31" s="1"/>
      <c r="AF31" s="26">
        <f t="shared" si="4"/>
        <v>1.8876220306254654</v>
      </c>
      <c r="AG31" s="26">
        <f t="shared" si="5"/>
        <v>3.1773485813144937E-2</v>
      </c>
      <c r="AH31" s="26">
        <f t="shared" si="6"/>
        <v>0.14926638278786147</v>
      </c>
      <c r="AI31" s="26">
        <f t="shared" si="7"/>
        <v>0</v>
      </c>
      <c r="AJ31" s="26">
        <f t="shared" si="8"/>
        <v>0.32956743973412783</v>
      </c>
      <c r="AK31" s="26">
        <f t="shared" si="9"/>
        <v>1.3805503833577612E-2</v>
      </c>
      <c r="AL31" s="26">
        <f t="shared" si="10"/>
        <v>0.78267761178536688</v>
      </c>
      <c r="AM31" s="26">
        <f t="shared" si="11"/>
        <v>0.79857331449973545</v>
      </c>
      <c r="AN31" s="26">
        <f t="shared" si="12"/>
        <v>2.5371046176357555E-2</v>
      </c>
      <c r="AO31" s="26">
        <f t="shared" si="13"/>
        <v>0</v>
      </c>
      <c r="AP31" s="26">
        <f t="shared" si="14"/>
        <v>0</v>
      </c>
      <c r="AQ31" s="26">
        <f t="shared" si="15"/>
        <v>0</v>
      </c>
      <c r="AR31" s="26">
        <f t="shared" si="16"/>
        <v>0</v>
      </c>
      <c r="AS31" s="26">
        <f t="shared" si="17"/>
        <v>4.0186568152556363</v>
      </c>
      <c r="AT31" s="26">
        <f t="shared" si="18"/>
        <v>2.0368884134133269</v>
      </c>
      <c r="AU31" s="26">
        <f t="shared" si="19"/>
        <v>0.823944360676093</v>
      </c>
      <c r="AV31" s="47"/>
      <c r="AW31" s="26">
        <f t="shared" si="20"/>
        <v>1.8788586509399547</v>
      </c>
      <c r="AX31" s="26">
        <f t="shared" si="21"/>
        <v>3.1625975816124759E-2</v>
      </c>
      <c r="AY31" s="26">
        <f t="shared" si="22"/>
        <v>0.1485734061402964</v>
      </c>
      <c r="AZ31" s="26">
        <f t="shared" si="23"/>
        <v>0</v>
      </c>
      <c r="BA31" s="26">
        <f t="shared" si="24"/>
        <v>0.27232680623893007</v>
      </c>
      <c r="BB31" s="26">
        <f t="shared" si="25"/>
        <v>5.5710600173105806E-2</v>
      </c>
      <c r="BC31" s="26">
        <f t="shared" si="26"/>
        <v>1.3741411091555879E-2</v>
      </c>
      <c r="BD31" s="26">
        <f t="shared" si="27"/>
        <v>0.77904399182748207</v>
      </c>
      <c r="BE31" s="26">
        <f t="shared" si="28"/>
        <v>0.79486589794698459</v>
      </c>
      <c r="BF31" s="26">
        <f t="shared" si="29"/>
        <v>2.5253259825565508E-2</v>
      </c>
      <c r="BG31" s="26">
        <f t="shared" si="30"/>
        <v>0</v>
      </c>
      <c r="BH31" s="26">
        <f t="shared" si="31"/>
        <v>0</v>
      </c>
      <c r="BI31" s="26">
        <f t="shared" si="32"/>
        <v>0</v>
      </c>
      <c r="BJ31" s="26">
        <f t="shared" si="33"/>
        <v>0</v>
      </c>
      <c r="BK31" s="25">
        <f t="shared" si="34"/>
        <v>4</v>
      </c>
      <c r="BL31" s="24">
        <f t="shared" si="35"/>
        <v>5.9999999999999982</v>
      </c>
      <c r="BM31" s="26">
        <f t="shared" si="36"/>
        <v>2.0274320570802513</v>
      </c>
      <c r="BN31" s="26">
        <f t="shared" si="37"/>
        <v>0.82011915777255007</v>
      </c>
      <c r="BO31" s="22"/>
      <c r="BP31" s="23">
        <f t="shared" si="38"/>
        <v>0.70369170059791331</v>
      </c>
      <c r="BQ31" s="26">
        <f t="shared" si="39"/>
        <v>0.12114134906004526</v>
      </c>
      <c r="BR31" s="26">
        <f t="shared" si="40"/>
        <v>2.7432057080251149E-2</v>
      </c>
      <c r="BS31" s="26"/>
      <c r="BT31" s="26">
        <f t="shared" si="41"/>
        <v>2.5371046176357555E-2</v>
      </c>
      <c r="BU31" s="26">
        <f t="shared" si="42"/>
        <v>2.1787972546856403E-3</v>
      </c>
      <c r="BV31" s="26">
        <f t="shared" si="43"/>
        <v>2.6342658452908327E-2</v>
      </c>
      <c r="BW31" s="26">
        <f t="shared" si="44"/>
        <v>0</v>
      </c>
      <c r="BX31" s="26">
        <f t="shared" si="45"/>
        <v>0.77005185879214155</v>
      </c>
      <c r="BY31" s="26">
        <f t="shared" si="46"/>
        <v>0.17109659636367652</v>
      </c>
      <c r="BZ31" s="26">
        <f t="shared" si="47"/>
        <v>0.99504095703976958</v>
      </c>
      <c r="CA31" s="22"/>
      <c r="CB31" s="22">
        <f t="shared" si="48"/>
        <v>2.5253259825565508E-2</v>
      </c>
      <c r="CC31" s="22">
        <f t="shared" si="49"/>
        <v>0</v>
      </c>
      <c r="CD31" s="22">
        <f t="shared" si="50"/>
        <v>3.0457340347540298E-2</v>
      </c>
      <c r="CE31" s="22">
        <f t="shared" si="51"/>
        <v>0</v>
      </c>
      <c r="CF31" s="22">
        <f t="shared" si="52"/>
        <v>2.7432057080251149E-2</v>
      </c>
      <c r="CG31" s="22">
        <f t="shared" si="53"/>
        <v>0.38111488017237932</v>
      </c>
      <c r="CH31" s="22">
        <f t="shared" si="54"/>
        <v>0.4585810592417498</v>
      </c>
      <c r="CI31" s="22">
        <f t="shared" si="55"/>
        <v>0.16030406058587079</v>
      </c>
      <c r="CJ31" s="22"/>
      <c r="CK31" s="22">
        <f t="shared" si="56"/>
        <v>0.41492435327678284</v>
      </c>
      <c r="CL31" s="22">
        <f t="shared" si="57"/>
        <v>0.40666523160456536</v>
      </c>
      <c r="CM31" s="22">
        <f t="shared" si="58"/>
        <v>0.17841041511865174</v>
      </c>
      <c r="CN31" s="1"/>
      <c r="CO31" s="26">
        <f t="shared" si="59"/>
        <v>0.8210719041278296</v>
      </c>
      <c r="CP31" s="26">
        <f t="shared" si="60"/>
        <v>1.3820731096644969E-2</v>
      </c>
      <c r="CQ31" s="26">
        <f t="shared" si="61"/>
        <v>6.4927422518634759E-2</v>
      </c>
      <c r="CR31" s="26">
        <f t="shared" si="62"/>
        <v>0</v>
      </c>
      <c r="CS31" s="26">
        <f t="shared" si="63"/>
        <v>0.1433542101600557</v>
      </c>
      <c r="CT31" s="26">
        <f t="shared" si="64"/>
        <v>6.0050747110233999E-3</v>
      </c>
      <c r="CU31" s="26">
        <f t="shared" si="65"/>
        <v>0.34044665012406949</v>
      </c>
      <c r="CV31" s="26">
        <f t="shared" si="66"/>
        <v>0.34736091298145511</v>
      </c>
      <c r="CW31" s="26">
        <f t="shared" si="67"/>
        <v>1.1035818005808327E-2</v>
      </c>
      <c r="CX31" s="26">
        <f t="shared" si="68"/>
        <v>0</v>
      </c>
      <c r="CY31" s="26">
        <f t="shared" si="69"/>
        <v>0</v>
      </c>
      <c r="CZ31" s="26">
        <f t="shared" si="70"/>
        <v>0</v>
      </c>
      <c r="DA31" s="26">
        <f t="shared" si="71"/>
        <v>0</v>
      </c>
      <c r="DB31" s="26">
        <f t="shared" si="72"/>
        <v>1.7480227237255213</v>
      </c>
      <c r="DC31" s="26">
        <f t="shared" si="73"/>
        <v>2.6098611612064091</v>
      </c>
      <c r="DD31" s="26">
        <f t="shared" si="74"/>
        <v>2.2882997719130849</v>
      </c>
      <c r="DE31" s="26">
        <f t="shared" si="75"/>
        <v>5.9721446999134447</v>
      </c>
      <c r="DF31" s="1"/>
      <c r="DG31" s="22">
        <v>16.091721475380925</v>
      </c>
      <c r="DH31" s="14">
        <v>2205.592304485298</v>
      </c>
      <c r="DI31" s="14">
        <v>85399.970105953209</v>
      </c>
      <c r="DJ31" s="14">
        <v>15557.088230362735</v>
      </c>
      <c r="DK31" s="14">
        <v>235620.82909532246</v>
      </c>
      <c r="DL31" s="14">
        <v>131546.54259525888</v>
      </c>
      <c r="DM31" s="96">
        <v>143.74640224123692</v>
      </c>
      <c r="DN31" s="14">
        <v>5827.2033606132627</v>
      </c>
      <c r="DO31" s="96">
        <v>144.07311174719425</v>
      </c>
      <c r="DP31" s="22">
        <v>0</v>
      </c>
      <c r="DQ31" s="14">
        <v>3490.4717048429329</v>
      </c>
      <c r="DR31" s="22">
        <v>26.050287231757792</v>
      </c>
      <c r="DS31" s="22">
        <v>0</v>
      </c>
      <c r="DT31" s="22">
        <v>0.53327807780184411</v>
      </c>
      <c r="DU31" s="22">
        <v>91.94204609601141</v>
      </c>
      <c r="DV31" s="22">
        <v>0</v>
      </c>
      <c r="DW31" s="22">
        <v>11.853083696452472</v>
      </c>
      <c r="DX31" s="22">
        <v>12.629294275133573</v>
      </c>
      <c r="DY31" s="22">
        <v>54.404520912847289</v>
      </c>
      <c r="DZ31" s="22">
        <v>50.591546041205781</v>
      </c>
      <c r="EA31" s="22">
        <v>0</v>
      </c>
      <c r="EB31" s="22">
        <v>0</v>
      </c>
      <c r="EC31" s="22">
        <v>0</v>
      </c>
      <c r="ED31" s="22">
        <v>2.1377155402358836</v>
      </c>
      <c r="EE31" s="22">
        <v>9.5952888998518429</v>
      </c>
      <c r="EF31" s="22">
        <v>2.0645707973625274</v>
      </c>
      <c r="EG31" s="22">
        <v>12.304927188707804</v>
      </c>
      <c r="EH31" s="22">
        <v>5.6525749992510024</v>
      </c>
      <c r="EI31" s="22">
        <v>1.3331424504891842</v>
      </c>
      <c r="EJ31" s="22">
        <v>8.2124013275048426</v>
      </c>
      <c r="EK31" s="22">
        <v>1.4706669022180945</v>
      </c>
      <c r="EL31" s="22">
        <v>10.452980312111627</v>
      </c>
      <c r="EM31" s="22">
        <v>2.1660251503940215</v>
      </c>
      <c r="EN31" s="22">
        <v>6.550277729941997</v>
      </c>
      <c r="EO31" s="22">
        <v>0.89812064324425822</v>
      </c>
      <c r="EP31" s="22">
        <v>5.8788528822328932</v>
      </c>
      <c r="EQ31" s="22">
        <v>0.78414221110852045</v>
      </c>
      <c r="ER31" s="22">
        <v>2.4943025008853934</v>
      </c>
      <c r="ES31" s="22">
        <v>0</v>
      </c>
      <c r="ET31" s="22">
        <v>8.6354984396551066E-2</v>
      </c>
      <c r="EU31" s="22">
        <v>7.8415773298692759E-2</v>
      </c>
      <c r="EV31" s="22">
        <v>2.5082508688624879E-2</v>
      </c>
      <c r="EW31" s="22">
        <f t="shared" ref="EW31:EW37" si="130">(EI31/0.05883)/SQRT((EH31/0.1536)*(EJ31/0.2069))</f>
        <v>0.59291892630814103</v>
      </c>
      <c r="EX31" s="22"/>
      <c r="EY31" s="22"/>
      <c r="EZ31" s="22"/>
      <c r="FA31" s="22"/>
      <c r="FB31" s="22"/>
      <c r="FC31" s="22"/>
      <c r="FD31" s="22"/>
      <c r="FE31" s="22"/>
      <c r="FF31" s="22"/>
      <c r="FG31" s="22"/>
      <c r="FH31" s="22"/>
      <c r="FI31" s="22">
        <f t="shared" ref="FI31:FI37" si="131">-0.50354-2.23025*BP31+ N("eqn 18 Mg# R2 0.28 best")</f>
        <v>-2.0729484152584958</v>
      </c>
      <c r="FJ31" s="22"/>
      <c r="FK31" s="22">
        <f t="shared" ref="FK31:FK37" si="132" xml:space="preserve"> -0.03692  +  0.931085 + FX31   + N("488 NN Dy")</f>
        <v>0.8941650000000001</v>
      </c>
      <c r="FL31" s="22">
        <f t="shared" ref="FL31:FL37" si="133">-0.48986  +   0    +   (1.071278 + 0) * GD31  +N("eqn 119 LnD Hf  (which has R2 of 0.51 for TS")</f>
        <v>-0.48986000000000002</v>
      </c>
      <c r="FM31" s="22"/>
      <c r="FN31" s="22"/>
      <c r="FO31" s="22">
        <f t="shared" ref="FO31:FO37" si="134">3.94011-11.9214*BP31</f>
        <v>-4.4488802395079636</v>
      </c>
      <c r="FP31" s="22">
        <f t="shared" ref="FP31:FP37" si="135" xml:space="preserve">  -0.49862 +   1.013256 * FQ31 + N("294 NN")</f>
        <v>-0.49862000000000001</v>
      </c>
      <c r="FQ31" s="46"/>
      <c r="FR31" s="46"/>
      <c r="FS31" s="46"/>
      <c r="FT31" s="46"/>
      <c r="FU31" s="46"/>
      <c r="FV31" s="46"/>
      <c r="FW31" s="46"/>
      <c r="FX31" s="46"/>
      <c r="FY31" s="46"/>
      <c r="FZ31" s="46"/>
      <c r="GA31" s="46"/>
      <c r="GB31" s="46"/>
      <c r="GC31" s="46"/>
      <c r="GD31" s="46"/>
      <c r="GE31" s="46"/>
      <c r="GF31" s="46"/>
      <c r="GG31" s="46"/>
      <c r="GH31" s="46"/>
    </row>
    <row r="32" spans="1:190" x14ac:dyDescent="0.25">
      <c r="A32" s="5" t="s">
        <v>85</v>
      </c>
      <c r="B32" s="1">
        <v>1335</v>
      </c>
      <c r="C32" s="98" t="s">
        <v>98</v>
      </c>
      <c r="D32" s="98" t="s">
        <v>105</v>
      </c>
      <c r="E32" s="1">
        <v>342</v>
      </c>
      <c r="F32" s="22">
        <v>50.1</v>
      </c>
      <c r="G32" s="22">
        <v>0.89200000000000002</v>
      </c>
      <c r="H32" s="22">
        <v>2.62</v>
      </c>
      <c r="I32" s="22">
        <v>0</v>
      </c>
      <c r="J32" s="22">
        <v>10.63</v>
      </c>
      <c r="K32" s="22">
        <v>0.52100000000000002</v>
      </c>
      <c r="L32" s="22">
        <v>14.05</v>
      </c>
      <c r="M32" s="22">
        <v>19.04</v>
      </c>
      <c r="N32" s="22">
        <v>0.311</v>
      </c>
      <c r="O32" s="22">
        <v>0</v>
      </c>
      <c r="P32" s="22">
        <v>0</v>
      </c>
      <c r="Q32" s="22"/>
      <c r="R32" s="22"/>
      <c r="S32" s="22">
        <f t="shared" si="0"/>
        <v>98.164000000000016</v>
      </c>
      <c r="T32" s="3"/>
      <c r="U32" s="22">
        <f t="shared" si="1"/>
        <v>9.3038176808176303</v>
      </c>
      <c r="V32" s="22">
        <f t="shared" si="2"/>
        <v>1.4737864113073686</v>
      </c>
      <c r="W32" s="22">
        <f t="shared" si="3"/>
        <v>98.311604092125009</v>
      </c>
      <c r="X32" s="1"/>
      <c r="Y32" s="1"/>
      <c r="Z32" s="1"/>
      <c r="AA32" s="1" t="s">
        <v>185</v>
      </c>
      <c r="AC32" s="1">
        <v>6</v>
      </c>
      <c r="AD32" s="1">
        <v>4</v>
      </c>
      <c r="AE32" s="1"/>
      <c r="AF32" s="26">
        <f t="shared" si="4"/>
        <v>1.9128374526026235</v>
      </c>
      <c r="AG32" s="26">
        <f t="shared" si="5"/>
        <v>2.5615159401754864E-2</v>
      </c>
      <c r="AH32" s="26">
        <f t="shared" si="6"/>
        <v>0.11788857682015252</v>
      </c>
      <c r="AI32" s="26">
        <f t="shared" si="7"/>
        <v>0</v>
      </c>
      <c r="AJ32" s="26">
        <f t="shared" si="8"/>
        <v>0.33937258516777069</v>
      </c>
      <c r="AK32" s="26">
        <f t="shared" si="9"/>
        <v>1.6846776093536776E-2</v>
      </c>
      <c r="AL32" s="26">
        <f t="shared" si="10"/>
        <v>0.79972660229948889</v>
      </c>
      <c r="AM32" s="26">
        <f t="shared" si="11"/>
        <v>0.77880584759903915</v>
      </c>
      <c r="AN32" s="26">
        <f t="shared" si="12"/>
        <v>2.3020199202360498E-2</v>
      </c>
      <c r="AO32" s="26">
        <f t="shared" si="13"/>
        <v>0</v>
      </c>
      <c r="AP32" s="26">
        <f t="shared" si="14"/>
        <v>0</v>
      </c>
      <c r="AQ32" s="26">
        <f t="shared" si="15"/>
        <v>0</v>
      </c>
      <c r="AR32" s="26">
        <f t="shared" si="16"/>
        <v>0</v>
      </c>
      <c r="AS32" s="26">
        <f t="shared" si="17"/>
        <v>4.0141131991867267</v>
      </c>
      <c r="AT32" s="26">
        <f t="shared" si="18"/>
        <v>2.0307260294227758</v>
      </c>
      <c r="AU32" s="26">
        <f t="shared" si="19"/>
        <v>0.80182604680139968</v>
      </c>
      <c r="AV32" s="47"/>
      <c r="AW32" s="26">
        <f t="shared" si="20"/>
        <v>1.9061121176056233</v>
      </c>
      <c r="AX32" s="26">
        <f t="shared" si="21"/>
        <v>2.5525099199439207E-2</v>
      </c>
      <c r="AY32" s="26">
        <f t="shared" si="22"/>
        <v>0.11747409300169928</v>
      </c>
      <c r="AZ32" s="26">
        <f t="shared" si="23"/>
        <v>0</v>
      </c>
      <c r="BA32" s="26">
        <f t="shared" si="24"/>
        <v>0.29598865091076243</v>
      </c>
      <c r="BB32" s="26">
        <f t="shared" si="25"/>
        <v>4.2190735994946937E-2</v>
      </c>
      <c r="BC32" s="26">
        <f t="shared" si="26"/>
        <v>1.6787544603326078E-2</v>
      </c>
      <c r="BD32" s="26">
        <f t="shared" si="27"/>
        <v>0.79691484780400945</v>
      </c>
      <c r="BE32" s="26">
        <f t="shared" si="28"/>
        <v>0.77606764827342489</v>
      </c>
      <c r="BF32" s="26">
        <f t="shared" si="29"/>
        <v>2.2939262606769012E-2</v>
      </c>
      <c r="BG32" s="26">
        <f t="shared" si="30"/>
        <v>0</v>
      </c>
      <c r="BH32" s="26">
        <f t="shared" si="31"/>
        <v>0</v>
      </c>
      <c r="BI32" s="26">
        <f t="shared" si="32"/>
        <v>0</v>
      </c>
      <c r="BJ32" s="26">
        <f t="shared" si="33"/>
        <v>0</v>
      </c>
      <c r="BK32" s="25">
        <f t="shared" si="34"/>
        <v>4</v>
      </c>
      <c r="BL32" s="24">
        <f t="shared" si="35"/>
        <v>6.0000000000000009</v>
      </c>
      <c r="BM32" s="26">
        <f t="shared" si="36"/>
        <v>2.0235862106073226</v>
      </c>
      <c r="BN32" s="26">
        <f t="shared" si="37"/>
        <v>0.79900691088019393</v>
      </c>
      <c r="BO32" s="22"/>
      <c r="BP32" s="23">
        <f t="shared" si="38"/>
        <v>0.70206932907892616</v>
      </c>
      <c r="BQ32" s="26">
        <f t="shared" si="39"/>
        <v>9.3887882394376732E-2</v>
      </c>
      <c r="BR32" s="26">
        <f t="shared" si="40"/>
        <v>2.358621060732255E-2</v>
      </c>
      <c r="BS32" s="26"/>
      <c r="BT32" s="26">
        <f t="shared" si="41"/>
        <v>2.3020199202360498E-2</v>
      </c>
      <c r="BU32" s="26">
        <f t="shared" si="42"/>
        <v>6.4694800055353774E-4</v>
      </c>
      <c r="BV32" s="26">
        <f t="shared" si="43"/>
        <v>2.3262736607045781E-2</v>
      </c>
      <c r="BW32" s="26">
        <f t="shared" si="44"/>
        <v>0</v>
      </c>
      <c r="BX32" s="26">
        <f t="shared" si="45"/>
        <v>0.7548961629914398</v>
      </c>
      <c r="BY32" s="26">
        <f t="shared" si="46"/>
        <v>0.19210151223790989</v>
      </c>
      <c r="BZ32" s="26">
        <f t="shared" si="47"/>
        <v>0.99392755903930952</v>
      </c>
      <c r="CA32" s="22"/>
      <c r="CB32" s="22">
        <f t="shared" si="48"/>
        <v>2.2939262606769012E-2</v>
      </c>
      <c r="CC32" s="22">
        <f t="shared" si="49"/>
        <v>0</v>
      </c>
      <c r="CD32" s="22">
        <f t="shared" si="50"/>
        <v>1.9251473388177925E-2</v>
      </c>
      <c r="CE32" s="22">
        <f t="shared" si="51"/>
        <v>0</v>
      </c>
      <c r="CF32" s="22">
        <f t="shared" si="52"/>
        <v>2.358621060732255E-2</v>
      </c>
      <c r="CG32" s="22">
        <f t="shared" si="53"/>
        <v>0.37808461344234673</v>
      </c>
      <c r="CH32" s="22">
        <f t="shared" si="54"/>
        <v>0.45348341020812316</v>
      </c>
      <c r="CI32" s="22">
        <f t="shared" si="55"/>
        <v>0.16843197634953003</v>
      </c>
      <c r="CJ32" s="22"/>
      <c r="CK32" s="22">
        <f t="shared" si="56"/>
        <v>0.40253527253821997</v>
      </c>
      <c r="CL32" s="22">
        <f t="shared" si="57"/>
        <v>0.41334841899957836</v>
      </c>
      <c r="CM32" s="22">
        <f t="shared" si="58"/>
        <v>0.18411630846220159</v>
      </c>
      <c r="CN32" s="1"/>
      <c r="CO32" s="26">
        <f t="shared" si="59"/>
        <v>0.83388814913448739</v>
      </c>
      <c r="CP32" s="26">
        <f t="shared" si="60"/>
        <v>1.1166750125187783E-2</v>
      </c>
      <c r="CQ32" s="26">
        <f t="shared" si="61"/>
        <v>5.139270302079247E-2</v>
      </c>
      <c r="CR32" s="26">
        <f t="shared" si="62"/>
        <v>0</v>
      </c>
      <c r="CS32" s="26">
        <f t="shared" si="63"/>
        <v>0.1479471120389701</v>
      </c>
      <c r="CT32" s="26">
        <f t="shared" si="64"/>
        <v>7.3442345644206377E-3</v>
      </c>
      <c r="CU32" s="26">
        <f t="shared" si="65"/>
        <v>0.34863523573200994</v>
      </c>
      <c r="CV32" s="26">
        <f t="shared" si="66"/>
        <v>0.33951497860199714</v>
      </c>
      <c r="CW32" s="26">
        <f t="shared" si="67"/>
        <v>1.0035495321071314E-2</v>
      </c>
      <c r="CX32" s="26">
        <f t="shared" si="68"/>
        <v>0</v>
      </c>
      <c r="CY32" s="26">
        <f t="shared" si="69"/>
        <v>0</v>
      </c>
      <c r="CZ32" s="26">
        <f t="shared" si="70"/>
        <v>0</v>
      </c>
      <c r="DA32" s="26">
        <f t="shared" si="71"/>
        <v>0</v>
      </c>
      <c r="DB32" s="26">
        <f t="shared" si="72"/>
        <v>1.7499246585389365</v>
      </c>
      <c r="DC32" s="26">
        <f t="shared" si="73"/>
        <v>2.6156581616484722</v>
      </c>
      <c r="DD32" s="26">
        <f t="shared" si="74"/>
        <v>2.2858126951246676</v>
      </c>
      <c r="DE32" s="26">
        <f t="shared" si="75"/>
        <v>5.9789046320025276</v>
      </c>
      <c r="DF32" s="1"/>
      <c r="DG32" s="22">
        <v>24.167957022777269</v>
      </c>
      <c r="DH32" s="14">
        <v>2084.2472992188382</v>
      </c>
      <c r="DI32" s="14">
        <v>88704.532194259576</v>
      </c>
      <c r="DJ32" s="14">
        <v>14353.950517040244</v>
      </c>
      <c r="DK32" s="14">
        <v>240645.7692195875</v>
      </c>
      <c r="DL32" s="14">
        <v>126222.53465227158</v>
      </c>
      <c r="DM32" s="96">
        <v>151.50049642586697</v>
      </c>
      <c r="DN32" s="14">
        <v>5338.7567123972813</v>
      </c>
      <c r="DO32" s="96">
        <v>129.9403207333188</v>
      </c>
      <c r="DP32" s="22">
        <v>0.66555955945853662</v>
      </c>
      <c r="DQ32" s="14">
        <v>3848.4934523094598</v>
      </c>
      <c r="DR32" s="22">
        <v>26.703303472662775</v>
      </c>
      <c r="DS32" s="22">
        <v>0</v>
      </c>
      <c r="DT32" s="22">
        <v>0.61770171707815957</v>
      </c>
      <c r="DU32" s="22">
        <v>114.57673232322109</v>
      </c>
      <c r="DV32" s="22">
        <v>0</v>
      </c>
      <c r="DW32" s="22">
        <v>12.113019760191131</v>
      </c>
      <c r="DX32" s="22">
        <v>13.4039782184527</v>
      </c>
      <c r="DY32" s="22">
        <v>60.584889996517767</v>
      </c>
      <c r="DZ32" s="22">
        <v>52.447825656112677</v>
      </c>
      <c r="EA32" s="22">
        <v>0.11919335518820329</v>
      </c>
      <c r="EB32" s="22">
        <v>0</v>
      </c>
      <c r="EC32" s="22">
        <v>0.33937812680820023</v>
      </c>
      <c r="ED32" s="22">
        <v>2.6110541335197142</v>
      </c>
      <c r="EE32" s="22">
        <v>12.515421002389527</v>
      </c>
      <c r="EF32" s="22">
        <v>2.4790677092073268</v>
      </c>
      <c r="EG32" s="22">
        <v>15.279580907113671</v>
      </c>
      <c r="EH32" s="22">
        <v>6.7098356730808035</v>
      </c>
      <c r="EI32" s="22">
        <v>1.5545628193479446</v>
      </c>
      <c r="EJ32" s="22">
        <v>9.6216346921213898</v>
      </c>
      <c r="EK32" s="22">
        <v>1.8278785648325497</v>
      </c>
      <c r="EL32" s="22">
        <v>11.971436945248845</v>
      </c>
      <c r="EM32" s="22">
        <v>2.4166394106823108</v>
      </c>
      <c r="EN32" s="22">
        <v>7.16968669895956</v>
      </c>
      <c r="EO32" s="22">
        <v>1.0425048080278603</v>
      </c>
      <c r="EP32" s="22">
        <v>6.2337879466469808</v>
      </c>
      <c r="EQ32" s="22">
        <v>0.85210785242090858</v>
      </c>
      <c r="ER32" s="22">
        <v>2.8294691511643646</v>
      </c>
      <c r="ES32" s="22">
        <v>3.6244741193312488E-2</v>
      </c>
      <c r="ET32" s="22">
        <v>0.36890203225572277</v>
      </c>
      <c r="EU32" s="22">
        <v>9.2383705175792544E-2</v>
      </c>
      <c r="EV32" s="22">
        <v>2.8575263849475334E-2</v>
      </c>
      <c r="EW32" s="22">
        <f t="shared" si="130"/>
        <v>0.5862797677886411</v>
      </c>
      <c r="EX32" s="22"/>
      <c r="EY32" s="22"/>
      <c r="EZ32" s="22"/>
      <c r="FA32" s="22"/>
      <c r="FB32" s="22"/>
      <c r="FC32" s="22"/>
      <c r="FD32" s="22"/>
      <c r="FE32" s="22"/>
      <c r="FF32" s="22"/>
      <c r="FG32" s="22"/>
      <c r="FH32" s="22"/>
      <c r="FI32" s="22">
        <f t="shared" si="131"/>
        <v>-2.0693301211782749</v>
      </c>
      <c r="FJ32" s="22"/>
      <c r="FK32" s="22">
        <f t="shared" si="132"/>
        <v>0.8941650000000001</v>
      </c>
      <c r="FL32" s="22">
        <f t="shared" si="133"/>
        <v>-0.48986000000000002</v>
      </c>
      <c r="FM32" s="22"/>
      <c r="FN32" s="22"/>
      <c r="FO32" s="22">
        <f t="shared" si="134"/>
        <v>-4.4295392996815108</v>
      </c>
      <c r="FP32" s="22">
        <f t="shared" si="135"/>
        <v>-0.49862000000000001</v>
      </c>
      <c r="FQ32" s="46"/>
      <c r="FR32" s="46"/>
      <c r="FS32" s="46"/>
      <c r="FT32" s="46"/>
      <c r="FU32" s="46"/>
      <c r="FV32" s="46"/>
      <c r="FW32" s="46"/>
      <c r="FX32" s="46"/>
      <c r="FY32" s="46"/>
      <c r="FZ32" s="46"/>
      <c r="GA32" s="46"/>
      <c r="GB32" s="46"/>
      <c r="GC32" s="46"/>
      <c r="GD32" s="46"/>
      <c r="GE32" s="46"/>
      <c r="GF32" s="46"/>
      <c r="GG32" s="46"/>
      <c r="GH32" s="46"/>
    </row>
    <row r="33" spans="1:190" x14ac:dyDescent="0.25">
      <c r="A33" s="5" t="s">
        <v>85</v>
      </c>
      <c r="B33" s="1">
        <v>1336</v>
      </c>
      <c r="C33" s="98" t="s">
        <v>98</v>
      </c>
      <c r="D33" s="98" t="s">
        <v>105</v>
      </c>
      <c r="E33" s="1">
        <v>343</v>
      </c>
      <c r="F33" s="22">
        <v>48.1</v>
      </c>
      <c r="G33" s="22">
        <v>0.96899999999999997</v>
      </c>
      <c r="H33" s="22">
        <v>3.25</v>
      </c>
      <c r="I33" s="22">
        <v>8.9999999999999993E-3</v>
      </c>
      <c r="J33" s="22">
        <v>10.16</v>
      </c>
      <c r="K33" s="22">
        <v>0.46700000000000003</v>
      </c>
      <c r="L33" s="22">
        <v>13.28</v>
      </c>
      <c r="M33" s="22">
        <v>18.95</v>
      </c>
      <c r="N33" s="22">
        <v>0.32100000000000001</v>
      </c>
      <c r="O33" s="22">
        <v>0</v>
      </c>
      <c r="P33" s="22">
        <v>0</v>
      </c>
      <c r="Q33" s="22"/>
      <c r="R33" s="22"/>
      <c r="S33" s="22">
        <f t="shared" si="0"/>
        <v>95.506</v>
      </c>
      <c r="T33" s="3"/>
      <c r="U33" s="22">
        <f t="shared" si="1"/>
        <v>8.4777140427058395</v>
      </c>
      <c r="V33" s="22">
        <f t="shared" si="2"/>
        <v>1.8695243843410012</v>
      </c>
      <c r="W33" s="22">
        <f t="shared" si="3"/>
        <v>95.69323842704685</v>
      </c>
      <c r="X33" s="1"/>
      <c r="Y33" s="1"/>
      <c r="Z33" s="1"/>
      <c r="AA33" s="1" t="s">
        <v>185</v>
      </c>
      <c r="AC33" s="1">
        <v>6</v>
      </c>
      <c r="AD33" s="1">
        <v>4</v>
      </c>
      <c r="AE33" s="1"/>
      <c r="AF33" s="26">
        <f t="shared" si="4"/>
        <v>1.8897881660713414</v>
      </c>
      <c r="AG33" s="26">
        <f t="shared" si="5"/>
        <v>2.8634110301112174E-2</v>
      </c>
      <c r="AH33" s="26">
        <f t="shared" si="6"/>
        <v>0.1504809424702403</v>
      </c>
      <c r="AI33" s="26">
        <f t="shared" si="7"/>
        <v>2.7954740352025443E-4</v>
      </c>
      <c r="AJ33" s="26">
        <f t="shared" si="8"/>
        <v>0.3337835337417473</v>
      </c>
      <c r="AK33" s="26">
        <f t="shared" si="9"/>
        <v>1.5539021555858866E-2</v>
      </c>
      <c r="AL33" s="26">
        <f t="shared" si="10"/>
        <v>0.777841305424121</v>
      </c>
      <c r="AM33" s="26">
        <f t="shared" si="11"/>
        <v>0.79762577950821623</v>
      </c>
      <c r="AN33" s="26">
        <f t="shared" si="12"/>
        <v>2.4450144429018241E-2</v>
      </c>
      <c r="AO33" s="26">
        <f t="shared" si="13"/>
        <v>0</v>
      </c>
      <c r="AP33" s="26">
        <f t="shared" si="14"/>
        <v>0</v>
      </c>
      <c r="AQ33" s="26">
        <f t="shared" si="15"/>
        <v>0</v>
      </c>
      <c r="AR33" s="26">
        <f t="shared" si="16"/>
        <v>0</v>
      </c>
      <c r="AS33" s="26">
        <f t="shared" si="17"/>
        <v>4.0184225509051759</v>
      </c>
      <c r="AT33" s="26">
        <f t="shared" si="18"/>
        <v>2.0402691085415818</v>
      </c>
      <c r="AU33" s="26">
        <f t="shared" si="19"/>
        <v>0.8220759239372345</v>
      </c>
      <c r="AV33" s="47"/>
      <c r="AW33" s="26">
        <f t="shared" si="20"/>
        <v>1.8811243886192648</v>
      </c>
      <c r="AX33" s="26">
        <f t="shared" si="21"/>
        <v>2.8502836561737046E-2</v>
      </c>
      <c r="AY33" s="26">
        <f t="shared" si="22"/>
        <v>0.14979105911730808</v>
      </c>
      <c r="AZ33" s="26">
        <f t="shared" si="23"/>
        <v>2.7826581199857594E-4</v>
      </c>
      <c r="BA33" s="26">
        <f t="shared" si="24"/>
        <v>0.27723901854321609</v>
      </c>
      <c r="BB33" s="26">
        <f t="shared" si="25"/>
        <v>5.5014276886415026E-2</v>
      </c>
      <c r="BC33" s="26">
        <f t="shared" si="26"/>
        <v>1.5467782552990701E-2</v>
      </c>
      <c r="BD33" s="26">
        <f t="shared" si="27"/>
        <v>0.77427527401159668</v>
      </c>
      <c r="BE33" s="26">
        <f t="shared" si="28"/>
        <v>0.79396904571774896</v>
      </c>
      <c r="BF33" s="26">
        <f t="shared" si="29"/>
        <v>2.4338052177724005E-2</v>
      </c>
      <c r="BG33" s="26">
        <f t="shared" si="30"/>
        <v>0</v>
      </c>
      <c r="BH33" s="26">
        <f t="shared" si="31"/>
        <v>0</v>
      </c>
      <c r="BI33" s="26">
        <f t="shared" si="32"/>
        <v>0</v>
      </c>
      <c r="BJ33" s="26">
        <f t="shared" si="33"/>
        <v>0</v>
      </c>
      <c r="BK33" s="25">
        <f t="shared" si="34"/>
        <v>3.9999999999999996</v>
      </c>
      <c r="BL33" s="24">
        <f t="shared" si="35"/>
        <v>6</v>
      </c>
      <c r="BM33" s="26">
        <f t="shared" si="36"/>
        <v>2.030915447736573</v>
      </c>
      <c r="BN33" s="26">
        <f t="shared" si="37"/>
        <v>0.81830709789547296</v>
      </c>
      <c r="BO33" s="22"/>
      <c r="BP33" s="23">
        <f t="shared" si="38"/>
        <v>0.69973364935583038</v>
      </c>
      <c r="BQ33" s="26">
        <f t="shared" si="39"/>
        <v>0.11887561138073521</v>
      </c>
      <c r="BR33" s="26">
        <f t="shared" si="40"/>
        <v>3.0915447736572871E-2</v>
      </c>
      <c r="BS33" s="26"/>
      <c r="BT33" s="26">
        <f t="shared" si="41"/>
        <v>2.4450144429018241E-2</v>
      </c>
      <c r="BU33" s="26">
        <f t="shared" si="42"/>
        <v>6.5773955588488663E-3</v>
      </c>
      <c r="BV33" s="26">
        <f t="shared" si="43"/>
        <v>2.7626749957148436E-2</v>
      </c>
      <c r="BW33" s="26">
        <f t="shared" si="44"/>
        <v>1.3977370176012721E-4</v>
      </c>
      <c r="BX33" s="26">
        <f t="shared" si="45"/>
        <v>0.76328186029045886</v>
      </c>
      <c r="BY33" s="26">
        <f t="shared" si="46"/>
        <v>0.17417148943770472</v>
      </c>
      <c r="BZ33" s="26">
        <f t="shared" si="47"/>
        <v>0.99624741337493927</v>
      </c>
      <c r="CA33" s="22"/>
      <c r="CB33" s="22">
        <f t="shared" si="48"/>
        <v>2.4338052177724005E-2</v>
      </c>
      <c r="CC33" s="22">
        <f t="shared" si="49"/>
        <v>0</v>
      </c>
      <c r="CD33" s="22">
        <f t="shared" si="50"/>
        <v>3.0676224708691021E-2</v>
      </c>
      <c r="CE33" s="22">
        <f t="shared" si="51"/>
        <v>2.7826581199857594E-4</v>
      </c>
      <c r="CF33" s="22">
        <f t="shared" si="52"/>
        <v>3.0915447736572871E-2</v>
      </c>
      <c r="CG33" s="22">
        <f t="shared" si="53"/>
        <v>0.37821857981910523</v>
      </c>
      <c r="CH33" s="22">
        <f t="shared" si="54"/>
        <v>0.45784444671329688</v>
      </c>
      <c r="CI33" s="22">
        <f t="shared" si="55"/>
        <v>0.16393697346759786</v>
      </c>
      <c r="CJ33" s="22"/>
      <c r="CK33" s="22">
        <f t="shared" si="56"/>
        <v>0.41439633861128244</v>
      </c>
      <c r="CL33" s="22">
        <f t="shared" si="57"/>
        <v>0.40411756649479724</v>
      </c>
      <c r="CM33" s="22">
        <f t="shared" si="58"/>
        <v>0.18148609489392026</v>
      </c>
      <c r="CN33" s="1"/>
      <c r="CO33" s="26">
        <f t="shared" si="59"/>
        <v>0.8005992010652464</v>
      </c>
      <c r="CP33" s="26">
        <f t="shared" si="60"/>
        <v>1.21306960440661E-2</v>
      </c>
      <c r="CQ33" s="26">
        <f t="shared" si="61"/>
        <v>6.3750490388387607E-2</v>
      </c>
      <c r="CR33" s="26">
        <f t="shared" si="62"/>
        <v>1.1842884400289492E-4</v>
      </c>
      <c r="CS33" s="26">
        <f t="shared" si="63"/>
        <v>0.14140570633263747</v>
      </c>
      <c r="CT33" s="26">
        <f t="shared" si="64"/>
        <v>6.583027910910629E-3</v>
      </c>
      <c r="CU33" s="26">
        <f t="shared" si="65"/>
        <v>0.32952853598014892</v>
      </c>
      <c r="CV33" s="26">
        <f t="shared" si="66"/>
        <v>0.33791012838801709</v>
      </c>
      <c r="CW33" s="26">
        <f t="shared" si="67"/>
        <v>1.0358180058083253E-2</v>
      </c>
      <c r="CX33" s="26">
        <f t="shared" si="68"/>
        <v>0</v>
      </c>
      <c r="CY33" s="26">
        <f t="shared" si="69"/>
        <v>0</v>
      </c>
      <c r="CZ33" s="26">
        <f t="shared" si="70"/>
        <v>0</v>
      </c>
      <c r="DA33" s="26">
        <f t="shared" si="71"/>
        <v>0</v>
      </c>
      <c r="DB33" s="26">
        <f t="shared" si="72"/>
        <v>1.7023843950115005</v>
      </c>
      <c r="DC33" s="26">
        <f t="shared" si="73"/>
        <v>2.5418696617079664</v>
      </c>
      <c r="DD33" s="26">
        <f t="shared" si="74"/>
        <v>2.3496455980924202</v>
      </c>
      <c r="DE33" s="26">
        <f t="shared" si="75"/>
        <v>5.9724928615567929</v>
      </c>
      <c r="DF33" s="1"/>
      <c r="DG33" s="22">
        <v>37.400642406382204</v>
      </c>
      <c r="DH33" s="14">
        <v>2227.13342902869</v>
      </c>
      <c r="DI33" s="14">
        <v>80171.716745947095</v>
      </c>
      <c r="DJ33" s="14">
        <v>17269.079882669845</v>
      </c>
      <c r="DK33" s="14">
        <v>226245.46893723132</v>
      </c>
      <c r="DL33" s="14">
        <v>133301.66727378123</v>
      </c>
      <c r="DM33" s="96">
        <v>149.76508506772274</v>
      </c>
      <c r="DN33" s="14">
        <v>6091.870364197559</v>
      </c>
      <c r="DO33" s="96">
        <v>153.84139870074395</v>
      </c>
      <c r="DP33" s="22">
        <v>0.73043048510768105</v>
      </c>
      <c r="DQ33" s="14">
        <v>3026.5814297125298</v>
      </c>
      <c r="DR33" s="22">
        <v>22.842526881612333</v>
      </c>
      <c r="DS33" s="22">
        <v>0</v>
      </c>
      <c r="DT33" s="22">
        <v>0.47834171181203133</v>
      </c>
      <c r="DU33" s="22">
        <v>78.971699701270524</v>
      </c>
      <c r="DV33" s="22">
        <v>0</v>
      </c>
      <c r="DW33" s="22">
        <v>14.884759011880362</v>
      </c>
      <c r="DX33" s="22">
        <v>13.957745631325638</v>
      </c>
      <c r="DY33" s="22">
        <v>55.138932661852913</v>
      </c>
      <c r="DZ33" s="22">
        <v>55.90605628914529</v>
      </c>
      <c r="EA33" s="22">
        <v>0</v>
      </c>
      <c r="EB33" s="22">
        <v>0</v>
      </c>
      <c r="EC33" s="22">
        <v>0.5449020338501549</v>
      </c>
      <c r="ED33" s="22">
        <v>2.8202119828188894</v>
      </c>
      <c r="EE33" s="22">
        <v>11.907522098874438</v>
      </c>
      <c r="EF33" s="22">
        <v>2.3234975492610555</v>
      </c>
      <c r="EG33" s="22">
        <v>15.347068249758495</v>
      </c>
      <c r="EH33" s="22">
        <v>6.1769277426806601</v>
      </c>
      <c r="EI33" s="22">
        <v>1.7386413022968576</v>
      </c>
      <c r="EJ33" s="22">
        <v>9.9935662965360255</v>
      </c>
      <c r="EK33" s="22">
        <v>1.5671148924084803</v>
      </c>
      <c r="EL33" s="22">
        <v>11.00919485060718</v>
      </c>
      <c r="EM33" s="22">
        <v>2.1117663155954189</v>
      </c>
      <c r="EN33" s="22">
        <v>6.5779465935254322</v>
      </c>
      <c r="EO33" s="22">
        <v>0.86350237921685968</v>
      </c>
      <c r="EP33" s="22">
        <v>5.1994931928773243</v>
      </c>
      <c r="EQ33" s="22">
        <v>0.75796169834836258</v>
      </c>
      <c r="ER33" s="22">
        <v>2.8714960486820984</v>
      </c>
      <c r="ES33" s="22">
        <v>0</v>
      </c>
      <c r="ET33" s="22">
        <v>0.62364093576150059</v>
      </c>
      <c r="EU33" s="22">
        <v>0.19974928434970493</v>
      </c>
      <c r="EV33" s="22">
        <v>3.4238026293612001E-2</v>
      </c>
      <c r="EW33" s="22">
        <f t="shared" si="130"/>
        <v>0.67056439143702773</v>
      </c>
      <c r="EX33" s="22"/>
      <c r="EY33" s="22"/>
      <c r="EZ33" s="22"/>
      <c r="FA33" s="22"/>
      <c r="FB33" s="22"/>
      <c r="FC33" s="22"/>
      <c r="FD33" s="22"/>
      <c r="FE33" s="22"/>
      <c r="FF33" s="22"/>
      <c r="FG33" s="22"/>
      <c r="FH33" s="22"/>
      <c r="FI33" s="22">
        <f t="shared" si="131"/>
        <v>-2.0641209714758406</v>
      </c>
      <c r="FJ33" s="22"/>
      <c r="FK33" s="22">
        <f t="shared" si="132"/>
        <v>0.8941650000000001</v>
      </c>
      <c r="FL33" s="22">
        <f t="shared" si="133"/>
        <v>-0.48986000000000002</v>
      </c>
      <c r="FM33" s="22"/>
      <c r="FN33" s="22"/>
      <c r="FO33" s="22">
        <f t="shared" si="134"/>
        <v>-4.4016947274305975</v>
      </c>
      <c r="FP33" s="22">
        <f t="shared" si="135"/>
        <v>-0.49862000000000001</v>
      </c>
      <c r="FQ33" s="46"/>
      <c r="FR33" s="46"/>
      <c r="FS33" s="46"/>
      <c r="FT33" s="46"/>
      <c r="FU33" s="46"/>
      <c r="FV33" s="46"/>
      <c r="FW33" s="46"/>
      <c r="FX33" s="46"/>
      <c r="FY33" s="46"/>
      <c r="FZ33" s="46"/>
      <c r="GA33" s="46"/>
      <c r="GB33" s="46"/>
      <c r="GC33" s="46"/>
      <c r="GD33" s="46"/>
      <c r="GE33" s="46"/>
      <c r="GF33" s="46"/>
      <c r="GG33" s="46"/>
      <c r="GH33" s="46"/>
    </row>
    <row r="34" spans="1:190" x14ac:dyDescent="0.25">
      <c r="A34" s="5" t="s">
        <v>85</v>
      </c>
      <c r="B34" s="1">
        <v>1338</v>
      </c>
      <c r="C34" s="98" t="s">
        <v>98</v>
      </c>
      <c r="D34" s="98" t="s">
        <v>105</v>
      </c>
      <c r="E34" s="1">
        <v>345</v>
      </c>
      <c r="F34" s="22">
        <v>49.1</v>
      </c>
      <c r="G34" s="22">
        <v>1.1319999999999999</v>
      </c>
      <c r="H34" s="22">
        <v>3.19</v>
      </c>
      <c r="I34" s="22">
        <v>0</v>
      </c>
      <c r="J34" s="22">
        <v>10.48</v>
      </c>
      <c r="K34" s="22">
        <v>0.437</v>
      </c>
      <c r="L34" s="22">
        <v>13.89</v>
      </c>
      <c r="M34" s="22">
        <v>19.059999999999999</v>
      </c>
      <c r="N34" s="22">
        <v>0.35599999999999998</v>
      </c>
      <c r="O34" s="22">
        <v>0</v>
      </c>
      <c r="P34" s="22">
        <v>0</v>
      </c>
      <c r="Q34" s="22"/>
      <c r="R34" s="22"/>
      <c r="S34" s="22">
        <f t="shared" si="0"/>
        <v>97.644999999999996</v>
      </c>
      <c r="T34" s="3"/>
      <c r="U34" s="22">
        <f t="shared" si="1"/>
        <v>8.4598359147540574</v>
      </c>
      <c r="V34" s="22">
        <f t="shared" si="2"/>
        <v>2.2450083479338168</v>
      </c>
      <c r="W34" s="22">
        <f t="shared" si="3"/>
        <v>97.869844262687863</v>
      </c>
      <c r="X34" s="1">
        <v>1</v>
      </c>
      <c r="Y34" s="1"/>
      <c r="Z34" s="1"/>
      <c r="AA34" s="1" t="s">
        <v>185</v>
      </c>
      <c r="AC34" s="1">
        <v>6</v>
      </c>
      <c r="AD34" s="1">
        <v>4</v>
      </c>
      <c r="AE34" s="1"/>
      <c r="AF34" s="26">
        <f t="shared" si="4"/>
        <v>1.8866797153274788</v>
      </c>
      <c r="AG34" s="26">
        <f t="shared" si="5"/>
        <v>3.2715607010327719E-2</v>
      </c>
      <c r="AH34" s="26">
        <f t="shared" si="6"/>
        <v>0.14445662496815215</v>
      </c>
      <c r="AI34" s="26">
        <f t="shared" si="7"/>
        <v>0</v>
      </c>
      <c r="AJ34" s="26">
        <f t="shared" si="8"/>
        <v>0.33672946644932356</v>
      </c>
      <c r="AK34" s="26">
        <f t="shared" si="9"/>
        <v>1.4221220324663894E-2</v>
      </c>
      <c r="AL34" s="26">
        <f t="shared" si="10"/>
        <v>0.7956898380545061</v>
      </c>
      <c r="AM34" s="26">
        <f t="shared" si="11"/>
        <v>0.784623846817042</v>
      </c>
      <c r="AN34" s="26">
        <f t="shared" si="12"/>
        <v>2.6520092453243559E-2</v>
      </c>
      <c r="AO34" s="26">
        <f t="shared" si="13"/>
        <v>0</v>
      </c>
      <c r="AP34" s="26">
        <f t="shared" si="14"/>
        <v>0</v>
      </c>
      <c r="AQ34" s="26">
        <f t="shared" si="15"/>
        <v>0</v>
      </c>
      <c r="AR34" s="26">
        <f t="shared" si="16"/>
        <v>0</v>
      </c>
      <c r="AS34" s="26">
        <f t="shared" si="17"/>
        <v>4.0216364114047378</v>
      </c>
      <c r="AT34" s="26">
        <f t="shared" si="18"/>
        <v>2.0311363402956308</v>
      </c>
      <c r="AU34" s="26">
        <f t="shared" si="19"/>
        <v>0.81114393927028561</v>
      </c>
      <c r="AV34" s="47"/>
      <c r="AW34" s="26">
        <f t="shared" si="20"/>
        <v>1.8765293749351857</v>
      </c>
      <c r="AX34" s="26">
        <f t="shared" si="21"/>
        <v>3.2539596983507835E-2</v>
      </c>
      <c r="AY34" s="26">
        <f t="shared" si="22"/>
        <v>0.14367944805601576</v>
      </c>
      <c r="AZ34" s="26">
        <f t="shared" si="23"/>
        <v>0</v>
      </c>
      <c r="BA34" s="26">
        <f t="shared" si="24"/>
        <v>0.27035783887799553</v>
      </c>
      <c r="BB34" s="26">
        <f t="shared" si="25"/>
        <v>6.4560022412906815E-2</v>
      </c>
      <c r="BC34" s="26">
        <f t="shared" si="26"/>
        <v>1.4144710132755629E-2</v>
      </c>
      <c r="BD34" s="26">
        <f t="shared" si="27"/>
        <v>0.79140902523962942</v>
      </c>
      <c r="BE34" s="26">
        <f t="shared" si="28"/>
        <v>0.78040256905569128</v>
      </c>
      <c r="BF34" s="26">
        <f t="shared" si="29"/>
        <v>2.6377414306312411E-2</v>
      </c>
      <c r="BG34" s="26">
        <f t="shared" si="30"/>
        <v>0</v>
      </c>
      <c r="BH34" s="26">
        <f t="shared" si="31"/>
        <v>0</v>
      </c>
      <c r="BI34" s="26">
        <f t="shared" si="32"/>
        <v>0</v>
      </c>
      <c r="BJ34" s="26">
        <f t="shared" si="33"/>
        <v>0</v>
      </c>
      <c r="BK34" s="25">
        <f t="shared" si="34"/>
        <v>4</v>
      </c>
      <c r="BL34" s="24">
        <f t="shared" si="35"/>
        <v>5.9999999999999982</v>
      </c>
      <c r="BM34" s="26">
        <f t="shared" si="36"/>
        <v>2.0202088229912016</v>
      </c>
      <c r="BN34" s="26">
        <f t="shared" si="37"/>
        <v>0.80677998336200374</v>
      </c>
      <c r="BO34" s="22"/>
      <c r="BP34" s="23">
        <f t="shared" si="38"/>
        <v>0.70264595003803654</v>
      </c>
      <c r="BQ34" s="26">
        <f t="shared" si="39"/>
        <v>0.12347062506481432</v>
      </c>
      <c r="BR34" s="26">
        <f t="shared" si="40"/>
        <v>2.0208822991201442E-2</v>
      </c>
      <c r="BS34" s="26"/>
      <c r="BT34" s="26">
        <f t="shared" si="41"/>
        <v>2.0208822991201442E-2</v>
      </c>
      <c r="BU34" s="26">
        <f t="shared" si="42"/>
        <v>0</v>
      </c>
      <c r="BV34" s="26">
        <f t="shared" si="43"/>
        <v>2.0208822991201442E-2</v>
      </c>
      <c r="BW34" s="26">
        <f t="shared" si="44"/>
        <v>0</v>
      </c>
      <c r="BX34" s="26">
        <f t="shared" si="45"/>
        <v>0.76441502382584059</v>
      </c>
      <c r="BY34" s="26">
        <f t="shared" si="46"/>
        <v>0.18400214033899459</v>
      </c>
      <c r="BZ34" s="26">
        <f t="shared" si="47"/>
        <v>0.98883481014723817</v>
      </c>
      <c r="CA34" s="22"/>
      <c r="CB34" s="22">
        <f t="shared" si="48"/>
        <v>2.6377414306312411E-2</v>
      </c>
      <c r="CC34" s="22">
        <f t="shared" si="49"/>
        <v>0</v>
      </c>
      <c r="CD34" s="22">
        <f t="shared" si="50"/>
        <v>3.8182608106594407E-2</v>
      </c>
      <c r="CE34" s="22">
        <f t="shared" si="51"/>
        <v>0</v>
      </c>
      <c r="CF34" s="22">
        <f t="shared" si="52"/>
        <v>2.0208822991201442E-2</v>
      </c>
      <c r="CG34" s="22">
        <f t="shared" si="53"/>
        <v>0.37419427613210393</v>
      </c>
      <c r="CH34" s="22">
        <f t="shared" si="54"/>
        <v>0.46645672854677195</v>
      </c>
      <c r="CI34" s="22">
        <f t="shared" si="55"/>
        <v>0.15934899532112407</v>
      </c>
      <c r="CJ34" s="22"/>
      <c r="CK34" s="22">
        <f t="shared" si="56"/>
        <v>0.40627469668924848</v>
      </c>
      <c r="CL34" s="22">
        <f t="shared" si="57"/>
        <v>0.41200461714961262</v>
      </c>
      <c r="CM34" s="22">
        <f t="shared" si="58"/>
        <v>0.18172068616113887</v>
      </c>
      <c r="CN34" s="1"/>
      <c r="CO34" s="26">
        <f t="shared" si="59"/>
        <v>0.81724367509986684</v>
      </c>
      <c r="CP34" s="26">
        <f t="shared" si="60"/>
        <v>1.4171256885327992E-2</v>
      </c>
      <c r="CQ34" s="26">
        <f t="shared" si="61"/>
        <v>6.2573558258140455E-2</v>
      </c>
      <c r="CR34" s="26">
        <f t="shared" si="62"/>
        <v>0</v>
      </c>
      <c r="CS34" s="26">
        <f t="shared" si="63"/>
        <v>0.14585942936673627</v>
      </c>
      <c r="CT34" s="26">
        <f t="shared" si="64"/>
        <v>6.1601353256272905E-3</v>
      </c>
      <c r="CU34" s="26">
        <f t="shared" si="65"/>
        <v>0.34466501240694791</v>
      </c>
      <c r="CV34" s="26">
        <f t="shared" si="66"/>
        <v>0.33987161198288157</v>
      </c>
      <c r="CW34" s="26">
        <f t="shared" si="67"/>
        <v>1.1487576637625041E-2</v>
      </c>
      <c r="CX34" s="26">
        <f t="shared" si="68"/>
        <v>0</v>
      </c>
      <c r="CY34" s="26">
        <f t="shared" si="69"/>
        <v>0</v>
      </c>
      <c r="CZ34" s="26">
        <f t="shared" si="70"/>
        <v>0</v>
      </c>
      <c r="DA34" s="26">
        <f t="shared" si="71"/>
        <v>0</v>
      </c>
      <c r="DB34" s="26">
        <f t="shared" si="72"/>
        <v>1.7420322559631534</v>
      </c>
      <c r="DC34" s="26">
        <f t="shared" si="73"/>
        <v>2.5989901787586063</v>
      </c>
      <c r="DD34" s="26">
        <f t="shared" si="74"/>
        <v>2.2961687341365775</v>
      </c>
      <c r="DE34" s="26">
        <f t="shared" si="75"/>
        <v>5.9677199887935464</v>
      </c>
      <c r="DF34" s="1"/>
      <c r="DG34" s="22">
        <v>26.881633611611839</v>
      </c>
      <c r="DH34" s="14">
        <v>2203.4342592949506</v>
      </c>
      <c r="DI34" s="14">
        <v>86140.484535855969</v>
      </c>
      <c r="DJ34" s="14">
        <v>17215.926788263976</v>
      </c>
      <c r="DK34" s="14">
        <v>233572.32646860191</v>
      </c>
      <c r="DL34" s="14">
        <v>131819.66782330375</v>
      </c>
      <c r="DM34" s="96">
        <v>151.88196432364808</v>
      </c>
      <c r="DN34" s="14">
        <v>6350.265248053759</v>
      </c>
      <c r="DO34" s="96">
        <v>162.05592136072704</v>
      </c>
      <c r="DP34" s="22">
        <v>0.92186249610493798</v>
      </c>
      <c r="DQ34" s="14">
        <v>3610.001562951375</v>
      </c>
      <c r="DR34" s="22">
        <v>25.942479258912055</v>
      </c>
      <c r="DS34" s="22">
        <v>0</v>
      </c>
      <c r="DT34" s="22">
        <v>1.7411499263753554</v>
      </c>
      <c r="DU34" s="22">
        <v>86.22086240575635</v>
      </c>
      <c r="DV34" s="22">
        <v>0</v>
      </c>
      <c r="DW34" s="22">
        <v>11.577594209737237</v>
      </c>
      <c r="DX34" s="22">
        <v>11.820943868302329</v>
      </c>
      <c r="DY34" s="22">
        <v>56.271680027506306</v>
      </c>
      <c r="DZ34" s="22">
        <v>52.659256922949041</v>
      </c>
      <c r="EA34" s="22">
        <v>0.18069132396382045</v>
      </c>
      <c r="EB34" s="22">
        <v>4.508623987094891E-2</v>
      </c>
      <c r="EC34" s="22">
        <v>0.34386955877724557</v>
      </c>
      <c r="ED34" s="22">
        <v>2.0618240099385439</v>
      </c>
      <c r="EE34" s="22">
        <v>9.4758421867406177</v>
      </c>
      <c r="EF34" s="22">
        <v>2.1227669357154331</v>
      </c>
      <c r="EG34" s="22">
        <v>12.146460081864079</v>
      </c>
      <c r="EH34" s="22">
        <v>5.8368893329114746</v>
      </c>
      <c r="EI34" s="22">
        <v>1.5335950290843641</v>
      </c>
      <c r="EJ34" s="22">
        <v>9.2397681477612839</v>
      </c>
      <c r="EK34" s="22">
        <v>1.4484519759281398</v>
      </c>
      <c r="EL34" s="22">
        <v>10.914118433433263</v>
      </c>
      <c r="EM34" s="22">
        <v>2.2596576536178281</v>
      </c>
      <c r="EN34" s="22">
        <v>6.7342721203982325</v>
      </c>
      <c r="EO34" s="22">
        <v>0.97361503161275031</v>
      </c>
      <c r="EP34" s="22">
        <v>6.2194796412078004</v>
      </c>
      <c r="EQ34" s="22">
        <v>0.75884984656624133</v>
      </c>
      <c r="ER34" s="22">
        <v>2.6510372519238787</v>
      </c>
      <c r="ES34" s="22">
        <v>0</v>
      </c>
      <c r="ET34" s="22">
        <v>0.98322440352570473</v>
      </c>
      <c r="EU34" s="22">
        <v>0.12470729608001156</v>
      </c>
      <c r="EV34" s="22">
        <v>2.1228843826824138E-2</v>
      </c>
      <c r="EW34" s="22">
        <f t="shared" si="130"/>
        <v>0.63279994178828836</v>
      </c>
      <c r="EX34" s="22"/>
      <c r="EY34" s="22"/>
      <c r="EZ34" s="22"/>
      <c r="FA34" s="22"/>
      <c r="FB34" s="22"/>
      <c r="FC34" s="22"/>
      <c r="FD34" s="22"/>
      <c r="FE34" s="22"/>
      <c r="FF34" s="22"/>
      <c r="FG34" s="22"/>
      <c r="FH34" s="22"/>
      <c r="FI34" s="22">
        <f t="shared" si="131"/>
        <v>-2.0706161300723309</v>
      </c>
      <c r="FJ34" s="22"/>
      <c r="FK34" s="22">
        <f t="shared" si="132"/>
        <v>0.8941650000000001</v>
      </c>
      <c r="FL34" s="22">
        <f t="shared" si="133"/>
        <v>-0.48986000000000002</v>
      </c>
      <c r="FM34" s="22"/>
      <c r="FN34" s="22"/>
      <c r="FO34" s="22">
        <f t="shared" si="134"/>
        <v>-4.4364134287834487</v>
      </c>
      <c r="FP34" s="22">
        <f t="shared" si="135"/>
        <v>-0.49862000000000001</v>
      </c>
      <c r="FQ34" s="46"/>
      <c r="FR34" s="46"/>
      <c r="FS34" s="46"/>
      <c r="FT34" s="46"/>
      <c r="FU34" s="46"/>
      <c r="FV34" s="46"/>
      <c r="FW34" s="46"/>
      <c r="FX34" s="46"/>
      <c r="FY34" s="46"/>
      <c r="FZ34" s="46"/>
      <c r="GA34" s="46"/>
      <c r="GB34" s="46"/>
      <c r="GC34" s="46"/>
      <c r="GD34" s="46"/>
      <c r="GE34" s="46"/>
      <c r="GF34" s="46"/>
      <c r="GG34" s="46"/>
      <c r="GH34" s="46"/>
    </row>
    <row r="35" spans="1:190" x14ac:dyDescent="0.25">
      <c r="A35" s="5" t="s">
        <v>85</v>
      </c>
      <c r="B35" s="1">
        <v>1339</v>
      </c>
      <c r="C35" s="98" t="s">
        <v>98</v>
      </c>
      <c r="D35" s="98" t="s">
        <v>105</v>
      </c>
      <c r="E35" s="1">
        <v>346</v>
      </c>
      <c r="F35" s="22">
        <v>49</v>
      </c>
      <c r="G35" s="22">
        <v>1.07</v>
      </c>
      <c r="H35" s="22">
        <v>3.17</v>
      </c>
      <c r="I35" s="22">
        <v>0</v>
      </c>
      <c r="J35" s="22">
        <v>9.75</v>
      </c>
      <c r="K35" s="22">
        <v>0.39600000000000002</v>
      </c>
      <c r="L35" s="22">
        <v>13.96</v>
      </c>
      <c r="M35" s="22">
        <v>19.41</v>
      </c>
      <c r="N35" s="22">
        <v>0.31900000000000001</v>
      </c>
      <c r="O35" s="22">
        <v>6.0000000000000001E-3</v>
      </c>
      <c r="P35" s="22">
        <v>0</v>
      </c>
      <c r="Q35" s="22"/>
      <c r="R35" s="22"/>
      <c r="S35" s="22">
        <f t="shared" si="0"/>
        <v>97.081000000000003</v>
      </c>
      <c r="T35" s="3"/>
      <c r="U35" s="22">
        <f t="shared" si="1"/>
        <v>7.9060430343399508</v>
      </c>
      <c r="V35" s="22">
        <f t="shared" si="2"/>
        <v>2.0491893759380129</v>
      </c>
      <c r="W35" s="22">
        <f t="shared" si="3"/>
        <v>97.286232410277975</v>
      </c>
      <c r="X35" s="1">
        <v>1</v>
      </c>
      <c r="Y35" s="1"/>
      <c r="Z35" s="1"/>
      <c r="AA35" s="1" t="s">
        <v>185</v>
      </c>
      <c r="AC35" s="1">
        <v>6</v>
      </c>
      <c r="AD35" s="1">
        <v>4</v>
      </c>
      <c r="AE35" s="1"/>
      <c r="AF35" s="26">
        <f t="shared" si="4"/>
        <v>1.8892069558899167</v>
      </c>
      <c r="AG35" s="26">
        <f t="shared" si="5"/>
        <v>3.1028379989258593E-2</v>
      </c>
      <c r="AH35" s="26">
        <f t="shared" si="6"/>
        <v>0.14403658333170907</v>
      </c>
      <c r="AI35" s="26">
        <f t="shared" si="7"/>
        <v>0</v>
      </c>
      <c r="AJ35" s="26">
        <f t="shared" si="8"/>
        <v>0.31433390158669433</v>
      </c>
      <c r="AK35" s="26">
        <f t="shared" si="9"/>
        <v>1.2930561425380177E-2</v>
      </c>
      <c r="AL35" s="26">
        <f t="shared" si="10"/>
        <v>0.80240523248176054</v>
      </c>
      <c r="AM35" s="26">
        <f t="shared" si="11"/>
        <v>0.8017351237992747</v>
      </c>
      <c r="AN35" s="26">
        <f t="shared" si="12"/>
        <v>2.3844185219226294E-2</v>
      </c>
      <c r="AO35" s="26">
        <f t="shared" si="13"/>
        <v>2.9508268272420693E-4</v>
      </c>
      <c r="AP35" s="26">
        <f t="shared" si="14"/>
        <v>0</v>
      </c>
      <c r="AQ35" s="26">
        <f t="shared" si="15"/>
        <v>0</v>
      </c>
      <c r="AR35" s="26">
        <f t="shared" si="16"/>
        <v>0</v>
      </c>
      <c r="AS35" s="26">
        <f t="shared" si="17"/>
        <v>4.0198160064059447</v>
      </c>
      <c r="AT35" s="26">
        <f t="shared" si="18"/>
        <v>2.0332435392216257</v>
      </c>
      <c r="AU35" s="26">
        <f t="shared" si="19"/>
        <v>0.82587439170122512</v>
      </c>
      <c r="AV35" s="47"/>
      <c r="AW35" s="26">
        <f t="shared" si="20"/>
        <v>1.8798939582103187</v>
      </c>
      <c r="AX35" s="26">
        <f t="shared" si="21"/>
        <v>3.0875423093805317E-2</v>
      </c>
      <c r="AY35" s="26">
        <f t="shared" si="22"/>
        <v>0.14332654340613957</v>
      </c>
      <c r="AZ35" s="26">
        <f t="shared" si="23"/>
        <v>0</v>
      </c>
      <c r="BA35" s="26">
        <f t="shared" si="24"/>
        <v>0.25362940190563543</v>
      </c>
      <c r="BB35" s="26">
        <f t="shared" si="25"/>
        <v>5.9154965424386141E-2</v>
      </c>
      <c r="BC35" s="26">
        <f t="shared" si="26"/>
        <v>1.2866819182543822E-2</v>
      </c>
      <c r="BD35" s="26">
        <f t="shared" si="27"/>
        <v>0.79844971133311005</v>
      </c>
      <c r="BE35" s="26">
        <f t="shared" si="28"/>
        <v>0.79778290600528623</v>
      </c>
      <c r="BF35" s="26">
        <f t="shared" si="29"/>
        <v>2.3726643389874961E-2</v>
      </c>
      <c r="BG35" s="26">
        <f t="shared" si="30"/>
        <v>2.9362804889971646E-4</v>
      </c>
      <c r="BH35" s="26">
        <f t="shared" si="31"/>
        <v>0</v>
      </c>
      <c r="BI35" s="26">
        <f t="shared" si="32"/>
        <v>0</v>
      </c>
      <c r="BJ35" s="26">
        <f t="shared" si="33"/>
        <v>0</v>
      </c>
      <c r="BK35" s="25">
        <f t="shared" si="34"/>
        <v>4</v>
      </c>
      <c r="BL35" s="24">
        <f t="shared" si="35"/>
        <v>5.9999999999999991</v>
      </c>
      <c r="BM35" s="26">
        <f t="shared" si="36"/>
        <v>2.0232205016164584</v>
      </c>
      <c r="BN35" s="26">
        <f t="shared" si="37"/>
        <v>0.82180317744406095</v>
      </c>
      <c r="BO35" s="22"/>
      <c r="BP35" s="23">
        <f t="shared" si="38"/>
        <v>0.71852522044111866</v>
      </c>
      <c r="BQ35" s="26">
        <f t="shared" si="39"/>
        <v>0.12010604178968132</v>
      </c>
      <c r="BR35" s="26">
        <f t="shared" si="40"/>
        <v>2.322050161645825E-2</v>
      </c>
      <c r="BS35" s="26"/>
      <c r="BT35" s="26">
        <f t="shared" si="41"/>
        <v>2.322050161645825E-2</v>
      </c>
      <c r="BU35" s="26">
        <f t="shared" si="42"/>
        <v>0</v>
      </c>
      <c r="BV35" s="26">
        <f t="shared" si="43"/>
        <v>2.322050161645825E-2</v>
      </c>
      <c r="BW35" s="26">
        <f t="shared" si="44"/>
        <v>0</v>
      </c>
      <c r="BX35" s="26">
        <f t="shared" si="45"/>
        <v>0.77851462218281642</v>
      </c>
      <c r="BY35" s="26">
        <f t="shared" si="46"/>
        <v>0.16911225594281926</v>
      </c>
      <c r="BZ35" s="26">
        <f t="shared" si="47"/>
        <v>0.99406788135855217</v>
      </c>
      <c r="CA35" s="22"/>
      <c r="CB35" s="22">
        <f t="shared" si="48"/>
        <v>2.3726643389874961E-2</v>
      </c>
      <c r="CC35" s="22">
        <f t="shared" si="49"/>
        <v>0</v>
      </c>
      <c r="CD35" s="22">
        <f t="shared" si="50"/>
        <v>3.5428322034511184E-2</v>
      </c>
      <c r="CE35" s="22">
        <f t="shared" si="51"/>
        <v>0</v>
      </c>
      <c r="CF35" s="22">
        <f t="shared" si="52"/>
        <v>2.322050161645825E-2</v>
      </c>
      <c r="CG35" s="22">
        <f t="shared" si="53"/>
        <v>0.38143036287209586</v>
      </c>
      <c r="CH35" s="22">
        <f t="shared" si="54"/>
        <v>0.46944829717584463</v>
      </c>
      <c r="CI35" s="22">
        <f t="shared" si="55"/>
        <v>0.14912133995205951</v>
      </c>
      <c r="CJ35" s="22"/>
      <c r="CK35" s="22">
        <f t="shared" si="56"/>
        <v>0.41510465117960521</v>
      </c>
      <c r="CL35" s="22">
        <f t="shared" si="57"/>
        <v>0.41545160520798491</v>
      </c>
      <c r="CM35" s="22">
        <f t="shared" si="58"/>
        <v>0.16944374361240991</v>
      </c>
      <c r="CN35" s="1"/>
      <c r="CO35" s="26">
        <f t="shared" si="59"/>
        <v>0.81557922769640478</v>
      </c>
      <c r="CP35" s="26">
        <f t="shared" si="60"/>
        <v>1.3395092638958439E-2</v>
      </c>
      <c r="CQ35" s="26">
        <f t="shared" si="61"/>
        <v>6.2181247548058066E-2</v>
      </c>
      <c r="CR35" s="26">
        <f t="shared" si="62"/>
        <v>0</v>
      </c>
      <c r="CS35" s="26">
        <f t="shared" si="63"/>
        <v>0.13569937369519833</v>
      </c>
      <c r="CT35" s="26">
        <f t="shared" si="64"/>
        <v>5.5821821257400622E-3</v>
      </c>
      <c r="CU35" s="26">
        <f t="shared" si="65"/>
        <v>0.34640198511166259</v>
      </c>
      <c r="CV35" s="26">
        <f t="shared" si="66"/>
        <v>0.34611269614835949</v>
      </c>
      <c r="CW35" s="26">
        <f t="shared" si="67"/>
        <v>1.0293643110680865E-2</v>
      </c>
      <c r="CX35" s="26">
        <f t="shared" si="68"/>
        <v>1.2738853503184712E-4</v>
      </c>
      <c r="CY35" s="26">
        <f t="shared" si="69"/>
        <v>0</v>
      </c>
      <c r="CZ35" s="26">
        <f t="shared" si="70"/>
        <v>0</v>
      </c>
      <c r="DA35" s="26">
        <f t="shared" si="71"/>
        <v>0</v>
      </c>
      <c r="DB35" s="26">
        <f t="shared" si="72"/>
        <v>1.7353728366100944</v>
      </c>
      <c r="DC35" s="26">
        <f t="shared" si="73"/>
        <v>2.5902272648966305</v>
      </c>
      <c r="DD35" s="26">
        <f t="shared" si="74"/>
        <v>2.3049801838627744</v>
      </c>
      <c r="DE35" s="26">
        <f t="shared" si="75"/>
        <v>5.9704225172878065</v>
      </c>
      <c r="DF35" s="1"/>
      <c r="DG35" s="22">
        <v>14.049162610559456</v>
      </c>
      <c r="DH35" s="14">
        <v>2197.97222112896</v>
      </c>
      <c r="DI35" s="14">
        <v>84540.973010519781</v>
      </c>
      <c r="DJ35" s="14">
        <v>18724.454993885043</v>
      </c>
      <c r="DK35" s="14">
        <v>229060.30931908774</v>
      </c>
      <c r="DL35" s="14">
        <v>138717.97191581439</v>
      </c>
      <c r="DM35" s="96">
        <v>169.39927080830631</v>
      </c>
      <c r="DN35" s="14">
        <v>6982.1207999777698</v>
      </c>
      <c r="DO35" s="96">
        <v>177.22431993599912</v>
      </c>
      <c r="DP35" s="22">
        <v>0</v>
      </c>
      <c r="DQ35" s="14">
        <v>3170.3322320982852</v>
      </c>
      <c r="DR35" s="22">
        <v>25.039609889315649</v>
      </c>
      <c r="DS35" s="22">
        <v>0</v>
      </c>
      <c r="DT35" s="22">
        <v>1.4281151031065529</v>
      </c>
      <c r="DU35" s="22">
        <v>78.720317637741587</v>
      </c>
      <c r="DV35" s="22">
        <v>0.21738406367579227</v>
      </c>
      <c r="DW35" s="22">
        <v>16.367273438957334</v>
      </c>
      <c r="DX35" s="22">
        <v>13.993148073461198</v>
      </c>
      <c r="DY35" s="22">
        <v>61.532671373787394</v>
      </c>
      <c r="DZ35" s="22">
        <v>65.288978531369636</v>
      </c>
      <c r="EA35" s="22">
        <v>0</v>
      </c>
      <c r="EB35" s="22">
        <v>0</v>
      </c>
      <c r="EC35" s="22">
        <v>0</v>
      </c>
      <c r="ED35" s="22">
        <v>2.5304484397114262</v>
      </c>
      <c r="EE35" s="22">
        <v>11.513238000648595</v>
      </c>
      <c r="EF35" s="22">
        <v>2.4167135739184085</v>
      </c>
      <c r="EG35" s="22">
        <v>16.202434025404745</v>
      </c>
      <c r="EH35" s="22">
        <v>6.494414298303453</v>
      </c>
      <c r="EI35" s="22">
        <v>1.5631928836784301</v>
      </c>
      <c r="EJ35" s="22">
        <v>9.6110539509489978</v>
      </c>
      <c r="EK35" s="22">
        <v>1.5928000514572944</v>
      </c>
      <c r="EL35" s="22">
        <v>11.720931212849187</v>
      </c>
      <c r="EM35" s="22">
        <v>2.490336474348025</v>
      </c>
      <c r="EN35" s="22">
        <v>6.8758741917875872</v>
      </c>
      <c r="EO35" s="22">
        <v>0.95305487925907995</v>
      </c>
      <c r="EP35" s="22">
        <v>6.6362678961880599</v>
      </c>
      <c r="EQ35" s="22">
        <v>0.90079989970123775</v>
      </c>
      <c r="ER35" s="22">
        <v>3.8876158712765343</v>
      </c>
      <c r="ES35" s="22">
        <v>3.8054617464940911E-2</v>
      </c>
      <c r="ET35" s="22">
        <v>0.10271001706929445</v>
      </c>
      <c r="EU35" s="22">
        <v>0.12087914651967845</v>
      </c>
      <c r="EV35" s="22">
        <v>3.0422537418531508E-2</v>
      </c>
      <c r="EW35" s="22">
        <f t="shared" si="130"/>
        <v>0.59956196107748805</v>
      </c>
      <c r="EX35" s="22"/>
      <c r="EY35" s="22"/>
      <c r="EZ35" s="22"/>
      <c r="FA35" s="22"/>
      <c r="FB35" s="22"/>
      <c r="FC35" s="22"/>
      <c r="FD35" s="22"/>
      <c r="FE35" s="22"/>
      <c r="FF35" s="22"/>
      <c r="FG35" s="22"/>
      <c r="FH35" s="22"/>
      <c r="FI35" s="22">
        <f t="shared" si="131"/>
        <v>-2.1060308728888049</v>
      </c>
      <c r="FJ35" s="22"/>
      <c r="FK35" s="22">
        <f t="shared" si="132"/>
        <v>0.8941650000000001</v>
      </c>
      <c r="FL35" s="22">
        <f t="shared" si="133"/>
        <v>-0.48986000000000002</v>
      </c>
      <c r="FM35" s="22"/>
      <c r="FN35" s="22"/>
      <c r="FO35" s="22">
        <f t="shared" si="134"/>
        <v>-4.625716562966752</v>
      </c>
      <c r="FP35" s="22">
        <f t="shared" si="135"/>
        <v>-0.49862000000000001</v>
      </c>
      <c r="FQ35" s="46"/>
      <c r="FR35" s="46"/>
      <c r="FS35" s="46"/>
      <c r="FT35" s="46"/>
      <c r="FU35" s="46"/>
      <c r="FV35" s="46"/>
      <c r="FW35" s="46"/>
      <c r="FX35" s="46"/>
      <c r="FY35" s="46"/>
      <c r="FZ35" s="46"/>
      <c r="GA35" s="46"/>
      <c r="GB35" s="46"/>
      <c r="GC35" s="46"/>
      <c r="GD35" s="46"/>
      <c r="GE35" s="46"/>
      <c r="GF35" s="46"/>
      <c r="GG35" s="46"/>
      <c r="GH35" s="46"/>
    </row>
    <row r="36" spans="1:190" x14ac:dyDescent="0.25">
      <c r="A36" s="5" t="s">
        <v>85</v>
      </c>
      <c r="B36" s="1">
        <v>1341</v>
      </c>
      <c r="C36" s="98" t="s">
        <v>98</v>
      </c>
      <c r="D36" s="98" t="s">
        <v>105</v>
      </c>
      <c r="E36" s="1">
        <v>348</v>
      </c>
      <c r="F36" s="22">
        <v>48.97</v>
      </c>
      <c r="G36" s="22">
        <v>1.0289999999999999</v>
      </c>
      <c r="H36" s="22">
        <v>3.68</v>
      </c>
      <c r="I36" s="22">
        <v>1.2E-2</v>
      </c>
      <c r="J36" s="22">
        <v>10.58</v>
      </c>
      <c r="K36" s="22">
        <v>0.45500000000000002</v>
      </c>
      <c r="L36" s="22">
        <v>13.65</v>
      </c>
      <c r="M36" s="22">
        <v>19.510000000000002</v>
      </c>
      <c r="N36" s="22">
        <v>0.35</v>
      </c>
      <c r="O36" s="22">
        <v>0</v>
      </c>
      <c r="P36" s="22">
        <v>0</v>
      </c>
      <c r="Q36" s="22"/>
      <c r="R36" s="22"/>
      <c r="S36" s="22">
        <f t="shared" si="0"/>
        <v>98.236000000000004</v>
      </c>
      <c r="T36" s="3"/>
      <c r="U36" s="22">
        <f t="shared" si="1"/>
        <v>8.0726617194278791</v>
      </c>
      <c r="V36" s="22">
        <f t="shared" si="2"/>
        <v>2.7864050311997972</v>
      </c>
      <c r="W36" s="22">
        <f t="shared" si="3"/>
        <v>98.515066750627682</v>
      </c>
      <c r="X36" s="1"/>
      <c r="Y36" s="1"/>
      <c r="Z36" s="1"/>
      <c r="AA36" s="1" t="s">
        <v>185</v>
      </c>
      <c r="AC36" s="1">
        <v>6</v>
      </c>
      <c r="AD36" s="1">
        <v>4</v>
      </c>
      <c r="AE36" s="1"/>
      <c r="AF36" s="26">
        <f t="shared" si="4"/>
        <v>1.8734915855550049</v>
      </c>
      <c r="AG36" s="26">
        <f t="shared" si="5"/>
        <v>2.9609350803694024E-2</v>
      </c>
      <c r="AH36" s="26">
        <f t="shared" si="6"/>
        <v>0.16592031150180678</v>
      </c>
      <c r="AI36" s="26">
        <f t="shared" si="7"/>
        <v>3.6295082973259574E-4</v>
      </c>
      <c r="AJ36" s="26">
        <f t="shared" si="8"/>
        <v>0.33846242527544979</v>
      </c>
      <c r="AK36" s="26">
        <f t="shared" si="9"/>
        <v>1.4742521824799739E-2</v>
      </c>
      <c r="AL36" s="26">
        <f t="shared" si="10"/>
        <v>0.77853684733346906</v>
      </c>
      <c r="AM36" s="26">
        <f t="shared" si="11"/>
        <v>0.79965163819671814</v>
      </c>
      <c r="AN36" s="26">
        <f t="shared" si="12"/>
        <v>2.5959602309710166E-2</v>
      </c>
      <c r="AO36" s="26">
        <f t="shared" si="13"/>
        <v>0</v>
      </c>
      <c r="AP36" s="26">
        <f t="shared" si="14"/>
        <v>0</v>
      </c>
      <c r="AQ36" s="26">
        <f t="shared" si="15"/>
        <v>0</v>
      </c>
      <c r="AR36" s="26">
        <f t="shared" si="16"/>
        <v>0</v>
      </c>
      <c r="AS36" s="26">
        <f t="shared" si="17"/>
        <v>4.026737233630385</v>
      </c>
      <c r="AT36" s="26">
        <f t="shared" si="18"/>
        <v>2.0394118970568118</v>
      </c>
      <c r="AU36" s="26">
        <f t="shared" si="19"/>
        <v>0.82561124050642831</v>
      </c>
      <c r="AV36" s="47"/>
      <c r="AW36" s="26">
        <f t="shared" si="20"/>
        <v>1.8610517417506496</v>
      </c>
      <c r="AX36" s="26">
        <f t="shared" si="21"/>
        <v>2.9412746932085388E-2</v>
      </c>
      <c r="AY36" s="26">
        <f t="shared" si="22"/>
        <v>0.16481861306079618</v>
      </c>
      <c r="AZ36" s="26">
        <f t="shared" si="23"/>
        <v>3.6054086340803546E-4</v>
      </c>
      <c r="BA36" s="26">
        <f t="shared" si="24"/>
        <v>0.25653595891725378</v>
      </c>
      <c r="BB36" s="26">
        <f t="shared" si="25"/>
        <v>7.9679101205059943E-2</v>
      </c>
      <c r="BC36" s="26">
        <f t="shared" si="26"/>
        <v>1.4644632584091738E-2</v>
      </c>
      <c r="BD36" s="26">
        <f t="shared" si="27"/>
        <v>0.77336742097925648</v>
      </c>
      <c r="BE36" s="26">
        <f t="shared" si="28"/>
        <v>0.79434201121266246</v>
      </c>
      <c r="BF36" s="26">
        <f t="shared" si="29"/>
        <v>2.5787232494736956E-2</v>
      </c>
      <c r="BG36" s="26">
        <f t="shared" si="30"/>
        <v>0</v>
      </c>
      <c r="BH36" s="26">
        <f t="shared" si="31"/>
        <v>0</v>
      </c>
      <c r="BI36" s="26">
        <f t="shared" si="32"/>
        <v>0</v>
      </c>
      <c r="BJ36" s="26">
        <f t="shared" si="33"/>
        <v>0</v>
      </c>
      <c r="BK36" s="25">
        <f t="shared" si="34"/>
        <v>4</v>
      </c>
      <c r="BL36" s="24">
        <f t="shared" si="35"/>
        <v>5.9999999999999982</v>
      </c>
      <c r="BM36" s="26">
        <f t="shared" si="36"/>
        <v>2.0258703548114458</v>
      </c>
      <c r="BN36" s="26">
        <f t="shared" si="37"/>
        <v>0.82012924370739937</v>
      </c>
      <c r="BO36" s="22"/>
      <c r="BP36" s="23">
        <f t="shared" si="38"/>
        <v>0.69698957414276541</v>
      </c>
      <c r="BQ36" s="26">
        <f t="shared" si="39"/>
        <v>0.13894825824935042</v>
      </c>
      <c r="BR36" s="26">
        <f t="shared" si="40"/>
        <v>2.5870354811445756E-2</v>
      </c>
      <c r="BS36" s="26"/>
      <c r="BT36" s="26">
        <f t="shared" si="41"/>
        <v>2.5870354811445756E-2</v>
      </c>
      <c r="BU36" s="26">
        <f t="shared" si="42"/>
        <v>0</v>
      </c>
      <c r="BV36" s="26">
        <f t="shared" si="43"/>
        <v>2.5870354811445756E-2</v>
      </c>
      <c r="BW36" s="26">
        <f t="shared" si="44"/>
        <v>1.8147541486629787E-4</v>
      </c>
      <c r="BX36" s="26">
        <f t="shared" si="45"/>
        <v>0.77359980797040606</v>
      </c>
      <c r="BY36" s="26">
        <f t="shared" si="46"/>
        <v>0.17169973231925639</v>
      </c>
      <c r="BZ36" s="26">
        <f t="shared" si="47"/>
        <v>0.99722172532742026</v>
      </c>
      <c r="CA36" s="22"/>
      <c r="CB36" s="22">
        <f t="shared" si="48"/>
        <v>2.5787232494736956E-2</v>
      </c>
      <c r="CC36" s="22">
        <f t="shared" si="49"/>
        <v>0</v>
      </c>
      <c r="CD36" s="22">
        <f t="shared" si="50"/>
        <v>5.389186871032299E-2</v>
      </c>
      <c r="CE36" s="22">
        <f t="shared" si="51"/>
        <v>3.6054086340803546E-4</v>
      </c>
      <c r="CF36" s="22">
        <f t="shared" si="52"/>
        <v>2.5870354811445756E-2</v>
      </c>
      <c r="CG36" s="22">
        <f t="shared" si="53"/>
        <v>0.37000323966111132</v>
      </c>
      <c r="CH36" s="22">
        <f t="shared" si="54"/>
        <v>0.47307250299298098</v>
      </c>
      <c r="CI36" s="22">
        <f t="shared" si="55"/>
        <v>0.1569242573459077</v>
      </c>
      <c r="CJ36" s="22"/>
      <c r="CK36" s="22">
        <f t="shared" si="56"/>
        <v>0.41402835107896313</v>
      </c>
      <c r="CL36" s="22">
        <f t="shared" si="57"/>
        <v>0.40309593797942594</v>
      </c>
      <c r="CM36" s="22">
        <f t="shared" si="58"/>
        <v>0.18287571094161098</v>
      </c>
      <c r="CN36" s="1"/>
      <c r="CO36" s="26">
        <f t="shared" si="59"/>
        <v>0.81507989347536614</v>
      </c>
      <c r="CP36" s="26">
        <f t="shared" si="60"/>
        <v>1.2881822734101151E-2</v>
      </c>
      <c r="CQ36" s="26">
        <f t="shared" si="61"/>
        <v>7.2185170655158892E-2</v>
      </c>
      <c r="CR36" s="26">
        <f t="shared" si="62"/>
        <v>1.5790512533719322E-4</v>
      </c>
      <c r="CS36" s="26">
        <f t="shared" si="63"/>
        <v>0.14725121781489214</v>
      </c>
      <c r="CT36" s="26">
        <f t="shared" si="64"/>
        <v>6.413870876797294E-3</v>
      </c>
      <c r="CU36" s="26">
        <f t="shared" si="65"/>
        <v>0.33870967741935487</v>
      </c>
      <c r="CV36" s="26">
        <f t="shared" si="66"/>
        <v>0.34789586305278181</v>
      </c>
      <c r="CW36" s="26">
        <f t="shared" si="67"/>
        <v>1.1293965795417877E-2</v>
      </c>
      <c r="CX36" s="26">
        <f t="shared" si="68"/>
        <v>0</v>
      </c>
      <c r="CY36" s="26">
        <f t="shared" si="69"/>
        <v>0</v>
      </c>
      <c r="CZ36" s="26">
        <f t="shared" si="70"/>
        <v>0</v>
      </c>
      <c r="DA36" s="26">
        <f t="shared" si="71"/>
        <v>0</v>
      </c>
      <c r="DB36" s="26">
        <f t="shared" si="72"/>
        <v>1.751869386949207</v>
      </c>
      <c r="DC36" s="26">
        <f t="shared" si="73"/>
        <v>2.6103556581512142</v>
      </c>
      <c r="DD36" s="26">
        <f t="shared" si="74"/>
        <v>2.283275242891138</v>
      </c>
      <c r="DE36" s="26">
        <f t="shared" si="75"/>
        <v>5.9601604493974705</v>
      </c>
      <c r="DF36" s="1"/>
      <c r="DG36" s="22">
        <v>13.289524323818213</v>
      </c>
      <c r="DH36" s="14">
        <v>2205.3963811031958</v>
      </c>
      <c r="DI36" s="14">
        <v>89734.596728894612</v>
      </c>
      <c r="DJ36" s="14">
        <v>16563.535746109086</v>
      </c>
      <c r="DK36" s="14">
        <v>234457.62890478317</v>
      </c>
      <c r="DL36" s="14">
        <v>130966.43814100046</v>
      </c>
      <c r="DM36" s="96">
        <v>171.11728926783974</v>
      </c>
      <c r="DN36" s="14">
        <v>5952.1973849898695</v>
      </c>
      <c r="DO36" s="96">
        <v>149.31852177563559</v>
      </c>
      <c r="DP36" s="22">
        <v>0</v>
      </c>
      <c r="DQ36" s="14">
        <v>3610.2969222068596</v>
      </c>
      <c r="DR36" s="22">
        <v>25.304440615905055</v>
      </c>
      <c r="DS36" s="22">
        <v>0</v>
      </c>
      <c r="DT36" s="22">
        <v>0.48572632947728012</v>
      </c>
      <c r="DU36" s="22">
        <v>82.9169470052436</v>
      </c>
      <c r="DV36" s="22">
        <v>0</v>
      </c>
      <c r="DW36" s="22">
        <v>13.099875580791769</v>
      </c>
      <c r="DX36" s="22">
        <v>11.730742649136744</v>
      </c>
      <c r="DY36" s="22">
        <v>54.033145709349839</v>
      </c>
      <c r="DZ36" s="22">
        <v>49.074637000923673</v>
      </c>
      <c r="EA36" s="22">
        <v>0</v>
      </c>
      <c r="EB36" s="22">
        <v>0</v>
      </c>
      <c r="EC36" s="22">
        <v>0.183980419858811</v>
      </c>
      <c r="ED36" s="22">
        <v>2.073376783381065</v>
      </c>
      <c r="EE36" s="22">
        <v>8.9539771376266746</v>
      </c>
      <c r="EF36" s="22">
        <v>1.9469974458938164</v>
      </c>
      <c r="EG36" s="22">
        <v>12.804261750422778</v>
      </c>
      <c r="EH36" s="22">
        <v>5.442982397920864</v>
      </c>
      <c r="EI36" s="22">
        <v>1.3714799834036908</v>
      </c>
      <c r="EJ36" s="22">
        <v>8.0051530025405064</v>
      </c>
      <c r="EK36" s="22">
        <v>1.3804488833276258</v>
      </c>
      <c r="EL36" s="22">
        <v>10.320252063301574</v>
      </c>
      <c r="EM36" s="22">
        <v>2.3868190438053078</v>
      </c>
      <c r="EN36" s="22">
        <v>6.5794611218206054</v>
      </c>
      <c r="EO36" s="22">
        <v>0.75534666182269472</v>
      </c>
      <c r="EP36" s="22">
        <v>5.5630712365929025</v>
      </c>
      <c r="EQ36" s="22">
        <v>0.74047509080818874</v>
      </c>
      <c r="ER36" s="22">
        <v>2.5617917420080496</v>
      </c>
      <c r="ES36" s="22">
        <v>0</v>
      </c>
      <c r="ET36" s="22">
        <v>0.10528647246570128</v>
      </c>
      <c r="EU36" s="22">
        <v>9.4838381348840414E-2</v>
      </c>
      <c r="EV36" s="22">
        <v>3.1510178926984558E-2</v>
      </c>
      <c r="EW36" s="22">
        <f t="shared" si="130"/>
        <v>0.62959778995277016</v>
      </c>
      <c r="EX36" s="22"/>
      <c r="EY36" s="22"/>
      <c r="EZ36" s="22"/>
      <c r="FA36" s="22"/>
      <c r="FB36" s="22"/>
      <c r="FC36" s="22"/>
      <c r="FD36" s="22"/>
      <c r="FE36" s="22"/>
      <c r="FF36" s="22"/>
      <c r="FG36" s="22"/>
      <c r="FH36" s="22"/>
      <c r="FI36" s="22">
        <f t="shared" si="131"/>
        <v>-2.0580009977319023</v>
      </c>
      <c r="FJ36" s="22"/>
      <c r="FK36" s="22">
        <f t="shared" si="132"/>
        <v>0.8941650000000001</v>
      </c>
      <c r="FL36" s="22">
        <f t="shared" si="133"/>
        <v>-0.48986000000000002</v>
      </c>
      <c r="FM36" s="22"/>
      <c r="FN36" s="22"/>
      <c r="FO36" s="22">
        <f t="shared" si="134"/>
        <v>-4.3689815091855637</v>
      </c>
      <c r="FP36" s="22">
        <f t="shared" si="135"/>
        <v>-0.49862000000000001</v>
      </c>
      <c r="FQ36" s="46"/>
      <c r="FR36" s="46"/>
      <c r="FS36" s="46"/>
      <c r="FT36" s="46"/>
      <c r="FU36" s="46"/>
      <c r="FV36" s="46"/>
      <c r="FW36" s="46"/>
      <c r="FX36" s="46"/>
      <c r="FY36" s="46"/>
      <c r="FZ36" s="46"/>
      <c r="GA36" s="46"/>
      <c r="GB36" s="46"/>
      <c r="GC36" s="46"/>
      <c r="GD36" s="46"/>
      <c r="GE36" s="46"/>
      <c r="GF36" s="46"/>
      <c r="GG36" s="46"/>
      <c r="GH36" s="46"/>
    </row>
    <row r="37" spans="1:190" x14ac:dyDescent="0.25">
      <c r="A37" s="5" t="s">
        <v>85</v>
      </c>
      <c r="B37" s="1">
        <v>1342</v>
      </c>
      <c r="C37" s="98" t="s">
        <v>98</v>
      </c>
      <c r="D37" s="98" t="s">
        <v>105</v>
      </c>
      <c r="E37" s="1">
        <v>349</v>
      </c>
      <c r="F37" s="22">
        <v>48.63</v>
      </c>
      <c r="G37" s="22">
        <v>1.1060000000000001</v>
      </c>
      <c r="H37" s="22">
        <v>3.79</v>
      </c>
      <c r="I37" s="22">
        <v>0</v>
      </c>
      <c r="J37" s="22">
        <v>10.18</v>
      </c>
      <c r="K37" s="22">
        <v>0.40899999999999997</v>
      </c>
      <c r="L37" s="22">
        <v>13.73</v>
      </c>
      <c r="M37" s="22">
        <v>19.77</v>
      </c>
      <c r="N37" s="22">
        <v>0.39700000000000002</v>
      </c>
      <c r="O37" s="22">
        <v>0</v>
      </c>
      <c r="P37" s="22">
        <v>0</v>
      </c>
      <c r="Q37" s="22"/>
      <c r="R37" s="22"/>
      <c r="S37" s="22">
        <f t="shared" si="0"/>
        <v>98.012000000000015</v>
      </c>
      <c r="T37" s="3"/>
      <c r="U37" s="22">
        <f t="shared" si="1"/>
        <v>7.0882217267296408</v>
      </c>
      <c r="V37" s="22">
        <f t="shared" si="2"/>
        <v>3.4358931950853502</v>
      </c>
      <c r="W37" s="22">
        <f t="shared" si="3"/>
        <v>98.356114921814992</v>
      </c>
      <c r="X37" s="1"/>
      <c r="Y37" s="1"/>
      <c r="Z37" s="1"/>
      <c r="AA37" s="1" t="s">
        <v>185</v>
      </c>
      <c r="AC37" s="1">
        <v>6</v>
      </c>
      <c r="AD37" s="1">
        <v>4</v>
      </c>
      <c r="AE37" s="1"/>
      <c r="AF37" s="26">
        <f t="shared" si="4"/>
        <v>1.8642165077435711</v>
      </c>
      <c r="AG37" s="26">
        <f t="shared" si="5"/>
        <v>3.1888865925473783E-2</v>
      </c>
      <c r="AH37" s="26">
        <f t="shared" si="6"/>
        <v>0.17122271635759628</v>
      </c>
      <c r="AI37" s="26">
        <f t="shared" si="7"/>
        <v>0</v>
      </c>
      <c r="AJ37" s="26">
        <f t="shared" si="8"/>
        <v>0.32631948681376449</v>
      </c>
      <c r="AK37" s="26">
        <f t="shared" si="9"/>
        <v>1.3278656230666874E-2</v>
      </c>
      <c r="AL37" s="26">
        <f t="shared" si="10"/>
        <v>0.7846708061384462</v>
      </c>
      <c r="AM37" s="26">
        <f t="shared" si="11"/>
        <v>0.81193388807463995</v>
      </c>
      <c r="AN37" s="26">
        <f t="shared" si="12"/>
        <v>2.9504681735995974E-2</v>
      </c>
      <c r="AO37" s="26">
        <f t="shared" si="13"/>
        <v>0</v>
      </c>
      <c r="AP37" s="26">
        <f t="shared" si="14"/>
        <v>0</v>
      </c>
      <c r="AQ37" s="26">
        <f t="shared" si="15"/>
        <v>0</v>
      </c>
      <c r="AR37" s="26">
        <f t="shared" si="16"/>
        <v>0</v>
      </c>
      <c r="AS37" s="26">
        <f t="shared" si="17"/>
        <v>4.0330356090201551</v>
      </c>
      <c r="AT37" s="26">
        <f t="shared" si="18"/>
        <v>2.0354392241011672</v>
      </c>
      <c r="AU37" s="26">
        <f t="shared" si="19"/>
        <v>0.84143856981063592</v>
      </c>
      <c r="AV37" s="47"/>
      <c r="AW37" s="26">
        <f t="shared" si="20"/>
        <v>1.8489462414605273</v>
      </c>
      <c r="AX37" s="26">
        <f t="shared" si="21"/>
        <v>3.1627656204326289E-2</v>
      </c>
      <c r="AY37" s="26">
        <f t="shared" si="22"/>
        <v>0.16982018802377563</v>
      </c>
      <c r="AZ37" s="26">
        <f t="shared" si="23"/>
        <v>0</v>
      </c>
      <c r="BA37" s="26">
        <f t="shared" si="24"/>
        <v>0.22535150371112367</v>
      </c>
      <c r="BB37" s="26">
        <f t="shared" si="25"/>
        <v>9.8295018113706334E-2</v>
      </c>
      <c r="BC37" s="26">
        <f t="shared" si="26"/>
        <v>1.3169887417773618E-2</v>
      </c>
      <c r="BD37" s="26">
        <f t="shared" si="27"/>
        <v>0.77824337021322332</v>
      </c>
      <c r="BE37" s="26">
        <f t="shared" si="28"/>
        <v>0.80528313338835422</v>
      </c>
      <c r="BF37" s="26">
        <f t="shared" si="29"/>
        <v>2.9263001467189406E-2</v>
      </c>
      <c r="BG37" s="26">
        <f t="shared" si="30"/>
        <v>0</v>
      </c>
      <c r="BH37" s="26">
        <f t="shared" si="31"/>
        <v>0</v>
      </c>
      <c r="BI37" s="26">
        <f t="shared" si="32"/>
        <v>0</v>
      </c>
      <c r="BJ37" s="26">
        <f t="shared" si="33"/>
        <v>0</v>
      </c>
      <c r="BK37" s="25">
        <f t="shared" si="34"/>
        <v>4</v>
      </c>
      <c r="BL37" s="24">
        <f t="shared" si="35"/>
        <v>5.9999999999999991</v>
      </c>
      <c r="BM37" s="26">
        <f t="shared" si="36"/>
        <v>2.0187664294843031</v>
      </c>
      <c r="BN37" s="26">
        <f t="shared" si="37"/>
        <v>0.83454613485554363</v>
      </c>
      <c r="BO37" s="22"/>
      <c r="BP37" s="23">
        <f t="shared" si="38"/>
        <v>0.70628052388590845</v>
      </c>
      <c r="BQ37" s="26">
        <f t="shared" si="39"/>
        <v>0.15105375853947267</v>
      </c>
      <c r="BR37" s="26">
        <f t="shared" si="40"/>
        <v>1.876642948430296E-2</v>
      </c>
      <c r="BS37" s="26"/>
      <c r="BT37" s="26">
        <f t="shared" si="41"/>
        <v>1.876642948430296E-2</v>
      </c>
      <c r="BU37" s="26">
        <f t="shared" si="42"/>
        <v>0</v>
      </c>
      <c r="BV37" s="26">
        <f t="shared" si="43"/>
        <v>1.876642948430296E-2</v>
      </c>
      <c r="BW37" s="26">
        <f t="shared" si="44"/>
        <v>0</v>
      </c>
      <c r="BX37" s="26">
        <f t="shared" si="45"/>
        <v>0.79316745859033699</v>
      </c>
      <c r="BY37" s="26">
        <f t="shared" si="46"/>
        <v>0.15891141718093682</v>
      </c>
      <c r="BZ37" s="26">
        <f t="shared" si="47"/>
        <v>0.98961173473987973</v>
      </c>
      <c r="CA37" s="22"/>
      <c r="CB37" s="22">
        <f t="shared" si="48"/>
        <v>2.9263001467189406E-2</v>
      </c>
      <c r="CC37" s="22">
        <f t="shared" si="49"/>
        <v>0</v>
      </c>
      <c r="CD37" s="22">
        <f t="shared" si="50"/>
        <v>6.9032016646516925E-2</v>
      </c>
      <c r="CE37" s="22">
        <f t="shared" si="51"/>
        <v>0</v>
      </c>
      <c r="CF37" s="22">
        <f t="shared" si="52"/>
        <v>1.876642948430296E-2</v>
      </c>
      <c r="CG37" s="22">
        <f t="shared" si="53"/>
        <v>0.37337384436236187</v>
      </c>
      <c r="CH37" s="22">
        <f t="shared" si="54"/>
        <v>0.48592082711649309</v>
      </c>
      <c r="CI37" s="22">
        <f t="shared" si="55"/>
        <v>0.14070532852114501</v>
      </c>
      <c r="CJ37" s="22"/>
      <c r="CK37" s="22">
        <f t="shared" si="56"/>
        <v>0.41934340372348688</v>
      </c>
      <c r="CL37" s="22">
        <f t="shared" si="57"/>
        <v>0.40526270855478763</v>
      </c>
      <c r="CM37" s="22">
        <f t="shared" si="58"/>
        <v>0.17539388772172551</v>
      </c>
      <c r="CN37" s="1"/>
      <c r="CO37" s="26">
        <f t="shared" si="59"/>
        <v>0.80942077230359533</v>
      </c>
      <c r="CP37" s="26">
        <f t="shared" si="60"/>
        <v>1.384576865297947E-2</v>
      </c>
      <c r="CQ37" s="26">
        <f t="shared" si="61"/>
        <v>7.4342879560612016E-2</v>
      </c>
      <c r="CR37" s="26">
        <f t="shared" si="62"/>
        <v>0</v>
      </c>
      <c r="CS37" s="26">
        <f t="shared" si="63"/>
        <v>0.14168406402226863</v>
      </c>
      <c r="CT37" s="26">
        <f t="shared" si="64"/>
        <v>5.7654355793628417E-3</v>
      </c>
      <c r="CU37" s="26">
        <f t="shared" si="65"/>
        <v>0.34069478908188588</v>
      </c>
      <c r="CV37" s="26">
        <f t="shared" si="66"/>
        <v>0.35253209700427962</v>
      </c>
      <c r="CW37" s="26">
        <f t="shared" si="67"/>
        <v>1.2810584059373993E-2</v>
      </c>
      <c r="CX37" s="26">
        <f t="shared" si="68"/>
        <v>0</v>
      </c>
      <c r="CY37" s="26">
        <f t="shared" si="69"/>
        <v>0</v>
      </c>
      <c r="CZ37" s="26">
        <f t="shared" si="70"/>
        <v>0</v>
      </c>
      <c r="DA37" s="26">
        <f t="shared" si="71"/>
        <v>0</v>
      </c>
      <c r="DB37" s="26">
        <f t="shared" si="72"/>
        <v>1.7510963902643577</v>
      </c>
      <c r="DC37" s="26">
        <f t="shared" si="73"/>
        <v>2.6051290789715518</v>
      </c>
      <c r="DD37" s="26">
        <f t="shared" si="74"/>
        <v>2.2842831623884119</v>
      </c>
      <c r="DE37" s="26">
        <f t="shared" si="75"/>
        <v>5.9508524909431468</v>
      </c>
      <c r="DF37" s="1"/>
      <c r="DG37" s="22">
        <v>17.282836170506069</v>
      </c>
      <c r="DH37" s="14">
        <v>2235.3006581677419</v>
      </c>
      <c r="DI37" s="14">
        <v>83943.608878526327</v>
      </c>
      <c r="DJ37" s="14">
        <v>18956.640466305322</v>
      </c>
      <c r="DK37" s="14">
        <v>230446.11145480801</v>
      </c>
      <c r="DL37" s="14">
        <v>136527.78614627986</v>
      </c>
      <c r="DM37" s="96">
        <v>196.60850616721885</v>
      </c>
      <c r="DN37" s="14">
        <v>6584.416406832037</v>
      </c>
      <c r="DO37" s="96">
        <v>192.64889152705288</v>
      </c>
      <c r="DP37" s="22">
        <v>0</v>
      </c>
      <c r="DQ37" s="14">
        <v>3174.3756827246671</v>
      </c>
      <c r="DR37" s="22">
        <v>25.802740108387152</v>
      </c>
      <c r="DS37" s="22">
        <v>0</v>
      </c>
      <c r="DT37" s="22">
        <v>1.3995405849496876</v>
      </c>
      <c r="DU37" s="22">
        <v>81.187021084913468</v>
      </c>
      <c r="DV37" s="22">
        <v>0</v>
      </c>
      <c r="DW37" s="22">
        <v>13.744225062246144</v>
      </c>
      <c r="DX37" s="22">
        <v>15.112322921125266</v>
      </c>
      <c r="DY37" s="22">
        <v>74.386911696791159</v>
      </c>
      <c r="DZ37" s="22">
        <v>62.789936301914196</v>
      </c>
      <c r="EA37" s="22">
        <v>9.154684961463723E-2</v>
      </c>
      <c r="EB37" s="22">
        <v>0</v>
      </c>
      <c r="EC37" s="22">
        <v>0.23437164540676661</v>
      </c>
      <c r="ED37" s="22">
        <v>2.7542931901574534</v>
      </c>
      <c r="EE37" s="22">
        <v>13.705289218918733</v>
      </c>
      <c r="EF37" s="22">
        <v>2.9501133401477917</v>
      </c>
      <c r="EG37" s="22">
        <v>19.660733191089104</v>
      </c>
      <c r="EH37" s="22">
        <v>7.3439386370265298</v>
      </c>
      <c r="EI37" s="22">
        <v>2.0698711932730012</v>
      </c>
      <c r="EJ37" s="22">
        <v>11.894603145472912</v>
      </c>
      <c r="EK37" s="22">
        <v>2.1662869179293209</v>
      </c>
      <c r="EL37" s="22">
        <v>15.368656472141703</v>
      </c>
      <c r="EM37" s="22">
        <v>3.206455639836908</v>
      </c>
      <c r="EN37" s="22">
        <v>9.2861736625175961</v>
      </c>
      <c r="EO37" s="22">
        <v>1.2286427662685431</v>
      </c>
      <c r="EP37" s="22">
        <v>7.1849283350005129</v>
      </c>
      <c r="EQ37" s="22">
        <v>1.0986705654730085</v>
      </c>
      <c r="ER37" s="22">
        <v>3.4228398507619282</v>
      </c>
      <c r="ES37" s="22">
        <v>0</v>
      </c>
      <c r="ET37" s="22">
        <v>0.24102040666977767</v>
      </c>
      <c r="EU37" s="22">
        <v>0.16293738627158896</v>
      </c>
      <c r="EV37" s="22">
        <v>2.3893655376213293E-2</v>
      </c>
      <c r="EW37" s="22">
        <f t="shared" si="130"/>
        <v>0.67109009237813511</v>
      </c>
      <c r="EX37" s="22"/>
      <c r="EY37" s="22"/>
      <c r="EZ37" s="22"/>
      <c r="FA37" s="22"/>
      <c r="FB37" s="22"/>
      <c r="FC37" s="22"/>
      <c r="FD37" s="22"/>
      <c r="FE37" s="22"/>
      <c r="FF37" s="22"/>
      <c r="FG37" s="22"/>
      <c r="FH37" s="22"/>
      <c r="FI37" s="22">
        <f t="shared" si="131"/>
        <v>-2.0787221383965471</v>
      </c>
      <c r="FJ37" s="22"/>
      <c r="FK37" s="22">
        <f t="shared" si="132"/>
        <v>0.8941650000000001</v>
      </c>
      <c r="FL37" s="22">
        <f t="shared" si="133"/>
        <v>-0.48986000000000002</v>
      </c>
      <c r="FM37" s="22"/>
      <c r="FN37" s="22"/>
      <c r="FO37" s="22">
        <f t="shared" si="134"/>
        <v>-4.4797426374534686</v>
      </c>
      <c r="FP37" s="22">
        <f t="shared" si="135"/>
        <v>-0.49862000000000001</v>
      </c>
      <c r="FQ37" s="46"/>
      <c r="FR37" s="46"/>
      <c r="FS37" s="46"/>
      <c r="FT37" s="46"/>
      <c r="FU37" s="46"/>
      <c r="FV37" s="46"/>
      <c r="FW37" s="46"/>
      <c r="FX37" s="46"/>
      <c r="FY37" s="46"/>
      <c r="FZ37" s="46"/>
      <c r="GA37" s="46"/>
      <c r="GB37" s="46"/>
      <c r="GC37" s="46"/>
      <c r="GD37" s="46"/>
      <c r="GE37" s="46"/>
      <c r="GF37" s="46"/>
      <c r="GG37" s="46"/>
      <c r="GH37" s="46"/>
    </row>
    <row r="38" spans="1:190" x14ac:dyDescent="0.25">
      <c r="A38" s="5" t="s">
        <v>85</v>
      </c>
      <c r="B38" s="1">
        <v>1343</v>
      </c>
      <c r="C38" s="98" t="s">
        <v>98</v>
      </c>
      <c r="D38" s="98" t="s">
        <v>105</v>
      </c>
      <c r="E38" s="1">
        <v>350</v>
      </c>
      <c r="F38" s="22">
        <v>49.24</v>
      </c>
      <c r="G38" s="22">
        <v>1.081</v>
      </c>
      <c r="H38" s="22">
        <v>3.23</v>
      </c>
      <c r="I38" s="22">
        <v>2.5000000000000001E-2</v>
      </c>
      <c r="J38" s="22">
        <v>10.71</v>
      </c>
      <c r="K38" s="22">
        <v>0.45400000000000001</v>
      </c>
      <c r="L38" s="22">
        <v>14.05</v>
      </c>
      <c r="M38" s="22">
        <v>19.309999999999999</v>
      </c>
      <c r="N38" s="22">
        <v>0.34699999999999998</v>
      </c>
      <c r="O38" s="22">
        <v>0</v>
      </c>
      <c r="P38" s="22">
        <v>0</v>
      </c>
      <c r="Q38" s="22"/>
      <c r="R38" s="22"/>
      <c r="S38" s="22">
        <f t="shared" si="0"/>
        <v>98.446999999999989</v>
      </c>
      <c r="T38" s="3"/>
      <c r="U38" s="22">
        <f t="shared" si="1"/>
        <v>8.0003423386063801</v>
      </c>
      <c r="V38" s="22">
        <f t="shared" si="2"/>
        <v>3.0112425591067291</v>
      </c>
      <c r="W38" s="22">
        <f t="shared" si="3"/>
        <v>98.748584897713101</v>
      </c>
      <c r="X38" s="1"/>
      <c r="Y38" s="1"/>
      <c r="Z38" s="1"/>
      <c r="AA38" s="1" t="s">
        <v>185</v>
      </c>
      <c r="AC38" s="1">
        <v>6</v>
      </c>
      <c r="AD38" s="1">
        <v>4</v>
      </c>
      <c r="AE38" s="1"/>
      <c r="AF38" s="26">
        <f t="shared" si="4"/>
        <v>1.8799235290084475</v>
      </c>
      <c r="AG38" s="26">
        <f t="shared" si="5"/>
        <v>3.1041285699435772E-2</v>
      </c>
      <c r="AH38" s="26">
        <f t="shared" si="6"/>
        <v>0.14532982629086194</v>
      </c>
      <c r="AI38" s="26">
        <f t="shared" si="7"/>
        <v>7.5458306226233935E-4</v>
      </c>
      <c r="AJ38" s="26">
        <f t="shared" si="8"/>
        <v>0.3419123292615559</v>
      </c>
      <c r="AK38" s="26">
        <f t="shared" si="9"/>
        <v>1.467968484733489E-2</v>
      </c>
      <c r="AL38" s="26">
        <f t="shared" si="10"/>
        <v>0.79969308627652813</v>
      </c>
      <c r="AM38" s="26">
        <f t="shared" si="11"/>
        <v>0.7898167359907684</v>
      </c>
      <c r="AN38" s="26">
        <f t="shared" si="12"/>
        <v>2.5683840356720732E-2</v>
      </c>
      <c r="AO38" s="26">
        <f t="shared" si="13"/>
        <v>0</v>
      </c>
      <c r="AP38" s="26">
        <f t="shared" si="14"/>
        <v>0</v>
      </c>
      <c r="AQ38" s="26">
        <f t="shared" si="15"/>
        <v>0</v>
      </c>
      <c r="AR38" s="26">
        <f t="shared" si="16"/>
        <v>0</v>
      </c>
      <c r="AS38" s="26">
        <f t="shared" si="17"/>
        <v>4.0288349007939157</v>
      </c>
      <c r="AT38" s="26">
        <f t="shared" si="18"/>
        <v>2.0252533552993093</v>
      </c>
      <c r="AU38" s="26">
        <f t="shared" si="19"/>
        <v>0.81550057634748918</v>
      </c>
      <c r="AV38" s="47"/>
      <c r="AW38" s="26">
        <f t="shared" si="20"/>
        <v>1.866468669280037</v>
      </c>
      <c r="AX38" s="26">
        <f t="shared" si="21"/>
        <v>3.0819119138705657E-2</v>
      </c>
      <c r="AY38" s="26">
        <f t="shared" si="22"/>
        <v>0.14428968162703662</v>
      </c>
      <c r="AZ38" s="26">
        <f t="shared" si="23"/>
        <v>7.4918241212976232E-4</v>
      </c>
      <c r="BA38" s="26">
        <f t="shared" si="24"/>
        <v>0.25357964093239804</v>
      </c>
      <c r="BB38" s="26">
        <f t="shared" si="25"/>
        <v>8.5885576859653145E-2</v>
      </c>
      <c r="BC38" s="26">
        <f t="shared" si="26"/>
        <v>1.457462041389895E-2</v>
      </c>
      <c r="BD38" s="26">
        <f t="shared" si="27"/>
        <v>0.79396957777440014</v>
      </c>
      <c r="BE38" s="26">
        <f t="shared" si="28"/>
        <v>0.78416391382543715</v>
      </c>
      <c r="BF38" s="26">
        <f t="shared" si="29"/>
        <v>2.5500017736303383E-2</v>
      </c>
      <c r="BG38" s="26">
        <f t="shared" si="30"/>
        <v>0</v>
      </c>
      <c r="BH38" s="26">
        <f t="shared" si="31"/>
        <v>0</v>
      </c>
      <c r="BI38" s="26">
        <f t="shared" si="32"/>
        <v>0</v>
      </c>
      <c r="BJ38" s="26">
        <f t="shared" si="33"/>
        <v>0</v>
      </c>
      <c r="BK38" s="25">
        <f t="shared" si="34"/>
        <v>3.9999999999999996</v>
      </c>
      <c r="BL38" s="24">
        <f t="shared" si="35"/>
        <v>6.0000000000000009</v>
      </c>
      <c r="BM38" s="26">
        <f t="shared" si="36"/>
        <v>2.0107583509070737</v>
      </c>
      <c r="BN38" s="26">
        <f t="shared" si="37"/>
        <v>0.80966393156174055</v>
      </c>
      <c r="BO38" s="22"/>
      <c r="BP38" s="23">
        <f t="shared" si="38"/>
        <v>0.70049867965946966</v>
      </c>
      <c r="BQ38" s="26">
        <f t="shared" si="39"/>
        <v>0.13353133071996304</v>
      </c>
      <c r="BR38" s="26">
        <f t="shared" si="40"/>
        <v>1.0758350907073583E-2</v>
      </c>
      <c r="BS38" s="26"/>
      <c r="BT38" s="26">
        <f t="shared" si="41"/>
        <v>1.0758350907073583E-2</v>
      </c>
      <c r="BU38" s="26">
        <f t="shared" si="42"/>
        <v>0</v>
      </c>
      <c r="BV38" s="26">
        <f t="shared" si="43"/>
        <v>1.0758350907073583E-2</v>
      </c>
      <c r="BW38" s="26">
        <f t="shared" si="44"/>
        <v>3.7729153113116967E-4</v>
      </c>
      <c r="BX38" s="26">
        <f t="shared" si="45"/>
        <v>0.77868109355256365</v>
      </c>
      <c r="BY38" s="26">
        <f t="shared" si="46"/>
        <v>0.18146216099276025</v>
      </c>
      <c r="BZ38" s="26">
        <f t="shared" si="47"/>
        <v>0.98203724789060221</v>
      </c>
      <c r="CA38" s="22"/>
      <c r="CB38" s="22">
        <f t="shared" si="48"/>
        <v>2.5500017736303383E-2</v>
      </c>
      <c r="CC38" s="22">
        <f t="shared" si="49"/>
        <v>0</v>
      </c>
      <c r="CD38" s="22">
        <f t="shared" si="50"/>
        <v>6.0385559123349766E-2</v>
      </c>
      <c r="CE38" s="22">
        <f t="shared" si="51"/>
        <v>7.4918241212976232E-4</v>
      </c>
      <c r="CF38" s="22">
        <f t="shared" si="52"/>
        <v>1.0758350907073583E-2</v>
      </c>
      <c r="CG38" s="22">
        <f t="shared" si="53"/>
        <v>0.3688854195595937</v>
      </c>
      <c r="CH38" s="22">
        <f t="shared" si="54"/>
        <v>0.47834103449394832</v>
      </c>
      <c r="CI38" s="22">
        <f t="shared" si="55"/>
        <v>0.15277354594645809</v>
      </c>
      <c r="CJ38" s="22"/>
      <c r="CK38" s="22">
        <f t="shared" si="56"/>
        <v>0.40584553245244176</v>
      </c>
      <c r="CL38" s="22">
        <f t="shared" si="57"/>
        <v>0.41092047257178838</v>
      </c>
      <c r="CM38" s="22">
        <f t="shared" si="58"/>
        <v>0.18323399497576984</v>
      </c>
      <c r="CN38" s="1"/>
      <c r="CO38" s="26">
        <f t="shared" si="59"/>
        <v>0.81957390146471376</v>
      </c>
      <c r="CP38" s="26">
        <f t="shared" si="60"/>
        <v>1.3532799198798198E-2</v>
      </c>
      <c r="CQ38" s="26">
        <f t="shared" si="61"/>
        <v>6.3358179678305218E-2</v>
      </c>
      <c r="CR38" s="26">
        <f t="shared" si="62"/>
        <v>3.2896901111915256E-4</v>
      </c>
      <c r="CS38" s="26">
        <f t="shared" si="63"/>
        <v>0.14906054279749481</v>
      </c>
      <c r="CT38" s="26">
        <f t="shared" si="64"/>
        <v>6.3997744572878495E-3</v>
      </c>
      <c r="CU38" s="26">
        <f t="shared" si="65"/>
        <v>0.34863523573200994</v>
      </c>
      <c r="CV38" s="26">
        <f t="shared" si="66"/>
        <v>0.34432952924393723</v>
      </c>
      <c r="CW38" s="26">
        <f t="shared" si="67"/>
        <v>1.1197160374314294E-2</v>
      </c>
      <c r="CX38" s="26">
        <f t="shared" si="68"/>
        <v>0</v>
      </c>
      <c r="CY38" s="26">
        <f t="shared" si="69"/>
        <v>0</v>
      </c>
      <c r="CZ38" s="26">
        <f t="shared" si="70"/>
        <v>0</v>
      </c>
      <c r="DA38" s="26">
        <f t="shared" si="71"/>
        <v>0</v>
      </c>
      <c r="DB38" s="26">
        <f t="shared" si="72"/>
        <v>1.7564160919579805</v>
      </c>
      <c r="DC38" s="26">
        <f t="shared" si="73"/>
        <v>2.6157677867790472</v>
      </c>
      <c r="DD38" s="26">
        <f t="shared" si="74"/>
        <v>2.2773646963920515</v>
      </c>
      <c r="DE38" s="26">
        <f t="shared" si="75"/>
        <v>5.9570572115701736</v>
      </c>
      <c r="DF38" s="1"/>
      <c r="DG38" s="22"/>
      <c r="DH38" s="14"/>
      <c r="DI38" s="14"/>
      <c r="DJ38" s="14"/>
      <c r="DK38" s="14"/>
      <c r="DL38" s="14"/>
      <c r="DM38" s="96"/>
      <c r="DN38" s="14"/>
      <c r="DO38" s="96"/>
      <c r="DP38" s="22"/>
      <c r="DQ38" s="14"/>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46"/>
      <c r="FR38" s="46"/>
      <c r="FS38" s="46"/>
      <c r="FT38" s="46"/>
      <c r="FU38" s="46"/>
      <c r="FV38" s="46"/>
      <c r="FW38" s="46"/>
      <c r="FX38" s="46"/>
      <c r="FY38" s="46"/>
      <c r="FZ38" s="46"/>
      <c r="GA38" s="46"/>
      <c r="GB38" s="46"/>
      <c r="GC38" s="46"/>
      <c r="GD38" s="46"/>
      <c r="GE38" s="46"/>
      <c r="GF38" s="46"/>
      <c r="GG38" s="46"/>
      <c r="GH38" s="46"/>
    </row>
    <row r="39" spans="1:190" x14ac:dyDescent="0.25">
      <c r="A39" s="5" t="s">
        <v>85</v>
      </c>
      <c r="B39" s="1">
        <v>1356</v>
      </c>
      <c r="C39" s="98" t="s">
        <v>98</v>
      </c>
      <c r="D39" s="98" t="s">
        <v>105</v>
      </c>
      <c r="E39" s="1">
        <v>363</v>
      </c>
      <c r="F39" s="22">
        <v>49.41</v>
      </c>
      <c r="G39" s="22">
        <v>0.90100000000000002</v>
      </c>
      <c r="H39" s="22">
        <v>2.99</v>
      </c>
      <c r="I39" s="22">
        <v>0</v>
      </c>
      <c r="J39" s="22">
        <v>11.47</v>
      </c>
      <c r="K39" s="22">
        <v>0.57399999999999995</v>
      </c>
      <c r="L39" s="22">
        <v>14.93</v>
      </c>
      <c r="M39" s="22">
        <v>17.61</v>
      </c>
      <c r="N39" s="22">
        <v>0.36399999999999999</v>
      </c>
      <c r="O39" s="22">
        <v>0</v>
      </c>
      <c r="P39" s="22">
        <v>0</v>
      </c>
      <c r="Q39" s="22"/>
      <c r="R39" s="22"/>
      <c r="S39" s="22">
        <f t="shared" si="0"/>
        <v>98.249000000000009</v>
      </c>
      <c r="T39" s="3"/>
      <c r="U39" s="22">
        <f t="shared" si="1"/>
        <v>8.4504891381753477</v>
      </c>
      <c r="V39" s="22">
        <f t="shared" si="2"/>
        <v>3.3555824207457379</v>
      </c>
      <c r="W39" s="22">
        <f t="shared" si="3"/>
        <v>98.585071558921086</v>
      </c>
      <c r="X39" s="1"/>
      <c r="Y39" s="1"/>
      <c r="Z39" s="1"/>
      <c r="AA39" s="1" t="s">
        <v>185</v>
      </c>
      <c r="AC39" s="1">
        <v>6</v>
      </c>
      <c r="AD39" s="1">
        <v>4</v>
      </c>
      <c r="AE39" s="1"/>
      <c r="AF39" s="26">
        <f t="shared" si="4"/>
        <v>1.8881006964623963</v>
      </c>
      <c r="AG39" s="26">
        <f t="shared" si="5"/>
        <v>2.5895658390682096E-2</v>
      </c>
      <c r="AH39" s="26">
        <f t="shared" si="6"/>
        <v>0.13465161905063816</v>
      </c>
      <c r="AI39" s="26">
        <f t="shared" si="7"/>
        <v>0</v>
      </c>
      <c r="AJ39" s="26">
        <f t="shared" si="8"/>
        <v>0.36650243802534344</v>
      </c>
      <c r="AK39" s="26">
        <f t="shared" si="9"/>
        <v>1.8576373342499994E-2</v>
      </c>
      <c r="AL39" s="26">
        <f t="shared" si="10"/>
        <v>0.85054047254519927</v>
      </c>
      <c r="AM39" s="26">
        <f t="shared" si="11"/>
        <v>0.72092746915144501</v>
      </c>
      <c r="AN39" s="26">
        <f t="shared" si="12"/>
        <v>2.6966217306795024E-2</v>
      </c>
      <c r="AO39" s="26">
        <f t="shared" si="13"/>
        <v>0</v>
      </c>
      <c r="AP39" s="26">
        <f t="shared" si="14"/>
        <v>0</v>
      </c>
      <c r="AQ39" s="26">
        <f t="shared" si="15"/>
        <v>0</v>
      </c>
      <c r="AR39" s="26">
        <f t="shared" si="16"/>
        <v>0</v>
      </c>
      <c r="AS39" s="26">
        <f t="shared" si="17"/>
        <v>4.0321609442749997</v>
      </c>
      <c r="AT39" s="26">
        <f t="shared" si="18"/>
        <v>2.0227523155130345</v>
      </c>
      <c r="AU39" s="26">
        <f t="shared" si="19"/>
        <v>0.74789368645824006</v>
      </c>
      <c r="AV39" s="47"/>
      <c r="AW39" s="26">
        <f t="shared" si="20"/>
        <v>1.8730410046188126</v>
      </c>
      <c r="AX39" s="26">
        <f t="shared" si="21"/>
        <v>2.5689111866875891E-2</v>
      </c>
      <c r="AY39" s="26">
        <f t="shared" si="22"/>
        <v>0.13357762342480017</v>
      </c>
      <c r="AZ39" s="26">
        <f t="shared" si="23"/>
        <v>0</v>
      </c>
      <c r="BA39" s="26">
        <f t="shared" si="24"/>
        <v>0.26786590012854256</v>
      </c>
      <c r="BB39" s="26">
        <f t="shared" si="25"/>
        <v>9.5713275495105332E-2</v>
      </c>
      <c r="BC39" s="26">
        <f t="shared" si="26"/>
        <v>1.8428206214214107E-2</v>
      </c>
      <c r="BD39" s="26">
        <f t="shared" si="27"/>
        <v>0.84375647133116138</v>
      </c>
      <c r="BE39" s="26">
        <f t="shared" si="28"/>
        <v>0.71517727502920503</v>
      </c>
      <c r="BF39" s="26">
        <f t="shared" si="29"/>
        <v>2.6751131891282847E-2</v>
      </c>
      <c r="BG39" s="26">
        <f t="shared" si="30"/>
        <v>0</v>
      </c>
      <c r="BH39" s="26">
        <f t="shared" si="31"/>
        <v>0</v>
      </c>
      <c r="BI39" s="26">
        <f t="shared" si="32"/>
        <v>0</v>
      </c>
      <c r="BJ39" s="26">
        <f t="shared" si="33"/>
        <v>0</v>
      </c>
      <c r="BK39" s="25">
        <f t="shared" si="34"/>
        <v>3.9999999999999996</v>
      </c>
      <c r="BL39" s="24">
        <f t="shared" si="35"/>
        <v>6</v>
      </c>
      <c r="BM39" s="26">
        <f t="shared" si="36"/>
        <v>2.0066186280436127</v>
      </c>
      <c r="BN39" s="26">
        <f t="shared" si="37"/>
        <v>0.74192840692048789</v>
      </c>
      <c r="BO39" s="22"/>
      <c r="BP39" s="23">
        <f t="shared" si="38"/>
        <v>0.69885824497878291</v>
      </c>
      <c r="BQ39" s="26">
        <f t="shared" si="39"/>
        <v>0.12695899538118738</v>
      </c>
      <c r="BR39" s="26">
        <f t="shared" si="40"/>
        <v>6.6186280436127953E-3</v>
      </c>
      <c r="BS39" s="26"/>
      <c r="BT39" s="26">
        <f t="shared" si="41"/>
        <v>6.6186280436127953E-3</v>
      </c>
      <c r="BU39" s="26">
        <f t="shared" si="42"/>
        <v>0</v>
      </c>
      <c r="BV39" s="26">
        <f t="shared" si="43"/>
        <v>6.6186280436127953E-3</v>
      </c>
      <c r="BW39" s="26">
        <f t="shared" si="44"/>
        <v>0</v>
      </c>
      <c r="BX39" s="26">
        <f t="shared" si="45"/>
        <v>0.71430884110783222</v>
      </c>
      <c r="BY39" s="26">
        <f t="shared" si="46"/>
        <v>0.25136703473135524</v>
      </c>
      <c r="BZ39" s="26">
        <f t="shared" si="47"/>
        <v>0.97891313192641305</v>
      </c>
      <c r="CA39" s="22"/>
      <c r="CB39" s="22">
        <f t="shared" si="48"/>
        <v>2.6751131891282847E-2</v>
      </c>
      <c r="CC39" s="22">
        <f t="shared" si="49"/>
        <v>0</v>
      </c>
      <c r="CD39" s="22">
        <f t="shared" si="50"/>
        <v>6.8962143603822482E-2</v>
      </c>
      <c r="CE39" s="22">
        <f t="shared" si="51"/>
        <v>0</v>
      </c>
      <c r="CF39" s="22">
        <f t="shared" si="52"/>
        <v>6.6186280436127953E-3</v>
      </c>
      <c r="CG39" s="22">
        <f t="shared" si="53"/>
        <v>0.33317381763652631</v>
      </c>
      <c r="CH39" s="22">
        <f t="shared" si="54"/>
        <v>0.50614212260177571</v>
      </c>
      <c r="CI39" s="22">
        <f t="shared" si="55"/>
        <v>0.16068405976169803</v>
      </c>
      <c r="CJ39" s="22"/>
      <c r="CK39" s="22">
        <f t="shared" si="56"/>
        <v>0.36846932894513013</v>
      </c>
      <c r="CL39" s="22">
        <f t="shared" si="57"/>
        <v>0.43471512817826613</v>
      </c>
      <c r="CM39" s="22">
        <f t="shared" si="58"/>
        <v>0.19681554287660369</v>
      </c>
      <c r="CN39" s="1"/>
      <c r="CO39" s="26">
        <f t="shared" si="59"/>
        <v>0.82240346205059922</v>
      </c>
      <c r="CP39" s="26">
        <f t="shared" si="60"/>
        <v>1.1279419128693041E-2</v>
      </c>
      <c r="CQ39" s="26">
        <f t="shared" si="61"/>
        <v>5.8650451157316603E-2</v>
      </c>
      <c r="CR39" s="26">
        <f t="shared" si="62"/>
        <v>0</v>
      </c>
      <c r="CS39" s="26">
        <f t="shared" si="63"/>
        <v>0.15963813500347948</v>
      </c>
      <c r="CT39" s="26">
        <f t="shared" si="64"/>
        <v>8.091344798421201E-3</v>
      </c>
      <c r="CU39" s="26">
        <f t="shared" si="65"/>
        <v>0.37047146401985115</v>
      </c>
      <c r="CV39" s="26">
        <f t="shared" si="66"/>
        <v>0.31401569186875894</v>
      </c>
      <c r="CW39" s="26">
        <f t="shared" si="67"/>
        <v>1.1745724427234592E-2</v>
      </c>
      <c r="CX39" s="26">
        <f t="shared" si="68"/>
        <v>0</v>
      </c>
      <c r="CY39" s="26">
        <f t="shared" si="69"/>
        <v>0</v>
      </c>
      <c r="CZ39" s="26">
        <f t="shared" si="70"/>
        <v>0</v>
      </c>
      <c r="DA39" s="26">
        <f t="shared" si="71"/>
        <v>0</v>
      </c>
      <c r="DB39" s="26">
        <f t="shared" si="72"/>
        <v>1.7562956924543542</v>
      </c>
      <c r="DC39" s="26">
        <f t="shared" si="73"/>
        <v>2.6134309369986877</v>
      </c>
      <c r="DD39" s="26">
        <f t="shared" si="74"/>
        <v>2.2775208167880643</v>
      </c>
      <c r="DE39" s="26">
        <f t="shared" si="75"/>
        <v>5.9521433622524471</v>
      </c>
      <c r="DF39" s="1"/>
      <c r="DG39" s="22"/>
      <c r="DH39" s="14"/>
      <c r="DI39" s="14"/>
      <c r="DJ39" s="14"/>
      <c r="DK39" s="14"/>
      <c r="DL39" s="14"/>
      <c r="DM39" s="96"/>
      <c r="DN39" s="14"/>
      <c r="DO39" s="96"/>
      <c r="DP39" s="22"/>
      <c r="DQ39" s="14"/>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46">
        <f t="shared" ref="FQ39" si="136" xml:space="preserve">  -0.73306   +   1.025016   *  FS39     +N("316 NN Nd")</f>
        <v>-1.7005969723565526</v>
      </c>
      <c r="FR39" s="46">
        <f t="shared" ref="FR39" si="137" xml:space="preserve">  -0.33671   +   1.013871 *  FS39    +N("340 NN")</f>
        <v>-1.2937269418819903</v>
      </c>
      <c r="FS39" s="46">
        <f t="shared" ref="FS39" si="138">-0.42496     +   1.017678*FT39                 + N("361 NN")</f>
        <v>-0.94392377519624326</v>
      </c>
      <c r="FT39" s="46">
        <f xml:space="preserve"> 0.68509  -3.34181 * BP39 + 0.03095*(100*CK39) +N("642 cpx Mg# Wo R2 0.59")</f>
        <v>-0.50994889856736925</v>
      </c>
      <c r="FU39" s="46">
        <f t="shared" ref="FU39" si="139" xml:space="preserve"> -0.06599 + 0.926002 * FT39  + N("409 NN")</f>
        <v>-0.538203699971181</v>
      </c>
      <c r="FV39" s="46">
        <f t="shared" ref="FV39" si="140">0.1453     +   0.925549*FT39     +N("424 LnD Sm")</f>
        <v>-0.32668269312012999</v>
      </c>
      <c r="FW39" s="46">
        <f t="shared" ref="FW39" si="141" xml:space="preserve">  0.053547 + 0.932974 * FV39  +  N("445 NN")</f>
        <v>-0.25123945893106014</v>
      </c>
      <c r="FX39" s="46">
        <f t="shared" ref="FX39" si="142" xml:space="preserve">  0.027177  +  0.867603 * FV39 + N("464 NN Gd")</f>
        <v>-0.25625388459910414</v>
      </c>
      <c r="FY39" s="46">
        <f t="shared" ref="FY39" si="143" xml:space="preserve">  -0.06187  +  0.953618 * FX39   + N("505 NN Dy")</f>
        <v>-0.30623831692362846</v>
      </c>
      <c r="FZ39" s="46">
        <f t="shared" ref="FZ39" si="144" xml:space="preserve"> -0.05652 + 0.972005*FY39   +N("533 NN")</f>
        <v>-0.35418517524135151</v>
      </c>
      <c r="GA39" s="46">
        <f t="shared" ref="GA39" si="145" xml:space="preserve">     0.018586 + 0.960264 * FZ39    +N("549 LnD Er")</f>
        <v>-0.3215252731179612</v>
      </c>
      <c r="GB39" s="46">
        <f t="shared" ref="GB39" si="146" xml:space="preserve"> -0.02011 + 0.936315 * FZ39    +N("574 NN Er")</f>
        <v>-0.35173889235610606</v>
      </c>
      <c r="GC39" s="46">
        <f t="shared" ref="GC39" si="147" xml:space="preserve">   0.01732 + 1.006083 * GB39  +N("597 NN Yb")</f>
        <v>-0.33655852003830827</v>
      </c>
      <c r="GD39" s="46">
        <f>(-1.72947 +0 ) * (3.46258+0) * BQ39   - (1.87473 + 0) *BP39   + (0.03253+0) * (CK39*100)    +N("eqn625 aliv mg# wo")</f>
        <v>-0.87182462287380091</v>
      </c>
      <c r="GE39" s="46"/>
      <c r="GF39" s="46"/>
      <c r="GG39" s="46"/>
      <c r="GH39" s="46"/>
    </row>
    <row r="40" spans="1:190" x14ac:dyDescent="0.25">
      <c r="A40" s="5" t="s">
        <v>85</v>
      </c>
      <c r="B40" s="1">
        <v>1357</v>
      </c>
      <c r="C40" s="98" t="s">
        <v>98</v>
      </c>
      <c r="D40" s="98" t="s">
        <v>105</v>
      </c>
      <c r="E40" s="1">
        <v>364</v>
      </c>
      <c r="F40" s="22">
        <v>51.45</v>
      </c>
      <c r="G40" s="22">
        <v>0.53800000000000003</v>
      </c>
      <c r="H40" s="22">
        <v>1.583</v>
      </c>
      <c r="I40" s="22">
        <v>0</v>
      </c>
      <c r="J40" s="22">
        <v>11.28</v>
      </c>
      <c r="K40" s="22">
        <v>0.60899999999999999</v>
      </c>
      <c r="L40" s="22">
        <v>15.75</v>
      </c>
      <c r="M40" s="22">
        <v>17.149999999999999</v>
      </c>
      <c r="N40" s="22">
        <v>0.23200000000000001</v>
      </c>
      <c r="O40" s="22">
        <v>8.9999999999999993E-3</v>
      </c>
      <c r="P40" s="22">
        <v>0</v>
      </c>
      <c r="Q40" s="22"/>
      <c r="R40" s="22"/>
      <c r="S40" s="22">
        <f t="shared" si="0"/>
        <v>98.600999999999985</v>
      </c>
      <c r="T40" s="3"/>
      <c r="U40" s="22">
        <f t="shared" si="1"/>
        <v>10.24019507929777</v>
      </c>
      <c r="V40" s="22">
        <f t="shared" si="2"/>
        <v>1.1555352083763875</v>
      </c>
      <c r="W40" s="22">
        <f t="shared" si="3"/>
        <v>98.716730287674153</v>
      </c>
      <c r="X40" s="1"/>
      <c r="Y40" s="1"/>
      <c r="Z40" s="1"/>
      <c r="AA40" s="1" t="s">
        <v>185</v>
      </c>
      <c r="AC40" s="1">
        <v>6</v>
      </c>
      <c r="AD40" s="1">
        <v>4</v>
      </c>
      <c r="AE40" s="1"/>
      <c r="AF40" s="26">
        <f t="shared" si="4"/>
        <v>1.9471442393786942</v>
      </c>
      <c r="AG40" s="26">
        <f t="shared" si="5"/>
        <v>1.5313938141227175E-2</v>
      </c>
      <c r="AH40" s="26">
        <f t="shared" si="6"/>
        <v>7.0603097158726202E-2</v>
      </c>
      <c r="AI40" s="26">
        <f t="shared" si="7"/>
        <v>0</v>
      </c>
      <c r="AJ40" s="26">
        <f t="shared" si="8"/>
        <v>0.35696447400422282</v>
      </c>
      <c r="AK40" s="26">
        <f t="shared" si="9"/>
        <v>1.9519503985283834E-2</v>
      </c>
      <c r="AL40" s="26">
        <f t="shared" si="10"/>
        <v>0.88862429155217471</v>
      </c>
      <c r="AM40" s="26">
        <f t="shared" si="11"/>
        <v>0.69534252200351843</v>
      </c>
      <c r="AN40" s="26">
        <f t="shared" si="12"/>
        <v>1.7021940874519099E-2</v>
      </c>
      <c r="AO40" s="26">
        <f t="shared" si="13"/>
        <v>4.3447447921810895E-4</v>
      </c>
      <c r="AP40" s="26">
        <f t="shared" si="14"/>
        <v>0</v>
      </c>
      <c r="AQ40" s="26">
        <f t="shared" si="15"/>
        <v>0</v>
      </c>
      <c r="AR40" s="26">
        <f t="shared" si="16"/>
        <v>0</v>
      </c>
      <c r="AS40" s="26">
        <f t="shared" si="17"/>
        <v>4.010968481577585</v>
      </c>
      <c r="AT40" s="26">
        <f t="shared" si="18"/>
        <v>2.0177473365374206</v>
      </c>
      <c r="AU40" s="26">
        <f t="shared" si="19"/>
        <v>0.71279893735725564</v>
      </c>
      <c r="AV40" s="47"/>
      <c r="AW40" s="26">
        <f t="shared" si="20"/>
        <v>1.9418195364256243</v>
      </c>
      <c r="AX40" s="26">
        <f t="shared" si="21"/>
        <v>1.5272060313177958E-2</v>
      </c>
      <c r="AY40" s="26">
        <f t="shared" si="22"/>
        <v>7.0410024394863102E-2</v>
      </c>
      <c r="AZ40" s="26">
        <f t="shared" si="23"/>
        <v>0</v>
      </c>
      <c r="BA40" s="26">
        <f t="shared" si="24"/>
        <v>0.32317285040745058</v>
      </c>
      <c r="BB40" s="26">
        <f t="shared" si="25"/>
        <v>3.2815460788475193E-2</v>
      </c>
      <c r="BC40" s="26">
        <f t="shared" si="26"/>
        <v>1.9466125525480535E-2</v>
      </c>
      <c r="BD40" s="26">
        <f t="shared" si="27"/>
        <v>0.88619424025258142</v>
      </c>
      <c r="BE40" s="26">
        <f t="shared" si="28"/>
        <v>0.69344102323140455</v>
      </c>
      <c r="BF40" s="26">
        <f t="shared" si="29"/>
        <v>1.6975392305076466E-2</v>
      </c>
      <c r="BG40" s="26">
        <f t="shared" si="30"/>
        <v>4.3328635586507765E-4</v>
      </c>
      <c r="BH40" s="26">
        <f t="shared" si="31"/>
        <v>0</v>
      </c>
      <c r="BI40" s="26">
        <f t="shared" si="32"/>
        <v>0</v>
      </c>
      <c r="BJ40" s="26">
        <f t="shared" si="33"/>
        <v>0</v>
      </c>
      <c r="BK40" s="25">
        <f t="shared" si="34"/>
        <v>3.9999999999999991</v>
      </c>
      <c r="BL40" s="24">
        <f t="shared" si="35"/>
        <v>5.9999999999999991</v>
      </c>
      <c r="BM40" s="26">
        <f t="shared" si="36"/>
        <v>2.0122295608204874</v>
      </c>
      <c r="BN40" s="26">
        <f t="shared" si="37"/>
        <v>0.71084970189234609</v>
      </c>
      <c r="BO40" s="22"/>
      <c r="BP40" s="23">
        <f t="shared" si="38"/>
        <v>0.71341707321455428</v>
      </c>
      <c r="BQ40" s="26">
        <f t="shared" si="39"/>
        <v>5.8180463574375674E-2</v>
      </c>
      <c r="BR40" s="26">
        <f t="shared" si="40"/>
        <v>1.2229560820487428E-2</v>
      </c>
      <c r="BS40" s="26"/>
      <c r="BT40" s="26">
        <f t="shared" si="41"/>
        <v>1.2229560820487428E-2</v>
      </c>
      <c r="BU40" s="26">
        <f t="shared" si="42"/>
        <v>0</v>
      </c>
      <c r="BV40" s="26">
        <f t="shared" si="43"/>
        <v>1.2229560820487428E-2</v>
      </c>
      <c r="BW40" s="26">
        <f t="shared" si="44"/>
        <v>0</v>
      </c>
      <c r="BX40" s="26">
        <f t="shared" si="45"/>
        <v>0.683112961183031</v>
      </c>
      <c r="BY40" s="26">
        <f t="shared" si="46"/>
        <v>0.28123790218668326</v>
      </c>
      <c r="BZ40" s="26">
        <f t="shared" si="47"/>
        <v>0.98880998501068906</v>
      </c>
      <c r="CA40" s="22"/>
      <c r="CB40" s="22">
        <f t="shared" si="48"/>
        <v>1.6975392305076466E-2</v>
      </c>
      <c r="CC40" s="22">
        <f t="shared" si="49"/>
        <v>0</v>
      </c>
      <c r="CD40" s="22">
        <f t="shared" si="50"/>
        <v>1.5840068483398726E-2</v>
      </c>
      <c r="CE40" s="22">
        <f t="shared" si="51"/>
        <v>0</v>
      </c>
      <c r="CF40" s="22">
        <f t="shared" si="52"/>
        <v>1.2229560820487428E-2</v>
      </c>
      <c r="CG40" s="22">
        <f t="shared" si="53"/>
        <v>0.34117339311629746</v>
      </c>
      <c r="CH40" s="22">
        <f t="shared" si="54"/>
        <v>0.48277181416177289</v>
      </c>
      <c r="CI40" s="22">
        <f t="shared" si="55"/>
        <v>0.17605479272192964</v>
      </c>
      <c r="CJ40" s="22"/>
      <c r="CK40" s="22">
        <f t="shared" si="56"/>
        <v>0.35468501683506132</v>
      </c>
      <c r="CL40" s="22">
        <f t="shared" si="57"/>
        <v>0.45327548918061517</v>
      </c>
      <c r="CM40" s="22">
        <f t="shared" si="58"/>
        <v>0.19203949398432354</v>
      </c>
      <c r="CN40" s="1"/>
      <c r="CO40" s="26">
        <f t="shared" si="59"/>
        <v>0.85635818908122507</v>
      </c>
      <c r="CP40" s="26">
        <f t="shared" si="60"/>
        <v>6.7351026539809724E-3</v>
      </c>
      <c r="CQ40" s="26">
        <f t="shared" si="61"/>
        <v>3.1051392703020795E-2</v>
      </c>
      <c r="CR40" s="26">
        <f t="shared" si="62"/>
        <v>0</v>
      </c>
      <c r="CS40" s="26">
        <f t="shared" si="63"/>
        <v>0.15699373695198329</v>
      </c>
      <c r="CT40" s="26">
        <f t="shared" si="64"/>
        <v>8.5847194812517617E-3</v>
      </c>
      <c r="CU40" s="26">
        <f t="shared" si="65"/>
        <v>0.39081885856079407</v>
      </c>
      <c r="CV40" s="26">
        <f t="shared" si="66"/>
        <v>0.30581312410841655</v>
      </c>
      <c r="CW40" s="26">
        <f t="shared" si="67"/>
        <v>7.4862858986769936E-3</v>
      </c>
      <c r="CX40" s="26">
        <f t="shared" si="68"/>
        <v>1.9108280254777067E-4</v>
      </c>
      <c r="CY40" s="26">
        <f t="shared" si="69"/>
        <v>0</v>
      </c>
      <c r="CZ40" s="26">
        <f t="shared" si="70"/>
        <v>0</v>
      </c>
      <c r="DA40" s="26">
        <f t="shared" si="71"/>
        <v>0</v>
      </c>
      <c r="DB40" s="26">
        <f t="shared" si="72"/>
        <v>1.7640324922418975</v>
      </c>
      <c r="DC40" s="26">
        <f t="shared" si="73"/>
        <v>2.638812795978001</v>
      </c>
      <c r="DD40" s="26">
        <f t="shared" si="74"/>
        <v>2.26753192902724</v>
      </c>
      <c r="DE40" s="26">
        <f t="shared" si="75"/>
        <v>5.9835922696057615</v>
      </c>
      <c r="DF40" s="1"/>
      <c r="DG40" s="22"/>
      <c r="DH40" s="14"/>
      <c r="DI40" s="14"/>
      <c r="DJ40" s="14"/>
      <c r="DK40" s="14"/>
      <c r="DL40" s="14"/>
      <c r="DM40" s="96"/>
      <c r="DN40" s="14"/>
      <c r="DO40" s="96"/>
      <c r="DP40" s="22"/>
      <c r="DQ40" s="14"/>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46"/>
      <c r="FR40" s="46"/>
      <c r="FS40" s="46"/>
      <c r="FT40" s="46"/>
      <c r="FU40" s="46"/>
      <c r="FV40" s="46"/>
      <c r="FW40" s="46"/>
      <c r="FX40" s="46"/>
      <c r="FY40" s="46"/>
      <c r="FZ40" s="46"/>
      <c r="GA40" s="46"/>
      <c r="GB40" s="46"/>
      <c r="GC40" s="46"/>
      <c r="GD40" s="46"/>
      <c r="GE40" s="46"/>
      <c r="GF40" s="46"/>
      <c r="GG40" s="46"/>
      <c r="GH40" s="46"/>
    </row>
    <row r="41" spans="1:190" x14ac:dyDescent="0.25">
      <c r="A41" s="5" t="s">
        <v>85</v>
      </c>
      <c r="B41" s="1">
        <v>1358</v>
      </c>
      <c r="C41" s="98" t="s">
        <v>98</v>
      </c>
      <c r="D41" s="98" t="s">
        <v>105</v>
      </c>
      <c r="E41" s="1">
        <v>365</v>
      </c>
      <c r="F41" s="22">
        <v>49.46</v>
      </c>
      <c r="G41" s="22">
        <v>1.212</v>
      </c>
      <c r="H41" s="22">
        <v>3.14</v>
      </c>
      <c r="I41" s="22">
        <v>1.0999999999999999E-2</v>
      </c>
      <c r="J41" s="22">
        <v>10.86</v>
      </c>
      <c r="K41" s="22">
        <v>0.443</v>
      </c>
      <c r="L41" s="22">
        <v>13.49</v>
      </c>
      <c r="M41" s="22">
        <v>19.63</v>
      </c>
      <c r="N41" s="22">
        <v>0.39800000000000002</v>
      </c>
      <c r="O41" s="22">
        <v>0</v>
      </c>
      <c r="P41" s="22">
        <v>0</v>
      </c>
      <c r="Q41" s="22"/>
      <c r="R41" s="22"/>
      <c r="S41" s="22">
        <f t="shared" si="0"/>
        <v>98.643999999999991</v>
      </c>
      <c r="T41" s="3"/>
      <c r="U41" s="22">
        <f t="shared" si="1"/>
        <v>8.7443539793048437</v>
      </c>
      <c r="V41" s="22">
        <f t="shared" si="2"/>
        <v>2.3511174227985254</v>
      </c>
      <c r="W41" s="22">
        <f t="shared" si="3"/>
        <v>98.879471402103391</v>
      </c>
      <c r="X41" s="1"/>
      <c r="Y41" s="1"/>
      <c r="Z41" s="1"/>
      <c r="AA41" s="1" t="s">
        <v>185</v>
      </c>
      <c r="AC41" s="1">
        <v>6</v>
      </c>
      <c r="AD41" s="1">
        <v>4</v>
      </c>
      <c r="AE41" s="1"/>
      <c r="AF41" s="26">
        <f t="shared" si="4"/>
        <v>1.8867036746494947</v>
      </c>
      <c r="AG41" s="26">
        <f t="shared" si="5"/>
        <v>3.4773152958513104E-2</v>
      </c>
      <c r="AH41" s="26">
        <f t="shared" si="6"/>
        <v>0.14115924414712111</v>
      </c>
      <c r="AI41" s="26">
        <f t="shared" si="7"/>
        <v>3.3173185183915698E-4</v>
      </c>
      <c r="AJ41" s="26">
        <f t="shared" si="8"/>
        <v>0.34640373023902299</v>
      </c>
      <c r="AK41" s="26">
        <f t="shared" si="9"/>
        <v>1.4311727197976416E-2</v>
      </c>
      <c r="AL41" s="26">
        <f t="shared" si="10"/>
        <v>0.76716081314272699</v>
      </c>
      <c r="AM41" s="26">
        <f t="shared" si="11"/>
        <v>0.80221689087106662</v>
      </c>
      <c r="AN41" s="26">
        <f t="shared" si="12"/>
        <v>2.9433438669499438E-2</v>
      </c>
      <c r="AO41" s="26">
        <f t="shared" si="13"/>
        <v>0</v>
      </c>
      <c r="AP41" s="26">
        <f t="shared" si="14"/>
        <v>0</v>
      </c>
      <c r="AQ41" s="26">
        <f t="shared" si="15"/>
        <v>0</v>
      </c>
      <c r="AR41" s="26">
        <f t="shared" si="16"/>
        <v>0</v>
      </c>
      <c r="AS41" s="26">
        <f t="shared" si="17"/>
        <v>4.0224944037272605</v>
      </c>
      <c r="AT41" s="26">
        <f t="shared" si="18"/>
        <v>2.027862918796616</v>
      </c>
      <c r="AU41" s="26">
        <f t="shared" si="19"/>
        <v>0.83165032954056606</v>
      </c>
      <c r="AV41" s="47"/>
      <c r="AW41" s="26">
        <f t="shared" si="20"/>
        <v>1.8761529392322005</v>
      </c>
      <c r="AX41" s="26">
        <f t="shared" si="21"/>
        <v>3.4578696170507676E-2</v>
      </c>
      <c r="AY41" s="26">
        <f t="shared" si="22"/>
        <v>0.14036986007122576</v>
      </c>
      <c r="AZ41" s="26">
        <f t="shared" si="23"/>
        <v>3.2987675660333825E-4</v>
      </c>
      <c r="BA41" s="26">
        <f t="shared" si="24"/>
        <v>0.27736075286895862</v>
      </c>
      <c r="BB41" s="26">
        <f t="shared" si="25"/>
        <v>6.7105834746968185E-2</v>
      </c>
      <c r="BC41" s="26">
        <f t="shared" si="26"/>
        <v>1.4231693831285488E-2</v>
      </c>
      <c r="BD41" s="26">
        <f t="shared" si="27"/>
        <v>0.76287073258013471</v>
      </c>
      <c r="BE41" s="26">
        <f t="shared" si="28"/>
        <v>0.79773077136189807</v>
      </c>
      <c r="BF41" s="26">
        <f t="shared" si="29"/>
        <v>2.9268842380216892E-2</v>
      </c>
      <c r="BG41" s="26">
        <f t="shared" si="30"/>
        <v>0</v>
      </c>
      <c r="BH41" s="26">
        <f t="shared" si="31"/>
        <v>0</v>
      </c>
      <c r="BI41" s="26">
        <f t="shared" si="32"/>
        <v>0</v>
      </c>
      <c r="BJ41" s="26">
        <f t="shared" si="33"/>
        <v>0</v>
      </c>
      <c r="BK41" s="25">
        <f t="shared" si="34"/>
        <v>3.9999999999999987</v>
      </c>
      <c r="BL41" s="24">
        <f t="shared" si="35"/>
        <v>5.9999999999999982</v>
      </c>
      <c r="BM41" s="26">
        <f t="shared" si="36"/>
        <v>2.0165227993034263</v>
      </c>
      <c r="BN41" s="26">
        <f t="shared" si="37"/>
        <v>0.82699961374211495</v>
      </c>
      <c r="BO41" s="22"/>
      <c r="BP41" s="23">
        <f t="shared" si="38"/>
        <v>0.68892352733588291</v>
      </c>
      <c r="BQ41" s="26">
        <f t="shared" si="39"/>
        <v>0.1238470607677995</v>
      </c>
      <c r="BR41" s="26">
        <f t="shared" si="40"/>
        <v>1.6522799303426261E-2</v>
      </c>
      <c r="BS41" s="26"/>
      <c r="BT41" s="26">
        <f t="shared" si="41"/>
        <v>1.6522799303426261E-2</v>
      </c>
      <c r="BU41" s="26">
        <f t="shared" si="42"/>
        <v>0</v>
      </c>
      <c r="BV41" s="26">
        <f t="shared" si="43"/>
        <v>1.6522799303426261E-2</v>
      </c>
      <c r="BW41" s="26">
        <f t="shared" si="44"/>
        <v>1.6586592591957849E-4</v>
      </c>
      <c r="BX41" s="26">
        <f t="shared" si="45"/>
        <v>0.78552822564172076</v>
      </c>
      <c r="BY41" s="26">
        <f t="shared" si="46"/>
        <v>0.16401815887001464</v>
      </c>
      <c r="BZ41" s="26">
        <f t="shared" si="47"/>
        <v>0.98275784904450747</v>
      </c>
      <c r="CA41" s="22"/>
      <c r="CB41" s="22">
        <f t="shared" si="48"/>
        <v>2.9268842380216892E-2</v>
      </c>
      <c r="CC41" s="22">
        <f t="shared" si="49"/>
        <v>0</v>
      </c>
      <c r="CD41" s="22">
        <f t="shared" si="50"/>
        <v>3.7836992366751296E-2</v>
      </c>
      <c r="CE41" s="22">
        <f t="shared" si="51"/>
        <v>3.2987675660333825E-4</v>
      </c>
      <c r="CF41" s="22">
        <f t="shared" si="52"/>
        <v>1.6522799303426261E-2</v>
      </c>
      <c r="CG41" s="22">
        <f t="shared" si="53"/>
        <v>0.38615497265766702</v>
      </c>
      <c r="CH41" s="22">
        <f t="shared" si="54"/>
        <v>0.45017326647938238</v>
      </c>
      <c r="CI41" s="22">
        <f t="shared" si="55"/>
        <v>0.16367176086295071</v>
      </c>
      <c r="CJ41" s="22"/>
      <c r="CK41" s="22">
        <f t="shared" si="56"/>
        <v>0.41563635729793708</v>
      </c>
      <c r="CL41" s="22">
        <f t="shared" si="57"/>
        <v>0.39747346318043808</v>
      </c>
      <c r="CM41" s="22">
        <f t="shared" si="58"/>
        <v>0.18689017952162498</v>
      </c>
      <c r="CN41" s="1"/>
      <c r="CO41" s="26">
        <f t="shared" si="59"/>
        <v>0.8232356857523303</v>
      </c>
      <c r="CP41" s="26">
        <f t="shared" si="60"/>
        <v>1.5172759138708063E-2</v>
      </c>
      <c r="CQ41" s="26">
        <f t="shared" si="61"/>
        <v>6.159278148293449E-2</v>
      </c>
      <c r="CR41" s="26">
        <f t="shared" si="62"/>
        <v>1.4474636489242711E-4</v>
      </c>
      <c r="CS41" s="26">
        <f t="shared" si="63"/>
        <v>0.15114822546972861</v>
      </c>
      <c r="CT41" s="26">
        <f t="shared" si="64"/>
        <v>6.2447138426839589E-3</v>
      </c>
      <c r="CU41" s="26">
        <f t="shared" si="65"/>
        <v>0.33473945409429284</v>
      </c>
      <c r="CV41" s="26">
        <f t="shared" si="66"/>
        <v>0.35003566333808844</v>
      </c>
      <c r="CW41" s="26">
        <f t="shared" si="67"/>
        <v>1.2842852533075187E-2</v>
      </c>
      <c r="CX41" s="26">
        <f t="shared" si="68"/>
        <v>0</v>
      </c>
      <c r="CY41" s="26">
        <f t="shared" si="69"/>
        <v>0</v>
      </c>
      <c r="CZ41" s="26">
        <f t="shared" si="70"/>
        <v>0</v>
      </c>
      <c r="DA41" s="26">
        <f t="shared" si="71"/>
        <v>0</v>
      </c>
      <c r="DB41" s="26">
        <f t="shared" si="72"/>
        <v>1.7551568820167347</v>
      </c>
      <c r="DC41" s="26">
        <f t="shared" si="73"/>
        <v>2.6180126645651489</v>
      </c>
      <c r="DD41" s="26">
        <f t="shared" si="74"/>
        <v>2.2789985561882449</v>
      </c>
      <c r="DE41" s="26">
        <f t="shared" si="75"/>
        <v>5.9664470826265141</v>
      </c>
      <c r="DF41" s="1"/>
      <c r="DG41" s="22"/>
      <c r="DH41" s="14"/>
      <c r="DI41" s="14"/>
      <c r="DJ41" s="14"/>
      <c r="DK41" s="14"/>
      <c r="DL41" s="14"/>
      <c r="DM41" s="96"/>
      <c r="DN41" s="14"/>
      <c r="DO41" s="96"/>
      <c r="DP41" s="22"/>
      <c r="DQ41" s="14"/>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46"/>
      <c r="FR41" s="46"/>
      <c r="FS41" s="46"/>
      <c r="FT41" s="46"/>
      <c r="FU41" s="46"/>
      <c r="FV41" s="46"/>
      <c r="FW41" s="46"/>
      <c r="FX41" s="46"/>
      <c r="FY41" s="46"/>
      <c r="FZ41" s="46"/>
      <c r="GA41" s="46"/>
      <c r="GB41" s="46"/>
      <c r="GC41" s="46"/>
      <c r="GD41" s="46"/>
      <c r="GE41" s="46"/>
      <c r="GF41" s="46"/>
      <c r="GG41" s="46"/>
      <c r="GH41" s="46"/>
    </row>
    <row r="42" spans="1:190" x14ac:dyDescent="0.25">
      <c r="A42" s="5" t="s">
        <v>85</v>
      </c>
      <c r="B42" s="1">
        <v>1360</v>
      </c>
      <c r="C42" s="98" t="s">
        <v>98</v>
      </c>
      <c r="D42" s="98" t="s">
        <v>105</v>
      </c>
      <c r="E42" s="1">
        <v>367</v>
      </c>
      <c r="F42" s="22">
        <v>50.86</v>
      </c>
      <c r="G42" s="22">
        <v>0.67500000000000004</v>
      </c>
      <c r="H42" s="22">
        <v>1.8320000000000001</v>
      </c>
      <c r="I42" s="22">
        <v>1.2E-2</v>
      </c>
      <c r="J42" s="22">
        <v>11.04</v>
      </c>
      <c r="K42" s="22">
        <v>0.59</v>
      </c>
      <c r="L42" s="22">
        <v>14.06</v>
      </c>
      <c r="M42" s="22">
        <v>19.649999999999999</v>
      </c>
      <c r="N42" s="22">
        <v>0.35</v>
      </c>
      <c r="O42" s="22">
        <v>7.0000000000000001E-3</v>
      </c>
      <c r="P42" s="22">
        <v>0</v>
      </c>
      <c r="Q42" s="22"/>
      <c r="R42" s="22"/>
      <c r="S42" s="22">
        <f t="shared" si="0"/>
        <v>99.075999999999993</v>
      </c>
      <c r="T42" s="3"/>
      <c r="U42" s="22">
        <f t="shared" si="1"/>
        <v>8.9460718260299643</v>
      </c>
      <c r="V42" s="22">
        <f t="shared" si="2"/>
        <v>2.3269823797329003</v>
      </c>
      <c r="W42" s="22">
        <f t="shared" si="3"/>
        <v>99.309054205762862</v>
      </c>
      <c r="X42" s="1"/>
      <c r="Y42" s="1"/>
      <c r="Z42" s="1"/>
      <c r="AA42" s="1" t="s">
        <v>185</v>
      </c>
      <c r="AC42" s="1">
        <v>6</v>
      </c>
      <c r="AD42" s="1">
        <v>4</v>
      </c>
      <c r="AE42" s="1"/>
      <c r="AF42" s="26">
        <f t="shared" si="4"/>
        <v>1.9304696843589382</v>
      </c>
      <c r="AG42" s="26">
        <f t="shared" si="5"/>
        <v>1.9270024674125912E-2</v>
      </c>
      <c r="AH42" s="26">
        <f t="shared" si="6"/>
        <v>8.1948723363280698E-2</v>
      </c>
      <c r="AI42" s="26">
        <f t="shared" si="7"/>
        <v>3.600914261246257E-4</v>
      </c>
      <c r="AJ42" s="26">
        <f t="shared" si="8"/>
        <v>0.35039577027242391</v>
      </c>
      <c r="AK42" s="26">
        <f t="shared" si="9"/>
        <v>1.8966071419181878E-2</v>
      </c>
      <c r="AL42" s="26">
        <f t="shared" si="10"/>
        <v>0.79560376317715797</v>
      </c>
      <c r="AM42" s="26">
        <f t="shared" si="11"/>
        <v>0.79904475272215192</v>
      </c>
      <c r="AN42" s="26">
        <f t="shared" si="12"/>
        <v>2.5755087057436076E-2</v>
      </c>
      <c r="AO42" s="26">
        <f t="shared" si="13"/>
        <v>3.3891726025899957E-4</v>
      </c>
      <c r="AP42" s="26">
        <f t="shared" si="14"/>
        <v>0</v>
      </c>
      <c r="AQ42" s="26">
        <f t="shared" si="15"/>
        <v>0</v>
      </c>
      <c r="AR42" s="26">
        <f t="shared" si="16"/>
        <v>0</v>
      </c>
      <c r="AS42" s="26">
        <f t="shared" si="17"/>
        <v>4.0221528857310798</v>
      </c>
      <c r="AT42" s="26">
        <f t="shared" si="18"/>
        <v>2.0124184077222189</v>
      </c>
      <c r="AU42" s="26">
        <f t="shared" si="19"/>
        <v>0.82513875703984707</v>
      </c>
      <c r="AV42" s="47"/>
      <c r="AW42" s="26">
        <f t="shared" si="20"/>
        <v>1.9198372008258948</v>
      </c>
      <c r="AX42" s="26">
        <f t="shared" si="21"/>
        <v>1.9163890803343568E-2</v>
      </c>
      <c r="AY42" s="26">
        <f t="shared" si="22"/>
        <v>8.1497372866158879E-2</v>
      </c>
      <c r="AZ42" s="26">
        <f t="shared" si="23"/>
        <v>3.5810814392668149E-4</v>
      </c>
      <c r="BA42" s="26">
        <f t="shared" si="24"/>
        <v>0.28237326739764179</v>
      </c>
      <c r="BB42" s="26">
        <f t="shared" si="25"/>
        <v>6.6092621619637359E-2</v>
      </c>
      <c r="BC42" s="26">
        <f t="shared" si="26"/>
        <v>1.8861611637355294E-2</v>
      </c>
      <c r="BD42" s="26">
        <f t="shared" si="27"/>
        <v>0.79122180163725553</v>
      </c>
      <c r="BE42" s="26">
        <f t="shared" si="28"/>
        <v>0.79464383918058334</v>
      </c>
      <c r="BF42" s="26">
        <f t="shared" si="29"/>
        <v>2.5613235288797075E-2</v>
      </c>
      <c r="BG42" s="26">
        <f t="shared" si="30"/>
        <v>3.3705059940544431E-4</v>
      </c>
      <c r="BH42" s="26">
        <f t="shared" si="31"/>
        <v>0</v>
      </c>
      <c r="BI42" s="26">
        <f t="shared" si="32"/>
        <v>0</v>
      </c>
      <c r="BJ42" s="26">
        <f t="shared" si="33"/>
        <v>0</v>
      </c>
      <c r="BK42" s="25">
        <f t="shared" si="34"/>
        <v>3.9999999999999996</v>
      </c>
      <c r="BL42" s="24">
        <f t="shared" si="35"/>
        <v>5.9999999999999982</v>
      </c>
      <c r="BM42" s="26">
        <f t="shared" si="36"/>
        <v>2.0013345736920538</v>
      </c>
      <c r="BN42" s="26">
        <f t="shared" si="37"/>
        <v>0.82059412506878593</v>
      </c>
      <c r="BO42" s="22"/>
      <c r="BP42" s="23">
        <f t="shared" si="38"/>
        <v>0.6942444040813045</v>
      </c>
      <c r="BQ42" s="26">
        <f t="shared" si="39"/>
        <v>8.0162799174105182E-2</v>
      </c>
      <c r="BR42" s="26">
        <f t="shared" si="40"/>
        <v>1.3345736920536977E-3</v>
      </c>
      <c r="BS42" s="26"/>
      <c r="BT42" s="26">
        <f t="shared" si="41"/>
        <v>1.3345736920536977E-3</v>
      </c>
      <c r="BU42" s="26">
        <f t="shared" si="42"/>
        <v>0</v>
      </c>
      <c r="BV42" s="26">
        <f t="shared" si="43"/>
        <v>1.3345736920536977E-3</v>
      </c>
      <c r="BW42" s="26">
        <f t="shared" si="44"/>
        <v>1.8004571306231285E-4</v>
      </c>
      <c r="BX42" s="26">
        <f t="shared" si="45"/>
        <v>0.79753013331703593</v>
      </c>
      <c r="BY42" s="26">
        <f t="shared" si="46"/>
        <v>0.17423470006627295</v>
      </c>
      <c r="BZ42" s="26">
        <f t="shared" si="47"/>
        <v>0.97461402648047857</v>
      </c>
      <c r="CA42" s="22"/>
      <c r="CB42" s="22">
        <f t="shared" si="48"/>
        <v>2.5613235288797075E-2</v>
      </c>
      <c r="CC42" s="22">
        <f t="shared" si="49"/>
        <v>0</v>
      </c>
      <c r="CD42" s="22">
        <f t="shared" si="50"/>
        <v>4.0479386330840285E-2</v>
      </c>
      <c r="CE42" s="22">
        <f t="shared" si="51"/>
        <v>3.5810814392668149E-4</v>
      </c>
      <c r="CF42" s="22">
        <f t="shared" si="52"/>
        <v>1.3345736920536977E-3</v>
      </c>
      <c r="CG42" s="22">
        <f t="shared" si="53"/>
        <v>0.38904250315127992</v>
      </c>
      <c r="CH42" s="22">
        <f t="shared" si="54"/>
        <v>0.45026556596891298</v>
      </c>
      <c r="CI42" s="22">
        <f t="shared" si="55"/>
        <v>0.16069193087980715</v>
      </c>
      <c r="CJ42" s="22"/>
      <c r="CK42" s="22">
        <f t="shared" si="56"/>
        <v>0.40684345152958978</v>
      </c>
      <c r="CL42" s="22">
        <f t="shared" si="57"/>
        <v>0.40509142943271303</v>
      </c>
      <c r="CM42" s="22">
        <f t="shared" si="58"/>
        <v>0.18806511903769721</v>
      </c>
      <c r="CN42" s="1"/>
      <c r="CO42" s="26">
        <f t="shared" si="59"/>
        <v>0.84653794940079896</v>
      </c>
      <c r="CP42" s="26">
        <f t="shared" si="60"/>
        <v>8.4501752628943425E-3</v>
      </c>
      <c r="CQ42" s="26">
        <f t="shared" si="61"/>
        <v>3.5935661043546493E-2</v>
      </c>
      <c r="CR42" s="26">
        <f t="shared" si="62"/>
        <v>1.5790512533719322E-4</v>
      </c>
      <c r="CS42" s="26">
        <f t="shared" si="63"/>
        <v>0.15365344467640918</v>
      </c>
      <c r="CT42" s="26">
        <f t="shared" si="64"/>
        <v>8.3168875105723138E-3</v>
      </c>
      <c r="CU42" s="26">
        <f t="shared" si="65"/>
        <v>0.34888337468982633</v>
      </c>
      <c r="CV42" s="26">
        <f t="shared" si="66"/>
        <v>0.35039229671897287</v>
      </c>
      <c r="CW42" s="26">
        <f t="shared" si="67"/>
        <v>1.1293965795417877E-2</v>
      </c>
      <c r="CX42" s="26">
        <f t="shared" si="68"/>
        <v>1.4861995753715499E-4</v>
      </c>
      <c r="CY42" s="26">
        <f t="shared" si="69"/>
        <v>0</v>
      </c>
      <c r="CZ42" s="26">
        <f t="shared" si="70"/>
        <v>0</v>
      </c>
      <c r="DA42" s="26">
        <f t="shared" si="71"/>
        <v>0</v>
      </c>
      <c r="DB42" s="26">
        <f t="shared" si="72"/>
        <v>1.7637702801813127</v>
      </c>
      <c r="DC42" s="26">
        <f t="shared" si="73"/>
        <v>2.6310838950529707</v>
      </c>
      <c r="DD42" s="26">
        <f t="shared" si="74"/>
        <v>2.2678690331423468</v>
      </c>
      <c r="DE42" s="26">
        <f t="shared" si="75"/>
        <v>5.9669536891901807</v>
      </c>
      <c r="DF42" s="1"/>
      <c r="DG42" s="22"/>
      <c r="DH42" s="14"/>
      <c r="DI42" s="14"/>
      <c r="DJ42" s="14"/>
      <c r="DK42" s="14"/>
      <c r="DL42" s="14"/>
      <c r="DM42" s="96"/>
      <c r="DN42" s="14"/>
      <c r="DO42" s="96"/>
      <c r="DP42" s="22"/>
      <c r="DQ42" s="14"/>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46">
        <f t="shared" ref="FQ42" si="148" xml:space="preserve">  -0.73306   +   1.025016   *  FS42     +N("316 NN Nd")</f>
        <v>-1.5606221836713954</v>
      </c>
      <c r="FR42" s="46">
        <f t="shared" ref="FR42" si="149" xml:space="preserve">  -0.33671   +   1.013871 *  FS42    +N("340 NN")</f>
        <v>-1.1552740992151354</v>
      </c>
      <c r="FS42" s="46">
        <f t="shared" ref="FS42" si="150">-0.42496     +   1.017678*FT42                 + N("361 NN")</f>
        <v>-0.80736513739433857</v>
      </c>
      <c r="FT42" s="46">
        <f xml:space="preserve"> 0.68509  -3.34181 * BP42 + 0.03095*(100*CK42) +N("642 cpx Mg# Wo R2 0.59")</f>
        <v>-0.37576240951886408</v>
      </c>
      <c r="FU42" s="46">
        <f t="shared" ref="FU42" si="151" xml:space="preserve"> -0.06599 + 0.926002 * FT42  + N("409 NN")</f>
        <v>-0.41394674273928717</v>
      </c>
      <c r="FV42" s="46">
        <f t="shared" ref="FV42" si="152">0.1453     +   0.925549*FT42     +N("424 LnD Sm")</f>
        <v>-0.20248652236777512</v>
      </c>
      <c r="FW42" s="46">
        <f t="shared" ref="FW42" si="153" xml:space="preserve">  0.053547 + 0.932974 * FV42  +  N("445 NN")</f>
        <v>-0.13536766071955264</v>
      </c>
      <c r="FX42" s="46">
        <f t="shared" ref="FX42" si="154" xml:space="preserve">  0.027177  +  0.867603 * FV42 + N("464 NN Gd")</f>
        <v>-0.1485009142658488</v>
      </c>
      <c r="FY42" s="46">
        <f t="shared" ref="FY42" si="155" xml:space="preserve">  -0.06187  +  0.953618 * FX42   + N("505 NN Dy")</f>
        <v>-0.2034831448603702</v>
      </c>
      <c r="FZ42" s="46">
        <f t="shared" ref="FZ42" si="156" xml:space="preserve"> -0.05652 + 0.972005*FY42   +N("533 NN")</f>
        <v>-0.25430663422000416</v>
      </c>
      <c r="GA42" s="46">
        <f t="shared" ref="GA42" si="157" xml:space="preserve">     0.018586 + 0.960264 * FZ42    +N("549 LnD Er")</f>
        <v>-0.22561550580263809</v>
      </c>
      <c r="GB42" s="46">
        <f t="shared" ref="GB42" si="158" xml:space="preserve"> -0.02011 + 0.936315 * FZ42    +N("574 NN Er")</f>
        <v>-0.25822111621970317</v>
      </c>
      <c r="GC42" s="46">
        <f t="shared" ref="GC42" si="159" xml:space="preserve">   0.01732 + 1.006083 * GB42  +N("597 NN Yb")</f>
        <v>-0.24247187526966762</v>
      </c>
      <c r="GD42" s="46">
        <f>(-1.72947 +0 ) * (3.46258+0) * BQ42   - (1.87473 + 0) *BP42   + (0.03253+0) * (CK42*100)    +N("eqn625 aliv mg# wo")</f>
        <v>-0.45810823361604402</v>
      </c>
      <c r="GE42" s="46"/>
      <c r="GF42" s="46"/>
      <c r="GG42" s="46"/>
      <c r="GH42" s="46"/>
    </row>
    <row r="43" spans="1:190" x14ac:dyDescent="0.25">
      <c r="A43" s="5" t="s">
        <v>85</v>
      </c>
      <c r="B43" s="1">
        <v>1363</v>
      </c>
      <c r="C43" s="98" t="s">
        <v>98</v>
      </c>
      <c r="D43" s="98" t="s">
        <v>105</v>
      </c>
      <c r="E43" s="1">
        <v>370</v>
      </c>
      <c r="F43" s="22">
        <v>47.43</v>
      </c>
      <c r="G43" s="22">
        <v>1.306</v>
      </c>
      <c r="H43" s="22">
        <v>3.06</v>
      </c>
      <c r="I43" s="22">
        <v>0</v>
      </c>
      <c r="J43" s="22">
        <v>11.18</v>
      </c>
      <c r="K43" s="22">
        <v>0.44</v>
      </c>
      <c r="L43" s="22">
        <v>13.69</v>
      </c>
      <c r="M43" s="22">
        <v>18.27</v>
      </c>
      <c r="N43" s="22">
        <v>0.29899999999999999</v>
      </c>
      <c r="O43" s="22">
        <v>0</v>
      </c>
      <c r="P43" s="22">
        <v>0</v>
      </c>
      <c r="Q43" s="22"/>
      <c r="R43" s="22"/>
      <c r="S43" s="22">
        <f t="shared" si="0"/>
        <v>95.674999999999997</v>
      </c>
      <c r="T43" s="3"/>
      <c r="U43" s="22">
        <f t="shared" si="1"/>
        <v>8.2491796331956238</v>
      </c>
      <c r="V43" s="22">
        <f t="shared" si="2"/>
        <v>3.2570206736297034</v>
      </c>
      <c r="W43" s="22">
        <f t="shared" si="3"/>
        <v>96.001200306825325</v>
      </c>
      <c r="X43" s="1"/>
      <c r="Y43" s="1"/>
      <c r="Z43" s="1"/>
      <c r="AA43" s="1" t="s">
        <v>185</v>
      </c>
      <c r="AC43" s="1">
        <v>6</v>
      </c>
      <c r="AD43" s="1">
        <v>4</v>
      </c>
      <c r="AE43" s="1"/>
      <c r="AF43" s="26">
        <f t="shared" si="4"/>
        <v>1.8694404351615133</v>
      </c>
      <c r="AG43" s="26">
        <f t="shared" si="5"/>
        <v>3.8716273766522077E-2</v>
      </c>
      <c r="AH43" s="26">
        <f t="shared" si="6"/>
        <v>0.14213794320923287</v>
      </c>
      <c r="AI43" s="26">
        <f t="shared" si="7"/>
        <v>0</v>
      </c>
      <c r="AJ43" s="26">
        <f t="shared" si="8"/>
        <v>0.36847112682530686</v>
      </c>
      <c r="AK43" s="26">
        <f t="shared" si="9"/>
        <v>1.4687569131029185E-2</v>
      </c>
      <c r="AL43" s="26">
        <f t="shared" si="10"/>
        <v>0.8044273601615628</v>
      </c>
      <c r="AM43" s="26">
        <f t="shared" si="11"/>
        <v>0.77146987811307277</v>
      </c>
      <c r="AN43" s="26">
        <f t="shared" si="12"/>
        <v>2.2847466198217013E-2</v>
      </c>
      <c r="AO43" s="26">
        <f t="shared" si="13"/>
        <v>0</v>
      </c>
      <c r="AP43" s="26">
        <f t="shared" si="14"/>
        <v>0</v>
      </c>
      <c r="AQ43" s="26">
        <f t="shared" si="15"/>
        <v>0</v>
      </c>
      <c r="AR43" s="26">
        <f t="shared" si="16"/>
        <v>0</v>
      </c>
      <c r="AS43" s="26">
        <f t="shared" si="17"/>
        <v>4.0321980525664571</v>
      </c>
      <c r="AT43" s="26">
        <f t="shared" si="18"/>
        <v>2.0115783783707459</v>
      </c>
      <c r="AU43" s="26">
        <f t="shared" si="19"/>
        <v>0.79431734431128975</v>
      </c>
      <c r="AV43" s="47"/>
      <c r="AW43" s="26">
        <f t="shared" si="20"/>
        <v>1.8545125123222868</v>
      </c>
      <c r="AX43" s="26">
        <f t="shared" si="21"/>
        <v>3.8407115188084102E-2</v>
      </c>
      <c r="AY43" s="26">
        <f t="shared" si="22"/>
        <v>0.14100293820514434</v>
      </c>
      <c r="AZ43" s="26">
        <f t="shared" si="23"/>
        <v>0</v>
      </c>
      <c r="BA43" s="26">
        <f t="shared" si="24"/>
        <v>0.26970596739700192</v>
      </c>
      <c r="BB43" s="26">
        <f t="shared" si="25"/>
        <v>9.5822830565467587E-2</v>
      </c>
      <c r="BC43" s="26">
        <f t="shared" si="26"/>
        <v>1.457028542700742E-2</v>
      </c>
      <c r="BD43" s="26">
        <f t="shared" si="27"/>
        <v>0.7980038179419805</v>
      </c>
      <c r="BE43" s="26">
        <f t="shared" si="28"/>
        <v>0.76530950916167362</v>
      </c>
      <c r="BF43" s="26">
        <f t="shared" si="29"/>
        <v>2.2665023791353513E-2</v>
      </c>
      <c r="BG43" s="26">
        <f t="shared" si="30"/>
        <v>0</v>
      </c>
      <c r="BH43" s="26">
        <f t="shared" si="31"/>
        <v>0</v>
      </c>
      <c r="BI43" s="26">
        <f t="shared" si="32"/>
        <v>0</v>
      </c>
      <c r="BJ43" s="26">
        <f t="shared" si="33"/>
        <v>0</v>
      </c>
      <c r="BK43" s="25">
        <f t="shared" si="34"/>
        <v>4</v>
      </c>
      <c r="BL43" s="24">
        <f t="shared" si="35"/>
        <v>5.9999999999999991</v>
      </c>
      <c r="BM43" s="26">
        <f t="shared" si="36"/>
        <v>1.9955154505274311</v>
      </c>
      <c r="BN43" s="26">
        <f t="shared" si="37"/>
        <v>0.78797453295302711</v>
      </c>
      <c r="BO43" s="22"/>
      <c r="BP43" s="23">
        <f t="shared" si="38"/>
        <v>0.68584567981505817</v>
      </c>
      <c r="BQ43" s="26">
        <f t="shared" si="39"/>
        <v>0.14548748767771325</v>
      </c>
      <c r="BR43" s="26">
        <f t="shared" si="40"/>
        <v>0</v>
      </c>
      <c r="BS43" s="26"/>
      <c r="BT43" s="26">
        <f t="shared" si="41"/>
        <v>0</v>
      </c>
      <c r="BU43" s="26">
        <f t="shared" si="42"/>
        <v>0</v>
      </c>
      <c r="BV43" s="26">
        <f t="shared" si="43"/>
        <v>0</v>
      </c>
      <c r="BW43" s="26">
        <f t="shared" si="44"/>
        <v>0</v>
      </c>
      <c r="BX43" s="26">
        <f t="shared" si="45"/>
        <v>0.77146987811307277</v>
      </c>
      <c r="BY43" s="26">
        <f t="shared" si="46"/>
        <v>0.20071430443689847</v>
      </c>
      <c r="BZ43" s="26">
        <f t="shared" si="47"/>
        <v>0.9721841825499713</v>
      </c>
      <c r="CA43" s="22"/>
      <c r="CB43" s="22">
        <f t="shared" si="48"/>
        <v>2.2665023791353513E-2</v>
      </c>
      <c r="CC43" s="22">
        <f t="shared" si="49"/>
        <v>0</v>
      </c>
      <c r="CD43" s="22">
        <f t="shared" si="50"/>
        <v>7.315780677411407E-2</v>
      </c>
      <c r="CE43" s="22">
        <f t="shared" si="51"/>
        <v>0</v>
      </c>
      <c r="CF43" s="22">
        <f t="shared" si="52"/>
        <v>0</v>
      </c>
      <c r="CG43" s="22">
        <f t="shared" si="53"/>
        <v>0.3574083630894565</v>
      </c>
      <c r="CH43" s="22">
        <f t="shared" si="54"/>
        <v>0.48027149949683845</v>
      </c>
      <c r="CI43" s="22">
        <f t="shared" si="55"/>
        <v>0.16232013741370505</v>
      </c>
      <c r="CJ43" s="22"/>
      <c r="CK43" s="22">
        <f t="shared" si="56"/>
        <v>0.39379675926196245</v>
      </c>
      <c r="CL43" s="22">
        <f t="shared" si="57"/>
        <v>0.41061990426390821</v>
      </c>
      <c r="CM43" s="22">
        <f t="shared" si="58"/>
        <v>0.19558333647412943</v>
      </c>
      <c r="CN43" s="1"/>
      <c r="CO43" s="26">
        <f t="shared" si="59"/>
        <v>0.78944740346205067</v>
      </c>
      <c r="CP43" s="26">
        <f t="shared" si="60"/>
        <v>1.6349524286429645E-2</v>
      </c>
      <c r="CQ43" s="26">
        <f t="shared" si="61"/>
        <v>6.002353864260495E-2</v>
      </c>
      <c r="CR43" s="26">
        <f t="shared" si="62"/>
        <v>0</v>
      </c>
      <c r="CS43" s="26">
        <f t="shared" si="63"/>
        <v>0.15560194850382741</v>
      </c>
      <c r="CT43" s="26">
        <f t="shared" si="64"/>
        <v>6.2024245841556247E-3</v>
      </c>
      <c r="CU43" s="26">
        <f t="shared" si="65"/>
        <v>0.33970223325062038</v>
      </c>
      <c r="CV43" s="26">
        <f t="shared" si="66"/>
        <v>0.3257845934379458</v>
      </c>
      <c r="CW43" s="26">
        <f t="shared" si="67"/>
        <v>9.6482736366569864E-3</v>
      </c>
      <c r="CX43" s="26">
        <f t="shared" si="68"/>
        <v>0</v>
      </c>
      <c r="CY43" s="26">
        <f t="shared" si="69"/>
        <v>0</v>
      </c>
      <c r="CZ43" s="26">
        <f t="shared" si="70"/>
        <v>0</v>
      </c>
      <c r="DA43" s="26">
        <f t="shared" si="71"/>
        <v>0</v>
      </c>
      <c r="DB43" s="26">
        <f t="shared" si="72"/>
        <v>1.7027599398042914</v>
      </c>
      <c r="DC43" s="26">
        <f t="shared" si="73"/>
        <v>2.5337445000557457</v>
      </c>
      <c r="DD43" s="26">
        <f t="shared" si="74"/>
        <v>2.3491273822543324</v>
      </c>
      <c r="DE43" s="26">
        <f t="shared" si="75"/>
        <v>5.9520885847172664</v>
      </c>
      <c r="DF43" s="1"/>
      <c r="DG43" s="22"/>
      <c r="DH43" s="14"/>
      <c r="DI43" s="14"/>
      <c r="DJ43" s="14"/>
      <c r="DK43" s="14"/>
      <c r="DL43" s="14"/>
      <c r="DM43" s="96"/>
      <c r="DN43" s="14"/>
      <c r="DO43" s="96"/>
      <c r="DP43" s="22"/>
      <c r="DQ43" s="14"/>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46"/>
      <c r="FR43" s="46"/>
      <c r="FS43" s="46"/>
      <c r="FT43" s="46"/>
      <c r="FU43" s="46"/>
      <c r="FV43" s="46"/>
      <c r="FW43" s="46"/>
      <c r="FX43" s="46"/>
      <c r="FY43" s="46"/>
      <c r="FZ43" s="46"/>
      <c r="GA43" s="46"/>
      <c r="GB43" s="46"/>
      <c r="GC43" s="46"/>
      <c r="GD43" s="46"/>
      <c r="GE43" s="46"/>
      <c r="GF43" s="46"/>
      <c r="GG43" s="46"/>
      <c r="GH43" s="46"/>
    </row>
    <row r="44" spans="1:190" x14ac:dyDescent="0.25">
      <c r="A44" s="5" t="s">
        <v>85</v>
      </c>
      <c r="B44" s="1">
        <v>1364</v>
      </c>
      <c r="C44" s="98" t="s">
        <v>98</v>
      </c>
      <c r="D44" s="98" t="s">
        <v>105</v>
      </c>
      <c r="E44" s="1">
        <v>371</v>
      </c>
      <c r="F44" s="22">
        <v>48.07</v>
      </c>
      <c r="G44" s="22">
        <v>1.353</v>
      </c>
      <c r="H44" s="22">
        <v>3.79</v>
      </c>
      <c r="I44" s="22">
        <v>0</v>
      </c>
      <c r="J44" s="22">
        <v>11.18</v>
      </c>
      <c r="K44" s="22">
        <v>0.43</v>
      </c>
      <c r="L44" s="22">
        <v>13.86</v>
      </c>
      <c r="M44" s="22">
        <v>18.38</v>
      </c>
      <c r="N44" s="22">
        <v>0.33700000000000002</v>
      </c>
      <c r="O44" s="22">
        <v>8.9999999999999993E-3</v>
      </c>
      <c r="P44" s="22">
        <v>0</v>
      </c>
      <c r="Q44" s="22"/>
      <c r="R44" s="22"/>
      <c r="S44" s="22">
        <f t="shared" si="0"/>
        <v>97.409000000000006</v>
      </c>
      <c r="T44" s="3"/>
      <c r="U44" s="22">
        <f t="shared" si="1"/>
        <v>8.4192769400183725</v>
      </c>
      <c r="V44" s="22">
        <f t="shared" si="2"/>
        <v>3.0679915365575838</v>
      </c>
      <c r="W44" s="22">
        <f t="shared" si="3"/>
        <v>97.716268476575976</v>
      </c>
      <c r="X44" s="1"/>
      <c r="Y44" s="1"/>
      <c r="Z44" s="1"/>
      <c r="AA44" s="1" t="s">
        <v>185</v>
      </c>
      <c r="AC44" s="1">
        <v>6</v>
      </c>
      <c r="AD44" s="1">
        <v>4</v>
      </c>
      <c r="AE44" s="1"/>
      <c r="AF44" s="26">
        <f t="shared" si="4"/>
        <v>1.8574915881091731</v>
      </c>
      <c r="AG44" s="26">
        <f t="shared" si="5"/>
        <v>3.9322615609549028E-2</v>
      </c>
      <c r="AH44" s="26">
        <f t="shared" si="6"/>
        <v>0.17259254643338015</v>
      </c>
      <c r="AI44" s="26">
        <f t="shared" si="7"/>
        <v>0</v>
      </c>
      <c r="AJ44" s="26">
        <f t="shared" si="8"/>
        <v>0.36124154298295214</v>
      </c>
      <c r="AK44" s="26">
        <f t="shared" si="9"/>
        <v>1.4072132931038751E-2</v>
      </c>
      <c r="AL44" s="26">
        <f t="shared" si="10"/>
        <v>0.79843734470382266</v>
      </c>
      <c r="AM44" s="26">
        <f t="shared" si="11"/>
        <v>0.76088699217689848</v>
      </c>
      <c r="AN44" s="26">
        <f t="shared" si="12"/>
        <v>2.5245907240377511E-2</v>
      </c>
      <c r="AO44" s="26">
        <f t="shared" si="13"/>
        <v>4.4361299516866635E-4</v>
      </c>
      <c r="AP44" s="26">
        <f t="shared" si="14"/>
        <v>0</v>
      </c>
      <c r="AQ44" s="26">
        <f t="shared" si="15"/>
        <v>0</v>
      </c>
      <c r="AR44" s="26">
        <f t="shared" si="16"/>
        <v>0</v>
      </c>
      <c r="AS44" s="26">
        <f t="shared" si="17"/>
        <v>4.0297342831823606</v>
      </c>
      <c r="AT44" s="26">
        <f t="shared" si="18"/>
        <v>2.0300841345425531</v>
      </c>
      <c r="AU44" s="26">
        <f t="shared" si="19"/>
        <v>0.78657651241244475</v>
      </c>
      <c r="AV44" s="47"/>
      <c r="AW44" s="26">
        <f t="shared" si="20"/>
        <v>1.8437856767491636</v>
      </c>
      <c r="AX44" s="26">
        <f t="shared" si="21"/>
        <v>3.9032465017514936E-2</v>
      </c>
      <c r="AY44" s="26">
        <f t="shared" si="22"/>
        <v>0.17131903426354994</v>
      </c>
      <c r="AZ44" s="26">
        <f t="shared" si="23"/>
        <v>0</v>
      </c>
      <c r="BA44" s="26">
        <f t="shared" si="24"/>
        <v>0.2700313959371391</v>
      </c>
      <c r="BB44" s="26">
        <f t="shared" si="25"/>
        <v>8.8544646647656489E-2</v>
      </c>
      <c r="BC44" s="26">
        <f t="shared" si="26"/>
        <v>1.3968298594542281E-2</v>
      </c>
      <c r="BD44" s="26">
        <f t="shared" si="27"/>
        <v>0.79254589865739833</v>
      </c>
      <c r="BE44" s="26">
        <f t="shared" si="28"/>
        <v>0.75527261968847348</v>
      </c>
      <c r="BF44" s="26">
        <f t="shared" si="29"/>
        <v>2.5059624745719287E-2</v>
      </c>
      <c r="BG44" s="26">
        <f t="shared" si="30"/>
        <v>4.403396988432066E-4</v>
      </c>
      <c r="BH44" s="26">
        <f t="shared" si="31"/>
        <v>0</v>
      </c>
      <c r="BI44" s="26">
        <f t="shared" si="32"/>
        <v>0</v>
      </c>
      <c r="BJ44" s="26">
        <f t="shared" si="33"/>
        <v>0</v>
      </c>
      <c r="BK44" s="25">
        <f t="shared" si="34"/>
        <v>4.0000000000000009</v>
      </c>
      <c r="BL44" s="24">
        <f t="shared" si="35"/>
        <v>6.0000000000000009</v>
      </c>
      <c r="BM44" s="26">
        <f t="shared" si="36"/>
        <v>2.0151047110127136</v>
      </c>
      <c r="BN44" s="26">
        <f t="shared" si="37"/>
        <v>0.78077258413303596</v>
      </c>
      <c r="BO44" s="22"/>
      <c r="BP44" s="23">
        <f t="shared" si="38"/>
        <v>0.68849864663525528</v>
      </c>
      <c r="BQ44" s="26">
        <f t="shared" si="39"/>
        <v>0.1562143232508364</v>
      </c>
      <c r="BR44" s="26">
        <f t="shared" si="40"/>
        <v>1.5104711012713545E-2</v>
      </c>
      <c r="BS44" s="26"/>
      <c r="BT44" s="26">
        <f t="shared" si="41"/>
        <v>1.5104711012713545E-2</v>
      </c>
      <c r="BU44" s="26">
        <f t="shared" si="42"/>
        <v>0</v>
      </c>
      <c r="BV44" s="26">
        <f t="shared" si="43"/>
        <v>1.5104711012713545E-2</v>
      </c>
      <c r="BW44" s="26">
        <f t="shared" si="44"/>
        <v>0</v>
      </c>
      <c r="BX44" s="26">
        <f t="shared" si="45"/>
        <v>0.74578228116418499</v>
      </c>
      <c r="BY44" s="26">
        <f t="shared" si="46"/>
        <v>0.20694830326129487</v>
      </c>
      <c r="BZ44" s="26">
        <f t="shared" si="47"/>
        <v>0.98294000645090696</v>
      </c>
      <c r="CA44" s="22"/>
      <c r="CB44" s="22">
        <f t="shared" si="48"/>
        <v>2.5059624745719287E-2</v>
      </c>
      <c r="CC44" s="22">
        <f t="shared" si="49"/>
        <v>0</v>
      </c>
      <c r="CD44" s="22">
        <f t="shared" si="50"/>
        <v>6.3485021901937194E-2</v>
      </c>
      <c r="CE44" s="22">
        <f t="shared" si="51"/>
        <v>0</v>
      </c>
      <c r="CF44" s="22">
        <f t="shared" si="52"/>
        <v>1.5104711012713545E-2</v>
      </c>
      <c r="CG44" s="22">
        <f t="shared" si="53"/>
        <v>0.35087125575977102</v>
      </c>
      <c r="CH44" s="22">
        <f t="shared" si="54"/>
        <v>0.48416649458384309</v>
      </c>
      <c r="CI44" s="22">
        <f t="shared" si="55"/>
        <v>0.1649622496563859</v>
      </c>
      <c r="CJ44" s="22"/>
      <c r="CK44" s="22">
        <f t="shared" si="56"/>
        <v>0.39329682718150832</v>
      </c>
      <c r="CL44" s="22">
        <f t="shared" si="57"/>
        <v>0.41270632512302768</v>
      </c>
      <c r="CM44" s="22">
        <f t="shared" si="58"/>
        <v>0.19399684769546405</v>
      </c>
      <c r="CN44" s="1"/>
      <c r="CO44" s="26">
        <f t="shared" si="59"/>
        <v>0.80009986684420775</v>
      </c>
      <c r="CP44" s="26">
        <f t="shared" si="60"/>
        <v>1.6937906860290435E-2</v>
      </c>
      <c r="CQ44" s="26">
        <f t="shared" si="61"/>
        <v>7.4342879560612016E-2</v>
      </c>
      <c r="CR44" s="26">
        <f t="shared" si="62"/>
        <v>0</v>
      </c>
      <c r="CS44" s="26">
        <f t="shared" si="63"/>
        <v>0.15560194850382741</v>
      </c>
      <c r="CT44" s="26">
        <f t="shared" si="64"/>
        <v>6.0614603890611785E-3</v>
      </c>
      <c r="CU44" s="26">
        <f t="shared" si="65"/>
        <v>0.3439205955334988</v>
      </c>
      <c r="CV44" s="26">
        <f t="shared" si="66"/>
        <v>0.32774607703281028</v>
      </c>
      <c r="CW44" s="26">
        <f t="shared" si="67"/>
        <v>1.0874475637302356E-2</v>
      </c>
      <c r="CX44" s="26">
        <f t="shared" si="68"/>
        <v>1.9108280254777067E-4</v>
      </c>
      <c r="CY44" s="26">
        <f t="shared" si="69"/>
        <v>0</v>
      </c>
      <c r="CZ44" s="26">
        <f t="shared" si="70"/>
        <v>0</v>
      </c>
      <c r="DA44" s="26">
        <f t="shared" si="71"/>
        <v>0</v>
      </c>
      <c r="DB44" s="26">
        <f t="shared" si="72"/>
        <v>1.7357762931641578</v>
      </c>
      <c r="DC44" s="26">
        <f t="shared" si="73"/>
        <v>2.5844527274290372</v>
      </c>
      <c r="DD44" s="26">
        <f t="shared" si="74"/>
        <v>2.3044444239461148</v>
      </c>
      <c r="DE44" s="26">
        <f t="shared" si="75"/>
        <v>5.9557276766761733</v>
      </c>
      <c r="DF44" s="1"/>
      <c r="DG44" s="22"/>
      <c r="DH44" s="14"/>
      <c r="DI44" s="14"/>
      <c r="DJ44" s="14"/>
      <c r="DK44" s="14"/>
      <c r="DL44" s="14"/>
      <c r="DM44" s="96"/>
      <c r="DN44" s="14"/>
      <c r="DO44" s="96"/>
      <c r="DP44" s="22"/>
      <c r="DQ44" s="14"/>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46"/>
      <c r="FR44" s="46"/>
      <c r="FS44" s="46"/>
      <c r="FT44" s="46"/>
      <c r="FU44" s="46"/>
      <c r="FV44" s="46"/>
      <c r="FW44" s="46"/>
      <c r="FX44" s="46"/>
      <c r="FY44" s="46"/>
      <c r="FZ44" s="46"/>
      <c r="GA44" s="46"/>
      <c r="GB44" s="46"/>
      <c r="GC44" s="46"/>
      <c r="GD44" s="46"/>
      <c r="GE44" s="46"/>
      <c r="GF44" s="46"/>
      <c r="GG44" s="46"/>
      <c r="GH44" s="46"/>
    </row>
    <row r="45" spans="1:190" x14ac:dyDescent="0.25">
      <c r="A45" s="5" t="s">
        <v>85</v>
      </c>
      <c r="B45" s="1">
        <v>1365</v>
      </c>
      <c r="C45" s="98" t="s">
        <v>98</v>
      </c>
      <c r="D45" s="98" t="s">
        <v>105</v>
      </c>
      <c r="E45" s="1">
        <v>372</v>
      </c>
      <c r="F45" s="22">
        <v>49.28</v>
      </c>
      <c r="G45" s="22">
        <v>0.82499999999999996</v>
      </c>
      <c r="H45" s="22">
        <v>2.99</v>
      </c>
      <c r="I45" s="22">
        <v>0</v>
      </c>
      <c r="J45" s="22">
        <v>10.69</v>
      </c>
      <c r="K45" s="22">
        <v>0.46500000000000002</v>
      </c>
      <c r="L45" s="22">
        <v>14.73</v>
      </c>
      <c r="M45" s="22">
        <v>18.170000000000002</v>
      </c>
      <c r="N45" s="22">
        <v>0.36899999999999999</v>
      </c>
      <c r="O45" s="22">
        <v>0</v>
      </c>
      <c r="P45" s="22">
        <v>0</v>
      </c>
      <c r="Q45" s="22"/>
      <c r="R45" s="22"/>
      <c r="S45" s="22">
        <f t="shared" si="0"/>
        <v>97.519000000000005</v>
      </c>
      <c r="T45" s="3"/>
      <c r="U45" s="22">
        <f t="shared" si="1"/>
        <v>7.9529753606104849</v>
      </c>
      <c r="V45" s="22">
        <f t="shared" si="2"/>
        <v>3.0416554817535677</v>
      </c>
      <c r="W45" s="22">
        <f t="shared" si="3"/>
        <v>97.823630842364054</v>
      </c>
      <c r="X45" s="1"/>
      <c r="Y45" s="1"/>
      <c r="Z45" s="1"/>
      <c r="AA45" s="1" t="s">
        <v>185</v>
      </c>
      <c r="AC45" s="1">
        <v>6</v>
      </c>
      <c r="AD45" s="1">
        <v>4</v>
      </c>
      <c r="AE45" s="1"/>
      <c r="AF45" s="26">
        <f t="shared" si="4"/>
        <v>1.8929250974322005</v>
      </c>
      <c r="AG45" s="26">
        <f t="shared" si="5"/>
        <v>2.3834637248924432E-2</v>
      </c>
      <c r="AH45" s="26">
        <f t="shared" si="6"/>
        <v>0.13535179243429535</v>
      </c>
      <c r="AI45" s="26">
        <f t="shared" si="7"/>
        <v>0</v>
      </c>
      <c r="AJ45" s="26">
        <f t="shared" si="8"/>
        <v>0.34335516674245176</v>
      </c>
      <c r="AK45" s="26">
        <f t="shared" si="9"/>
        <v>1.5127056290018863E-2</v>
      </c>
      <c r="AL45" s="26">
        <f t="shared" si="10"/>
        <v>0.84351023172663675</v>
      </c>
      <c r="AM45" s="26">
        <f t="shared" si="11"/>
        <v>0.74772099731939234</v>
      </c>
      <c r="AN45" s="26">
        <f t="shared" si="12"/>
        <v>2.7478779815614689E-2</v>
      </c>
      <c r="AO45" s="26">
        <f t="shared" si="13"/>
        <v>0</v>
      </c>
      <c r="AP45" s="26">
        <f t="shared" si="14"/>
        <v>0</v>
      </c>
      <c r="AQ45" s="26">
        <f t="shared" si="15"/>
        <v>0</v>
      </c>
      <c r="AR45" s="26">
        <f t="shared" si="16"/>
        <v>0</v>
      </c>
      <c r="AS45" s="26">
        <f t="shared" si="17"/>
        <v>4.0293037590095349</v>
      </c>
      <c r="AT45" s="26">
        <f t="shared" si="18"/>
        <v>2.028276889866496</v>
      </c>
      <c r="AU45" s="26">
        <f t="shared" si="19"/>
        <v>0.77519977713500698</v>
      </c>
      <c r="AV45" s="47"/>
      <c r="AW45" s="26">
        <f t="shared" si="20"/>
        <v>1.879158495508922</v>
      </c>
      <c r="AX45" s="26">
        <f t="shared" si="21"/>
        <v>2.3661296019819911E-2</v>
      </c>
      <c r="AY45" s="26">
        <f t="shared" si="22"/>
        <v>0.13436742477570557</v>
      </c>
      <c r="AZ45" s="26">
        <f t="shared" si="23"/>
        <v>0</v>
      </c>
      <c r="BA45" s="26">
        <f t="shared" si="24"/>
        <v>0.25358613298158383</v>
      </c>
      <c r="BB45" s="26">
        <f t="shared" si="25"/>
        <v>8.7271928140969734E-2</v>
      </c>
      <c r="BC45" s="26">
        <f t="shared" si="26"/>
        <v>1.5017042342558285E-2</v>
      </c>
      <c r="BD45" s="26">
        <f t="shared" si="27"/>
        <v>0.83737566803251839</v>
      </c>
      <c r="BE45" s="26">
        <f t="shared" si="28"/>
        <v>0.74228307622376288</v>
      </c>
      <c r="BF45" s="26">
        <f t="shared" si="29"/>
        <v>2.7278935974158865E-2</v>
      </c>
      <c r="BG45" s="26">
        <f t="shared" si="30"/>
        <v>0</v>
      </c>
      <c r="BH45" s="26">
        <f t="shared" si="31"/>
        <v>0</v>
      </c>
      <c r="BI45" s="26">
        <f t="shared" si="32"/>
        <v>0</v>
      </c>
      <c r="BJ45" s="26">
        <f t="shared" si="33"/>
        <v>0</v>
      </c>
      <c r="BK45" s="25">
        <f t="shared" si="34"/>
        <v>3.9999999999999996</v>
      </c>
      <c r="BL45" s="24">
        <f t="shared" si="35"/>
        <v>5.9999999999999991</v>
      </c>
      <c r="BM45" s="26">
        <f t="shared" si="36"/>
        <v>2.0135259202846276</v>
      </c>
      <c r="BN45" s="26">
        <f t="shared" si="37"/>
        <v>0.76956201219792175</v>
      </c>
      <c r="BO45" s="22"/>
      <c r="BP45" s="23">
        <f t="shared" si="38"/>
        <v>0.71070420690894021</v>
      </c>
      <c r="BQ45" s="26">
        <f t="shared" si="39"/>
        <v>0.120841504491078</v>
      </c>
      <c r="BR45" s="26">
        <f t="shared" si="40"/>
        <v>1.3525920284627568E-2</v>
      </c>
      <c r="BS45" s="26"/>
      <c r="BT45" s="26">
        <f t="shared" si="41"/>
        <v>1.3525920284627568E-2</v>
      </c>
      <c r="BU45" s="26">
        <f t="shared" si="42"/>
        <v>0</v>
      </c>
      <c r="BV45" s="26">
        <f t="shared" si="43"/>
        <v>1.3525920284627568E-2</v>
      </c>
      <c r="BW45" s="26">
        <f t="shared" si="44"/>
        <v>0</v>
      </c>
      <c r="BX45" s="26">
        <f t="shared" si="45"/>
        <v>0.73419507703476472</v>
      </c>
      <c r="BY45" s="26">
        <f t="shared" si="46"/>
        <v>0.22633516071716187</v>
      </c>
      <c r="BZ45" s="26">
        <f t="shared" si="47"/>
        <v>0.98758207832118172</v>
      </c>
      <c r="CA45" s="22"/>
      <c r="CB45" s="22">
        <f t="shared" si="48"/>
        <v>2.7278935974158865E-2</v>
      </c>
      <c r="CC45" s="22">
        <f t="shared" si="49"/>
        <v>0</v>
      </c>
      <c r="CD45" s="22">
        <f t="shared" si="50"/>
        <v>5.9992992166810866E-2</v>
      </c>
      <c r="CE45" s="22">
        <f t="shared" si="51"/>
        <v>0</v>
      </c>
      <c r="CF45" s="22">
        <f t="shared" si="52"/>
        <v>1.3525920284627568E-2</v>
      </c>
      <c r="CG45" s="22">
        <f t="shared" si="53"/>
        <v>0.34802154987324163</v>
      </c>
      <c r="CH45" s="22">
        <f t="shared" si="54"/>
        <v>0.50043080308605881</v>
      </c>
      <c r="CI45" s="22">
        <f t="shared" si="55"/>
        <v>0.15154764704069956</v>
      </c>
      <c r="CJ45" s="22"/>
      <c r="CK45" s="22">
        <f t="shared" si="56"/>
        <v>0.38350302016036325</v>
      </c>
      <c r="CL45" s="22">
        <f t="shared" si="57"/>
        <v>0.43263292399578485</v>
      </c>
      <c r="CM45" s="22">
        <f t="shared" si="58"/>
        <v>0.18386405584385196</v>
      </c>
      <c r="CN45" s="1"/>
      <c r="CO45" s="26">
        <f t="shared" si="59"/>
        <v>0.82023968042609863</v>
      </c>
      <c r="CP45" s="26">
        <f t="shared" si="60"/>
        <v>1.0327991987981972E-2</v>
      </c>
      <c r="CQ45" s="26">
        <f t="shared" si="61"/>
        <v>5.8650451157316603E-2</v>
      </c>
      <c r="CR45" s="26">
        <f t="shared" si="62"/>
        <v>0</v>
      </c>
      <c r="CS45" s="26">
        <f t="shared" si="63"/>
        <v>0.14878218510786362</v>
      </c>
      <c r="CT45" s="26">
        <f t="shared" si="64"/>
        <v>6.5548350718917401E-3</v>
      </c>
      <c r="CU45" s="26">
        <f t="shared" si="65"/>
        <v>0.36550868486352361</v>
      </c>
      <c r="CV45" s="26">
        <f t="shared" si="66"/>
        <v>0.3240014265335236</v>
      </c>
      <c r="CW45" s="26">
        <f t="shared" si="67"/>
        <v>1.1907066795740561E-2</v>
      </c>
      <c r="CX45" s="26">
        <f t="shared" si="68"/>
        <v>0</v>
      </c>
      <c r="CY45" s="26">
        <f t="shared" si="69"/>
        <v>0</v>
      </c>
      <c r="CZ45" s="26">
        <f t="shared" si="70"/>
        <v>0</v>
      </c>
      <c r="DA45" s="26">
        <f t="shared" si="71"/>
        <v>0</v>
      </c>
      <c r="DB45" s="26">
        <f t="shared" si="72"/>
        <v>1.7459723219439405</v>
      </c>
      <c r="DC45" s="26">
        <f t="shared" si="73"/>
        <v>2.599911686538809</v>
      </c>
      <c r="DD45" s="26">
        <f t="shared" si="74"/>
        <v>2.2909870618948056</v>
      </c>
      <c r="DE45" s="26">
        <f t="shared" si="75"/>
        <v>5.9563640359295151</v>
      </c>
      <c r="DF45" s="1"/>
      <c r="DG45" s="22"/>
      <c r="DH45" s="14"/>
      <c r="DI45" s="14"/>
      <c r="DJ45" s="14"/>
      <c r="DK45" s="14"/>
      <c r="DL45" s="14"/>
      <c r="DM45" s="96"/>
      <c r="DN45" s="14"/>
      <c r="DO45" s="96"/>
      <c r="DP45" s="22"/>
      <c r="DQ45" s="14"/>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46"/>
      <c r="FR45" s="46"/>
      <c r="FS45" s="46"/>
      <c r="FT45" s="46"/>
      <c r="FU45" s="46"/>
      <c r="FV45" s="46"/>
      <c r="FW45" s="46"/>
      <c r="FX45" s="46"/>
      <c r="FY45" s="46"/>
      <c r="FZ45" s="46"/>
      <c r="GA45" s="46"/>
      <c r="GB45" s="46"/>
      <c r="GC45" s="46"/>
      <c r="GD45" s="46"/>
      <c r="GE45" s="46"/>
      <c r="GF45" s="46"/>
      <c r="GG45" s="46"/>
      <c r="GH45" s="46"/>
    </row>
    <row r="46" spans="1:190" x14ac:dyDescent="0.25">
      <c r="A46" s="5" t="s">
        <v>92</v>
      </c>
      <c r="B46" s="1">
        <v>982</v>
      </c>
      <c r="C46" s="98" t="s">
        <v>255</v>
      </c>
      <c r="D46" s="98" t="s">
        <v>106</v>
      </c>
      <c r="E46" s="1">
        <v>140</v>
      </c>
      <c r="F46" s="22">
        <v>51.4</v>
      </c>
      <c r="G46" s="22">
        <v>0.64400000000000002</v>
      </c>
      <c r="H46" s="22">
        <v>3.16</v>
      </c>
      <c r="I46" s="22">
        <v>5.1999999999999998E-2</v>
      </c>
      <c r="J46" s="22">
        <v>7.93</v>
      </c>
      <c r="K46" s="22">
        <v>0.193</v>
      </c>
      <c r="L46" s="22">
        <v>15.07</v>
      </c>
      <c r="M46" s="22">
        <v>21.65</v>
      </c>
      <c r="N46" s="22">
        <v>0.309</v>
      </c>
      <c r="O46" s="22">
        <v>0</v>
      </c>
      <c r="P46" s="22">
        <v>0</v>
      </c>
      <c r="Q46" s="22"/>
      <c r="R46" s="22"/>
      <c r="S46" s="22">
        <f t="shared" si="0"/>
        <v>100.40799999999999</v>
      </c>
      <c r="T46" s="3"/>
      <c r="U46" s="22">
        <f t="shared" si="1"/>
        <v>5.8144245037433482</v>
      </c>
      <c r="V46" s="22">
        <f t="shared" si="2"/>
        <v>2.3510390489900166</v>
      </c>
      <c r="W46" s="22">
        <f t="shared" si="3"/>
        <v>100.64346355273335</v>
      </c>
      <c r="X46" s="1"/>
      <c r="Y46" s="1"/>
      <c r="Z46" s="1"/>
      <c r="AA46" s="1" t="s">
        <v>185</v>
      </c>
      <c r="AC46" s="1">
        <v>6</v>
      </c>
      <c r="AD46" s="1">
        <v>4</v>
      </c>
      <c r="AE46" s="1"/>
      <c r="AF46" s="26">
        <f t="shared" si="4"/>
        <v>1.9016927670709052</v>
      </c>
      <c r="AG46" s="26">
        <f t="shared" si="5"/>
        <v>1.7920700050800729E-2</v>
      </c>
      <c r="AH46" s="26">
        <f t="shared" si="6"/>
        <v>0.13778261123541208</v>
      </c>
      <c r="AI46" s="26">
        <f t="shared" si="7"/>
        <v>1.5209869365182579E-3</v>
      </c>
      <c r="AJ46" s="26">
        <f t="shared" si="8"/>
        <v>0.2453316470662146</v>
      </c>
      <c r="AK46" s="26">
        <f t="shared" si="9"/>
        <v>6.0474639002776106E-3</v>
      </c>
      <c r="AL46" s="26">
        <f t="shared" si="10"/>
        <v>0.83121881645706486</v>
      </c>
      <c r="AM46" s="26">
        <f t="shared" si="11"/>
        <v>0.85813784514953362</v>
      </c>
      <c r="AN46" s="26">
        <f t="shared" si="12"/>
        <v>2.2163791851203773E-2</v>
      </c>
      <c r="AO46" s="26">
        <f t="shared" si="13"/>
        <v>0</v>
      </c>
      <c r="AP46" s="26">
        <f t="shared" si="14"/>
        <v>0</v>
      </c>
      <c r="AQ46" s="26">
        <f t="shared" si="15"/>
        <v>0</v>
      </c>
      <c r="AR46" s="26">
        <f t="shared" si="16"/>
        <v>0</v>
      </c>
      <c r="AS46" s="26">
        <f t="shared" si="17"/>
        <v>4.0218166297179305</v>
      </c>
      <c r="AT46" s="26">
        <f t="shared" si="18"/>
        <v>2.0394753783063173</v>
      </c>
      <c r="AU46" s="26">
        <f t="shared" si="19"/>
        <v>0.88030163700073738</v>
      </c>
      <c r="AV46" s="47"/>
      <c r="AW46" s="26">
        <f t="shared" si="20"/>
        <v>1.8913768997014466</v>
      </c>
      <c r="AX46" s="26">
        <f t="shared" si="21"/>
        <v>1.7823487941624624E-2</v>
      </c>
      <c r="AY46" s="26">
        <f t="shared" si="22"/>
        <v>0.1370351996829606</v>
      </c>
      <c r="AZ46" s="26">
        <f t="shared" si="23"/>
        <v>1.5127362349435928E-3</v>
      </c>
      <c r="BA46" s="26">
        <f t="shared" si="24"/>
        <v>0.17890597655123708</v>
      </c>
      <c r="BB46" s="26">
        <f t="shared" si="25"/>
        <v>6.5094851585396185E-2</v>
      </c>
      <c r="BC46" s="26">
        <f t="shared" si="26"/>
        <v>6.0146590031895601E-3</v>
      </c>
      <c r="BD46" s="26">
        <f t="shared" si="27"/>
        <v>0.82670981099937646</v>
      </c>
      <c r="BE46" s="26">
        <f t="shared" si="28"/>
        <v>0.85348281551038185</v>
      </c>
      <c r="BF46" s="26">
        <f t="shared" si="29"/>
        <v>2.2043562789443465E-2</v>
      </c>
      <c r="BG46" s="26">
        <f t="shared" si="30"/>
        <v>0</v>
      </c>
      <c r="BH46" s="26">
        <f t="shared" si="31"/>
        <v>0</v>
      </c>
      <c r="BI46" s="26">
        <f t="shared" si="32"/>
        <v>0</v>
      </c>
      <c r="BJ46" s="26">
        <f t="shared" si="33"/>
        <v>0</v>
      </c>
      <c r="BK46" s="25">
        <f t="shared" si="34"/>
        <v>4</v>
      </c>
      <c r="BL46" s="24">
        <f t="shared" si="35"/>
        <v>5.9999999999999982</v>
      </c>
      <c r="BM46" s="26">
        <f t="shared" si="36"/>
        <v>2.0284120993844073</v>
      </c>
      <c r="BN46" s="26">
        <f t="shared" si="37"/>
        <v>0.87552637829982527</v>
      </c>
      <c r="BO46" s="22"/>
      <c r="BP46" s="23">
        <f t="shared" si="38"/>
        <v>0.77211319359493313</v>
      </c>
      <c r="BQ46" s="26">
        <f t="shared" si="39"/>
        <v>0.10862310029855338</v>
      </c>
      <c r="BR46" s="26">
        <f t="shared" si="40"/>
        <v>2.8412099384407224E-2</v>
      </c>
      <c r="BS46" s="26"/>
      <c r="BT46" s="26">
        <f t="shared" si="41"/>
        <v>2.2163791851203773E-2</v>
      </c>
      <c r="BU46" s="26">
        <f t="shared" si="42"/>
        <v>6.3685365949637598E-3</v>
      </c>
      <c r="BV46" s="26">
        <f t="shared" si="43"/>
        <v>2.5227831086925345E-2</v>
      </c>
      <c r="BW46" s="26">
        <f t="shared" si="44"/>
        <v>7.6049346825912895E-4</v>
      </c>
      <c r="BX46" s="26">
        <f t="shared" si="45"/>
        <v>0.82578098399938538</v>
      </c>
      <c r="BY46" s="26">
        <f t="shared" si="46"/>
        <v>0.12538473976194703</v>
      </c>
      <c r="BZ46" s="26">
        <f t="shared" si="47"/>
        <v>1.0056863767626845</v>
      </c>
      <c r="CA46" s="22"/>
      <c r="CB46" s="22">
        <f t="shared" si="48"/>
        <v>2.2043562789443465E-2</v>
      </c>
      <c r="CC46" s="22">
        <f t="shared" si="49"/>
        <v>0</v>
      </c>
      <c r="CD46" s="22">
        <f t="shared" si="50"/>
        <v>4.305128879595272E-2</v>
      </c>
      <c r="CE46" s="22">
        <f t="shared" si="51"/>
        <v>1.5127362349435928E-3</v>
      </c>
      <c r="CF46" s="22">
        <f t="shared" si="52"/>
        <v>2.8412099384407224E-2</v>
      </c>
      <c r="CG46" s="22">
        <f t="shared" si="53"/>
        <v>0.40127512694226086</v>
      </c>
      <c r="CH46" s="22">
        <f t="shared" si="54"/>
        <v>0.49220759337101871</v>
      </c>
      <c r="CI46" s="22">
        <f t="shared" si="55"/>
        <v>0.10651727968672038</v>
      </c>
      <c r="CJ46" s="22"/>
      <c r="CK46" s="22">
        <f t="shared" si="56"/>
        <v>0.4421713956515505</v>
      </c>
      <c r="CL46" s="22">
        <f t="shared" si="57"/>
        <v>0.42830086826039587</v>
      </c>
      <c r="CM46" s="22">
        <f t="shared" si="58"/>
        <v>0.12952773608805365</v>
      </c>
      <c r="CN46" s="1"/>
      <c r="CO46" s="26">
        <f t="shared" si="59"/>
        <v>0.85552596537949399</v>
      </c>
      <c r="CP46" s="26">
        <f t="shared" si="60"/>
        <v>8.0620931397095644E-3</v>
      </c>
      <c r="CQ46" s="26">
        <f t="shared" si="61"/>
        <v>6.1985092193016879E-2</v>
      </c>
      <c r="CR46" s="26">
        <f t="shared" si="62"/>
        <v>6.8425554312783723E-4</v>
      </c>
      <c r="CS46" s="26">
        <f t="shared" si="63"/>
        <v>0.11036882393876131</v>
      </c>
      <c r="CT46" s="26">
        <f t="shared" si="64"/>
        <v>2.720608965322808E-3</v>
      </c>
      <c r="CU46" s="26">
        <f t="shared" si="65"/>
        <v>0.37394540942928045</v>
      </c>
      <c r="CV46" s="26">
        <f t="shared" si="66"/>
        <v>0.38605563480741795</v>
      </c>
      <c r="CW46" s="26">
        <f t="shared" si="67"/>
        <v>9.9709583736689259E-3</v>
      </c>
      <c r="CX46" s="26">
        <f t="shared" si="68"/>
        <v>0</v>
      </c>
      <c r="CY46" s="26">
        <f t="shared" si="69"/>
        <v>0</v>
      </c>
      <c r="CZ46" s="26">
        <f t="shared" si="70"/>
        <v>0</v>
      </c>
      <c r="DA46" s="26">
        <f t="shared" si="71"/>
        <v>0</v>
      </c>
      <c r="DB46" s="26">
        <f t="shared" si="72"/>
        <v>1.8093188417697996</v>
      </c>
      <c r="DC46" s="26">
        <f t="shared" si="73"/>
        <v>2.6992560949702415</v>
      </c>
      <c r="DD46" s="26">
        <f t="shared" si="74"/>
        <v>2.2107767341257376</v>
      </c>
      <c r="DE46" s="26">
        <f t="shared" si="75"/>
        <v>5.9674525742073028</v>
      </c>
      <c r="DF46" s="1"/>
      <c r="DG46" s="22">
        <v>14.187445180079829</v>
      </c>
      <c r="DH46" s="14">
        <v>1920.5789509950316</v>
      </c>
      <c r="DI46" s="14">
        <v>91084.468938135149</v>
      </c>
      <c r="DJ46" s="14">
        <v>18327.357585198319</v>
      </c>
      <c r="DK46" s="14">
        <v>240069.98094940162</v>
      </c>
      <c r="DL46" s="14">
        <v>155047.38189897087</v>
      </c>
      <c r="DM46" s="96">
        <v>154.03152910336365</v>
      </c>
      <c r="DN46" s="14">
        <v>3633.0544532660392</v>
      </c>
      <c r="DO46" s="96">
        <v>455.60661704783604</v>
      </c>
      <c r="DP46" s="22">
        <v>314.5600021128563</v>
      </c>
      <c r="DQ46" s="14">
        <v>1423.379497203671</v>
      </c>
      <c r="DR46" s="22">
        <v>43.33374071127971</v>
      </c>
      <c r="DS46" s="22">
        <v>81.543764064604602</v>
      </c>
      <c r="DT46" s="22">
        <v>2.2804403056506288</v>
      </c>
      <c r="DU46" s="22">
        <v>39.614794335807041</v>
      </c>
      <c r="DV46" s="22">
        <v>0.26058862535664773</v>
      </c>
      <c r="DW46" s="22">
        <v>12.793854173809301</v>
      </c>
      <c r="DX46" s="22">
        <v>14.886876530558304</v>
      </c>
      <c r="DY46" s="22">
        <v>14.126069405281422</v>
      </c>
      <c r="DZ46" s="22">
        <v>13.489734063461281</v>
      </c>
      <c r="EA46" s="22">
        <v>0</v>
      </c>
      <c r="EB46" s="22">
        <v>0</v>
      </c>
      <c r="EC46" s="22">
        <v>0</v>
      </c>
      <c r="ED46" s="22">
        <v>0.73477759079796801</v>
      </c>
      <c r="EE46" s="22">
        <v>2.7164194549668674</v>
      </c>
      <c r="EF46" s="22">
        <v>0.4865911099452882</v>
      </c>
      <c r="EG46" s="22">
        <v>3.2294904687086015</v>
      </c>
      <c r="EH46" s="22">
        <v>1.393107505136344</v>
      </c>
      <c r="EI46" s="22">
        <v>0.3551900834318823</v>
      </c>
      <c r="EJ46" s="22">
        <v>2.2813437571641124</v>
      </c>
      <c r="EK46" s="22">
        <v>0.39457130491664638</v>
      </c>
      <c r="EL46" s="22">
        <v>2.9064430078552843</v>
      </c>
      <c r="EM46" s="22">
        <v>0.5989805454731032</v>
      </c>
      <c r="EN46" s="22">
        <v>1.6660023269888069</v>
      </c>
      <c r="EO46" s="22">
        <v>0.25211136991678168</v>
      </c>
      <c r="EP46" s="22">
        <v>1.2476020335199407</v>
      </c>
      <c r="EQ46" s="22">
        <v>0.22236809840211491</v>
      </c>
      <c r="ER46" s="22">
        <v>0.68032033049596663</v>
      </c>
      <c r="ES46" s="22">
        <v>0</v>
      </c>
      <c r="ET46" s="22">
        <v>0</v>
      </c>
      <c r="EU46" s="22">
        <v>3.9213405879631034E-2</v>
      </c>
      <c r="EV46" s="22">
        <v>8.9766054830330132E-3</v>
      </c>
      <c r="EW46" s="22">
        <f>(EI46/0.05883)/SQRT((EH46/0.1536)*(EJ46/0.2069))</f>
        <v>0.60374028546564429</v>
      </c>
      <c r="EX46" s="22"/>
      <c r="EY46" s="22"/>
      <c r="EZ46" s="22"/>
      <c r="FA46" s="22"/>
      <c r="FB46" s="22"/>
      <c r="FC46" s="22"/>
      <c r="FD46" s="22"/>
      <c r="FE46" s="22"/>
      <c r="FF46" s="22"/>
      <c r="FG46" s="22"/>
      <c r="FH46" s="22"/>
      <c r="FI46" s="22">
        <f>-0.50354-2.23025*BP46+ N("eqn 18 Mg# R2 0.28 best")</f>
        <v>-2.2255454500150993</v>
      </c>
      <c r="FJ46" s="22"/>
      <c r="FK46" s="22">
        <f xml:space="preserve"> -0.03692  +  0.931085 + FX46   + N("488 NN Dy")</f>
        <v>0.62450389627514868</v>
      </c>
      <c r="FL46" s="22">
        <f>-0.48986  +   0    +   (1.071278 + 0) * GD46  +N("eqn 119 LnD Hf  (which has R2 of 0.51 for TS")</f>
        <v>-1.196476959142537</v>
      </c>
      <c r="FM46" s="22"/>
      <c r="FN46" s="22"/>
      <c r="FO46" s="22">
        <f>3.94011-11.9214*BP46</f>
        <v>-5.2645602261226356</v>
      </c>
      <c r="FP46" s="22">
        <f xml:space="preserve">  -0.49862 +   1.013256 * FQ46 + N("294 NN")</f>
        <v>-2.2394073936497723</v>
      </c>
      <c r="FQ46" s="46">
        <f t="shared" ref="FQ46" si="160" xml:space="preserve">  -0.73306   +   1.025016   *  FS46     +N("316 NN Nd")</f>
        <v>-1.7180134079144582</v>
      </c>
      <c r="FR46" s="46">
        <f t="shared" ref="FR46" si="161" xml:space="preserve">  -0.33671   +   1.013871 *  FS46    +N("340 NN")</f>
        <v>-1.3109540085185398</v>
      </c>
      <c r="FS46" s="46">
        <f t="shared" ref="FS46" si="162">-0.42496     +   1.017678*FT46                 + N("361 NN")</f>
        <v>-0.96091515441169517</v>
      </c>
      <c r="FT46" s="46">
        <f xml:space="preserve"> 0.68509  -3.34181 * BP46 + 0.03095*(100*CK46) +N("642 cpx Mg# Wo R2 0.59")</f>
        <v>-0.52664512194593494</v>
      </c>
      <c r="FU46" s="46">
        <f t="shared" ref="FU46" si="163" xml:space="preserve"> -0.06599 + 0.926002 * FT46  + N("409 NN")</f>
        <v>-0.55366443621217964</v>
      </c>
      <c r="FV46" s="46">
        <f t="shared" ref="FV46" si="164">0.1453     +   0.925549*FT46     +N("424 LnD Sm")</f>
        <v>-0.34213586597193812</v>
      </c>
      <c r="FW46" s="46">
        <f t="shared" ref="FW46" si="165" xml:space="preserve">  0.053547 + 0.932974 * FV46  +  N("445 NN")</f>
        <v>-0.265656867419303</v>
      </c>
      <c r="FX46" s="46">
        <f t="shared" ref="FX46" si="166" xml:space="preserve">  0.027177  +  0.867603 * FV46 + N("464 NN Gd")</f>
        <v>-0.26966110372485141</v>
      </c>
      <c r="FY46" s="46">
        <f t="shared" ref="FY46" si="167" xml:space="preserve">  -0.06187  +  0.953618 * FX46   + N("505 NN Dy")</f>
        <v>-0.31902368241188533</v>
      </c>
      <c r="FZ46" s="46">
        <f t="shared" ref="FZ46" si="168" xml:space="preserve"> -0.05652 + 0.972005*FY46   +N("533 NN")</f>
        <v>-0.3666126144227646</v>
      </c>
      <c r="GA46" s="46">
        <f t="shared" ref="GA46" si="169" xml:space="preserve">     0.018586 + 0.960264 * FZ46    +N("549 LnD Er")</f>
        <v>-0.33345889557606162</v>
      </c>
      <c r="GB46" s="46">
        <f t="shared" ref="GB46" si="170" xml:space="preserve"> -0.02011 + 0.936315 * FZ46    +N("574 NN Er")</f>
        <v>-0.36337489007325086</v>
      </c>
      <c r="GC46" s="46">
        <f t="shared" ref="GC46" si="171" xml:space="preserve">   0.01732 + 1.006083 * GB46  +N("597 NN Yb")</f>
        <v>-0.34826529952956647</v>
      </c>
      <c r="GD46" s="46">
        <f>(-1.72947 +0 ) * (3.46258+0) * BQ46   - (1.87473 + 0) *BP46   + (0.03253+0) * (CK46*100)    +N("eqn625 aliv mg# wo")</f>
        <v>-0.65960185791413339</v>
      </c>
      <c r="GE46" s="46"/>
      <c r="GF46" s="46"/>
      <c r="GG46" s="46"/>
      <c r="GH46" s="46"/>
    </row>
    <row r="47" spans="1:190" x14ac:dyDescent="0.25">
      <c r="A47" s="5" t="s">
        <v>92</v>
      </c>
      <c r="B47" s="1">
        <v>983</v>
      </c>
      <c r="C47" s="98" t="s">
        <v>255</v>
      </c>
      <c r="D47" s="98" t="s">
        <v>106</v>
      </c>
      <c r="E47" s="1">
        <v>141</v>
      </c>
      <c r="F47" s="22">
        <v>53.03</v>
      </c>
      <c r="G47" s="22">
        <v>0.14099999999999999</v>
      </c>
      <c r="H47" s="22">
        <v>0.63900000000000001</v>
      </c>
      <c r="I47" s="22">
        <v>0.01</v>
      </c>
      <c r="J47" s="22">
        <v>11.72</v>
      </c>
      <c r="K47" s="22">
        <v>0.46600000000000003</v>
      </c>
      <c r="L47" s="22">
        <v>12.56</v>
      </c>
      <c r="M47" s="22">
        <v>21.26</v>
      </c>
      <c r="N47" s="22">
        <v>0.45400000000000001</v>
      </c>
      <c r="O47" s="22">
        <v>0</v>
      </c>
      <c r="P47" s="22">
        <v>0</v>
      </c>
      <c r="Q47" s="22"/>
      <c r="R47" s="22"/>
      <c r="S47" s="22">
        <f t="shared" si="0"/>
        <v>100.28</v>
      </c>
      <c r="T47" s="3"/>
      <c r="U47" s="22">
        <f t="shared" si="1"/>
        <v>11.337145776497268</v>
      </c>
      <c r="V47" s="22">
        <f t="shared" si="2"/>
        <v>0.42546589857858591</v>
      </c>
      <c r="W47" s="22">
        <f t="shared" si="3"/>
        <v>100.32261167507586</v>
      </c>
      <c r="X47" s="1"/>
      <c r="Y47" s="1">
        <v>2</v>
      </c>
      <c r="Z47" s="1"/>
      <c r="AA47" s="1" t="s">
        <v>185</v>
      </c>
      <c r="AC47" s="1">
        <v>6</v>
      </c>
      <c r="AD47" s="1">
        <v>4</v>
      </c>
      <c r="AE47" s="1"/>
      <c r="AF47" s="26">
        <f t="shared" si="4"/>
        <v>1.9942401298652372</v>
      </c>
      <c r="AG47" s="26">
        <f t="shared" si="5"/>
        <v>3.9881070255498238E-3</v>
      </c>
      <c r="AH47" s="26">
        <f t="shared" si="6"/>
        <v>2.8319577848549687E-2</v>
      </c>
      <c r="AI47" s="26">
        <f t="shared" si="7"/>
        <v>2.9730398388557659E-4</v>
      </c>
      <c r="AJ47" s="26">
        <f t="shared" si="8"/>
        <v>0.36854165972596398</v>
      </c>
      <c r="AK47" s="26">
        <f t="shared" si="9"/>
        <v>1.4841591732462826E-2</v>
      </c>
      <c r="AL47" s="26">
        <f t="shared" si="10"/>
        <v>0.70415836269882881</v>
      </c>
      <c r="AM47" s="26">
        <f t="shared" si="11"/>
        <v>0.8565268929912131</v>
      </c>
      <c r="AN47" s="26">
        <f t="shared" si="12"/>
        <v>3.3099392642608957E-2</v>
      </c>
      <c r="AO47" s="26">
        <f t="shared" si="13"/>
        <v>0</v>
      </c>
      <c r="AP47" s="26">
        <f t="shared" si="14"/>
        <v>0</v>
      </c>
      <c r="AQ47" s="26">
        <f t="shared" si="15"/>
        <v>0</v>
      </c>
      <c r="AR47" s="26">
        <f t="shared" si="16"/>
        <v>0</v>
      </c>
      <c r="AS47" s="26">
        <f t="shared" si="17"/>
        <v>4.0040130185142999</v>
      </c>
      <c r="AT47" s="26">
        <f t="shared" si="18"/>
        <v>2.0225597077137869</v>
      </c>
      <c r="AU47" s="26">
        <f t="shared" si="19"/>
        <v>0.88962628563382207</v>
      </c>
      <c r="AV47" s="47"/>
      <c r="AW47" s="26">
        <f t="shared" si="20"/>
        <v>1.9922414044549788</v>
      </c>
      <c r="AX47" s="26">
        <f t="shared" si="21"/>
        <v>3.9841099488029351E-3</v>
      </c>
      <c r="AY47" s="26">
        <f t="shared" si="22"/>
        <v>2.829119457664275E-2</v>
      </c>
      <c r="AZ47" s="26">
        <f t="shared" si="23"/>
        <v>2.9700601123009535E-4</v>
      </c>
      <c r="BA47" s="26">
        <f t="shared" si="24"/>
        <v>0.35614529976263154</v>
      </c>
      <c r="BB47" s="26">
        <f t="shared" si="25"/>
        <v>1.2026989410106825E-2</v>
      </c>
      <c r="BC47" s="26">
        <f t="shared" si="26"/>
        <v>1.4826716760246536E-2</v>
      </c>
      <c r="BD47" s="26">
        <f t="shared" si="27"/>
        <v>0.70345262060122726</v>
      </c>
      <c r="BE47" s="26">
        <f t="shared" si="28"/>
        <v>0.85566843966858985</v>
      </c>
      <c r="BF47" s="26">
        <f t="shared" si="29"/>
        <v>3.3066218805542821E-2</v>
      </c>
      <c r="BG47" s="26">
        <f t="shared" si="30"/>
        <v>0</v>
      </c>
      <c r="BH47" s="26">
        <f t="shared" si="31"/>
        <v>0</v>
      </c>
      <c r="BI47" s="26">
        <f t="shared" si="32"/>
        <v>0</v>
      </c>
      <c r="BJ47" s="26">
        <f t="shared" si="33"/>
        <v>0</v>
      </c>
      <c r="BK47" s="25">
        <f t="shared" si="34"/>
        <v>3.9999999999999987</v>
      </c>
      <c r="BL47" s="24">
        <f t="shared" si="35"/>
        <v>6</v>
      </c>
      <c r="BM47" s="26">
        <f t="shared" si="36"/>
        <v>2.0205325990316214</v>
      </c>
      <c r="BN47" s="26">
        <f t="shared" si="37"/>
        <v>0.88873465847413269</v>
      </c>
      <c r="BO47" s="22"/>
      <c r="BP47" s="23">
        <f t="shared" si="38"/>
        <v>0.6564354880007448</v>
      </c>
      <c r="BQ47" s="26">
        <f t="shared" si="39"/>
        <v>7.7585955450212296E-3</v>
      </c>
      <c r="BR47" s="26">
        <f t="shared" si="40"/>
        <v>2.053259903162152E-2</v>
      </c>
      <c r="BS47" s="26"/>
      <c r="BT47" s="26">
        <f t="shared" si="41"/>
        <v>2.053259903162152E-2</v>
      </c>
      <c r="BU47" s="26">
        <f t="shared" si="42"/>
        <v>0</v>
      </c>
      <c r="BV47" s="26">
        <f t="shared" si="43"/>
        <v>2.053259903162152E-2</v>
      </c>
      <c r="BW47" s="26">
        <f t="shared" si="44"/>
        <v>1.486519919427883E-4</v>
      </c>
      <c r="BX47" s="26">
        <f t="shared" si="45"/>
        <v>0.83584564196764877</v>
      </c>
      <c r="BY47" s="26">
        <f t="shared" si="46"/>
        <v>0.11842719022857207</v>
      </c>
      <c r="BZ47" s="26">
        <f t="shared" si="47"/>
        <v>0.99548668225140668</v>
      </c>
      <c r="CA47" s="22"/>
      <c r="CB47" s="22">
        <f t="shared" si="48"/>
        <v>1.2026989410106825E-2</v>
      </c>
      <c r="CC47" s="22">
        <f t="shared" si="49"/>
        <v>2.053259903162152E-2</v>
      </c>
      <c r="CD47" s="22">
        <f t="shared" si="50"/>
        <v>0</v>
      </c>
      <c r="CE47" s="22">
        <f t="shared" si="51"/>
        <v>2.9700601123009535E-4</v>
      </c>
      <c r="CF47" s="22">
        <f t="shared" si="52"/>
        <v>0</v>
      </c>
      <c r="CG47" s="22">
        <f t="shared" si="53"/>
        <v>0.43369921153373331</v>
      </c>
      <c r="CH47" s="22">
        <f t="shared" si="54"/>
        <v>0.37595937670238205</v>
      </c>
      <c r="CI47" s="22">
        <f t="shared" si="55"/>
        <v>0.19034141176388472</v>
      </c>
      <c r="CJ47" s="22"/>
      <c r="CK47" s="22">
        <f t="shared" si="56"/>
        <v>0.44058472725714498</v>
      </c>
      <c r="CL47" s="22">
        <f t="shared" si="57"/>
        <v>0.36220861564784979</v>
      </c>
      <c r="CM47" s="22">
        <f t="shared" si="58"/>
        <v>0.19720665709500529</v>
      </c>
      <c r="CN47" s="1"/>
      <c r="CO47" s="26">
        <f t="shared" si="59"/>
        <v>0.88265645805592552</v>
      </c>
      <c r="CP47" s="26">
        <f t="shared" si="60"/>
        <v>1.7651477215823734E-3</v>
      </c>
      <c r="CQ47" s="26">
        <f t="shared" si="61"/>
        <v>1.253432718713221E-2</v>
      </c>
      <c r="CR47" s="26">
        <f t="shared" si="62"/>
        <v>1.3158760444766102E-4</v>
      </c>
      <c r="CS47" s="26">
        <f t="shared" si="63"/>
        <v>0.16311760612386919</v>
      </c>
      <c r="CT47" s="26">
        <f t="shared" si="64"/>
        <v>6.5689314914011846E-3</v>
      </c>
      <c r="CU47" s="26">
        <f t="shared" si="65"/>
        <v>0.31166253101736974</v>
      </c>
      <c r="CV47" s="26">
        <f t="shared" si="66"/>
        <v>0.37910128388017122</v>
      </c>
      <c r="CW47" s="26">
        <f t="shared" si="67"/>
        <v>1.4649887060342048E-2</v>
      </c>
      <c r="CX47" s="26">
        <f t="shared" si="68"/>
        <v>0</v>
      </c>
      <c r="CY47" s="26">
        <f t="shared" si="69"/>
        <v>0</v>
      </c>
      <c r="CZ47" s="26">
        <f t="shared" si="70"/>
        <v>0</v>
      </c>
      <c r="DA47" s="26">
        <f t="shared" si="71"/>
        <v>0</v>
      </c>
      <c r="DB47" s="26">
        <f t="shared" si="72"/>
        <v>1.7721877601422413</v>
      </c>
      <c r="DC47" s="26">
        <f t="shared" si="73"/>
        <v>2.6556173797853679</v>
      </c>
      <c r="DD47" s="26">
        <f t="shared" si="74"/>
        <v>2.2570971823431099</v>
      </c>
      <c r="DE47" s="26">
        <f t="shared" si="75"/>
        <v>5.9939865052949459</v>
      </c>
      <c r="DF47" s="1"/>
      <c r="DG47" s="22"/>
      <c r="DH47" s="14"/>
      <c r="DI47" s="14"/>
      <c r="DJ47" s="14"/>
      <c r="DK47" s="14"/>
      <c r="DL47" s="14"/>
      <c r="DM47" s="96"/>
      <c r="DN47" s="14"/>
      <c r="DO47" s="96"/>
      <c r="DP47" s="22"/>
      <c r="DQ47" s="14"/>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46"/>
      <c r="FR47" s="46"/>
      <c r="FS47" s="46"/>
      <c r="FT47" s="46"/>
      <c r="FU47" s="46"/>
      <c r="FV47" s="46"/>
      <c r="FW47" s="46"/>
      <c r="FX47" s="46"/>
      <c r="FY47" s="46"/>
      <c r="FZ47" s="46"/>
      <c r="GA47" s="46"/>
      <c r="GB47" s="46"/>
      <c r="GC47" s="46"/>
      <c r="GD47" s="46"/>
      <c r="GE47" s="46"/>
      <c r="GF47" s="46"/>
      <c r="GG47" s="46"/>
      <c r="GH47" s="46"/>
    </row>
    <row r="48" spans="1:190" x14ac:dyDescent="0.25">
      <c r="A48" s="5" t="s">
        <v>92</v>
      </c>
      <c r="B48" s="1">
        <v>984</v>
      </c>
      <c r="C48" s="98" t="s">
        <v>255</v>
      </c>
      <c r="D48" s="98" t="s">
        <v>106</v>
      </c>
      <c r="E48" s="1">
        <v>142</v>
      </c>
      <c r="F48" s="22">
        <v>52.67</v>
      </c>
      <c r="G48" s="22">
        <v>0.17399999999999999</v>
      </c>
      <c r="H48" s="22">
        <v>0.46500000000000002</v>
      </c>
      <c r="I48" s="22">
        <v>2.4E-2</v>
      </c>
      <c r="J48" s="22">
        <v>14.83</v>
      </c>
      <c r="K48" s="22">
        <v>0.57299999999999995</v>
      </c>
      <c r="L48" s="22">
        <v>11.42</v>
      </c>
      <c r="M48" s="22">
        <v>20.43</v>
      </c>
      <c r="N48" s="22">
        <v>0.40500000000000003</v>
      </c>
      <c r="O48" s="22">
        <v>0</v>
      </c>
      <c r="P48" s="22">
        <v>0</v>
      </c>
      <c r="Q48" s="22"/>
      <c r="R48" s="22"/>
      <c r="S48" s="22">
        <f t="shared" si="0"/>
        <v>100.99100000000001</v>
      </c>
      <c r="T48" s="3"/>
      <c r="U48" s="22">
        <f t="shared" si="1"/>
        <v>14.151023784460678</v>
      </c>
      <c r="V48" s="22">
        <f t="shared" si="2"/>
        <v>0.75454626832884863</v>
      </c>
      <c r="W48" s="22">
        <f t="shared" si="3"/>
        <v>101.06657005278953</v>
      </c>
      <c r="X48" s="1"/>
      <c r="Y48" s="1">
        <v>1</v>
      </c>
      <c r="Z48" s="1"/>
      <c r="AA48" s="1" t="s">
        <v>185</v>
      </c>
      <c r="AC48" s="1">
        <v>6</v>
      </c>
      <c r="AD48" s="1">
        <v>4</v>
      </c>
      <c r="AE48" s="1"/>
      <c r="AF48" s="26">
        <f t="shared" si="4"/>
        <v>1.9920189005115376</v>
      </c>
      <c r="AG48" s="26">
        <f t="shared" si="5"/>
        <v>4.9496131002169609E-3</v>
      </c>
      <c r="AH48" s="26">
        <f t="shared" si="6"/>
        <v>2.0725889679193425E-2</v>
      </c>
      <c r="AI48" s="26">
        <f t="shared" si="7"/>
        <v>7.1760636601832836E-4</v>
      </c>
      <c r="AJ48" s="26">
        <f t="shared" si="8"/>
        <v>0.46900172378792476</v>
      </c>
      <c r="AK48" s="26">
        <f t="shared" si="9"/>
        <v>1.835369448661282E-2</v>
      </c>
      <c r="AL48" s="26">
        <f t="shared" si="10"/>
        <v>0.64390399283615385</v>
      </c>
      <c r="AM48" s="26">
        <f t="shared" si="11"/>
        <v>0.82779046964087721</v>
      </c>
      <c r="AN48" s="26">
        <f t="shared" si="12"/>
        <v>2.9695695914210181E-2</v>
      </c>
      <c r="AO48" s="26">
        <f t="shared" si="13"/>
        <v>0</v>
      </c>
      <c r="AP48" s="26">
        <f t="shared" si="14"/>
        <v>0</v>
      </c>
      <c r="AQ48" s="26">
        <f t="shared" si="15"/>
        <v>0</v>
      </c>
      <c r="AR48" s="26">
        <f t="shared" si="16"/>
        <v>0</v>
      </c>
      <c r="AS48" s="26">
        <f t="shared" si="17"/>
        <v>4.0071575863227453</v>
      </c>
      <c r="AT48" s="26">
        <f t="shared" si="18"/>
        <v>2.0127447901907312</v>
      </c>
      <c r="AU48" s="26">
        <f t="shared" si="19"/>
        <v>0.85748616555508739</v>
      </c>
      <c r="AV48" s="47"/>
      <c r="AW48" s="26">
        <f t="shared" si="20"/>
        <v>1.9884607556345766</v>
      </c>
      <c r="AX48" s="26">
        <f t="shared" si="21"/>
        <v>4.940772099516137E-3</v>
      </c>
      <c r="AY48" s="26">
        <f t="shared" si="22"/>
        <v>2.0688869087589826E-2</v>
      </c>
      <c r="AZ48" s="26">
        <f t="shared" si="23"/>
        <v>7.1632457726910161E-4</v>
      </c>
      <c r="BA48" s="26">
        <f t="shared" si="24"/>
        <v>0.44672958842167543</v>
      </c>
      <c r="BB48" s="26">
        <f t="shared" si="25"/>
        <v>2.1434404318439793E-2</v>
      </c>
      <c r="BC48" s="26">
        <f t="shared" si="26"/>
        <v>1.8320911110915893E-2</v>
      </c>
      <c r="BD48" s="26">
        <f t="shared" si="27"/>
        <v>0.64275385129242835</v>
      </c>
      <c r="BE48" s="26">
        <f t="shared" si="28"/>
        <v>0.82631187000610784</v>
      </c>
      <c r="BF48" s="26">
        <f t="shared" si="29"/>
        <v>2.9642653451481635E-2</v>
      </c>
      <c r="BG48" s="26">
        <f t="shared" si="30"/>
        <v>0</v>
      </c>
      <c r="BH48" s="26">
        <f t="shared" si="31"/>
        <v>0</v>
      </c>
      <c r="BI48" s="26">
        <f t="shared" si="32"/>
        <v>0</v>
      </c>
      <c r="BJ48" s="26">
        <f t="shared" si="33"/>
        <v>0</v>
      </c>
      <c r="BK48" s="25">
        <f t="shared" si="34"/>
        <v>4</v>
      </c>
      <c r="BL48" s="24">
        <f t="shared" si="35"/>
        <v>6.0000000000000018</v>
      </c>
      <c r="BM48" s="26">
        <f t="shared" si="36"/>
        <v>2.0091496247221663</v>
      </c>
      <c r="BN48" s="26">
        <f t="shared" si="37"/>
        <v>0.85595452345758949</v>
      </c>
      <c r="BO48" s="22"/>
      <c r="BP48" s="23">
        <f t="shared" si="38"/>
        <v>0.57857910442709515</v>
      </c>
      <c r="BQ48" s="26">
        <f t="shared" si="39"/>
        <v>1.1539244365423418E-2</v>
      </c>
      <c r="BR48" s="26">
        <f t="shared" si="40"/>
        <v>9.1496247221664086E-3</v>
      </c>
      <c r="BS48" s="26"/>
      <c r="BT48" s="26">
        <f t="shared" si="41"/>
        <v>9.1496247221664086E-3</v>
      </c>
      <c r="BU48" s="26">
        <f t="shared" si="42"/>
        <v>0</v>
      </c>
      <c r="BV48" s="26">
        <f t="shared" si="43"/>
        <v>9.1496247221664086E-3</v>
      </c>
      <c r="BW48" s="26">
        <f t="shared" si="44"/>
        <v>3.5880318300916418E-4</v>
      </c>
      <c r="BX48" s="26">
        <f t="shared" si="45"/>
        <v>0.81828204173570163</v>
      </c>
      <c r="BY48" s="26">
        <f t="shared" si="46"/>
        <v>0.14731183744418846</v>
      </c>
      <c r="BZ48" s="26">
        <f t="shared" si="47"/>
        <v>0.98425193180723203</v>
      </c>
      <c r="CA48" s="22"/>
      <c r="CB48" s="22">
        <f t="shared" si="48"/>
        <v>2.1434404318439793E-2</v>
      </c>
      <c r="CC48" s="22">
        <f t="shared" si="49"/>
        <v>8.2082491330418422E-3</v>
      </c>
      <c r="CD48" s="22">
        <f t="shared" si="50"/>
        <v>0</v>
      </c>
      <c r="CE48" s="22">
        <f t="shared" si="51"/>
        <v>7.1632457726910161E-4</v>
      </c>
      <c r="CF48" s="22">
        <f t="shared" si="52"/>
        <v>9.4137558912456634E-4</v>
      </c>
      <c r="CG48" s="22">
        <f t="shared" si="53"/>
        <v>0.42304428707907699</v>
      </c>
      <c r="CH48" s="22">
        <f t="shared" si="54"/>
        <v>0.3403819580795151</v>
      </c>
      <c r="CI48" s="22">
        <f t="shared" si="55"/>
        <v>0.236573754841408</v>
      </c>
      <c r="CJ48" s="22"/>
      <c r="CK48" s="22">
        <f t="shared" si="56"/>
        <v>0.42254690795484201</v>
      </c>
      <c r="CL48" s="22">
        <f t="shared" si="57"/>
        <v>0.32868177536609072</v>
      </c>
      <c r="CM48" s="22">
        <f t="shared" si="58"/>
        <v>0.24877131667906735</v>
      </c>
      <c r="CN48" s="1"/>
      <c r="CO48" s="26">
        <f t="shared" si="59"/>
        <v>0.87666444740346205</v>
      </c>
      <c r="CP48" s="26">
        <f t="shared" si="60"/>
        <v>2.1782674011016525E-3</v>
      </c>
      <c r="CQ48" s="26">
        <f t="shared" si="61"/>
        <v>9.1212240094154587E-3</v>
      </c>
      <c r="CR48" s="26">
        <f t="shared" si="62"/>
        <v>3.1581025067438644E-4</v>
      </c>
      <c r="CS48" s="26">
        <f t="shared" si="63"/>
        <v>0.20640222686151707</v>
      </c>
      <c r="CT48" s="26">
        <f t="shared" si="64"/>
        <v>8.0772483789117566E-3</v>
      </c>
      <c r="CU48" s="26">
        <f t="shared" si="65"/>
        <v>0.28337468982630276</v>
      </c>
      <c r="CV48" s="26">
        <f t="shared" si="66"/>
        <v>0.36430099857346648</v>
      </c>
      <c r="CW48" s="26">
        <f t="shared" si="67"/>
        <v>1.3068731848983545E-2</v>
      </c>
      <c r="CX48" s="26">
        <f t="shared" si="68"/>
        <v>0</v>
      </c>
      <c r="CY48" s="26">
        <f t="shared" si="69"/>
        <v>0</v>
      </c>
      <c r="CZ48" s="26">
        <f t="shared" si="70"/>
        <v>0</v>
      </c>
      <c r="DA48" s="26">
        <f t="shared" si="71"/>
        <v>0</v>
      </c>
      <c r="DB48" s="26">
        <f t="shared" si="72"/>
        <v>1.763503644553835</v>
      </c>
      <c r="DC48" s="26">
        <f t="shared" si="73"/>
        <v>2.640530510563952</v>
      </c>
      <c r="DD48" s="26">
        <f t="shared" si="74"/>
        <v>2.2682119270652241</v>
      </c>
      <c r="DE48" s="26">
        <f t="shared" si="75"/>
        <v>5.9892827978407821</v>
      </c>
      <c r="DF48" s="1"/>
      <c r="DG48" s="22">
        <v>15.281507115512024</v>
      </c>
      <c r="DH48" s="14">
        <v>3136.5292979250721</v>
      </c>
      <c r="DI48" s="14">
        <v>74659.426651951711</v>
      </c>
      <c r="DJ48" s="14">
        <v>4053.9844271597171</v>
      </c>
      <c r="DK48" s="14">
        <v>245096.94022869496</v>
      </c>
      <c r="DL48" s="14">
        <v>147719.14341250405</v>
      </c>
      <c r="DM48" s="96">
        <v>180.27233248156068</v>
      </c>
      <c r="DN48" s="14">
        <v>1436.8758383693857</v>
      </c>
      <c r="DO48" s="96">
        <v>216.0514868709765</v>
      </c>
      <c r="DP48" s="22">
        <v>2.6480018161600491</v>
      </c>
      <c r="DQ48" s="14">
        <v>3891.9574795845106</v>
      </c>
      <c r="DR48" s="22">
        <v>47.677007864624848</v>
      </c>
      <c r="DS48" s="22">
        <v>0</v>
      </c>
      <c r="DT48" s="22">
        <v>1.664885842253933</v>
      </c>
      <c r="DU48" s="22">
        <v>139.74796962051744</v>
      </c>
      <c r="DV48" s="22">
        <v>7.0448945064828656</v>
      </c>
      <c r="DW48" s="22">
        <v>4.3543235952482915</v>
      </c>
      <c r="DX48" s="22">
        <v>4.5921510783089881</v>
      </c>
      <c r="DY48" s="22">
        <v>153.9523103188607</v>
      </c>
      <c r="DZ48" s="22">
        <v>48.796392083008747</v>
      </c>
      <c r="EA48" s="22">
        <v>0.15339937881256577</v>
      </c>
      <c r="EB48" s="22">
        <v>0.38350665399032818</v>
      </c>
      <c r="EC48" s="22">
        <v>2.0034033464055416</v>
      </c>
      <c r="ED48" s="22">
        <v>12.110626461145829</v>
      </c>
      <c r="EE48" s="22">
        <v>46.797954913767015</v>
      </c>
      <c r="EF48" s="22">
        <v>8.5948762025079883</v>
      </c>
      <c r="EG48" s="22">
        <v>50.101583196340968</v>
      </c>
      <c r="EH48" s="22">
        <v>17.816977644610802</v>
      </c>
      <c r="EI48" s="22">
        <v>1.0173131317192201</v>
      </c>
      <c r="EJ48" s="22">
        <v>22.028507913408379</v>
      </c>
      <c r="EK48" s="22">
        <v>3.8571707023079398</v>
      </c>
      <c r="EL48" s="22">
        <v>29.772360734032311</v>
      </c>
      <c r="EM48" s="22">
        <v>6.1970335543089288</v>
      </c>
      <c r="EN48" s="22">
        <v>18.619166554950329</v>
      </c>
      <c r="EO48" s="22">
        <v>2.6626689400556334</v>
      </c>
      <c r="EP48" s="22">
        <v>16.353160235918676</v>
      </c>
      <c r="EQ48" s="22">
        <v>2.4303614686664088</v>
      </c>
      <c r="ER48" s="22">
        <v>1.8374304438697473</v>
      </c>
      <c r="ES48" s="22">
        <v>0</v>
      </c>
      <c r="ET48" s="22">
        <v>1.5439473934344483</v>
      </c>
      <c r="EU48" s="22">
        <v>0.88819283681278194</v>
      </c>
      <c r="EV48" s="22">
        <v>0.2196965871922629</v>
      </c>
      <c r="EW48" s="22">
        <f>(EI48/0.05883)/SQRT((EH48/0.1536)*(EJ48/0.2069))</f>
        <v>0.15560448015603345</v>
      </c>
      <c r="EX48" s="22"/>
      <c r="EY48" s="22"/>
      <c r="EZ48" s="22"/>
      <c r="FA48" s="22"/>
      <c r="FB48" s="22"/>
      <c r="FC48" s="22"/>
      <c r="FD48" s="22"/>
      <c r="FE48" s="22"/>
      <c r="FF48" s="22"/>
      <c r="FG48" s="22"/>
      <c r="FH48" s="22"/>
      <c r="FI48" s="22">
        <f>-0.50354-2.23025*BP48+ N("eqn 18 Mg# R2 0.28 best")</f>
        <v>-1.793916047648529</v>
      </c>
      <c r="FJ48" s="22"/>
      <c r="FK48" s="22">
        <f xml:space="preserve"> -0.03692  +  0.931085 + FX48   + N("488 NN Dy")</f>
        <v>1.0950803637812636</v>
      </c>
      <c r="FL48" s="22">
        <f>-0.48986  +   0    +   (1.071278 + 0) * GD48  +N("eqn 119 LnD Hf  (which has R2 of 0.51 for TS")</f>
        <v>-0.25336086526131552</v>
      </c>
      <c r="FM48" s="22"/>
      <c r="FN48" s="22"/>
      <c r="FO48" s="22">
        <f>3.94011-11.9214*BP48</f>
        <v>-2.957362935517172</v>
      </c>
      <c r="FP48" s="22">
        <f xml:space="preserve">  -0.49862 +   1.013256 * FQ48 + N("294 NN")</f>
        <v>-1.6200091649308823</v>
      </c>
      <c r="FQ48" s="46">
        <f t="shared" ref="FQ48" si="172" xml:space="preserve">  -0.73306   +   1.025016   *  FS48     +N("316 NN Nd")</f>
        <v>-1.1067185044360777</v>
      </c>
      <c r="FR48" s="46">
        <f t="shared" ref="FR48" si="173" xml:space="preserve">  -0.33671   +   1.013871 *  FS48    +N("340 NN")</f>
        <v>-0.70630571514113982</v>
      </c>
      <c r="FS48" s="46">
        <f t="shared" ref="FS48" si="174">-0.42496     +   1.017678*FT48                 + N("361 NN")</f>
        <v>-0.36453919200878593</v>
      </c>
      <c r="FT48" s="46">
        <f xml:space="preserve"> 0.68509  -3.34181 * BP48 + 0.03095*(100*CK48) +N("642 cpx Mg# Wo R2 0.59")</f>
        <v>5.9371243154724862E-2</v>
      </c>
      <c r="FU48" s="46">
        <f t="shared" ref="FU48" si="175" xml:space="preserve"> -0.06599 + 0.926002 * FT48  + N("409 NN")</f>
        <v>-1.101211009623846E-2</v>
      </c>
      <c r="FV48" s="46">
        <f t="shared" ref="FV48" si="176">0.1453     +   0.925549*FT48     +N("424 LnD Sm")</f>
        <v>0.20025099473061245</v>
      </c>
      <c r="FW48" s="46">
        <f t="shared" ref="FW48" si="177" xml:space="preserve">  0.053547 + 0.932974 * FV48  +  N("445 NN")</f>
        <v>0.24037597155779838</v>
      </c>
      <c r="FX48" s="46">
        <f t="shared" ref="FX48" si="178" xml:space="preserve">  0.027177  +  0.867603 * FV48 + N("464 NN Gd")</f>
        <v>0.20091536378126357</v>
      </c>
      <c r="FY48" s="46">
        <f t="shared" ref="FY48" si="179" xml:space="preserve">  -0.06187  +  0.953618 * FX48   + N("505 NN Dy")</f>
        <v>0.12972650737836097</v>
      </c>
      <c r="FZ48" s="46">
        <f t="shared" ref="FZ48" si="180" xml:space="preserve"> -0.05652 + 0.972005*FY48   +N("533 NN")</f>
        <v>6.9574813804303762E-2</v>
      </c>
      <c r="GA48" s="46">
        <f t="shared" ref="GA48" si="181" xml:space="preserve">     0.018586 + 0.960264 * FZ48    +N("549 LnD Er")</f>
        <v>8.5396189002975936E-2</v>
      </c>
      <c r="GB48" s="46">
        <f t="shared" ref="GB48" si="182" xml:space="preserve"> -0.02011 + 0.936315 * FZ48    +N("574 NN Er")</f>
        <v>4.5033941787176679E-2</v>
      </c>
      <c r="GC48" s="46">
        <f t="shared" ref="GC48" si="183" xml:space="preserve">   0.01732 + 1.006083 * GB48  +N("597 NN Yb")</f>
        <v>6.2627883255068073E-2</v>
      </c>
      <c r="GD48" s="46">
        <f>(-1.72947 +0 ) * (3.46258+0) * BQ48   - (1.87473 + 0) *BP48   + (0.03253+0) * (CK48*100)    +N("eqn625 aliv mg# wo")</f>
        <v>0.22076355039372086</v>
      </c>
      <c r="GE48" s="46"/>
      <c r="GF48" s="46"/>
      <c r="GG48" s="46"/>
      <c r="GH48" s="46"/>
    </row>
    <row r="49" spans="1:190" x14ac:dyDescent="0.25">
      <c r="A49" s="5" t="s">
        <v>92</v>
      </c>
      <c r="B49" s="1">
        <v>985</v>
      </c>
      <c r="C49" s="98" t="s">
        <v>255</v>
      </c>
      <c r="D49" s="98" t="s">
        <v>106</v>
      </c>
      <c r="E49" s="1">
        <v>143</v>
      </c>
      <c r="F49" s="22">
        <v>51.9</v>
      </c>
      <c r="G49" s="22">
        <v>0.23599999999999999</v>
      </c>
      <c r="H49" s="22">
        <v>1.04</v>
      </c>
      <c r="I49" s="22">
        <v>5.7000000000000002E-2</v>
      </c>
      <c r="J49" s="22">
        <v>12.27</v>
      </c>
      <c r="K49" s="22">
        <v>0.47399999999999998</v>
      </c>
      <c r="L49" s="22">
        <v>12.89</v>
      </c>
      <c r="M49" s="22">
        <v>20.13</v>
      </c>
      <c r="N49" s="22">
        <v>0.313</v>
      </c>
      <c r="O49" s="22">
        <v>8.0000000000000002E-3</v>
      </c>
      <c r="P49" s="22">
        <v>0</v>
      </c>
      <c r="Q49" s="22"/>
      <c r="R49" s="22"/>
      <c r="S49" s="22">
        <f t="shared" si="0"/>
        <v>99.317999999999998</v>
      </c>
      <c r="T49" s="3"/>
      <c r="U49" s="22">
        <f t="shared" si="1"/>
        <v>11.551938775414287</v>
      </c>
      <c r="V49" s="22">
        <f t="shared" si="2"/>
        <v>0.79798143888210149</v>
      </c>
      <c r="W49" s="22">
        <f t="shared" si="3"/>
        <v>99.397920214296391</v>
      </c>
      <c r="X49" s="1"/>
      <c r="Y49" s="1"/>
      <c r="Z49" s="1"/>
      <c r="AA49" s="1" t="s">
        <v>185</v>
      </c>
      <c r="AC49" s="1">
        <v>6</v>
      </c>
      <c r="AD49" s="1">
        <v>4</v>
      </c>
      <c r="AE49" s="1"/>
      <c r="AF49" s="26">
        <f t="shared" si="4"/>
        <v>1.973215537610048</v>
      </c>
      <c r="AG49" s="26">
        <f t="shared" si="5"/>
        <v>6.7485588502957609E-3</v>
      </c>
      <c r="AH49" s="26">
        <f t="shared" si="6"/>
        <v>4.659835663371565E-2</v>
      </c>
      <c r="AI49" s="26">
        <f t="shared" si="7"/>
        <v>1.7132744133932008E-3</v>
      </c>
      <c r="AJ49" s="26">
        <f t="shared" si="8"/>
        <v>0.39008107694933791</v>
      </c>
      <c r="AK49" s="26">
        <f t="shared" si="9"/>
        <v>1.526244986069694E-2</v>
      </c>
      <c r="AL49" s="26">
        <f t="shared" si="10"/>
        <v>0.73060890940776291</v>
      </c>
      <c r="AM49" s="26">
        <f t="shared" si="11"/>
        <v>0.81992261008467915</v>
      </c>
      <c r="AN49" s="26">
        <f t="shared" si="12"/>
        <v>2.3070651240830662E-2</v>
      </c>
      <c r="AO49" s="26">
        <f t="shared" si="13"/>
        <v>3.879771715150782E-4</v>
      </c>
      <c r="AP49" s="26">
        <f t="shared" si="14"/>
        <v>0</v>
      </c>
      <c r="AQ49" s="26">
        <f t="shared" si="15"/>
        <v>0</v>
      </c>
      <c r="AR49" s="26">
        <f t="shared" si="16"/>
        <v>0</v>
      </c>
      <c r="AS49" s="26">
        <f t="shared" si="17"/>
        <v>4.0076094022222755</v>
      </c>
      <c r="AT49" s="26">
        <f t="shared" si="18"/>
        <v>2.0198138942437636</v>
      </c>
      <c r="AU49" s="26">
        <f t="shared" si="19"/>
        <v>0.84338123849702484</v>
      </c>
      <c r="AV49" s="47"/>
      <c r="AW49" s="26">
        <f t="shared" si="20"/>
        <v>1.9694689173210065</v>
      </c>
      <c r="AX49" s="26">
        <f t="shared" si="21"/>
        <v>6.7357451018590685E-3</v>
      </c>
      <c r="AY49" s="26">
        <f t="shared" si="22"/>
        <v>4.6509878540434806E-2</v>
      </c>
      <c r="AZ49" s="26">
        <f t="shared" si="23"/>
        <v>1.7100213533216746E-3</v>
      </c>
      <c r="BA49" s="26">
        <f t="shared" si="24"/>
        <v>0.36655555312238264</v>
      </c>
      <c r="BB49" s="26">
        <f t="shared" si="25"/>
        <v>2.2784861872184869E-2</v>
      </c>
      <c r="BC49" s="26">
        <f t="shared" si="26"/>
        <v>1.5233470459704676E-2</v>
      </c>
      <c r="BD49" s="26">
        <f t="shared" si="27"/>
        <v>0.72922167415080918</v>
      </c>
      <c r="BE49" s="26">
        <f t="shared" si="28"/>
        <v>0.81836579146662392</v>
      </c>
      <c r="BF49" s="26">
        <f t="shared" si="29"/>
        <v>2.3026846107345351E-2</v>
      </c>
      <c r="BG49" s="26">
        <f t="shared" si="30"/>
        <v>3.8724050432653378E-4</v>
      </c>
      <c r="BH49" s="26">
        <f t="shared" si="31"/>
        <v>0</v>
      </c>
      <c r="BI49" s="26">
        <f t="shared" si="32"/>
        <v>0</v>
      </c>
      <c r="BJ49" s="26">
        <f t="shared" si="33"/>
        <v>0</v>
      </c>
      <c r="BK49" s="25">
        <f t="shared" si="34"/>
        <v>3.9999999999999996</v>
      </c>
      <c r="BL49" s="24">
        <f t="shared" si="35"/>
        <v>5.9999999999999982</v>
      </c>
      <c r="BM49" s="26">
        <f t="shared" si="36"/>
        <v>2.0159787958614412</v>
      </c>
      <c r="BN49" s="26">
        <f t="shared" si="37"/>
        <v>0.8417798780782958</v>
      </c>
      <c r="BO49" s="22"/>
      <c r="BP49" s="23">
        <f t="shared" si="38"/>
        <v>0.65192775727627394</v>
      </c>
      <c r="BQ49" s="26">
        <f t="shared" si="39"/>
        <v>3.0531082678993515E-2</v>
      </c>
      <c r="BR49" s="26">
        <f t="shared" si="40"/>
        <v>1.597879586144129E-2</v>
      </c>
      <c r="BS49" s="26"/>
      <c r="BT49" s="26">
        <f t="shared" si="41"/>
        <v>1.597879586144129E-2</v>
      </c>
      <c r="BU49" s="26">
        <f t="shared" si="42"/>
        <v>0</v>
      </c>
      <c r="BV49" s="26">
        <f t="shared" si="43"/>
        <v>1.597879586144129E-2</v>
      </c>
      <c r="BW49" s="26">
        <f t="shared" si="44"/>
        <v>8.5663720669660042E-4</v>
      </c>
      <c r="BX49" s="26">
        <f t="shared" si="45"/>
        <v>0.80308717701654131</v>
      </c>
      <c r="BY49" s="26">
        <f t="shared" si="46"/>
        <v>0.15880140467027981</v>
      </c>
      <c r="BZ49" s="26">
        <f t="shared" si="47"/>
        <v>0.99470281061640031</v>
      </c>
      <c r="CA49" s="22"/>
      <c r="CB49" s="22">
        <f t="shared" si="48"/>
        <v>2.2784861872184869E-2</v>
      </c>
      <c r="CC49" s="22">
        <f t="shared" si="49"/>
        <v>2.4198423516048201E-4</v>
      </c>
      <c r="CD49" s="22">
        <f t="shared" si="50"/>
        <v>0</v>
      </c>
      <c r="CE49" s="22">
        <f t="shared" si="51"/>
        <v>1.7100213533216746E-3</v>
      </c>
      <c r="CF49" s="22">
        <f t="shared" si="52"/>
        <v>1.5736811626280808E-2</v>
      </c>
      <c r="CG49" s="22">
        <f t="shared" si="53"/>
        <v>0.41185191017960315</v>
      </c>
      <c r="CH49" s="22">
        <f t="shared" si="54"/>
        <v>0.39140285455165991</v>
      </c>
      <c r="CI49" s="22">
        <f t="shared" si="55"/>
        <v>0.19674523526873691</v>
      </c>
      <c r="CJ49" s="22"/>
      <c r="CK49" s="22">
        <f t="shared" si="56"/>
        <v>0.41921011857823859</v>
      </c>
      <c r="CL49" s="22">
        <f t="shared" si="57"/>
        <v>0.37354580027438727</v>
      </c>
      <c r="CM49" s="22">
        <f t="shared" si="58"/>
        <v>0.20724408114737425</v>
      </c>
      <c r="CN49" s="1"/>
      <c r="CO49" s="26">
        <f t="shared" si="59"/>
        <v>0.86384820239680427</v>
      </c>
      <c r="CP49" s="26">
        <f t="shared" si="60"/>
        <v>2.9544316474712068E-3</v>
      </c>
      <c r="CQ49" s="26">
        <f t="shared" si="61"/>
        <v>2.0400156924284034E-2</v>
      </c>
      <c r="CR49" s="26">
        <f t="shared" si="62"/>
        <v>7.5004934535166786E-4</v>
      </c>
      <c r="CS49" s="26">
        <f t="shared" si="63"/>
        <v>0.17077244258872651</v>
      </c>
      <c r="CT49" s="26">
        <f t="shared" si="64"/>
        <v>6.681702847476741E-3</v>
      </c>
      <c r="CU49" s="26">
        <f t="shared" si="65"/>
        <v>0.31985111662531018</v>
      </c>
      <c r="CV49" s="26">
        <f t="shared" si="66"/>
        <v>0.3589514978601997</v>
      </c>
      <c r="CW49" s="26">
        <f t="shared" si="67"/>
        <v>1.0100032268473702E-2</v>
      </c>
      <c r="CX49" s="26">
        <f t="shared" si="68"/>
        <v>1.6985138004246286E-4</v>
      </c>
      <c r="CY49" s="26">
        <f t="shared" si="69"/>
        <v>0</v>
      </c>
      <c r="CZ49" s="26">
        <f t="shared" si="70"/>
        <v>0</v>
      </c>
      <c r="DA49" s="26">
        <f t="shared" si="71"/>
        <v>0</v>
      </c>
      <c r="DB49" s="26">
        <f t="shared" si="72"/>
        <v>1.7544794838841407</v>
      </c>
      <c r="DC49" s="26">
        <f t="shared" si="73"/>
        <v>2.6267222792389755</v>
      </c>
      <c r="DD49" s="26">
        <f t="shared" si="74"/>
        <v>2.2798784692224676</v>
      </c>
      <c r="DE49" s="26">
        <f t="shared" si="75"/>
        <v>5.9886075690639062</v>
      </c>
      <c r="DF49" s="1"/>
      <c r="DG49" s="22"/>
      <c r="DH49" s="14"/>
      <c r="DI49" s="14"/>
      <c r="DJ49" s="14"/>
      <c r="DK49" s="14"/>
      <c r="DL49" s="14"/>
      <c r="DM49" s="96"/>
      <c r="DN49" s="14"/>
      <c r="DO49" s="96"/>
      <c r="DP49" s="22"/>
      <c r="DQ49" s="14"/>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46"/>
      <c r="FR49" s="46"/>
      <c r="FS49" s="46"/>
      <c r="FT49" s="46"/>
      <c r="FU49" s="46"/>
      <c r="FV49" s="46"/>
      <c r="FW49" s="46"/>
      <c r="FX49" s="46"/>
      <c r="FY49" s="46"/>
      <c r="FZ49" s="46"/>
      <c r="GA49" s="46"/>
      <c r="GB49" s="46"/>
      <c r="GC49" s="46"/>
      <c r="GD49" s="46"/>
      <c r="GE49" s="46"/>
      <c r="GF49" s="46"/>
      <c r="GG49" s="46"/>
      <c r="GH49" s="46"/>
    </row>
    <row r="50" spans="1:190" x14ac:dyDescent="0.25">
      <c r="A50" s="5" t="s">
        <v>92</v>
      </c>
      <c r="B50" s="1">
        <v>986</v>
      </c>
      <c r="C50" s="98" t="s">
        <v>255</v>
      </c>
      <c r="D50" s="98" t="s">
        <v>106</v>
      </c>
      <c r="E50" s="1">
        <v>144</v>
      </c>
      <c r="F50" s="22">
        <v>53.73</v>
      </c>
      <c r="G50" s="22">
        <v>0.38</v>
      </c>
      <c r="H50" s="22">
        <v>0.626</v>
      </c>
      <c r="I50" s="22">
        <v>1.0999999999999999E-2</v>
      </c>
      <c r="J50" s="22">
        <v>9.08</v>
      </c>
      <c r="K50" s="22">
        <v>0.501</v>
      </c>
      <c r="L50" s="22">
        <v>14.53</v>
      </c>
      <c r="M50" s="22">
        <v>21.62</v>
      </c>
      <c r="N50" s="22">
        <v>0.436</v>
      </c>
      <c r="O50" s="22">
        <v>0.01</v>
      </c>
      <c r="P50" s="22">
        <v>0</v>
      </c>
      <c r="Q50" s="22"/>
      <c r="R50" s="22"/>
      <c r="S50" s="22">
        <f t="shared" si="0"/>
        <v>100.92400000000002</v>
      </c>
      <c r="T50" s="3"/>
      <c r="U50" s="22">
        <f t="shared" si="1"/>
        <v>8.4332566205853645</v>
      </c>
      <c r="V50" s="22">
        <f t="shared" si="2"/>
        <v>0.71872591754348525</v>
      </c>
      <c r="W50" s="22">
        <f t="shared" si="3"/>
        <v>100.99598253812884</v>
      </c>
      <c r="X50" s="1"/>
      <c r="Y50" s="1">
        <v>2</v>
      </c>
      <c r="Z50" s="1"/>
      <c r="AA50" s="1" t="s">
        <v>186</v>
      </c>
      <c r="AC50" s="1">
        <v>6</v>
      </c>
      <c r="AD50" s="1">
        <v>4</v>
      </c>
      <c r="AE50" s="1"/>
      <c r="AF50" s="26">
        <f t="shared" si="4"/>
        <v>1.9848437606142142</v>
      </c>
      <c r="AG50" s="26">
        <f t="shared" si="5"/>
        <v>1.0558080045884655E-2</v>
      </c>
      <c r="AH50" s="26">
        <f t="shared" si="6"/>
        <v>2.7252974630136519E-2</v>
      </c>
      <c r="AI50" s="26">
        <f t="shared" si="7"/>
        <v>3.2125291396310448E-4</v>
      </c>
      <c r="AJ50" s="26">
        <f t="shared" si="8"/>
        <v>0.28047779589468624</v>
      </c>
      <c r="AK50" s="26">
        <f t="shared" si="9"/>
        <v>1.5674220485313698E-2</v>
      </c>
      <c r="AL50" s="26">
        <f t="shared" si="10"/>
        <v>0.8002026366049575</v>
      </c>
      <c r="AM50" s="26">
        <f t="shared" si="11"/>
        <v>0.85563214977152269</v>
      </c>
      <c r="AN50" s="26">
        <f t="shared" si="12"/>
        <v>3.1225134869691078E-2</v>
      </c>
      <c r="AO50" s="26">
        <f t="shared" si="13"/>
        <v>4.7121434465597625E-4</v>
      </c>
      <c r="AP50" s="26">
        <f t="shared" si="14"/>
        <v>0</v>
      </c>
      <c r="AQ50" s="26">
        <f t="shared" si="15"/>
        <v>0</v>
      </c>
      <c r="AR50" s="26">
        <f t="shared" si="16"/>
        <v>0</v>
      </c>
      <c r="AS50" s="26">
        <f t="shared" si="17"/>
        <v>4.0066592201750257</v>
      </c>
      <c r="AT50" s="26">
        <f t="shared" si="18"/>
        <v>2.0120967352443508</v>
      </c>
      <c r="AU50" s="26">
        <f t="shared" si="19"/>
        <v>0.88732849898586974</v>
      </c>
      <c r="AV50" s="47"/>
      <c r="AW50" s="26">
        <f t="shared" si="20"/>
        <v>1.9815448747123638</v>
      </c>
      <c r="AX50" s="26">
        <f t="shared" si="21"/>
        <v>1.0540532114855969E-2</v>
      </c>
      <c r="AY50" s="26">
        <f t="shared" si="22"/>
        <v>2.7207679148660926E-2</v>
      </c>
      <c r="AZ50" s="26">
        <f t="shared" si="23"/>
        <v>3.2071897938858998E-4</v>
      </c>
      <c r="BA50" s="26">
        <f t="shared" si="24"/>
        <v>0.26006717422624209</v>
      </c>
      <c r="BB50" s="26">
        <f t="shared" si="25"/>
        <v>1.9944456892647011E-2</v>
      </c>
      <c r="BC50" s="26">
        <f t="shared" si="26"/>
        <v>1.5648169334080766E-2</v>
      </c>
      <c r="BD50" s="26">
        <f t="shared" si="27"/>
        <v>0.79887266935569512</v>
      </c>
      <c r="BE50" s="26">
        <f t="shared" si="28"/>
        <v>0.85421005656093274</v>
      </c>
      <c r="BF50" s="26">
        <f t="shared" si="29"/>
        <v>3.117323750665978E-2</v>
      </c>
      <c r="BG50" s="26">
        <f t="shared" si="30"/>
        <v>4.7043116847396064E-4</v>
      </c>
      <c r="BH50" s="26">
        <f t="shared" si="31"/>
        <v>0</v>
      </c>
      <c r="BI50" s="26">
        <f t="shared" si="32"/>
        <v>0</v>
      </c>
      <c r="BJ50" s="26">
        <f t="shared" si="33"/>
        <v>0</v>
      </c>
      <c r="BK50" s="25">
        <f t="shared" si="34"/>
        <v>4.0000000000000009</v>
      </c>
      <c r="BL50" s="24">
        <f t="shared" si="35"/>
        <v>6.0000000000000009</v>
      </c>
      <c r="BM50" s="26">
        <f t="shared" si="36"/>
        <v>2.0087525538610249</v>
      </c>
      <c r="BN50" s="26">
        <f t="shared" si="37"/>
        <v>0.88585372523606654</v>
      </c>
      <c r="BO50" s="22"/>
      <c r="BP50" s="23">
        <f t="shared" si="38"/>
        <v>0.74046185397663455</v>
      </c>
      <c r="BQ50" s="26">
        <f t="shared" si="39"/>
        <v>1.8455125287636154E-2</v>
      </c>
      <c r="BR50" s="26">
        <f t="shared" si="40"/>
        <v>8.752553861024772E-3</v>
      </c>
      <c r="BS50" s="26"/>
      <c r="BT50" s="26">
        <f t="shared" si="41"/>
        <v>8.752553861024772E-3</v>
      </c>
      <c r="BU50" s="26">
        <f t="shared" si="42"/>
        <v>0</v>
      </c>
      <c r="BV50" s="26">
        <f t="shared" si="43"/>
        <v>8.752553861024772E-3</v>
      </c>
      <c r="BW50" s="26">
        <f t="shared" si="44"/>
        <v>1.6062645698155224E-4</v>
      </c>
      <c r="BX50" s="26">
        <f t="shared" si="45"/>
        <v>0.84671896945351632</v>
      </c>
      <c r="BY50" s="26">
        <f t="shared" si="46"/>
        <v>0.11698073152306371</v>
      </c>
      <c r="BZ50" s="26">
        <f t="shared" si="47"/>
        <v>0.98136543515561114</v>
      </c>
      <c r="CA50" s="22"/>
      <c r="CB50" s="22">
        <f t="shared" si="48"/>
        <v>1.9944456892647011E-2</v>
      </c>
      <c r="CC50" s="22">
        <f t="shared" si="49"/>
        <v>8.752553861024772E-3</v>
      </c>
      <c r="CD50" s="22">
        <f t="shared" si="50"/>
        <v>0</v>
      </c>
      <c r="CE50" s="22">
        <f t="shared" si="51"/>
        <v>3.2071897938858998E-4</v>
      </c>
      <c r="CF50" s="22">
        <f t="shared" si="52"/>
        <v>0</v>
      </c>
      <c r="CG50" s="22">
        <f t="shared" si="53"/>
        <v>0.43691689723709559</v>
      </c>
      <c r="CH50" s="22">
        <f t="shared" si="54"/>
        <v>0.42479438666855879</v>
      </c>
      <c r="CI50" s="22">
        <f t="shared" si="55"/>
        <v>0.13828871609434557</v>
      </c>
      <c r="CJ50" s="22"/>
      <c r="CK50" s="22">
        <f t="shared" si="56"/>
        <v>0.43833910586037239</v>
      </c>
      <c r="CL50" s="22">
        <f t="shared" si="57"/>
        <v>0.40994264688416882</v>
      </c>
      <c r="CM50" s="22">
        <f t="shared" si="58"/>
        <v>0.15171824725545868</v>
      </c>
      <c r="CN50" s="1"/>
      <c r="CO50" s="26">
        <f t="shared" si="59"/>
        <v>0.89430758988015979</v>
      </c>
      <c r="CP50" s="26">
        <f t="shared" si="60"/>
        <v>4.7571357035553329E-3</v>
      </c>
      <c r="CQ50" s="26">
        <f t="shared" si="61"/>
        <v>1.2279325225578659E-2</v>
      </c>
      <c r="CR50" s="26">
        <f t="shared" si="62"/>
        <v>1.4474636489242711E-4</v>
      </c>
      <c r="CS50" s="26">
        <f t="shared" si="63"/>
        <v>0.12637439109255394</v>
      </c>
      <c r="CT50" s="26">
        <f t="shared" si="64"/>
        <v>7.0623061742317453E-3</v>
      </c>
      <c r="CU50" s="26">
        <f t="shared" si="65"/>
        <v>0.36054590570719602</v>
      </c>
      <c r="CV50" s="26">
        <f t="shared" si="66"/>
        <v>0.3855206847360913</v>
      </c>
      <c r="CW50" s="26">
        <f t="shared" si="67"/>
        <v>1.4069054533720555E-2</v>
      </c>
      <c r="CX50" s="26">
        <f t="shared" si="68"/>
        <v>2.1231422505307856E-4</v>
      </c>
      <c r="CY50" s="26">
        <f t="shared" si="69"/>
        <v>0</v>
      </c>
      <c r="CZ50" s="26">
        <f t="shared" si="70"/>
        <v>0</v>
      </c>
      <c r="DA50" s="26">
        <f t="shared" si="71"/>
        <v>0</v>
      </c>
      <c r="DB50" s="26">
        <f t="shared" si="72"/>
        <v>1.8052734536430326</v>
      </c>
      <c r="DC50" s="26">
        <f t="shared" si="73"/>
        <v>2.7034095306425963</v>
      </c>
      <c r="DD50" s="26">
        <f t="shared" si="74"/>
        <v>2.2157308035123546</v>
      </c>
      <c r="DE50" s="26">
        <f t="shared" si="75"/>
        <v>5.9900277715536774</v>
      </c>
      <c r="DF50" s="1"/>
      <c r="DG50" s="22"/>
      <c r="DH50" s="14"/>
      <c r="DI50" s="14"/>
      <c r="DJ50" s="14"/>
      <c r="DK50" s="14"/>
      <c r="DL50" s="14"/>
      <c r="DM50" s="96"/>
      <c r="DN50" s="14"/>
      <c r="DO50" s="96"/>
      <c r="DP50" s="22"/>
      <c r="DQ50" s="14"/>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46">
        <f t="shared" ref="FQ50:FQ51" si="184" xml:space="preserve">  -0.73306   +   1.025016   *  FS50     +N("316 NN Nd")</f>
        <v>-1.6200505791598803</v>
      </c>
      <c r="FR50" s="46">
        <f t="shared" ref="FR50:FR51" si="185" xml:space="preserve">  -0.33671   +   1.013871 *  FS50    +N("340 NN")</f>
        <v>-1.2140563296996407</v>
      </c>
      <c r="FS50" s="46">
        <f t="shared" ref="FS50:FS51" si="186">-0.42496     +   1.017678*FT50                 + N("361 NN")</f>
        <v>-0.86534315479941804</v>
      </c>
      <c r="FT50" s="46">
        <f xml:space="preserve"> 0.68509  -3.34181 * BP50 + 0.03095*(100*CK50) +N("642 cpx Mg# Wo R2 0.59")</f>
        <v>-0.43273329559980467</v>
      </c>
      <c r="FU50" s="46">
        <f t="shared" ref="FU50:FU51" si="187" xml:space="preserve"> -0.06599 + 0.926002 * FT50  + N("409 NN")</f>
        <v>-0.46670189719201033</v>
      </c>
      <c r="FV50" s="46">
        <f t="shared" ref="FV50:FV51" si="188">0.1453     +   0.925549*FT50     +N("424 LnD Sm")</f>
        <v>-0.25521586900910354</v>
      </c>
      <c r="FW50" s="46">
        <f t="shared" ref="FW50:FW51" si="189" xml:space="preserve">  0.053547 + 0.932974 * FV50  +  N("445 NN")</f>
        <v>-0.18456277017289935</v>
      </c>
      <c r="FX50" s="46">
        <f t="shared" ref="FX50:FX51" si="190" xml:space="preserve">  0.027177  +  0.867603 * FV50 + N("464 NN Gd")</f>
        <v>-0.19424905359990524</v>
      </c>
      <c r="FY50" s="46">
        <f t="shared" ref="FY50:FY51" si="191" xml:space="preserve">  -0.06187  +  0.953618 * FX50   + N("505 NN Dy")</f>
        <v>-0.24710939399583443</v>
      </c>
      <c r="FZ50" s="46">
        <f t="shared" ref="FZ50:FZ51" si="192" xml:space="preserve"> -0.05652 + 0.972005*FY50   +N("533 NN")</f>
        <v>-0.29671156651092107</v>
      </c>
      <c r="GA50" s="46">
        <f t="shared" ref="GA50:GA51" si="193" xml:space="preserve">     0.018586 + 0.960264 * FZ50    +N("549 LnD Er")</f>
        <v>-0.26633543570404311</v>
      </c>
      <c r="GB50" s="46">
        <f t="shared" ref="GB50:GB51" si="194" xml:space="preserve"> -0.02011 + 0.936315 * FZ50    +N("574 NN Er")</f>
        <v>-0.29792549039767308</v>
      </c>
      <c r="GC50" s="46">
        <f t="shared" ref="GC50:GC51" si="195" xml:space="preserve">   0.01732 + 1.006083 * GB50  +N("597 NN Yb")</f>
        <v>-0.28241777115576217</v>
      </c>
      <c r="GD50" s="46">
        <f>(-1.72947 +0 ) * (3.46258+0) * BQ50   - (1.87473 + 0) *BP50   + (0.03253+0) * (CK50*100)    +N("eqn625 aliv mg# wo")</f>
        <v>-7.2766133450475001E-2</v>
      </c>
      <c r="GE50" s="46"/>
      <c r="GF50" s="46"/>
      <c r="GG50" s="46"/>
      <c r="GH50" s="46"/>
    </row>
    <row r="51" spans="1:190" x14ac:dyDescent="0.25">
      <c r="A51" s="5" t="s">
        <v>92</v>
      </c>
      <c r="B51" s="1">
        <v>987</v>
      </c>
      <c r="C51" s="98" t="s">
        <v>255</v>
      </c>
      <c r="D51" s="98" t="s">
        <v>106</v>
      </c>
      <c r="E51" s="1">
        <v>145</v>
      </c>
      <c r="F51" s="22">
        <v>53.54</v>
      </c>
      <c r="G51" s="22">
        <v>0.248</v>
      </c>
      <c r="H51" s="22">
        <v>0.64700000000000002</v>
      </c>
      <c r="I51" s="22">
        <v>0</v>
      </c>
      <c r="J51" s="22">
        <v>9.16</v>
      </c>
      <c r="K51" s="22">
        <v>0.54600000000000004</v>
      </c>
      <c r="L51" s="22">
        <v>14.54</v>
      </c>
      <c r="M51" s="22">
        <v>21.64</v>
      </c>
      <c r="N51" s="22">
        <v>0.47699999999999998</v>
      </c>
      <c r="O51" s="22">
        <v>6.0000000000000001E-3</v>
      </c>
      <c r="P51" s="22">
        <v>0</v>
      </c>
      <c r="Q51" s="22"/>
      <c r="R51" s="22"/>
      <c r="S51" s="22">
        <f t="shared" si="0"/>
        <v>100.80400000000002</v>
      </c>
      <c r="T51" s="3"/>
      <c r="U51" s="22">
        <f t="shared" si="1"/>
        <v>7.82036150164405</v>
      </c>
      <c r="V51" s="22">
        <f t="shared" si="2"/>
        <v>1.4887402632229672</v>
      </c>
      <c r="W51" s="22">
        <f t="shared" si="3"/>
        <v>100.95310176486701</v>
      </c>
      <c r="X51" s="1"/>
      <c r="Y51" s="1">
        <v>1</v>
      </c>
      <c r="Z51" s="1"/>
      <c r="AA51" s="1" t="s">
        <v>186</v>
      </c>
      <c r="AC51" s="1">
        <v>6</v>
      </c>
      <c r="AD51" s="1">
        <v>4</v>
      </c>
      <c r="AE51" s="1"/>
      <c r="AF51" s="26">
        <f t="shared" si="4"/>
        <v>1.9824135932507321</v>
      </c>
      <c r="AG51" s="26">
        <f t="shared" si="5"/>
        <v>6.9065227822264286E-3</v>
      </c>
      <c r="AH51" s="26">
        <f t="shared" si="6"/>
        <v>2.8232560901430979E-2</v>
      </c>
      <c r="AI51" s="26">
        <f t="shared" si="7"/>
        <v>0</v>
      </c>
      <c r="AJ51" s="26">
        <f t="shared" si="8"/>
        <v>0.28360541927477179</v>
      </c>
      <c r="AK51" s="26">
        <f t="shared" si="9"/>
        <v>1.7121715747687671E-2</v>
      </c>
      <c r="AL51" s="26">
        <f t="shared" si="10"/>
        <v>0.80261114217315221</v>
      </c>
      <c r="AM51" s="26">
        <f t="shared" si="11"/>
        <v>0.85841060741491904</v>
      </c>
      <c r="AN51" s="26">
        <f t="shared" si="12"/>
        <v>3.4240699393886923E-2</v>
      </c>
      <c r="AO51" s="26">
        <f t="shared" si="13"/>
        <v>2.8338454892348828E-4</v>
      </c>
      <c r="AP51" s="26">
        <f t="shared" si="14"/>
        <v>0</v>
      </c>
      <c r="AQ51" s="26">
        <f t="shared" si="15"/>
        <v>0</v>
      </c>
      <c r="AR51" s="26">
        <f t="shared" si="16"/>
        <v>0</v>
      </c>
      <c r="AS51" s="26">
        <f t="shared" si="17"/>
        <v>4.0138256454877315</v>
      </c>
      <c r="AT51" s="26">
        <f t="shared" si="18"/>
        <v>2.010646154152163</v>
      </c>
      <c r="AU51" s="26">
        <f t="shared" si="19"/>
        <v>0.89293469135772952</v>
      </c>
      <c r="AV51" s="47"/>
      <c r="AW51" s="26">
        <f t="shared" si="20"/>
        <v>1.9755851582435575</v>
      </c>
      <c r="AX51" s="26">
        <f t="shared" si="21"/>
        <v>6.8827332248381189E-3</v>
      </c>
      <c r="AY51" s="26">
        <f t="shared" si="22"/>
        <v>2.813531368326325E-2</v>
      </c>
      <c r="AZ51" s="26">
        <f t="shared" si="23"/>
        <v>0</v>
      </c>
      <c r="BA51" s="26">
        <f t="shared" si="24"/>
        <v>0.24129446986196157</v>
      </c>
      <c r="BB51" s="26">
        <f t="shared" si="25"/>
        <v>4.1334068917340705E-2</v>
      </c>
      <c r="BC51" s="26">
        <f t="shared" si="26"/>
        <v>1.7062739899462838E-2</v>
      </c>
      <c r="BD51" s="26">
        <f t="shared" si="27"/>
        <v>0.7998465434844515</v>
      </c>
      <c r="BE51" s="26">
        <f t="shared" si="28"/>
        <v>0.85545380714773045</v>
      </c>
      <c r="BF51" s="26">
        <f t="shared" si="29"/>
        <v>3.4122757108176527E-2</v>
      </c>
      <c r="BG51" s="26">
        <f t="shared" si="30"/>
        <v>2.8240842921721228E-4</v>
      </c>
      <c r="BH51" s="26">
        <f t="shared" si="31"/>
        <v>0</v>
      </c>
      <c r="BI51" s="26">
        <f t="shared" si="32"/>
        <v>0</v>
      </c>
      <c r="BJ51" s="26">
        <f t="shared" si="33"/>
        <v>0</v>
      </c>
      <c r="BK51" s="25">
        <f t="shared" si="34"/>
        <v>3.9999999999999996</v>
      </c>
      <c r="BL51" s="24">
        <f t="shared" si="35"/>
        <v>6</v>
      </c>
      <c r="BM51" s="26">
        <f t="shared" si="36"/>
        <v>2.0037204719268207</v>
      </c>
      <c r="BN51" s="26">
        <f t="shared" si="37"/>
        <v>0.88985897268512426</v>
      </c>
      <c r="BO51" s="22"/>
      <c r="BP51" s="23">
        <f t="shared" si="38"/>
        <v>0.73890527051371191</v>
      </c>
      <c r="BQ51" s="26">
        <f t="shared" si="39"/>
        <v>2.4414841756442485E-2</v>
      </c>
      <c r="BR51" s="26">
        <f t="shared" si="40"/>
        <v>3.7204719268207655E-3</v>
      </c>
      <c r="BS51" s="26"/>
      <c r="BT51" s="26">
        <f t="shared" si="41"/>
        <v>3.7204719268207655E-3</v>
      </c>
      <c r="BU51" s="26">
        <f t="shared" si="42"/>
        <v>0</v>
      </c>
      <c r="BV51" s="26">
        <f t="shared" si="43"/>
        <v>3.7204719268207655E-3</v>
      </c>
      <c r="BW51" s="26">
        <f t="shared" si="44"/>
        <v>0</v>
      </c>
      <c r="BX51" s="26">
        <f t="shared" si="45"/>
        <v>0.85469013548809825</v>
      </c>
      <c r="BY51" s="26">
        <f t="shared" si="46"/>
        <v>0.11576321297991288</v>
      </c>
      <c r="BZ51" s="26">
        <f t="shared" si="47"/>
        <v>0.9778942923216527</v>
      </c>
      <c r="CA51" s="22"/>
      <c r="CB51" s="22">
        <f t="shared" si="48"/>
        <v>3.4122757108176527E-2</v>
      </c>
      <c r="CC51" s="22">
        <f t="shared" si="49"/>
        <v>0</v>
      </c>
      <c r="CD51" s="22">
        <f t="shared" si="50"/>
        <v>7.2113118091641781E-3</v>
      </c>
      <c r="CE51" s="22">
        <f t="shared" si="51"/>
        <v>0</v>
      </c>
      <c r="CF51" s="22">
        <f t="shared" si="52"/>
        <v>3.7204719268207655E-3</v>
      </c>
      <c r="CG51" s="22">
        <f t="shared" si="53"/>
        <v>0.43932239025996106</v>
      </c>
      <c r="CH51" s="22">
        <f t="shared" si="54"/>
        <v>0.43073516690911695</v>
      </c>
      <c r="CI51" s="22">
        <f t="shared" si="55"/>
        <v>0.12994244283092202</v>
      </c>
      <c r="CJ51" s="22"/>
      <c r="CK51" s="22">
        <f t="shared" si="56"/>
        <v>0.43757415342450451</v>
      </c>
      <c r="CL51" s="22">
        <f t="shared" si="57"/>
        <v>0.409130418510469</v>
      </c>
      <c r="CM51" s="22">
        <f t="shared" si="58"/>
        <v>0.15329542806502641</v>
      </c>
      <c r="CN51" s="1"/>
      <c r="CO51" s="26">
        <f t="shared" si="59"/>
        <v>0.8911451398135819</v>
      </c>
      <c r="CP51" s="26">
        <f t="shared" si="60"/>
        <v>3.1046569854782176E-3</v>
      </c>
      <c r="CQ51" s="26">
        <f t="shared" si="61"/>
        <v>1.2691251471165165E-2</v>
      </c>
      <c r="CR51" s="26">
        <f t="shared" si="62"/>
        <v>0</v>
      </c>
      <c r="CS51" s="26">
        <f t="shared" si="63"/>
        <v>0.12748782185107865</v>
      </c>
      <c r="CT51" s="26">
        <f t="shared" si="64"/>
        <v>7.6966450521567531E-3</v>
      </c>
      <c r="CU51" s="26">
        <f t="shared" si="65"/>
        <v>0.36079404466501241</v>
      </c>
      <c r="CV51" s="26">
        <f t="shared" si="66"/>
        <v>0.38587731811697579</v>
      </c>
      <c r="CW51" s="26">
        <f t="shared" si="67"/>
        <v>1.5392061955469506E-2</v>
      </c>
      <c r="CX51" s="26">
        <f t="shared" si="68"/>
        <v>1.2738853503184712E-4</v>
      </c>
      <c r="CY51" s="26">
        <f t="shared" si="69"/>
        <v>0</v>
      </c>
      <c r="CZ51" s="26">
        <f t="shared" si="70"/>
        <v>0</v>
      </c>
      <c r="DA51" s="26">
        <f t="shared" si="71"/>
        <v>0</v>
      </c>
      <c r="DB51" s="26">
        <f t="shared" si="72"/>
        <v>1.8043163284459502</v>
      </c>
      <c r="DC51" s="26">
        <f t="shared" si="73"/>
        <v>2.6971520257353423</v>
      </c>
      <c r="DD51" s="26">
        <f t="shared" si="74"/>
        <v>2.2169061693551164</v>
      </c>
      <c r="DE51" s="26">
        <f t="shared" si="75"/>
        <v>5.9793329655413299</v>
      </c>
      <c r="DF51" s="1"/>
      <c r="DG51" s="22"/>
      <c r="DH51" s="14"/>
      <c r="DI51" s="14"/>
      <c r="DJ51" s="14"/>
      <c r="DK51" s="14"/>
      <c r="DL51" s="14"/>
      <c r="DM51" s="96"/>
      <c r="DN51" s="14"/>
      <c r="DO51" s="96"/>
      <c r="DP51" s="22"/>
      <c r="DQ51" s="14"/>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46">
        <f t="shared" si="184"/>
        <v>-1.617094040673936</v>
      </c>
      <c r="FR51" s="46">
        <f t="shared" si="185"/>
        <v>-1.211131937659631</v>
      </c>
      <c r="FS51" s="46">
        <f t="shared" si="186"/>
        <v>-0.86245877203276455</v>
      </c>
      <c r="FT51" s="46">
        <f xml:space="preserve"> 0.68509  -3.34181 * BP51 + 0.03095*(100*CK51) +N("642 cpx Mg# Wo R2 0.59")</f>
        <v>-0.42989901720658641</v>
      </c>
      <c r="FU51" s="46">
        <f t="shared" si="187"/>
        <v>-0.46407734973133341</v>
      </c>
      <c r="FV51" s="46">
        <f t="shared" si="188"/>
        <v>-0.25259260547653883</v>
      </c>
      <c r="FW51" s="46">
        <f t="shared" si="189"/>
        <v>-0.18211533350186832</v>
      </c>
      <c r="FX51" s="46">
        <f t="shared" si="190"/>
        <v>-0.19197310228926151</v>
      </c>
      <c r="FY51" s="46">
        <f t="shared" si="191"/>
        <v>-0.24493900585888098</v>
      </c>
      <c r="FZ51" s="46">
        <f t="shared" si="192"/>
        <v>-0.2946019383898616</v>
      </c>
      <c r="GA51" s="46">
        <f t="shared" si="193"/>
        <v>-0.26430963576600208</v>
      </c>
      <c r="GB51" s="46">
        <f t="shared" si="194"/>
        <v>-0.29595021394350329</v>
      </c>
      <c r="GC51" s="46">
        <f t="shared" si="195"/>
        <v>-0.28043047909492164</v>
      </c>
      <c r="GD51" s="46">
        <f>(-1.72947 +0 ) * (3.46258+0) * BQ51   - (1.87473 + 0) *BP51   + (0.03253+0) * (CK51*100)    +N("eqn625 aliv mg# wo")</f>
        <v>-0.10802568436899951</v>
      </c>
      <c r="GE51" s="46"/>
      <c r="GF51" s="46"/>
      <c r="GG51" s="46"/>
      <c r="GH51" s="46"/>
    </row>
    <row r="52" spans="1:190" x14ac:dyDescent="0.25">
      <c r="A52" s="5" t="s">
        <v>92</v>
      </c>
      <c r="B52" s="1">
        <v>994</v>
      </c>
      <c r="C52" s="98" t="s">
        <v>255</v>
      </c>
      <c r="D52" s="98" t="s">
        <v>106</v>
      </c>
      <c r="E52" s="1">
        <v>152</v>
      </c>
      <c r="F52" s="22">
        <v>51.97</v>
      </c>
      <c r="G52" s="22">
        <v>0.60599999999999998</v>
      </c>
      <c r="H52" s="22">
        <v>2.2799999999999998</v>
      </c>
      <c r="I52" s="22">
        <v>1.2999999999999999E-2</v>
      </c>
      <c r="J52" s="22">
        <v>11.59</v>
      </c>
      <c r="K52" s="22">
        <v>0.42</v>
      </c>
      <c r="L52" s="22">
        <v>14.18</v>
      </c>
      <c r="M52" s="22">
        <v>18.91</v>
      </c>
      <c r="N52" s="22">
        <v>0.26300000000000001</v>
      </c>
      <c r="O52" s="22">
        <v>1.2E-2</v>
      </c>
      <c r="P52" s="22">
        <v>0</v>
      </c>
      <c r="Q52" s="22"/>
      <c r="R52" s="22"/>
      <c r="S52" s="22">
        <f t="shared" si="0"/>
        <v>100.244</v>
      </c>
      <c r="T52" s="3"/>
      <c r="U52" s="22">
        <f t="shared" si="1"/>
        <v>11.505952937745011</v>
      </c>
      <c r="V52" s="22">
        <f t="shared" si="2"/>
        <v>9.340150028396868E-2</v>
      </c>
      <c r="W52" s="22">
        <f t="shared" si="3"/>
        <v>100.25335443802898</v>
      </c>
      <c r="X52" s="1"/>
      <c r="Y52" s="1"/>
      <c r="Z52" s="1"/>
      <c r="AA52" s="1" t="s">
        <v>185</v>
      </c>
      <c r="AC52" s="1">
        <v>6</v>
      </c>
      <c r="AD52" s="1">
        <v>4</v>
      </c>
      <c r="AE52" s="1"/>
      <c r="AF52" s="26">
        <f t="shared" si="4"/>
        <v>1.9415243237402913</v>
      </c>
      <c r="AG52" s="26">
        <f t="shared" si="5"/>
        <v>1.7027645930703814E-2</v>
      </c>
      <c r="AH52" s="26">
        <f t="shared" si="6"/>
        <v>0.10038181846481357</v>
      </c>
      <c r="AI52" s="26">
        <f t="shared" si="7"/>
        <v>3.8395327468087427E-4</v>
      </c>
      <c r="AJ52" s="26">
        <f t="shared" si="8"/>
        <v>0.36205679822025977</v>
      </c>
      <c r="AK52" s="26">
        <f t="shared" si="9"/>
        <v>1.3288566964430048E-2</v>
      </c>
      <c r="AL52" s="26">
        <f t="shared" si="10"/>
        <v>0.78975289706224439</v>
      </c>
      <c r="AM52" s="26">
        <f t="shared" si="11"/>
        <v>0.75683911096543988</v>
      </c>
      <c r="AN52" s="26">
        <f t="shared" si="12"/>
        <v>1.9048211968538516E-2</v>
      </c>
      <c r="AO52" s="26">
        <f t="shared" si="13"/>
        <v>5.7184770425032906E-4</v>
      </c>
      <c r="AP52" s="26">
        <f t="shared" si="14"/>
        <v>0</v>
      </c>
      <c r="AQ52" s="26">
        <f t="shared" si="15"/>
        <v>0</v>
      </c>
      <c r="AR52" s="26">
        <f t="shared" si="16"/>
        <v>0</v>
      </c>
      <c r="AS52" s="26">
        <f t="shared" si="17"/>
        <v>4.0008751742956532</v>
      </c>
      <c r="AT52" s="26">
        <f t="shared" si="18"/>
        <v>2.041906142205105</v>
      </c>
      <c r="AU52" s="26">
        <f t="shared" si="19"/>
        <v>0.77645917063822878</v>
      </c>
      <c r="AV52" s="47"/>
      <c r="AW52" s="26">
        <f t="shared" si="20"/>
        <v>1.9410996236163189</v>
      </c>
      <c r="AX52" s="26">
        <f t="shared" si="21"/>
        <v>1.7023921206141105E-2</v>
      </c>
      <c r="AY52" s="26">
        <f t="shared" si="22"/>
        <v>0.10035986037228529</v>
      </c>
      <c r="AZ52" s="26">
        <f t="shared" si="23"/>
        <v>3.8386928654775504E-4</v>
      </c>
      <c r="BA52" s="26">
        <f t="shared" si="24"/>
        <v>0.3593526512824311</v>
      </c>
      <c r="BB52" s="26">
        <f t="shared" si="25"/>
        <v>2.6249485650815529E-3</v>
      </c>
      <c r="BC52" s="26">
        <f t="shared" si="26"/>
        <v>1.3285660147364611E-2</v>
      </c>
      <c r="BD52" s="26">
        <f t="shared" si="27"/>
        <v>0.78958014200108517</v>
      </c>
      <c r="BE52" s="26">
        <f t="shared" si="28"/>
        <v>0.75667355565391292</v>
      </c>
      <c r="BF52" s="26">
        <f t="shared" si="29"/>
        <v>1.9044045253815672E-2</v>
      </c>
      <c r="BG52" s="26">
        <f t="shared" si="30"/>
        <v>5.7172261501610281E-4</v>
      </c>
      <c r="BH52" s="26">
        <f t="shared" si="31"/>
        <v>0</v>
      </c>
      <c r="BI52" s="26">
        <f t="shared" si="32"/>
        <v>0</v>
      </c>
      <c r="BJ52" s="26">
        <f t="shared" si="33"/>
        <v>0</v>
      </c>
      <c r="BK52" s="25">
        <f t="shared" si="34"/>
        <v>4</v>
      </c>
      <c r="BL52" s="24">
        <f t="shared" si="35"/>
        <v>6.0000000000000027</v>
      </c>
      <c r="BM52" s="26">
        <f t="shared" si="36"/>
        <v>2.0414594839886044</v>
      </c>
      <c r="BN52" s="26">
        <f t="shared" si="37"/>
        <v>0.77628932352274471</v>
      </c>
      <c r="BO52" s="22"/>
      <c r="BP52" s="23">
        <f t="shared" si="38"/>
        <v>0.6856626578998728</v>
      </c>
      <c r="BQ52" s="26">
        <f t="shared" si="39"/>
        <v>5.8900376383681063E-2</v>
      </c>
      <c r="BR52" s="26">
        <f t="shared" si="40"/>
        <v>4.1459483988604232E-2</v>
      </c>
      <c r="BS52" s="26"/>
      <c r="BT52" s="26">
        <f t="shared" si="41"/>
        <v>1.9048211968538516E-2</v>
      </c>
      <c r="BU52" s="26">
        <f t="shared" si="42"/>
        <v>2.2415438734788559E-2</v>
      </c>
      <c r="BV52" s="26">
        <f t="shared" si="43"/>
        <v>3.0251764621209952E-2</v>
      </c>
      <c r="BW52" s="26">
        <f t="shared" si="44"/>
        <v>1.9197663734043713E-4</v>
      </c>
      <c r="BX52" s="26">
        <f t="shared" si="45"/>
        <v>0.70397993097210099</v>
      </c>
      <c r="BY52" s="26">
        <f t="shared" si="46"/>
        <v>0.22391488215520156</v>
      </c>
      <c r="BZ52" s="26">
        <f t="shared" si="47"/>
        <v>0.99980220508917994</v>
      </c>
      <c r="CA52" s="22"/>
      <c r="CB52" s="22">
        <f t="shared" si="48"/>
        <v>2.6249485650815529E-3</v>
      </c>
      <c r="CC52" s="22">
        <f t="shared" si="49"/>
        <v>1.6419096688734119E-2</v>
      </c>
      <c r="CD52" s="22">
        <f t="shared" si="50"/>
        <v>0</v>
      </c>
      <c r="CE52" s="22">
        <f t="shared" si="51"/>
        <v>3.8386928654775504E-4</v>
      </c>
      <c r="CF52" s="22">
        <f t="shared" si="52"/>
        <v>2.5040387299870112E-2</v>
      </c>
      <c r="CG52" s="22">
        <f t="shared" si="53"/>
        <v>0.36693712381628829</v>
      </c>
      <c r="CH52" s="22">
        <f t="shared" si="54"/>
        <v>0.43505928161753155</v>
      </c>
      <c r="CI52" s="22">
        <f t="shared" si="55"/>
        <v>0.19800359456618014</v>
      </c>
      <c r="CJ52" s="22"/>
      <c r="CK52" s="22">
        <f t="shared" si="56"/>
        <v>0.39378968405221243</v>
      </c>
      <c r="CL52" s="22">
        <f t="shared" si="57"/>
        <v>0.41091500070173026</v>
      </c>
      <c r="CM52" s="22">
        <f t="shared" si="58"/>
        <v>0.19529531524605726</v>
      </c>
      <c r="CN52" s="1"/>
      <c r="CO52" s="26">
        <f t="shared" si="59"/>
        <v>0.86501331557922767</v>
      </c>
      <c r="CP52" s="26">
        <f t="shared" si="60"/>
        <v>7.5863795693540317E-3</v>
      </c>
      <c r="CQ52" s="26">
        <f t="shared" si="61"/>
        <v>4.4723420949391919E-2</v>
      </c>
      <c r="CR52" s="26">
        <f t="shared" si="62"/>
        <v>1.7106388578195931E-4</v>
      </c>
      <c r="CS52" s="26">
        <f t="shared" si="63"/>
        <v>0.16130828114126655</v>
      </c>
      <c r="CT52" s="26">
        <f t="shared" si="64"/>
        <v>5.9204961939667324E-3</v>
      </c>
      <c r="CU52" s="26">
        <f t="shared" si="65"/>
        <v>0.35186104218362285</v>
      </c>
      <c r="CV52" s="26">
        <f t="shared" si="66"/>
        <v>0.33719686162624823</v>
      </c>
      <c r="CW52" s="26">
        <f t="shared" si="67"/>
        <v>8.486608583414006E-3</v>
      </c>
      <c r="CX52" s="26">
        <f t="shared" si="68"/>
        <v>2.5477707006369424E-4</v>
      </c>
      <c r="CY52" s="26">
        <f t="shared" si="69"/>
        <v>0</v>
      </c>
      <c r="CZ52" s="26">
        <f t="shared" si="70"/>
        <v>0</v>
      </c>
      <c r="DA52" s="26">
        <f t="shared" si="71"/>
        <v>0</v>
      </c>
      <c r="DB52" s="26">
        <f t="shared" si="72"/>
        <v>1.7825222467823376</v>
      </c>
      <c r="DC52" s="26">
        <f t="shared" si="73"/>
        <v>2.6731984915217675</v>
      </c>
      <c r="DD52" s="26">
        <f t="shared" si="74"/>
        <v>2.2440112639382037</v>
      </c>
      <c r="DE52" s="26">
        <f t="shared" si="75"/>
        <v>5.998687525717461</v>
      </c>
      <c r="DF52" s="1"/>
      <c r="DG52" s="22">
        <v>23.054780571148473</v>
      </c>
      <c r="DH52" s="14">
        <v>2517.4498537704608</v>
      </c>
      <c r="DI52" s="14">
        <v>87310.625838715336</v>
      </c>
      <c r="DJ52" s="14">
        <v>12346.141533369695</v>
      </c>
      <c r="DK52" s="14">
        <v>242438.07420424241</v>
      </c>
      <c r="DL52" s="14">
        <v>135918.00433267903</v>
      </c>
      <c r="DM52" s="96">
        <v>152.10872837665525</v>
      </c>
      <c r="DN52" s="14">
        <v>3529.6686812982657</v>
      </c>
      <c r="DO52" s="96">
        <v>476.4898159356851</v>
      </c>
      <c r="DP52" s="22">
        <v>67.18858762779567</v>
      </c>
      <c r="DQ52" s="14">
        <v>2858.7545260964312</v>
      </c>
      <c r="DR52" s="22">
        <v>51.910492410014832</v>
      </c>
      <c r="DS52" s="22">
        <v>16.323296410342337</v>
      </c>
      <c r="DT52" s="22">
        <v>1.9526959578248198</v>
      </c>
      <c r="DU52" s="22">
        <v>87.044852091304918</v>
      </c>
      <c r="DV52" s="22">
        <v>0.77559064695805846</v>
      </c>
      <c r="DW52" s="22">
        <v>11.859398813358538</v>
      </c>
      <c r="DX52" s="22">
        <v>14.927136818610583</v>
      </c>
      <c r="DY52" s="22">
        <v>35.307455127036313</v>
      </c>
      <c r="DZ52" s="22">
        <v>26.011695860699891</v>
      </c>
      <c r="EA52" s="22">
        <v>0</v>
      </c>
      <c r="EB52" s="22">
        <v>0</v>
      </c>
      <c r="EC52" s="22">
        <v>3.0657960075346091</v>
      </c>
      <c r="ED52" s="22">
        <v>1.5532186944329021</v>
      </c>
      <c r="EE52" s="22">
        <v>5.3087648293494576</v>
      </c>
      <c r="EF52" s="22">
        <v>1.0365620605749952</v>
      </c>
      <c r="EG52" s="22">
        <v>6.1864269679937207</v>
      </c>
      <c r="EH52" s="22">
        <v>2.9807846339784967</v>
      </c>
      <c r="EI52" s="22">
        <v>0.9269100329237584</v>
      </c>
      <c r="EJ52" s="22">
        <v>5.3241735949918887</v>
      </c>
      <c r="EK52" s="22">
        <v>0.78441288554183053</v>
      </c>
      <c r="EL52" s="22">
        <v>5.4836469869315412</v>
      </c>
      <c r="EM52" s="22">
        <v>1.2356134731535944</v>
      </c>
      <c r="EN52" s="22">
        <v>4.5664526454906582</v>
      </c>
      <c r="EO52" s="22">
        <v>0.56746392299878945</v>
      </c>
      <c r="EP52" s="22">
        <v>3.8567375668318915</v>
      </c>
      <c r="EQ52" s="22">
        <v>0.48534559685311224</v>
      </c>
      <c r="ER52" s="22">
        <v>1.5985957802939692</v>
      </c>
      <c r="ES52" s="22">
        <v>0</v>
      </c>
      <c r="ET52" s="22">
        <v>0.29670379705300964</v>
      </c>
      <c r="EU52" s="22">
        <v>0.15468404954701107</v>
      </c>
      <c r="EV52" s="22">
        <v>4.2333193977434513E-2</v>
      </c>
      <c r="EW52" s="22">
        <f>(EI52/0.05883)/SQRT((EH52/0.1536)*(EJ52/0.2069))</f>
        <v>0.70505530522431681</v>
      </c>
      <c r="EX52" s="22"/>
      <c r="EY52" s="22"/>
      <c r="EZ52" s="22"/>
      <c r="FA52" s="22"/>
      <c r="FB52" s="22"/>
      <c r="FC52" s="22"/>
      <c r="FD52" s="22"/>
      <c r="FE52" s="22"/>
      <c r="FF52" s="22"/>
      <c r="FG52" s="22"/>
      <c r="FH52" s="22"/>
      <c r="FI52" s="22">
        <f>-0.50354-2.23025*BP52+ N("eqn 18 Mg# R2 0.28 best")</f>
        <v>-2.0327391427811912</v>
      </c>
      <c r="FJ52" s="22"/>
      <c r="FK52" s="22">
        <f xml:space="preserve"> -0.03692  +  0.931085 + FX52   + N("488 NN Dy")</f>
        <v>0.8941650000000001</v>
      </c>
      <c r="FL52" s="22">
        <f>-0.48986  +   0    +   (1.071278 + 0) * GD52  +N("eqn 119 LnD Hf  (which has R2 of 0.51 for TS")</f>
        <v>-0.48986000000000002</v>
      </c>
      <c r="FM52" s="22"/>
      <c r="FN52" s="22"/>
      <c r="FO52" s="22">
        <f>3.94011-11.9214*BP52</f>
        <v>-4.2339488098875444</v>
      </c>
      <c r="FP52" s="22">
        <f xml:space="preserve">  -0.49862 +   1.013256 * FQ52 + N("294 NN")</f>
        <v>-0.49862000000000001</v>
      </c>
      <c r="FQ52" s="46"/>
      <c r="FR52" s="46"/>
      <c r="FS52" s="46"/>
      <c r="FT52" s="46"/>
      <c r="FU52" s="46"/>
      <c r="FV52" s="46"/>
      <c r="FW52" s="46"/>
      <c r="FX52" s="46"/>
      <c r="FY52" s="46"/>
      <c r="FZ52" s="46"/>
      <c r="GA52" s="46"/>
      <c r="GB52" s="46"/>
      <c r="GC52" s="46"/>
      <c r="GD52" s="46"/>
      <c r="GE52" s="46"/>
      <c r="GF52" s="46"/>
      <c r="GG52" s="46"/>
      <c r="GH52" s="46"/>
    </row>
    <row r="53" spans="1:190" x14ac:dyDescent="0.25">
      <c r="A53" s="5" t="s">
        <v>92</v>
      </c>
      <c r="B53" s="1">
        <v>995</v>
      </c>
      <c r="C53" s="98" t="s">
        <v>255</v>
      </c>
      <c r="D53" s="98" t="s">
        <v>106</v>
      </c>
      <c r="E53" s="1">
        <v>153</v>
      </c>
      <c r="F53" s="22">
        <v>51.25</v>
      </c>
      <c r="G53" s="22">
        <v>0.63900000000000001</v>
      </c>
      <c r="H53" s="22">
        <v>2.38</v>
      </c>
      <c r="I53" s="22">
        <v>0</v>
      </c>
      <c r="J53" s="22">
        <v>9.74</v>
      </c>
      <c r="K53" s="22">
        <v>0.32400000000000001</v>
      </c>
      <c r="L53" s="22">
        <v>14.47</v>
      </c>
      <c r="M53" s="22">
        <v>20.38</v>
      </c>
      <c r="N53" s="22">
        <v>0.311</v>
      </c>
      <c r="O53" s="22">
        <v>0</v>
      </c>
      <c r="P53" s="22">
        <v>0</v>
      </c>
      <c r="Q53" s="22"/>
      <c r="R53" s="22"/>
      <c r="S53" s="22">
        <f t="shared" si="0"/>
        <v>99.494</v>
      </c>
      <c r="T53" s="3"/>
      <c r="U53" s="22">
        <f t="shared" si="1"/>
        <v>8.1854448518644745</v>
      </c>
      <c r="V53" s="22">
        <f t="shared" si="2"/>
        <v>1.7275771361230101</v>
      </c>
      <c r="W53" s="22">
        <f t="shared" si="3"/>
        <v>99.667021987987482</v>
      </c>
      <c r="X53" s="1"/>
      <c r="Y53" s="1"/>
      <c r="Z53" s="1"/>
      <c r="AA53" s="1" t="s">
        <v>186</v>
      </c>
      <c r="AC53" s="1">
        <v>6</v>
      </c>
      <c r="AD53" s="1">
        <v>4</v>
      </c>
      <c r="AE53" s="1"/>
      <c r="AF53" s="26">
        <f t="shared" si="4"/>
        <v>1.9243456332490216</v>
      </c>
      <c r="AG53" s="26">
        <f t="shared" si="5"/>
        <v>1.8046040799623627E-2</v>
      </c>
      <c r="AH53" s="26">
        <f t="shared" si="6"/>
        <v>0.10531646148619964</v>
      </c>
      <c r="AI53" s="26">
        <f t="shared" si="7"/>
        <v>0</v>
      </c>
      <c r="AJ53" s="26">
        <f t="shared" si="8"/>
        <v>0.30580974270601857</v>
      </c>
      <c r="AK53" s="26">
        <f t="shared" si="9"/>
        <v>1.0303219663246797E-2</v>
      </c>
      <c r="AL53" s="26">
        <f t="shared" si="10"/>
        <v>0.80999552201989944</v>
      </c>
      <c r="AM53" s="26">
        <f t="shared" si="11"/>
        <v>0.81981395687601433</v>
      </c>
      <c r="AN53" s="26">
        <f t="shared" si="12"/>
        <v>2.2639036816459745E-2</v>
      </c>
      <c r="AO53" s="26">
        <f t="shared" si="13"/>
        <v>0</v>
      </c>
      <c r="AP53" s="26">
        <f t="shared" si="14"/>
        <v>0</v>
      </c>
      <c r="AQ53" s="26">
        <f t="shared" si="15"/>
        <v>0</v>
      </c>
      <c r="AR53" s="26">
        <f t="shared" si="16"/>
        <v>0</v>
      </c>
      <c r="AS53" s="26">
        <f t="shared" si="17"/>
        <v>4.0162696136164833</v>
      </c>
      <c r="AT53" s="26">
        <f t="shared" si="18"/>
        <v>2.0296620947352211</v>
      </c>
      <c r="AU53" s="26">
        <f t="shared" si="19"/>
        <v>0.84245299369247406</v>
      </c>
      <c r="AV53" s="47"/>
      <c r="AW53" s="26">
        <f t="shared" si="20"/>
        <v>1.9165502502370382</v>
      </c>
      <c r="AX53" s="26">
        <f t="shared" si="21"/>
        <v>1.7972937611998526E-2</v>
      </c>
      <c r="AY53" s="26">
        <f t="shared" si="22"/>
        <v>0.10488983222554774</v>
      </c>
      <c r="AZ53" s="26">
        <f t="shared" si="23"/>
        <v>0</v>
      </c>
      <c r="BA53" s="26">
        <f t="shared" si="24"/>
        <v>0.2559598100538375</v>
      </c>
      <c r="BB53" s="26">
        <f t="shared" si="25"/>
        <v>4.8611119815235249E-2</v>
      </c>
      <c r="BC53" s="26">
        <f t="shared" si="26"/>
        <v>1.0261482076119061E-2</v>
      </c>
      <c r="BD53" s="26">
        <f t="shared" si="27"/>
        <v>0.8067142895723397</v>
      </c>
      <c r="BE53" s="26">
        <f t="shared" si="28"/>
        <v>0.81649295066902217</v>
      </c>
      <c r="BF53" s="26">
        <f t="shared" si="29"/>
        <v>2.2547327738860864E-2</v>
      </c>
      <c r="BG53" s="26">
        <f t="shared" si="30"/>
        <v>0</v>
      </c>
      <c r="BH53" s="26">
        <f t="shared" si="31"/>
        <v>0</v>
      </c>
      <c r="BI53" s="26">
        <f t="shared" si="32"/>
        <v>0</v>
      </c>
      <c r="BJ53" s="26">
        <f t="shared" si="33"/>
        <v>0</v>
      </c>
      <c r="BK53" s="25">
        <f t="shared" si="34"/>
        <v>3.9999999999999987</v>
      </c>
      <c r="BL53" s="24">
        <f t="shared" si="35"/>
        <v>5.9999999999999964</v>
      </c>
      <c r="BM53" s="26">
        <f t="shared" si="36"/>
        <v>2.0214400824625858</v>
      </c>
      <c r="BN53" s="26">
        <f t="shared" si="37"/>
        <v>0.83904027840788298</v>
      </c>
      <c r="BO53" s="22"/>
      <c r="BP53" s="23">
        <f t="shared" si="38"/>
        <v>0.72592910934047572</v>
      </c>
      <c r="BQ53" s="26">
        <f t="shared" si="39"/>
        <v>8.3449749762961822E-2</v>
      </c>
      <c r="BR53" s="26">
        <f t="shared" si="40"/>
        <v>2.1440082462585913E-2</v>
      </c>
      <c r="BS53" s="26"/>
      <c r="BT53" s="26">
        <f t="shared" si="41"/>
        <v>2.1440082462585913E-2</v>
      </c>
      <c r="BU53" s="26">
        <f t="shared" si="42"/>
        <v>0</v>
      </c>
      <c r="BV53" s="26">
        <f t="shared" si="43"/>
        <v>2.1440082462585913E-2</v>
      </c>
      <c r="BW53" s="26">
        <f t="shared" si="44"/>
        <v>0</v>
      </c>
      <c r="BX53" s="26">
        <f t="shared" si="45"/>
        <v>0.79837387441342844</v>
      </c>
      <c r="BY53" s="26">
        <f t="shared" si="46"/>
        <v>0.15871569515624478</v>
      </c>
      <c r="BZ53" s="26">
        <f t="shared" si="47"/>
        <v>0.99996973449484505</v>
      </c>
      <c r="CA53" s="22"/>
      <c r="CB53" s="22">
        <f t="shared" si="48"/>
        <v>2.2547327738860864E-2</v>
      </c>
      <c r="CC53" s="22">
        <f t="shared" si="49"/>
        <v>0</v>
      </c>
      <c r="CD53" s="22">
        <f t="shared" si="50"/>
        <v>2.6063792076374385E-2</v>
      </c>
      <c r="CE53" s="22">
        <f t="shared" si="51"/>
        <v>0</v>
      </c>
      <c r="CF53" s="22">
        <f t="shared" si="52"/>
        <v>2.1440082462585913E-2</v>
      </c>
      <c r="CG53" s="22">
        <f t="shared" si="53"/>
        <v>0.39576820193446133</v>
      </c>
      <c r="CH53" s="22">
        <f t="shared" si="54"/>
        <v>0.45869418092049941</v>
      </c>
      <c r="CI53" s="22">
        <f t="shared" si="55"/>
        <v>0.14553761714503935</v>
      </c>
      <c r="CJ53" s="22"/>
      <c r="CK53" s="22">
        <f t="shared" si="56"/>
        <v>0.42129837217098765</v>
      </c>
      <c r="CL53" s="22">
        <f t="shared" si="57"/>
        <v>0.41625272664683655</v>
      </c>
      <c r="CM53" s="22">
        <f t="shared" si="58"/>
        <v>0.16244890118217578</v>
      </c>
      <c r="CN53" s="1"/>
      <c r="CO53" s="26">
        <f t="shared" si="59"/>
        <v>0.85302929427430096</v>
      </c>
      <c r="CP53" s="26">
        <f t="shared" si="60"/>
        <v>7.999499248873311E-3</v>
      </c>
      <c r="CQ53" s="26">
        <f t="shared" si="61"/>
        <v>4.6684974499803848E-2</v>
      </c>
      <c r="CR53" s="26">
        <f t="shared" si="62"/>
        <v>0</v>
      </c>
      <c r="CS53" s="26">
        <f t="shared" si="63"/>
        <v>0.13556019485038276</v>
      </c>
      <c r="CT53" s="26">
        <f t="shared" si="64"/>
        <v>4.567239921060051E-3</v>
      </c>
      <c r="CU53" s="26">
        <f t="shared" si="65"/>
        <v>0.35905707196029779</v>
      </c>
      <c r="CV53" s="26">
        <f t="shared" si="66"/>
        <v>0.36340941512125535</v>
      </c>
      <c r="CW53" s="26">
        <f t="shared" si="67"/>
        <v>1.0035495321071314E-2</v>
      </c>
      <c r="CX53" s="26">
        <f t="shared" si="68"/>
        <v>0</v>
      </c>
      <c r="CY53" s="26">
        <f t="shared" si="69"/>
        <v>0</v>
      </c>
      <c r="CZ53" s="26">
        <f t="shared" si="70"/>
        <v>0</v>
      </c>
      <c r="DA53" s="26">
        <f t="shared" si="71"/>
        <v>0</v>
      </c>
      <c r="DB53" s="26">
        <f t="shared" si="72"/>
        <v>1.7803431851970457</v>
      </c>
      <c r="DC53" s="26">
        <f t="shared" si="73"/>
        <v>2.6596967183095863</v>
      </c>
      <c r="DD53" s="26">
        <f t="shared" si="74"/>
        <v>2.2467578348144635</v>
      </c>
      <c r="DE53" s="26">
        <f t="shared" si="75"/>
        <v>5.9756944400923802</v>
      </c>
      <c r="DF53" s="1"/>
      <c r="DG53" s="22">
        <v>18.577262609811182</v>
      </c>
      <c r="DH53" s="14">
        <v>1869.6928865125776</v>
      </c>
      <c r="DI53" s="14">
        <v>89899.335782135109</v>
      </c>
      <c r="DJ53" s="14">
        <v>16007.901676509759</v>
      </c>
      <c r="DK53" s="14">
        <v>238708.42239831513</v>
      </c>
      <c r="DL53" s="14">
        <v>146980.3765048057</v>
      </c>
      <c r="DM53" s="96">
        <v>140.57937563893552</v>
      </c>
      <c r="DN53" s="14">
        <v>3141.7657619498227</v>
      </c>
      <c r="DO53" s="96">
        <v>385.04790148543111</v>
      </c>
      <c r="DP53" s="22">
        <v>480.59661349571786</v>
      </c>
      <c r="DQ53" s="14">
        <v>1793.0318911382114</v>
      </c>
      <c r="DR53" s="22">
        <v>40.907684884104519</v>
      </c>
      <c r="DS53" s="22">
        <v>52.82468779837221</v>
      </c>
      <c r="DT53" s="22">
        <v>1.3676415060949478</v>
      </c>
      <c r="DU53" s="22">
        <v>58.644477749312706</v>
      </c>
      <c r="DV53" s="22">
        <v>0</v>
      </c>
      <c r="DW53" s="22">
        <v>12.715191240946616</v>
      </c>
      <c r="DX53" s="22">
        <v>13.548911683253385</v>
      </c>
      <c r="DY53" s="22">
        <v>17.673623009983508</v>
      </c>
      <c r="DZ53" s="22">
        <v>15.022618227516778</v>
      </c>
      <c r="EA53" s="22">
        <v>0.13387021191764309</v>
      </c>
      <c r="EB53" s="22">
        <v>0</v>
      </c>
      <c r="EC53" s="22">
        <v>0.3362986938025338</v>
      </c>
      <c r="ED53" s="22">
        <v>1.0650235141049607</v>
      </c>
      <c r="EE53" s="22">
        <v>4.0397639421888281</v>
      </c>
      <c r="EF53" s="22">
        <v>0.81024417273614646</v>
      </c>
      <c r="EG53" s="22">
        <v>5.3771750336488697</v>
      </c>
      <c r="EH53" s="22">
        <v>2.0485408947314947</v>
      </c>
      <c r="EI53" s="22">
        <v>0.47591112615800946</v>
      </c>
      <c r="EJ53" s="22">
        <v>2.7528089954180199</v>
      </c>
      <c r="EK53" s="22">
        <v>0.50857868193841738</v>
      </c>
      <c r="EL53" s="22">
        <v>2.9806720056712819</v>
      </c>
      <c r="EM53" s="22">
        <v>0.65792653821080427</v>
      </c>
      <c r="EN53" s="22">
        <v>2.0688386540691415</v>
      </c>
      <c r="EO53" s="22">
        <v>0.26624826795275691</v>
      </c>
      <c r="EP53" s="22">
        <v>1.6566848332077555</v>
      </c>
      <c r="EQ53" s="22">
        <v>0.29946770892913488</v>
      </c>
      <c r="ER53" s="22">
        <v>0.53970958794938229</v>
      </c>
      <c r="ES53" s="22">
        <v>0</v>
      </c>
      <c r="ET53" s="22">
        <v>0.17584516270691827</v>
      </c>
      <c r="EU53" s="22">
        <v>0.10857870182503057</v>
      </c>
      <c r="EV53" s="22">
        <v>3.2091439339925774E-2</v>
      </c>
      <c r="EW53" s="22">
        <f>(EI53/0.05883)/SQRT((EH53/0.1536)*(EJ53/0.2069))</f>
        <v>0.6072849305558129</v>
      </c>
      <c r="EX53" s="22"/>
      <c r="EY53" s="22"/>
      <c r="EZ53" s="22"/>
      <c r="FA53" s="22"/>
      <c r="FB53" s="22"/>
      <c r="FC53" s="22"/>
      <c r="FD53" s="22"/>
      <c r="FE53" s="22"/>
      <c r="FF53" s="22"/>
      <c r="FG53" s="22"/>
      <c r="FH53" s="22"/>
      <c r="FI53" s="22">
        <f>-0.50354-2.23025*BP53+ N("eqn 18 Mg# R2 0.28 best")</f>
        <v>-2.1225433961065958</v>
      </c>
      <c r="FJ53" s="22"/>
      <c r="FK53" s="22">
        <f xml:space="preserve"> -0.03692  +  0.931085 + FX53   + N("488 NN Dy")</f>
        <v>0.8941650000000001</v>
      </c>
      <c r="FL53" s="22">
        <f>-0.48986  +   0    +   (1.071278 + 0) * GD53  +N("eqn 119 LnD Hf  (which has R2 of 0.51 for TS")</f>
        <v>-0.48986000000000002</v>
      </c>
      <c r="FM53" s="22"/>
      <c r="FN53" s="22"/>
      <c r="FO53" s="22">
        <f>3.94011-11.9214*BP53</f>
        <v>-4.713981284091548</v>
      </c>
      <c r="FP53" s="22">
        <f xml:space="preserve">  -0.49862 +   1.013256 * FQ53 + N("294 NN")</f>
        <v>-0.49862000000000001</v>
      </c>
      <c r="FQ53" s="46"/>
      <c r="FR53" s="46"/>
      <c r="FS53" s="46"/>
      <c r="FT53" s="46"/>
      <c r="FU53" s="46"/>
      <c r="FV53" s="46"/>
      <c r="FW53" s="46"/>
      <c r="FX53" s="46"/>
      <c r="FY53" s="46"/>
      <c r="FZ53" s="46"/>
      <c r="GA53" s="46"/>
      <c r="GB53" s="46"/>
      <c r="GC53" s="46"/>
      <c r="GD53" s="46"/>
      <c r="GE53" s="46"/>
      <c r="GF53" s="46"/>
      <c r="GG53" s="46"/>
      <c r="GH53" s="46"/>
    </row>
    <row r="54" spans="1:190" x14ac:dyDescent="0.25">
      <c r="A54" s="5" t="s">
        <v>92</v>
      </c>
      <c r="B54" s="1">
        <v>996</v>
      </c>
      <c r="C54" s="98" t="s">
        <v>255</v>
      </c>
      <c r="D54" s="98" t="s">
        <v>106</v>
      </c>
      <c r="E54" s="1">
        <v>154</v>
      </c>
      <c r="F54" s="22">
        <v>51.2</v>
      </c>
      <c r="G54" s="22">
        <v>0.66600000000000004</v>
      </c>
      <c r="H54" s="22">
        <v>1.806</v>
      </c>
      <c r="I54" s="22">
        <v>1.2999999999999999E-2</v>
      </c>
      <c r="J54" s="22">
        <v>10.19</v>
      </c>
      <c r="K54" s="22">
        <v>0.32100000000000001</v>
      </c>
      <c r="L54" s="22">
        <v>14.72</v>
      </c>
      <c r="M54" s="22">
        <v>19.46</v>
      </c>
      <c r="N54" s="22">
        <v>0.28499999999999998</v>
      </c>
      <c r="O54" s="22">
        <v>0.02</v>
      </c>
      <c r="P54" s="22">
        <v>0</v>
      </c>
      <c r="Q54" s="22"/>
      <c r="R54" s="22"/>
      <c r="S54" s="22">
        <f t="shared" si="0"/>
        <v>98.680999999999997</v>
      </c>
      <c r="T54" s="3"/>
      <c r="U54" s="22">
        <f t="shared" si="1"/>
        <v>8.9455056131715764</v>
      </c>
      <c r="V54" s="22">
        <f t="shared" si="2"/>
        <v>1.3830066120824247</v>
      </c>
      <c r="W54" s="22">
        <f t="shared" si="3"/>
        <v>98.819512225254002</v>
      </c>
      <c r="X54" s="1"/>
      <c r="Y54" s="1"/>
      <c r="Z54" s="1"/>
      <c r="AA54" s="1" t="s">
        <v>185</v>
      </c>
      <c r="AC54" s="1">
        <v>6</v>
      </c>
      <c r="AD54" s="1">
        <v>4</v>
      </c>
      <c r="AE54" s="1"/>
      <c r="AF54" s="26">
        <f t="shared" si="4"/>
        <v>1.9383623417041684</v>
      </c>
      <c r="AG54" s="26">
        <f t="shared" si="5"/>
        <v>1.8964050352888846E-2</v>
      </c>
      <c r="AH54" s="26">
        <f t="shared" si="6"/>
        <v>8.0577324264031663E-2</v>
      </c>
      <c r="AI54" s="26">
        <f t="shared" si="7"/>
        <v>3.8909285853628922E-4</v>
      </c>
      <c r="AJ54" s="26">
        <f t="shared" si="8"/>
        <v>0.32258364015170649</v>
      </c>
      <c r="AK54" s="26">
        <f t="shared" si="9"/>
        <v>1.029221322766082E-2</v>
      </c>
      <c r="AL54" s="26">
        <f t="shared" si="10"/>
        <v>0.83080230094928287</v>
      </c>
      <c r="AM54" s="26">
        <f t="shared" si="11"/>
        <v>0.7892775640920866</v>
      </c>
      <c r="AN54" s="26">
        <f t="shared" si="12"/>
        <v>2.0917906169664189E-2</v>
      </c>
      <c r="AO54" s="26">
        <f t="shared" si="13"/>
        <v>9.6583739292716985E-4</v>
      </c>
      <c r="AP54" s="26">
        <f t="shared" si="14"/>
        <v>0</v>
      </c>
      <c r="AQ54" s="26">
        <f t="shared" si="15"/>
        <v>0</v>
      </c>
      <c r="AR54" s="26">
        <f t="shared" si="16"/>
        <v>0</v>
      </c>
      <c r="AS54" s="26">
        <f t="shared" si="17"/>
        <v>4.0131322711629531</v>
      </c>
      <c r="AT54" s="26">
        <f t="shared" si="18"/>
        <v>2.0189396659682002</v>
      </c>
      <c r="AU54" s="26">
        <f t="shared" si="19"/>
        <v>0.81116130765467798</v>
      </c>
      <c r="AV54" s="47"/>
      <c r="AW54" s="26">
        <f t="shared" si="20"/>
        <v>1.9320193910702639</v>
      </c>
      <c r="AX54" s="26">
        <f t="shared" si="21"/>
        <v>1.8901993825778698E-2</v>
      </c>
      <c r="AY54" s="26">
        <f t="shared" si="22"/>
        <v>8.0313649109483659E-2</v>
      </c>
      <c r="AZ54" s="26">
        <f t="shared" si="23"/>
        <v>3.878196204318331E-4</v>
      </c>
      <c r="BA54" s="26">
        <f t="shared" si="24"/>
        <v>0.28226014746409855</v>
      </c>
      <c r="BB54" s="26">
        <f t="shared" si="25"/>
        <v>3.9267894329775288E-2</v>
      </c>
      <c r="BC54" s="26">
        <f t="shared" si="26"/>
        <v>1.0258533765873878E-2</v>
      </c>
      <c r="BD54" s="26">
        <f t="shared" si="27"/>
        <v>0.82808364620239872</v>
      </c>
      <c r="BE54" s="26">
        <f t="shared" si="28"/>
        <v>0.78669479176011736</v>
      </c>
      <c r="BF54" s="26">
        <f t="shared" si="29"/>
        <v>2.0849455992241646E-2</v>
      </c>
      <c r="BG54" s="26">
        <f t="shared" si="30"/>
        <v>9.6267685953673572E-4</v>
      </c>
      <c r="BH54" s="26">
        <f t="shared" si="31"/>
        <v>0</v>
      </c>
      <c r="BI54" s="26">
        <f t="shared" si="32"/>
        <v>0</v>
      </c>
      <c r="BJ54" s="26">
        <f t="shared" si="33"/>
        <v>0</v>
      </c>
      <c r="BK54" s="25">
        <f t="shared" si="34"/>
        <v>4</v>
      </c>
      <c r="BL54" s="24">
        <f t="shared" si="35"/>
        <v>5.9999999999999991</v>
      </c>
      <c r="BM54" s="26">
        <f t="shared" si="36"/>
        <v>2.0123330401797475</v>
      </c>
      <c r="BN54" s="26">
        <f t="shared" si="37"/>
        <v>0.80850692461189577</v>
      </c>
      <c r="BO54" s="22"/>
      <c r="BP54" s="23">
        <f t="shared" si="38"/>
        <v>0.72031595959651007</v>
      </c>
      <c r="BQ54" s="26">
        <f t="shared" si="39"/>
        <v>6.7980608929736119E-2</v>
      </c>
      <c r="BR54" s="26">
        <f t="shared" si="40"/>
        <v>1.233304017974754E-2</v>
      </c>
      <c r="BS54" s="26"/>
      <c r="BT54" s="26">
        <f t="shared" si="41"/>
        <v>1.233304017974754E-2</v>
      </c>
      <c r="BU54" s="26">
        <f t="shared" si="42"/>
        <v>0</v>
      </c>
      <c r="BV54" s="26">
        <f t="shared" si="43"/>
        <v>1.233304017974754E-2</v>
      </c>
      <c r="BW54" s="26">
        <f t="shared" si="44"/>
        <v>1.9454642926814461E-4</v>
      </c>
      <c r="BX54" s="26">
        <f t="shared" si="45"/>
        <v>0.77674997748307084</v>
      </c>
      <c r="BY54" s="26">
        <f t="shared" si="46"/>
        <v>0.1883179818089592</v>
      </c>
      <c r="BZ54" s="26">
        <f t="shared" si="47"/>
        <v>0.98992858608079326</v>
      </c>
      <c r="CA54" s="22"/>
      <c r="CB54" s="22">
        <f t="shared" si="48"/>
        <v>2.0849455992241646E-2</v>
      </c>
      <c r="CC54" s="22">
        <f t="shared" si="49"/>
        <v>0</v>
      </c>
      <c r="CD54" s="22">
        <f t="shared" si="50"/>
        <v>1.8418438337533642E-2</v>
      </c>
      <c r="CE54" s="22">
        <f t="shared" si="51"/>
        <v>3.878196204318331E-4</v>
      </c>
      <c r="CF54" s="22">
        <f t="shared" si="52"/>
        <v>1.233304017974754E-2</v>
      </c>
      <c r="CG54" s="22">
        <f t="shared" si="53"/>
        <v>0.38820247480732301</v>
      </c>
      <c r="CH54" s="22">
        <f t="shared" si="54"/>
        <v>0.45627266823929674</v>
      </c>
      <c r="CI54" s="22">
        <f t="shared" si="55"/>
        <v>0.15552485695338028</v>
      </c>
      <c r="CJ54" s="22"/>
      <c r="CK54" s="22">
        <f t="shared" si="56"/>
        <v>0.40414514095093679</v>
      </c>
      <c r="CL54" s="22">
        <f t="shared" si="57"/>
        <v>0.42540764908951118</v>
      </c>
      <c r="CM54" s="22">
        <f t="shared" si="58"/>
        <v>0.17044720995955215</v>
      </c>
      <c r="CN54" s="1"/>
      <c r="CO54" s="26">
        <f t="shared" si="59"/>
        <v>0.85219707057256999</v>
      </c>
      <c r="CP54" s="26">
        <f t="shared" si="60"/>
        <v>8.3375062593890846E-3</v>
      </c>
      <c r="CQ54" s="26">
        <f t="shared" si="61"/>
        <v>3.5425657120439394E-2</v>
      </c>
      <c r="CR54" s="26">
        <f t="shared" si="62"/>
        <v>1.7106388578195931E-4</v>
      </c>
      <c r="CS54" s="26">
        <f t="shared" si="63"/>
        <v>0.1418232428670842</v>
      </c>
      <c r="CT54" s="26">
        <f t="shared" si="64"/>
        <v>4.5249506625317168E-3</v>
      </c>
      <c r="CU54" s="26">
        <f t="shared" si="65"/>
        <v>0.36526054590570722</v>
      </c>
      <c r="CV54" s="26">
        <f t="shared" si="66"/>
        <v>0.34700427960057062</v>
      </c>
      <c r="CW54" s="26">
        <f t="shared" si="67"/>
        <v>9.1965150048402711E-3</v>
      </c>
      <c r="CX54" s="26">
        <f t="shared" si="68"/>
        <v>4.2462845010615713E-4</v>
      </c>
      <c r="CY54" s="26">
        <f t="shared" si="69"/>
        <v>0</v>
      </c>
      <c r="CZ54" s="26">
        <f t="shared" si="70"/>
        <v>0</v>
      </c>
      <c r="DA54" s="26">
        <f t="shared" si="71"/>
        <v>0</v>
      </c>
      <c r="DB54" s="26">
        <f t="shared" si="72"/>
        <v>1.7643654603290206</v>
      </c>
      <c r="DC54" s="26">
        <f t="shared" si="73"/>
        <v>2.6378878259366174</v>
      </c>
      <c r="DD54" s="26">
        <f t="shared" si="74"/>
        <v>2.2671040042090125</v>
      </c>
      <c r="DE54" s="26">
        <f t="shared" si="75"/>
        <v>5.9803660528351115</v>
      </c>
      <c r="DF54" s="1"/>
      <c r="DG54" s="22">
        <v>12.409710749234824</v>
      </c>
      <c r="DH54" s="14">
        <v>1912.0580731279788</v>
      </c>
      <c r="DI54" s="14">
        <v>91922.44798445671</v>
      </c>
      <c r="DJ54" s="14">
        <v>10850.434205545833</v>
      </c>
      <c r="DK54" s="14">
        <v>237970.06505897685</v>
      </c>
      <c r="DL54" s="14">
        <v>141176.69870342812</v>
      </c>
      <c r="DM54" s="96">
        <v>150.07897670511386</v>
      </c>
      <c r="DN54" s="14">
        <v>3504.8673600532047</v>
      </c>
      <c r="DO54" s="96">
        <v>379.7779857632226</v>
      </c>
      <c r="DP54" s="22">
        <v>8.322881933740252</v>
      </c>
      <c r="DQ54" s="14">
        <v>2498.7867359450329</v>
      </c>
      <c r="DR54" s="22">
        <v>43.802744821345328</v>
      </c>
      <c r="DS54" s="22">
        <v>29.557115551862072</v>
      </c>
      <c r="DT54" s="22">
        <v>0</v>
      </c>
      <c r="DU54" s="22">
        <v>68.645863196457398</v>
      </c>
      <c r="DV54" s="22">
        <v>0</v>
      </c>
      <c r="DW54" s="22">
        <v>12.695332640525791</v>
      </c>
      <c r="DX54" s="22">
        <v>12.503547489614956</v>
      </c>
      <c r="DY54" s="22">
        <v>28.237508823430304</v>
      </c>
      <c r="DZ54" s="22">
        <v>16.249311908860548</v>
      </c>
      <c r="EA54" s="22">
        <v>0</v>
      </c>
      <c r="EB54" s="22">
        <v>0</v>
      </c>
      <c r="EC54" s="22">
        <v>0</v>
      </c>
      <c r="ED54" s="22">
        <v>0.9984354955639887</v>
      </c>
      <c r="EE54" s="22">
        <v>4.4893644986855827</v>
      </c>
      <c r="EF54" s="22">
        <v>0.73331322070088423</v>
      </c>
      <c r="EG54" s="22">
        <v>6.610051328561676</v>
      </c>
      <c r="EH54" s="22">
        <v>2.6819750856824416</v>
      </c>
      <c r="EI54" s="22">
        <v>0.70174710308283272</v>
      </c>
      <c r="EJ54" s="22">
        <v>4.7131760502625735</v>
      </c>
      <c r="EK54" s="22">
        <v>0.74002775667464182</v>
      </c>
      <c r="EL54" s="22">
        <v>5.2560490481639288</v>
      </c>
      <c r="EM54" s="22">
        <v>0.88475231870473647</v>
      </c>
      <c r="EN54" s="22">
        <v>2.9922080269500158</v>
      </c>
      <c r="EO54" s="22">
        <v>0.36362330418831923</v>
      </c>
      <c r="EP54" s="22">
        <v>2.8931238847180816</v>
      </c>
      <c r="EQ54" s="22">
        <v>0.45755248837335499</v>
      </c>
      <c r="ER54" s="22">
        <v>0.93810570379447444</v>
      </c>
      <c r="ES54" s="22">
        <v>0</v>
      </c>
      <c r="ET54" s="22">
        <v>8.2756179073702849E-2</v>
      </c>
      <c r="EU54" s="22">
        <v>5.5775533228907229E-2</v>
      </c>
      <c r="EV54" s="22">
        <v>1.1263171612864912E-2</v>
      </c>
      <c r="EW54" s="22">
        <f>(EI54/0.05883)/SQRT((EH54/0.1536)*(EJ54/0.2069))</f>
        <v>0.59809949072541502</v>
      </c>
      <c r="EX54" s="22"/>
      <c r="EY54" s="22"/>
      <c r="EZ54" s="22"/>
      <c r="FA54" s="22"/>
      <c r="FB54" s="22"/>
      <c r="FC54" s="22"/>
      <c r="FD54" s="22"/>
      <c r="FE54" s="22"/>
      <c r="FF54" s="22"/>
      <c r="FG54" s="22"/>
      <c r="FH54" s="22"/>
      <c r="FI54" s="22">
        <f>-0.50354-2.23025*BP54+ N("eqn 18 Mg# R2 0.28 best")</f>
        <v>-2.1100246688901163</v>
      </c>
      <c r="FJ54" s="22"/>
      <c r="FK54" s="22">
        <f xml:space="preserve"> -0.03692  +  0.931085 + FX54   + N("488 NN Dy")</f>
        <v>0.8941650000000001</v>
      </c>
      <c r="FL54" s="22">
        <f>-0.48986  +   0    +   (1.071278 + 0) * GD54  +N("eqn 119 LnD Hf  (which has R2 of 0.51 for TS")</f>
        <v>-0.48986000000000002</v>
      </c>
      <c r="FM54" s="22"/>
      <c r="FN54" s="22"/>
      <c r="FO54" s="22">
        <f>3.94011-11.9214*BP54</f>
        <v>-4.6470646807338349</v>
      </c>
      <c r="FP54" s="22">
        <f xml:space="preserve">  -0.49862 +   1.013256 * FQ54 + N("294 NN")</f>
        <v>-0.49862000000000001</v>
      </c>
      <c r="FQ54" s="46"/>
      <c r="FR54" s="46"/>
      <c r="FS54" s="46"/>
      <c r="FT54" s="46"/>
      <c r="FU54" s="46"/>
      <c r="FV54" s="46"/>
      <c r="FW54" s="46"/>
      <c r="FX54" s="46"/>
      <c r="FY54" s="46"/>
      <c r="FZ54" s="46"/>
      <c r="GA54" s="46"/>
      <c r="GB54" s="46"/>
      <c r="GC54" s="46"/>
      <c r="GD54" s="46"/>
      <c r="GE54" s="46"/>
      <c r="GF54" s="46"/>
      <c r="GG54" s="46"/>
      <c r="GH54" s="46"/>
    </row>
    <row r="55" spans="1:190" x14ac:dyDescent="0.25">
      <c r="A55" s="5" t="s">
        <v>92</v>
      </c>
      <c r="B55" s="1">
        <v>999</v>
      </c>
      <c r="C55" s="98" t="s">
        <v>255</v>
      </c>
      <c r="D55" s="98" t="s">
        <v>106</v>
      </c>
      <c r="E55" s="1">
        <v>157</v>
      </c>
      <c r="F55" s="22">
        <v>52.25</v>
      </c>
      <c r="G55" s="22">
        <v>7.4999999999999997E-2</v>
      </c>
      <c r="H55" s="22">
        <v>0.41299999999999998</v>
      </c>
      <c r="I55" s="22">
        <v>4.2000000000000003E-2</v>
      </c>
      <c r="J55" s="22">
        <v>15.54</v>
      </c>
      <c r="K55" s="22">
        <v>0.46500000000000002</v>
      </c>
      <c r="L55" s="22">
        <v>11.06</v>
      </c>
      <c r="M55" s="22">
        <v>20.079999999999998</v>
      </c>
      <c r="N55" s="22">
        <v>0.34300000000000003</v>
      </c>
      <c r="O55" s="22">
        <v>0</v>
      </c>
      <c r="P55" s="22">
        <v>0</v>
      </c>
      <c r="Q55" s="22"/>
      <c r="R55" s="22"/>
      <c r="S55" s="22">
        <f t="shared" si="0"/>
        <v>100.268</v>
      </c>
      <c r="T55" s="3"/>
      <c r="U55" s="22">
        <f t="shared" si="1"/>
        <v>15.046831805877915</v>
      </c>
      <c r="V55" s="22">
        <f t="shared" si="2"/>
        <v>0.54805781412787091</v>
      </c>
      <c r="W55" s="22">
        <f t="shared" si="3"/>
        <v>100.32288962000578</v>
      </c>
      <c r="X55" s="1"/>
      <c r="Y55" s="1">
        <v>1</v>
      </c>
      <c r="Z55" s="1"/>
      <c r="AA55" s="1" t="s">
        <v>185</v>
      </c>
      <c r="AC55" s="1">
        <v>6</v>
      </c>
      <c r="AD55" s="1">
        <v>4</v>
      </c>
      <c r="AE55" s="1"/>
      <c r="AF55" s="26">
        <f t="shared" si="4"/>
        <v>1.9953658946396544</v>
      </c>
      <c r="AG55" s="26">
        <f t="shared" si="5"/>
        <v>2.1542166650085851E-3</v>
      </c>
      <c r="AH55" s="26">
        <f t="shared" si="6"/>
        <v>1.8587303683527092E-2</v>
      </c>
      <c r="AI55" s="26">
        <f t="shared" si="7"/>
        <v>1.2680326762615438E-3</v>
      </c>
      <c r="AJ55" s="26">
        <f t="shared" si="8"/>
        <v>0.4962384550594785</v>
      </c>
      <c r="AK55" s="26">
        <f t="shared" si="9"/>
        <v>1.5039311088884859E-2</v>
      </c>
      <c r="AL55" s="26">
        <f t="shared" si="10"/>
        <v>0.62967471591126456</v>
      </c>
      <c r="AM55" s="26">
        <f t="shared" si="11"/>
        <v>0.82152706851968282</v>
      </c>
      <c r="AN55" s="26">
        <f t="shared" si="12"/>
        <v>2.539444454335972E-2</v>
      </c>
      <c r="AO55" s="26">
        <f t="shared" si="13"/>
        <v>0</v>
      </c>
      <c r="AP55" s="26">
        <f t="shared" si="14"/>
        <v>0</v>
      </c>
      <c r="AQ55" s="26">
        <f t="shared" si="15"/>
        <v>0</v>
      </c>
      <c r="AR55" s="26">
        <f t="shared" si="16"/>
        <v>0</v>
      </c>
      <c r="AS55" s="26">
        <f t="shared" si="17"/>
        <v>4.0052494427871217</v>
      </c>
      <c r="AT55" s="26">
        <f t="shared" si="18"/>
        <v>2.0139531983231813</v>
      </c>
      <c r="AU55" s="26">
        <f t="shared" si="19"/>
        <v>0.84692151306304253</v>
      </c>
      <c r="AV55" s="47"/>
      <c r="AW55" s="26">
        <f t="shared" si="20"/>
        <v>1.9927506869596063</v>
      </c>
      <c r="AX55" s="26">
        <f t="shared" si="21"/>
        <v>2.1513932610494652E-3</v>
      </c>
      <c r="AY55" s="26">
        <f t="shared" si="22"/>
        <v>1.8562942407494894E-2</v>
      </c>
      <c r="AZ55" s="26">
        <f t="shared" si="23"/>
        <v>1.2663707410734064E-3</v>
      </c>
      <c r="BA55" s="26">
        <f t="shared" si="24"/>
        <v>0.47986037679965915</v>
      </c>
      <c r="BB55" s="26">
        <f t="shared" si="25"/>
        <v>1.5727687961832881E-2</v>
      </c>
      <c r="BC55" s="26">
        <f t="shared" si="26"/>
        <v>1.5019599956220949E-2</v>
      </c>
      <c r="BD55" s="26">
        <f t="shared" si="27"/>
        <v>0.62884943862382214</v>
      </c>
      <c r="BE55" s="26">
        <f t="shared" si="28"/>
        <v>0.8204503417375264</v>
      </c>
      <c r="BF55" s="26">
        <f t="shared" si="29"/>
        <v>2.5361161551714549E-2</v>
      </c>
      <c r="BG55" s="26">
        <f t="shared" si="30"/>
        <v>0</v>
      </c>
      <c r="BH55" s="26">
        <f t="shared" si="31"/>
        <v>0</v>
      </c>
      <c r="BI55" s="26">
        <f t="shared" si="32"/>
        <v>0</v>
      </c>
      <c r="BJ55" s="26">
        <f t="shared" si="33"/>
        <v>0</v>
      </c>
      <c r="BK55" s="25">
        <f t="shared" si="34"/>
        <v>4</v>
      </c>
      <c r="BL55" s="24">
        <f t="shared" si="35"/>
        <v>6</v>
      </c>
      <c r="BM55" s="26">
        <f t="shared" si="36"/>
        <v>2.011313629367101</v>
      </c>
      <c r="BN55" s="26">
        <f t="shared" si="37"/>
        <v>0.84581150328924093</v>
      </c>
      <c r="BO55" s="22"/>
      <c r="BP55" s="23">
        <f t="shared" si="38"/>
        <v>0.55925690554660601</v>
      </c>
      <c r="BQ55" s="26">
        <f t="shared" si="39"/>
        <v>7.2493130403936679E-3</v>
      </c>
      <c r="BR55" s="26">
        <f t="shared" si="40"/>
        <v>1.1313629367101227E-2</v>
      </c>
      <c r="BS55" s="26"/>
      <c r="BT55" s="26">
        <f t="shared" si="41"/>
        <v>1.1313629367101227E-2</v>
      </c>
      <c r="BU55" s="26">
        <f t="shared" si="42"/>
        <v>0</v>
      </c>
      <c r="BV55" s="26">
        <f t="shared" si="43"/>
        <v>1.1313629367101227E-2</v>
      </c>
      <c r="BW55" s="26">
        <f t="shared" si="44"/>
        <v>6.3401633813077191E-4</v>
      </c>
      <c r="BX55" s="26">
        <f t="shared" si="45"/>
        <v>0.80957942281445083</v>
      </c>
      <c r="BY55" s="26">
        <f t="shared" si="46"/>
        <v>0.15816687407814611</v>
      </c>
      <c r="BZ55" s="26">
        <f t="shared" si="47"/>
        <v>0.99100757196493017</v>
      </c>
      <c r="CA55" s="22"/>
      <c r="CB55" s="22">
        <f t="shared" si="48"/>
        <v>1.5727687961832881E-2</v>
      </c>
      <c r="CC55" s="22">
        <f t="shared" si="49"/>
        <v>9.6334735898816679E-3</v>
      </c>
      <c r="CD55" s="22">
        <f t="shared" si="50"/>
        <v>0</v>
      </c>
      <c r="CE55" s="22">
        <f t="shared" si="51"/>
        <v>1.2663707410734064E-3</v>
      </c>
      <c r="CF55" s="22">
        <f t="shared" si="52"/>
        <v>1.6801557772195587E-3</v>
      </c>
      <c r="CG55" s="22">
        <f t="shared" si="53"/>
        <v>0.41661575159053316</v>
      </c>
      <c r="CH55" s="22">
        <f t="shared" si="54"/>
        <v>0.33088987939927994</v>
      </c>
      <c r="CI55" s="22">
        <f t="shared" si="55"/>
        <v>0.25249436901018696</v>
      </c>
      <c r="CJ55" s="22"/>
      <c r="CK55" s="22">
        <f t="shared" si="56"/>
        <v>0.4186168810152307</v>
      </c>
      <c r="CL55" s="22">
        <f t="shared" si="57"/>
        <v>0.32085670178086123</v>
      </c>
      <c r="CM55" s="22">
        <f t="shared" si="58"/>
        <v>0.26052641720390801</v>
      </c>
      <c r="CN55" s="1"/>
      <c r="CO55" s="26">
        <f t="shared" si="59"/>
        <v>0.86967376830892151</v>
      </c>
      <c r="CP55" s="26">
        <f t="shared" si="60"/>
        <v>9.3890836254381573E-4</v>
      </c>
      <c r="CQ55" s="26">
        <f t="shared" si="61"/>
        <v>8.101216163201256E-3</v>
      </c>
      <c r="CR55" s="26">
        <f t="shared" si="62"/>
        <v>5.526679386801763E-4</v>
      </c>
      <c r="CS55" s="26">
        <f t="shared" si="63"/>
        <v>0.21628392484342379</v>
      </c>
      <c r="CT55" s="26">
        <f t="shared" si="64"/>
        <v>6.5548350718917401E-3</v>
      </c>
      <c r="CU55" s="26">
        <f t="shared" si="65"/>
        <v>0.2744416873449132</v>
      </c>
      <c r="CV55" s="26">
        <f t="shared" si="66"/>
        <v>0.35805991440798857</v>
      </c>
      <c r="CW55" s="26">
        <f t="shared" si="67"/>
        <v>1.106808647950952E-2</v>
      </c>
      <c r="CX55" s="26">
        <f t="shared" si="68"/>
        <v>0</v>
      </c>
      <c r="CY55" s="26">
        <f t="shared" si="69"/>
        <v>0</v>
      </c>
      <c r="CZ55" s="26">
        <f t="shared" si="70"/>
        <v>0</v>
      </c>
      <c r="DA55" s="26">
        <f t="shared" si="71"/>
        <v>0</v>
      </c>
      <c r="DB55" s="26">
        <f t="shared" si="72"/>
        <v>1.7456750089210735</v>
      </c>
      <c r="DC55" s="26">
        <f t="shared" si="73"/>
        <v>2.6150805844037253</v>
      </c>
      <c r="DD55" s="26">
        <f t="shared" si="74"/>
        <v>2.2913772492350839</v>
      </c>
      <c r="DE55" s="26">
        <f t="shared" si="75"/>
        <v>5.9921361560190833</v>
      </c>
      <c r="DF55" s="1"/>
      <c r="DG55" s="22"/>
      <c r="DH55" s="14"/>
      <c r="DI55" s="14"/>
      <c r="DJ55" s="14"/>
      <c r="DK55" s="14"/>
      <c r="DL55" s="14"/>
      <c r="DM55" s="96"/>
      <c r="DN55" s="14"/>
      <c r="DO55" s="96"/>
      <c r="DP55" s="22"/>
      <c r="DQ55" s="14"/>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46">
        <f t="shared" ref="FQ55:FQ56" si="196" xml:space="preserve">  -0.73306   +   1.025016   *  FS55     +N("316 NN Nd")</f>
        <v>-1.0520501503106137</v>
      </c>
      <c r="FR55" s="46">
        <f t="shared" ref="FR55:FR56" si="197" xml:space="preserve">  -0.33671   +   1.013871 *  FS55    +N("340 NN")</f>
        <v>-0.65223177008512279</v>
      </c>
      <c r="FS55" s="46">
        <f t="shared" ref="FS55:FS56" si="198">-0.42496     +   1.017678*FT55                 + N("361 NN")</f>
        <v>-0.31120504490721473</v>
      </c>
      <c r="FT55" s="46">
        <f xml:space="preserve"> 0.68509  -3.34181 * BP55 + 0.03095*(100*CK55) +N("642 cpx Mg# Wo R2 0.59")</f>
        <v>0.11177892721743543</v>
      </c>
      <c r="FU55" s="46">
        <f t="shared" ref="FU55:FU56" si="199" xml:space="preserve"> -0.06599 + 0.926002 * FT55  + N("409 NN")</f>
        <v>3.7517510161199655E-2</v>
      </c>
      <c r="FV55" s="46">
        <f t="shared" ref="FV55:FV56" si="200">0.1453     +   0.925549*FT55     +N("424 LnD Sm")</f>
        <v>0.24875687430717014</v>
      </c>
      <c r="FW55" s="46">
        <f t="shared" ref="FW55:FW56" si="201" xml:space="preserve">  0.053547 + 0.932974 * FV55  +  N("445 NN")</f>
        <v>0.28563069604985775</v>
      </c>
      <c r="FX55" s="46">
        <f t="shared" ref="FX55:FX56" si="202" xml:space="preserve">  0.027177  +  0.867603 * FV55 + N("464 NN Gd")</f>
        <v>0.24299921041952374</v>
      </c>
      <c r="FY55" s="46">
        <f t="shared" ref="FY55:FY56" si="203" xml:space="preserve">  -0.06187  +  0.953618 * FX55   + N("505 NN Dy")</f>
        <v>0.16985842104184537</v>
      </c>
      <c r="FZ55" s="46">
        <f t="shared" ref="FZ55:FZ56" si="204" xml:space="preserve"> -0.05652 + 0.972005*FY55   +N("533 NN")</f>
        <v>0.1085832345447789</v>
      </c>
      <c r="GA55" s="46">
        <f t="shared" ref="GA55:GA56" si="205" xml:space="preserve">     0.018586 + 0.960264 * FZ55    +N("549 LnD Er")</f>
        <v>0.12285457113690756</v>
      </c>
      <c r="GB55" s="46">
        <f t="shared" ref="GB55:GB56" si="206" xml:space="preserve"> -0.02011 + 0.936315 * FZ55    +N("574 NN Er")</f>
        <v>8.1558111252794663E-2</v>
      </c>
      <c r="GC55" s="46">
        <f t="shared" ref="GC55:GC56" si="207" xml:space="preserve">   0.01732 + 1.006083 * GB55  +N("597 NN Yb")</f>
        <v>9.9374229243545414E-2</v>
      </c>
      <c r="GD55" s="46">
        <f>(-1.72947 +0 ) * (3.46258+0) * BQ55   - (1.87473 + 0) *BP55   + (0.03253+0) * (CK55*100)    +N("eqn625 aliv mg# wo")</f>
        <v>0.26989302452910802</v>
      </c>
      <c r="GE55" s="46"/>
      <c r="GF55" s="46"/>
      <c r="GG55" s="46"/>
      <c r="GH55" s="46"/>
    </row>
    <row r="56" spans="1:190" x14ac:dyDescent="0.25">
      <c r="A56" s="5" t="s">
        <v>92</v>
      </c>
      <c r="B56" s="1">
        <v>1000</v>
      </c>
      <c r="C56" s="98" t="s">
        <v>255</v>
      </c>
      <c r="D56" s="98" t="s">
        <v>106</v>
      </c>
      <c r="E56" s="1">
        <v>158</v>
      </c>
      <c r="F56" s="22">
        <v>53.62</v>
      </c>
      <c r="G56" s="22">
        <v>0.10100000000000001</v>
      </c>
      <c r="H56" s="22">
        <v>0.60199999999999998</v>
      </c>
      <c r="I56" s="22">
        <v>0</v>
      </c>
      <c r="J56" s="22">
        <v>9.84</v>
      </c>
      <c r="K56" s="22">
        <v>0.56499999999999995</v>
      </c>
      <c r="L56" s="22">
        <v>14.34</v>
      </c>
      <c r="M56" s="22">
        <v>21.09</v>
      </c>
      <c r="N56" s="22">
        <v>0.54400000000000004</v>
      </c>
      <c r="O56" s="22">
        <v>0</v>
      </c>
      <c r="P56" s="22">
        <v>0</v>
      </c>
      <c r="Q56" s="22"/>
      <c r="R56" s="22"/>
      <c r="S56" s="22">
        <f t="shared" si="0"/>
        <v>100.702</v>
      </c>
      <c r="T56" s="3"/>
      <c r="U56" s="22">
        <f t="shared" si="1"/>
        <v>8.5334342606118181</v>
      </c>
      <c r="V56" s="22">
        <f t="shared" si="2"/>
        <v>1.4519865061820865</v>
      </c>
      <c r="W56" s="22">
        <f t="shared" si="3"/>
        <v>100.8474207667939</v>
      </c>
      <c r="X56" s="1"/>
      <c r="Y56" s="1">
        <v>1</v>
      </c>
      <c r="Z56" s="1"/>
      <c r="AA56" s="1" t="s">
        <v>185</v>
      </c>
      <c r="AC56" s="1">
        <v>6</v>
      </c>
      <c r="AD56" s="1">
        <v>4</v>
      </c>
      <c r="AE56" s="1"/>
      <c r="AF56" s="26">
        <f t="shared" si="4"/>
        <v>1.9900701455845773</v>
      </c>
      <c r="AG56" s="26">
        <f t="shared" si="5"/>
        <v>2.819387802568003E-3</v>
      </c>
      <c r="AH56" s="26">
        <f t="shared" si="6"/>
        <v>2.633104886731304E-2</v>
      </c>
      <c r="AI56" s="26">
        <f t="shared" si="7"/>
        <v>0</v>
      </c>
      <c r="AJ56" s="26">
        <f t="shared" si="8"/>
        <v>0.30537946148318618</v>
      </c>
      <c r="AK56" s="26">
        <f t="shared" si="9"/>
        <v>1.7759419364720377E-2</v>
      </c>
      <c r="AL56" s="26">
        <f t="shared" si="10"/>
        <v>0.79344276455675355</v>
      </c>
      <c r="AM56" s="26">
        <f t="shared" si="11"/>
        <v>0.83857145270582256</v>
      </c>
      <c r="AN56" s="26">
        <f t="shared" si="12"/>
        <v>3.9142523628512504E-2</v>
      </c>
      <c r="AO56" s="26">
        <f t="shared" si="13"/>
        <v>0</v>
      </c>
      <c r="AP56" s="26">
        <f t="shared" si="14"/>
        <v>0</v>
      </c>
      <c r="AQ56" s="26">
        <f t="shared" si="15"/>
        <v>0</v>
      </c>
      <c r="AR56" s="26">
        <f t="shared" si="16"/>
        <v>0</v>
      </c>
      <c r="AS56" s="26">
        <f t="shared" si="17"/>
        <v>4.0135162039934533</v>
      </c>
      <c r="AT56" s="26">
        <f t="shared" si="18"/>
        <v>2.0164011944518903</v>
      </c>
      <c r="AU56" s="26">
        <f t="shared" si="19"/>
        <v>0.87771397633433512</v>
      </c>
      <c r="AV56" s="47"/>
      <c r="AW56" s="26">
        <f t="shared" si="20"/>
        <v>1.9833682431424651</v>
      </c>
      <c r="AX56" s="26">
        <f t="shared" si="21"/>
        <v>2.8098930307172646E-3</v>
      </c>
      <c r="AY56" s="26">
        <f t="shared" si="22"/>
        <v>2.6242374545405969E-2</v>
      </c>
      <c r="AZ56" s="26">
        <f t="shared" si="23"/>
        <v>0</v>
      </c>
      <c r="BA56" s="26">
        <f t="shared" si="24"/>
        <v>0.26393898620797307</v>
      </c>
      <c r="BB56" s="26">
        <f t="shared" si="25"/>
        <v>4.0412057576859173E-2</v>
      </c>
      <c r="BC56" s="26">
        <f t="shared" si="26"/>
        <v>1.7699611474895491E-2</v>
      </c>
      <c r="BD56" s="26">
        <f t="shared" si="27"/>
        <v>0.79077070999965293</v>
      </c>
      <c r="BE56" s="26">
        <f t="shared" si="28"/>
        <v>0.83574741955340126</v>
      </c>
      <c r="BF56" s="26">
        <f t="shared" si="29"/>
        <v>3.9010704468630933E-2</v>
      </c>
      <c r="BG56" s="26">
        <f t="shared" si="30"/>
        <v>0</v>
      </c>
      <c r="BH56" s="26">
        <f t="shared" si="31"/>
        <v>0</v>
      </c>
      <c r="BI56" s="26">
        <f t="shared" si="32"/>
        <v>0</v>
      </c>
      <c r="BJ56" s="26">
        <f t="shared" si="33"/>
        <v>0</v>
      </c>
      <c r="BK56" s="25">
        <f t="shared" si="34"/>
        <v>4.0000000000000018</v>
      </c>
      <c r="BL56" s="24">
        <f t="shared" si="35"/>
        <v>6</v>
      </c>
      <c r="BM56" s="26">
        <f t="shared" si="36"/>
        <v>2.009610617687871</v>
      </c>
      <c r="BN56" s="26">
        <f t="shared" si="37"/>
        <v>0.87475812402203224</v>
      </c>
      <c r="BO56" s="22"/>
      <c r="BP56" s="23">
        <f t="shared" si="38"/>
        <v>0.72208474287624536</v>
      </c>
      <c r="BQ56" s="26">
        <f t="shared" si="39"/>
        <v>1.6631756857534929E-2</v>
      </c>
      <c r="BR56" s="26">
        <f t="shared" si="40"/>
        <v>9.6106176878710398E-3</v>
      </c>
      <c r="BS56" s="26"/>
      <c r="BT56" s="26">
        <f t="shared" si="41"/>
        <v>9.6106176878710398E-3</v>
      </c>
      <c r="BU56" s="26">
        <f t="shared" si="42"/>
        <v>0</v>
      </c>
      <c r="BV56" s="26">
        <f t="shared" si="43"/>
        <v>9.6106176878710398E-3</v>
      </c>
      <c r="BW56" s="26">
        <f t="shared" si="44"/>
        <v>0</v>
      </c>
      <c r="BX56" s="26">
        <f t="shared" si="45"/>
        <v>0.82896083501795148</v>
      </c>
      <c r="BY56" s="26">
        <f t="shared" si="46"/>
        <v>0.13493069551099418</v>
      </c>
      <c r="BZ56" s="26">
        <f t="shared" si="47"/>
        <v>0.98311276590468766</v>
      </c>
      <c r="CA56" s="22"/>
      <c r="CB56" s="22">
        <f t="shared" si="48"/>
        <v>3.9010704468630933E-2</v>
      </c>
      <c r="CC56" s="22">
        <f t="shared" si="49"/>
        <v>0</v>
      </c>
      <c r="CD56" s="22">
        <f t="shared" si="50"/>
        <v>1.4013531082282399E-3</v>
      </c>
      <c r="CE56" s="22">
        <f t="shared" si="51"/>
        <v>0</v>
      </c>
      <c r="CF56" s="22">
        <f t="shared" si="52"/>
        <v>9.6106176878710398E-3</v>
      </c>
      <c r="CG56" s="22">
        <f t="shared" si="53"/>
        <v>0.43187307661296648</v>
      </c>
      <c r="CH56" s="22">
        <f t="shared" si="54"/>
        <v>0.42595430021366154</v>
      </c>
      <c r="CI56" s="22">
        <f t="shared" si="55"/>
        <v>0.14217262317337193</v>
      </c>
      <c r="CJ56" s="22"/>
      <c r="CK56" s="22">
        <f t="shared" si="56"/>
        <v>0.42890321659017017</v>
      </c>
      <c r="CL56" s="22">
        <f t="shared" si="57"/>
        <v>0.40582129620619473</v>
      </c>
      <c r="CM56" s="22">
        <f t="shared" si="58"/>
        <v>0.16527548720363511</v>
      </c>
      <c r="CN56" s="1"/>
      <c r="CO56" s="26">
        <f t="shared" si="59"/>
        <v>0.89247669773635152</v>
      </c>
      <c r="CP56" s="26">
        <f t="shared" si="60"/>
        <v>1.2643965948923386E-3</v>
      </c>
      <c r="CQ56" s="26">
        <f t="shared" si="61"/>
        <v>1.1808552373479796E-2</v>
      </c>
      <c r="CR56" s="26">
        <f t="shared" si="62"/>
        <v>0</v>
      </c>
      <c r="CS56" s="26">
        <f t="shared" si="63"/>
        <v>0.13695198329853864</v>
      </c>
      <c r="CT56" s="26">
        <f t="shared" si="64"/>
        <v>7.9644770228361993E-3</v>
      </c>
      <c r="CU56" s="26">
        <f t="shared" si="65"/>
        <v>0.35583126550868488</v>
      </c>
      <c r="CV56" s="26">
        <f t="shared" si="66"/>
        <v>0.37606990014265335</v>
      </c>
      <c r="CW56" s="26">
        <f t="shared" si="67"/>
        <v>1.7554049693449501E-2</v>
      </c>
      <c r="CX56" s="26">
        <f t="shared" si="68"/>
        <v>0</v>
      </c>
      <c r="CY56" s="26">
        <f t="shared" si="69"/>
        <v>0</v>
      </c>
      <c r="CZ56" s="26">
        <f t="shared" si="70"/>
        <v>0</v>
      </c>
      <c r="DA56" s="26">
        <f t="shared" si="71"/>
        <v>0</v>
      </c>
      <c r="DB56" s="26">
        <f t="shared" si="72"/>
        <v>1.7999213223708859</v>
      </c>
      <c r="DC56" s="26">
        <f t="shared" si="73"/>
        <v>2.6907896680421457</v>
      </c>
      <c r="DD56" s="26">
        <f t="shared" si="74"/>
        <v>2.2223193593435155</v>
      </c>
      <c r="DE56" s="26">
        <f t="shared" si="75"/>
        <v>5.9797939712115724</v>
      </c>
      <c r="DF56" s="1"/>
      <c r="DG56" s="22"/>
      <c r="DH56" s="14"/>
      <c r="DI56" s="14"/>
      <c r="DJ56" s="14"/>
      <c r="DK56" s="14"/>
      <c r="DL56" s="14"/>
      <c r="DM56" s="96"/>
      <c r="DN56" s="14"/>
      <c r="DO56" s="96"/>
      <c r="DP56" s="22"/>
      <c r="DQ56" s="14"/>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46">
        <f t="shared" si="196"/>
        <v>-1.5864524792536105</v>
      </c>
      <c r="FR56" s="46">
        <f t="shared" si="197"/>
        <v>-1.1808235419674789</v>
      </c>
      <c r="FS56" s="46">
        <f t="shared" si="198"/>
        <v>-0.83256503240301671</v>
      </c>
      <c r="FT56" s="46">
        <f xml:space="preserve"> 0.68509  -3.34181 * BP56 + 0.03095*(100*CK56) +N("642 cpx Mg# Wo R2 0.59")</f>
        <v>-0.4005245592446891</v>
      </c>
      <c r="FU56" s="46">
        <f t="shared" si="199"/>
        <v>-0.43687654290970057</v>
      </c>
      <c r="FV56" s="46">
        <f t="shared" si="200"/>
        <v>-0.22540510528436272</v>
      </c>
      <c r="FW56" s="46">
        <f t="shared" si="201"/>
        <v>-0.156750102697573</v>
      </c>
      <c r="FX56" s="46">
        <f t="shared" si="202"/>
        <v>-0.16838514556002895</v>
      </c>
      <c r="FY56" s="46">
        <f t="shared" si="203"/>
        <v>-0.22244510573866369</v>
      </c>
      <c r="FZ56" s="46">
        <f t="shared" si="204"/>
        <v>-0.27273775500350983</v>
      </c>
      <c r="GA56" s="46">
        <f t="shared" si="205"/>
        <v>-0.24331424757069037</v>
      </c>
      <c r="GB56" s="46">
        <f t="shared" si="206"/>
        <v>-0.27547845107611135</v>
      </c>
      <c r="GC56" s="46">
        <f t="shared" si="207"/>
        <v>-0.25983418649400736</v>
      </c>
      <c r="GD56" s="46">
        <f>(-1.72947 +0 ) * (3.46258+0) * BQ56   - (1.87473 + 0) *BP56   + (0.03253+0) * (CK56*100)    +N("eqn625 aliv mg# wo")</f>
        <v>-5.8089848767960639E-2</v>
      </c>
      <c r="GE56" s="46"/>
      <c r="GF56" s="46"/>
      <c r="GG56" s="46"/>
      <c r="GH56" s="46"/>
    </row>
    <row r="57" spans="1:190" x14ac:dyDescent="0.25">
      <c r="A57" s="5" t="s">
        <v>92</v>
      </c>
      <c r="B57" s="1">
        <v>1008</v>
      </c>
      <c r="C57" s="98" t="s">
        <v>255</v>
      </c>
      <c r="D57" s="98" t="s">
        <v>106</v>
      </c>
      <c r="E57" s="1">
        <v>166</v>
      </c>
      <c r="F57" s="22">
        <v>52.54</v>
      </c>
      <c r="G57" s="22">
        <v>0.434</v>
      </c>
      <c r="H57" s="22">
        <v>0.97599999999999998</v>
      </c>
      <c r="I57" s="22">
        <v>0</v>
      </c>
      <c r="J57" s="22">
        <v>12.83</v>
      </c>
      <c r="K57" s="22">
        <v>0.45800000000000002</v>
      </c>
      <c r="L57" s="22">
        <v>13.18</v>
      </c>
      <c r="M57" s="22">
        <v>19.84</v>
      </c>
      <c r="N57" s="22">
        <v>0.34</v>
      </c>
      <c r="O57" s="22">
        <v>8.9999999999999993E-3</v>
      </c>
      <c r="P57" s="22">
        <v>0</v>
      </c>
      <c r="Q57" s="22"/>
      <c r="R57" s="22"/>
      <c r="S57" s="22">
        <f t="shared" si="0"/>
        <v>100.60700000000001</v>
      </c>
      <c r="T57" s="3"/>
      <c r="U57" s="22">
        <f t="shared" si="1"/>
        <v>12.237884833189725</v>
      </c>
      <c r="V57" s="22">
        <f t="shared" si="2"/>
        <v>0.65801758487625917</v>
      </c>
      <c r="W57" s="22">
        <f t="shared" si="3"/>
        <v>100.67290241806599</v>
      </c>
      <c r="X57" s="1"/>
      <c r="Y57" s="1">
        <v>12</v>
      </c>
      <c r="Z57" s="1"/>
      <c r="AA57" s="1" t="s">
        <v>185</v>
      </c>
      <c r="AC57" s="1">
        <v>6</v>
      </c>
      <c r="AD57" s="1">
        <v>4</v>
      </c>
      <c r="AE57" s="1"/>
      <c r="AF57" s="26">
        <f t="shared" si="4"/>
        <v>1.9725460017016665</v>
      </c>
      <c r="AG57" s="26">
        <f t="shared" si="5"/>
        <v>1.2255151065361481E-2</v>
      </c>
      <c r="AH57" s="26">
        <f t="shared" si="6"/>
        <v>4.3183414833803502E-2</v>
      </c>
      <c r="AI57" s="26">
        <f t="shared" si="7"/>
        <v>0</v>
      </c>
      <c r="AJ57" s="26">
        <f t="shared" si="8"/>
        <v>0.40277905592189289</v>
      </c>
      <c r="AK57" s="26">
        <f t="shared" si="9"/>
        <v>1.4562679434827525E-2</v>
      </c>
      <c r="AL57" s="26">
        <f t="shared" si="10"/>
        <v>0.73769588320271751</v>
      </c>
      <c r="AM57" s="26">
        <f t="shared" si="11"/>
        <v>0.79799589737197885</v>
      </c>
      <c r="AN57" s="26">
        <f t="shared" si="12"/>
        <v>2.4747101325562546E-2</v>
      </c>
      <c r="AO57" s="26">
        <f t="shared" si="13"/>
        <v>4.310112420827181E-4</v>
      </c>
      <c r="AP57" s="26">
        <f t="shared" si="14"/>
        <v>0</v>
      </c>
      <c r="AQ57" s="26">
        <f t="shared" si="15"/>
        <v>0</v>
      </c>
      <c r="AR57" s="26">
        <f t="shared" si="16"/>
        <v>0</v>
      </c>
      <c r="AS57" s="26">
        <f t="shared" si="17"/>
        <v>4.0061961960998929</v>
      </c>
      <c r="AT57" s="26">
        <f t="shared" si="18"/>
        <v>2.01572941653547</v>
      </c>
      <c r="AU57" s="26">
        <f t="shared" si="19"/>
        <v>0.82317400993962409</v>
      </c>
      <c r="AV57" s="47"/>
      <c r="AW57" s="26">
        <f t="shared" si="20"/>
        <v>1.9694951571487955</v>
      </c>
      <c r="AX57" s="26">
        <f t="shared" si="21"/>
        <v>1.2236196596953589E-2</v>
      </c>
      <c r="AY57" s="26">
        <f t="shared" si="22"/>
        <v>4.3116625067782112E-2</v>
      </c>
      <c r="AZ57" s="26">
        <f t="shared" si="23"/>
        <v>0</v>
      </c>
      <c r="BA57" s="26">
        <f t="shared" si="24"/>
        <v>0.38359625821244681</v>
      </c>
      <c r="BB57" s="26">
        <f t="shared" si="25"/>
        <v>1.8559838200410628E-2</v>
      </c>
      <c r="BC57" s="26">
        <f t="shared" si="26"/>
        <v>1.4540156020321285E-2</v>
      </c>
      <c r="BD57" s="26">
        <f t="shared" si="27"/>
        <v>0.73655492351660479</v>
      </c>
      <c r="BE57" s="26">
        <f t="shared" si="28"/>
        <v>0.7967616744769942</v>
      </c>
      <c r="BF57" s="26">
        <f t="shared" si="29"/>
        <v>2.4708826142518243E-2</v>
      </c>
      <c r="BG57" s="26">
        <f t="shared" si="30"/>
        <v>4.3034461717308362E-4</v>
      </c>
      <c r="BH57" s="26">
        <f t="shared" si="31"/>
        <v>0</v>
      </c>
      <c r="BI57" s="26">
        <f t="shared" si="32"/>
        <v>0</v>
      </c>
      <c r="BJ57" s="26">
        <f t="shared" si="33"/>
        <v>0</v>
      </c>
      <c r="BK57" s="25">
        <f t="shared" si="34"/>
        <v>4</v>
      </c>
      <c r="BL57" s="24">
        <f t="shared" si="35"/>
        <v>6</v>
      </c>
      <c r="BM57" s="26">
        <f t="shared" si="36"/>
        <v>2.0126117822165774</v>
      </c>
      <c r="BN57" s="26">
        <f t="shared" si="37"/>
        <v>0.8219008452366855</v>
      </c>
      <c r="BO57" s="22"/>
      <c r="BP57" s="23">
        <f t="shared" si="38"/>
        <v>0.64683217306725538</v>
      </c>
      <c r="BQ57" s="26">
        <f t="shared" si="39"/>
        <v>3.0504842851204472E-2</v>
      </c>
      <c r="BR57" s="26">
        <f t="shared" si="40"/>
        <v>1.261178221657764E-2</v>
      </c>
      <c r="BS57" s="26"/>
      <c r="BT57" s="26">
        <f t="shared" si="41"/>
        <v>1.261178221657764E-2</v>
      </c>
      <c r="BU57" s="26">
        <f t="shared" si="42"/>
        <v>0</v>
      </c>
      <c r="BV57" s="26">
        <f t="shared" si="43"/>
        <v>1.261178221657764E-2</v>
      </c>
      <c r="BW57" s="26">
        <f t="shared" si="44"/>
        <v>0</v>
      </c>
      <c r="BX57" s="26">
        <f t="shared" si="45"/>
        <v>0.78538411515540119</v>
      </c>
      <c r="BY57" s="26">
        <f t="shared" si="46"/>
        <v>0.17754541198460455</v>
      </c>
      <c r="BZ57" s="26">
        <f t="shared" si="47"/>
        <v>0.98815309157316111</v>
      </c>
      <c r="CA57" s="22"/>
      <c r="CB57" s="22">
        <f t="shared" si="48"/>
        <v>1.8559838200410628E-2</v>
      </c>
      <c r="CC57" s="22">
        <f t="shared" si="49"/>
        <v>6.1489879421076157E-3</v>
      </c>
      <c r="CD57" s="22">
        <f t="shared" si="50"/>
        <v>0</v>
      </c>
      <c r="CE57" s="22">
        <f t="shared" si="51"/>
        <v>0</v>
      </c>
      <c r="CF57" s="22">
        <f t="shared" si="52"/>
        <v>6.462794274470024E-3</v>
      </c>
      <c r="CG57" s="22">
        <f t="shared" si="53"/>
        <v>0.40442935920146739</v>
      </c>
      <c r="CH57" s="22">
        <f t="shared" si="54"/>
        <v>0.39161721644124159</v>
      </c>
      <c r="CI57" s="22">
        <f t="shared" si="55"/>
        <v>0.20395342435729102</v>
      </c>
      <c r="CJ57" s="22"/>
      <c r="CK57" s="22">
        <f t="shared" si="56"/>
        <v>0.40859303788824558</v>
      </c>
      <c r="CL57" s="22">
        <f t="shared" si="57"/>
        <v>0.37771798445092458</v>
      </c>
      <c r="CM57" s="22">
        <f t="shared" si="58"/>
        <v>0.21368897766082978</v>
      </c>
      <c r="CN57" s="1"/>
      <c r="CO57" s="26">
        <f t="shared" si="59"/>
        <v>0.87450066577896135</v>
      </c>
      <c r="CP57" s="26">
        <f t="shared" si="60"/>
        <v>5.4331497245868809E-3</v>
      </c>
      <c r="CQ57" s="26">
        <f t="shared" si="61"/>
        <v>1.9144762652020402E-2</v>
      </c>
      <c r="CR57" s="26">
        <f t="shared" si="62"/>
        <v>0</v>
      </c>
      <c r="CS57" s="26">
        <f t="shared" si="63"/>
        <v>0.17856645789839945</v>
      </c>
      <c r="CT57" s="26">
        <f t="shared" si="64"/>
        <v>6.4561601353256282E-3</v>
      </c>
      <c r="CU57" s="26">
        <f t="shared" si="65"/>
        <v>0.32704714640198512</v>
      </c>
      <c r="CV57" s="26">
        <f t="shared" si="66"/>
        <v>0.35378031383737518</v>
      </c>
      <c r="CW57" s="26">
        <f t="shared" si="67"/>
        <v>1.0971281058405939E-2</v>
      </c>
      <c r="CX57" s="26">
        <f t="shared" si="68"/>
        <v>1.9108280254777067E-4</v>
      </c>
      <c r="CY57" s="26">
        <f t="shared" si="69"/>
        <v>0</v>
      </c>
      <c r="CZ57" s="26">
        <f t="shared" si="70"/>
        <v>0</v>
      </c>
      <c r="DA57" s="26">
        <f t="shared" si="71"/>
        <v>0</v>
      </c>
      <c r="DB57" s="26">
        <f t="shared" si="72"/>
        <v>1.7760910202896076</v>
      </c>
      <c r="DC57" s="26">
        <f t="shared" si="73"/>
        <v>2.660016035188689</v>
      </c>
      <c r="DD57" s="26">
        <f t="shared" si="74"/>
        <v>2.2521368298724713</v>
      </c>
      <c r="DE57" s="26">
        <f t="shared" si="75"/>
        <v>5.990720080899794</v>
      </c>
      <c r="DF57" s="1"/>
      <c r="DG57" s="22">
        <v>20.808359392557566</v>
      </c>
      <c r="DH57" s="14">
        <v>2691.1712457092804</v>
      </c>
      <c r="DI57" s="14">
        <v>78129.388835292149</v>
      </c>
      <c r="DJ57" s="14">
        <v>5969.6403970483871</v>
      </c>
      <c r="DK57" s="14">
        <v>246763.1263548772</v>
      </c>
      <c r="DL57" s="14">
        <v>140025.95776275484</v>
      </c>
      <c r="DM57" s="96">
        <v>171.21083269099432</v>
      </c>
      <c r="DN57" s="14">
        <v>1739.7896779082739</v>
      </c>
      <c r="DO57" s="96">
        <v>228.22147065917537</v>
      </c>
      <c r="DP57" s="22">
        <v>4.5319752082732547</v>
      </c>
      <c r="DQ57" s="14">
        <v>3592.1275062528598</v>
      </c>
      <c r="DR57" s="22">
        <v>49.683020256819709</v>
      </c>
      <c r="DS57" s="22">
        <v>8.0801386496041161</v>
      </c>
      <c r="DT57" s="22">
        <v>1.1119119323015942</v>
      </c>
      <c r="DU57" s="22">
        <v>121.44167036075061</v>
      </c>
      <c r="DV57" s="22">
        <v>3.8688315434057681</v>
      </c>
      <c r="DW57" s="22">
        <v>7.2617658664054403</v>
      </c>
      <c r="DX57" s="22">
        <v>8.5541731953280689</v>
      </c>
      <c r="DY57" s="22">
        <v>128.20503492001961</v>
      </c>
      <c r="DZ57" s="22">
        <v>54.505212089718775</v>
      </c>
      <c r="EA57" s="22">
        <v>0.14425023691896197</v>
      </c>
      <c r="EB57" s="22">
        <v>0.24854359789492927</v>
      </c>
      <c r="EC57" s="22">
        <v>4.8639226774142887</v>
      </c>
      <c r="ED57" s="22">
        <v>9.4044465020060137</v>
      </c>
      <c r="EE57" s="22">
        <v>39.07067387300475</v>
      </c>
      <c r="EF57" s="22">
        <v>7.6154674133530378</v>
      </c>
      <c r="EG57" s="22">
        <v>44.753345788362516</v>
      </c>
      <c r="EH57" s="22">
        <v>16.140427698095291</v>
      </c>
      <c r="EI57" s="22">
        <v>1.0781384294306655</v>
      </c>
      <c r="EJ57" s="22">
        <v>20.696982787894637</v>
      </c>
      <c r="EK57" s="22">
        <v>3.5791425595404691</v>
      </c>
      <c r="EL57" s="22">
        <v>25.304786494460132</v>
      </c>
      <c r="EM57" s="22">
        <v>5.1447404807880819</v>
      </c>
      <c r="EN57" s="22">
        <v>14.658575171490584</v>
      </c>
      <c r="EO57" s="22">
        <v>2.1009898037837815</v>
      </c>
      <c r="EP57" s="22">
        <v>13.317288528776237</v>
      </c>
      <c r="EQ57" s="22">
        <v>2.0381063311376955</v>
      </c>
      <c r="ER57" s="22">
        <v>2.2059923091161404</v>
      </c>
      <c r="ES57" s="22">
        <v>2.1212452333566754E-2</v>
      </c>
      <c r="ET57" s="22">
        <v>0.56322784468632148</v>
      </c>
      <c r="EU57" s="22">
        <v>0.76934519194023598</v>
      </c>
      <c r="EV57" s="22">
        <v>0.18938096601416105</v>
      </c>
      <c r="EW57" s="22">
        <f>(EI57/0.05883)/SQRT((EH57/0.1536)*(EJ57/0.2069))</f>
        <v>0.17874771246631893</v>
      </c>
      <c r="EX57" s="22"/>
      <c r="EY57" s="22"/>
      <c r="EZ57" s="22"/>
      <c r="FA57" s="22"/>
      <c r="FB57" s="22"/>
      <c r="FC57" s="22"/>
      <c r="FD57" s="22"/>
      <c r="FE57" s="22"/>
      <c r="FF57" s="22"/>
      <c r="FG57" s="22"/>
      <c r="FH57" s="22"/>
      <c r="FI57" s="22">
        <f>-0.50354-2.23025*BP57+ N("eqn 18 Mg# R2 0.28 best")</f>
        <v>-1.9461374539832463</v>
      </c>
      <c r="FJ57" s="22"/>
      <c r="FK57" s="22">
        <f xml:space="preserve"> -0.03692  +  0.931085 + FX57   + N("488 NN Dy")</f>
        <v>0.8941650000000001</v>
      </c>
      <c r="FL57" s="22">
        <f>-0.48986  +   0    +   (1.071278 + 0) * GD57  +N("eqn 119 LnD Hf  (which has R2 of 0.51 for TS")</f>
        <v>-0.48986000000000002</v>
      </c>
      <c r="FM57" s="22"/>
      <c r="FN57" s="22"/>
      <c r="FO57" s="22">
        <f>3.94011-11.9214*BP57</f>
        <v>-3.7710350680039788</v>
      </c>
      <c r="FP57" s="22">
        <f xml:space="preserve">  -0.49862 +   1.013256 * FQ57 + N("294 NN")</f>
        <v>-0.49862000000000001</v>
      </c>
      <c r="FQ57" s="46"/>
      <c r="FR57" s="46"/>
      <c r="FS57" s="46"/>
      <c r="FT57" s="46"/>
      <c r="FU57" s="46"/>
      <c r="FV57" s="46"/>
      <c r="FW57" s="46"/>
      <c r="FX57" s="46"/>
      <c r="FY57" s="46"/>
      <c r="FZ57" s="46"/>
      <c r="GA57" s="46"/>
      <c r="GB57" s="46"/>
      <c r="GC57" s="46"/>
      <c r="GD57" s="46"/>
      <c r="GE57" s="46"/>
      <c r="GF57" s="46"/>
      <c r="GG57" s="46"/>
      <c r="GH57" s="46"/>
    </row>
    <row r="58" spans="1:190" x14ac:dyDescent="0.25">
      <c r="A58" s="5" t="s">
        <v>92</v>
      </c>
      <c r="B58" s="1">
        <v>1012</v>
      </c>
      <c r="C58" s="98" t="s">
        <v>255</v>
      </c>
      <c r="D58" s="98" t="s">
        <v>106</v>
      </c>
      <c r="E58" s="1">
        <v>170</v>
      </c>
      <c r="F58" s="22">
        <v>51.78</v>
      </c>
      <c r="G58" s="22">
        <v>0.67900000000000005</v>
      </c>
      <c r="H58" s="22">
        <v>2.46</v>
      </c>
      <c r="I58" s="22">
        <v>0</v>
      </c>
      <c r="J58" s="22">
        <v>8.64</v>
      </c>
      <c r="K58" s="22">
        <v>0.26900000000000002</v>
      </c>
      <c r="L58" s="22">
        <v>15.59</v>
      </c>
      <c r="M58" s="22">
        <v>20.52</v>
      </c>
      <c r="N58" s="22">
        <v>0.309</v>
      </c>
      <c r="O58" s="22">
        <v>1.2999999999999999E-2</v>
      </c>
      <c r="P58" s="22">
        <v>0</v>
      </c>
      <c r="Q58" s="22"/>
      <c r="R58" s="22"/>
      <c r="S58" s="22">
        <f t="shared" si="0"/>
        <v>100.26</v>
      </c>
      <c r="T58" s="3"/>
      <c r="U58" s="22">
        <f t="shared" si="1"/>
        <v>6.704378198292682</v>
      </c>
      <c r="V58" s="22">
        <f t="shared" si="2"/>
        <v>2.151056508237343</v>
      </c>
      <c r="W58" s="22">
        <f t="shared" si="3"/>
        <v>100.47543470653002</v>
      </c>
      <c r="X58" s="1"/>
      <c r="Y58" s="1"/>
      <c r="Z58" s="1"/>
      <c r="AA58" s="1" t="s">
        <v>185</v>
      </c>
      <c r="AC58" s="1">
        <v>6</v>
      </c>
      <c r="AD58" s="1">
        <v>4</v>
      </c>
      <c r="AE58" s="1"/>
      <c r="AF58" s="26">
        <f t="shared" si="4"/>
        <v>1.9187746006143114</v>
      </c>
      <c r="AG58" s="26">
        <f t="shared" si="5"/>
        <v>1.8924462656067054E-2</v>
      </c>
      <c r="AH58" s="26">
        <f t="shared" si="6"/>
        <v>0.10743038071870642</v>
      </c>
      <c r="AI58" s="26">
        <f t="shared" si="7"/>
        <v>0</v>
      </c>
      <c r="AJ58" s="26">
        <f t="shared" si="8"/>
        <v>0.26771876249697379</v>
      </c>
      <c r="AK58" s="26">
        <f t="shared" si="9"/>
        <v>8.4421474785268368E-3</v>
      </c>
      <c r="AL58" s="26">
        <f t="shared" si="10"/>
        <v>0.86125728391664347</v>
      </c>
      <c r="AM58" s="26">
        <f t="shared" si="11"/>
        <v>0.81463148319976753</v>
      </c>
      <c r="AN58" s="26">
        <f t="shared" si="12"/>
        <v>2.2198761336508405E-2</v>
      </c>
      <c r="AO58" s="26">
        <f t="shared" si="13"/>
        <v>6.1448924203403481E-4</v>
      </c>
      <c r="AP58" s="26">
        <f t="shared" si="14"/>
        <v>0</v>
      </c>
      <c r="AQ58" s="26">
        <f t="shared" si="15"/>
        <v>0</v>
      </c>
      <c r="AR58" s="26">
        <f t="shared" si="16"/>
        <v>0</v>
      </c>
      <c r="AS58" s="26">
        <f t="shared" si="17"/>
        <v>4.0199923716595389</v>
      </c>
      <c r="AT58" s="26">
        <f t="shared" si="18"/>
        <v>2.0262049813330179</v>
      </c>
      <c r="AU58" s="26">
        <f t="shared" si="19"/>
        <v>0.83744473377830997</v>
      </c>
      <c r="AV58" s="47"/>
      <c r="AW58" s="26">
        <f t="shared" si="20"/>
        <v>1.9092320812760153</v>
      </c>
      <c r="AX58" s="26">
        <f t="shared" si="21"/>
        <v>1.8830346832976335E-2</v>
      </c>
      <c r="AY58" s="26">
        <f t="shared" si="22"/>
        <v>0.10689610405838344</v>
      </c>
      <c r="AZ58" s="26">
        <f t="shared" si="23"/>
        <v>0</v>
      </c>
      <c r="BA58" s="26">
        <f t="shared" si="24"/>
        <v>0.20670849923289497</v>
      </c>
      <c r="BB58" s="26">
        <f t="shared" si="25"/>
        <v>5.967883461814294E-2</v>
      </c>
      <c r="BC58" s="26">
        <f t="shared" si="26"/>
        <v>8.400162684927423E-3</v>
      </c>
      <c r="BD58" s="26">
        <f t="shared" si="27"/>
        <v>0.85697404799909915</v>
      </c>
      <c r="BE58" s="26">
        <f t="shared" si="28"/>
        <v>0.81058012840304994</v>
      </c>
      <c r="BF58" s="26">
        <f t="shared" si="29"/>
        <v>2.2088361652630981E-2</v>
      </c>
      <c r="BG58" s="26">
        <f t="shared" si="30"/>
        <v>6.1143324187987007E-4</v>
      </c>
      <c r="BH58" s="26">
        <f t="shared" si="31"/>
        <v>0</v>
      </c>
      <c r="BI58" s="26">
        <f t="shared" si="32"/>
        <v>0</v>
      </c>
      <c r="BJ58" s="26">
        <f t="shared" si="33"/>
        <v>0</v>
      </c>
      <c r="BK58" s="25">
        <f t="shared" si="34"/>
        <v>4</v>
      </c>
      <c r="BL58" s="24">
        <f t="shared" si="35"/>
        <v>5.9999999999999991</v>
      </c>
      <c r="BM58" s="26">
        <f t="shared" si="36"/>
        <v>2.0161281853343986</v>
      </c>
      <c r="BN58" s="26">
        <f t="shared" si="37"/>
        <v>0.83327992329756073</v>
      </c>
      <c r="BO58" s="22"/>
      <c r="BP58" s="23">
        <f t="shared" si="38"/>
        <v>0.76286586119570254</v>
      </c>
      <c r="BQ58" s="26">
        <f t="shared" si="39"/>
        <v>9.0767918723984709E-2</v>
      </c>
      <c r="BR58" s="26">
        <f t="shared" si="40"/>
        <v>1.6128185334398734E-2</v>
      </c>
      <c r="BS58" s="26"/>
      <c r="BT58" s="26">
        <f t="shared" si="41"/>
        <v>1.6128185334398734E-2</v>
      </c>
      <c r="BU58" s="26">
        <f t="shared" si="42"/>
        <v>0</v>
      </c>
      <c r="BV58" s="26">
        <f t="shared" si="43"/>
        <v>1.6128185334398734E-2</v>
      </c>
      <c r="BW58" s="26">
        <f t="shared" si="44"/>
        <v>0</v>
      </c>
      <c r="BX58" s="26">
        <f t="shared" si="45"/>
        <v>0.79850329786536878</v>
      </c>
      <c r="BY58" s="26">
        <f t="shared" si="46"/>
        <v>0.16523637427412419</v>
      </c>
      <c r="BZ58" s="26">
        <f t="shared" si="47"/>
        <v>0.99599604280829046</v>
      </c>
      <c r="CA58" s="22"/>
      <c r="CB58" s="22">
        <f t="shared" si="48"/>
        <v>2.2088361652630981E-2</v>
      </c>
      <c r="CC58" s="22">
        <f t="shared" si="49"/>
        <v>0</v>
      </c>
      <c r="CD58" s="22">
        <f t="shared" si="50"/>
        <v>3.7590472965511962E-2</v>
      </c>
      <c r="CE58" s="22">
        <f t="shared" si="51"/>
        <v>0</v>
      </c>
      <c r="CF58" s="22">
        <f t="shared" si="52"/>
        <v>1.6128185334398734E-2</v>
      </c>
      <c r="CG58" s="22">
        <f t="shared" si="53"/>
        <v>0.38947491587788508</v>
      </c>
      <c r="CH58" s="22">
        <f t="shared" si="54"/>
        <v>0.49187998252546872</v>
      </c>
      <c r="CI58" s="22">
        <f t="shared" si="55"/>
        <v>0.11864510159664617</v>
      </c>
      <c r="CJ58" s="22"/>
      <c r="CK58" s="22">
        <f t="shared" si="56"/>
        <v>0.41732108191702072</v>
      </c>
      <c r="CL58" s="22">
        <f t="shared" si="57"/>
        <v>0.44120664244555058</v>
      </c>
      <c r="CM58" s="22">
        <f t="shared" si="58"/>
        <v>0.14147227563742873</v>
      </c>
      <c r="CN58" s="1"/>
      <c r="CO58" s="26">
        <f t="shared" si="59"/>
        <v>0.86185086551264989</v>
      </c>
      <c r="CP58" s="26">
        <f t="shared" si="60"/>
        <v>8.5002503755633469E-3</v>
      </c>
      <c r="CQ58" s="26">
        <f t="shared" si="61"/>
        <v>4.8254217340133389E-2</v>
      </c>
      <c r="CR58" s="26">
        <f t="shared" si="62"/>
        <v>0</v>
      </c>
      <c r="CS58" s="26">
        <f t="shared" si="63"/>
        <v>0.12025052192066808</v>
      </c>
      <c r="CT58" s="26">
        <f t="shared" si="64"/>
        <v>3.7919368480405979E-3</v>
      </c>
      <c r="CU58" s="26">
        <f t="shared" si="65"/>
        <v>0.38684863523573204</v>
      </c>
      <c r="CV58" s="26">
        <f t="shared" si="66"/>
        <v>0.36590584878744653</v>
      </c>
      <c r="CW58" s="26">
        <f t="shared" si="67"/>
        <v>9.9709583736689259E-3</v>
      </c>
      <c r="CX58" s="26">
        <f t="shared" si="68"/>
        <v>2.7600849256900208E-4</v>
      </c>
      <c r="CY58" s="26">
        <f t="shared" si="69"/>
        <v>0</v>
      </c>
      <c r="CZ58" s="26">
        <f t="shared" si="70"/>
        <v>0</v>
      </c>
      <c r="DA58" s="26">
        <f t="shared" si="71"/>
        <v>0</v>
      </c>
      <c r="DB58" s="26">
        <f t="shared" si="72"/>
        <v>1.8056492428864717</v>
      </c>
      <c r="DC58" s="26">
        <f t="shared" si="73"/>
        <v>2.6950039840116329</v>
      </c>
      <c r="DD58" s="26">
        <f t="shared" si="74"/>
        <v>2.2152696686570681</v>
      </c>
      <c r="DE58" s="26">
        <f t="shared" si="75"/>
        <v>5.9701605826909283</v>
      </c>
      <c r="DF58" s="1"/>
      <c r="DG58" s="22">
        <v>24.080796662323845</v>
      </c>
      <c r="DH58" s="14">
        <v>1916.558042982284</v>
      </c>
      <c r="DI58" s="14">
        <v>92697.080624031063</v>
      </c>
      <c r="DJ58" s="14">
        <v>15671.165682203648</v>
      </c>
      <c r="DK58" s="14">
        <v>239879.00704797893</v>
      </c>
      <c r="DL58" s="14">
        <v>149979.1510312774</v>
      </c>
      <c r="DM58" s="96">
        <v>128.85483541092816</v>
      </c>
      <c r="DN58" s="14">
        <v>3072.1470555379269</v>
      </c>
      <c r="DO58" s="96">
        <v>376.77225618849951</v>
      </c>
      <c r="DP58" s="22">
        <v>327.5916931358928</v>
      </c>
      <c r="DQ58" s="14">
        <v>1715.6637099226236</v>
      </c>
      <c r="DR58" s="22">
        <v>39.770122203048757</v>
      </c>
      <c r="DS58" s="22">
        <v>67.517932201206975</v>
      </c>
      <c r="DT58" s="22">
        <v>0</v>
      </c>
      <c r="DU58" s="22">
        <v>48.268820827442994</v>
      </c>
      <c r="DV58" s="22">
        <v>2.0453032318344135</v>
      </c>
      <c r="DW58" s="22">
        <v>15.405722620595936</v>
      </c>
      <c r="DX58" s="22">
        <v>14.044855791195214</v>
      </c>
      <c r="DY58" s="22">
        <v>18.058642774319591</v>
      </c>
      <c r="DZ58" s="22">
        <v>18.632426791426131</v>
      </c>
      <c r="EA58" s="22">
        <v>0</v>
      </c>
      <c r="EB58" s="22">
        <v>8.8574960765260197E-2</v>
      </c>
      <c r="EC58" s="22">
        <v>3.0507827121244193</v>
      </c>
      <c r="ED58" s="22">
        <v>0.99888096720374098</v>
      </c>
      <c r="EE58" s="22">
        <v>3.9718152831009332</v>
      </c>
      <c r="EF58" s="22">
        <v>0.74446982202163559</v>
      </c>
      <c r="EG58" s="22">
        <v>4.637456906949212</v>
      </c>
      <c r="EH58" s="22">
        <v>2.089181525277203</v>
      </c>
      <c r="EI58" s="22">
        <v>0.51775196328308548</v>
      </c>
      <c r="EJ58" s="22">
        <v>2.78519951227472</v>
      </c>
      <c r="EK58" s="22">
        <v>0.53344400363344413</v>
      </c>
      <c r="EL58" s="22">
        <v>3.4427059358000283</v>
      </c>
      <c r="EM58" s="22">
        <v>0.769443979630834</v>
      </c>
      <c r="EN58" s="22">
        <v>2.0483606717577194</v>
      </c>
      <c r="EO58" s="22">
        <v>0.2769894676424729</v>
      </c>
      <c r="EP58" s="22">
        <v>1.9321689055324578</v>
      </c>
      <c r="EQ58" s="22">
        <v>0.27378517760635718</v>
      </c>
      <c r="ER58" s="22">
        <v>0.93830670488731649</v>
      </c>
      <c r="ES58" s="22">
        <v>3.1165456165013341E-2</v>
      </c>
      <c r="ET58" s="22">
        <v>0.1347893879221069</v>
      </c>
      <c r="EU58" s="22">
        <v>0.1245333951948286</v>
      </c>
      <c r="EV58" s="22">
        <v>4.1981410587400306E-2</v>
      </c>
      <c r="EW58" s="22">
        <f>(EI58/0.05883)/SQRT((EH58/0.1536)*(EJ58/0.2069))</f>
        <v>0.65040296977776801</v>
      </c>
      <c r="EX58" s="22"/>
      <c r="EY58" s="22"/>
      <c r="EZ58" s="22"/>
      <c r="FA58" s="22"/>
      <c r="FB58" s="22"/>
      <c r="FC58" s="22"/>
      <c r="FD58" s="22"/>
      <c r="FE58" s="22"/>
      <c r="FF58" s="22"/>
      <c r="FG58" s="22"/>
      <c r="FH58" s="22"/>
      <c r="FI58" s="22">
        <f>-0.50354-2.23025*BP58+ N("eqn 18 Mg# R2 0.28 best")</f>
        <v>-2.2049215869317154</v>
      </c>
      <c r="FJ58" s="22"/>
      <c r="FK58" s="22">
        <f xml:space="preserve"> -0.03692  +  0.931085 + FX58   + N("488 NN Dy")</f>
        <v>0.8941650000000001</v>
      </c>
      <c r="FL58" s="22">
        <f>-0.48986  +   0    +   (1.071278 + 0) * GD58  +N("eqn 119 LnD Hf  (which has R2 of 0.51 for TS")</f>
        <v>-0.48986000000000002</v>
      </c>
      <c r="FM58" s="22"/>
      <c r="FN58" s="22"/>
      <c r="FO58" s="22">
        <f>3.94011-11.9214*BP58</f>
        <v>-5.1543190776584487</v>
      </c>
      <c r="FP58" s="22">
        <f xml:space="preserve">  -0.49862 +   1.013256 * FQ58 + N("294 NN")</f>
        <v>-0.49862000000000001</v>
      </c>
      <c r="FQ58" s="46"/>
      <c r="FR58" s="46"/>
      <c r="FS58" s="46"/>
      <c r="FT58" s="46"/>
      <c r="FU58" s="46"/>
      <c r="FV58" s="46"/>
      <c r="FW58" s="46"/>
      <c r="FX58" s="46"/>
      <c r="FY58" s="46"/>
      <c r="FZ58" s="46"/>
      <c r="GA58" s="46"/>
      <c r="GB58" s="46"/>
      <c r="GC58" s="46"/>
      <c r="GD58" s="46"/>
      <c r="GE58" s="46"/>
      <c r="GF58" s="46"/>
      <c r="GG58" s="46"/>
      <c r="GH58" s="46"/>
    </row>
    <row r="59" spans="1:190" x14ac:dyDescent="0.25">
      <c r="A59" s="5" t="s">
        <v>92</v>
      </c>
      <c r="B59" s="1">
        <v>1018</v>
      </c>
      <c r="C59" s="98" t="s">
        <v>255</v>
      </c>
      <c r="D59" s="98" t="s">
        <v>106</v>
      </c>
      <c r="E59" s="1">
        <v>176</v>
      </c>
      <c r="F59" s="22">
        <v>51.68</v>
      </c>
      <c r="G59" s="22">
        <v>0.56100000000000005</v>
      </c>
      <c r="H59" s="22">
        <v>2.89</v>
      </c>
      <c r="I59" s="22">
        <v>8.7999999999999995E-2</v>
      </c>
      <c r="J59" s="22">
        <v>7.14</v>
      </c>
      <c r="K59" s="22">
        <v>0.156</v>
      </c>
      <c r="L59" s="22">
        <v>15.31</v>
      </c>
      <c r="M59" s="22">
        <v>22.02</v>
      </c>
      <c r="N59" s="22">
        <v>0.255</v>
      </c>
      <c r="O59" s="22">
        <v>0</v>
      </c>
      <c r="P59" s="22">
        <v>0</v>
      </c>
      <c r="Q59" s="22"/>
      <c r="R59" s="22"/>
      <c r="S59" s="22">
        <f t="shared" si="0"/>
        <v>100.1</v>
      </c>
      <c r="T59" s="3"/>
      <c r="U59" s="22">
        <f t="shared" si="1"/>
        <v>5.4605563769392855</v>
      </c>
      <c r="V59" s="22">
        <f t="shared" si="2"/>
        <v>1.8663656983073724</v>
      </c>
      <c r="W59" s="22">
        <f t="shared" si="3"/>
        <v>100.28692207524666</v>
      </c>
      <c r="X59" s="1"/>
      <c r="Y59" s="1">
        <v>2</v>
      </c>
      <c r="Z59" s="1"/>
      <c r="AA59" s="1" t="s">
        <v>185</v>
      </c>
      <c r="AC59" s="1">
        <v>6</v>
      </c>
      <c r="AD59" s="1">
        <v>4</v>
      </c>
      <c r="AE59" s="1"/>
      <c r="AF59" s="26">
        <f t="shared" si="4"/>
        <v>1.9119288104387113</v>
      </c>
      <c r="AG59" s="26">
        <f t="shared" si="5"/>
        <v>1.5610037328724201E-2</v>
      </c>
      <c r="AH59" s="26">
        <f t="shared" si="6"/>
        <v>0.12600191572996133</v>
      </c>
      <c r="AI59" s="26">
        <f t="shared" si="7"/>
        <v>2.5738118102578756E-3</v>
      </c>
      <c r="AJ59" s="26">
        <f t="shared" si="8"/>
        <v>0.22087704112682793</v>
      </c>
      <c r="AK59" s="26">
        <f t="shared" si="9"/>
        <v>4.8877901378253999E-3</v>
      </c>
      <c r="AL59" s="26">
        <f t="shared" si="10"/>
        <v>0.84440205409699398</v>
      </c>
      <c r="AM59" s="26">
        <f t="shared" si="11"/>
        <v>0.87274716395864094</v>
      </c>
      <c r="AN59" s="26">
        <f t="shared" si="12"/>
        <v>1.8289327669020642E-2</v>
      </c>
      <c r="AO59" s="26">
        <f t="shared" si="13"/>
        <v>0</v>
      </c>
      <c r="AP59" s="26">
        <f t="shared" si="14"/>
        <v>0</v>
      </c>
      <c r="AQ59" s="26">
        <f t="shared" si="15"/>
        <v>0</v>
      </c>
      <c r="AR59" s="26">
        <f t="shared" si="16"/>
        <v>0</v>
      </c>
      <c r="AS59" s="26">
        <f t="shared" si="17"/>
        <v>4.0173179522969642</v>
      </c>
      <c r="AT59" s="26">
        <f t="shared" si="18"/>
        <v>2.0379307261686725</v>
      </c>
      <c r="AU59" s="26">
        <f t="shared" si="19"/>
        <v>0.89103649162766163</v>
      </c>
      <c r="AV59" s="47"/>
      <c r="AW59" s="26">
        <f t="shared" si="20"/>
        <v>1.9036868210498861</v>
      </c>
      <c r="AX59" s="26">
        <f t="shared" si="21"/>
        <v>1.5542745198745267E-2</v>
      </c>
      <c r="AY59" s="26">
        <f t="shared" si="22"/>
        <v>0.12545874359575426</v>
      </c>
      <c r="AZ59" s="26">
        <f t="shared" si="23"/>
        <v>2.5627165594759647E-3</v>
      </c>
      <c r="BA59" s="26">
        <f t="shared" si="24"/>
        <v>0.16819498604968647</v>
      </c>
      <c r="BB59" s="26">
        <f t="shared" si="25"/>
        <v>5.1729892936342559E-2</v>
      </c>
      <c r="BC59" s="26">
        <f t="shared" si="26"/>
        <v>4.8667197327816481E-3</v>
      </c>
      <c r="BD59" s="26">
        <f t="shared" si="27"/>
        <v>0.84076198510918854</v>
      </c>
      <c r="BE59" s="26">
        <f t="shared" si="28"/>
        <v>0.86898490417930119</v>
      </c>
      <c r="BF59" s="26">
        <f t="shared" si="29"/>
        <v>1.821048558883763E-2</v>
      </c>
      <c r="BG59" s="26">
        <f t="shared" si="30"/>
        <v>0</v>
      </c>
      <c r="BH59" s="26">
        <f t="shared" si="31"/>
        <v>0</v>
      </c>
      <c r="BI59" s="26">
        <f t="shared" si="32"/>
        <v>0</v>
      </c>
      <c r="BJ59" s="26">
        <f t="shared" si="33"/>
        <v>0</v>
      </c>
      <c r="BK59" s="25">
        <f t="shared" si="34"/>
        <v>3.9999999999999991</v>
      </c>
      <c r="BL59" s="24">
        <f t="shared" si="35"/>
        <v>5.9999999999999991</v>
      </c>
      <c r="BM59" s="26">
        <f t="shared" si="36"/>
        <v>2.0291455646456402</v>
      </c>
      <c r="BN59" s="26">
        <f t="shared" si="37"/>
        <v>0.88719538976813883</v>
      </c>
      <c r="BO59" s="22"/>
      <c r="BP59" s="23">
        <f t="shared" si="38"/>
        <v>0.79265805354002528</v>
      </c>
      <c r="BQ59" s="26">
        <f t="shared" si="39"/>
        <v>9.6313178950113931E-2</v>
      </c>
      <c r="BR59" s="26">
        <f t="shared" si="40"/>
        <v>2.9145564645640332E-2</v>
      </c>
      <c r="BS59" s="26"/>
      <c r="BT59" s="26">
        <f t="shared" si="41"/>
        <v>1.8289327669020642E-2</v>
      </c>
      <c r="BU59" s="26">
        <f t="shared" si="42"/>
        <v>1.0935079056802702E-2</v>
      </c>
      <c r="BV59" s="26">
        <f t="shared" si="43"/>
        <v>2.3678025117238981E-2</v>
      </c>
      <c r="BW59" s="26">
        <f t="shared" si="44"/>
        <v>1.2869059051289378E-3</v>
      </c>
      <c r="BX59" s="26">
        <f t="shared" si="45"/>
        <v>0.8368471538794704</v>
      </c>
      <c r="BY59" s="26">
        <f t="shared" si="46"/>
        <v>0.11421597067217582</v>
      </c>
      <c r="BZ59" s="26">
        <f t="shared" si="47"/>
        <v>1.0052524622998376</v>
      </c>
      <c r="CA59" s="22"/>
      <c r="CB59" s="22">
        <f t="shared" si="48"/>
        <v>1.821048558883763E-2</v>
      </c>
      <c r="CC59" s="22">
        <f t="shared" si="49"/>
        <v>0</v>
      </c>
      <c r="CD59" s="22">
        <f t="shared" si="50"/>
        <v>3.3519407347504929E-2</v>
      </c>
      <c r="CE59" s="22">
        <f t="shared" si="51"/>
        <v>2.5627165594759647E-3</v>
      </c>
      <c r="CF59" s="22">
        <f t="shared" si="52"/>
        <v>2.9145564645640332E-2</v>
      </c>
      <c r="CG59" s="22">
        <f t="shared" si="53"/>
        <v>0.41098385060775877</v>
      </c>
      <c r="CH59" s="22">
        <f t="shared" si="54"/>
        <v>0.49082607205298862</v>
      </c>
      <c r="CI59" s="22">
        <f t="shared" si="55"/>
        <v>9.8190077339252668E-2</v>
      </c>
      <c r="CJ59" s="22"/>
      <c r="CK59" s="22">
        <f t="shared" si="56"/>
        <v>0.4491949421354815</v>
      </c>
      <c r="CL59" s="22">
        <f t="shared" si="57"/>
        <v>0.43460597466594098</v>
      </c>
      <c r="CM59" s="22">
        <f t="shared" si="58"/>
        <v>0.11619908319857754</v>
      </c>
      <c r="CN59" s="1"/>
      <c r="CO59" s="26">
        <f t="shared" si="59"/>
        <v>0.86018641810918772</v>
      </c>
      <c r="CP59" s="26">
        <f t="shared" si="60"/>
        <v>7.0230345518277424E-3</v>
      </c>
      <c r="CQ59" s="26">
        <f t="shared" si="61"/>
        <v>5.6688897606904674E-2</v>
      </c>
      <c r="CR59" s="26">
        <f t="shared" si="62"/>
        <v>1.1579709191394168E-3</v>
      </c>
      <c r="CS59" s="26">
        <f t="shared" si="63"/>
        <v>9.9373695198329851E-2</v>
      </c>
      <c r="CT59" s="26">
        <f t="shared" si="64"/>
        <v>2.199041443473358E-3</v>
      </c>
      <c r="CU59" s="26">
        <f t="shared" si="65"/>
        <v>0.37990074441687349</v>
      </c>
      <c r="CV59" s="26">
        <f t="shared" si="66"/>
        <v>0.39265335235378029</v>
      </c>
      <c r="CW59" s="26">
        <f t="shared" si="67"/>
        <v>8.2284607938044544E-3</v>
      </c>
      <c r="CX59" s="26">
        <f t="shared" si="68"/>
        <v>0</v>
      </c>
      <c r="CY59" s="26">
        <f t="shared" si="69"/>
        <v>0</v>
      </c>
      <c r="CZ59" s="26">
        <f t="shared" si="70"/>
        <v>0</v>
      </c>
      <c r="DA59" s="26">
        <f t="shared" si="71"/>
        <v>0</v>
      </c>
      <c r="DB59" s="26">
        <f t="shared" si="72"/>
        <v>1.8074116153933211</v>
      </c>
      <c r="DC59" s="26">
        <f t="shared" si="73"/>
        <v>2.6994302719204568</v>
      </c>
      <c r="DD59" s="26">
        <f t="shared" si="74"/>
        <v>2.2131096015610905</v>
      </c>
      <c r="DE59" s="26">
        <f t="shared" si="75"/>
        <v>5.9741350535318283</v>
      </c>
      <c r="DF59" s="1"/>
      <c r="DG59" s="22">
        <v>9.0502827681643954</v>
      </c>
      <c r="DH59" s="14">
        <v>1800.5593606104655</v>
      </c>
      <c r="DI59" s="14">
        <v>95018.348255502453</v>
      </c>
      <c r="DJ59" s="14">
        <v>15813.17940501299</v>
      </c>
      <c r="DK59" s="14">
        <v>244172.6512843844</v>
      </c>
      <c r="DL59" s="14">
        <v>153420.42908265072</v>
      </c>
      <c r="DM59" s="96">
        <v>147.55472566204236</v>
      </c>
      <c r="DN59" s="14">
        <v>3453.7825563784454</v>
      </c>
      <c r="DO59" s="96">
        <v>396.1379824144397</v>
      </c>
      <c r="DP59" s="22">
        <v>146.54709122615054</v>
      </c>
      <c r="DQ59" s="14">
        <v>1579.2825694990458</v>
      </c>
      <c r="DR59" s="22">
        <v>42.937420103959369</v>
      </c>
      <c r="DS59" s="22">
        <v>43.870772449323191</v>
      </c>
      <c r="DT59" s="22">
        <v>1.6572652340792009</v>
      </c>
      <c r="DU59" s="22">
        <v>38.470093679833418</v>
      </c>
      <c r="DV59" s="22">
        <v>0.15312269839538187</v>
      </c>
      <c r="DW59" s="22">
        <v>17.078333545584083</v>
      </c>
      <c r="DX59" s="22">
        <v>13.443967059991969</v>
      </c>
      <c r="DY59" s="22">
        <v>16.09755988057146</v>
      </c>
      <c r="DZ59" s="22">
        <v>12.326907466890068</v>
      </c>
      <c r="EA59" s="22">
        <v>0</v>
      </c>
      <c r="EB59" s="22">
        <v>0</v>
      </c>
      <c r="EC59" s="22">
        <v>0.42432317680113008</v>
      </c>
      <c r="ED59" s="22">
        <v>0.67410432081210747</v>
      </c>
      <c r="EE59" s="22">
        <v>2.5435646276288977</v>
      </c>
      <c r="EF59" s="22">
        <v>0.60108366779898559</v>
      </c>
      <c r="EG59" s="22">
        <v>4.2526108685928392</v>
      </c>
      <c r="EH59" s="22">
        <v>1.4125387881622868</v>
      </c>
      <c r="EI59" s="22">
        <v>0.49408403548835655</v>
      </c>
      <c r="EJ59" s="22">
        <v>2.3287217935293492</v>
      </c>
      <c r="EK59" s="22">
        <v>0.41823771556438666</v>
      </c>
      <c r="EL59" s="22">
        <v>3.1361469997356415</v>
      </c>
      <c r="EM59" s="22">
        <v>0.5960182194125877</v>
      </c>
      <c r="EN59" s="22">
        <v>1.9546242308267068</v>
      </c>
      <c r="EO59" s="22">
        <v>0.23350821892656096</v>
      </c>
      <c r="EP59" s="22">
        <v>1.3690691666040953</v>
      </c>
      <c r="EQ59" s="22">
        <v>0.22301411409379737</v>
      </c>
      <c r="ER59" s="22">
        <v>0.8145864086268686</v>
      </c>
      <c r="ES59" s="22">
        <v>0</v>
      </c>
      <c r="ET59" s="22">
        <v>3.8515773674172957E-2</v>
      </c>
      <c r="EU59" s="22">
        <v>2.6622901156897142E-2</v>
      </c>
      <c r="EV59" s="22">
        <v>7.2987143889152693E-3</v>
      </c>
      <c r="EW59" s="22">
        <f>(EI59/0.05883)/SQRT((EH59/0.1536)*(EJ59/0.2069))</f>
        <v>0.82550333345576998</v>
      </c>
      <c r="EX59" s="22"/>
      <c r="EY59" s="22"/>
      <c r="EZ59" s="22"/>
      <c r="FA59" s="22"/>
      <c r="FB59" s="22"/>
      <c r="FC59" s="22"/>
      <c r="FD59" s="22"/>
      <c r="FE59" s="22"/>
      <c r="FF59" s="22"/>
      <c r="FG59" s="22"/>
      <c r="FH59" s="22"/>
      <c r="FI59" s="22">
        <f>-0.50354-2.23025*BP59+ N("eqn 18 Mg# R2 0.28 best")</f>
        <v>-2.2713656239076414</v>
      </c>
      <c r="FJ59" s="22"/>
      <c r="FK59" s="22">
        <f xml:space="preserve"> -0.03692  +  0.931085 + FX59   + N("488 NN Dy")</f>
        <v>0.58682739876245193</v>
      </c>
      <c r="FL59" s="22">
        <f>-0.48986  +   0    +   (1.071278 + 0) * GD59  +N("eqn 119 LnD Hf  (which has R2 of 0.51 for TS")</f>
        <v>-1.1342907582069917</v>
      </c>
      <c r="FM59" s="22"/>
      <c r="FN59" s="22"/>
      <c r="FO59" s="22">
        <f>3.94011-11.9214*BP59</f>
        <v>-5.5094837194720574</v>
      </c>
      <c r="FP59" s="22">
        <f xml:space="preserve">  -0.49862 +   1.013256 * FQ59 + N("294 NN")</f>
        <v>-2.2889992398960843</v>
      </c>
      <c r="FQ59" s="46">
        <f t="shared" ref="FQ59" si="208" xml:space="preserve">  -0.73306   +   1.025016   *  FS59     +N("316 NN Nd")</f>
        <v>-1.7669564649960963</v>
      </c>
      <c r="FR59" s="46">
        <f t="shared" ref="FR59" si="209" xml:space="preserve">  -0.33671   +   1.013871 *  FS59    +N("340 NN")</f>
        <v>-1.3593649076912528</v>
      </c>
      <c r="FS59" s="46">
        <f t="shared" ref="FS59" si="210">-0.42496     +   1.017678*FT59                 + N("361 NN")</f>
        <v>-1.0086637330501147</v>
      </c>
      <c r="FT59" s="46">
        <f xml:space="preserve"> 0.68509  -3.34181 * BP59 + 0.03095*(100*CK59) +N("642 cpx Mg# Wo R2 0.59")</f>
        <v>-0.5735642639912768</v>
      </c>
      <c r="FU59" s="46">
        <f t="shared" ref="FU59" si="211" xml:space="preserve"> -0.06599 + 0.926002 * FT59  + N("409 NN")</f>
        <v>-0.59711165558445034</v>
      </c>
      <c r="FV59" s="46">
        <f t="shared" ref="FV59" si="212">0.1453     +   0.925549*FT59     +N("424 LnD Sm")</f>
        <v>-0.38556183097286223</v>
      </c>
      <c r="FW59" s="46">
        <f t="shared" ref="FW59" si="213" xml:space="preserve">  0.053547 + 0.932974 * FV59  +  N("445 NN")</f>
        <v>-0.30617216369007516</v>
      </c>
      <c r="FX59" s="46">
        <f t="shared" ref="FX59" si="214" xml:space="preserve">  0.027177  +  0.867603 * FV59 + N("464 NN Gd")</f>
        <v>-0.30733760123754816</v>
      </c>
      <c r="FY59" s="46">
        <f t="shared" ref="FY59" si="215" xml:space="preserve">  -0.06187  +  0.953618 * FX59   + N("505 NN Dy")</f>
        <v>-0.35495266861694819</v>
      </c>
      <c r="FZ59" s="46">
        <f t="shared" ref="FZ59" si="216" xml:space="preserve"> -0.05652 + 0.972005*FY59   +N("533 NN")</f>
        <v>-0.40153576865901675</v>
      </c>
      <c r="GA59" s="46">
        <f t="shared" ref="GA59" si="217" xml:space="preserve">     0.018586 + 0.960264 * FZ59    +N("549 LnD Er")</f>
        <v>-0.36699434335558206</v>
      </c>
      <c r="GB59" s="46">
        <f t="shared" ref="GB59" si="218" xml:space="preserve"> -0.02011 + 0.936315 * FZ59    +N("574 NN Er")</f>
        <v>-0.39607396323196731</v>
      </c>
      <c r="GC59" s="46">
        <f t="shared" ref="GC59" si="219" xml:space="preserve">   0.01732 + 1.006083 * GB59  +N("597 NN Yb")</f>
        <v>-0.3811632811503074</v>
      </c>
      <c r="GD59" s="46">
        <f>(-1.72947 +0 ) * (3.46258+0) * BQ59   - (1.87473 + 0) *BP59   + (0.03253+0) * (CK59*100)    +N("eqn625 aliv mg# wo")</f>
        <v>-0.60155324594268866</v>
      </c>
      <c r="GE59" s="46"/>
      <c r="GF59" s="46"/>
      <c r="GG59" s="46"/>
      <c r="GH59" s="46"/>
    </row>
    <row r="60" spans="1:190" x14ac:dyDescent="0.25">
      <c r="A60" s="5" t="s">
        <v>92</v>
      </c>
      <c r="B60" s="1">
        <v>1019</v>
      </c>
      <c r="C60" s="98" t="s">
        <v>255</v>
      </c>
      <c r="D60" s="98" t="s">
        <v>106</v>
      </c>
      <c r="E60" s="1">
        <v>177</v>
      </c>
      <c r="F60" s="22">
        <v>52.25</v>
      </c>
      <c r="G60" s="22">
        <v>0.24399999999999999</v>
      </c>
      <c r="H60" s="22">
        <v>0.97399999999999998</v>
      </c>
      <c r="I60" s="22">
        <v>4.2000000000000003E-2</v>
      </c>
      <c r="J60" s="22">
        <v>12.85</v>
      </c>
      <c r="K60" s="22">
        <v>0.48699999999999999</v>
      </c>
      <c r="L60" s="22">
        <v>12.59</v>
      </c>
      <c r="M60" s="22">
        <v>20.6</v>
      </c>
      <c r="N60" s="22">
        <v>0.34300000000000003</v>
      </c>
      <c r="O60" s="22">
        <v>0</v>
      </c>
      <c r="P60" s="22">
        <v>0</v>
      </c>
      <c r="Q60" s="22"/>
      <c r="R60" s="22"/>
      <c r="S60" s="22">
        <f t="shared" si="0"/>
        <v>100.38000000000001</v>
      </c>
      <c r="T60" s="3"/>
      <c r="U60" s="22">
        <f t="shared" si="1"/>
        <v>11.782529948218357</v>
      </c>
      <c r="V60" s="22">
        <f t="shared" si="2"/>
        <v>1.18627946854494</v>
      </c>
      <c r="W60" s="22">
        <f t="shared" si="3"/>
        <v>100.49880941676329</v>
      </c>
      <c r="X60" s="1"/>
      <c r="Y60" s="1">
        <v>2</v>
      </c>
      <c r="Z60" s="1"/>
      <c r="AA60" s="1" t="s">
        <v>186</v>
      </c>
      <c r="AC60" s="1">
        <v>6</v>
      </c>
      <c r="AD60" s="1">
        <v>4</v>
      </c>
      <c r="AE60" s="1"/>
      <c r="AF60" s="26">
        <f t="shared" si="4"/>
        <v>1.9721036611933691</v>
      </c>
      <c r="AG60" s="26">
        <f t="shared" si="5"/>
        <v>6.9266802268803723E-3</v>
      </c>
      <c r="AH60" s="26">
        <f t="shared" si="6"/>
        <v>4.3324393758851179E-2</v>
      </c>
      <c r="AI60" s="26">
        <f t="shared" si="7"/>
        <v>1.2532497874630758E-3</v>
      </c>
      <c r="AJ60" s="26">
        <f t="shared" si="8"/>
        <v>0.40555496607933045</v>
      </c>
      <c r="AK60" s="26">
        <f t="shared" si="9"/>
        <v>1.5567222961842634E-2</v>
      </c>
      <c r="AL60" s="26">
        <f t="shared" si="10"/>
        <v>0.70842528332863564</v>
      </c>
      <c r="AM60" s="26">
        <f t="shared" si="11"/>
        <v>0.83297618305655319</v>
      </c>
      <c r="AN60" s="26">
        <f t="shared" si="12"/>
        <v>2.5098392827334445E-2</v>
      </c>
      <c r="AO60" s="26">
        <f t="shared" si="13"/>
        <v>0</v>
      </c>
      <c r="AP60" s="26">
        <f t="shared" si="14"/>
        <v>0</v>
      </c>
      <c r="AQ60" s="26">
        <f t="shared" si="15"/>
        <v>0</v>
      </c>
      <c r="AR60" s="26">
        <f t="shared" si="16"/>
        <v>0</v>
      </c>
      <c r="AS60" s="26">
        <f t="shared" si="17"/>
        <v>4.0112300332202597</v>
      </c>
      <c r="AT60" s="26">
        <f t="shared" si="18"/>
        <v>2.0154280549522201</v>
      </c>
      <c r="AU60" s="26">
        <f t="shared" si="19"/>
        <v>0.85807457588388758</v>
      </c>
      <c r="AV60" s="47"/>
      <c r="AW60" s="26">
        <f t="shared" si="20"/>
        <v>1.9665824645914334</v>
      </c>
      <c r="AX60" s="26">
        <f t="shared" si="21"/>
        <v>6.9072879585712075E-3</v>
      </c>
      <c r="AY60" s="26">
        <f t="shared" si="22"/>
        <v>4.3203100694845835E-2</v>
      </c>
      <c r="AZ60" s="26">
        <f t="shared" si="23"/>
        <v>1.2497411288646069E-3</v>
      </c>
      <c r="BA60" s="26">
        <f t="shared" si="24"/>
        <v>0.37082377558887047</v>
      </c>
      <c r="BB60" s="26">
        <f t="shared" si="25"/>
        <v>3.3595779231570866E-2</v>
      </c>
      <c r="BC60" s="26">
        <f t="shared" si="26"/>
        <v>1.5523640213019737E-2</v>
      </c>
      <c r="BD60" s="26">
        <f t="shared" si="27"/>
        <v>0.70644194171023778</v>
      </c>
      <c r="BE60" s="26">
        <f t="shared" si="28"/>
        <v>0.8306441427272927</v>
      </c>
      <c r="BF60" s="26">
        <f t="shared" si="29"/>
        <v>2.5028126155293241E-2</v>
      </c>
      <c r="BG60" s="26">
        <f t="shared" si="30"/>
        <v>0</v>
      </c>
      <c r="BH60" s="26">
        <f t="shared" si="31"/>
        <v>0</v>
      </c>
      <c r="BI60" s="26">
        <f t="shared" si="32"/>
        <v>0</v>
      </c>
      <c r="BJ60" s="26">
        <f t="shared" si="33"/>
        <v>0</v>
      </c>
      <c r="BK60" s="25">
        <f t="shared" si="34"/>
        <v>3.9999999999999996</v>
      </c>
      <c r="BL60" s="24">
        <f t="shared" si="35"/>
        <v>5.9999999999999973</v>
      </c>
      <c r="BM60" s="26">
        <f t="shared" si="36"/>
        <v>2.0097855652862791</v>
      </c>
      <c r="BN60" s="26">
        <f t="shared" si="37"/>
        <v>0.85567226888258596</v>
      </c>
      <c r="BO60" s="22"/>
      <c r="BP60" s="23">
        <f t="shared" si="38"/>
        <v>0.63594061358370946</v>
      </c>
      <c r="BQ60" s="26">
        <f t="shared" si="39"/>
        <v>3.3417535408566623E-2</v>
      </c>
      <c r="BR60" s="26">
        <f t="shared" si="40"/>
        <v>9.7855652862792117E-3</v>
      </c>
      <c r="BS60" s="26"/>
      <c r="BT60" s="26">
        <f t="shared" si="41"/>
        <v>9.7855652862792117E-3</v>
      </c>
      <c r="BU60" s="26">
        <f t="shared" si="42"/>
        <v>0</v>
      </c>
      <c r="BV60" s="26">
        <f t="shared" si="43"/>
        <v>9.7855652862792117E-3</v>
      </c>
      <c r="BW60" s="26">
        <f t="shared" si="44"/>
        <v>6.2662489373153788E-4</v>
      </c>
      <c r="BX60" s="26">
        <f t="shared" si="45"/>
        <v>0.82256399287654247</v>
      </c>
      <c r="BY60" s="26">
        <f t="shared" si="46"/>
        <v>0.14570812826571178</v>
      </c>
      <c r="BZ60" s="26">
        <f t="shared" si="47"/>
        <v>0.98846987660854424</v>
      </c>
      <c r="CA60" s="22"/>
      <c r="CB60" s="22">
        <f t="shared" si="48"/>
        <v>2.5028126155293241E-2</v>
      </c>
      <c r="CC60" s="22">
        <f t="shared" si="49"/>
        <v>0</v>
      </c>
      <c r="CD60" s="22">
        <f t="shared" si="50"/>
        <v>8.5676530762776246E-3</v>
      </c>
      <c r="CE60" s="22">
        <f t="shared" si="51"/>
        <v>1.2497411288646069E-3</v>
      </c>
      <c r="CF60" s="22">
        <f t="shared" si="52"/>
        <v>9.7855652862792117E-3</v>
      </c>
      <c r="CG60" s="22">
        <f t="shared" si="53"/>
        <v>0.41803465469558226</v>
      </c>
      <c r="CH60" s="22">
        <f t="shared" si="54"/>
        <v>0.38163725248370733</v>
      </c>
      <c r="CI60" s="22">
        <f t="shared" si="55"/>
        <v>0.20032809282071043</v>
      </c>
      <c r="CJ60" s="22"/>
      <c r="CK60" s="22">
        <f t="shared" si="56"/>
        <v>0.4244413466066414</v>
      </c>
      <c r="CL60" s="22">
        <f t="shared" si="57"/>
        <v>0.36097668497897872</v>
      </c>
      <c r="CM60" s="22">
        <f t="shared" si="58"/>
        <v>0.21458196841437996</v>
      </c>
      <c r="CN60" s="1"/>
      <c r="CO60" s="26">
        <f t="shared" si="59"/>
        <v>0.86967376830892151</v>
      </c>
      <c r="CP60" s="26">
        <f t="shared" si="60"/>
        <v>3.054581872809214E-3</v>
      </c>
      <c r="CQ60" s="26">
        <f t="shared" si="61"/>
        <v>1.9105531581012164E-2</v>
      </c>
      <c r="CR60" s="26">
        <f t="shared" si="62"/>
        <v>5.526679386801763E-4</v>
      </c>
      <c r="CS60" s="26">
        <f t="shared" si="63"/>
        <v>0.17884481558803064</v>
      </c>
      <c r="CT60" s="26">
        <f t="shared" si="64"/>
        <v>6.8649563010995205E-3</v>
      </c>
      <c r="CU60" s="26">
        <f t="shared" si="65"/>
        <v>0.31240694789081885</v>
      </c>
      <c r="CV60" s="26">
        <f t="shared" si="66"/>
        <v>0.36733238231098436</v>
      </c>
      <c r="CW60" s="26">
        <f t="shared" si="67"/>
        <v>1.106808647950952E-2</v>
      </c>
      <c r="CX60" s="26">
        <f t="shared" si="68"/>
        <v>0</v>
      </c>
      <c r="CY60" s="26">
        <f t="shared" si="69"/>
        <v>0</v>
      </c>
      <c r="CZ60" s="26">
        <f t="shared" si="70"/>
        <v>0</v>
      </c>
      <c r="DA60" s="26">
        <f t="shared" si="71"/>
        <v>0</v>
      </c>
      <c r="DB60" s="26">
        <f t="shared" si="72"/>
        <v>1.7689037382718662</v>
      </c>
      <c r="DC60" s="26">
        <f t="shared" si="73"/>
        <v>2.6459271449736881</v>
      </c>
      <c r="DD60" s="26">
        <f t="shared" si="74"/>
        <v>2.2612875497158527</v>
      </c>
      <c r="DE60" s="26">
        <f t="shared" si="75"/>
        <v>5.9832021103842123</v>
      </c>
      <c r="DF60" s="1"/>
      <c r="DG60" s="22">
        <v>22.02114155545387</v>
      </c>
      <c r="DH60" s="14">
        <v>2096.3029689027121</v>
      </c>
      <c r="DI60" s="14">
        <v>80937.052905058648</v>
      </c>
      <c r="DJ60" s="14">
        <v>8074.7306847232176</v>
      </c>
      <c r="DK60" s="14">
        <v>246238.37288151035</v>
      </c>
      <c r="DL60" s="14">
        <v>144187.3018381024</v>
      </c>
      <c r="DM60" s="96">
        <v>171.73163160603536</v>
      </c>
      <c r="DN60" s="14">
        <v>2713.3777620683545</v>
      </c>
      <c r="DO60" s="96">
        <v>325.59864178050668</v>
      </c>
      <c r="DP60" s="22">
        <v>11.894085877506681</v>
      </c>
      <c r="DQ60" s="14">
        <v>3293.0547165991416</v>
      </c>
      <c r="DR60" s="22">
        <v>48.396079767141103</v>
      </c>
      <c r="DS60" s="22">
        <v>0</v>
      </c>
      <c r="DT60" s="22">
        <v>3.4042869326726186</v>
      </c>
      <c r="DU60" s="22">
        <v>103.95122353003516</v>
      </c>
      <c r="DV60" s="22">
        <v>2.8617509102793472</v>
      </c>
      <c r="DW60" s="22">
        <v>11.619240539600066</v>
      </c>
      <c r="DX60" s="22">
        <v>12.710952921720009</v>
      </c>
      <c r="DY60" s="22">
        <v>88.916916021895702</v>
      </c>
      <c r="DZ60" s="22">
        <v>44.285763310129603</v>
      </c>
      <c r="EA60" s="22">
        <v>0.14955620172016032</v>
      </c>
      <c r="EB60" s="22">
        <v>7.1005519416126706E-2</v>
      </c>
      <c r="EC60" s="22">
        <v>2.5101914899194222</v>
      </c>
      <c r="ED60" s="22">
        <v>4.2177978799624745</v>
      </c>
      <c r="EE60" s="22">
        <v>18.638090333191698</v>
      </c>
      <c r="EF60" s="22">
        <v>3.8783354521323758</v>
      </c>
      <c r="EG60" s="22">
        <v>23.916747699713358</v>
      </c>
      <c r="EH60" s="22">
        <v>10.649455792970892</v>
      </c>
      <c r="EI60" s="22">
        <v>1.2205187996725408</v>
      </c>
      <c r="EJ60" s="22">
        <v>14.234215573374099</v>
      </c>
      <c r="EK60" s="22">
        <v>2.2254737612053646</v>
      </c>
      <c r="EL60" s="22">
        <v>15.439253205867283</v>
      </c>
      <c r="EM60" s="22">
        <v>3.4778355711622764</v>
      </c>
      <c r="EN60" s="22">
        <v>10.480047656578703</v>
      </c>
      <c r="EO60" s="22">
        <v>1.3881454503625554</v>
      </c>
      <c r="EP60" s="22">
        <v>8.750532904179682</v>
      </c>
      <c r="EQ60" s="22">
        <v>1.4288467148378821</v>
      </c>
      <c r="ER60" s="22">
        <v>1.936389425505791</v>
      </c>
      <c r="ES60" s="22">
        <v>0</v>
      </c>
      <c r="ET60" s="22">
        <v>0.26962935229457968</v>
      </c>
      <c r="EU60" s="22">
        <v>0.16525967101421341</v>
      </c>
      <c r="EV60" s="22">
        <v>5.7902939226396014E-2</v>
      </c>
      <c r="EW60" s="22">
        <f>(EI60/0.05883)/SQRT((EH60/0.1536)*(EJ60/0.2069))</f>
        <v>0.30039382512356089</v>
      </c>
      <c r="EX60" s="22"/>
      <c r="EY60" s="22"/>
      <c r="EZ60" s="22"/>
      <c r="FA60" s="22"/>
      <c r="FB60" s="22"/>
      <c r="FC60" s="22"/>
      <c r="FD60" s="22"/>
      <c r="FE60" s="22"/>
      <c r="FF60" s="22"/>
      <c r="FG60" s="22"/>
      <c r="FH60" s="22"/>
      <c r="FI60" s="22">
        <f>-0.50354-2.23025*BP60+ N("eqn 18 Mg# R2 0.28 best")</f>
        <v>-1.9218465534450679</v>
      </c>
      <c r="FJ60" s="22"/>
      <c r="FK60" s="22">
        <f xml:space="preserve"> -0.03692  +  0.931085 + FX60   + N("488 NN Dy")</f>
        <v>0.8941650000000001</v>
      </c>
      <c r="FL60" s="22">
        <f>-0.48986  +   0    +   (1.071278 + 0) * GD60  +N("eqn 119 LnD Hf  (which has R2 of 0.51 for TS")</f>
        <v>-0.48986000000000002</v>
      </c>
      <c r="FM60" s="22"/>
      <c r="FN60" s="22"/>
      <c r="FO60" s="22">
        <f>3.94011-11.9214*BP60</f>
        <v>-3.641192430776834</v>
      </c>
      <c r="FP60" s="22">
        <f xml:space="preserve">  -0.49862 +   1.013256 * FQ60 + N("294 NN")</f>
        <v>-0.49862000000000001</v>
      </c>
      <c r="FQ60" s="46"/>
      <c r="FR60" s="46"/>
      <c r="FS60" s="46"/>
      <c r="FT60" s="46"/>
      <c r="FU60" s="46"/>
      <c r="FV60" s="46"/>
      <c r="FW60" s="46"/>
      <c r="FX60" s="46"/>
      <c r="FY60" s="46"/>
      <c r="FZ60" s="46"/>
      <c r="GA60" s="46"/>
      <c r="GB60" s="46"/>
      <c r="GC60" s="46"/>
      <c r="GD60" s="46"/>
      <c r="GE60" s="46"/>
      <c r="GF60" s="46"/>
      <c r="GG60" s="46"/>
      <c r="GH60" s="46"/>
    </row>
    <row r="61" spans="1:190" x14ac:dyDescent="0.25">
      <c r="A61" s="5" t="s">
        <v>92</v>
      </c>
      <c r="B61" s="1">
        <v>1074</v>
      </c>
      <c r="C61" s="98" t="s">
        <v>255</v>
      </c>
      <c r="D61" s="98" t="s">
        <v>106</v>
      </c>
      <c r="E61" s="1">
        <v>232</v>
      </c>
      <c r="F61" s="22">
        <v>52.72</v>
      </c>
      <c r="G61" s="22">
        <v>0.38</v>
      </c>
      <c r="H61" s="22">
        <v>0.63600000000000001</v>
      </c>
      <c r="I61" s="22">
        <v>0.02</v>
      </c>
      <c r="J61" s="22">
        <v>13.65</v>
      </c>
      <c r="K61" s="22">
        <v>0.48399999999999999</v>
      </c>
      <c r="L61" s="22">
        <v>12.12</v>
      </c>
      <c r="M61" s="22">
        <v>20.27</v>
      </c>
      <c r="N61" s="22">
        <v>0.37</v>
      </c>
      <c r="O61" s="22">
        <v>1.2E-2</v>
      </c>
      <c r="P61" s="22">
        <v>0</v>
      </c>
      <c r="Q61" s="22"/>
      <c r="R61" s="22"/>
      <c r="S61" s="22">
        <f t="shared" si="0"/>
        <v>100.66200000000001</v>
      </c>
      <c r="T61" s="3"/>
      <c r="U61" s="22">
        <f t="shared" si="1"/>
        <v>13.568913216484365</v>
      </c>
      <c r="V61" s="22">
        <f t="shared" si="2"/>
        <v>9.0111742520926574E-2</v>
      </c>
      <c r="W61" s="22">
        <f t="shared" si="3"/>
        <v>100.67102495900529</v>
      </c>
      <c r="X61" s="1"/>
      <c r="Y61" s="1"/>
      <c r="Z61" s="1"/>
      <c r="AA61" s="1" t="s">
        <v>185</v>
      </c>
      <c r="AC61" s="1">
        <v>6</v>
      </c>
      <c r="AD61" s="1">
        <v>4</v>
      </c>
      <c r="AE61" s="1"/>
      <c r="AF61" s="26">
        <f t="shared" si="4"/>
        <v>1.9877549460589008</v>
      </c>
      <c r="AG61" s="26">
        <f t="shared" si="5"/>
        <v>1.0776132075698698E-2</v>
      </c>
      <c r="AH61" s="26">
        <f t="shared" si="6"/>
        <v>2.8260162169454092E-2</v>
      </c>
      <c r="AI61" s="26">
        <f t="shared" si="7"/>
        <v>5.9615932502956356E-4</v>
      </c>
      <c r="AJ61" s="26">
        <f t="shared" si="8"/>
        <v>0.4303514237381601</v>
      </c>
      <c r="AK61" s="26">
        <f t="shared" si="9"/>
        <v>1.5455090151057864E-2</v>
      </c>
      <c r="AL61" s="26">
        <f t="shared" si="10"/>
        <v>0.68126321366766118</v>
      </c>
      <c r="AM61" s="26">
        <f t="shared" si="11"/>
        <v>0.81877223845127634</v>
      </c>
      <c r="AN61" s="26">
        <f t="shared" si="12"/>
        <v>2.7045655574507946E-2</v>
      </c>
      <c r="AO61" s="26">
        <f t="shared" si="13"/>
        <v>5.7713538733276026E-4</v>
      </c>
      <c r="AP61" s="26">
        <f t="shared" si="14"/>
        <v>0</v>
      </c>
      <c r="AQ61" s="26">
        <f t="shared" si="15"/>
        <v>0</v>
      </c>
      <c r="AR61" s="26">
        <f t="shared" si="16"/>
        <v>0</v>
      </c>
      <c r="AS61" s="26">
        <f t="shared" si="17"/>
        <v>4.0008521565990796</v>
      </c>
      <c r="AT61" s="26">
        <f t="shared" si="18"/>
        <v>2.0160151082283551</v>
      </c>
      <c r="AU61" s="26">
        <f t="shared" si="19"/>
        <v>0.84639502941311706</v>
      </c>
      <c r="AV61" s="47"/>
      <c r="AW61" s="26">
        <f t="shared" si="20"/>
        <v>1.9873315666316349</v>
      </c>
      <c r="AX61" s="26">
        <f t="shared" si="21"/>
        <v>1.0773836826661387E-2</v>
      </c>
      <c r="AY61" s="26">
        <f t="shared" si="22"/>
        <v>2.8254142930866626E-2</v>
      </c>
      <c r="AZ61" s="26">
        <f t="shared" si="23"/>
        <v>5.960323468051648E-4</v>
      </c>
      <c r="BA61" s="26">
        <f t="shared" si="24"/>
        <v>0.4277038362792876</v>
      </c>
      <c r="BB61" s="26">
        <f t="shared" si="25"/>
        <v>2.5559252850886338E-3</v>
      </c>
      <c r="BC61" s="26">
        <f t="shared" si="26"/>
        <v>1.545179831308283E-2</v>
      </c>
      <c r="BD61" s="26">
        <f t="shared" si="27"/>
        <v>0.68111810884486002</v>
      </c>
      <c r="BE61" s="26">
        <f t="shared" si="28"/>
        <v>0.81859784506236088</v>
      </c>
      <c r="BF61" s="26">
        <f t="shared" si="29"/>
        <v>2.7039895018263389E-2</v>
      </c>
      <c r="BG61" s="26">
        <f t="shared" si="30"/>
        <v>5.770124610886433E-4</v>
      </c>
      <c r="BH61" s="26">
        <f t="shared" si="31"/>
        <v>0</v>
      </c>
      <c r="BI61" s="26">
        <f t="shared" si="32"/>
        <v>0</v>
      </c>
      <c r="BJ61" s="26">
        <f t="shared" si="33"/>
        <v>0</v>
      </c>
      <c r="BK61" s="25">
        <f t="shared" si="34"/>
        <v>4</v>
      </c>
      <c r="BL61" s="24">
        <f t="shared" si="35"/>
        <v>6.0000000000000009</v>
      </c>
      <c r="BM61" s="26">
        <f t="shared" si="36"/>
        <v>2.0155857095625014</v>
      </c>
      <c r="BN61" s="26">
        <f t="shared" si="37"/>
        <v>0.84621475254171297</v>
      </c>
      <c r="BO61" s="22"/>
      <c r="BP61" s="23">
        <f t="shared" si="38"/>
        <v>0.61285916066877932</v>
      </c>
      <c r="BQ61" s="26">
        <f t="shared" si="39"/>
        <v>1.2668433368365095E-2</v>
      </c>
      <c r="BR61" s="26">
        <f t="shared" si="40"/>
        <v>1.5585709562501531E-2</v>
      </c>
      <c r="BS61" s="26"/>
      <c r="BT61" s="26">
        <f t="shared" si="41"/>
        <v>1.5585709562501531E-2</v>
      </c>
      <c r="BU61" s="26">
        <f t="shared" si="42"/>
        <v>0</v>
      </c>
      <c r="BV61" s="26">
        <f t="shared" si="43"/>
        <v>1.5585709562501531E-2</v>
      </c>
      <c r="BW61" s="26">
        <f t="shared" si="44"/>
        <v>2.9807966251478178E-4</v>
      </c>
      <c r="BX61" s="26">
        <f t="shared" si="45"/>
        <v>0.80288844922626001</v>
      </c>
      <c r="BY61" s="26">
        <f t="shared" si="46"/>
        <v>0.15436309408978066</v>
      </c>
      <c r="BZ61" s="26">
        <f t="shared" si="47"/>
        <v>0.98872104210355849</v>
      </c>
      <c r="CA61" s="22"/>
      <c r="CB61" s="22">
        <f t="shared" si="48"/>
        <v>2.5559252850886338E-3</v>
      </c>
      <c r="CC61" s="22">
        <f t="shared" si="49"/>
        <v>1.5585709562501531E-2</v>
      </c>
      <c r="CD61" s="22">
        <f t="shared" si="50"/>
        <v>0</v>
      </c>
      <c r="CE61" s="22">
        <f t="shared" si="51"/>
        <v>5.960323468051648E-4</v>
      </c>
      <c r="CF61" s="22">
        <f t="shared" si="52"/>
        <v>0</v>
      </c>
      <c r="CG61" s="22">
        <f t="shared" si="53"/>
        <v>0.41027886900032218</v>
      </c>
      <c r="CH61" s="22">
        <f t="shared" si="54"/>
        <v>0.36224909081086065</v>
      </c>
      <c r="CI61" s="22">
        <f t="shared" si="55"/>
        <v>0.22747204018881714</v>
      </c>
      <c r="CJ61" s="22"/>
      <c r="CK61" s="22">
        <f t="shared" si="56"/>
        <v>0.42078043990949915</v>
      </c>
      <c r="CL61" s="22">
        <f t="shared" si="57"/>
        <v>0.35011230386055198</v>
      </c>
      <c r="CM61" s="22">
        <f t="shared" si="58"/>
        <v>0.22910725622994887</v>
      </c>
      <c r="CN61" s="1"/>
      <c r="CO61" s="26">
        <f t="shared" si="59"/>
        <v>0.87749667110519303</v>
      </c>
      <c r="CP61" s="26">
        <f t="shared" si="60"/>
        <v>4.7571357035553329E-3</v>
      </c>
      <c r="CQ61" s="26">
        <f t="shared" si="61"/>
        <v>1.2475480580619851E-2</v>
      </c>
      <c r="CR61" s="26">
        <f t="shared" si="62"/>
        <v>2.6317520889532203E-4</v>
      </c>
      <c r="CS61" s="26">
        <f t="shared" si="63"/>
        <v>0.18997912317327767</v>
      </c>
      <c r="CT61" s="26">
        <f t="shared" si="64"/>
        <v>6.8226670425711872E-3</v>
      </c>
      <c r="CU61" s="26">
        <f t="shared" si="65"/>
        <v>0.30074441687344916</v>
      </c>
      <c r="CV61" s="26">
        <f t="shared" si="66"/>
        <v>0.36144793152639088</v>
      </c>
      <c r="CW61" s="26">
        <f t="shared" si="67"/>
        <v>1.1939335269441756E-2</v>
      </c>
      <c r="CX61" s="26">
        <f t="shared" si="68"/>
        <v>2.5477707006369424E-4</v>
      </c>
      <c r="CY61" s="26">
        <f t="shared" si="69"/>
        <v>0</v>
      </c>
      <c r="CZ61" s="26">
        <f t="shared" si="70"/>
        <v>0</v>
      </c>
      <c r="DA61" s="26">
        <f t="shared" si="71"/>
        <v>0</v>
      </c>
      <c r="DB61" s="26">
        <f t="shared" si="72"/>
        <v>1.766180713553458</v>
      </c>
      <c r="DC61" s="26">
        <f t="shared" si="73"/>
        <v>2.6487067920872112</v>
      </c>
      <c r="DD61" s="26">
        <f t="shared" si="74"/>
        <v>2.2647739097729254</v>
      </c>
      <c r="DE61" s="26">
        <f t="shared" si="75"/>
        <v>5.9987220373574566</v>
      </c>
      <c r="DF61" s="1"/>
      <c r="DG61" s="22"/>
      <c r="DH61" s="14"/>
      <c r="DI61" s="14"/>
      <c r="DJ61" s="14"/>
      <c r="DK61" s="14"/>
      <c r="DL61" s="14"/>
      <c r="DM61" s="96"/>
      <c r="DN61" s="14"/>
      <c r="DO61" s="96"/>
      <c r="DP61" s="22"/>
      <c r="DQ61" s="14"/>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46"/>
      <c r="FR61" s="46"/>
      <c r="FS61" s="46"/>
      <c r="FT61" s="46"/>
      <c r="FU61" s="46"/>
      <c r="FV61" s="46"/>
      <c r="FW61" s="46"/>
      <c r="FX61" s="46"/>
      <c r="FY61" s="46"/>
      <c r="FZ61" s="46"/>
      <c r="GA61" s="46"/>
      <c r="GB61" s="46"/>
      <c r="GC61" s="46"/>
      <c r="GD61" s="46"/>
      <c r="GE61" s="46"/>
      <c r="GF61" s="46"/>
      <c r="GG61" s="46"/>
      <c r="GH61" s="46"/>
    </row>
    <row r="62" spans="1:190" x14ac:dyDescent="0.25">
      <c r="A62" s="5" t="s">
        <v>92</v>
      </c>
      <c r="B62" s="1">
        <v>1075</v>
      </c>
      <c r="C62" s="98" t="s">
        <v>255</v>
      </c>
      <c r="D62" s="98" t="s">
        <v>106</v>
      </c>
      <c r="E62" s="1">
        <v>233</v>
      </c>
      <c r="F62" s="22">
        <v>52.85</v>
      </c>
      <c r="G62" s="22">
        <v>0.20300000000000001</v>
      </c>
      <c r="H62" s="22">
        <v>0.73299999999999998</v>
      </c>
      <c r="I62" s="22">
        <v>0</v>
      </c>
      <c r="J62" s="22">
        <v>11.18</v>
      </c>
      <c r="K62" s="22">
        <v>0.47199999999999998</v>
      </c>
      <c r="L62" s="22">
        <v>12.98</v>
      </c>
      <c r="M62" s="22">
        <v>20.94</v>
      </c>
      <c r="N62" s="22">
        <v>0.49199999999999999</v>
      </c>
      <c r="O62" s="22">
        <v>1.7000000000000001E-2</v>
      </c>
      <c r="P62" s="22">
        <v>0</v>
      </c>
      <c r="Q62" s="22"/>
      <c r="R62" s="22"/>
      <c r="S62" s="22">
        <f t="shared" si="0"/>
        <v>99.867000000000004</v>
      </c>
      <c r="T62" s="3"/>
      <c r="U62" s="22">
        <f t="shared" si="1"/>
        <v>10.604678560590038</v>
      </c>
      <c r="V62" s="22">
        <f t="shared" si="2"/>
        <v>0.63935471561628943</v>
      </c>
      <c r="W62" s="22">
        <f t="shared" si="3"/>
        <v>99.931033276206335</v>
      </c>
      <c r="X62" s="1"/>
      <c r="Y62" s="1"/>
      <c r="Z62" s="1"/>
      <c r="AA62" s="1" t="s">
        <v>185</v>
      </c>
      <c r="AC62" s="1">
        <v>6</v>
      </c>
      <c r="AD62" s="1">
        <v>4</v>
      </c>
      <c r="AE62" s="1"/>
      <c r="AF62" s="26">
        <f t="shared" si="4"/>
        <v>1.9903138834128913</v>
      </c>
      <c r="AG62" s="26">
        <f t="shared" si="5"/>
        <v>5.7499555381879917E-3</v>
      </c>
      <c r="AH62" s="26">
        <f t="shared" si="6"/>
        <v>3.2531991360487622E-2</v>
      </c>
      <c r="AI62" s="26">
        <f t="shared" si="7"/>
        <v>0</v>
      </c>
      <c r="AJ62" s="26">
        <f t="shared" si="8"/>
        <v>0.35206393265974245</v>
      </c>
      <c r="AK62" s="26">
        <f t="shared" si="9"/>
        <v>1.5054187444902134E-2</v>
      </c>
      <c r="AL62" s="26">
        <f t="shared" si="10"/>
        <v>0.72874594483591404</v>
      </c>
      <c r="AM62" s="26">
        <f t="shared" si="11"/>
        <v>0.84484137977556384</v>
      </c>
      <c r="AN62" s="26">
        <f t="shared" si="12"/>
        <v>3.5921133403609418E-2</v>
      </c>
      <c r="AO62" s="26">
        <f t="shared" si="13"/>
        <v>8.166472783656788E-4</v>
      </c>
      <c r="AP62" s="26">
        <f t="shared" si="14"/>
        <v>0</v>
      </c>
      <c r="AQ62" s="26">
        <f t="shared" si="15"/>
        <v>0</v>
      </c>
      <c r="AR62" s="26">
        <f t="shared" si="16"/>
        <v>0</v>
      </c>
      <c r="AS62" s="26">
        <f t="shared" si="17"/>
        <v>4.0060390557096639</v>
      </c>
      <c r="AT62" s="26">
        <f t="shared" si="18"/>
        <v>2.0228458747733788</v>
      </c>
      <c r="AU62" s="26">
        <f t="shared" si="19"/>
        <v>0.88157916045753892</v>
      </c>
      <c r="AV62" s="47"/>
      <c r="AW62" s="26">
        <f t="shared" si="20"/>
        <v>1.987313509164288</v>
      </c>
      <c r="AX62" s="26">
        <f t="shared" si="21"/>
        <v>5.7412875493490605E-3</v>
      </c>
      <c r="AY62" s="26">
        <f t="shared" si="22"/>
        <v>3.2482949774661762E-2</v>
      </c>
      <c r="AZ62" s="26">
        <f t="shared" si="23"/>
        <v>0</v>
      </c>
      <c r="BA62" s="26">
        <f t="shared" si="24"/>
        <v>0.3334433447969386</v>
      </c>
      <c r="BB62" s="26">
        <f t="shared" si="25"/>
        <v>1.8089855717378089E-2</v>
      </c>
      <c r="BC62" s="26">
        <f t="shared" si="26"/>
        <v>1.5031493438333743E-2</v>
      </c>
      <c r="BD62" s="26">
        <f t="shared" si="27"/>
        <v>0.72764736908618821</v>
      </c>
      <c r="BE62" s="26">
        <f t="shared" si="28"/>
        <v>0.843567791553546</v>
      </c>
      <c r="BF62" s="26">
        <f t="shared" si="29"/>
        <v>3.5866982726903071E-2</v>
      </c>
      <c r="BG62" s="26">
        <f t="shared" si="30"/>
        <v>8.1541619241254316E-4</v>
      </c>
      <c r="BH62" s="26">
        <f t="shared" si="31"/>
        <v>0</v>
      </c>
      <c r="BI62" s="26">
        <f t="shared" si="32"/>
        <v>0</v>
      </c>
      <c r="BJ62" s="26">
        <f t="shared" si="33"/>
        <v>0</v>
      </c>
      <c r="BK62" s="25">
        <f t="shared" si="34"/>
        <v>3.9999999999999987</v>
      </c>
      <c r="BL62" s="24">
        <f t="shared" si="35"/>
        <v>5.9999999999999973</v>
      </c>
      <c r="BM62" s="26">
        <f t="shared" si="36"/>
        <v>2.0197964589389499</v>
      </c>
      <c r="BN62" s="26">
        <f t="shared" si="37"/>
        <v>0.88025019047286157</v>
      </c>
      <c r="BO62" s="22"/>
      <c r="BP62" s="23">
        <f t="shared" si="38"/>
        <v>0.67425914585874303</v>
      </c>
      <c r="BQ62" s="26">
        <f t="shared" si="39"/>
        <v>1.268649083571205E-2</v>
      </c>
      <c r="BR62" s="26">
        <f t="shared" si="40"/>
        <v>1.9796458938949713E-2</v>
      </c>
      <c r="BS62" s="26"/>
      <c r="BT62" s="26">
        <f t="shared" si="41"/>
        <v>1.9796458938949713E-2</v>
      </c>
      <c r="BU62" s="26">
        <f t="shared" si="42"/>
        <v>0</v>
      </c>
      <c r="BV62" s="26">
        <f t="shared" si="43"/>
        <v>1.9796458938949713E-2</v>
      </c>
      <c r="BW62" s="26">
        <f t="shared" si="44"/>
        <v>0</v>
      </c>
      <c r="BX62" s="26">
        <f t="shared" si="45"/>
        <v>0.82504492083661418</v>
      </c>
      <c r="BY62" s="26">
        <f t="shared" si="46"/>
        <v>0.12788247832952115</v>
      </c>
      <c r="BZ62" s="26">
        <f t="shared" si="47"/>
        <v>0.99252031704403476</v>
      </c>
      <c r="CA62" s="22"/>
      <c r="CB62" s="22">
        <f t="shared" si="48"/>
        <v>1.8089855717378089E-2</v>
      </c>
      <c r="CC62" s="22">
        <f t="shared" si="49"/>
        <v>1.7777127009524982E-2</v>
      </c>
      <c r="CD62" s="22">
        <f t="shared" si="50"/>
        <v>0</v>
      </c>
      <c r="CE62" s="22">
        <f t="shared" si="51"/>
        <v>0</v>
      </c>
      <c r="CF62" s="22">
        <f t="shared" si="52"/>
        <v>2.0193319294247308E-3</v>
      </c>
      <c r="CG62" s="22">
        <f t="shared" si="53"/>
        <v>0.42981915767074969</v>
      </c>
      <c r="CH62" s="22">
        <f t="shared" si="54"/>
        <v>0.39100388345300657</v>
      </c>
      <c r="CI62" s="22">
        <f t="shared" si="55"/>
        <v>0.17917695887624369</v>
      </c>
      <c r="CJ62" s="22"/>
      <c r="CK62" s="22">
        <f t="shared" si="56"/>
        <v>0.43532694880399192</v>
      </c>
      <c r="CL62" s="22">
        <f t="shared" si="57"/>
        <v>0.37550569398361822</v>
      </c>
      <c r="CM62" s="22">
        <f t="shared" si="58"/>
        <v>0.18916735721238981</v>
      </c>
      <c r="CN62" s="1"/>
      <c r="CO62" s="26">
        <f t="shared" si="59"/>
        <v>0.87966045272969384</v>
      </c>
      <c r="CP62" s="26">
        <f t="shared" si="60"/>
        <v>2.5413119679519283E-3</v>
      </c>
      <c r="CQ62" s="26">
        <f t="shared" si="61"/>
        <v>1.437818752451942E-2</v>
      </c>
      <c r="CR62" s="26">
        <f t="shared" si="62"/>
        <v>0</v>
      </c>
      <c r="CS62" s="26">
        <f t="shared" si="63"/>
        <v>0.15560194850382741</v>
      </c>
      <c r="CT62" s="26">
        <f t="shared" si="64"/>
        <v>6.6535100084578512E-3</v>
      </c>
      <c r="CU62" s="26">
        <f t="shared" si="65"/>
        <v>0.32208436724565759</v>
      </c>
      <c r="CV62" s="26">
        <f t="shared" si="66"/>
        <v>0.37339514978602001</v>
      </c>
      <c r="CW62" s="26">
        <f t="shared" si="67"/>
        <v>1.5876089060987416E-2</v>
      </c>
      <c r="CX62" s="26">
        <f t="shared" si="68"/>
        <v>3.6093418259023355E-4</v>
      </c>
      <c r="CY62" s="26">
        <f t="shared" si="69"/>
        <v>0</v>
      </c>
      <c r="CZ62" s="26">
        <f t="shared" si="70"/>
        <v>0</v>
      </c>
      <c r="DA62" s="26">
        <f t="shared" si="71"/>
        <v>0</v>
      </c>
      <c r="DB62" s="26">
        <f t="shared" si="72"/>
        <v>1.7705519510097061</v>
      </c>
      <c r="DC62" s="26">
        <f t="shared" si="73"/>
        <v>2.6518242978478224</v>
      </c>
      <c r="DD62" s="26">
        <f t="shared" si="74"/>
        <v>2.2591825095665166</v>
      </c>
      <c r="DE62" s="26">
        <f t="shared" si="75"/>
        <v>5.9909550721413094</v>
      </c>
      <c r="DF62" s="1"/>
      <c r="DG62" s="22"/>
      <c r="DH62" s="14"/>
      <c r="DI62" s="14"/>
      <c r="DJ62" s="14"/>
      <c r="DK62" s="14"/>
      <c r="DL62" s="14"/>
      <c r="DM62" s="96"/>
      <c r="DN62" s="14"/>
      <c r="DO62" s="96"/>
      <c r="DP62" s="22"/>
      <c r="DQ62" s="14"/>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46">
        <f t="shared" ref="FQ62:FQ63" si="220" xml:space="preserve">  -0.73306   +   1.025016   *  FS62     +N("316 NN Nd")</f>
        <v>-1.3989951509778564</v>
      </c>
      <c r="FR62" s="46">
        <f t="shared" ref="FR62:FR63" si="221" xml:space="preserve">  -0.33671   +   1.013871 *  FS62    +N("340 NN")</f>
        <v>-0.99540443741080176</v>
      </c>
      <c r="FS62" s="46">
        <f t="shared" ref="FS62:FS63" si="222">-0.42496     +   1.017678*FT62                 + N("361 NN")</f>
        <v>-0.6496826888339855</v>
      </c>
      <c r="FT62" s="46">
        <f xml:space="preserve"> 0.68509  -3.34181 * BP62 + 0.03095*(100*CK62) +N("642 cpx Mg# Wo R2 0.59")</f>
        <v>-0.22081904967385113</v>
      </c>
      <c r="FU62" s="46">
        <f t="shared" ref="FU62:FU63" si="223" xml:space="preserve"> -0.06599 + 0.926002 * FT62  + N("409 NN")</f>
        <v>-0.27046888163608551</v>
      </c>
      <c r="FV62" s="46">
        <f t="shared" ref="FV62:FV63" si="224">0.1453     +   0.925549*FT62     +N("424 LnD Sm")</f>
        <v>-5.9078850606583216E-2</v>
      </c>
      <c r="FW62" s="46">
        <f t="shared" ref="FW62:FW63" si="225" xml:space="preserve">  0.053547 + 0.932974 * FV62  +  N("445 NN")</f>
        <v>-1.5720315658263734E-3</v>
      </c>
      <c r="FX62" s="46">
        <f t="shared" ref="FX62:FX63" si="226" xml:space="preserve">  0.027177  +  0.867603 * FV62 + N("464 NN Gd")</f>
        <v>-2.407998802282342E-2</v>
      </c>
      <c r="FY62" s="46">
        <f t="shared" ref="FY62:FY63" si="227" xml:space="preserve">  -0.06187  +  0.953618 * FX62   + N("505 NN Dy")</f>
        <v>-8.4833110018348826E-2</v>
      </c>
      <c r="FZ62" s="46">
        <f t="shared" ref="FZ62:FZ63" si="228" xml:space="preserve"> -0.05652 + 0.972005*FY62   +N("533 NN")</f>
        <v>-0.13897820710338515</v>
      </c>
      <c r="GA62" s="46">
        <f t="shared" ref="GA62:GA63" si="229" xml:space="preserve">     0.018586 + 0.960264 * FZ62    +N("549 LnD Er")</f>
        <v>-0.11486976906592505</v>
      </c>
      <c r="GB62" s="46">
        <f t="shared" ref="GB62:GB63" si="230" xml:space="preserve"> -0.02011 + 0.936315 * FZ62    +N("574 NN Er")</f>
        <v>-0.15023737998400605</v>
      </c>
      <c r="GC62" s="46">
        <f t="shared" ref="GC62:GC63" si="231" xml:space="preserve">   0.01732 + 1.006083 * GB62  +N("597 NN Yb")</f>
        <v>-0.13383127396644875</v>
      </c>
      <c r="GD62" s="46">
        <f>(-1.72947 +0 ) * (3.46258+0) * BQ62   - (1.87473 + 0) *BP62   + (0.03253+0) * (CK62*100)    +N("eqn625 aliv mg# wo")</f>
        <v>7.6092576050425409E-2</v>
      </c>
      <c r="GE62" s="46"/>
      <c r="GF62" s="46"/>
      <c r="GG62" s="46"/>
      <c r="GH62" s="46"/>
    </row>
    <row r="63" spans="1:190" x14ac:dyDescent="0.25">
      <c r="A63" s="5" t="s">
        <v>188</v>
      </c>
      <c r="B63" s="1">
        <v>355</v>
      </c>
      <c r="C63" s="98" t="s">
        <v>98</v>
      </c>
      <c r="D63" s="98" t="s">
        <v>106</v>
      </c>
      <c r="E63" s="1">
        <v>20</v>
      </c>
      <c r="F63" s="22">
        <v>51.25</v>
      </c>
      <c r="G63" s="22">
        <v>0.498</v>
      </c>
      <c r="H63" s="22">
        <v>1.94</v>
      </c>
      <c r="I63" s="22">
        <v>0</v>
      </c>
      <c r="J63" s="22">
        <v>10.87</v>
      </c>
      <c r="K63" s="22">
        <v>0.33700000000000002</v>
      </c>
      <c r="L63" s="22">
        <v>15.17</v>
      </c>
      <c r="M63" s="22">
        <v>18.77</v>
      </c>
      <c r="N63" s="22">
        <v>0.32100000000000001</v>
      </c>
      <c r="O63" s="22">
        <v>0</v>
      </c>
      <c r="P63" s="22">
        <v>0</v>
      </c>
      <c r="Q63" s="22"/>
      <c r="R63" s="22"/>
      <c r="S63" s="22">
        <f t="shared" si="0"/>
        <v>99.155999999999992</v>
      </c>
      <c r="T63" s="3"/>
      <c r="U63" s="22">
        <f t="shared" si="1"/>
        <v>8.8138082699119096</v>
      </c>
      <c r="V63" s="22">
        <f t="shared" si="2"/>
        <v>2.2850458696468929</v>
      </c>
      <c r="W63" s="22">
        <f t="shared" si="3"/>
        <v>99.384854139558797</v>
      </c>
      <c r="X63" s="1"/>
      <c r="Y63" s="1"/>
      <c r="Z63" s="1"/>
      <c r="AA63" s="1" t="s">
        <v>185</v>
      </c>
      <c r="AC63" s="1">
        <v>6</v>
      </c>
      <c r="AD63" s="1">
        <v>4</v>
      </c>
      <c r="AE63" s="1"/>
      <c r="AF63" s="26">
        <f t="shared" si="4"/>
        <v>1.9328803484345733</v>
      </c>
      <c r="AG63" s="26">
        <f t="shared" si="5"/>
        <v>1.4126426411399218E-2</v>
      </c>
      <c r="AH63" s="26">
        <f t="shared" si="6"/>
        <v>8.6226929963108018E-2</v>
      </c>
      <c r="AI63" s="26">
        <f t="shared" si="7"/>
        <v>0</v>
      </c>
      <c r="AJ63" s="26">
        <f t="shared" si="8"/>
        <v>0.34280235477027748</v>
      </c>
      <c r="AK63" s="26">
        <f t="shared" si="9"/>
        <v>1.0764150013282507E-2</v>
      </c>
      <c r="AL63" s="26">
        <f t="shared" si="10"/>
        <v>0.85294604453719491</v>
      </c>
      <c r="AM63" s="26">
        <f t="shared" si="11"/>
        <v>0.75839819823187293</v>
      </c>
      <c r="AN63" s="26">
        <f t="shared" si="12"/>
        <v>2.3470615621528697E-2</v>
      </c>
      <c r="AO63" s="26">
        <f t="shared" si="13"/>
        <v>0</v>
      </c>
      <c r="AP63" s="26">
        <f t="shared" si="14"/>
        <v>0</v>
      </c>
      <c r="AQ63" s="26">
        <f t="shared" si="15"/>
        <v>0</v>
      </c>
      <c r="AR63" s="26">
        <f t="shared" si="16"/>
        <v>0</v>
      </c>
      <c r="AS63" s="26">
        <f t="shared" si="17"/>
        <v>4.0216150679832374</v>
      </c>
      <c r="AT63" s="26">
        <f t="shared" si="18"/>
        <v>2.0191072783976813</v>
      </c>
      <c r="AU63" s="26">
        <f t="shared" si="19"/>
        <v>0.78186881385340168</v>
      </c>
      <c r="AV63" s="47"/>
      <c r="AW63" s="26">
        <f t="shared" si="20"/>
        <v>1.9224916514984869</v>
      </c>
      <c r="AX63" s="26">
        <f t="shared" si="21"/>
        <v>1.4050500779014983E-2</v>
      </c>
      <c r="AY63" s="26">
        <f t="shared" si="22"/>
        <v>8.5763484078399538E-2</v>
      </c>
      <c r="AZ63" s="26">
        <f t="shared" si="23"/>
        <v>0</v>
      </c>
      <c r="BA63" s="26">
        <f t="shared" si="24"/>
        <v>0.27646320806128849</v>
      </c>
      <c r="BB63" s="26">
        <f t="shared" si="25"/>
        <v>6.4496678924798712E-2</v>
      </c>
      <c r="BC63" s="26">
        <f t="shared" si="26"/>
        <v>1.0706295686007086E-2</v>
      </c>
      <c r="BD63" s="26">
        <f t="shared" si="27"/>
        <v>0.84836169560597052</v>
      </c>
      <c r="BE63" s="26">
        <f t="shared" si="28"/>
        <v>0.7543220178078307</v>
      </c>
      <c r="BF63" s="26">
        <f t="shared" si="29"/>
        <v>2.3344467558202939E-2</v>
      </c>
      <c r="BG63" s="26">
        <f t="shared" si="30"/>
        <v>0</v>
      </c>
      <c r="BH63" s="26">
        <f t="shared" si="31"/>
        <v>0</v>
      </c>
      <c r="BI63" s="26">
        <f t="shared" si="32"/>
        <v>0</v>
      </c>
      <c r="BJ63" s="26">
        <f t="shared" si="33"/>
        <v>0</v>
      </c>
      <c r="BK63" s="25">
        <f t="shared" si="34"/>
        <v>4</v>
      </c>
      <c r="BL63" s="24">
        <f t="shared" si="35"/>
        <v>6.0000000000000009</v>
      </c>
      <c r="BM63" s="26">
        <f t="shared" si="36"/>
        <v>2.0082551355768863</v>
      </c>
      <c r="BN63" s="26">
        <f t="shared" si="37"/>
        <v>0.77766648536603367</v>
      </c>
      <c r="BO63" s="22"/>
      <c r="BP63" s="23">
        <f t="shared" si="38"/>
        <v>0.7133156482008971</v>
      </c>
      <c r="BQ63" s="26">
        <f t="shared" si="39"/>
        <v>7.7508348501513114E-2</v>
      </c>
      <c r="BR63" s="26">
        <f t="shared" si="40"/>
        <v>8.2551355768864243E-3</v>
      </c>
      <c r="BS63" s="26"/>
      <c r="BT63" s="26">
        <f t="shared" si="41"/>
        <v>8.2551355768864243E-3</v>
      </c>
      <c r="BU63" s="26">
        <f t="shared" si="42"/>
        <v>0</v>
      </c>
      <c r="BV63" s="26">
        <f t="shared" si="43"/>
        <v>8.2551355768864243E-3</v>
      </c>
      <c r="BW63" s="26">
        <f t="shared" si="44"/>
        <v>0</v>
      </c>
      <c r="BX63" s="26">
        <f t="shared" si="45"/>
        <v>0.75014306265498654</v>
      </c>
      <c r="BY63" s="26">
        <f t="shared" si="46"/>
        <v>0.22280266832624296</v>
      </c>
      <c r="BZ63" s="26">
        <f t="shared" si="47"/>
        <v>0.98945600213500229</v>
      </c>
      <c r="CA63" s="22"/>
      <c r="CB63" s="22">
        <f t="shared" si="48"/>
        <v>2.3344467558202939E-2</v>
      </c>
      <c r="CC63" s="22">
        <f t="shared" si="49"/>
        <v>0</v>
      </c>
      <c r="CD63" s="22">
        <f t="shared" si="50"/>
        <v>4.1152211366595776E-2</v>
      </c>
      <c r="CE63" s="22">
        <f t="shared" si="51"/>
        <v>0</v>
      </c>
      <c r="CF63" s="22">
        <f t="shared" si="52"/>
        <v>8.2551355768864243E-3</v>
      </c>
      <c r="CG63" s="22">
        <f t="shared" si="53"/>
        <v>0.36412956921127571</v>
      </c>
      <c r="CH63" s="22">
        <f t="shared" si="54"/>
        <v>0.47958408023405424</v>
      </c>
      <c r="CI63" s="22">
        <f t="shared" si="55"/>
        <v>0.15628635055467005</v>
      </c>
      <c r="CJ63" s="22"/>
      <c r="CK63" s="22">
        <f t="shared" si="56"/>
        <v>0.38597081275904627</v>
      </c>
      <c r="CL63" s="22">
        <f t="shared" si="57"/>
        <v>0.43408895065568348</v>
      </c>
      <c r="CM63" s="22">
        <f t="shared" si="58"/>
        <v>0.1799402365852702</v>
      </c>
      <c r="CN63" s="1"/>
      <c r="CO63" s="26">
        <f t="shared" si="59"/>
        <v>0.85302929427430096</v>
      </c>
      <c r="CP63" s="26">
        <f t="shared" si="60"/>
        <v>6.2343515272909366E-3</v>
      </c>
      <c r="CQ63" s="26">
        <f t="shared" si="61"/>
        <v>3.8054138877991368E-2</v>
      </c>
      <c r="CR63" s="26">
        <f t="shared" si="62"/>
        <v>0</v>
      </c>
      <c r="CS63" s="26">
        <f t="shared" si="63"/>
        <v>0.15128740431454418</v>
      </c>
      <c r="CT63" s="26">
        <f t="shared" si="64"/>
        <v>4.7504933746828314E-3</v>
      </c>
      <c r="CU63" s="26">
        <f t="shared" si="65"/>
        <v>0.37642679900744419</v>
      </c>
      <c r="CV63" s="26">
        <f t="shared" si="66"/>
        <v>0.33470042796005706</v>
      </c>
      <c r="CW63" s="26">
        <f t="shared" si="67"/>
        <v>1.0358180058083253E-2</v>
      </c>
      <c r="CX63" s="26">
        <f t="shared" si="68"/>
        <v>0</v>
      </c>
      <c r="CY63" s="26">
        <f t="shared" si="69"/>
        <v>0</v>
      </c>
      <c r="CZ63" s="26">
        <f t="shared" si="70"/>
        <v>0</v>
      </c>
      <c r="DA63" s="26">
        <f t="shared" si="71"/>
        <v>0</v>
      </c>
      <c r="DB63" s="26">
        <f t="shared" si="72"/>
        <v>1.7748410893943949</v>
      </c>
      <c r="DC63" s="26">
        <f t="shared" si="73"/>
        <v>2.6479527146059407</v>
      </c>
      <c r="DD63" s="26">
        <f t="shared" si="74"/>
        <v>2.2537228960395921</v>
      </c>
      <c r="DE63" s="26">
        <f t="shared" si="75"/>
        <v>5.9677516605376004</v>
      </c>
      <c r="DF63" s="1"/>
      <c r="DG63" s="22">
        <v>7.3877484148797077</v>
      </c>
      <c r="DH63" s="14">
        <v>2139.5177406928947</v>
      </c>
      <c r="DI63" s="14">
        <v>88271.48303873383</v>
      </c>
      <c r="DJ63" s="14">
        <v>12610.160617249576</v>
      </c>
      <c r="DK63" s="14">
        <v>238610.91201487029</v>
      </c>
      <c r="DL63" s="14">
        <v>135622.88237406337</v>
      </c>
      <c r="DM63" s="96">
        <v>122.92361843658195</v>
      </c>
      <c r="DN63" s="14">
        <v>3539.0359762600197</v>
      </c>
      <c r="DO63" s="96">
        <v>362.80520008142526</v>
      </c>
      <c r="DP63" s="22">
        <v>64.404521428870453</v>
      </c>
      <c r="DQ63" s="14">
        <v>2209.2083584020243</v>
      </c>
      <c r="DR63" s="22">
        <v>52.569644098292144</v>
      </c>
      <c r="DS63" s="22">
        <v>52.187689752391265</v>
      </c>
      <c r="DT63" s="22">
        <v>0.78568791260160342</v>
      </c>
      <c r="DU63" s="22">
        <v>64.413977720896909</v>
      </c>
      <c r="DV63" s="22">
        <v>0</v>
      </c>
      <c r="DW63" s="22">
        <v>10.924010421830959</v>
      </c>
      <c r="DX63" s="22">
        <v>11.250970050765646</v>
      </c>
      <c r="DY63" s="22">
        <v>32.380888228215539</v>
      </c>
      <c r="DZ63" s="22">
        <v>24.9367406642045</v>
      </c>
      <c r="EA63" s="22">
        <v>0</v>
      </c>
      <c r="EB63" s="22">
        <v>0</v>
      </c>
      <c r="EC63" s="22">
        <v>0</v>
      </c>
      <c r="ED63" s="22">
        <v>1.2486361042909766</v>
      </c>
      <c r="EE63" s="22">
        <v>5.9543827310513198</v>
      </c>
      <c r="EF63" s="22">
        <v>1.2555590042080829</v>
      </c>
      <c r="EG63" s="22">
        <v>7.9800187873258954</v>
      </c>
      <c r="EH63" s="22">
        <v>3.227786311234917</v>
      </c>
      <c r="EI63" s="22">
        <v>0.80162033430313639</v>
      </c>
      <c r="EJ63" s="22">
        <v>4.0795057432048329</v>
      </c>
      <c r="EK63" s="22">
        <v>0.85521528450460327</v>
      </c>
      <c r="EL63" s="22">
        <v>6.0052411749043522</v>
      </c>
      <c r="EM63" s="22">
        <v>1.2970531579276261</v>
      </c>
      <c r="EN63" s="22">
        <v>3.5756947659800695</v>
      </c>
      <c r="EO63" s="22">
        <v>0.543909581162763</v>
      </c>
      <c r="EP63" s="22">
        <v>3.6957897170745055</v>
      </c>
      <c r="EQ63" s="22">
        <v>0.48914043538356827</v>
      </c>
      <c r="ER63" s="22">
        <v>1.0382679252604265</v>
      </c>
      <c r="ES63" s="22">
        <v>0</v>
      </c>
      <c r="ET63" s="22">
        <v>8.3154563043588758E-2</v>
      </c>
      <c r="EU63" s="22">
        <v>7.9650992769492196E-2</v>
      </c>
      <c r="EV63" s="22">
        <v>1.287398213675652E-2</v>
      </c>
      <c r="EW63" s="22">
        <f>(EI63/0.05883)/SQRT((EH63/0.1536)*(EJ63/0.2069))</f>
        <v>0.66940594933369157</v>
      </c>
      <c r="EX63" s="22"/>
      <c r="EY63" s="22"/>
      <c r="EZ63" s="22"/>
      <c r="FA63" s="22"/>
      <c r="FB63" s="22"/>
      <c r="FC63" s="22"/>
      <c r="FD63" s="22"/>
      <c r="FE63" s="22"/>
      <c r="FF63" s="22"/>
      <c r="FG63" s="22"/>
      <c r="FH63" s="22"/>
      <c r="FI63" s="22">
        <f>-0.50354-2.23025*BP63+ N("eqn 18 Mg# R2 0.28 best")</f>
        <v>-2.0944122244000507</v>
      </c>
      <c r="FJ63" s="22"/>
      <c r="FK63" s="22">
        <f xml:space="preserve"> -0.03692  +  0.931085 + FX63   + N("488 NN Dy")</f>
        <v>0.64261128638801424</v>
      </c>
      <c r="FL63" s="22">
        <f>-0.48986  +   0    +   (1.071278 + 0) * GD63  +N("eqn 119 LnD Hf  (which has R2 of 0.51 for TS")</f>
        <v>-1.0746324945019687</v>
      </c>
      <c r="FM63" s="22"/>
      <c r="FN63" s="22"/>
      <c r="FO63" s="22">
        <f>3.94011-11.9214*BP63</f>
        <v>-4.5636111684621747</v>
      </c>
      <c r="FP63" s="22">
        <f xml:space="preserve">  -0.49862 +   1.013256 * FQ63 + N("294 NN")</f>
        <v>-2.215573466249896</v>
      </c>
      <c r="FQ63" s="46">
        <f t="shared" si="220"/>
        <v>-1.6944912897134545</v>
      </c>
      <c r="FR63" s="46">
        <f t="shared" si="221"/>
        <v>-1.2876876463324181</v>
      </c>
      <c r="FS63" s="46">
        <f t="shared" si="222"/>
        <v>-0.93796710462417621</v>
      </c>
      <c r="FT63" s="46">
        <f xml:space="preserve"> 0.68509  -3.34181 * BP63 + 0.03095*(100*CK63) +N("642 cpx Mg# Wo R2 0.59")</f>
        <v>-0.504095700824992</v>
      </c>
      <c r="FU63" s="46">
        <f t="shared" si="223"/>
        <v>-0.53278362715534422</v>
      </c>
      <c r="FV63" s="46">
        <f t="shared" si="224"/>
        <v>-0.32126527180287046</v>
      </c>
      <c r="FW63" s="46">
        <f t="shared" si="225"/>
        <v>-0.24618514569501126</v>
      </c>
      <c r="FX63" s="46">
        <f t="shared" si="226"/>
        <v>-0.25155371361198581</v>
      </c>
      <c r="FY63" s="46">
        <f t="shared" si="227"/>
        <v>-0.30175614926723465</v>
      </c>
      <c r="FZ63" s="46">
        <f t="shared" si="228"/>
        <v>-0.34982848586849846</v>
      </c>
      <c r="GA63" s="46">
        <f t="shared" si="229"/>
        <v>-0.31734170115402782</v>
      </c>
      <c r="GB63" s="46">
        <f t="shared" si="230"/>
        <v>-0.34765965874596316</v>
      </c>
      <c r="GC63" s="46">
        <f t="shared" si="231"/>
        <v>-0.33245447245011489</v>
      </c>
      <c r="GD63" s="46">
        <f>(-1.72947 +0 ) * (3.46258+0) * BQ63   - (1.87473 + 0) *BP63   + (0.03253+0) * (CK63*100)    +N("eqn625 aliv mg# wo")</f>
        <v>-0.54586437367515139</v>
      </c>
      <c r="GE63" s="46"/>
      <c r="GF63" s="46"/>
      <c r="GG63" s="46"/>
      <c r="GH63" s="46"/>
    </row>
    <row r="64" spans="1:190" x14ac:dyDescent="0.25">
      <c r="A64" s="5" t="s">
        <v>188</v>
      </c>
      <c r="B64" s="1">
        <v>359</v>
      </c>
      <c r="C64" s="98" t="s">
        <v>98</v>
      </c>
      <c r="D64" s="98" t="s">
        <v>106</v>
      </c>
      <c r="E64" s="1">
        <v>24</v>
      </c>
      <c r="F64" s="22">
        <v>51.3</v>
      </c>
      <c r="G64" s="22">
        <v>0.45600000000000002</v>
      </c>
      <c r="H64" s="22">
        <v>1.613</v>
      </c>
      <c r="I64" s="22">
        <v>0</v>
      </c>
      <c r="J64" s="22">
        <v>10.3</v>
      </c>
      <c r="K64" s="22">
        <v>0.38200000000000001</v>
      </c>
      <c r="L64" s="22">
        <v>13.63</v>
      </c>
      <c r="M64" s="22">
        <v>20.43</v>
      </c>
      <c r="N64" s="22">
        <v>0.32900000000000001</v>
      </c>
      <c r="O64" s="22">
        <v>0</v>
      </c>
      <c r="P64" s="22">
        <v>0</v>
      </c>
      <c r="Q64" s="22"/>
      <c r="R64" s="22"/>
      <c r="S64" s="22">
        <f t="shared" si="0"/>
        <v>98.439999999999984</v>
      </c>
      <c r="T64" s="3"/>
      <c r="U64" s="22">
        <f t="shared" si="1"/>
        <v>9.371984296029197</v>
      </c>
      <c r="V64" s="22">
        <f t="shared" si="2"/>
        <v>1.0313038518227533</v>
      </c>
      <c r="W64" s="22">
        <f t="shared" si="3"/>
        <v>98.543288147851953</v>
      </c>
      <c r="X64" s="1">
        <v>1</v>
      </c>
      <c r="Y64" s="1"/>
      <c r="Z64" s="1"/>
      <c r="AA64" s="1" t="s">
        <v>185</v>
      </c>
      <c r="AC64" s="1">
        <v>6</v>
      </c>
      <c r="AD64" s="1">
        <v>4</v>
      </c>
      <c r="AE64" s="1"/>
      <c r="AF64" s="26">
        <f t="shared" si="4"/>
        <v>1.9530513092648289</v>
      </c>
      <c r="AG64" s="26">
        <f t="shared" si="5"/>
        <v>1.3057288450523667E-2</v>
      </c>
      <c r="AH64" s="26">
        <f t="shared" si="6"/>
        <v>7.237036251329601E-2</v>
      </c>
      <c r="AI64" s="26">
        <f t="shared" si="7"/>
        <v>0</v>
      </c>
      <c r="AJ64" s="26">
        <f t="shared" si="8"/>
        <v>0.32789641171014955</v>
      </c>
      <c r="AK64" s="26">
        <f t="shared" si="9"/>
        <v>1.2316814213686612E-2</v>
      </c>
      <c r="AL64" s="26">
        <f t="shared" si="10"/>
        <v>0.77360099829466134</v>
      </c>
      <c r="AM64" s="26">
        <f t="shared" si="11"/>
        <v>0.83327158707996163</v>
      </c>
      <c r="AN64" s="26">
        <f t="shared" si="12"/>
        <v>2.4282899001782994E-2</v>
      </c>
      <c r="AO64" s="26">
        <f t="shared" si="13"/>
        <v>0</v>
      </c>
      <c r="AP64" s="26">
        <f t="shared" si="14"/>
        <v>0</v>
      </c>
      <c r="AQ64" s="26">
        <f t="shared" si="15"/>
        <v>0</v>
      </c>
      <c r="AR64" s="26">
        <f t="shared" si="16"/>
        <v>0</v>
      </c>
      <c r="AS64" s="26">
        <f t="shared" si="17"/>
        <v>4.0098476705288899</v>
      </c>
      <c r="AT64" s="26">
        <f t="shared" si="18"/>
        <v>2.0254216717781248</v>
      </c>
      <c r="AU64" s="26">
        <f t="shared" si="19"/>
        <v>0.85755448608174467</v>
      </c>
      <c r="AV64" s="47"/>
      <c r="AW64" s="26">
        <f t="shared" si="20"/>
        <v>1.9482548662575263</v>
      </c>
      <c r="AX64" s="26">
        <f t="shared" si="21"/>
        <v>1.3025221428225917E-2</v>
      </c>
      <c r="AY64" s="26">
        <f t="shared" si="22"/>
        <v>7.2192630204080066E-2</v>
      </c>
      <c r="AZ64" s="26">
        <f t="shared" si="23"/>
        <v>0</v>
      </c>
      <c r="BA64" s="26">
        <f t="shared" si="24"/>
        <v>0.29762068251747631</v>
      </c>
      <c r="BB64" s="26">
        <f t="shared" si="25"/>
        <v>2.94704577471121E-2</v>
      </c>
      <c r="BC64" s="26">
        <f t="shared" si="26"/>
        <v>1.2286565700947988E-2</v>
      </c>
      <c r="BD64" s="26">
        <f t="shared" si="27"/>
        <v>0.77170113366688076</v>
      </c>
      <c r="BE64" s="26">
        <f t="shared" si="28"/>
        <v>0.83122517915505256</v>
      </c>
      <c r="BF64" s="26">
        <f t="shared" si="29"/>
        <v>2.4223263322698873E-2</v>
      </c>
      <c r="BG64" s="26">
        <f t="shared" si="30"/>
        <v>0</v>
      </c>
      <c r="BH64" s="26">
        <f t="shared" si="31"/>
        <v>0</v>
      </c>
      <c r="BI64" s="26">
        <f t="shared" si="32"/>
        <v>0</v>
      </c>
      <c r="BJ64" s="26">
        <f t="shared" si="33"/>
        <v>0</v>
      </c>
      <c r="BK64" s="25">
        <f t="shared" si="34"/>
        <v>4.0000000000000009</v>
      </c>
      <c r="BL64" s="24">
        <f t="shared" si="35"/>
        <v>6</v>
      </c>
      <c r="BM64" s="26">
        <f t="shared" si="36"/>
        <v>2.0204474964616064</v>
      </c>
      <c r="BN64" s="26">
        <f t="shared" si="37"/>
        <v>0.85544844247775143</v>
      </c>
      <c r="BO64" s="22"/>
      <c r="BP64" s="23">
        <f t="shared" si="38"/>
        <v>0.70231758265440003</v>
      </c>
      <c r="BQ64" s="26">
        <f t="shared" si="39"/>
        <v>5.1745133742473692E-2</v>
      </c>
      <c r="BR64" s="26">
        <f t="shared" si="40"/>
        <v>2.0447496461606374E-2</v>
      </c>
      <c r="BS64" s="26"/>
      <c r="BT64" s="26">
        <f t="shared" si="41"/>
        <v>2.0447496461606374E-2</v>
      </c>
      <c r="BU64" s="26">
        <f t="shared" si="42"/>
        <v>0</v>
      </c>
      <c r="BV64" s="26">
        <f t="shared" si="43"/>
        <v>2.0447496461606374E-2</v>
      </c>
      <c r="BW64" s="26">
        <f t="shared" si="44"/>
        <v>0</v>
      </c>
      <c r="BX64" s="26">
        <f t="shared" si="45"/>
        <v>0.81282409061835525</v>
      </c>
      <c r="BY64" s="26">
        <f t="shared" si="46"/>
        <v>0.14433665969322784</v>
      </c>
      <c r="BZ64" s="26">
        <f t="shared" si="47"/>
        <v>0.99805574323479584</v>
      </c>
      <c r="CA64" s="22"/>
      <c r="CB64" s="22">
        <f t="shared" si="48"/>
        <v>2.4223263322698873E-2</v>
      </c>
      <c r="CC64" s="22">
        <f t="shared" si="49"/>
        <v>0</v>
      </c>
      <c r="CD64" s="22">
        <f t="shared" si="50"/>
        <v>5.2471944244132269E-3</v>
      </c>
      <c r="CE64" s="22">
        <f t="shared" si="51"/>
        <v>0</v>
      </c>
      <c r="CF64" s="22">
        <f t="shared" si="52"/>
        <v>2.0447496461606374E-2</v>
      </c>
      <c r="CG64" s="22">
        <f t="shared" si="53"/>
        <v>0.41487687579586591</v>
      </c>
      <c r="CH64" s="22">
        <f t="shared" si="54"/>
        <v>0.42226780698654459</v>
      </c>
      <c r="CI64" s="22">
        <f t="shared" si="55"/>
        <v>0.16285531721758956</v>
      </c>
      <c r="CJ64" s="22"/>
      <c r="CK64" s="22">
        <f t="shared" si="56"/>
        <v>0.42795832738582557</v>
      </c>
      <c r="CL64" s="22">
        <f t="shared" si="57"/>
        <v>0.39731222620268991</v>
      </c>
      <c r="CM64" s="22">
        <f t="shared" si="58"/>
        <v>0.17472944641148463</v>
      </c>
      <c r="CN64" s="1"/>
      <c r="CO64" s="26">
        <f t="shared" si="59"/>
        <v>0.85386151797603194</v>
      </c>
      <c r="CP64" s="26">
        <f t="shared" si="60"/>
        <v>5.7085628442664002E-3</v>
      </c>
      <c r="CQ64" s="26">
        <f t="shared" si="61"/>
        <v>3.1639858768144374E-2</v>
      </c>
      <c r="CR64" s="26">
        <f t="shared" si="62"/>
        <v>0</v>
      </c>
      <c r="CS64" s="26">
        <f t="shared" si="63"/>
        <v>0.1433542101600557</v>
      </c>
      <c r="CT64" s="26">
        <f t="shared" si="64"/>
        <v>5.3848322526078383E-3</v>
      </c>
      <c r="CU64" s="26">
        <f t="shared" si="65"/>
        <v>0.33821339950372215</v>
      </c>
      <c r="CV64" s="26">
        <f t="shared" si="66"/>
        <v>0.36430099857346648</v>
      </c>
      <c r="CW64" s="26">
        <f t="shared" si="67"/>
        <v>1.0616327847692805E-2</v>
      </c>
      <c r="CX64" s="26">
        <f t="shared" si="68"/>
        <v>0</v>
      </c>
      <c r="CY64" s="26">
        <f t="shared" si="69"/>
        <v>0</v>
      </c>
      <c r="CZ64" s="26">
        <f t="shared" si="70"/>
        <v>0</v>
      </c>
      <c r="DA64" s="26">
        <f t="shared" si="71"/>
        <v>0</v>
      </c>
      <c r="DB64" s="26">
        <f t="shared" si="72"/>
        <v>1.7530797079259874</v>
      </c>
      <c r="DC64" s="26">
        <f t="shared" si="73"/>
        <v>2.6231615542065119</v>
      </c>
      <c r="DD64" s="26">
        <f t="shared" si="74"/>
        <v>2.2816988765058905</v>
      </c>
      <c r="DE64" s="26">
        <f t="shared" si="75"/>
        <v>5.9852647711264435</v>
      </c>
      <c r="DF64" s="1"/>
      <c r="DG64" s="22">
        <v>11.123451049981828</v>
      </c>
      <c r="DH64" s="14">
        <v>2331.6025742750262</v>
      </c>
      <c r="DI64" s="14">
        <v>84949.754558583547</v>
      </c>
      <c r="DJ64" s="14">
        <v>11047.275629171747</v>
      </c>
      <c r="DK64" s="14">
        <v>245173.80752889518</v>
      </c>
      <c r="DL64" s="14">
        <v>137810.31370367875</v>
      </c>
      <c r="DM64" s="96">
        <v>147.17278943315239</v>
      </c>
      <c r="DN64" s="14">
        <v>3819.1377602488087</v>
      </c>
      <c r="DO64" s="96">
        <v>345.44823007508506</v>
      </c>
      <c r="DP64" s="22">
        <v>158.81444319872858</v>
      </c>
      <c r="DQ64" s="14">
        <v>2887.5553952987984</v>
      </c>
      <c r="DR64" s="22">
        <v>51.659115906189186</v>
      </c>
      <c r="DS64" s="22">
        <v>58.302257709200184</v>
      </c>
      <c r="DT64" s="22">
        <v>2.9636977711499983</v>
      </c>
      <c r="DU64" s="22">
        <v>105.51475458751177</v>
      </c>
      <c r="DV64" s="22">
        <v>1.3013992582246907</v>
      </c>
      <c r="DW64" s="22">
        <v>12.747166952754483</v>
      </c>
      <c r="DX64" s="22">
        <v>12.074801031034536</v>
      </c>
      <c r="DY64" s="22">
        <v>49.231309816405236</v>
      </c>
      <c r="DZ64" s="22">
        <v>41.267212178181225</v>
      </c>
      <c r="EA64" s="22">
        <v>0.31309201674042331</v>
      </c>
      <c r="EB64" s="22">
        <v>0.22083457205772794</v>
      </c>
      <c r="EC64" s="22">
        <v>2.7067491787462887</v>
      </c>
      <c r="ED64" s="22">
        <v>3.112845665829576</v>
      </c>
      <c r="EE64" s="22">
        <v>11.429292040450719</v>
      </c>
      <c r="EF64" s="22">
        <v>2.0607818765895476</v>
      </c>
      <c r="EG64" s="22">
        <v>12.431607732981702</v>
      </c>
      <c r="EH64" s="22">
        <v>5.211793150915355</v>
      </c>
      <c r="EI64" s="22">
        <v>1.0469362068774517</v>
      </c>
      <c r="EJ64" s="22">
        <v>7.1266836014059747</v>
      </c>
      <c r="EK64" s="22">
        <v>1.31495273563135</v>
      </c>
      <c r="EL64" s="22">
        <v>8.2072039282095446</v>
      </c>
      <c r="EM64" s="22">
        <v>1.8864605157265844</v>
      </c>
      <c r="EN64" s="22">
        <v>6.0837846801042206</v>
      </c>
      <c r="EO64" s="22">
        <v>0.81031344348183731</v>
      </c>
      <c r="EP64" s="22">
        <v>5.4433271092694309</v>
      </c>
      <c r="EQ64" s="22">
        <v>0.75029093870944408</v>
      </c>
      <c r="ER64" s="22">
        <v>1.5789796864446288</v>
      </c>
      <c r="ES64" s="22">
        <v>3.6346789868992063E-2</v>
      </c>
      <c r="ET64" s="22">
        <v>1.1322024403695379</v>
      </c>
      <c r="EU64" s="22">
        <v>0.44322856366786473</v>
      </c>
      <c r="EV64" s="22">
        <v>0.10782303127388378</v>
      </c>
      <c r="EW64" s="22">
        <f>(EI64/0.05883)/SQRT((EH64/0.1536)*(EJ64/0.2069))</f>
        <v>0.52054694241680066</v>
      </c>
      <c r="EX64" s="22"/>
      <c r="EY64" s="22"/>
      <c r="EZ64" s="22"/>
      <c r="FA64" s="22"/>
      <c r="FB64" s="22"/>
      <c r="FC64" s="22"/>
      <c r="FD64" s="22"/>
      <c r="FE64" s="22"/>
      <c r="FF64" s="22"/>
      <c r="FG64" s="22"/>
      <c r="FH64" s="22"/>
      <c r="FI64" s="22">
        <f>-0.50354-2.23025*BP64+ N("eqn 18 Mg# R2 0.28 best")</f>
        <v>-2.0698837887149755</v>
      </c>
      <c r="FJ64" s="22"/>
      <c r="FK64" s="22">
        <f xml:space="preserve"> -0.03692  +  0.931085 + FX64   + N("488 NN Dy")</f>
        <v>0.8941650000000001</v>
      </c>
      <c r="FL64" s="22">
        <f>-0.48986  +   0    +   (1.071278 + 0) * GD64  +N("eqn 119 LnD Hf  (which has R2 of 0.51 for TS")</f>
        <v>-0.48986000000000002</v>
      </c>
      <c r="FM64" s="22"/>
      <c r="FN64" s="22"/>
      <c r="FO64" s="22">
        <f>3.94011-11.9214*BP64</f>
        <v>-4.4324988298561641</v>
      </c>
      <c r="FP64" s="22">
        <f xml:space="preserve">  -0.49862 +   1.013256 * FQ64 + N("294 NN")</f>
        <v>-0.49862000000000001</v>
      </c>
      <c r="FQ64" s="46"/>
      <c r="FR64" s="46"/>
      <c r="FS64" s="46"/>
      <c r="FT64" s="46"/>
      <c r="FU64" s="46"/>
      <c r="FV64" s="46"/>
      <c r="FW64" s="46"/>
      <c r="FX64" s="46"/>
      <c r="FY64" s="46"/>
      <c r="FZ64" s="46"/>
      <c r="GA64" s="46"/>
      <c r="GB64" s="46"/>
      <c r="GC64" s="46"/>
      <c r="GD64" s="46"/>
      <c r="GE64" s="46"/>
      <c r="GF64" s="46"/>
      <c r="GG64" s="46"/>
      <c r="GH64" s="46"/>
    </row>
    <row r="65" spans="1:190" x14ac:dyDescent="0.25">
      <c r="A65" s="5" t="s">
        <v>188</v>
      </c>
      <c r="B65" s="1">
        <v>360</v>
      </c>
      <c r="C65" s="98" t="s">
        <v>98</v>
      </c>
      <c r="D65" s="98" t="s">
        <v>106</v>
      </c>
      <c r="E65" s="1">
        <v>25</v>
      </c>
      <c r="F65" s="22">
        <v>50.64</v>
      </c>
      <c r="G65" s="22">
        <v>0.65900000000000003</v>
      </c>
      <c r="H65" s="22">
        <v>1.8160000000000001</v>
      </c>
      <c r="I65" s="22">
        <v>7.0000000000000001E-3</v>
      </c>
      <c r="J65" s="22">
        <v>11.42</v>
      </c>
      <c r="K65" s="22">
        <v>0.40200000000000002</v>
      </c>
      <c r="L65" s="22">
        <v>14.73</v>
      </c>
      <c r="M65" s="22">
        <v>18.59</v>
      </c>
      <c r="N65" s="22">
        <v>0.26700000000000002</v>
      </c>
      <c r="O65" s="22">
        <v>0</v>
      </c>
      <c r="P65" s="22">
        <v>0</v>
      </c>
      <c r="Q65" s="22"/>
      <c r="R65" s="22"/>
      <c r="S65" s="22">
        <f t="shared" si="0"/>
        <v>98.531000000000006</v>
      </c>
      <c r="T65" s="3"/>
      <c r="U65" s="22">
        <f t="shared" si="1"/>
        <v>9.4287678637097283</v>
      </c>
      <c r="V65" s="22">
        <f t="shared" si="2"/>
        <v>2.2128562730593777</v>
      </c>
      <c r="W65" s="22">
        <f t="shared" si="3"/>
        <v>98.752624136769114</v>
      </c>
      <c r="X65" s="1">
        <v>1</v>
      </c>
      <c r="Y65" s="1"/>
      <c r="Z65" s="1"/>
      <c r="AA65" s="1" t="s">
        <v>186</v>
      </c>
      <c r="AC65" s="1">
        <v>6</v>
      </c>
      <c r="AD65" s="1">
        <v>4</v>
      </c>
      <c r="AE65" s="1"/>
      <c r="AF65" s="26">
        <f t="shared" si="4"/>
        <v>1.9289702617756432</v>
      </c>
      <c r="AG65" s="26">
        <f t="shared" si="5"/>
        <v>1.8880309866164211E-2</v>
      </c>
      <c r="AH65" s="26">
        <f t="shared" si="6"/>
        <v>8.1522553110187579E-2</v>
      </c>
      <c r="AI65" s="26">
        <f t="shared" si="7"/>
        <v>2.1080202574553172E-4</v>
      </c>
      <c r="AJ65" s="26">
        <f t="shared" si="8"/>
        <v>0.36374839922336588</v>
      </c>
      <c r="AK65" s="26">
        <f t="shared" si="9"/>
        <v>1.2968705502649598E-2</v>
      </c>
      <c r="AL65" s="26">
        <f t="shared" si="10"/>
        <v>0.83648750872886124</v>
      </c>
      <c r="AM65" s="26">
        <f t="shared" si="11"/>
        <v>0.75863546975245577</v>
      </c>
      <c r="AN65" s="26">
        <f t="shared" si="12"/>
        <v>1.9717481610307289E-2</v>
      </c>
      <c r="AO65" s="26">
        <f t="shared" si="13"/>
        <v>0</v>
      </c>
      <c r="AP65" s="26">
        <f t="shared" si="14"/>
        <v>0</v>
      </c>
      <c r="AQ65" s="26">
        <f t="shared" si="15"/>
        <v>0</v>
      </c>
      <c r="AR65" s="26">
        <f t="shared" si="16"/>
        <v>0</v>
      </c>
      <c r="AS65" s="26">
        <f t="shared" si="17"/>
        <v>4.0211414915953796</v>
      </c>
      <c r="AT65" s="26">
        <f t="shared" si="18"/>
        <v>2.010492814885831</v>
      </c>
      <c r="AU65" s="26">
        <f t="shared" si="19"/>
        <v>0.77835295136276306</v>
      </c>
      <c r="AV65" s="47"/>
      <c r="AW65" s="26">
        <f t="shared" si="20"/>
        <v>1.9188285374263989</v>
      </c>
      <c r="AX65" s="26">
        <f t="shared" si="21"/>
        <v>1.8781045039699393E-2</v>
      </c>
      <c r="AY65" s="26">
        <f t="shared" si="22"/>
        <v>8.1093941390103785E-2</v>
      </c>
      <c r="AZ65" s="26">
        <f t="shared" si="23"/>
        <v>2.0969371626055008E-4</v>
      </c>
      <c r="BA65" s="26">
        <f t="shared" si="24"/>
        <v>0.29874494599599255</v>
      </c>
      <c r="BB65" s="26">
        <f t="shared" si="25"/>
        <v>6.3091015244007842E-2</v>
      </c>
      <c r="BC65" s="26">
        <f t="shared" si="26"/>
        <v>1.2900521436269368E-2</v>
      </c>
      <c r="BD65" s="26">
        <f t="shared" si="27"/>
        <v>0.83208960488180805</v>
      </c>
      <c r="BE65" s="26">
        <f t="shared" si="28"/>
        <v>0.75464687958688914</v>
      </c>
      <c r="BF65" s="26">
        <f t="shared" si="29"/>
        <v>1.9613815282569839E-2</v>
      </c>
      <c r="BG65" s="26">
        <f t="shared" si="30"/>
        <v>0</v>
      </c>
      <c r="BH65" s="26">
        <f t="shared" si="31"/>
        <v>0</v>
      </c>
      <c r="BI65" s="26">
        <f t="shared" si="32"/>
        <v>0</v>
      </c>
      <c r="BJ65" s="26">
        <f t="shared" si="33"/>
        <v>0</v>
      </c>
      <c r="BK65" s="25">
        <f t="shared" si="34"/>
        <v>4</v>
      </c>
      <c r="BL65" s="24">
        <f t="shared" si="35"/>
        <v>5.9999999999999982</v>
      </c>
      <c r="BM65" s="26">
        <f t="shared" si="36"/>
        <v>1.9999224788165026</v>
      </c>
      <c r="BN65" s="26">
        <f t="shared" si="37"/>
        <v>0.77426069486945903</v>
      </c>
      <c r="BO65" s="22"/>
      <c r="BP65" s="23">
        <f t="shared" si="38"/>
        <v>0.69693591333726024</v>
      </c>
      <c r="BQ65" s="26">
        <f t="shared" si="39"/>
        <v>8.1171462573601083E-2</v>
      </c>
      <c r="BR65" s="26">
        <f t="shared" si="40"/>
        <v>0</v>
      </c>
      <c r="BS65" s="26"/>
      <c r="BT65" s="26">
        <f t="shared" si="41"/>
        <v>0</v>
      </c>
      <c r="BU65" s="26">
        <f t="shared" si="42"/>
        <v>0</v>
      </c>
      <c r="BV65" s="26">
        <f t="shared" si="43"/>
        <v>0</v>
      </c>
      <c r="BW65" s="26">
        <f t="shared" si="44"/>
        <v>1.0540101287276586E-4</v>
      </c>
      <c r="BX65" s="26">
        <f t="shared" si="45"/>
        <v>0.75853006873958295</v>
      </c>
      <c r="BY65" s="26">
        <f t="shared" si="46"/>
        <v>0.22085291960632208</v>
      </c>
      <c r="BZ65" s="26">
        <f t="shared" si="47"/>
        <v>0.9794883893587778</v>
      </c>
      <c r="CA65" s="22"/>
      <c r="CB65" s="22">
        <f t="shared" si="48"/>
        <v>1.9613815282569839E-2</v>
      </c>
      <c r="CC65" s="22">
        <f t="shared" si="49"/>
        <v>0</v>
      </c>
      <c r="CD65" s="22">
        <f t="shared" si="50"/>
        <v>4.3477199961438007E-2</v>
      </c>
      <c r="CE65" s="22">
        <f t="shared" si="51"/>
        <v>2.0969371626055008E-4</v>
      </c>
      <c r="CF65" s="22">
        <f t="shared" si="52"/>
        <v>0</v>
      </c>
      <c r="CG65" s="22">
        <f t="shared" si="53"/>
        <v>0.36528690059588026</v>
      </c>
      <c r="CH65" s="22">
        <f t="shared" si="54"/>
        <v>0.46703398979675581</v>
      </c>
      <c r="CI65" s="22">
        <f t="shared" si="55"/>
        <v>0.16767910960736385</v>
      </c>
      <c r="CJ65" s="22"/>
      <c r="CK65" s="22">
        <f t="shared" si="56"/>
        <v>0.38473478463754696</v>
      </c>
      <c r="CL65" s="22">
        <f t="shared" si="57"/>
        <v>0.42421670796358757</v>
      </c>
      <c r="CM65" s="22">
        <f t="shared" si="58"/>
        <v>0.19104850739886542</v>
      </c>
      <c r="CN65" s="1"/>
      <c r="CO65" s="26">
        <f t="shared" si="59"/>
        <v>0.84287616511318242</v>
      </c>
      <c r="CP65" s="26">
        <f t="shared" si="60"/>
        <v>8.2498748122183281E-3</v>
      </c>
      <c r="CQ65" s="26">
        <f t="shared" si="61"/>
        <v>3.5621812475480581E-2</v>
      </c>
      <c r="CR65" s="26">
        <f t="shared" si="62"/>
        <v>9.2111323113362712E-5</v>
      </c>
      <c r="CS65" s="26">
        <f t="shared" si="63"/>
        <v>0.15894224077940156</v>
      </c>
      <c r="CT65" s="26">
        <f t="shared" si="64"/>
        <v>5.6667606427967298E-3</v>
      </c>
      <c r="CU65" s="26">
        <f t="shared" si="65"/>
        <v>0.36550868486352361</v>
      </c>
      <c r="CV65" s="26">
        <f t="shared" si="66"/>
        <v>0.33149072753209702</v>
      </c>
      <c r="CW65" s="26">
        <f t="shared" si="67"/>
        <v>8.6156824782187818E-3</v>
      </c>
      <c r="CX65" s="26">
        <f t="shared" si="68"/>
        <v>0</v>
      </c>
      <c r="CY65" s="26">
        <f t="shared" si="69"/>
        <v>0</v>
      </c>
      <c r="CZ65" s="26">
        <f t="shared" si="70"/>
        <v>0</v>
      </c>
      <c r="DA65" s="26">
        <f t="shared" si="71"/>
        <v>0</v>
      </c>
      <c r="DB65" s="26">
        <f t="shared" si="72"/>
        <v>1.7570640600200325</v>
      </c>
      <c r="DC65" s="26">
        <f t="shared" si="73"/>
        <v>2.6217392206056203</v>
      </c>
      <c r="DD65" s="26">
        <f t="shared" si="74"/>
        <v>2.2765248524600721</v>
      </c>
      <c r="DE65" s="26">
        <f t="shared" si="75"/>
        <v>5.9684544923779939</v>
      </c>
      <c r="DF65" s="1"/>
      <c r="DG65" s="22">
        <v>8.4723320556077244</v>
      </c>
      <c r="DH65" s="14">
        <v>1748.3099011531147</v>
      </c>
      <c r="DI65" s="14">
        <v>91034.882356027694</v>
      </c>
      <c r="DJ65" s="14">
        <v>8692.7900330274933</v>
      </c>
      <c r="DK65" s="14">
        <v>242300.81272400753</v>
      </c>
      <c r="DL65" s="14">
        <v>124335.40696169461</v>
      </c>
      <c r="DM65" s="96">
        <v>120.52184019055751</v>
      </c>
      <c r="DN65" s="14">
        <v>3430.2571641922086</v>
      </c>
      <c r="DO65" s="96">
        <v>369.72340346011367</v>
      </c>
      <c r="DP65" s="22">
        <v>69.160607362075027</v>
      </c>
      <c r="DQ65" s="14">
        <v>2824.2435973376114</v>
      </c>
      <c r="DR65" s="22">
        <v>58.381474416934992</v>
      </c>
      <c r="DS65" s="22">
        <v>72.714914176698358</v>
      </c>
      <c r="DT65" s="22">
        <v>2.5075051640228683</v>
      </c>
      <c r="DU65" s="22">
        <v>92.024613732032336</v>
      </c>
      <c r="DV65" s="22">
        <v>0.2785968235296008</v>
      </c>
      <c r="DW65" s="22">
        <v>7.4690199786772729</v>
      </c>
      <c r="DX65" s="22">
        <v>8.5869195924124337</v>
      </c>
      <c r="DY65" s="22">
        <v>35.415507084152729</v>
      </c>
      <c r="DZ65" s="22">
        <v>23.974027725721317</v>
      </c>
      <c r="EA65" s="22">
        <v>0</v>
      </c>
      <c r="EB65" s="22">
        <v>0</v>
      </c>
      <c r="EC65" s="22">
        <v>0.43795834379249948</v>
      </c>
      <c r="ED65" s="22">
        <v>1.6323005297532573</v>
      </c>
      <c r="EE65" s="22">
        <v>6.1827409187194897</v>
      </c>
      <c r="EF65" s="22">
        <v>1.142781850189186</v>
      </c>
      <c r="EG65" s="22">
        <v>7.2267698382659349</v>
      </c>
      <c r="EH65" s="11">
        <v>3.4141583191826759</v>
      </c>
      <c r="EI65" s="22">
        <v>0.66824016598859892</v>
      </c>
      <c r="EJ65" s="22">
        <v>4.5331570106650361</v>
      </c>
      <c r="EK65" s="22">
        <v>0.88002936771927132</v>
      </c>
      <c r="EL65" s="22">
        <v>6.0119147247671023</v>
      </c>
      <c r="EM65" s="22">
        <v>1.4000263297285314</v>
      </c>
      <c r="EN65" s="22">
        <v>3.90716670259792</v>
      </c>
      <c r="EO65" s="22">
        <v>0.58811290599789146</v>
      </c>
      <c r="EP65" s="22">
        <v>3.496487830647951</v>
      </c>
      <c r="EQ65" s="22">
        <v>0.51237784117310581</v>
      </c>
      <c r="ER65" s="22">
        <v>0.94093031638618685</v>
      </c>
      <c r="ES65" s="22">
        <v>0</v>
      </c>
      <c r="ET65" s="22">
        <v>0.36950086030765394</v>
      </c>
      <c r="EU65" s="22">
        <v>6.4406173702261621E-2</v>
      </c>
      <c r="EV65" s="22">
        <v>3.8956684030753627E-2</v>
      </c>
      <c r="EW65" s="22">
        <f>(EI65/0.05883)/SQRT((EH65/0.1536)*(EJ65/0.2069))</f>
        <v>0.51471564883171916</v>
      </c>
      <c r="EX65" s="22"/>
      <c r="EY65" s="22"/>
      <c r="EZ65" s="22"/>
      <c r="FA65" s="22"/>
      <c r="FB65" s="22"/>
      <c r="FC65" s="22"/>
      <c r="FD65" s="22"/>
      <c r="FE65" s="22"/>
      <c r="FF65" s="22"/>
      <c r="FG65" s="22"/>
      <c r="FH65" s="22"/>
      <c r="FI65" s="22">
        <f>-0.50354-2.23025*BP65+ N("eqn 18 Mg# R2 0.28 best")</f>
        <v>-2.0578813207204245</v>
      </c>
      <c r="FJ65" s="22"/>
      <c r="FK65" s="22">
        <f xml:space="preserve"> -0.03692  +  0.931085 + FX65   + N("488 NN Dy")</f>
        <v>0.68349445028078193</v>
      </c>
      <c r="FL65" s="22">
        <f>-0.48986  +   0    +   (1.071278 + 0) * GD65  +N("eqn 119 LnD Hf  (which has R2 of 0.51 for TS")</f>
        <v>-1.0695434042895056</v>
      </c>
      <c r="FM65" s="22"/>
      <c r="FN65" s="22"/>
      <c r="FO65" s="22">
        <f>3.94011-11.9214*BP65</f>
        <v>-4.3683417972588154</v>
      </c>
      <c r="FP65" s="22">
        <f xml:space="preserve">  -0.49862 +   1.013256 * FQ65 + N("294 NN")</f>
        <v>-2.1617608320699362</v>
      </c>
      <c r="FQ65" s="46">
        <f t="shared" ref="FQ65:FQ66" si="232" xml:space="preserve">  -0.73306   +   1.025016   *  FS65     +N("316 NN Nd")</f>
        <v>-1.6413826634828081</v>
      </c>
      <c r="FR65" s="46">
        <f t="shared" ref="FR65:FR66" si="233" xml:space="preserve">  -0.33671   +   1.013871 *  FS65    +N("340 NN")</f>
        <v>-1.235156470248248</v>
      </c>
      <c r="FS65" s="46">
        <f t="shared" ref="FS65:FS66" si="234">-0.42496     +   1.017678*FT65                 + N("361 NN")</f>
        <v>-0.88615461952087393</v>
      </c>
      <c r="FT65" s="46">
        <f xml:space="preserve"> 0.68509  -3.34181 * BP65 + 0.03095*(100*CK65) +N("642 cpx Mg# Wo R2 0.59")</f>
        <v>-0.45318324609638205</v>
      </c>
      <c r="FU65" s="46">
        <f t="shared" ref="FU65:FU66" si="235" xml:space="preserve"> -0.06599 + 0.926002 * FT65  + N("409 NN")</f>
        <v>-0.48563859225174194</v>
      </c>
      <c r="FV65" s="46">
        <f t="shared" ref="FV65:FV66" si="236">0.1453     +   0.925549*FT65     +N("424 LnD Sm")</f>
        <v>-0.27414330024126032</v>
      </c>
      <c r="FW65" s="46">
        <f t="shared" ref="FW65:FW66" si="237" xml:space="preserve">  0.053547 + 0.932974 * FV65  +  N("445 NN")</f>
        <v>-0.20222157139928959</v>
      </c>
      <c r="FX65" s="46">
        <f t="shared" ref="FX65:FX66" si="238" xml:space="preserve">  0.027177  +  0.867603 * FV65 + N("464 NN Gd")</f>
        <v>-0.21067054971921817</v>
      </c>
      <c r="FY65" s="46">
        <f t="shared" ref="FY65:FY66" si="239" xml:space="preserve">  -0.06187  +  0.953618 * FX65   + N("505 NN Dy")</f>
        <v>-0.26276922828214139</v>
      </c>
      <c r="FZ65" s="46">
        <f t="shared" ref="FZ65:FZ66" si="240" xml:space="preserve"> -0.05652 + 0.972005*FY65   +N("533 NN")</f>
        <v>-0.31193300373638283</v>
      </c>
      <c r="GA65" s="46">
        <f t="shared" ref="GA65:GA66" si="241" xml:space="preserve">     0.018586 + 0.960264 * FZ65    +N("549 LnD Er")</f>
        <v>-0.28095203389991391</v>
      </c>
      <c r="GB65" s="46">
        <f t="shared" ref="GB65:GB66" si="242" xml:space="preserve"> -0.02011 + 0.936315 * FZ65    +N("574 NN Er")</f>
        <v>-0.31217755039343131</v>
      </c>
      <c r="GC65" s="46">
        <f t="shared" ref="GC65:GC66" si="243" xml:space="preserve">   0.01732 + 1.006083 * GB65  +N("597 NN Yb")</f>
        <v>-0.29675652643247458</v>
      </c>
      <c r="GD65" s="46">
        <f>(-1.72947 +0 ) * (3.46258+0) * BQ65   - (1.87473 + 0) *BP65   + (0.03253+0) * (CK65*100)    +N("eqn625 aliv mg# wo")</f>
        <v>-0.54111388854200837</v>
      </c>
      <c r="GE65" s="46"/>
      <c r="GF65" s="46"/>
      <c r="GG65" s="46"/>
      <c r="GH65" s="46"/>
    </row>
    <row r="66" spans="1:190" x14ac:dyDescent="0.25">
      <c r="A66" s="5" t="s">
        <v>188</v>
      </c>
      <c r="B66" s="1">
        <v>368</v>
      </c>
      <c r="C66" s="98" t="s">
        <v>98</v>
      </c>
      <c r="D66" s="98" t="s">
        <v>106</v>
      </c>
      <c r="E66" s="1">
        <v>38</v>
      </c>
      <c r="F66" s="22">
        <v>50.4</v>
      </c>
      <c r="G66" s="22">
        <v>0.70599999999999996</v>
      </c>
      <c r="H66" s="22">
        <v>2.2999999999999998</v>
      </c>
      <c r="I66" s="22">
        <v>3.1E-2</v>
      </c>
      <c r="J66" s="22">
        <v>10.16</v>
      </c>
      <c r="K66" s="22">
        <v>0.307</v>
      </c>
      <c r="L66" s="22">
        <v>14.73</v>
      </c>
      <c r="M66" s="22">
        <v>19.27</v>
      </c>
      <c r="N66" s="22">
        <v>0.29099999999999998</v>
      </c>
      <c r="O66" s="22">
        <v>0</v>
      </c>
      <c r="P66" s="22">
        <v>0</v>
      </c>
      <c r="Q66" s="22"/>
      <c r="R66" s="22"/>
      <c r="S66" s="22">
        <f t="shared" ref="S66:S129" si="244">SUM(F66:R66)</f>
        <v>98.194999999999993</v>
      </c>
      <c r="T66" s="3"/>
      <c r="U66" s="22">
        <f t="shared" ref="U66:U129" si="245">J66*BA66/(BA66+BB66)</f>
        <v>8.2977372785918746</v>
      </c>
      <c r="V66" s="22">
        <f t="shared" ref="V66:V129" si="246">1.1113*J66*BB66/(BA66+BB66)</f>
        <v>2.0695325623008496</v>
      </c>
      <c r="W66" s="22">
        <f t="shared" ref="W66:W129" si="247">SUM(F66:I66)+SUM(K66:R66)+SUM(U66:V66)</f>
        <v>98.402269840892728</v>
      </c>
      <c r="X66" s="1"/>
      <c r="Y66" s="1"/>
      <c r="Z66" s="1"/>
      <c r="AA66" s="1" t="s">
        <v>185</v>
      </c>
      <c r="AC66" s="1">
        <v>6</v>
      </c>
      <c r="AD66" s="1">
        <v>4</v>
      </c>
      <c r="AE66" s="1"/>
      <c r="AF66" s="26">
        <f t="shared" ref="AF66:AF129" si="248">CO66*($AC66/$DC66)</f>
        <v>1.9187018618011316</v>
      </c>
      <c r="AG66" s="26">
        <f t="shared" ref="AG66:AG129" si="249">CP66*($AC66/$DC66)</f>
        <v>2.0214989932083257E-2</v>
      </c>
      <c r="AH66" s="26">
        <f t="shared" ref="AH66:AH129" si="250">CQ66*($AC66/$DC66)</f>
        <v>0.10318935299523294</v>
      </c>
      <c r="AI66" s="26">
        <f t="shared" ref="AI66:AI129" si="251">CR66*($AC66/$DC66)</f>
        <v>9.3300411461055062E-4</v>
      </c>
      <c r="AJ66" s="26">
        <f t="shared" ref="AJ66:AJ129" si="252">CS66*($AC66/$DC66)</f>
        <v>0.32342517364970064</v>
      </c>
      <c r="AK66" s="26">
        <f t="shared" ref="AK66:AK129" si="253">CT66*($AC66/$DC66)</f>
        <v>9.8981510230260195E-3</v>
      </c>
      <c r="AL66" s="26">
        <f t="shared" ref="AL66:AL129" si="254">CU66*($AC66/$DC66)</f>
        <v>0.83599674255277223</v>
      </c>
      <c r="AM66" s="26">
        <f t="shared" ref="AM66:AM129" si="255">CV66*($AC66/$DC66)</f>
        <v>0.78592407792036767</v>
      </c>
      <c r="AN66" s="26">
        <f t="shared" ref="AN66:AN129" si="256">CW66*($AC66/$DC66)</f>
        <v>2.1477231445877629E-2</v>
      </c>
      <c r="AO66" s="26">
        <f t="shared" ref="AO66:AO129" si="257">CX66*($AC66/$DC66)</f>
        <v>0</v>
      </c>
      <c r="AP66" s="26">
        <f t="shared" ref="AP66:AP129" si="258">CY66*($AC66/$DC66)</f>
        <v>0</v>
      </c>
      <c r="AQ66" s="26">
        <f t="shared" ref="AQ66:AQ129" si="259">CZ66*($AC66/$DC66)</f>
        <v>0</v>
      </c>
      <c r="AR66" s="26">
        <f t="shared" ref="AR66:AR129" si="260">DA66*($AC66/$DC66)</f>
        <v>0</v>
      </c>
      <c r="AS66" s="26">
        <f t="shared" ref="AS66:AS129" si="261">SUM(AF66:AQ66)</f>
        <v>4.0197605854348026</v>
      </c>
      <c r="AT66" s="26">
        <f t="shared" ref="AT66:AT129" si="262">AF66+AH66</f>
        <v>2.0218912147963644</v>
      </c>
      <c r="AU66" s="26">
        <f t="shared" ref="AU66:AU129" si="263">SUM(AM66:AO66)</f>
        <v>0.80740130936624532</v>
      </c>
      <c r="AV66" s="47"/>
      <c r="AW66" s="26">
        <f t="shared" ref="AW66:AW129" si="264">IF($AD66&gt;0,CO66*$DD66,"")</f>
        <v>1.9092697896022508</v>
      </c>
      <c r="AX66" s="26">
        <f t="shared" ref="AX66:AX129" si="265">IF($AD66&gt;0,CP66*$DD66,"")</f>
        <v>2.011561584571005E-2</v>
      </c>
      <c r="AY66" s="26">
        <f t="shared" ref="AY66:AY129" si="266">IF($AD66&gt;0,CQ66*$DD66,"")</f>
        <v>0.1026820884498735</v>
      </c>
      <c r="AZ66" s="26">
        <f t="shared" ref="AZ66:AZ129" si="267">IF($AD66&gt;0,CR66*$DD66,"")</f>
        <v>9.2841759580527953E-4</v>
      </c>
      <c r="BA66" s="26">
        <f t="shared" ref="BA66:BA129" si="268">IF($AD66&gt;0 +N("so a blank cell if no ideal cations set"),                         CS66*DD66-BB66,"")</f>
        <v>0.26284492494641548</v>
      </c>
      <c r="BB66" s="26">
        <f t="shared" ref="BB66:BB129" si="269">IF($AD66&gt;0 +N("so a blank cell if no ideal cations set"),                                                                     IF(AS66&gt;AD66,                          IF(  2*AC66*(1-(AD66/AS66))   &lt;   CS66*DD66,    2*AC66*(1-(AD66/AS66)),    CS66*DD66),0),"")</f>
        <v>5.8990335413715567E-2</v>
      </c>
      <c r="BC66" s="26">
        <f t="shared" ref="BC66:BC129" si="270">IF($AD66&gt;0,CT66*$DD66,"")</f>
        <v>9.8494930856240261E-3</v>
      </c>
      <c r="BD66" s="26">
        <f t="shared" ref="BD66:BD129" si="271">IF($AD66&gt;0,CU66*$DD66,"")</f>
        <v>0.83188709853210874</v>
      </c>
      <c r="BE66" s="26">
        <f t="shared" ref="BE66:BE129" si="272">IF($AD66&gt;0,CV66*$DD66,"")</f>
        <v>0.78206058417318125</v>
      </c>
      <c r="BF66" s="26">
        <f t="shared" ref="BF66:BF129" si="273">IF($AD66&gt;0,CW66*$DD66,"")</f>
        <v>2.1371652355315102E-2</v>
      </c>
      <c r="BG66" s="26">
        <f t="shared" ref="BG66:BG129" si="274">IF($AD66&gt;0,CX66*$DD66,"")</f>
        <v>0</v>
      </c>
      <c r="BH66" s="26">
        <f t="shared" ref="BH66:BH129" si="275">IF($AD66&gt;0,CY66*$DD66,"")</f>
        <v>0</v>
      </c>
      <c r="BI66" s="26">
        <f t="shared" ref="BI66:BI129" si="276">IF($AD66&gt;0,CZ66*$DD66,"")</f>
        <v>0</v>
      </c>
      <c r="BJ66" s="26">
        <f t="shared" ref="BJ66:BJ129" si="277">IF($AD66&gt;0,DA66*$DD66,"")</f>
        <v>0</v>
      </c>
      <c r="BK66" s="25">
        <f t="shared" ref="BK66:BK129" si="278">IF(AD66&gt;0,SUM(AW66:BI66),"")</f>
        <v>3.9999999999999991</v>
      </c>
      <c r="BL66" s="24">
        <f t="shared" ref="BL66:BL129" si="279">(AW66+AX66)*2+(AY66+AZ66+BB66)*1.5+BA66+BC66+BD66+BE66+(BF66+BG66)*0.5+BH66*2.5+BI66*3  -(0.5*(BJ66))</f>
        <v>6.0000000000000009</v>
      </c>
      <c r="BM66" s="26">
        <f t="shared" ref="BM66:BM129" si="280">IF(AD66&gt;0,AW66+AY66,"")</f>
        <v>2.0119518780521242</v>
      </c>
      <c r="BN66" s="26">
        <f t="shared" ref="BN66:BN129" si="281">IF(AD66&gt;0,SUM(BE66:BG66),"")</f>
        <v>0.80343223652849638</v>
      </c>
      <c r="BO66" s="22"/>
      <c r="BP66" s="23">
        <f t="shared" ref="BP66:BP129" si="282">AL66/(AL66+AJ66)</f>
        <v>0.72104617902252932</v>
      </c>
      <c r="BQ66" s="26">
        <f t="shared" ref="BQ66:BQ129" si="283">IF(2-AW66&gt;0,2-AW66,0)</f>
        <v>9.07302103977492E-2</v>
      </c>
      <c r="BR66" s="26">
        <f t="shared" ref="BR66:BR129" si="284">IF(AY66-BQ66&gt;0,AY66-BQ66,0)</f>
        <v>1.1951878052124304E-2</v>
      </c>
      <c r="BS66" s="26"/>
      <c r="BT66" s="26">
        <f t="shared" ref="BT66:BT129" si="285">IF(AN66&lt;BR66,AN66,BR66)</f>
        <v>1.1951878052124304E-2</v>
      </c>
      <c r="BU66" s="26">
        <f t="shared" ref="BU66:BU129" si="286">IF(AN66&lt;BR66,BR66-BF66,0)</f>
        <v>0</v>
      </c>
      <c r="BV66" s="26">
        <f t="shared" ref="BV66:BV129" si="287">IF(BR66&gt;BU66,BR66-BU66/2,0)</f>
        <v>1.1951878052124304E-2</v>
      </c>
      <c r="BW66" s="26">
        <f t="shared" ref="BW66:BW129" si="288">AI66/2</f>
        <v>4.6650205730527531E-4</v>
      </c>
      <c r="BX66" s="26">
        <f t="shared" ref="BX66:BX129" si="289">IF(AM66-BU66-BV66-BW66&gt;0,AM66-BU66-BV66-BW66,0)</f>
        <v>0.77350569781093814</v>
      </c>
      <c r="BY66" s="26">
        <f t="shared" ref="BY66:BY129" si="290">((AJ66+AL66)-BX66)/2</f>
        <v>0.19295810919576734</v>
      </c>
      <c r="BZ66" s="26">
        <f t="shared" ref="BZ66:BZ129" si="291">SUM(BT66:BY66)</f>
        <v>0.99083406516825945</v>
      </c>
      <c r="CA66" s="22"/>
      <c r="CB66" s="22">
        <f t="shared" ref="CB66:CB129" si="292">IF($BB66&gt;0,IF($BB66&lt;$BF66,$BB66,$BF66),0)</f>
        <v>2.1371652355315102E-2</v>
      </c>
      <c r="CC66" s="22">
        <f t="shared" ref="CC66:CC129" si="293">IF(BR66&lt;(BF66-CB66),BR66,(BF66-CB66))</f>
        <v>0</v>
      </c>
      <c r="CD66" s="22">
        <f t="shared" ref="CD66:CD129" si="294">IF($BB66&gt;0,$BB66-$CB66,0)</f>
        <v>3.7618683058400465E-2</v>
      </c>
      <c r="CE66" s="22">
        <f t="shared" ref="CE66:CE129" si="295">AZ66</f>
        <v>9.2841759580527953E-4</v>
      </c>
      <c r="CF66" s="22">
        <f t="shared" ref="CF66:CF129" si="296">BR66-CC66</f>
        <v>1.1951878052124304E-2</v>
      </c>
      <c r="CG66" s="22">
        <f t="shared" ref="CG66:CG129" si="297">(BE66+CB66-SUM(CD66:CF66))/2</f>
        <v>0.37646662891108318</v>
      </c>
      <c r="CH66" s="22">
        <f t="shared" ref="CH66:CH129" si="298">(1-CG66)*(1-(BA66/(BA66+BD66)))</f>
        <v>0.47382314190910252</v>
      </c>
      <c r="CI66" s="22">
        <f t="shared" ref="CI66:CI129" si="299">(1-CG66)*(BA66/(BA66+BD66))</f>
        <v>0.14971022917981436</v>
      </c>
      <c r="CJ66" s="22"/>
      <c r="CK66" s="22">
        <f t="shared" ref="CK66:CK129" si="300">BE66/(BE66+BD66+BA66+BB66+BC66)</f>
        <v>0.40195700361590164</v>
      </c>
      <c r="CL66" s="22">
        <f t="shared" ref="CL66:CL129" si="301">BD66/(BE66+BD66+BA66+BB66+BC66)</f>
        <v>0.42756642162986991</v>
      </c>
      <c r="CM66" s="22">
        <f t="shared" ref="CM66:CM129" si="302">(BA66+BB66+BC66)/(BE66+BD66+BA66+BB66+BC66)</f>
        <v>0.17047657475422837</v>
      </c>
      <c r="CN66" s="1"/>
      <c r="CO66" s="26">
        <f t="shared" ref="CO66:CO129" si="303">F66/60.08</f>
        <v>0.83888149134487355</v>
      </c>
      <c r="CP66" s="26">
        <f t="shared" ref="CP66:CP129" si="304">G66/79.88</f>
        <v>8.8382573860791187E-3</v>
      </c>
      <c r="CQ66" s="26">
        <f t="shared" ref="CQ66:CQ129" si="305">H66/101.96*2</f>
        <v>4.5115731659474301E-2</v>
      </c>
      <c r="CR66" s="26">
        <f t="shared" ref="CR66:CR129" si="306">I66/151.99*2</f>
        <v>4.0792157378774919E-4</v>
      </c>
      <c r="CS66" s="26">
        <f t="shared" ref="CS66:CS129" si="307">J66/71.85</f>
        <v>0.14140570633263747</v>
      </c>
      <c r="CT66" s="26">
        <f t="shared" ref="CT66:CT129" si="308">K66/70.94</f>
        <v>4.3276007893994928E-3</v>
      </c>
      <c r="CU66" s="26">
        <f t="shared" ref="CU66:CU129" si="309">L66/40.3</f>
        <v>0.36550868486352361</v>
      </c>
      <c r="CV66" s="26">
        <f t="shared" ref="CV66:CV129" si="310">M66/56.08</f>
        <v>0.34361626248216831</v>
      </c>
      <c r="CW66" s="26">
        <f t="shared" ref="CW66:CW129" si="311">N66/61.98*2</f>
        <v>9.3901258470474348E-3</v>
      </c>
      <c r="CX66" s="26">
        <f t="shared" ref="CX66:CX129" si="312">O66/94.2*2</f>
        <v>0</v>
      </c>
      <c r="CY66" s="26">
        <f t="shared" ref="CY66:CY129" si="313">P66/141.94*2</f>
        <v>0</v>
      </c>
      <c r="CZ66" s="26">
        <f t="shared" ref="CZ66:CZ129" si="314">Q66/80.06</f>
        <v>0</v>
      </c>
      <c r="DA66" s="26">
        <f t="shared" ref="DA66:DA129" si="315">R66/35.45</f>
        <v>0</v>
      </c>
      <c r="DB66" s="26">
        <f t="shared" ref="DB66:DB129" si="316">SUM(CO66:CZ66)</f>
        <v>1.7574917822789913</v>
      </c>
      <c r="DC66" s="26">
        <f t="shared" ref="DC66:DC129" si="317">(CO66+CP66)*2+(CQ66+CR66)*1.5+CS66+CT66+CU66+CV66+(CW66+CX66)*0.5+CY66*2.5+CZ66*3+     -(0.5*(DA66))</f>
        <v>2.6232782947030509</v>
      </c>
      <c r="DD66" s="26">
        <f t="shared" ref="DD66:DD129" si="318">AD66/DB66</f>
        <v>2.2759708126845877</v>
      </c>
      <c r="DE66" s="26">
        <f t="shared" ref="DE66:DE129" si="319">DC66*DD66</f>
        <v>5.970504832293142</v>
      </c>
      <c r="DF66" s="1"/>
      <c r="DG66" s="22">
        <v>7.049994702418827</v>
      </c>
      <c r="DH66" s="14">
        <v>2080.9841050917385</v>
      </c>
      <c r="DI66" s="14">
        <v>86497.921965838803</v>
      </c>
      <c r="DJ66" s="14">
        <v>9737.5979175786979</v>
      </c>
      <c r="DK66" s="14">
        <v>242215.227723335</v>
      </c>
      <c r="DL66" s="14">
        <v>127610.90970143065</v>
      </c>
      <c r="DM66" s="96">
        <v>132.43219691709604</v>
      </c>
      <c r="DN66" s="14">
        <v>3781.6127579992453</v>
      </c>
      <c r="DO66" s="96">
        <v>417.05221585215423</v>
      </c>
      <c r="DP66" s="22">
        <v>57.507953844307863</v>
      </c>
      <c r="DQ66" s="14">
        <v>2780.1801491323395</v>
      </c>
      <c r="DR66" s="22">
        <v>58.412166806896465</v>
      </c>
      <c r="DS66" s="22">
        <v>68.190513751369139</v>
      </c>
      <c r="DT66" s="22">
        <v>0.66209842736064606</v>
      </c>
      <c r="DU66" s="22">
        <v>96.467218294489044</v>
      </c>
      <c r="DV66" s="22">
        <v>0</v>
      </c>
      <c r="DW66" s="22">
        <v>9.0534484461397859</v>
      </c>
      <c r="DX66" s="22">
        <v>9.5521897094485482</v>
      </c>
      <c r="DY66" s="22">
        <v>41.344127879443235</v>
      </c>
      <c r="DZ66" s="22">
        <v>29.875829579728315</v>
      </c>
      <c r="EA66" s="22">
        <v>0</v>
      </c>
      <c r="EB66" s="22">
        <v>3.2443112645517698E-2</v>
      </c>
      <c r="EC66" s="22">
        <v>0.12197561180574971</v>
      </c>
      <c r="ED66" s="22">
        <v>1.6973456117281958</v>
      </c>
      <c r="EE66" s="22">
        <v>7.6977464817447512</v>
      </c>
      <c r="EF66" s="22">
        <v>1.5194558894460319</v>
      </c>
      <c r="EG66" s="22">
        <v>10.591739762046169</v>
      </c>
      <c r="EH66" s="22">
        <v>3.6509229012612168</v>
      </c>
      <c r="EI66" s="22">
        <v>0.8140177084403345</v>
      </c>
      <c r="EJ66" s="22">
        <v>6.1906592188810778</v>
      </c>
      <c r="EK66" s="22">
        <v>1.109609243053872</v>
      </c>
      <c r="EL66" s="22">
        <v>7.0925773436905226</v>
      </c>
      <c r="EM66" s="22">
        <v>1.6515627649255957</v>
      </c>
      <c r="EN66" s="22">
        <v>4.814076691128137</v>
      </c>
      <c r="EO66" s="22">
        <v>0.59613664688210721</v>
      </c>
      <c r="EP66" s="22">
        <v>4.0833714288704499</v>
      </c>
      <c r="EQ66" s="22">
        <v>0.74647767241771745</v>
      </c>
      <c r="ER66" s="22">
        <v>1.428986001085532</v>
      </c>
      <c r="ES66" s="22">
        <v>0</v>
      </c>
      <c r="ET66" s="22">
        <v>0.5385652954715604</v>
      </c>
      <c r="EU66" s="22">
        <v>6.0010222191264874E-2</v>
      </c>
      <c r="EV66" s="22">
        <v>1.4974957350665639E-2</v>
      </c>
      <c r="EW66" s="22">
        <f>(EI66/0.05883)/SQRT((EH66/0.1536)*(EJ66/0.2069))</f>
        <v>0.5188491120167531</v>
      </c>
      <c r="EX66" s="22"/>
      <c r="EY66" s="22"/>
      <c r="EZ66" s="22"/>
      <c r="FA66" s="22"/>
      <c r="FB66" s="22"/>
      <c r="FC66" s="22"/>
      <c r="FD66" s="22"/>
      <c r="FE66" s="22"/>
      <c r="FF66" s="22"/>
      <c r="FG66" s="22"/>
      <c r="FH66" s="22"/>
      <c r="FI66" s="22">
        <f>-0.50354-2.23025*BP66+ N("eqn 18 Mg# R2 0.28 best")</f>
        <v>-2.1116532407649959</v>
      </c>
      <c r="FJ66" s="22"/>
      <c r="FK66" s="22">
        <f xml:space="preserve"> -0.03692  +  0.931085 + FX66   + N("488 NN Dy")</f>
        <v>0.66159706756707215</v>
      </c>
      <c r="FL66" s="22">
        <f>-0.48986  +   0    +   (1.071278 + 0) * GD66  +N("eqn 119 LnD Hf  (which has R2 of 0.51 for TS")</f>
        <v>-1.1192702386616227</v>
      </c>
      <c r="FM66" s="22"/>
      <c r="FN66" s="22"/>
      <c r="FO66" s="22">
        <f>3.94011-11.9214*BP66</f>
        <v>-4.655769918599181</v>
      </c>
      <c r="FP66" s="22">
        <f xml:space="preserve">  -0.49862 +   1.013256 * FQ66 + N("294 NN")</f>
        <v>-2.1905833529629413</v>
      </c>
      <c r="FQ66" s="46">
        <f t="shared" si="232"/>
        <v>-1.6698281115166762</v>
      </c>
      <c r="FR66" s="46">
        <f t="shared" si="233"/>
        <v>-1.2632926308970045</v>
      </c>
      <c r="FS66" s="46">
        <f t="shared" si="234"/>
        <v>-0.91390584294945276</v>
      </c>
      <c r="FT66" s="46">
        <f xml:space="preserve"> 0.68509  -3.34181 * BP66 + 0.03095*(100*CK66) +N("642 cpx Mg# Wo R2 0.59")</f>
        <v>-0.48045240532806321</v>
      </c>
      <c r="FU66" s="46">
        <f t="shared" si="235"/>
        <v>-0.51088988823859716</v>
      </c>
      <c r="FV66" s="46">
        <f t="shared" si="236"/>
        <v>-0.29938224329898355</v>
      </c>
      <c r="FW66" s="46">
        <f t="shared" si="237"/>
        <v>-0.22576884905962585</v>
      </c>
      <c r="FX66" s="46">
        <f t="shared" si="238"/>
        <v>-0.232567932432928</v>
      </c>
      <c r="FY66" s="46">
        <f t="shared" si="239"/>
        <v>-0.28365096659082395</v>
      </c>
      <c r="FZ66" s="46">
        <f t="shared" si="240"/>
        <v>-0.33223015778111387</v>
      </c>
      <c r="GA66" s="46">
        <f t="shared" si="241"/>
        <v>-0.30044266023152355</v>
      </c>
      <c r="GB66" s="46">
        <f t="shared" si="242"/>
        <v>-0.33118208018282363</v>
      </c>
      <c r="GC66" s="46">
        <f t="shared" si="243"/>
        <v>-0.31587666077657578</v>
      </c>
      <c r="GD66" s="46">
        <f>(-1.72947 +0 ) * (3.46258+0) * BQ66   - (1.87473 + 0) *BP66   + (0.03253+0) * (CK66*100)    +N("eqn625 aliv mg# wo")</f>
        <v>-0.58753212393199772</v>
      </c>
      <c r="GE66" s="46"/>
      <c r="GF66" s="46"/>
      <c r="GG66" s="46"/>
      <c r="GH66" s="46"/>
    </row>
    <row r="67" spans="1:190" x14ac:dyDescent="0.25">
      <c r="A67" s="5" t="s">
        <v>188</v>
      </c>
      <c r="B67" s="1">
        <v>369</v>
      </c>
      <c r="C67" s="98" t="s">
        <v>98</v>
      </c>
      <c r="D67" s="98" t="s">
        <v>106</v>
      </c>
      <c r="E67" s="1">
        <v>39</v>
      </c>
      <c r="F67" s="22">
        <v>50.07</v>
      </c>
      <c r="G67" s="22">
        <v>0.63300000000000001</v>
      </c>
      <c r="H67" s="22">
        <v>1.8440000000000001</v>
      </c>
      <c r="I67" s="22">
        <v>0</v>
      </c>
      <c r="J67" s="22">
        <v>11.79</v>
      </c>
      <c r="K67" s="22">
        <v>0.4</v>
      </c>
      <c r="L67" s="22">
        <v>14.86</v>
      </c>
      <c r="M67" s="22">
        <v>18.079999999999998</v>
      </c>
      <c r="N67" s="22">
        <v>0.30599999999999999</v>
      </c>
      <c r="O67" s="22">
        <v>0</v>
      </c>
      <c r="P67" s="22">
        <v>0</v>
      </c>
      <c r="Q67" s="22"/>
      <c r="R67" s="22"/>
      <c r="S67" s="22">
        <f t="shared" si="244"/>
        <v>97.983000000000004</v>
      </c>
      <c r="T67" s="3"/>
      <c r="U67" s="22">
        <f t="shared" si="245"/>
        <v>8.9665394417581528</v>
      </c>
      <c r="V67" s="22">
        <f t="shared" si="246"/>
        <v>3.1377117183741636</v>
      </c>
      <c r="W67" s="22">
        <f t="shared" si="247"/>
        <v>98.297251160132319</v>
      </c>
      <c r="X67" s="1"/>
      <c r="Y67" s="1"/>
      <c r="Z67" s="1"/>
      <c r="AA67" s="1" t="s">
        <v>185</v>
      </c>
      <c r="AC67" s="1">
        <v>6</v>
      </c>
      <c r="AD67" s="1">
        <v>4</v>
      </c>
      <c r="AE67" s="1"/>
      <c r="AF67" s="26">
        <f t="shared" si="248"/>
        <v>1.9212234784284792</v>
      </c>
      <c r="AG67" s="26">
        <f t="shared" si="249"/>
        <v>1.8268204800625458E-2</v>
      </c>
      <c r="AH67" s="26">
        <f t="shared" si="250"/>
        <v>8.3385647124572762E-2</v>
      </c>
      <c r="AI67" s="26">
        <f t="shared" si="251"/>
        <v>0</v>
      </c>
      <c r="AJ67" s="26">
        <f t="shared" si="252"/>
        <v>0.37828337102591092</v>
      </c>
      <c r="AK67" s="26">
        <f t="shared" si="253"/>
        <v>1.2998673194880767E-2</v>
      </c>
      <c r="AL67" s="26">
        <f t="shared" si="254"/>
        <v>0.85004903994853254</v>
      </c>
      <c r="AM67" s="26">
        <f t="shared" si="255"/>
        <v>0.7432255637536882</v>
      </c>
      <c r="AN67" s="26">
        <f t="shared" si="256"/>
        <v>2.2763029863836839E-2</v>
      </c>
      <c r="AO67" s="26">
        <f t="shared" si="257"/>
        <v>0</v>
      </c>
      <c r="AP67" s="26">
        <f t="shared" si="258"/>
        <v>0</v>
      </c>
      <c r="AQ67" s="26">
        <f t="shared" si="259"/>
        <v>0</v>
      </c>
      <c r="AR67" s="26">
        <f t="shared" si="260"/>
        <v>0</v>
      </c>
      <c r="AS67" s="26">
        <f t="shared" si="261"/>
        <v>4.0301970081405267</v>
      </c>
      <c r="AT67" s="26">
        <f t="shared" si="262"/>
        <v>2.0046091255530518</v>
      </c>
      <c r="AU67" s="26">
        <f t="shared" si="263"/>
        <v>0.76598859361752503</v>
      </c>
      <c r="AV67" s="47"/>
      <c r="AW67" s="26">
        <f t="shared" si="264"/>
        <v>1.9068283506218999</v>
      </c>
      <c r="AX67" s="26">
        <f t="shared" si="265"/>
        <v>1.8131326844544642E-2</v>
      </c>
      <c r="AY67" s="26">
        <f t="shared" si="266"/>
        <v>8.2760864499818246E-2</v>
      </c>
      <c r="AZ67" s="26">
        <f t="shared" si="267"/>
        <v>0</v>
      </c>
      <c r="BA67" s="26">
        <f t="shared" si="268"/>
        <v>0.28553675765549547</v>
      </c>
      <c r="BB67" s="26">
        <f t="shared" si="269"/>
        <v>8.9912254153925009E-2</v>
      </c>
      <c r="BC67" s="26">
        <f t="shared" si="270"/>
        <v>1.2901278194217271E-2</v>
      </c>
      <c r="BD67" s="26">
        <f t="shared" si="271"/>
        <v>0.84367988783826975</v>
      </c>
      <c r="BE67" s="26">
        <f t="shared" si="272"/>
        <v>0.73765680660519506</v>
      </c>
      <c r="BF67" s="26">
        <f t="shared" si="273"/>
        <v>2.2592473586634281E-2</v>
      </c>
      <c r="BG67" s="26">
        <f t="shared" si="274"/>
        <v>0</v>
      </c>
      <c r="BH67" s="26">
        <f t="shared" si="275"/>
        <v>0</v>
      </c>
      <c r="BI67" s="26">
        <f t="shared" si="276"/>
        <v>0</v>
      </c>
      <c r="BJ67" s="26">
        <f t="shared" si="277"/>
        <v>0</v>
      </c>
      <c r="BK67" s="25">
        <f t="shared" si="278"/>
        <v>3.9999999999999996</v>
      </c>
      <c r="BL67" s="24">
        <f t="shared" si="279"/>
        <v>5.9999999999999982</v>
      </c>
      <c r="BM67" s="26">
        <f t="shared" si="280"/>
        <v>1.9895892151217183</v>
      </c>
      <c r="BN67" s="26">
        <f t="shared" si="281"/>
        <v>0.76024928019182936</v>
      </c>
      <c r="BO67" s="22"/>
      <c r="BP67" s="23">
        <f t="shared" si="282"/>
        <v>0.69203501621697305</v>
      </c>
      <c r="BQ67" s="26">
        <f t="shared" si="283"/>
        <v>9.3171649378100074E-2</v>
      </c>
      <c r="BR67" s="26">
        <f t="shared" si="284"/>
        <v>0</v>
      </c>
      <c r="BS67" s="26"/>
      <c r="BT67" s="26">
        <f t="shared" si="285"/>
        <v>0</v>
      </c>
      <c r="BU67" s="26">
        <f t="shared" si="286"/>
        <v>0</v>
      </c>
      <c r="BV67" s="26">
        <f t="shared" si="287"/>
        <v>0</v>
      </c>
      <c r="BW67" s="26">
        <f t="shared" si="288"/>
        <v>0</v>
      </c>
      <c r="BX67" s="26">
        <f t="shared" si="289"/>
        <v>0.7432255637536882</v>
      </c>
      <c r="BY67" s="26">
        <f t="shared" si="290"/>
        <v>0.24255342361037757</v>
      </c>
      <c r="BZ67" s="26">
        <f t="shared" si="291"/>
        <v>0.98577898736406577</v>
      </c>
      <c r="CA67" s="22"/>
      <c r="CB67" s="22">
        <f t="shared" si="292"/>
        <v>2.2592473586634281E-2</v>
      </c>
      <c r="CC67" s="22">
        <f t="shared" si="293"/>
        <v>0</v>
      </c>
      <c r="CD67" s="22">
        <f t="shared" si="294"/>
        <v>6.7319780567290724E-2</v>
      </c>
      <c r="CE67" s="22">
        <f t="shared" si="295"/>
        <v>0</v>
      </c>
      <c r="CF67" s="22">
        <f t="shared" si="296"/>
        <v>0</v>
      </c>
      <c r="CG67" s="22">
        <f t="shared" si="297"/>
        <v>0.34646474981226932</v>
      </c>
      <c r="CH67" s="22">
        <f t="shared" si="298"/>
        <v>0.4882805693460569</v>
      </c>
      <c r="CI67" s="22">
        <f t="shared" si="299"/>
        <v>0.1652546808416738</v>
      </c>
      <c r="CJ67" s="22"/>
      <c r="CK67" s="22">
        <f t="shared" si="300"/>
        <v>0.37450458495681116</v>
      </c>
      <c r="CL67" s="22">
        <f t="shared" si="301"/>
        <v>0.42833196061103762</v>
      </c>
      <c r="CM67" s="22">
        <f t="shared" si="302"/>
        <v>0.19716345443215127</v>
      </c>
      <c r="CN67" s="1"/>
      <c r="CO67" s="26">
        <f t="shared" si="303"/>
        <v>0.83338881491344874</v>
      </c>
      <c r="CP67" s="26">
        <f t="shared" si="304"/>
        <v>7.9243865798698052E-3</v>
      </c>
      <c r="CQ67" s="26">
        <f t="shared" si="305"/>
        <v>3.6171047469595922E-2</v>
      </c>
      <c r="CR67" s="26">
        <f t="shared" si="306"/>
        <v>0</v>
      </c>
      <c r="CS67" s="26">
        <f t="shared" si="307"/>
        <v>0.16409185803757828</v>
      </c>
      <c r="CT67" s="26">
        <f t="shared" si="308"/>
        <v>5.6385678037778409E-3</v>
      </c>
      <c r="CU67" s="26">
        <f t="shared" si="309"/>
        <v>0.36873449131513647</v>
      </c>
      <c r="CV67" s="26">
        <f t="shared" si="310"/>
        <v>0.32239657631954349</v>
      </c>
      <c r="CW67" s="26">
        <f t="shared" si="311"/>
        <v>9.8741529525653432E-3</v>
      </c>
      <c r="CX67" s="26">
        <f t="shared" si="312"/>
        <v>0</v>
      </c>
      <c r="CY67" s="26">
        <f t="shared" si="313"/>
        <v>0</v>
      </c>
      <c r="CZ67" s="26">
        <f t="shared" si="314"/>
        <v>0</v>
      </c>
      <c r="DA67" s="26">
        <f t="shared" si="315"/>
        <v>0</v>
      </c>
      <c r="DB67" s="26">
        <f t="shared" si="316"/>
        <v>1.748219895391516</v>
      </c>
      <c r="DC67" s="26">
        <f t="shared" si="317"/>
        <v>2.60268154414335</v>
      </c>
      <c r="DD67" s="26">
        <f t="shared" si="318"/>
        <v>2.2880416877444327</v>
      </c>
      <c r="DE67" s="26">
        <f t="shared" si="319"/>
        <v>5.9550438729230368</v>
      </c>
      <c r="DF67" s="1"/>
      <c r="DG67" s="22">
        <v>7.314134732545007</v>
      </c>
      <c r="DH67" s="14">
        <v>1864.6438191714565</v>
      </c>
      <c r="DI67" s="14">
        <v>84422.318396991206</v>
      </c>
      <c r="DJ67" s="14">
        <v>9971.4617791220589</v>
      </c>
      <c r="DK67" s="14">
        <v>235024.78770396937</v>
      </c>
      <c r="DL67" s="14">
        <v>127740.83343601253</v>
      </c>
      <c r="DM67" s="96">
        <v>133.6409155570114</v>
      </c>
      <c r="DN67" s="14">
        <v>3718.6708348476445</v>
      </c>
      <c r="DO67" s="96">
        <v>379.1702264496613</v>
      </c>
      <c r="DP67" s="22">
        <v>271.46176104755165</v>
      </c>
      <c r="DQ67" s="14">
        <v>2587.9584412922068</v>
      </c>
      <c r="DR67" s="22">
        <v>52.578775709369829</v>
      </c>
      <c r="DS67" s="22">
        <v>58.982729511662285</v>
      </c>
      <c r="DT67" s="22">
        <v>1.7118395672144877</v>
      </c>
      <c r="DU67" s="22">
        <v>84.571648755443661</v>
      </c>
      <c r="DV67" s="22">
        <v>0.17797267005276618</v>
      </c>
      <c r="DW67" s="22">
        <v>9.0781460304756898</v>
      </c>
      <c r="DX67" s="22">
        <v>9.8938324971899121</v>
      </c>
      <c r="DY67" s="22">
        <v>38.087583390405506</v>
      </c>
      <c r="DZ67" s="22">
        <v>27.531982012308923</v>
      </c>
      <c r="EA67" s="22">
        <v>0</v>
      </c>
      <c r="EB67" s="22">
        <v>7.851606270163039E-2</v>
      </c>
      <c r="EC67" s="22">
        <v>0.35571463449970181</v>
      </c>
      <c r="ED67" s="22">
        <v>1.8225290641275518</v>
      </c>
      <c r="EE67" s="22">
        <v>7.4643076864507423</v>
      </c>
      <c r="EF67" s="22">
        <v>1.583819864168091</v>
      </c>
      <c r="EG67" s="22">
        <v>8.9191597547901953</v>
      </c>
      <c r="EH67" s="22">
        <v>4.1318080956556438</v>
      </c>
      <c r="EI67" s="22">
        <v>0.84907521582051781</v>
      </c>
      <c r="EJ67" s="22">
        <v>5.5483044687346172</v>
      </c>
      <c r="EK67" s="22">
        <v>1.0388384580481489</v>
      </c>
      <c r="EL67" s="22">
        <v>6.9772359972261802</v>
      </c>
      <c r="EM67" s="22">
        <v>1.4172688463765315</v>
      </c>
      <c r="EN67" s="22">
        <v>4.1890411911620458</v>
      </c>
      <c r="EO67" s="22">
        <v>0.56798785891768788</v>
      </c>
      <c r="EP67" s="22">
        <v>3.3004998487189163</v>
      </c>
      <c r="EQ67" s="22">
        <v>0.56785841014944483</v>
      </c>
      <c r="ER67" s="22">
        <v>1.4124028433879969</v>
      </c>
      <c r="ES67" s="22">
        <v>3.0697632197713636E-2</v>
      </c>
      <c r="ET67" s="22">
        <v>0.53764118518494119</v>
      </c>
      <c r="EU67" s="22">
        <v>6.0215179020658358E-2</v>
      </c>
      <c r="EV67" s="22">
        <v>1.9330103452777889E-2</v>
      </c>
      <c r="EW67" s="22">
        <f>(EI67/0.05883)/SQRT((EH67/0.1536)*(EJ67/0.2069))</f>
        <v>0.53736942826398748</v>
      </c>
      <c r="EX67" s="22"/>
      <c r="EY67" s="22"/>
      <c r="EZ67" s="22"/>
      <c r="FA67" s="22"/>
      <c r="FB67" s="22"/>
      <c r="FC67" s="22"/>
      <c r="FD67" s="22"/>
      <c r="FE67" s="22"/>
      <c r="FF67" s="22"/>
      <c r="FG67" s="22"/>
      <c r="FH67" s="22"/>
      <c r="FI67" s="22">
        <f>-0.50354-2.23025*BP67+ N("eqn 18 Mg# R2 0.28 best")</f>
        <v>-2.0469510949179042</v>
      </c>
      <c r="FJ67" s="22"/>
      <c r="FK67" s="22">
        <f xml:space="preserve"> -0.03692  +  0.931085 + FX67   + N("488 NN Dy")</f>
        <v>0.8941650000000001</v>
      </c>
      <c r="FL67" s="22">
        <f>-0.48986  +   0    +   (1.071278 + 0) * GD67  +N("eqn 119 LnD Hf  (which has R2 of 0.51 for TS")</f>
        <v>-0.48986000000000002</v>
      </c>
      <c r="FM67" s="22"/>
      <c r="FN67" s="22"/>
      <c r="FO67" s="22">
        <f>3.94011-11.9214*BP67</f>
        <v>-4.3099162423290229</v>
      </c>
      <c r="FP67" s="22">
        <f xml:space="preserve">  -0.49862 +   1.013256 * FQ67 + N("294 NN")</f>
        <v>-0.49862000000000001</v>
      </c>
      <c r="FQ67" s="46"/>
      <c r="FR67" s="46"/>
      <c r="FS67" s="46"/>
      <c r="FT67" s="46"/>
      <c r="FU67" s="46"/>
      <c r="FV67" s="46"/>
      <c r="FW67" s="46"/>
      <c r="FX67" s="46"/>
      <c r="FY67" s="46"/>
      <c r="FZ67" s="46"/>
      <c r="GA67" s="46"/>
      <c r="GB67" s="46"/>
      <c r="GC67" s="46"/>
      <c r="GD67" s="46"/>
      <c r="GE67" s="46"/>
      <c r="GF67" s="46"/>
      <c r="GG67" s="46"/>
      <c r="GH67" s="46"/>
    </row>
    <row r="68" spans="1:190" x14ac:dyDescent="0.25">
      <c r="A68" s="5" t="s">
        <v>188</v>
      </c>
      <c r="B68" s="1">
        <v>383</v>
      </c>
      <c r="C68" s="98" t="s">
        <v>98</v>
      </c>
      <c r="D68" s="98" t="s">
        <v>106</v>
      </c>
      <c r="E68" s="1">
        <v>53</v>
      </c>
      <c r="F68" s="22">
        <v>51.18</v>
      </c>
      <c r="G68" s="22">
        <v>0.41699999999999998</v>
      </c>
      <c r="H68" s="22">
        <v>0.90700000000000003</v>
      </c>
      <c r="I68" s="22">
        <v>2.9000000000000001E-2</v>
      </c>
      <c r="J68" s="22">
        <v>17.34</v>
      </c>
      <c r="K68" s="22">
        <v>0.65600000000000003</v>
      </c>
      <c r="L68" s="22">
        <v>11.79</v>
      </c>
      <c r="M68" s="22">
        <v>17.05</v>
      </c>
      <c r="N68" s="22">
        <v>0.26400000000000001</v>
      </c>
      <c r="O68" s="22">
        <v>6.0000000000000001E-3</v>
      </c>
      <c r="P68" s="22">
        <v>0</v>
      </c>
      <c r="Q68" s="22"/>
      <c r="R68" s="22"/>
      <c r="S68" s="22">
        <f t="shared" si="244"/>
        <v>99.63900000000001</v>
      </c>
      <c r="T68" s="3"/>
      <c r="U68" s="22">
        <f t="shared" si="245"/>
        <v>16.809949891854988</v>
      </c>
      <c r="V68" s="22">
        <f t="shared" si="246"/>
        <v>0.58904468518155062</v>
      </c>
      <c r="W68" s="22">
        <f t="shared" si="247"/>
        <v>99.697994577036553</v>
      </c>
      <c r="X68" s="1"/>
      <c r="Y68" s="1"/>
      <c r="Z68" s="1"/>
      <c r="AA68" s="1" t="s">
        <v>185</v>
      </c>
      <c r="AC68" s="1">
        <v>6</v>
      </c>
      <c r="AD68" s="1">
        <v>4</v>
      </c>
      <c r="AE68" s="1"/>
      <c r="AF68" s="26">
        <f t="shared" si="248"/>
        <v>1.9712076716740936</v>
      </c>
      <c r="AG68" s="26">
        <f t="shared" si="249"/>
        <v>1.2079807732606352E-2</v>
      </c>
      <c r="AH68" s="26">
        <f t="shared" si="250"/>
        <v>4.1168920468378535E-2</v>
      </c>
      <c r="AI68" s="26">
        <f t="shared" si="251"/>
        <v>8.830290711962232E-4</v>
      </c>
      <c r="AJ68" s="26">
        <f t="shared" si="252"/>
        <v>0.55845006242159578</v>
      </c>
      <c r="AK68" s="26">
        <f t="shared" si="253"/>
        <v>2.1398073669932526E-2</v>
      </c>
      <c r="AL68" s="26">
        <f t="shared" si="254"/>
        <v>0.67697211807214575</v>
      </c>
      <c r="AM68" s="26">
        <f t="shared" si="255"/>
        <v>0.70352316409301163</v>
      </c>
      <c r="AN68" s="26">
        <f t="shared" si="256"/>
        <v>1.9712621074770554E-2</v>
      </c>
      <c r="AO68" s="26">
        <f t="shared" si="257"/>
        <v>2.9477616633233903E-4</v>
      </c>
      <c r="AP68" s="26">
        <f t="shared" si="258"/>
        <v>0</v>
      </c>
      <c r="AQ68" s="26">
        <f t="shared" si="259"/>
        <v>0</v>
      </c>
      <c r="AR68" s="26">
        <f t="shared" si="260"/>
        <v>0</v>
      </c>
      <c r="AS68" s="26">
        <f t="shared" si="261"/>
        <v>4.0056902444440627</v>
      </c>
      <c r="AT68" s="26">
        <f t="shared" si="262"/>
        <v>2.0123765921424721</v>
      </c>
      <c r="AU68" s="26">
        <f t="shared" si="263"/>
        <v>0.72353056133411453</v>
      </c>
      <c r="AV68" s="47"/>
      <c r="AW68" s="26">
        <f t="shared" si="264"/>
        <v>1.9684074917257319</v>
      </c>
      <c r="AX68" s="26">
        <f t="shared" si="265"/>
        <v>1.2062647878838036E-2</v>
      </c>
      <c r="AY68" s="26">
        <f t="shared" si="266"/>
        <v>4.1110438357514316E-2</v>
      </c>
      <c r="AZ68" s="26">
        <f t="shared" si="267"/>
        <v>8.8177469280955418E-4</v>
      </c>
      <c r="BA68" s="26">
        <f t="shared" si="268"/>
        <v>0.54061027793180561</v>
      </c>
      <c r="BB68" s="26">
        <f t="shared" si="269"/>
        <v>1.704648366744399E-2</v>
      </c>
      <c r="BC68" s="26">
        <f t="shared" si="270"/>
        <v>2.1367676843821747E-2</v>
      </c>
      <c r="BD68" s="26">
        <f t="shared" si="271"/>
        <v>0.67601045189264297</v>
      </c>
      <c r="BE68" s="26">
        <f t="shared" si="272"/>
        <v>0.70252378108247981</v>
      </c>
      <c r="BF68" s="26">
        <f t="shared" si="273"/>
        <v>1.9684618502004418E-2</v>
      </c>
      <c r="BG68" s="26">
        <f t="shared" si="274"/>
        <v>2.943574249069276E-4</v>
      </c>
      <c r="BH68" s="26">
        <f t="shared" si="275"/>
        <v>0</v>
      </c>
      <c r="BI68" s="26">
        <f t="shared" si="276"/>
        <v>0</v>
      </c>
      <c r="BJ68" s="26">
        <f t="shared" si="277"/>
        <v>0</v>
      </c>
      <c r="BK68" s="25">
        <f t="shared" si="278"/>
        <v>3.9999999999999991</v>
      </c>
      <c r="BL68" s="24">
        <f t="shared" si="279"/>
        <v>5.9999999999999973</v>
      </c>
      <c r="BM68" s="26">
        <f t="shared" si="280"/>
        <v>2.0095179300832462</v>
      </c>
      <c r="BN68" s="26">
        <f t="shared" si="281"/>
        <v>0.72250275700939115</v>
      </c>
      <c r="BO68" s="22"/>
      <c r="BP68" s="23">
        <f t="shared" si="282"/>
        <v>0.54796824013762735</v>
      </c>
      <c r="BQ68" s="26">
        <f t="shared" si="283"/>
        <v>3.1592508274268072E-2</v>
      </c>
      <c r="BR68" s="26">
        <f t="shared" si="284"/>
        <v>9.5179300832462441E-3</v>
      </c>
      <c r="BS68" s="26"/>
      <c r="BT68" s="26">
        <f t="shared" si="285"/>
        <v>9.5179300832462441E-3</v>
      </c>
      <c r="BU68" s="26">
        <f t="shared" si="286"/>
        <v>0</v>
      </c>
      <c r="BV68" s="26">
        <f t="shared" si="287"/>
        <v>9.5179300832462441E-3</v>
      </c>
      <c r="BW68" s="26">
        <f t="shared" si="288"/>
        <v>4.415145355981116E-4</v>
      </c>
      <c r="BX68" s="26">
        <f t="shared" si="289"/>
        <v>0.69356371947416728</v>
      </c>
      <c r="BY68" s="26">
        <f t="shared" si="290"/>
        <v>0.27092923050978712</v>
      </c>
      <c r="BZ68" s="26">
        <f t="shared" si="291"/>
        <v>0.98397032468604506</v>
      </c>
      <c r="CA68" s="22"/>
      <c r="CB68" s="22">
        <f t="shared" si="292"/>
        <v>1.704648366744399E-2</v>
      </c>
      <c r="CC68" s="22">
        <f t="shared" si="293"/>
        <v>2.638134834560428E-3</v>
      </c>
      <c r="CD68" s="22">
        <f t="shared" si="294"/>
        <v>0</v>
      </c>
      <c r="CE68" s="22">
        <f t="shared" si="295"/>
        <v>8.8177469280955418E-4</v>
      </c>
      <c r="CF68" s="22">
        <f t="shared" si="296"/>
        <v>6.879795248685816E-3</v>
      </c>
      <c r="CG68" s="22">
        <f t="shared" si="297"/>
        <v>0.35590434740421423</v>
      </c>
      <c r="CH68" s="22">
        <f t="shared" si="298"/>
        <v>0.3578891781962254</v>
      </c>
      <c r="CI68" s="22">
        <f t="shared" si="299"/>
        <v>0.28620647439956032</v>
      </c>
      <c r="CJ68" s="22"/>
      <c r="CK68" s="22">
        <f t="shared" si="300"/>
        <v>0.35887750969605514</v>
      </c>
      <c r="CL68" s="22">
        <f t="shared" si="301"/>
        <v>0.34533343074866463</v>
      </c>
      <c r="CM68" s="22">
        <f t="shared" si="302"/>
        <v>0.29578905955528018</v>
      </c>
      <c r="CN68" s="1"/>
      <c r="CO68" s="26">
        <f t="shared" si="303"/>
        <v>0.85186418109187756</v>
      </c>
      <c r="CP68" s="26">
        <f t="shared" si="304"/>
        <v>5.2203304957436159E-3</v>
      </c>
      <c r="CQ68" s="26">
        <f t="shared" si="305"/>
        <v>1.7791290702236173E-2</v>
      </c>
      <c r="CR68" s="26">
        <f t="shared" si="306"/>
        <v>3.8160405289821696E-4</v>
      </c>
      <c r="CS68" s="26">
        <f t="shared" si="307"/>
        <v>0.24133611691022966</v>
      </c>
      <c r="CT68" s="26">
        <f t="shared" si="308"/>
        <v>9.2472511981956593E-3</v>
      </c>
      <c r="CU68" s="26">
        <f t="shared" si="309"/>
        <v>0.29255583126550866</v>
      </c>
      <c r="CV68" s="26">
        <f t="shared" si="310"/>
        <v>0.30402995720399434</v>
      </c>
      <c r="CW68" s="26">
        <f t="shared" si="311"/>
        <v>8.5188770571151991E-3</v>
      </c>
      <c r="CX68" s="26">
        <f t="shared" si="312"/>
        <v>1.2738853503184712E-4</v>
      </c>
      <c r="CY68" s="26">
        <f t="shared" si="313"/>
        <v>0</v>
      </c>
      <c r="CZ68" s="26">
        <f t="shared" si="314"/>
        <v>0</v>
      </c>
      <c r="DA68" s="26">
        <f t="shared" si="315"/>
        <v>0</v>
      </c>
      <c r="DB68" s="26">
        <f t="shared" si="316"/>
        <v>1.7310728285128312</v>
      </c>
      <c r="DC68" s="26">
        <f t="shared" si="317"/>
        <v>2.5929206546819459</v>
      </c>
      <c r="DD68" s="26">
        <f t="shared" si="318"/>
        <v>2.310705785519382</v>
      </c>
      <c r="DE68" s="26">
        <f t="shared" si="319"/>
        <v>5.991476758166276</v>
      </c>
      <c r="DF68" s="1"/>
      <c r="DG68" s="22"/>
      <c r="DH68" s="14"/>
      <c r="DI68" s="14"/>
      <c r="DJ68" s="14"/>
      <c r="DK68" s="14"/>
      <c r="DL68" s="14"/>
      <c r="DM68" s="96"/>
      <c r="DN68" s="14"/>
      <c r="DO68" s="96"/>
      <c r="DP68" s="22"/>
      <c r="DQ68" s="14"/>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46"/>
      <c r="FR68" s="46"/>
      <c r="FS68" s="46"/>
      <c r="FT68" s="46"/>
      <c r="FU68" s="46"/>
      <c r="FV68" s="46"/>
      <c r="FW68" s="46"/>
      <c r="FX68" s="46"/>
      <c r="FY68" s="46"/>
      <c r="FZ68" s="46"/>
      <c r="GA68" s="46"/>
      <c r="GB68" s="46"/>
      <c r="GC68" s="46"/>
      <c r="GD68" s="46"/>
      <c r="GE68" s="46"/>
      <c r="GF68" s="46"/>
      <c r="GG68" s="46"/>
      <c r="GH68" s="46"/>
    </row>
    <row r="69" spans="1:190" x14ac:dyDescent="0.25">
      <c r="A69" s="5" t="s">
        <v>188</v>
      </c>
      <c r="B69" s="1">
        <v>389</v>
      </c>
      <c r="C69" s="98" t="s">
        <v>98</v>
      </c>
      <c r="D69" s="98" t="s">
        <v>106</v>
      </c>
      <c r="E69" s="1">
        <v>59</v>
      </c>
      <c r="F69" s="22">
        <v>50.8</v>
      </c>
      <c r="G69" s="22">
        <v>0.6</v>
      </c>
      <c r="H69" s="22">
        <v>1.95</v>
      </c>
      <c r="I69" s="22">
        <v>2.5000000000000001E-2</v>
      </c>
      <c r="J69" s="22">
        <v>10.71</v>
      </c>
      <c r="K69" s="22">
        <v>0.28499999999999998</v>
      </c>
      <c r="L69" s="22">
        <v>15.38</v>
      </c>
      <c r="M69" s="22">
        <v>18.45</v>
      </c>
      <c r="N69" s="22">
        <v>0.33700000000000002</v>
      </c>
      <c r="O69" s="22">
        <v>0</v>
      </c>
      <c r="P69" s="22">
        <v>0</v>
      </c>
      <c r="Q69" s="22"/>
      <c r="R69" s="22"/>
      <c r="S69" s="22">
        <f t="shared" si="244"/>
        <v>98.537000000000006</v>
      </c>
      <c r="T69" s="3"/>
      <c r="U69" s="22">
        <f t="shared" si="245"/>
        <v>8.3814538187428198</v>
      </c>
      <c r="V69" s="22">
        <f t="shared" si="246"/>
        <v>2.5877133712311049</v>
      </c>
      <c r="W69" s="22">
        <f t="shared" si="247"/>
        <v>98.796167189973929</v>
      </c>
      <c r="X69" s="1"/>
      <c r="Y69" s="1"/>
      <c r="Z69" s="1"/>
      <c r="AA69" s="1" t="s">
        <v>185</v>
      </c>
      <c r="AC69" s="1">
        <v>6</v>
      </c>
      <c r="AD69" s="1">
        <v>4</v>
      </c>
      <c r="AE69" s="1"/>
      <c r="AF69" s="26">
        <f t="shared" si="248"/>
        <v>1.9267032879439863</v>
      </c>
      <c r="AG69" s="26">
        <f t="shared" si="249"/>
        <v>1.7115683398080592E-2</v>
      </c>
      <c r="AH69" s="26">
        <f t="shared" si="250"/>
        <v>8.7159720811606556E-2</v>
      </c>
      <c r="AI69" s="26">
        <f t="shared" si="251"/>
        <v>7.4961115305759022E-4</v>
      </c>
      <c r="AJ69" s="26">
        <f t="shared" si="252"/>
        <v>0.33965948641086152</v>
      </c>
      <c r="AK69" s="26">
        <f t="shared" si="253"/>
        <v>9.1545020464247496E-3</v>
      </c>
      <c r="AL69" s="26">
        <f t="shared" si="254"/>
        <v>0.86962564713477519</v>
      </c>
      <c r="AM69" s="26">
        <f t="shared" si="255"/>
        <v>0.74966876404314076</v>
      </c>
      <c r="AN69" s="26">
        <f t="shared" si="256"/>
        <v>2.4779319467335397E-2</v>
      </c>
      <c r="AO69" s="26">
        <f t="shared" si="257"/>
        <v>0</v>
      </c>
      <c r="AP69" s="26">
        <f t="shared" si="258"/>
        <v>0</v>
      </c>
      <c r="AQ69" s="26">
        <f t="shared" si="259"/>
        <v>0</v>
      </c>
      <c r="AR69" s="26">
        <f t="shared" si="260"/>
        <v>0</v>
      </c>
      <c r="AS69" s="26">
        <f t="shared" si="261"/>
        <v>4.0246160224092682</v>
      </c>
      <c r="AT69" s="26">
        <f t="shared" si="262"/>
        <v>2.0138630087555929</v>
      </c>
      <c r="AU69" s="26">
        <f t="shared" si="263"/>
        <v>0.77444808351047612</v>
      </c>
      <c r="AV69" s="47"/>
      <c r="AW69" s="26">
        <f t="shared" si="264"/>
        <v>1.914918866511492</v>
      </c>
      <c r="AX69" s="26">
        <f t="shared" si="265"/>
        <v>1.7010997623405154E-2</v>
      </c>
      <c r="AY69" s="26">
        <f t="shared" si="266"/>
        <v>8.6626620106163441E-2</v>
      </c>
      <c r="AZ69" s="26">
        <f t="shared" si="267"/>
        <v>7.4502625729631531E-4</v>
      </c>
      <c r="BA69" s="26">
        <f t="shared" si="268"/>
        <v>0.26418561940121033</v>
      </c>
      <c r="BB69" s="26">
        <f t="shared" si="269"/>
        <v>7.3396385460490876E-2</v>
      </c>
      <c r="BC69" s="26">
        <f t="shared" si="270"/>
        <v>9.0985097663498962E-3</v>
      </c>
      <c r="BD69" s="26">
        <f t="shared" si="271"/>
        <v>0.86430669886782241</v>
      </c>
      <c r="BE69" s="26">
        <f t="shared" si="272"/>
        <v>0.74508351591202404</v>
      </c>
      <c r="BF69" s="26">
        <f t="shared" si="273"/>
        <v>2.4627760093745964E-2</v>
      </c>
      <c r="BG69" s="26">
        <f t="shared" si="274"/>
        <v>0</v>
      </c>
      <c r="BH69" s="26">
        <f t="shared" si="275"/>
        <v>0</v>
      </c>
      <c r="BI69" s="26">
        <f t="shared" si="276"/>
        <v>0</v>
      </c>
      <c r="BJ69" s="26">
        <f t="shared" si="277"/>
        <v>0</v>
      </c>
      <c r="BK69" s="25">
        <f t="shared" si="278"/>
        <v>4</v>
      </c>
      <c r="BL69" s="24">
        <f t="shared" si="279"/>
        <v>6.0000000000000009</v>
      </c>
      <c r="BM69" s="26">
        <f t="shared" si="280"/>
        <v>2.0015454866176556</v>
      </c>
      <c r="BN69" s="26">
        <f t="shared" si="281"/>
        <v>0.76971127600577005</v>
      </c>
      <c r="BO69" s="22"/>
      <c r="BP69" s="23">
        <f t="shared" si="282"/>
        <v>0.71912373931615592</v>
      </c>
      <c r="BQ69" s="26">
        <f t="shared" si="283"/>
        <v>8.5081133488507987E-2</v>
      </c>
      <c r="BR69" s="26">
        <f t="shared" si="284"/>
        <v>1.5454866176554533E-3</v>
      </c>
      <c r="BS69" s="26"/>
      <c r="BT69" s="26">
        <f t="shared" si="285"/>
        <v>1.5454866176554533E-3</v>
      </c>
      <c r="BU69" s="26">
        <f t="shared" si="286"/>
        <v>0</v>
      </c>
      <c r="BV69" s="26">
        <f t="shared" si="287"/>
        <v>1.5454866176554533E-3</v>
      </c>
      <c r="BW69" s="26">
        <f t="shared" si="288"/>
        <v>3.7480557652879511E-4</v>
      </c>
      <c r="BX69" s="26">
        <f t="shared" si="289"/>
        <v>0.74774847184895654</v>
      </c>
      <c r="BY69" s="26">
        <f t="shared" si="290"/>
        <v>0.23076833084834009</v>
      </c>
      <c r="BZ69" s="26">
        <f t="shared" si="291"/>
        <v>0.98198258150913631</v>
      </c>
      <c r="CA69" s="22"/>
      <c r="CB69" s="22">
        <f t="shared" si="292"/>
        <v>2.4627760093745964E-2</v>
      </c>
      <c r="CC69" s="22">
        <f t="shared" si="293"/>
        <v>0</v>
      </c>
      <c r="CD69" s="22">
        <f t="shared" si="294"/>
        <v>4.8768625366744908E-2</v>
      </c>
      <c r="CE69" s="22">
        <f t="shared" si="295"/>
        <v>7.4502625729631531E-4</v>
      </c>
      <c r="CF69" s="22">
        <f t="shared" si="296"/>
        <v>1.5454866176554533E-3</v>
      </c>
      <c r="CG69" s="22">
        <f t="shared" si="297"/>
        <v>0.35932606888203666</v>
      </c>
      <c r="CH69" s="22">
        <f t="shared" si="298"/>
        <v>0.49068900292082107</v>
      </c>
      <c r="CI69" s="22">
        <f t="shared" si="299"/>
        <v>0.14998492819714226</v>
      </c>
      <c r="CJ69" s="22"/>
      <c r="CK69" s="22">
        <f t="shared" si="300"/>
        <v>0.38090826916957177</v>
      </c>
      <c r="CL69" s="22">
        <f t="shared" si="301"/>
        <v>0.44185861271460669</v>
      </c>
      <c r="CM69" s="22">
        <f t="shared" si="302"/>
        <v>0.17723311811582154</v>
      </c>
      <c r="CN69" s="1"/>
      <c r="CO69" s="26">
        <f t="shared" si="303"/>
        <v>0.84553928095872166</v>
      </c>
      <c r="CP69" s="26">
        <f t="shared" si="304"/>
        <v>7.5112669003505259E-3</v>
      </c>
      <c r="CQ69" s="26">
        <f t="shared" si="305"/>
        <v>3.8250294233032563E-2</v>
      </c>
      <c r="CR69" s="26">
        <f t="shared" si="306"/>
        <v>3.2896901111915256E-4</v>
      </c>
      <c r="CS69" s="26">
        <f t="shared" si="307"/>
        <v>0.14906054279749481</v>
      </c>
      <c r="CT69" s="26">
        <f t="shared" si="308"/>
        <v>4.0174795601917107E-3</v>
      </c>
      <c r="CU69" s="26">
        <f t="shared" si="309"/>
        <v>0.38163771712158812</v>
      </c>
      <c r="CV69" s="26">
        <f t="shared" si="310"/>
        <v>0.32899429386590584</v>
      </c>
      <c r="CW69" s="26">
        <f t="shared" si="311"/>
        <v>1.0874475637302356E-2</v>
      </c>
      <c r="CX69" s="26">
        <f t="shared" si="312"/>
        <v>0</v>
      </c>
      <c r="CY69" s="26">
        <f t="shared" si="313"/>
        <v>0</v>
      </c>
      <c r="CZ69" s="26">
        <f t="shared" si="314"/>
        <v>0</v>
      </c>
      <c r="DA69" s="26">
        <f t="shared" si="315"/>
        <v>0</v>
      </c>
      <c r="DB69" s="26">
        <f t="shared" si="316"/>
        <v>1.7662143200857066</v>
      </c>
      <c r="DC69" s="26">
        <f t="shared" si="317"/>
        <v>2.6331172617482035</v>
      </c>
      <c r="DD69" s="26">
        <f t="shared" si="318"/>
        <v>2.2647308169293394</v>
      </c>
      <c r="DE69" s="26">
        <f t="shared" si="319"/>
        <v>5.9633018072697546</v>
      </c>
      <c r="DF69" s="1"/>
      <c r="DG69" s="22"/>
      <c r="DH69" s="14"/>
      <c r="DI69" s="14"/>
      <c r="DJ69" s="14"/>
      <c r="DK69" s="14"/>
      <c r="DL69" s="14"/>
      <c r="DM69" s="96"/>
      <c r="DN69" s="14"/>
      <c r="DO69" s="96"/>
      <c r="DP69" s="22"/>
      <c r="DQ69" s="14"/>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46">
        <f xml:space="preserve">  -0.73306   +   1.025016   *  FS69     +N("316 NN Nd")</f>
        <v>-1.7310825365868143</v>
      </c>
      <c r="FR69" s="46">
        <f xml:space="preserve">  -0.33671   +   1.013871 *  FS69    +N("340 NN")</f>
        <v>-1.3238810365416833</v>
      </c>
      <c r="FS69" s="46">
        <f>-0.42496     +   1.017678*FT69                 + N("361 NN")</f>
        <v>-0.97366532482109003</v>
      </c>
      <c r="FT69" s="46">
        <f xml:space="preserve"> 0.68509  -3.34181 * BP69 + 0.03095*(100*CK69) +N("642 cpx Mg# Wo R2 0.59")</f>
        <v>-0.53917381020429844</v>
      </c>
      <c r="FU69" s="46">
        <f xml:space="preserve"> -0.06599 + 0.926002 * FT69  + N("409 NN")</f>
        <v>-0.56526602659680081</v>
      </c>
      <c r="FV69" s="46">
        <f t="shared" ref="FV69:FV73" si="320">0.1453     +   0.925549*FT69     +N("424 LnD Sm")</f>
        <v>-0.35373178086077817</v>
      </c>
      <c r="FW69" s="46">
        <f xml:space="preserve">  0.053547 + 0.932974 * FV69  +  N("445 NN")</f>
        <v>-0.27647555451680361</v>
      </c>
      <c r="FX69" s="46">
        <f xml:space="preserve">  0.027177  +  0.867603 * FV69 + N("464 NN Gd")</f>
        <v>-0.27972175427015372</v>
      </c>
      <c r="FY69" s="46">
        <f xml:space="preserve">  -0.06187  +  0.953618 * FX69   + N("505 NN Dy")</f>
        <v>-0.3286176998635954</v>
      </c>
      <c r="FZ69" s="46">
        <f xml:space="preserve"> -0.05652 + 0.972005*FY69   +N("533 NN")</f>
        <v>-0.37593804735591407</v>
      </c>
      <c r="GA69" s="46">
        <f xml:space="preserve">     0.018586 + 0.960264 * FZ69    +N("549 LnD Er")</f>
        <v>-0.34241377310617949</v>
      </c>
      <c r="GB69" s="46">
        <f xml:space="preserve"> -0.02011 + 0.936315 * FZ69    +N("574 NN Er")</f>
        <v>-0.37210643281005268</v>
      </c>
      <c r="GC69" s="46">
        <f xml:space="preserve">   0.01732 + 1.006083 * GB69  +N("597 NN Yb")</f>
        <v>-0.35704995624083624</v>
      </c>
      <c r="GD69" s="46">
        <f>(-1.72947 +0 ) * (3.46258+0) * BQ69   - (1.87473 + 0) *BP69   + (0.03253+0) * (CK69*100)    +N("eqn625 aliv mg# wo")</f>
        <v>-0.61857051004375041</v>
      </c>
      <c r="GE69" s="46"/>
      <c r="GF69" s="46"/>
      <c r="GG69" s="46"/>
      <c r="GH69" s="46"/>
    </row>
    <row r="70" spans="1:190" x14ac:dyDescent="0.25">
      <c r="A70" s="5" t="s">
        <v>188</v>
      </c>
      <c r="B70" s="1">
        <v>397</v>
      </c>
      <c r="C70" s="98" t="s">
        <v>98</v>
      </c>
      <c r="D70" s="98" t="s">
        <v>106</v>
      </c>
      <c r="E70" s="1">
        <v>67</v>
      </c>
      <c r="F70" s="22">
        <v>52.35</v>
      </c>
      <c r="G70" s="22">
        <v>1.0999999999999999E-2</v>
      </c>
      <c r="H70" s="22">
        <v>0.156</v>
      </c>
      <c r="I70" s="22">
        <v>0</v>
      </c>
      <c r="J70" s="22">
        <v>8.35</v>
      </c>
      <c r="K70" s="22">
        <v>0.46600000000000003</v>
      </c>
      <c r="L70" s="22">
        <v>13.45</v>
      </c>
      <c r="M70" s="22">
        <v>24.68</v>
      </c>
      <c r="N70" s="22">
        <v>1.2E-2</v>
      </c>
      <c r="O70" s="22">
        <v>2.1000000000000001E-2</v>
      </c>
      <c r="P70" s="22">
        <v>0</v>
      </c>
      <c r="Q70" s="22"/>
      <c r="R70" s="22"/>
      <c r="S70" s="22">
        <f t="shared" si="244"/>
        <v>99.495999999999995</v>
      </c>
      <c r="T70" s="3"/>
      <c r="U70" s="22">
        <f t="shared" si="245"/>
        <v>6.4239890416390333</v>
      </c>
      <c r="V70" s="22">
        <f t="shared" si="246"/>
        <v>2.1403759780265426</v>
      </c>
      <c r="W70" s="22">
        <f t="shared" si="247"/>
        <v>99.710365019665574</v>
      </c>
      <c r="X70" s="1"/>
      <c r="Y70" s="1"/>
      <c r="Z70" s="1"/>
      <c r="AA70" s="1" t="s">
        <v>185</v>
      </c>
      <c r="AC70" s="1">
        <v>6</v>
      </c>
      <c r="AD70" s="1">
        <v>4</v>
      </c>
      <c r="AE70" s="1"/>
      <c r="AF70" s="26">
        <f t="shared" si="248"/>
        <v>1.9768888837099314</v>
      </c>
      <c r="AG70" s="26">
        <f t="shared" si="249"/>
        <v>3.1242812773750391E-4</v>
      </c>
      <c r="AH70" s="26">
        <f t="shared" si="250"/>
        <v>6.9425699554420675E-3</v>
      </c>
      <c r="AI70" s="26">
        <f t="shared" si="251"/>
        <v>0</v>
      </c>
      <c r="AJ70" s="26">
        <f t="shared" si="252"/>
        <v>0.26366664938908035</v>
      </c>
      <c r="AK70" s="26">
        <f t="shared" si="253"/>
        <v>1.4903567190136434E-2</v>
      </c>
      <c r="AL70" s="26">
        <f t="shared" si="254"/>
        <v>0.75720371407034925</v>
      </c>
      <c r="AM70" s="26">
        <f t="shared" si="255"/>
        <v>0.99846454458212341</v>
      </c>
      <c r="AN70" s="26">
        <f t="shared" si="256"/>
        <v>8.7852710881534144E-4</v>
      </c>
      <c r="AO70" s="26">
        <f t="shared" si="257"/>
        <v>1.0115652108031424E-3</v>
      </c>
      <c r="AP70" s="26">
        <f t="shared" si="258"/>
        <v>0</v>
      </c>
      <c r="AQ70" s="26">
        <f t="shared" si="259"/>
        <v>0</v>
      </c>
      <c r="AR70" s="26">
        <f t="shared" si="260"/>
        <v>0</v>
      </c>
      <c r="AS70" s="26">
        <f t="shared" si="261"/>
        <v>4.0202724493444189</v>
      </c>
      <c r="AT70" s="26">
        <f t="shared" si="262"/>
        <v>1.9838314536653734</v>
      </c>
      <c r="AU70" s="26">
        <f t="shared" si="263"/>
        <v>1.0003546369017418</v>
      </c>
      <c r="AV70" s="47"/>
      <c r="AW70" s="26">
        <f t="shared" si="264"/>
        <v>1.9669203106195456</v>
      </c>
      <c r="AX70" s="26">
        <f t="shared" si="265"/>
        <v>3.1085269137762163E-4</v>
      </c>
      <c r="AY70" s="26">
        <f t="shared" si="266"/>
        <v>6.9075616569958436E-3</v>
      </c>
      <c r="AZ70" s="26">
        <f t="shared" si="267"/>
        <v>0</v>
      </c>
      <c r="BA70" s="26">
        <f t="shared" si="268"/>
        <v>0.20182642237483456</v>
      </c>
      <c r="BB70" s="26">
        <f t="shared" si="269"/>
        <v>6.0510673144227756E-2</v>
      </c>
      <c r="BC70" s="26">
        <f t="shared" si="270"/>
        <v>1.4828415116559319E-2</v>
      </c>
      <c r="BD70" s="26">
        <f t="shared" si="271"/>
        <v>0.75338547186654048</v>
      </c>
      <c r="BE70" s="26">
        <f t="shared" si="272"/>
        <v>0.99342973110684774</v>
      </c>
      <c r="BF70" s="26">
        <f t="shared" si="273"/>
        <v>8.7409708658785245E-4</v>
      </c>
      <c r="BG70" s="26">
        <f t="shared" si="274"/>
        <v>1.0064643364835605E-3</v>
      </c>
      <c r="BH70" s="26">
        <f t="shared" si="275"/>
        <v>0</v>
      </c>
      <c r="BI70" s="26">
        <f t="shared" si="276"/>
        <v>0</v>
      </c>
      <c r="BJ70" s="26">
        <f t="shared" si="277"/>
        <v>0</v>
      </c>
      <c r="BK70" s="25">
        <f t="shared" si="278"/>
        <v>4.0000000000000009</v>
      </c>
      <c r="BL70" s="24">
        <f t="shared" si="279"/>
        <v>5.9999999999999991</v>
      </c>
      <c r="BM70" s="26">
        <f t="shared" si="280"/>
        <v>1.9738278722765414</v>
      </c>
      <c r="BN70" s="26">
        <f t="shared" si="281"/>
        <v>0.99531029252991909</v>
      </c>
      <c r="BO70" s="22"/>
      <c r="BP70" s="23">
        <f t="shared" si="282"/>
        <v>0.74172367146050588</v>
      </c>
      <c r="BQ70" s="26">
        <f t="shared" si="283"/>
        <v>3.3079689380454358E-2</v>
      </c>
      <c r="BR70" s="26">
        <f t="shared" si="284"/>
        <v>0</v>
      </c>
      <c r="BS70" s="26"/>
      <c r="BT70" s="26">
        <f t="shared" si="285"/>
        <v>0</v>
      </c>
      <c r="BU70" s="26">
        <f t="shared" si="286"/>
        <v>0</v>
      </c>
      <c r="BV70" s="26">
        <f t="shared" si="287"/>
        <v>0</v>
      </c>
      <c r="BW70" s="26">
        <f t="shared" si="288"/>
        <v>0</v>
      </c>
      <c r="BX70" s="26">
        <f t="shared" si="289"/>
        <v>0.99846454458212341</v>
      </c>
      <c r="BY70" s="26">
        <f t="shared" si="290"/>
        <v>1.1202909438653097E-2</v>
      </c>
      <c r="BZ70" s="26">
        <f t="shared" si="291"/>
        <v>1.0096674540207764</v>
      </c>
      <c r="CA70" s="22"/>
      <c r="CB70" s="22">
        <f t="shared" si="292"/>
        <v>8.7409708658785245E-4</v>
      </c>
      <c r="CC70" s="22">
        <f t="shared" si="293"/>
        <v>0</v>
      </c>
      <c r="CD70" s="22">
        <f t="shared" si="294"/>
        <v>5.9636576057639903E-2</v>
      </c>
      <c r="CE70" s="22">
        <f t="shared" si="295"/>
        <v>0</v>
      </c>
      <c r="CF70" s="22">
        <f t="shared" si="296"/>
        <v>0</v>
      </c>
      <c r="CG70" s="22">
        <f t="shared" si="297"/>
        <v>0.4673336260678978</v>
      </c>
      <c r="CH70" s="22">
        <f t="shared" si="298"/>
        <v>0.42011946238482412</v>
      </c>
      <c r="CI70" s="22">
        <f t="shared" si="299"/>
        <v>0.11254691154727814</v>
      </c>
      <c r="CJ70" s="22"/>
      <c r="CK70" s="22">
        <f t="shared" si="300"/>
        <v>0.49082964300358312</v>
      </c>
      <c r="CL70" s="22">
        <f t="shared" si="301"/>
        <v>0.37222957056896072</v>
      </c>
      <c r="CM70" s="22">
        <f t="shared" si="302"/>
        <v>0.13694078642745611</v>
      </c>
      <c r="CN70" s="1"/>
      <c r="CO70" s="26">
        <f t="shared" si="303"/>
        <v>0.87133821571238357</v>
      </c>
      <c r="CP70" s="26">
        <f t="shared" si="304"/>
        <v>1.3770655983975965E-4</v>
      </c>
      <c r="CQ70" s="26">
        <f t="shared" si="305"/>
        <v>3.0600235386426052E-3</v>
      </c>
      <c r="CR70" s="26">
        <f t="shared" si="306"/>
        <v>0</v>
      </c>
      <c r="CS70" s="26">
        <f t="shared" si="307"/>
        <v>0.11621433542101602</v>
      </c>
      <c r="CT70" s="26">
        <f t="shared" si="308"/>
        <v>6.5689314914011846E-3</v>
      </c>
      <c r="CU70" s="26">
        <f t="shared" si="309"/>
        <v>0.33374689826302728</v>
      </c>
      <c r="CV70" s="26">
        <f t="shared" si="310"/>
        <v>0.44008559201141229</v>
      </c>
      <c r="CW70" s="26">
        <f t="shared" si="311"/>
        <v>3.8722168441432723E-4</v>
      </c>
      <c r="CX70" s="26">
        <f t="shared" si="312"/>
        <v>4.4585987261146497E-4</v>
      </c>
      <c r="CY70" s="26">
        <f t="shared" si="313"/>
        <v>0</v>
      </c>
      <c r="CZ70" s="26">
        <f t="shared" si="314"/>
        <v>0</v>
      </c>
      <c r="DA70" s="26">
        <f t="shared" si="315"/>
        <v>0</v>
      </c>
      <c r="DB70" s="26">
        <f t="shared" si="316"/>
        <v>1.7719847845547485</v>
      </c>
      <c r="DC70" s="26">
        <f t="shared" si="317"/>
        <v>2.6445741778177805</v>
      </c>
      <c r="DD70" s="26">
        <f t="shared" si="318"/>
        <v>2.2573557261131287</v>
      </c>
      <c r="DE70" s="26">
        <f t="shared" si="319"/>
        <v>5.9697446634278863</v>
      </c>
      <c r="DF70" s="1"/>
      <c r="DG70" s="22"/>
      <c r="DH70" s="14"/>
      <c r="DI70" s="14"/>
      <c r="DJ70" s="14"/>
      <c r="DK70" s="14"/>
      <c r="DL70" s="14"/>
      <c r="DM70" s="96"/>
      <c r="DN70" s="14"/>
      <c r="DO70" s="96"/>
      <c r="DP70" s="22"/>
      <c r="DQ70" s="14"/>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46">
        <f t="shared" ref="FQ70:FQ73" si="321" xml:space="preserve">  -0.73306   +   1.025016   *  FS70     +N("316 NN Nd")</f>
        <v>-1.4549831806014848</v>
      </c>
      <c r="FR70" s="46">
        <f t="shared" ref="FR70:FR73" si="322" xml:space="preserve">  -0.33671   +   1.013871 *  FS70    +N("340 NN")</f>
        <v>-1.0507837091319627</v>
      </c>
      <c r="FS70" s="46">
        <f t="shared" ref="FS70:FS73" si="323">-0.42496     +   1.017678*FT70                 + N("361 NN")</f>
        <v>-0.70430430412938416</v>
      </c>
      <c r="FT70" s="46">
        <f xml:space="preserve"> 0.68509  -3.34181 * BP70 + 0.03095*(100*CK70) +N("642 cpx Mg# Wo R2 0.59")</f>
        <v>-0.27449183742734351</v>
      </c>
      <c r="FU70" s="46">
        <f t="shared" ref="FU70:FU73" si="324" xml:space="preserve"> -0.06599 + 0.926002 * FT70  + N("409 NN")</f>
        <v>-0.32016999044139494</v>
      </c>
      <c r="FV70" s="46">
        <f t="shared" si="320"/>
        <v>-0.10875564563904036</v>
      </c>
      <c r="FW70" s="46">
        <f t="shared" ref="FW70:FW73" si="325" xml:space="preserve">  0.053547 + 0.932974 * FV70  +  N("445 NN")</f>
        <v>-4.7919189734438039E-2</v>
      </c>
      <c r="FX70" s="46">
        <f t="shared" ref="FX70:FX73" si="326" xml:space="preserve">  0.027177  +  0.867603 * FV70 + N("464 NN Gd")</f>
        <v>-6.7179724423368337E-2</v>
      </c>
      <c r="FY70" s="46">
        <f t="shared" ref="FY70:FY73" si="327" xml:space="preserve">  -0.06187  +  0.953618 * FX70   + N("505 NN Dy")</f>
        <v>-0.12593379444516367</v>
      </c>
      <c r="FZ70" s="46">
        <f t="shared" ref="FZ70:FZ73" si="328" xml:space="preserve"> -0.05652 + 0.972005*FY70   +N("533 NN")</f>
        <v>-0.1789282778696713</v>
      </c>
      <c r="GA70" s="46">
        <f t="shared" ref="GA70:GA73" si="329" xml:space="preserve">     0.018586 + 0.960264 * FZ70    +N("549 LnD Er")</f>
        <v>-0.15323238382024207</v>
      </c>
      <c r="GB70" s="46">
        <f t="shared" ref="GB70:GB73" si="330" xml:space="preserve"> -0.02011 + 0.936315 * FZ70    +N("574 NN Er")</f>
        <v>-0.18764323049354129</v>
      </c>
      <c r="GC70" s="46">
        <f t="shared" ref="GC70:GC73" si="331" xml:space="preserve">   0.01732 + 1.006083 * GB70  +N("597 NN Yb")</f>
        <v>-0.1714646642646335</v>
      </c>
      <c r="GD70" s="46">
        <f>(-1.72947 +0 ) * (3.46258+0) * BQ70   - (1.87473 + 0) *BP70   + (0.03253+0) * (CK70*100)    +N("eqn625 aliv mg# wo")</f>
        <v>8.0418642819506392E-3</v>
      </c>
      <c r="GE70" s="46"/>
      <c r="GF70" s="46"/>
      <c r="GG70" s="46"/>
      <c r="GH70" s="46"/>
    </row>
    <row r="71" spans="1:190" x14ac:dyDescent="0.25">
      <c r="A71" s="5" t="s">
        <v>84</v>
      </c>
      <c r="B71" s="1">
        <v>195</v>
      </c>
      <c r="C71" s="98" t="s">
        <v>97</v>
      </c>
      <c r="D71" s="98" t="s">
        <v>104</v>
      </c>
      <c r="E71" s="1">
        <v>27</v>
      </c>
      <c r="F71" s="22">
        <v>54.28</v>
      </c>
      <c r="G71" s="22">
        <v>8.1000000000000003E-2</v>
      </c>
      <c r="H71" s="22">
        <v>0.31</v>
      </c>
      <c r="I71" s="22">
        <v>0.04</v>
      </c>
      <c r="J71" s="22">
        <v>7.14</v>
      </c>
      <c r="K71" s="22">
        <v>0.222</v>
      </c>
      <c r="L71" s="22">
        <v>14.75</v>
      </c>
      <c r="M71" s="22">
        <v>22.84</v>
      </c>
      <c r="N71" s="22">
        <v>1.0149999999999999</v>
      </c>
      <c r="O71" s="22">
        <v>1.0999999999999999E-2</v>
      </c>
      <c r="P71" s="22">
        <v>0</v>
      </c>
      <c r="Q71" s="22"/>
      <c r="R71" s="22"/>
      <c r="S71" s="22">
        <f t="shared" si="244"/>
        <v>100.68900000000001</v>
      </c>
      <c r="T71" s="3"/>
      <c r="U71" s="22">
        <f t="shared" si="245"/>
        <v>4.461474725141394</v>
      </c>
      <c r="V71" s="22">
        <f t="shared" si="246"/>
        <v>2.9766451379503689</v>
      </c>
      <c r="W71" s="22">
        <f t="shared" si="247"/>
        <v>100.98711986309176</v>
      </c>
      <c r="X71" s="1"/>
      <c r="Y71" s="1"/>
      <c r="Z71" s="1"/>
      <c r="AA71" s="1" t="s">
        <v>185</v>
      </c>
      <c r="AC71" s="1">
        <v>6</v>
      </c>
      <c r="AD71" s="1">
        <v>4</v>
      </c>
      <c r="AE71" s="1"/>
      <c r="AF71" s="26">
        <f t="shared" si="248"/>
        <v>1.9994444044939339</v>
      </c>
      <c r="AG71" s="26">
        <f t="shared" si="249"/>
        <v>2.244121572369064E-3</v>
      </c>
      <c r="AH71" s="26">
        <f t="shared" si="250"/>
        <v>1.3457403695533143E-2</v>
      </c>
      <c r="AI71" s="26">
        <f t="shared" si="251"/>
        <v>1.164861763653007E-3</v>
      </c>
      <c r="AJ71" s="26">
        <f t="shared" si="252"/>
        <v>0.21992310433671028</v>
      </c>
      <c r="AK71" s="26">
        <f t="shared" si="253"/>
        <v>6.9256606568212156E-3</v>
      </c>
      <c r="AL71" s="26">
        <f t="shared" si="254"/>
        <v>0.81000256110418833</v>
      </c>
      <c r="AM71" s="26">
        <f t="shared" si="255"/>
        <v>0.90133765005618172</v>
      </c>
      <c r="AN71" s="26">
        <f t="shared" si="256"/>
        <v>7.2484289105148772E-2</v>
      </c>
      <c r="AO71" s="26">
        <f t="shared" si="257"/>
        <v>5.1685794427649306E-4</v>
      </c>
      <c r="AP71" s="26">
        <f t="shared" si="258"/>
        <v>0</v>
      </c>
      <c r="AQ71" s="26">
        <f t="shared" si="259"/>
        <v>0</v>
      </c>
      <c r="AR71" s="26">
        <f t="shared" si="260"/>
        <v>0</v>
      </c>
      <c r="AS71" s="26">
        <f t="shared" si="261"/>
        <v>4.0275009147288161</v>
      </c>
      <c r="AT71" s="26">
        <f t="shared" si="262"/>
        <v>2.0129018081894672</v>
      </c>
      <c r="AU71" s="26">
        <f t="shared" si="263"/>
        <v>0.974338797105607</v>
      </c>
      <c r="AV71" s="47"/>
      <c r="AW71" s="26">
        <f t="shared" si="264"/>
        <v>1.985791632902522</v>
      </c>
      <c r="AX71" s="26">
        <f t="shared" si="265"/>
        <v>2.2287980759107219E-3</v>
      </c>
      <c r="AY71" s="26">
        <f t="shared" si="266"/>
        <v>1.3365512738997625E-2</v>
      </c>
      <c r="AZ71" s="26">
        <f t="shared" si="267"/>
        <v>1.1569077582508167E-3</v>
      </c>
      <c r="BA71" s="26">
        <f t="shared" si="268"/>
        <v>0.13648201508554034</v>
      </c>
      <c r="BB71" s="26">
        <f t="shared" si="269"/>
        <v>8.1939392127491573E-2</v>
      </c>
      <c r="BC71" s="26">
        <f t="shared" si="270"/>
        <v>6.8783702881294491E-3</v>
      </c>
      <c r="BD71" s="26">
        <f t="shared" si="271"/>
        <v>0.80447163464763949</v>
      </c>
      <c r="BE71" s="26">
        <f t="shared" si="272"/>
        <v>0.89518306179391305</v>
      </c>
      <c r="BF71" s="26">
        <f t="shared" si="273"/>
        <v>7.198934588947635E-2</v>
      </c>
      <c r="BG71" s="26">
        <f t="shared" si="274"/>
        <v>5.1332869212896977E-4</v>
      </c>
      <c r="BH71" s="26">
        <f t="shared" si="275"/>
        <v>0</v>
      </c>
      <c r="BI71" s="26">
        <f t="shared" si="276"/>
        <v>0</v>
      </c>
      <c r="BJ71" s="26">
        <f t="shared" si="277"/>
        <v>0</v>
      </c>
      <c r="BK71" s="25">
        <f t="shared" si="278"/>
        <v>4</v>
      </c>
      <c r="BL71" s="24">
        <f t="shared" si="279"/>
        <v>6.0000000000000009</v>
      </c>
      <c r="BM71" s="26">
        <f t="shared" si="280"/>
        <v>1.9991571456415196</v>
      </c>
      <c r="BN71" s="26">
        <f t="shared" si="281"/>
        <v>0.96768573637551836</v>
      </c>
      <c r="BO71" s="22"/>
      <c r="BP71" s="23">
        <f t="shared" si="282"/>
        <v>0.786467012410489</v>
      </c>
      <c r="BQ71" s="26">
        <f t="shared" si="283"/>
        <v>1.420836709747797E-2</v>
      </c>
      <c r="BR71" s="26">
        <f t="shared" si="284"/>
        <v>0</v>
      </c>
      <c r="BS71" s="26"/>
      <c r="BT71" s="26">
        <f t="shared" si="285"/>
        <v>0</v>
      </c>
      <c r="BU71" s="26">
        <f t="shared" si="286"/>
        <v>0</v>
      </c>
      <c r="BV71" s="26">
        <f t="shared" si="287"/>
        <v>0</v>
      </c>
      <c r="BW71" s="26">
        <f t="shared" si="288"/>
        <v>5.8243088182650352E-4</v>
      </c>
      <c r="BX71" s="26">
        <f t="shared" si="289"/>
        <v>0.90075521917435519</v>
      </c>
      <c r="BY71" s="26">
        <f t="shared" si="290"/>
        <v>6.4585223133271696E-2</v>
      </c>
      <c r="BZ71" s="26">
        <f t="shared" si="291"/>
        <v>0.96592287318945336</v>
      </c>
      <c r="CA71" s="22"/>
      <c r="CB71" s="22">
        <f t="shared" si="292"/>
        <v>7.198934588947635E-2</v>
      </c>
      <c r="CC71" s="22">
        <f t="shared" si="293"/>
        <v>0</v>
      </c>
      <c r="CD71" s="22">
        <f t="shared" si="294"/>
        <v>9.9500462380152227E-3</v>
      </c>
      <c r="CE71" s="22">
        <f t="shared" si="295"/>
        <v>1.1569077582508167E-3</v>
      </c>
      <c r="CF71" s="22">
        <f t="shared" si="296"/>
        <v>0</v>
      </c>
      <c r="CG71" s="22">
        <f t="shared" si="297"/>
        <v>0.47803272684356168</v>
      </c>
      <c r="CH71" s="22">
        <f t="shared" si="298"/>
        <v>0.44625775731652828</v>
      </c>
      <c r="CI71" s="22">
        <f t="shared" si="299"/>
        <v>7.5709515839910063E-2</v>
      </c>
      <c r="CJ71" s="22"/>
      <c r="CK71" s="22">
        <f t="shared" si="300"/>
        <v>0.4650411601477456</v>
      </c>
      <c r="CL71" s="22">
        <f t="shared" si="301"/>
        <v>0.417917226374664</v>
      </c>
      <c r="CM71" s="22">
        <f t="shared" si="302"/>
        <v>0.11704161347759033</v>
      </c>
      <c r="CN71" s="1"/>
      <c r="CO71" s="26">
        <f t="shared" si="303"/>
        <v>0.90346205059920115</v>
      </c>
      <c r="CP71" s="26">
        <f t="shared" si="304"/>
        <v>1.0140210315473211E-3</v>
      </c>
      <c r="CQ71" s="26">
        <f t="shared" si="305"/>
        <v>6.0808160062769713E-3</v>
      </c>
      <c r="CR71" s="26">
        <f t="shared" si="306"/>
        <v>5.2635041779064407E-4</v>
      </c>
      <c r="CS71" s="26">
        <f t="shared" si="307"/>
        <v>9.9373695198329851E-2</v>
      </c>
      <c r="CT71" s="26">
        <f t="shared" si="308"/>
        <v>3.1294051310967017E-3</v>
      </c>
      <c r="CU71" s="26">
        <f t="shared" si="309"/>
        <v>0.36600496277915634</v>
      </c>
      <c r="CV71" s="26">
        <f t="shared" si="310"/>
        <v>0.40727532097004282</v>
      </c>
      <c r="CW71" s="26">
        <f t="shared" si="311"/>
        <v>3.275250080671184E-2</v>
      </c>
      <c r="CX71" s="26">
        <f t="shared" si="312"/>
        <v>2.335456475583864E-4</v>
      </c>
      <c r="CY71" s="26">
        <f t="shared" si="313"/>
        <v>0</v>
      </c>
      <c r="CZ71" s="26">
        <f t="shared" si="314"/>
        <v>0</v>
      </c>
      <c r="DA71" s="26">
        <f t="shared" si="315"/>
        <v>0</v>
      </c>
      <c r="DB71" s="26">
        <f t="shared" si="316"/>
        <v>1.8198526685877119</v>
      </c>
      <c r="DC71" s="26">
        <f t="shared" si="317"/>
        <v>2.7111393002033592</v>
      </c>
      <c r="DD71" s="26">
        <f t="shared" si="318"/>
        <v>2.1979801272067707</v>
      </c>
      <c r="DE71" s="26">
        <f t="shared" si="319"/>
        <v>5.9590303039362551</v>
      </c>
      <c r="DF71" s="1"/>
      <c r="DG71" s="22">
        <v>14.078832275704936</v>
      </c>
      <c r="DH71" s="14">
        <v>6657.7221716799477</v>
      </c>
      <c r="DI71" s="14">
        <v>81025.713195983713</v>
      </c>
      <c r="DJ71" s="14">
        <v>2253.7400248842209</v>
      </c>
      <c r="DK71" s="14">
        <v>254052.07139706059</v>
      </c>
      <c r="DL71" s="14">
        <v>162258.29678917088</v>
      </c>
      <c r="DM71" s="96">
        <v>219.20297046977862</v>
      </c>
      <c r="DN71" s="14">
        <v>271.74837039993815</v>
      </c>
      <c r="DO71" s="96">
        <v>163.24137754775219</v>
      </c>
      <c r="DP71" s="22">
        <v>1.3207665783447711</v>
      </c>
      <c r="DQ71" s="14">
        <v>1701.8854972354009</v>
      </c>
      <c r="DR71" s="22">
        <v>22.12054116511295</v>
      </c>
      <c r="DS71" s="22">
        <v>9.6617442023728088</v>
      </c>
      <c r="DT71" s="22">
        <v>1.277167223607667</v>
      </c>
      <c r="DU71" s="22">
        <v>20.710972566739919</v>
      </c>
      <c r="DV71" s="22">
        <v>0.72960160693391751</v>
      </c>
      <c r="DW71" s="22">
        <v>11.151792249646151</v>
      </c>
      <c r="DX71" s="22">
        <v>10.21853497921237</v>
      </c>
      <c r="DY71" s="22">
        <v>46.344091433682173</v>
      </c>
      <c r="DZ71" s="22">
        <v>24.000073754761399</v>
      </c>
      <c r="EA71" s="22">
        <v>4.8350607643160376E-2</v>
      </c>
      <c r="EB71" s="22">
        <v>0.11657091805616722</v>
      </c>
      <c r="EC71" s="22">
        <v>2.1020547845393018</v>
      </c>
      <c r="ED71" s="22">
        <v>2.2600576454177062</v>
      </c>
      <c r="EE71" s="22">
        <v>9.7173669693486016</v>
      </c>
      <c r="EF71" s="22">
        <v>1.9504015729589701</v>
      </c>
      <c r="EG71" s="22">
        <v>11.337643218057368</v>
      </c>
      <c r="EH71" s="22">
        <v>4.615720026251279</v>
      </c>
      <c r="EI71" s="22">
        <v>0.39850009918189871</v>
      </c>
      <c r="EJ71" s="22">
        <v>6.448496222752385</v>
      </c>
      <c r="EK71" s="22">
        <v>1.1630067524489456</v>
      </c>
      <c r="EL71" s="22">
        <v>7.9410049596032906</v>
      </c>
      <c r="EM71" s="22">
        <v>1.8024784442814936</v>
      </c>
      <c r="EN71" s="22">
        <v>5.2340972960358485</v>
      </c>
      <c r="EO71" s="22">
        <v>0.73523760314877074</v>
      </c>
      <c r="EP71" s="22">
        <v>5.7206322851279685</v>
      </c>
      <c r="EQ71" s="22">
        <v>1.1308491853952336</v>
      </c>
      <c r="ER71" s="22">
        <v>1.2185106278740558</v>
      </c>
      <c r="ES71" s="22">
        <v>0</v>
      </c>
      <c r="ET71" s="22">
        <v>0.48694768034781233</v>
      </c>
      <c r="EU71" s="22">
        <v>0.31061651584036221</v>
      </c>
      <c r="EV71" s="22">
        <v>8.7797305632797168E-2</v>
      </c>
      <c r="EW71" s="22">
        <f>(EI71/0.05883)/SQRT((EH71/0.1536)*(EJ71/0.2069))</f>
        <v>0.22133825650450023</v>
      </c>
      <c r="EX71" s="22"/>
      <c r="EY71" s="22"/>
      <c r="EZ71" s="22"/>
      <c r="FA71" s="22"/>
      <c r="FB71" s="22"/>
      <c r="FC71" s="22"/>
      <c r="FD71" s="22"/>
      <c r="FE71" s="22"/>
      <c r="FF71" s="22"/>
      <c r="FG71" s="22"/>
      <c r="FH71" s="22"/>
      <c r="FI71" s="22">
        <f>-0.50354-2.23025*BP71+ N("eqn 18 Mg# R2 0.28 best")</f>
        <v>-2.2575580544284928</v>
      </c>
      <c r="FJ71" s="22"/>
      <c r="FK71" s="22">
        <f xml:space="preserve"> -0.03692  +  0.931085 + FX71   + N("488 NN Dy")</f>
        <v>0.64282389487970426</v>
      </c>
      <c r="FL71" s="22">
        <f>-0.48986  +   0    +   (1.071278 + 0) * GD71  +N("eqn 119 LnD Hf  (which has R2 of 0.51 for TS")</f>
        <v>-0.53991031693213642</v>
      </c>
      <c r="FM71" s="22"/>
      <c r="FN71" s="22"/>
      <c r="FO71" s="22">
        <f>3.94011-11.9214*BP71</f>
        <v>-5.4356778417504037</v>
      </c>
      <c r="FP71" s="22">
        <f xml:space="preserve">  -0.49862 +   1.013256 * FQ71 + N("294 NN")</f>
        <v>-2.2152936194401711</v>
      </c>
      <c r="FQ71" s="46">
        <f t="shared" si="321"/>
        <v>-1.6942151040212652</v>
      </c>
      <c r="FR71" s="46">
        <f t="shared" si="322"/>
        <v>-1.287414463607538</v>
      </c>
      <c r="FS71" s="46">
        <f t="shared" si="323"/>
        <v>-0.93769765937435623</v>
      </c>
      <c r="FT71" s="46">
        <f xml:space="preserve"> 0.68509  -3.34181 * BP71 + 0.03095*(100*CK71) +N("642 cpx Mg# Wo R2 0.59")</f>
        <v>-0.50383093608622387</v>
      </c>
      <c r="FU71" s="46">
        <f t="shared" si="324"/>
        <v>-0.53253845447771542</v>
      </c>
      <c r="FV71" s="46">
        <f t="shared" si="320"/>
        <v>-0.3210202190636684</v>
      </c>
      <c r="FW71" s="46">
        <f t="shared" si="325"/>
        <v>-0.24595651786070694</v>
      </c>
      <c r="FX71" s="46">
        <f t="shared" si="326"/>
        <v>-0.25134110512029589</v>
      </c>
      <c r="FY71" s="46">
        <f t="shared" si="327"/>
        <v>-0.30155340198260633</v>
      </c>
      <c r="FZ71" s="46">
        <f t="shared" si="328"/>
        <v>-0.34963141449410329</v>
      </c>
      <c r="GA71" s="46">
        <f t="shared" si="329"/>
        <v>-0.31715246060776559</v>
      </c>
      <c r="GB71" s="46">
        <f t="shared" si="330"/>
        <v>-0.34747513786204631</v>
      </c>
      <c r="GC71" s="46">
        <f t="shared" si="331"/>
        <v>-0.33226882912566114</v>
      </c>
      <c r="GD71" s="46">
        <f>(-1.72947 +0 ) * (3.46258+0) * BQ71   - (1.87473 + 0) *BP71   + (0.03253+0) * (CK71*100)    +N("eqn625 aliv mg# wo")</f>
        <v>-4.6720194881381349E-2</v>
      </c>
      <c r="GE71" s="46"/>
      <c r="GF71" s="46"/>
      <c r="GG71" s="46"/>
      <c r="GH71" s="46"/>
    </row>
    <row r="72" spans="1:190" x14ac:dyDescent="0.25">
      <c r="A72" s="5" t="s">
        <v>84</v>
      </c>
      <c r="B72" s="1">
        <v>196</v>
      </c>
      <c r="C72" s="98" t="s">
        <v>97</v>
      </c>
      <c r="D72" s="98" t="s">
        <v>104</v>
      </c>
      <c r="E72" s="1">
        <v>28</v>
      </c>
      <c r="F72" s="22">
        <v>53.25</v>
      </c>
      <c r="G72" s="22">
        <v>5.3999999999999999E-2</v>
      </c>
      <c r="H72" s="22">
        <v>0.41199999999999998</v>
      </c>
      <c r="I72" s="22">
        <v>0</v>
      </c>
      <c r="J72" s="22">
        <v>9.57</v>
      </c>
      <c r="K72" s="22">
        <v>0.23400000000000001</v>
      </c>
      <c r="L72" s="22">
        <v>12.64</v>
      </c>
      <c r="M72" s="22">
        <v>23.73</v>
      </c>
      <c r="N72" s="22">
        <v>0.71899999999999997</v>
      </c>
      <c r="O72" s="22">
        <v>0</v>
      </c>
      <c r="P72" s="22">
        <v>0</v>
      </c>
      <c r="Q72" s="22"/>
      <c r="R72" s="22"/>
      <c r="S72" s="22">
        <f t="shared" si="244"/>
        <v>100.60899999999999</v>
      </c>
      <c r="T72" s="3"/>
      <c r="U72" s="22">
        <f t="shared" si="245"/>
        <v>7.2209594820899312</v>
      </c>
      <c r="V72" s="22">
        <f t="shared" si="246"/>
        <v>2.6104887275534603</v>
      </c>
      <c r="W72" s="22">
        <f t="shared" si="247"/>
        <v>100.8704482096434</v>
      </c>
      <c r="X72" s="1"/>
      <c r="Y72" s="1"/>
      <c r="Z72" s="1"/>
      <c r="AA72" s="1" t="s">
        <v>185</v>
      </c>
      <c r="AC72" s="1">
        <v>6</v>
      </c>
      <c r="AD72" s="1">
        <v>4</v>
      </c>
      <c r="AE72" s="1"/>
      <c r="AF72" s="26">
        <f t="shared" si="248"/>
        <v>1.9909827174232069</v>
      </c>
      <c r="AG72" s="26">
        <f t="shared" si="249"/>
        <v>1.5185654185010987E-3</v>
      </c>
      <c r="AH72" s="26">
        <f t="shared" si="250"/>
        <v>1.8154119378516458E-2</v>
      </c>
      <c r="AI72" s="26">
        <f t="shared" si="251"/>
        <v>0</v>
      </c>
      <c r="AJ72" s="26">
        <f t="shared" si="252"/>
        <v>0.29920094947752124</v>
      </c>
      <c r="AK72" s="26">
        <f t="shared" si="253"/>
        <v>7.4097315721655902E-3</v>
      </c>
      <c r="AL72" s="26">
        <f t="shared" si="254"/>
        <v>0.70456299566286595</v>
      </c>
      <c r="AM72" s="26">
        <f t="shared" si="255"/>
        <v>0.95053373606381164</v>
      </c>
      <c r="AN72" s="26">
        <f t="shared" si="256"/>
        <v>5.2117684944889581E-2</v>
      </c>
      <c r="AO72" s="26">
        <f t="shared" si="257"/>
        <v>0</v>
      </c>
      <c r="AP72" s="26">
        <f t="shared" si="258"/>
        <v>0</v>
      </c>
      <c r="AQ72" s="26">
        <f t="shared" si="259"/>
        <v>0</v>
      </c>
      <c r="AR72" s="26">
        <f t="shared" si="260"/>
        <v>0</v>
      </c>
      <c r="AS72" s="26">
        <f t="shared" si="261"/>
        <v>4.0244804999414789</v>
      </c>
      <c r="AT72" s="26">
        <f t="shared" si="262"/>
        <v>2.0091368368017233</v>
      </c>
      <c r="AU72" s="26">
        <f t="shared" si="263"/>
        <v>1.0026514210087012</v>
      </c>
      <c r="AV72" s="47"/>
      <c r="AW72" s="26">
        <f t="shared" si="264"/>
        <v>1.9788717748312195</v>
      </c>
      <c r="AX72" s="26">
        <f t="shared" si="265"/>
        <v>1.509328141630385E-3</v>
      </c>
      <c r="AY72" s="26">
        <f t="shared" si="266"/>
        <v>1.8043689742097586E-2</v>
      </c>
      <c r="AZ72" s="26">
        <f t="shared" si="267"/>
        <v>0</v>
      </c>
      <c r="BA72" s="26">
        <f t="shared" si="268"/>
        <v>0.22438617819752604</v>
      </c>
      <c r="BB72" s="26">
        <f t="shared" si="269"/>
        <v>7.2994762753110454E-2</v>
      </c>
      <c r="BC72" s="26">
        <f t="shared" si="270"/>
        <v>7.3646589389843855E-3</v>
      </c>
      <c r="BD72" s="26">
        <f t="shared" si="271"/>
        <v>0.70027721160344669</v>
      </c>
      <c r="BE72" s="26">
        <f t="shared" si="272"/>
        <v>0.94475173735107787</v>
      </c>
      <c r="BF72" s="26">
        <f t="shared" si="273"/>
        <v>5.180065844090679E-2</v>
      </c>
      <c r="BG72" s="26">
        <f t="shared" si="274"/>
        <v>0</v>
      </c>
      <c r="BH72" s="26">
        <f t="shared" si="275"/>
        <v>0</v>
      </c>
      <c r="BI72" s="26">
        <f t="shared" si="276"/>
        <v>0</v>
      </c>
      <c r="BJ72" s="26">
        <f t="shared" si="277"/>
        <v>0</v>
      </c>
      <c r="BK72" s="25">
        <f t="shared" si="278"/>
        <v>3.9999999999999996</v>
      </c>
      <c r="BL72" s="24">
        <f t="shared" si="279"/>
        <v>6</v>
      </c>
      <c r="BM72" s="26">
        <f t="shared" si="280"/>
        <v>1.9969154645733171</v>
      </c>
      <c r="BN72" s="26">
        <f t="shared" si="281"/>
        <v>0.99655239579198462</v>
      </c>
      <c r="BO72" s="22"/>
      <c r="BP72" s="23">
        <f t="shared" si="282"/>
        <v>0.70192100351275832</v>
      </c>
      <c r="BQ72" s="26">
        <f t="shared" si="283"/>
        <v>2.1128225168780546E-2</v>
      </c>
      <c r="BR72" s="26">
        <f t="shared" si="284"/>
        <v>0</v>
      </c>
      <c r="BS72" s="26"/>
      <c r="BT72" s="26">
        <f t="shared" si="285"/>
        <v>0</v>
      </c>
      <c r="BU72" s="26">
        <f t="shared" si="286"/>
        <v>0</v>
      </c>
      <c r="BV72" s="26">
        <f t="shared" si="287"/>
        <v>0</v>
      </c>
      <c r="BW72" s="26">
        <f t="shared" si="288"/>
        <v>0</v>
      </c>
      <c r="BX72" s="26">
        <f t="shared" si="289"/>
        <v>0.95053373606381164</v>
      </c>
      <c r="BY72" s="26">
        <f t="shared" si="290"/>
        <v>2.6615104538287804E-2</v>
      </c>
      <c r="BZ72" s="26">
        <f t="shared" si="291"/>
        <v>0.97714884060209939</v>
      </c>
      <c r="CA72" s="22"/>
      <c r="CB72" s="22">
        <f t="shared" si="292"/>
        <v>5.180065844090679E-2</v>
      </c>
      <c r="CC72" s="22">
        <f t="shared" si="293"/>
        <v>0</v>
      </c>
      <c r="CD72" s="22">
        <f t="shared" si="294"/>
        <v>2.1194104312203664E-2</v>
      </c>
      <c r="CE72" s="22">
        <f t="shared" si="295"/>
        <v>0</v>
      </c>
      <c r="CF72" s="22">
        <f t="shared" si="296"/>
        <v>0</v>
      </c>
      <c r="CG72" s="22">
        <f t="shared" si="297"/>
        <v>0.48767914573989046</v>
      </c>
      <c r="CH72" s="22">
        <f t="shared" si="298"/>
        <v>0.38799699785322661</v>
      </c>
      <c r="CI72" s="22">
        <f t="shared" si="299"/>
        <v>0.12432385640688288</v>
      </c>
      <c r="CJ72" s="22"/>
      <c r="CK72" s="22">
        <f t="shared" si="300"/>
        <v>0.4845440914751607</v>
      </c>
      <c r="CL72" s="22">
        <f t="shared" si="301"/>
        <v>0.35915804317918759</v>
      </c>
      <c r="CM72" s="22">
        <f t="shared" si="302"/>
        <v>0.1562978653456516</v>
      </c>
      <c r="CN72" s="1"/>
      <c r="CO72" s="26">
        <f t="shared" si="303"/>
        <v>0.88631824234354195</v>
      </c>
      <c r="CP72" s="26">
        <f t="shared" si="304"/>
        <v>6.7601402103154734E-4</v>
      </c>
      <c r="CQ72" s="26">
        <f t="shared" si="305"/>
        <v>8.0816006276971369E-3</v>
      </c>
      <c r="CR72" s="26">
        <f t="shared" si="306"/>
        <v>0</v>
      </c>
      <c r="CS72" s="26">
        <f t="shared" si="307"/>
        <v>0.13319415448851776</v>
      </c>
      <c r="CT72" s="26">
        <f t="shared" si="308"/>
        <v>3.2985621652100367E-3</v>
      </c>
      <c r="CU72" s="26">
        <f t="shared" si="309"/>
        <v>0.31364764267990081</v>
      </c>
      <c r="CV72" s="26">
        <f t="shared" si="310"/>
        <v>0.42314550641940085</v>
      </c>
      <c r="CW72" s="26">
        <f t="shared" si="311"/>
        <v>2.3201032591158438E-2</v>
      </c>
      <c r="CX72" s="26">
        <f t="shared" si="312"/>
        <v>0</v>
      </c>
      <c r="CY72" s="26">
        <f t="shared" si="313"/>
        <v>0</v>
      </c>
      <c r="CZ72" s="26">
        <f t="shared" si="314"/>
        <v>0</v>
      </c>
      <c r="DA72" s="26">
        <f t="shared" si="315"/>
        <v>0</v>
      </c>
      <c r="DB72" s="26">
        <f t="shared" si="316"/>
        <v>1.7915627553364586</v>
      </c>
      <c r="DC72" s="26">
        <f t="shared" si="317"/>
        <v>2.6709972957193013</v>
      </c>
      <c r="DD72" s="26">
        <f t="shared" si="318"/>
        <v>2.2326876287673176</v>
      </c>
      <c r="DE72" s="26">
        <f t="shared" si="319"/>
        <v>5.963502618623445</v>
      </c>
      <c r="DF72" s="1"/>
      <c r="DG72" s="22"/>
      <c r="DH72" s="14"/>
      <c r="DI72" s="14"/>
      <c r="DJ72" s="14"/>
      <c r="DK72" s="14"/>
      <c r="DL72" s="14"/>
      <c r="DM72" s="96"/>
      <c r="DN72" s="14"/>
      <c r="DO72" s="96"/>
      <c r="DP72" s="22"/>
      <c r="DQ72" s="14"/>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46">
        <f t="shared" si="321"/>
        <v>-1.3365254939309583</v>
      </c>
      <c r="FR72" s="46">
        <f t="shared" si="322"/>
        <v>-0.93361401300786961</v>
      </c>
      <c r="FS72" s="46">
        <f t="shared" si="323"/>
        <v>-0.58873763329641515</v>
      </c>
      <c r="FT72" s="46">
        <f xml:space="preserve"> 0.68509  -3.34181 * BP72 + 0.03095*(100*CK72) +N("642 cpx Mg# Wo R2 0.59")</f>
        <v>-0.16093266563334874</v>
      </c>
      <c r="FU72" s="46">
        <f t="shared" si="324"/>
        <v>-0.21501397024181218</v>
      </c>
      <c r="FV72" s="46">
        <f t="shared" si="320"/>
        <v>-3.6510677442802841E-3</v>
      </c>
      <c r="FW72" s="46">
        <f t="shared" si="325"/>
        <v>5.0140648722347844E-2</v>
      </c>
      <c r="FX72" s="46">
        <f t="shared" si="326"/>
        <v>2.4009322671859193E-2</v>
      </c>
      <c r="FY72" s="46">
        <f t="shared" si="327"/>
        <v>-3.8974277732306981E-2</v>
      </c>
      <c r="FZ72" s="46">
        <f t="shared" si="328"/>
        <v>-9.4403192827191049E-2</v>
      </c>
      <c r="GA72" s="46">
        <f t="shared" si="329"/>
        <v>-7.2065987557009797E-2</v>
      </c>
      <c r="GB72" s="46">
        <f t="shared" si="330"/>
        <v>-0.1085011254919914</v>
      </c>
      <c r="GC72" s="46">
        <f t="shared" si="331"/>
        <v>-9.1841137838359191E-2</v>
      </c>
      <c r="GD72" s="46">
        <f>(-1.72947 +0 ) * (3.46258+0) * BQ72   - (1.87473 + 0) *BP72   + (0.03253+0) * (CK72*100)    +N("eqn625 aliv mg# wo")</f>
        <v>0.13378470654776908</v>
      </c>
      <c r="GE72" s="46"/>
      <c r="GF72" s="46"/>
      <c r="GG72" s="46"/>
      <c r="GH72" s="46"/>
    </row>
    <row r="73" spans="1:190" x14ac:dyDescent="0.25">
      <c r="A73" s="5" t="s">
        <v>84</v>
      </c>
      <c r="B73" s="1">
        <v>197</v>
      </c>
      <c r="C73" s="98" t="s">
        <v>97</v>
      </c>
      <c r="D73" s="98" t="s">
        <v>104</v>
      </c>
      <c r="E73" s="1">
        <v>29</v>
      </c>
      <c r="F73" s="22">
        <v>53.81</v>
      </c>
      <c r="G73" s="22">
        <v>0</v>
      </c>
      <c r="H73" s="22">
        <v>0.13400000000000001</v>
      </c>
      <c r="I73" s="22">
        <v>0</v>
      </c>
      <c r="J73" s="22">
        <v>8.2200000000000006</v>
      </c>
      <c r="K73" s="22">
        <v>0.14199999999999999</v>
      </c>
      <c r="L73" s="22">
        <v>14.09</v>
      </c>
      <c r="M73" s="22">
        <v>23.21</v>
      </c>
      <c r="N73" s="22">
        <v>0.61099999999999999</v>
      </c>
      <c r="O73" s="22">
        <v>0</v>
      </c>
      <c r="P73" s="22">
        <v>0</v>
      </c>
      <c r="Q73" s="22"/>
      <c r="R73" s="22"/>
      <c r="S73" s="22">
        <f t="shared" si="244"/>
        <v>100.217</v>
      </c>
      <c r="T73" s="3"/>
      <c r="U73" s="22">
        <f t="shared" si="245"/>
        <v>6.5171220101899392</v>
      </c>
      <c r="V73" s="22">
        <f t="shared" si="246"/>
        <v>1.8924083100759215</v>
      </c>
      <c r="W73" s="22">
        <f t="shared" si="247"/>
        <v>100.40653032026586</v>
      </c>
      <c r="X73" s="1"/>
      <c r="Y73" s="1"/>
      <c r="Z73" s="1"/>
      <c r="AA73" s="1" t="s">
        <v>185</v>
      </c>
      <c r="AC73" s="1">
        <v>6</v>
      </c>
      <c r="AD73" s="1">
        <v>4</v>
      </c>
      <c r="AE73" s="1"/>
      <c r="AF73" s="26">
        <f t="shared" si="248"/>
        <v>2.0014382748760919</v>
      </c>
      <c r="AG73" s="26">
        <f t="shared" si="249"/>
        <v>0</v>
      </c>
      <c r="AH73" s="26">
        <f t="shared" si="250"/>
        <v>5.8737316331952637E-3</v>
      </c>
      <c r="AI73" s="26">
        <f t="shared" si="251"/>
        <v>0</v>
      </c>
      <c r="AJ73" s="26">
        <f t="shared" si="252"/>
        <v>0.25565493345253082</v>
      </c>
      <c r="AK73" s="26">
        <f t="shared" si="253"/>
        <v>4.4730761637711306E-3</v>
      </c>
      <c r="AL73" s="26">
        <f t="shared" si="254"/>
        <v>0.78129506253908187</v>
      </c>
      <c r="AM73" s="26">
        <f t="shared" si="255"/>
        <v>0.92486057834562518</v>
      </c>
      <c r="AN73" s="26">
        <f t="shared" si="256"/>
        <v>4.4058404594028877E-2</v>
      </c>
      <c r="AO73" s="26">
        <f t="shared" si="257"/>
        <v>0</v>
      </c>
      <c r="AP73" s="26">
        <f t="shared" si="258"/>
        <v>0</v>
      </c>
      <c r="AQ73" s="26">
        <f t="shared" si="259"/>
        <v>0</v>
      </c>
      <c r="AR73" s="26">
        <f t="shared" si="260"/>
        <v>0</v>
      </c>
      <c r="AS73" s="26">
        <f t="shared" si="261"/>
        <v>4.0176540616043255</v>
      </c>
      <c r="AT73" s="26">
        <f t="shared" si="262"/>
        <v>2.0073120065092871</v>
      </c>
      <c r="AU73" s="26">
        <f t="shared" si="263"/>
        <v>0.96891898293965406</v>
      </c>
      <c r="AV73" s="47"/>
      <c r="AW73" s="26">
        <f t="shared" si="264"/>
        <v>1.9926437111679842</v>
      </c>
      <c r="AX73" s="26">
        <f t="shared" si="265"/>
        <v>0</v>
      </c>
      <c r="AY73" s="26">
        <f t="shared" si="266"/>
        <v>5.8479217405291205E-3</v>
      </c>
      <c r="AZ73" s="26">
        <f t="shared" si="267"/>
        <v>0</v>
      </c>
      <c r="BA73" s="26">
        <f t="shared" si="268"/>
        <v>0.20180209199854782</v>
      </c>
      <c r="BB73" s="26">
        <f t="shared" si="269"/>
        <v>5.2729462518062764E-2</v>
      </c>
      <c r="BC73" s="26">
        <f t="shared" si="270"/>
        <v>4.4534209219446305E-3</v>
      </c>
      <c r="BD73" s="26">
        <f t="shared" si="271"/>
        <v>0.77786195681277348</v>
      </c>
      <c r="BE73" s="26">
        <f t="shared" si="272"/>
        <v>0.9207966282455996</v>
      </c>
      <c r="BF73" s="26">
        <f t="shared" si="273"/>
        <v>4.3864806594558346E-2</v>
      </c>
      <c r="BG73" s="26">
        <f t="shared" si="274"/>
        <v>0</v>
      </c>
      <c r="BH73" s="26">
        <f t="shared" si="275"/>
        <v>0</v>
      </c>
      <c r="BI73" s="26">
        <f t="shared" si="276"/>
        <v>0</v>
      </c>
      <c r="BJ73" s="26">
        <f t="shared" si="277"/>
        <v>0</v>
      </c>
      <c r="BK73" s="25">
        <f t="shared" si="278"/>
        <v>4</v>
      </c>
      <c r="BL73" s="24">
        <f t="shared" si="279"/>
        <v>6.0000000000000009</v>
      </c>
      <c r="BM73" s="26">
        <f t="shared" si="280"/>
        <v>1.9984916329085134</v>
      </c>
      <c r="BN73" s="26">
        <f t="shared" si="281"/>
        <v>0.96466143484015798</v>
      </c>
      <c r="BO73" s="22"/>
      <c r="BP73" s="23">
        <f t="shared" si="282"/>
        <v>0.75345490675463711</v>
      </c>
      <c r="BQ73" s="26">
        <f t="shared" si="283"/>
        <v>7.3562888320157782E-3</v>
      </c>
      <c r="BR73" s="26">
        <f t="shared" si="284"/>
        <v>0</v>
      </c>
      <c r="BS73" s="26"/>
      <c r="BT73" s="26">
        <f t="shared" si="285"/>
        <v>0</v>
      </c>
      <c r="BU73" s="26">
        <f t="shared" si="286"/>
        <v>0</v>
      </c>
      <c r="BV73" s="26">
        <f t="shared" si="287"/>
        <v>0</v>
      </c>
      <c r="BW73" s="26">
        <f t="shared" si="288"/>
        <v>0</v>
      </c>
      <c r="BX73" s="26">
        <f t="shared" si="289"/>
        <v>0.92486057834562518</v>
      </c>
      <c r="BY73" s="26">
        <f t="shared" si="290"/>
        <v>5.6044708822993727E-2</v>
      </c>
      <c r="BZ73" s="26">
        <f t="shared" si="291"/>
        <v>0.98090528716861891</v>
      </c>
      <c r="CA73" s="22"/>
      <c r="CB73" s="22">
        <f t="shared" si="292"/>
        <v>4.3864806594558346E-2</v>
      </c>
      <c r="CC73" s="22">
        <f t="shared" si="293"/>
        <v>0</v>
      </c>
      <c r="CD73" s="22">
        <f t="shared" si="294"/>
        <v>8.8646559235044178E-3</v>
      </c>
      <c r="CE73" s="22">
        <f t="shared" si="295"/>
        <v>0</v>
      </c>
      <c r="CF73" s="22">
        <f t="shared" si="296"/>
        <v>0</v>
      </c>
      <c r="CG73" s="22">
        <f t="shared" si="297"/>
        <v>0.4778983894583268</v>
      </c>
      <c r="CH73" s="22">
        <f t="shared" si="298"/>
        <v>0.41455331643926013</v>
      </c>
      <c r="CI73" s="22">
        <f t="shared" si="299"/>
        <v>0.10754829410241304</v>
      </c>
      <c r="CJ73" s="22"/>
      <c r="CK73" s="22">
        <f t="shared" si="300"/>
        <v>0.47035969510806375</v>
      </c>
      <c r="CL73" s="22">
        <f t="shared" si="301"/>
        <v>0.39734606059507632</v>
      </c>
      <c r="CM73" s="22">
        <f t="shared" si="302"/>
        <v>0.13229424429685985</v>
      </c>
      <c r="CN73" s="1"/>
      <c r="CO73" s="26">
        <f t="shared" si="303"/>
        <v>0.89563914780292952</v>
      </c>
      <c r="CP73" s="26">
        <f t="shared" si="304"/>
        <v>0</v>
      </c>
      <c r="CQ73" s="26">
        <f t="shared" si="305"/>
        <v>2.6284817575519814E-3</v>
      </c>
      <c r="CR73" s="26">
        <f t="shared" si="306"/>
        <v>0</v>
      </c>
      <c r="CS73" s="26">
        <f t="shared" si="307"/>
        <v>0.11440501043841338</v>
      </c>
      <c r="CT73" s="26">
        <f t="shared" si="308"/>
        <v>2.0016915703411331E-3</v>
      </c>
      <c r="CU73" s="26">
        <f t="shared" si="309"/>
        <v>0.34962779156327545</v>
      </c>
      <c r="CV73" s="26">
        <f t="shared" si="310"/>
        <v>0.41387303851640517</v>
      </c>
      <c r="CW73" s="26">
        <f t="shared" si="311"/>
        <v>1.9716037431429495E-2</v>
      </c>
      <c r="CX73" s="26">
        <f t="shared" si="312"/>
        <v>0</v>
      </c>
      <c r="CY73" s="26">
        <f t="shared" si="313"/>
        <v>0</v>
      </c>
      <c r="CZ73" s="26">
        <f t="shared" si="314"/>
        <v>0</v>
      </c>
      <c r="DA73" s="26">
        <f t="shared" si="315"/>
        <v>0</v>
      </c>
      <c r="DB73" s="26">
        <f t="shared" si="316"/>
        <v>1.7978911990803461</v>
      </c>
      <c r="DC73" s="26">
        <f t="shared" si="317"/>
        <v>2.684986569046337</v>
      </c>
      <c r="DD73" s="26">
        <f t="shared" si="318"/>
        <v>2.2248287338221981</v>
      </c>
      <c r="DE73" s="26">
        <f t="shared" si="319"/>
        <v>5.9736352687409697</v>
      </c>
      <c r="DF73" s="1"/>
      <c r="DG73" s="22">
        <v>10.617236298975051</v>
      </c>
      <c r="DH73" s="14">
        <v>7134.7489911029961</v>
      </c>
      <c r="DI73" s="14">
        <v>86491.193970469089</v>
      </c>
      <c r="DJ73" s="14">
        <v>3371.8287319498495</v>
      </c>
      <c r="DK73" s="14">
        <v>253145.16056719425</v>
      </c>
      <c r="DL73" s="14">
        <v>163680.58355821759</v>
      </c>
      <c r="DM73" s="96">
        <v>188.5970610574565</v>
      </c>
      <c r="DN73" s="14">
        <v>537.14127985428979</v>
      </c>
      <c r="DO73" s="96">
        <v>193.96671264511758</v>
      </c>
      <c r="DP73" s="22">
        <v>0.6433913253149951</v>
      </c>
      <c r="DQ73" s="14">
        <v>1739.8772846964391</v>
      </c>
      <c r="DR73" s="22">
        <v>17.396799224721022</v>
      </c>
      <c r="DS73" s="22">
        <v>13.360589834269813</v>
      </c>
      <c r="DT73" s="22">
        <v>0.91229245206570997</v>
      </c>
      <c r="DU73" s="22">
        <v>20.117092594046593</v>
      </c>
      <c r="DV73" s="22">
        <v>0.57401786763866292</v>
      </c>
      <c r="DW73" s="22">
        <v>9.529445053680881</v>
      </c>
      <c r="DX73" s="22">
        <v>8.0316049315855107</v>
      </c>
      <c r="DY73" s="22">
        <v>54.665393568043946</v>
      </c>
      <c r="DZ73" s="22">
        <v>50.764088805357972</v>
      </c>
      <c r="EA73" s="22">
        <v>0</v>
      </c>
      <c r="EB73" s="22">
        <v>3.9877521519396844E-2</v>
      </c>
      <c r="EC73" s="22">
        <v>1.3519190101737415</v>
      </c>
      <c r="ED73" s="22">
        <v>3.6106461608492313</v>
      </c>
      <c r="EE73" s="22">
        <v>15.364988657383089</v>
      </c>
      <c r="EF73" s="22">
        <v>2.9414666702220651</v>
      </c>
      <c r="EG73" s="22">
        <v>16.136336293906968</v>
      </c>
      <c r="EH73" s="22">
        <v>6.2727644895130084</v>
      </c>
      <c r="EI73" s="22">
        <v>0.6649855144027248</v>
      </c>
      <c r="EJ73" s="22">
        <v>8.7425805714443499</v>
      </c>
      <c r="EK73" s="22">
        <v>1.3684360884868667</v>
      </c>
      <c r="EL73" s="22">
        <v>10.159778522799982</v>
      </c>
      <c r="EM73" s="22">
        <v>2.1368245206935241</v>
      </c>
      <c r="EN73" s="22">
        <v>5.9553119542172031</v>
      </c>
      <c r="EO73" s="22">
        <v>0.95292561522978536</v>
      </c>
      <c r="EP73" s="22">
        <v>7.3239380525591979</v>
      </c>
      <c r="EQ73" s="22">
        <v>1.4868615218520458</v>
      </c>
      <c r="ER73" s="22">
        <v>1.9704262930619356</v>
      </c>
      <c r="ES73" s="22">
        <v>0</v>
      </c>
      <c r="ET73" s="22">
        <v>0.27725632785722243</v>
      </c>
      <c r="EU73" s="22">
        <v>0.69154606867842949</v>
      </c>
      <c r="EV73" s="22">
        <v>0.11849117462691865</v>
      </c>
      <c r="EW73" s="22">
        <f>(EI73/0.05883)/SQRT((EH73/0.1536)*(EJ73/0.2069))</f>
        <v>0.2721071019564914</v>
      </c>
      <c r="EX73" s="22"/>
      <c r="EY73" s="22"/>
      <c r="EZ73" s="22"/>
      <c r="FA73" s="22"/>
      <c r="FB73" s="22"/>
      <c r="FC73" s="22"/>
      <c r="FD73" s="22"/>
      <c r="FE73" s="22"/>
      <c r="FF73" s="22"/>
      <c r="FG73" s="22"/>
      <c r="FH73" s="22"/>
      <c r="FI73" s="22">
        <f>-0.50354-2.23025*BP73+ N("eqn 18 Mg# R2 0.28 best")</f>
        <v>-2.1839328057895293</v>
      </c>
      <c r="FJ73" s="22"/>
      <c r="FK73" s="22">
        <f xml:space="preserve"> -0.03692  +  0.931085 + FX73   + N("488 NN Dy")</f>
        <v>0.74463023075331647</v>
      </c>
      <c r="FL73" s="22">
        <f>-0.48986  +   0    +   (1.071278 + 0) * GD73  +N("eqn 119 LnD Hf  (which has R2 of 0.51 for TS")</f>
        <v>-0.41111789267729582</v>
      </c>
      <c r="FM73" s="22"/>
      <c r="FN73" s="22"/>
      <c r="FO73" s="22">
        <f>3.94011-11.9214*BP73</f>
        <v>-5.0421273253847305</v>
      </c>
      <c r="FP73" s="22">
        <f xml:space="preserve">  -0.49862 +   1.013256 * FQ73 + N("294 NN")</f>
        <v>-2.0812906072482011</v>
      </c>
      <c r="FQ73" s="46">
        <f t="shared" si="321"/>
        <v>-1.5619651966020447</v>
      </c>
      <c r="FR73" s="46">
        <f t="shared" si="322"/>
        <v>-1.1566025095648378</v>
      </c>
      <c r="FS73" s="46">
        <f t="shared" si="323"/>
        <v>-0.80867537345957996</v>
      </c>
      <c r="FT73" s="46">
        <f xml:space="preserve"> 0.68509  -3.34181 * BP73 + 0.03095*(100*CK73) +N("642 cpx Mg# Wo R2 0.59")</f>
        <v>-0.37704988558225683</v>
      </c>
      <c r="FU73" s="46">
        <f t="shared" si="324"/>
        <v>-0.41513894814894098</v>
      </c>
      <c r="FV73" s="46">
        <f t="shared" si="320"/>
        <v>-0.20367814455077218</v>
      </c>
      <c r="FW73" s="46">
        <f t="shared" si="325"/>
        <v>-0.13647941323411211</v>
      </c>
      <c r="FX73" s="46">
        <f t="shared" si="326"/>
        <v>-0.1495347692466836</v>
      </c>
      <c r="FY73" s="46">
        <f t="shared" si="327"/>
        <v>-0.20446904757948392</v>
      </c>
      <c r="FZ73" s="46">
        <f t="shared" si="328"/>
        <v>-0.25526493659249627</v>
      </c>
      <c r="GA73" s="46">
        <f t="shared" si="329"/>
        <v>-0.22653572907205685</v>
      </c>
      <c r="GB73" s="46">
        <f t="shared" si="330"/>
        <v>-0.25911838910560314</v>
      </c>
      <c r="GC73" s="46">
        <f t="shared" si="331"/>
        <v>-0.24337460626653257</v>
      </c>
      <c r="GD73" s="46">
        <f>(-1.72947 +0 ) * (3.46258+0) * BQ73   - (1.87473 + 0) *BP73   + (0.03253+0) * (CK73*100)    +N("eqn625 aliv mg# wo")</f>
        <v>7.3502963117607401E-2</v>
      </c>
      <c r="GE73" s="46"/>
      <c r="GF73" s="46"/>
      <c r="GG73" s="46"/>
      <c r="GH73" s="46"/>
    </row>
    <row r="74" spans="1:190" x14ac:dyDescent="0.25">
      <c r="A74" s="5" t="s">
        <v>84</v>
      </c>
      <c r="B74" s="1">
        <v>198</v>
      </c>
      <c r="C74" s="98" t="s">
        <v>97</v>
      </c>
      <c r="D74" s="98" t="s">
        <v>104</v>
      </c>
      <c r="E74" s="1">
        <v>30</v>
      </c>
      <c r="F74" s="22">
        <v>53.26</v>
      </c>
      <c r="G74" s="22">
        <v>0.17699999999999999</v>
      </c>
      <c r="H74" s="22">
        <v>0.77300000000000002</v>
      </c>
      <c r="I74" s="22">
        <v>0</v>
      </c>
      <c r="J74" s="22">
        <v>8.52</v>
      </c>
      <c r="K74" s="22">
        <v>0.39500000000000002</v>
      </c>
      <c r="L74" s="22">
        <v>13.9</v>
      </c>
      <c r="M74" s="22">
        <v>22.26</v>
      </c>
      <c r="N74" s="22">
        <v>0.69099999999999995</v>
      </c>
      <c r="O74" s="22">
        <v>0</v>
      </c>
      <c r="P74" s="22">
        <v>0</v>
      </c>
      <c r="Q74" s="22"/>
      <c r="R74" s="22"/>
      <c r="S74" s="22">
        <f t="shared" si="244"/>
        <v>99.976000000000013</v>
      </c>
      <c r="T74" s="3"/>
      <c r="U74" s="22">
        <f t="shared" si="245"/>
        <v>6.9472691986463255</v>
      </c>
      <c r="V74" s="22">
        <f t="shared" si="246"/>
        <v>1.7477757395443383</v>
      </c>
      <c r="W74" s="22">
        <f t="shared" si="247"/>
        <v>100.15104493819067</v>
      </c>
      <c r="X74" s="1"/>
      <c r="Y74" s="1"/>
      <c r="Z74" s="1"/>
      <c r="AA74" s="1" t="s">
        <v>185</v>
      </c>
      <c r="AC74" s="1">
        <v>6</v>
      </c>
      <c r="AD74" s="1">
        <v>4</v>
      </c>
      <c r="AE74" s="1"/>
      <c r="AF74" s="26">
        <f t="shared" si="248"/>
        <v>1.986677194589453</v>
      </c>
      <c r="AG74" s="26">
        <f t="shared" si="249"/>
        <v>4.9658234901205018E-3</v>
      </c>
      <c r="AH74" s="26">
        <f t="shared" si="250"/>
        <v>3.39809668178402E-2</v>
      </c>
      <c r="AI74" s="26">
        <f t="shared" si="251"/>
        <v>0</v>
      </c>
      <c r="AJ74" s="26">
        <f t="shared" si="252"/>
        <v>0.26574731828549236</v>
      </c>
      <c r="AK74" s="26">
        <f t="shared" si="253"/>
        <v>1.2478488406242575E-2</v>
      </c>
      <c r="AL74" s="26">
        <f t="shared" si="254"/>
        <v>0.77297566660112405</v>
      </c>
      <c r="AM74" s="26">
        <f t="shared" si="255"/>
        <v>0.88955585679656402</v>
      </c>
      <c r="AN74" s="26">
        <f t="shared" si="256"/>
        <v>4.9970367049341692E-2</v>
      </c>
      <c r="AO74" s="26">
        <f t="shared" si="257"/>
        <v>0</v>
      </c>
      <c r="AP74" s="26">
        <f t="shared" si="258"/>
        <v>0</v>
      </c>
      <c r="AQ74" s="26">
        <f t="shared" si="259"/>
        <v>0</v>
      </c>
      <c r="AR74" s="26">
        <f t="shared" si="260"/>
        <v>0</v>
      </c>
      <c r="AS74" s="26">
        <f t="shared" si="261"/>
        <v>4.0163516820361789</v>
      </c>
      <c r="AT74" s="26">
        <f t="shared" si="262"/>
        <v>2.0206581614072934</v>
      </c>
      <c r="AU74" s="26">
        <f t="shared" si="263"/>
        <v>0.93952622384590567</v>
      </c>
      <c r="AV74" s="47"/>
      <c r="AW74" s="26">
        <f t="shared" si="264"/>
        <v>1.9785888805257843</v>
      </c>
      <c r="AX74" s="26">
        <f t="shared" si="265"/>
        <v>4.9456062449222257E-3</v>
      </c>
      <c r="AY74" s="26">
        <f t="shared" si="266"/>
        <v>3.3842620873890006E-2</v>
      </c>
      <c r="AZ74" s="26">
        <f t="shared" si="267"/>
        <v>0</v>
      </c>
      <c r="BA74" s="26">
        <f t="shared" si="268"/>
        <v>0.21581005781555346</v>
      </c>
      <c r="BB74" s="26">
        <f t="shared" si="269"/>
        <v>4.8855329405483872E-2</v>
      </c>
      <c r="BC74" s="26">
        <f t="shared" si="270"/>
        <v>1.2427685017778455E-2</v>
      </c>
      <c r="BD74" s="26">
        <f t="shared" si="271"/>
        <v>0.76982866819993911</v>
      </c>
      <c r="BE74" s="26">
        <f t="shared" si="272"/>
        <v>0.88593422809586642</v>
      </c>
      <c r="BF74" s="26">
        <f t="shared" si="273"/>
        <v>4.9766923820782669E-2</v>
      </c>
      <c r="BG74" s="26">
        <f t="shared" si="274"/>
        <v>0</v>
      </c>
      <c r="BH74" s="26">
        <f t="shared" si="275"/>
        <v>0</v>
      </c>
      <c r="BI74" s="26">
        <f t="shared" si="276"/>
        <v>0</v>
      </c>
      <c r="BJ74" s="26">
        <f t="shared" si="277"/>
        <v>0</v>
      </c>
      <c r="BK74" s="25">
        <f t="shared" si="278"/>
        <v>4</v>
      </c>
      <c r="BL74" s="24">
        <f t="shared" si="279"/>
        <v>6.0000000000000036</v>
      </c>
      <c r="BM74" s="26">
        <f t="shared" si="280"/>
        <v>2.0124315013996741</v>
      </c>
      <c r="BN74" s="26">
        <f t="shared" si="281"/>
        <v>0.93570115191664904</v>
      </c>
      <c r="BO74" s="22"/>
      <c r="BP74" s="23">
        <f t="shared" si="282"/>
        <v>0.74415958619178868</v>
      </c>
      <c r="BQ74" s="26">
        <f t="shared" si="283"/>
        <v>2.1411119474215701E-2</v>
      </c>
      <c r="BR74" s="26">
        <f t="shared" si="284"/>
        <v>1.2431501399674305E-2</v>
      </c>
      <c r="BS74" s="26"/>
      <c r="BT74" s="26">
        <f t="shared" si="285"/>
        <v>1.2431501399674305E-2</v>
      </c>
      <c r="BU74" s="26">
        <f t="shared" si="286"/>
        <v>0</v>
      </c>
      <c r="BV74" s="26">
        <f t="shared" si="287"/>
        <v>1.2431501399674305E-2</v>
      </c>
      <c r="BW74" s="26">
        <f t="shared" si="288"/>
        <v>0</v>
      </c>
      <c r="BX74" s="26">
        <f t="shared" si="289"/>
        <v>0.87712435539688971</v>
      </c>
      <c r="BY74" s="26">
        <f t="shared" si="290"/>
        <v>8.0799314744863349E-2</v>
      </c>
      <c r="BZ74" s="26">
        <f t="shared" si="291"/>
        <v>0.98278667294110167</v>
      </c>
      <c r="CA74" s="22"/>
      <c r="CB74" s="22">
        <f t="shared" si="292"/>
        <v>4.8855329405483872E-2</v>
      </c>
      <c r="CC74" s="22">
        <f t="shared" si="293"/>
        <v>9.1159441529879703E-4</v>
      </c>
      <c r="CD74" s="22">
        <f t="shared" si="294"/>
        <v>0</v>
      </c>
      <c r="CE74" s="22">
        <f t="shared" si="295"/>
        <v>0</v>
      </c>
      <c r="CF74" s="22">
        <f t="shared" si="296"/>
        <v>1.1519906984375508E-2</v>
      </c>
      <c r="CG74" s="22">
        <f t="shared" si="297"/>
        <v>0.46163482525848737</v>
      </c>
      <c r="CH74" s="22">
        <f t="shared" si="298"/>
        <v>0.42048768431808925</v>
      </c>
      <c r="CI74" s="22">
        <f t="shared" si="299"/>
        <v>0.1178774904234233</v>
      </c>
      <c r="CJ74" s="22"/>
      <c r="CK74" s="22">
        <f t="shared" si="300"/>
        <v>0.45835501585124838</v>
      </c>
      <c r="CL74" s="22">
        <f t="shared" si="301"/>
        <v>0.39828558399184721</v>
      </c>
      <c r="CM74" s="22">
        <f t="shared" si="302"/>
        <v>0.1433594001569044</v>
      </c>
      <c r="CN74" s="1"/>
      <c r="CO74" s="26">
        <f t="shared" si="303"/>
        <v>0.88648468708388817</v>
      </c>
      <c r="CP74" s="26">
        <f t="shared" si="304"/>
        <v>2.215823735603405E-3</v>
      </c>
      <c r="CQ74" s="26">
        <f t="shared" si="305"/>
        <v>1.5162808944684192E-2</v>
      </c>
      <c r="CR74" s="26">
        <f t="shared" si="306"/>
        <v>0</v>
      </c>
      <c r="CS74" s="26">
        <f t="shared" si="307"/>
        <v>0.11858037578288101</v>
      </c>
      <c r="CT74" s="26">
        <f t="shared" si="308"/>
        <v>5.5680857062306178E-3</v>
      </c>
      <c r="CU74" s="26">
        <f t="shared" si="309"/>
        <v>0.3449131513647643</v>
      </c>
      <c r="CV74" s="26">
        <f t="shared" si="310"/>
        <v>0.39693295292439379</v>
      </c>
      <c r="CW74" s="26">
        <f t="shared" si="311"/>
        <v>2.2297515327525008E-2</v>
      </c>
      <c r="CX74" s="26">
        <f t="shared" si="312"/>
        <v>0</v>
      </c>
      <c r="CY74" s="26">
        <f t="shared" si="313"/>
        <v>0</v>
      </c>
      <c r="CZ74" s="26">
        <f t="shared" si="314"/>
        <v>0</v>
      </c>
      <c r="DA74" s="26">
        <f t="shared" si="315"/>
        <v>0</v>
      </c>
      <c r="DB74" s="26">
        <f t="shared" si="316"/>
        <v>1.7921554008699703</v>
      </c>
      <c r="DC74" s="26">
        <f t="shared" si="317"/>
        <v>2.677288558498041</v>
      </c>
      <c r="DD74" s="26">
        <f t="shared" si="318"/>
        <v>2.2319493042055787</v>
      </c>
      <c r="DE74" s="26">
        <f t="shared" si="319"/>
        <v>5.9755723352972598</v>
      </c>
      <c r="DF74" s="1"/>
      <c r="DG74" s="22"/>
      <c r="DH74" s="14"/>
      <c r="DI74" s="14"/>
      <c r="DJ74" s="14"/>
      <c r="DK74" s="14"/>
      <c r="DL74" s="14"/>
      <c r="DM74" s="96"/>
      <c r="DN74" s="14"/>
      <c r="DO74" s="96"/>
      <c r="DP74" s="22"/>
      <c r="DQ74" s="14"/>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46"/>
      <c r="FR74" s="46"/>
      <c r="FS74" s="46"/>
      <c r="FT74" s="46"/>
      <c r="FU74" s="46"/>
      <c r="FV74" s="46"/>
      <c r="FW74" s="46"/>
      <c r="FX74" s="46"/>
      <c r="FY74" s="46"/>
      <c r="FZ74" s="46"/>
      <c r="GA74" s="46"/>
      <c r="GB74" s="46"/>
      <c r="GC74" s="46"/>
      <c r="GD74" s="46"/>
      <c r="GE74" s="46"/>
      <c r="GF74" s="46"/>
      <c r="GG74" s="46"/>
      <c r="GH74" s="46"/>
    </row>
    <row r="75" spans="1:190" x14ac:dyDescent="0.25">
      <c r="A75" s="5" t="s">
        <v>84</v>
      </c>
      <c r="B75" s="1">
        <v>199</v>
      </c>
      <c r="C75" s="98" t="s">
        <v>97</v>
      </c>
      <c r="D75" s="98" t="s">
        <v>104</v>
      </c>
      <c r="E75" s="1">
        <v>31</v>
      </c>
      <c r="F75" s="22">
        <v>53.64</v>
      </c>
      <c r="G75" s="22">
        <v>3.4000000000000002E-2</v>
      </c>
      <c r="H75" s="22">
        <v>0.16200000000000001</v>
      </c>
      <c r="I75" s="22">
        <v>0</v>
      </c>
      <c r="J75" s="22">
        <v>7.79</v>
      </c>
      <c r="K75" s="22">
        <v>0.113</v>
      </c>
      <c r="L75" s="22">
        <v>13.69</v>
      </c>
      <c r="M75" s="22">
        <v>23.45</v>
      </c>
      <c r="N75" s="22">
        <v>0.58599999999999997</v>
      </c>
      <c r="O75" s="22">
        <v>0</v>
      </c>
      <c r="P75" s="22">
        <v>0</v>
      </c>
      <c r="Q75" s="22"/>
      <c r="R75" s="22"/>
      <c r="S75" s="22">
        <f t="shared" si="244"/>
        <v>99.465000000000003</v>
      </c>
      <c r="T75" s="3"/>
      <c r="U75" s="22">
        <f t="shared" si="245"/>
        <v>6.8953587653270487</v>
      </c>
      <c r="V75" s="22">
        <f t="shared" si="246"/>
        <v>0.99421480409205099</v>
      </c>
      <c r="W75" s="22">
        <f t="shared" si="247"/>
        <v>99.564573569419096</v>
      </c>
      <c r="X75" s="1"/>
      <c r="Y75" s="1"/>
      <c r="Z75" s="1"/>
      <c r="AA75" s="1" t="s">
        <v>185</v>
      </c>
      <c r="AC75" s="1">
        <v>6</v>
      </c>
      <c r="AD75" s="1">
        <v>4</v>
      </c>
      <c r="AE75" s="1"/>
      <c r="AF75" s="26">
        <f t="shared" si="248"/>
        <v>2.007396487506683</v>
      </c>
      <c r="AG75" s="26">
        <f t="shared" si="249"/>
        <v>9.5700713471392129E-4</v>
      </c>
      <c r="AH75" s="26">
        <f t="shared" si="250"/>
        <v>7.14479048715389E-3</v>
      </c>
      <c r="AI75" s="26">
        <f t="shared" si="251"/>
        <v>0</v>
      </c>
      <c r="AJ75" s="26">
        <f t="shared" si="252"/>
        <v>0.24377266203454304</v>
      </c>
      <c r="AK75" s="26">
        <f t="shared" si="253"/>
        <v>3.581472114407837E-3</v>
      </c>
      <c r="AL75" s="26">
        <f t="shared" si="254"/>
        <v>0.76378779931234742</v>
      </c>
      <c r="AM75" s="26">
        <f t="shared" si="255"/>
        <v>0.94017599156993747</v>
      </c>
      <c r="AN75" s="26">
        <f t="shared" si="256"/>
        <v>4.2515799910479227E-2</v>
      </c>
      <c r="AO75" s="26">
        <f t="shared" si="257"/>
        <v>0</v>
      </c>
      <c r="AP75" s="26">
        <f t="shared" si="258"/>
        <v>0</v>
      </c>
      <c r="AQ75" s="26">
        <f t="shared" si="259"/>
        <v>0</v>
      </c>
      <c r="AR75" s="26">
        <f t="shared" si="260"/>
        <v>0</v>
      </c>
      <c r="AS75" s="26">
        <f t="shared" si="261"/>
        <v>4.0093320100702652</v>
      </c>
      <c r="AT75" s="26">
        <f t="shared" si="262"/>
        <v>2.0145412779938368</v>
      </c>
      <c r="AU75" s="26">
        <f t="shared" si="263"/>
        <v>0.98269179148041674</v>
      </c>
      <c r="AV75" s="47"/>
      <c r="AW75" s="26">
        <f t="shared" si="264"/>
        <v>2.002724127076223</v>
      </c>
      <c r="AX75" s="26">
        <f t="shared" si="265"/>
        <v>9.5477963143007359E-4</v>
      </c>
      <c r="AY75" s="26">
        <f t="shared" si="266"/>
        <v>7.1281604708298262E-3</v>
      </c>
      <c r="AZ75" s="26">
        <f t="shared" si="267"/>
        <v>0</v>
      </c>
      <c r="BA75" s="26">
        <f t="shared" si="268"/>
        <v>0.21527439611564228</v>
      </c>
      <c r="BB75" s="26">
        <f t="shared" si="269"/>
        <v>2.7930867426770867E-2</v>
      </c>
      <c r="BC75" s="26">
        <f t="shared" si="270"/>
        <v>3.5731359791728191E-3</v>
      </c>
      <c r="BD75" s="26">
        <f t="shared" si="271"/>
        <v>0.76201002799861572</v>
      </c>
      <c r="BE75" s="26">
        <f t="shared" si="272"/>
        <v>0.93798766398840616</v>
      </c>
      <c r="BF75" s="26">
        <f t="shared" si="273"/>
        <v>4.2416841312908987E-2</v>
      </c>
      <c r="BG75" s="26">
        <f t="shared" si="274"/>
        <v>0</v>
      </c>
      <c r="BH75" s="26">
        <f t="shared" si="275"/>
        <v>0</v>
      </c>
      <c r="BI75" s="26">
        <f t="shared" si="276"/>
        <v>0</v>
      </c>
      <c r="BJ75" s="26">
        <f t="shared" si="277"/>
        <v>0</v>
      </c>
      <c r="BK75" s="25">
        <f t="shared" si="278"/>
        <v>3.9999999999999996</v>
      </c>
      <c r="BL75" s="24">
        <f t="shared" si="279"/>
        <v>5.9999999999999991</v>
      </c>
      <c r="BM75" s="26">
        <f t="shared" si="280"/>
        <v>2.0098522875470528</v>
      </c>
      <c r="BN75" s="26">
        <f t="shared" si="281"/>
        <v>0.98040450530131518</v>
      </c>
      <c r="BO75" s="22"/>
      <c r="BP75" s="23">
        <f t="shared" si="282"/>
        <v>0.75805654212684004</v>
      </c>
      <c r="BQ75" s="26">
        <f t="shared" si="283"/>
        <v>0</v>
      </c>
      <c r="BR75" s="26">
        <f t="shared" si="284"/>
        <v>7.1281604708298262E-3</v>
      </c>
      <c r="BS75" s="26"/>
      <c r="BT75" s="26">
        <f t="shared" si="285"/>
        <v>7.1281604708298262E-3</v>
      </c>
      <c r="BU75" s="26">
        <f t="shared" si="286"/>
        <v>0</v>
      </c>
      <c r="BV75" s="26">
        <f t="shared" si="287"/>
        <v>7.1281604708298262E-3</v>
      </c>
      <c r="BW75" s="26">
        <f t="shared" si="288"/>
        <v>0</v>
      </c>
      <c r="BX75" s="26">
        <f t="shared" si="289"/>
        <v>0.93304783109910761</v>
      </c>
      <c r="BY75" s="26">
        <f t="shared" si="290"/>
        <v>3.7256315123891437E-2</v>
      </c>
      <c r="BZ75" s="26">
        <f t="shared" si="291"/>
        <v>0.98456046716465861</v>
      </c>
      <c r="CA75" s="22"/>
      <c r="CB75" s="22">
        <f t="shared" si="292"/>
        <v>2.7930867426770867E-2</v>
      </c>
      <c r="CC75" s="22">
        <f t="shared" si="293"/>
        <v>7.1281604708298262E-3</v>
      </c>
      <c r="CD75" s="22">
        <f t="shared" si="294"/>
        <v>0</v>
      </c>
      <c r="CE75" s="22">
        <f t="shared" si="295"/>
        <v>0</v>
      </c>
      <c r="CF75" s="22">
        <f t="shared" si="296"/>
        <v>0</v>
      </c>
      <c r="CG75" s="22">
        <f t="shared" si="297"/>
        <v>0.48295926570758851</v>
      </c>
      <c r="CH75" s="22">
        <f t="shared" si="298"/>
        <v>0.40314796255109703</v>
      </c>
      <c r="CI75" s="22">
        <f t="shared" si="299"/>
        <v>0.11389277174131446</v>
      </c>
      <c r="CJ75" s="22"/>
      <c r="CK75" s="22">
        <f t="shared" si="300"/>
        <v>0.48181589453440171</v>
      </c>
      <c r="CL75" s="22">
        <f t="shared" si="301"/>
        <v>0.39142150518610191</v>
      </c>
      <c r="CM75" s="22">
        <f t="shared" si="302"/>
        <v>0.1267626002794964</v>
      </c>
      <c r="CN75" s="1"/>
      <c r="CO75" s="26">
        <f t="shared" si="303"/>
        <v>0.89280958721704395</v>
      </c>
      <c r="CP75" s="26">
        <f t="shared" si="304"/>
        <v>4.2563845768652984E-4</v>
      </c>
      <c r="CQ75" s="26">
        <f t="shared" si="305"/>
        <v>3.177716751667321E-3</v>
      </c>
      <c r="CR75" s="26">
        <f t="shared" si="306"/>
        <v>0</v>
      </c>
      <c r="CS75" s="26">
        <f t="shared" si="307"/>
        <v>0.10842032011134309</v>
      </c>
      <c r="CT75" s="26">
        <f t="shared" si="308"/>
        <v>1.5928954045672399E-3</v>
      </c>
      <c r="CU75" s="26">
        <f t="shared" si="309"/>
        <v>0.33970223325062038</v>
      </c>
      <c r="CV75" s="26">
        <f t="shared" si="310"/>
        <v>0.41815263908701855</v>
      </c>
      <c r="CW75" s="26">
        <f t="shared" si="311"/>
        <v>1.8909325588899645E-2</v>
      </c>
      <c r="CX75" s="26">
        <f t="shared" si="312"/>
        <v>0</v>
      </c>
      <c r="CY75" s="26">
        <f t="shared" si="313"/>
        <v>0</v>
      </c>
      <c r="CZ75" s="26">
        <f t="shared" si="314"/>
        <v>0</v>
      </c>
      <c r="DA75" s="26">
        <f t="shared" si="315"/>
        <v>0</v>
      </c>
      <c r="DB75" s="26">
        <f t="shared" si="316"/>
        <v>1.7831903558688467</v>
      </c>
      <c r="DC75" s="26">
        <f t="shared" si="317"/>
        <v>2.668559777124961</v>
      </c>
      <c r="DD75" s="26">
        <f t="shared" si="318"/>
        <v>2.2431704987833609</v>
      </c>
      <c r="DE75" s="26">
        <f t="shared" si="319"/>
        <v>5.9860345662866132</v>
      </c>
      <c r="DF75" s="1"/>
      <c r="DG75" s="22"/>
      <c r="DH75" s="14"/>
      <c r="DI75" s="14"/>
      <c r="DJ75" s="14"/>
      <c r="DK75" s="14"/>
      <c r="DL75" s="14"/>
      <c r="DM75" s="96"/>
      <c r="DN75" s="14"/>
      <c r="DO75" s="96"/>
      <c r="DP75" s="22"/>
      <c r="DQ75" s="14"/>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46"/>
      <c r="FR75" s="46"/>
      <c r="FS75" s="46"/>
      <c r="FT75" s="46"/>
      <c r="FU75" s="46"/>
      <c r="FV75" s="46"/>
      <c r="FW75" s="46"/>
      <c r="FX75" s="46"/>
      <c r="FY75" s="46"/>
      <c r="FZ75" s="46"/>
      <c r="GA75" s="46"/>
      <c r="GB75" s="46"/>
      <c r="GC75" s="46"/>
      <c r="GD75" s="46"/>
      <c r="GE75" s="46"/>
      <c r="GF75" s="46"/>
      <c r="GG75" s="46"/>
      <c r="GH75" s="46"/>
    </row>
    <row r="76" spans="1:190" x14ac:dyDescent="0.25">
      <c r="A76" s="5" t="s">
        <v>84</v>
      </c>
      <c r="B76" s="1">
        <v>200</v>
      </c>
      <c r="C76" s="98" t="s">
        <v>97</v>
      </c>
      <c r="D76" s="98" t="s">
        <v>104</v>
      </c>
      <c r="E76" s="1">
        <v>32</v>
      </c>
      <c r="F76" s="22">
        <v>52.98</v>
      </c>
      <c r="G76" s="22">
        <v>9.5000000000000001E-2</v>
      </c>
      <c r="H76" s="22">
        <v>0.37</v>
      </c>
      <c r="I76" s="22">
        <v>0</v>
      </c>
      <c r="J76" s="22">
        <v>10.08</v>
      </c>
      <c r="K76" s="22">
        <v>8.4000000000000005E-2</v>
      </c>
      <c r="L76" s="22">
        <v>12.37</v>
      </c>
      <c r="M76" s="22">
        <v>22.44</v>
      </c>
      <c r="N76" s="22">
        <v>1.103</v>
      </c>
      <c r="O76" s="22">
        <v>0</v>
      </c>
      <c r="P76" s="22">
        <v>0</v>
      </c>
      <c r="Q76" s="22"/>
      <c r="R76" s="22"/>
      <c r="S76" s="22">
        <f t="shared" si="244"/>
        <v>99.521999999999991</v>
      </c>
      <c r="T76" s="3"/>
      <c r="U76" s="22">
        <f t="shared" si="245"/>
        <v>7.4403995824546891</v>
      </c>
      <c r="V76" s="22">
        <f t="shared" si="246"/>
        <v>2.9333879440181034</v>
      </c>
      <c r="W76" s="22">
        <f t="shared" si="247"/>
        <v>99.815787526472789</v>
      </c>
      <c r="X76" s="1"/>
      <c r="Y76" s="1"/>
      <c r="Z76" s="1"/>
      <c r="AA76" s="1" t="s">
        <v>185</v>
      </c>
      <c r="AC76" s="1">
        <v>6</v>
      </c>
      <c r="AD76" s="1">
        <v>4</v>
      </c>
      <c r="AE76" s="1"/>
      <c r="AF76" s="26">
        <f t="shared" si="248"/>
        <v>2.0016616210601978</v>
      </c>
      <c r="AG76" s="26">
        <f t="shared" si="249"/>
        <v>2.6995674401473829E-3</v>
      </c>
      <c r="AH76" s="26">
        <f t="shared" si="250"/>
        <v>1.6474434852474653E-2</v>
      </c>
      <c r="AI76" s="26">
        <f t="shared" si="251"/>
        <v>0</v>
      </c>
      <c r="AJ76" s="26">
        <f t="shared" si="252"/>
        <v>0.31845083499384647</v>
      </c>
      <c r="AK76" s="26">
        <f t="shared" si="253"/>
        <v>2.6877986672197009E-3</v>
      </c>
      <c r="AL76" s="26">
        <f t="shared" si="254"/>
        <v>0.69674407753994916</v>
      </c>
      <c r="AM76" s="26">
        <f t="shared" si="255"/>
        <v>0.90828779813607508</v>
      </c>
      <c r="AN76" s="26">
        <f t="shared" si="256"/>
        <v>8.0790922767013856E-2</v>
      </c>
      <c r="AO76" s="26">
        <f t="shared" si="257"/>
        <v>0</v>
      </c>
      <c r="AP76" s="26">
        <f t="shared" si="258"/>
        <v>0</v>
      </c>
      <c r="AQ76" s="26">
        <f t="shared" si="259"/>
        <v>0</v>
      </c>
      <c r="AR76" s="26">
        <f t="shared" si="260"/>
        <v>0</v>
      </c>
      <c r="AS76" s="26">
        <f t="shared" si="261"/>
        <v>4.0277970554569249</v>
      </c>
      <c r="AT76" s="26">
        <f t="shared" si="262"/>
        <v>2.0181360559126724</v>
      </c>
      <c r="AU76" s="26">
        <f t="shared" si="263"/>
        <v>0.9890787209030889</v>
      </c>
      <c r="AV76" s="47"/>
      <c r="AW76" s="26">
        <f t="shared" si="264"/>
        <v>1.9878475439553887</v>
      </c>
      <c r="AX76" s="26">
        <f t="shared" si="265"/>
        <v>2.6809369022105681E-3</v>
      </c>
      <c r="AY76" s="26">
        <f t="shared" si="266"/>
        <v>1.6360739754903816E-2</v>
      </c>
      <c r="AZ76" s="26">
        <f t="shared" si="267"/>
        <v>0</v>
      </c>
      <c r="BA76" s="26">
        <f t="shared" si="268"/>
        <v>0.23343745018593637</v>
      </c>
      <c r="BB76" s="26">
        <f t="shared" si="269"/>
        <v>8.2815658507714662E-2</v>
      </c>
      <c r="BC76" s="26">
        <f t="shared" si="270"/>
        <v>2.6692493491728719E-3</v>
      </c>
      <c r="BD76" s="26">
        <f t="shared" si="271"/>
        <v>0.6919356342405476</v>
      </c>
      <c r="BE76" s="26">
        <f t="shared" si="272"/>
        <v>0.902019427126312</v>
      </c>
      <c r="BF76" s="26">
        <f t="shared" si="273"/>
        <v>8.0233359977814209E-2</v>
      </c>
      <c r="BG76" s="26">
        <f t="shared" si="274"/>
        <v>0</v>
      </c>
      <c r="BH76" s="26">
        <f t="shared" si="275"/>
        <v>0</v>
      </c>
      <c r="BI76" s="26">
        <f t="shared" si="276"/>
        <v>0</v>
      </c>
      <c r="BJ76" s="26">
        <f t="shared" si="277"/>
        <v>0</v>
      </c>
      <c r="BK76" s="25">
        <f t="shared" si="278"/>
        <v>4.0000000000000009</v>
      </c>
      <c r="BL76" s="24">
        <f t="shared" si="279"/>
        <v>6.0000000000000018</v>
      </c>
      <c r="BM76" s="26">
        <f t="shared" si="280"/>
        <v>2.0042082837102924</v>
      </c>
      <c r="BN76" s="26">
        <f t="shared" si="281"/>
        <v>0.98225278710412622</v>
      </c>
      <c r="BO76" s="22"/>
      <c r="BP76" s="23">
        <f t="shared" si="282"/>
        <v>0.68631557244604957</v>
      </c>
      <c r="BQ76" s="26">
        <f t="shared" si="283"/>
        <v>1.2152456044611348E-2</v>
      </c>
      <c r="BR76" s="26">
        <f t="shared" si="284"/>
        <v>4.2082837102924674E-3</v>
      </c>
      <c r="BS76" s="26"/>
      <c r="BT76" s="26">
        <f t="shared" si="285"/>
        <v>4.2082837102924674E-3</v>
      </c>
      <c r="BU76" s="26">
        <f t="shared" si="286"/>
        <v>0</v>
      </c>
      <c r="BV76" s="26">
        <f t="shared" si="287"/>
        <v>4.2082837102924674E-3</v>
      </c>
      <c r="BW76" s="26">
        <f t="shared" si="288"/>
        <v>0</v>
      </c>
      <c r="BX76" s="26">
        <f t="shared" si="289"/>
        <v>0.9040795144257826</v>
      </c>
      <c r="BY76" s="26">
        <f t="shared" si="290"/>
        <v>5.5557699054006482E-2</v>
      </c>
      <c r="BZ76" s="26">
        <f t="shared" si="291"/>
        <v>0.96805378090037397</v>
      </c>
      <c r="CA76" s="22"/>
      <c r="CB76" s="22">
        <f t="shared" si="292"/>
        <v>8.0233359977814209E-2</v>
      </c>
      <c r="CC76" s="22">
        <f t="shared" si="293"/>
        <v>0</v>
      </c>
      <c r="CD76" s="22">
        <f t="shared" si="294"/>
        <v>2.5822985299004536E-3</v>
      </c>
      <c r="CE76" s="22">
        <f t="shared" si="295"/>
        <v>0</v>
      </c>
      <c r="CF76" s="22">
        <f t="shared" si="296"/>
        <v>4.2082837102924674E-3</v>
      </c>
      <c r="CG76" s="22">
        <f t="shared" si="297"/>
        <v>0.48773110243196666</v>
      </c>
      <c r="CH76" s="22">
        <f t="shared" si="298"/>
        <v>0.38304237556263515</v>
      </c>
      <c r="CI76" s="22">
        <f t="shared" si="299"/>
        <v>0.1292265220053983</v>
      </c>
      <c r="CJ76" s="22"/>
      <c r="CK76" s="22">
        <f t="shared" si="300"/>
        <v>0.47155108736903611</v>
      </c>
      <c r="CL76" s="22">
        <f t="shared" si="301"/>
        <v>0.36172502598419498</v>
      </c>
      <c r="CM76" s="22">
        <f t="shared" si="302"/>
        <v>0.1667238866467689</v>
      </c>
      <c r="CN76" s="1"/>
      <c r="CO76" s="26">
        <f t="shared" si="303"/>
        <v>0.88182423435419433</v>
      </c>
      <c r="CP76" s="26">
        <f t="shared" si="304"/>
        <v>1.1892839258888332E-3</v>
      </c>
      <c r="CQ76" s="26">
        <f t="shared" si="305"/>
        <v>7.2577481365241276E-3</v>
      </c>
      <c r="CR76" s="26">
        <f t="shared" si="306"/>
        <v>0</v>
      </c>
      <c r="CS76" s="26">
        <f t="shared" si="307"/>
        <v>0.14029227557411275</v>
      </c>
      <c r="CT76" s="26">
        <f t="shared" si="308"/>
        <v>1.1840992387933465E-3</v>
      </c>
      <c r="CU76" s="26">
        <f t="shared" si="309"/>
        <v>0.30694789081885854</v>
      </c>
      <c r="CV76" s="26">
        <f t="shared" si="310"/>
        <v>0.40014265335235383</v>
      </c>
      <c r="CW76" s="26">
        <f t="shared" si="311"/>
        <v>3.5592126492416908E-2</v>
      </c>
      <c r="CX76" s="26">
        <f t="shared" si="312"/>
        <v>0</v>
      </c>
      <c r="CY76" s="26">
        <f t="shared" si="313"/>
        <v>0</v>
      </c>
      <c r="CZ76" s="26">
        <f t="shared" si="314"/>
        <v>0</v>
      </c>
      <c r="DA76" s="26">
        <f t="shared" si="315"/>
        <v>0</v>
      </c>
      <c r="DB76" s="26">
        <f t="shared" si="316"/>
        <v>1.7744303118931424</v>
      </c>
      <c r="DC76" s="26">
        <f t="shared" si="317"/>
        <v>2.6432766409952793</v>
      </c>
      <c r="DD76" s="26">
        <f t="shared" si="318"/>
        <v>2.2542446289324229</v>
      </c>
      <c r="DE76" s="26">
        <f t="shared" si="319"/>
        <v>5.9585921707461447</v>
      </c>
      <c r="DF76" s="1"/>
      <c r="DG76" s="22">
        <v>15.02146802498368</v>
      </c>
      <c r="DH76" s="14">
        <v>7643.1070628987391</v>
      </c>
      <c r="DI76" s="14">
        <v>75978.982835470437</v>
      </c>
      <c r="DJ76" s="14">
        <v>2621.341354008076</v>
      </c>
      <c r="DK76" s="14">
        <v>250380.71235590026</v>
      </c>
      <c r="DL76" s="14">
        <v>160795.86915970422</v>
      </c>
      <c r="DM76" s="96">
        <v>84.103009970476322</v>
      </c>
      <c r="DN76" s="14">
        <v>382.9156519672909</v>
      </c>
      <c r="DO76" s="96">
        <v>444.69907640746891</v>
      </c>
      <c r="DP76" s="22">
        <v>2.4681877446143048</v>
      </c>
      <c r="DQ76" s="14">
        <v>483.23110407273987</v>
      </c>
      <c r="DR76" s="22">
        <v>10.494071063691672</v>
      </c>
      <c r="DS76" s="22">
        <v>10.671858489395268</v>
      </c>
      <c r="DT76" s="22">
        <v>4.128639622109131</v>
      </c>
      <c r="DU76" s="22">
        <v>21.048160782066976</v>
      </c>
      <c r="DV76" s="22">
        <v>1.1767048633154327</v>
      </c>
      <c r="DW76" s="22">
        <v>7.2202720663902582</v>
      </c>
      <c r="DX76" s="22">
        <v>8.0538066635354628</v>
      </c>
      <c r="DY76" s="22">
        <v>7.9133205188497762</v>
      </c>
      <c r="DZ76" s="22">
        <v>71.169432512022993</v>
      </c>
      <c r="EA76" s="22">
        <v>0.21786934477287645</v>
      </c>
      <c r="EB76" s="22">
        <v>0.12299873145424062</v>
      </c>
      <c r="EC76" s="22">
        <v>2.5469820425270466</v>
      </c>
      <c r="ED76" s="22">
        <v>1.0939100111728237</v>
      </c>
      <c r="EE76" s="22">
        <v>2.614039859708718</v>
      </c>
      <c r="EF76" s="22">
        <v>0.33702089615490949</v>
      </c>
      <c r="EG76" s="22">
        <v>2.01546139999106</v>
      </c>
      <c r="EH76" s="22">
        <v>0.65797471210795211</v>
      </c>
      <c r="EI76" s="22">
        <v>0.14634339251558284</v>
      </c>
      <c r="EJ76" s="22">
        <v>0.86917751355546002</v>
      </c>
      <c r="EK76" s="22">
        <v>0.17098285080876996</v>
      </c>
      <c r="EL76" s="22">
        <v>0.98614677904184678</v>
      </c>
      <c r="EM76" s="22">
        <v>0.22116279494838029</v>
      </c>
      <c r="EN76" s="22">
        <v>1.0906094931086501</v>
      </c>
      <c r="EO76" s="22">
        <v>0.21183005142686465</v>
      </c>
      <c r="EP76" s="22">
        <v>3.1399215397859832</v>
      </c>
      <c r="EQ76" s="22">
        <v>0.8760021657749173</v>
      </c>
      <c r="ER76" s="22">
        <v>4.2469848540317416</v>
      </c>
      <c r="ES76" s="22">
        <v>3.3222409876767021E-2</v>
      </c>
      <c r="ET76" s="22">
        <v>0.82647260725120575</v>
      </c>
      <c r="EU76" s="22">
        <v>0.75737119296835209</v>
      </c>
      <c r="EV76" s="22">
        <v>4.7037625002380935E-2</v>
      </c>
      <c r="EW76" s="22">
        <f>(EI76/0.05883)/SQRT((EH76/0.1536)*(EJ76/0.2069))</f>
        <v>0.58639638040983033</v>
      </c>
      <c r="EX76" s="22"/>
      <c r="EY76" s="22"/>
      <c r="EZ76" s="22"/>
      <c r="FA76" s="22"/>
      <c r="FB76" s="22"/>
      <c r="FC76" s="22"/>
      <c r="FD76" s="22"/>
      <c r="FE76" s="22"/>
      <c r="FF76" s="22"/>
      <c r="FG76" s="22"/>
      <c r="FH76" s="22"/>
      <c r="FI76" s="22">
        <f>-0.50354-2.23025*BP76+ N("eqn 18 Mg# R2 0.28 best")</f>
        <v>-2.0341953054478021</v>
      </c>
      <c r="FJ76" s="22"/>
      <c r="FK76" s="22">
        <f xml:space="preserve"> -0.03692  +  0.931085 + FX76   + N("488 NN Dy")</f>
        <v>0.8941650000000001</v>
      </c>
      <c r="FL76" s="22">
        <f>-0.48986  +   0    +   (1.071278 + 0) * GD76  +N("eqn 119 LnD Hf  (which has R2 of 0.51 for TS")</f>
        <v>-0.48986000000000002</v>
      </c>
      <c r="FM76" s="22"/>
      <c r="FN76" s="22"/>
      <c r="FO76" s="22">
        <f>3.94011-11.9214*BP76</f>
        <v>-4.2417324653583366</v>
      </c>
      <c r="FP76" s="22">
        <f xml:space="preserve">  -0.49862 +   1.013256 * FQ76 + N("294 NN")</f>
        <v>-0.49862000000000001</v>
      </c>
      <c r="FQ76" s="46"/>
      <c r="FR76" s="46"/>
      <c r="FS76" s="46"/>
      <c r="FT76" s="46"/>
      <c r="FU76" s="46"/>
      <c r="FV76" s="46"/>
      <c r="FW76" s="46"/>
      <c r="FX76" s="46"/>
      <c r="FY76" s="46"/>
      <c r="FZ76" s="46"/>
      <c r="GA76" s="46"/>
      <c r="GB76" s="46"/>
      <c r="GC76" s="46"/>
      <c r="GD76" s="46"/>
      <c r="GE76" s="46"/>
      <c r="GF76" s="46"/>
      <c r="GG76" s="46"/>
      <c r="GH76" s="46"/>
    </row>
    <row r="77" spans="1:190" x14ac:dyDescent="0.25">
      <c r="A77" s="5" t="s">
        <v>84</v>
      </c>
      <c r="B77" s="1">
        <v>201</v>
      </c>
      <c r="C77" s="98" t="s">
        <v>97</v>
      </c>
      <c r="D77" s="98" t="s">
        <v>104</v>
      </c>
      <c r="E77" s="1">
        <v>33</v>
      </c>
      <c r="F77" s="22">
        <v>53.21</v>
      </c>
      <c r="G77" s="22">
        <v>0.13900000000000001</v>
      </c>
      <c r="H77" s="22">
        <v>0.36499999999999999</v>
      </c>
      <c r="I77" s="22">
        <v>0</v>
      </c>
      <c r="J77" s="22">
        <v>9.5</v>
      </c>
      <c r="K77" s="22">
        <v>7.9000000000000001E-2</v>
      </c>
      <c r="L77" s="22">
        <v>12.52</v>
      </c>
      <c r="M77" s="22">
        <v>23.49</v>
      </c>
      <c r="N77" s="22">
        <v>0.86099999999999999</v>
      </c>
      <c r="O77" s="22">
        <v>0</v>
      </c>
      <c r="P77" s="22">
        <v>0</v>
      </c>
      <c r="Q77" s="22"/>
      <c r="R77" s="22"/>
      <c r="S77" s="22">
        <f t="shared" si="244"/>
        <v>100.164</v>
      </c>
      <c r="T77" s="3"/>
      <c r="U77" s="22">
        <f t="shared" si="245"/>
        <v>7.2695504688138</v>
      </c>
      <c r="V77" s="22">
        <f t="shared" si="246"/>
        <v>2.4786985640072245</v>
      </c>
      <c r="W77" s="22">
        <f t="shared" si="247"/>
        <v>100.41224903282102</v>
      </c>
      <c r="X77" s="1"/>
      <c r="Y77" s="1"/>
      <c r="Z77" s="1"/>
      <c r="AA77" s="1" t="s">
        <v>185</v>
      </c>
      <c r="AC77" s="1">
        <v>6</v>
      </c>
      <c r="AD77" s="1">
        <v>4</v>
      </c>
      <c r="AE77" s="1"/>
      <c r="AF77" s="26">
        <f t="shared" si="248"/>
        <v>1.9959972429305213</v>
      </c>
      <c r="AG77" s="26">
        <f t="shared" si="249"/>
        <v>3.9216907713058814E-3</v>
      </c>
      <c r="AH77" s="26">
        <f t="shared" si="250"/>
        <v>1.6135767795291221E-2</v>
      </c>
      <c r="AI77" s="26">
        <f t="shared" si="251"/>
        <v>0</v>
      </c>
      <c r="AJ77" s="26">
        <f t="shared" si="252"/>
        <v>0.29798433574274757</v>
      </c>
      <c r="AK77" s="26">
        <f t="shared" si="253"/>
        <v>2.5097618258961558E-3</v>
      </c>
      <c r="AL77" s="26">
        <f t="shared" si="254"/>
        <v>0.70015772503439333</v>
      </c>
      <c r="AM77" s="26">
        <f t="shared" si="255"/>
        <v>0.94399917326376692</v>
      </c>
      <c r="AN77" s="26">
        <f t="shared" si="256"/>
        <v>6.2614970073209458E-2</v>
      </c>
      <c r="AO77" s="26">
        <f t="shared" si="257"/>
        <v>0</v>
      </c>
      <c r="AP77" s="26">
        <f t="shared" si="258"/>
        <v>0</v>
      </c>
      <c r="AQ77" s="26">
        <f t="shared" si="259"/>
        <v>0</v>
      </c>
      <c r="AR77" s="26">
        <f t="shared" si="260"/>
        <v>0</v>
      </c>
      <c r="AS77" s="26">
        <f t="shared" si="261"/>
        <v>4.0233206674371313</v>
      </c>
      <c r="AT77" s="26">
        <f t="shared" si="262"/>
        <v>2.0121330107258126</v>
      </c>
      <c r="AU77" s="26">
        <f t="shared" si="263"/>
        <v>1.0066141433369764</v>
      </c>
      <c r="AV77" s="47"/>
      <c r="AW77" s="26">
        <f t="shared" si="264"/>
        <v>1.9844276983290801</v>
      </c>
      <c r="AX77" s="26">
        <f t="shared" si="265"/>
        <v>3.8989591886584686E-3</v>
      </c>
      <c r="AY77" s="26">
        <f t="shared" si="266"/>
        <v>1.604223886590651E-2</v>
      </c>
      <c r="AZ77" s="26">
        <f t="shared" si="267"/>
        <v>0</v>
      </c>
      <c r="BA77" s="26">
        <f t="shared" si="268"/>
        <v>0.22670063092595061</v>
      </c>
      <c r="BB77" s="26">
        <f t="shared" si="269"/>
        <v>6.9556476447560911E-2</v>
      </c>
      <c r="BC77" s="26">
        <f t="shared" si="270"/>
        <v>2.4952143101184946E-3</v>
      </c>
      <c r="BD77" s="26">
        <f t="shared" si="271"/>
        <v>0.69609934967514886</v>
      </c>
      <c r="BE77" s="26">
        <f t="shared" si="272"/>
        <v>0.93852740190863038</v>
      </c>
      <c r="BF77" s="26">
        <f t="shared" si="273"/>
        <v>6.2252030348945962E-2</v>
      </c>
      <c r="BG77" s="26">
        <f t="shared" si="274"/>
        <v>0</v>
      </c>
      <c r="BH77" s="26">
        <f t="shared" si="275"/>
        <v>0</v>
      </c>
      <c r="BI77" s="26">
        <f t="shared" si="276"/>
        <v>0</v>
      </c>
      <c r="BJ77" s="26">
        <f t="shared" si="277"/>
        <v>0</v>
      </c>
      <c r="BK77" s="25">
        <f t="shared" si="278"/>
        <v>4</v>
      </c>
      <c r="BL77" s="24">
        <f t="shared" si="279"/>
        <v>5.9999999999999991</v>
      </c>
      <c r="BM77" s="26">
        <f t="shared" si="280"/>
        <v>2.0004699371949868</v>
      </c>
      <c r="BN77" s="26">
        <f t="shared" si="281"/>
        <v>1.0007794322575763</v>
      </c>
      <c r="BO77" s="22"/>
      <c r="BP77" s="23">
        <f t="shared" si="282"/>
        <v>0.70146099693390263</v>
      </c>
      <c r="BQ77" s="26">
        <f t="shared" si="283"/>
        <v>1.5572301670919941E-2</v>
      </c>
      <c r="BR77" s="26">
        <f t="shared" si="284"/>
        <v>4.6993719498656869E-4</v>
      </c>
      <c r="BS77" s="26"/>
      <c r="BT77" s="26">
        <f t="shared" si="285"/>
        <v>4.6993719498656869E-4</v>
      </c>
      <c r="BU77" s="26">
        <f t="shared" si="286"/>
        <v>0</v>
      </c>
      <c r="BV77" s="26">
        <f t="shared" si="287"/>
        <v>4.6993719498656869E-4</v>
      </c>
      <c r="BW77" s="26">
        <f t="shared" si="288"/>
        <v>0</v>
      </c>
      <c r="BX77" s="26">
        <f t="shared" si="289"/>
        <v>0.94352923606878036</v>
      </c>
      <c r="BY77" s="26">
        <f t="shared" si="290"/>
        <v>2.7306412354180298E-2</v>
      </c>
      <c r="BZ77" s="26">
        <f t="shared" si="291"/>
        <v>0.97177552281293378</v>
      </c>
      <c r="CA77" s="22"/>
      <c r="CB77" s="22">
        <f t="shared" si="292"/>
        <v>6.2252030348945962E-2</v>
      </c>
      <c r="CC77" s="22">
        <f t="shared" si="293"/>
        <v>0</v>
      </c>
      <c r="CD77" s="22">
        <f t="shared" si="294"/>
        <v>7.3044460986149487E-3</v>
      </c>
      <c r="CE77" s="22">
        <f t="shared" si="295"/>
        <v>0</v>
      </c>
      <c r="CF77" s="22">
        <f t="shared" si="296"/>
        <v>4.6993719498656869E-4</v>
      </c>
      <c r="CG77" s="22">
        <f t="shared" si="297"/>
        <v>0.4965025244819874</v>
      </c>
      <c r="CH77" s="22">
        <f t="shared" si="298"/>
        <v>0.3798052369299651</v>
      </c>
      <c r="CI77" s="22">
        <f t="shared" si="299"/>
        <v>0.12369223858804754</v>
      </c>
      <c r="CJ77" s="22"/>
      <c r="CK77" s="22">
        <f t="shared" si="300"/>
        <v>0.48543372320799966</v>
      </c>
      <c r="CL77" s="22">
        <f t="shared" si="301"/>
        <v>0.3600428696575998</v>
      </c>
      <c r="CM77" s="22">
        <f t="shared" si="302"/>
        <v>0.1545234071344006</v>
      </c>
      <c r="CN77" s="1"/>
      <c r="CO77" s="26">
        <f t="shared" si="303"/>
        <v>0.8856524633821572</v>
      </c>
      <c r="CP77" s="26">
        <f t="shared" si="304"/>
        <v>1.740110165247872E-3</v>
      </c>
      <c r="CQ77" s="26">
        <f t="shared" si="305"/>
        <v>7.1596704590035313E-3</v>
      </c>
      <c r="CR77" s="26">
        <f t="shared" si="306"/>
        <v>0</v>
      </c>
      <c r="CS77" s="26">
        <f t="shared" si="307"/>
        <v>0.13221990257480865</v>
      </c>
      <c r="CT77" s="26">
        <f t="shared" si="308"/>
        <v>1.1136171412461234E-3</v>
      </c>
      <c r="CU77" s="26">
        <f t="shared" si="309"/>
        <v>0.31066997518610423</v>
      </c>
      <c r="CV77" s="26">
        <f t="shared" si="310"/>
        <v>0.41886590584878741</v>
      </c>
      <c r="CW77" s="26">
        <f t="shared" si="311"/>
        <v>2.7783155856727977E-2</v>
      </c>
      <c r="CX77" s="26">
        <f t="shared" si="312"/>
        <v>0</v>
      </c>
      <c r="CY77" s="26">
        <f t="shared" si="313"/>
        <v>0</v>
      </c>
      <c r="CZ77" s="26">
        <f t="shared" si="314"/>
        <v>0</v>
      </c>
      <c r="DA77" s="26">
        <f t="shared" si="315"/>
        <v>0</v>
      </c>
      <c r="DB77" s="26">
        <f t="shared" si="316"/>
        <v>1.7852048006140828</v>
      </c>
      <c r="DC77" s="26">
        <f t="shared" si="317"/>
        <v>2.662285631462626</v>
      </c>
      <c r="DD77" s="26">
        <f t="shared" si="318"/>
        <v>2.2406392805038737</v>
      </c>
      <c r="DE77" s="26">
        <f t="shared" si="319"/>
        <v>5.9652217617762195</v>
      </c>
      <c r="DF77" s="1"/>
      <c r="DG77" s="22"/>
      <c r="DH77" s="14"/>
      <c r="DI77" s="14"/>
      <c r="DJ77" s="14"/>
      <c r="DK77" s="14"/>
      <c r="DL77" s="14"/>
      <c r="DM77" s="96"/>
      <c r="DN77" s="14"/>
      <c r="DO77" s="96"/>
      <c r="DP77" s="22"/>
      <c r="DQ77" s="14"/>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46"/>
      <c r="FR77" s="46"/>
      <c r="FS77" s="46"/>
      <c r="FT77" s="46"/>
      <c r="FU77" s="46"/>
      <c r="FV77" s="46"/>
      <c r="FW77" s="46"/>
      <c r="FX77" s="46"/>
      <c r="FY77" s="46"/>
      <c r="FZ77" s="46"/>
      <c r="GA77" s="46"/>
      <c r="GB77" s="46"/>
      <c r="GC77" s="46"/>
      <c r="GD77" s="46"/>
      <c r="GE77" s="46"/>
      <c r="GF77" s="46"/>
      <c r="GG77" s="46"/>
      <c r="GH77" s="46"/>
    </row>
    <row r="78" spans="1:190" x14ac:dyDescent="0.25">
      <c r="A78" s="5" t="s">
        <v>84</v>
      </c>
      <c r="B78" s="1">
        <v>202</v>
      </c>
      <c r="C78" s="98" t="s">
        <v>97</v>
      </c>
      <c r="D78" s="98" t="s">
        <v>104</v>
      </c>
      <c r="E78" s="1">
        <v>34</v>
      </c>
      <c r="F78" s="22">
        <v>52.58</v>
      </c>
      <c r="G78" s="22">
        <v>0.11700000000000001</v>
      </c>
      <c r="H78" s="22">
        <v>0.32900000000000001</v>
      </c>
      <c r="I78" s="22">
        <v>1.2999999999999999E-2</v>
      </c>
      <c r="J78" s="22">
        <v>8.5299999999999994</v>
      </c>
      <c r="K78" s="22">
        <v>9.5000000000000001E-2</v>
      </c>
      <c r="L78" s="22">
        <v>13.05</v>
      </c>
      <c r="M78" s="22">
        <v>23.64</v>
      </c>
      <c r="N78" s="22">
        <v>0.60699999999999998</v>
      </c>
      <c r="O78" s="22">
        <v>8.9999999999999993E-3</v>
      </c>
      <c r="P78" s="22">
        <v>0</v>
      </c>
      <c r="Q78" s="22"/>
      <c r="R78" s="22"/>
      <c r="S78" s="22">
        <f t="shared" si="244"/>
        <v>98.97</v>
      </c>
      <c r="T78" s="3"/>
      <c r="U78" s="22">
        <f t="shared" si="245"/>
        <v>6.4933642191185994</v>
      </c>
      <c r="V78" s="22">
        <f t="shared" si="246"/>
        <v>2.2633133432934995</v>
      </c>
      <c r="W78" s="22">
        <f t="shared" si="247"/>
        <v>99.196677562412091</v>
      </c>
      <c r="X78" s="1"/>
      <c r="Y78" s="1"/>
      <c r="Z78" s="1"/>
      <c r="AA78" s="1" t="s">
        <v>185</v>
      </c>
      <c r="AC78" s="1">
        <v>6</v>
      </c>
      <c r="AD78" s="1">
        <v>4</v>
      </c>
      <c r="AE78" s="1"/>
      <c r="AF78" s="26">
        <f t="shared" si="248"/>
        <v>1.9901387136833688</v>
      </c>
      <c r="AG78" s="26">
        <f t="shared" si="249"/>
        <v>3.3307381832584667E-3</v>
      </c>
      <c r="AH78" s="26">
        <f t="shared" si="250"/>
        <v>1.4675359775726999E-2</v>
      </c>
      <c r="AI78" s="26">
        <f t="shared" si="251"/>
        <v>3.8900127359064009E-4</v>
      </c>
      <c r="AJ78" s="26">
        <f t="shared" si="252"/>
        <v>0.26996965337939249</v>
      </c>
      <c r="AK78" s="26">
        <f t="shared" si="253"/>
        <v>3.0452651425033794E-3</v>
      </c>
      <c r="AL78" s="26">
        <f t="shared" si="254"/>
        <v>0.73637350794826339</v>
      </c>
      <c r="AM78" s="26">
        <f t="shared" si="255"/>
        <v>0.95858837407186082</v>
      </c>
      <c r="AN78" s="26">
        <f t="shared" si="256"/>
        <v>4.454098377744202E-2</v>
      </c>
      <c r="AO78" s="26">
        <f t="shared" si="257"/>
        <v>4.3452452405468928E-4</v>
      </c>
      <c r="AP78" s="26">
        <f t="shared" si="258"/>
        <v>0</v>
      </c>
      <c r="AQ78" s="26">
        <f t="shared" si="259"/>
        <v>0</v>
      </c>
      <c r="AR78" s="26">
        <f t="shared" si="260"/>
        <v>0</v>
      </c>
      <c r="AS78" s="26">
        <f t="shared" si="261"/>
        <v>4.0214861217594615</v>
      </c>
      <c r="AT78" s="26">
        <f t="shared" si="262"/>
        <v>2.0048140734590958</v>
      </c>
      <c r="AU78" s="26">
        <f t="shared" si="263"/>
        <v>1.0035638823733575</v>
      </c>
      <c r="AV78" s="47"/>
      <c r="AW78" s="26">
        <f t="shared" si="264"/>
        <v>1.9795057383539123</v>
      </c>
      <c r="AX78" s="26">
        <f t="shared" si="265"/>
        <v>3.3129426111770024E-3</v>
      </c>
      <c r="AY78" s="26">
        <f t="shared" si="266"/>
        <v>1.4596951804778383E-2</v>
      </c>
      <c r="AZ78" s="26">
        <f t="shared" si="267"/>
        <v>3.8692290542626174E-4</v>
      </c>
      <c r="BA78" s="26">
        <f t="shared" si="268"/>
        <v>0.2044132759668395</v>
      </c>
      <c r="BB78" s="26">
        <f t="shared" si="269"/>
        <v>6.4113975109463262E-2</v>
      </c>
      <c r="BC78" s="26">
        <f t="shared" si="270"/>
        <v>3.0289948047076977E-3</v>
      </c>
      <c r="BD78" s="26">
        <f t="shared" si="271"/>
        <v>0.73243918855160806</v>
      </c>
      <c r="BE78" s="26">
        <f t="shared" si="272"/>
        <v>0.95346679814223867</v>
      </c>
      <c r="BF78" s="26">
        <f t="shared" si="273"/>
        <v>4.4303008817003851E-2</v>
      </c>
      <c r="BG78" s="26">
        <f t="shared" si="274"/>
        <v>4.3220293284471474E-4</v>
      </c>
      <c r="BH78" s="26">
        <f t="shared" si="275"/>
        <v>0</v>
      </c>
      <c r="BI78" s="26">
        <f t="shared" si="276"/>
        <v>0</v>
      </c>
      <c r="BJ78" s="26">
        <f t="shared" si="277"/>
        <v>0</v>
      </c>
      <c r="BK78" s="25">
        <f t="shared" si="278"/>
        <v>3.9999999999999996</v>
      </c>
      <c r="BL78" s="24">
        <f t="shared" si="279"/>
        <v>5.9999999999999982</v>
      </c>
      <c r="BM78" s="26">
        <f t="shared" si="280"/>
        <v>1.9941026901586907</v>
      </c>
      <c r="BN78" s="26">
        <f t="shared" si="281"/>
        <v>0.99820200989208729</v>
      </c>
      <c r="BO78" s="22"/>
      <c r="BP78" s="23">
        <f t="shared" si="282"/>
        <v>0.73173201373652208</v>
      </c>
      <c r="BQ78" s="26">
        <f t="shared" si="283"/>
        <v>2.0494261646087697E-2</v>
      </c>
      <c r="BR78" s="26">
        <f t="shared" si="284"/>
        <v>0</v>
      </c>
      <c r="BS78" s="26"/>
      <c r="BT78" s="26">
        <f t="shared" si="285"/>
        <v>0</v>
      </c>
      <c r="BU78" s="26">
        <f t="shared" si="286"/>
        <v>0</v>
      </c>
      <c r="BV78" s="26">
        <f t="shared" si="287"/>
        <v>0</v>
      </c>
      <c r="BW78" s="26">
        <f t="shared" si="288"/>
        <v>1.9450063679532005E-4</v>
      </c>
      <c r="BX78" s="26">
        <f t="shared" si="289"/>
        <v>0.95839387343506555</v>
      </c>
      <c r="BY78" s="26">
        <f t="shared" si="290"/>
        <v>2.3974643946295171E-2</v>
      </c>
      <c r="BZ78" s="26">
        <f t="shared" si="291"/>
        <v>0.98256301801815593</v>
      </c>
      <c r="CA78" s="22"/>
      <c r="CB78" s="22">
        <f t="shared" si="292"/>
        <v>4.4303008817003851E-2</v>
      </c>
      <c r="CC78" s="22">
        <f t="shared" si="293"/>
        <v>0</v>
      </c>
      <c r="CD78" s="22">
        <f t="shared" si="294"/>
        <v>1.981096629245941E-2</v>
      </c>
      <c r="CE78" s="22">
        <f t="shared" si="295"/>
        <v>3.8692290542626174E-4</v>
      </c>
      <c r="CF78" s="22">
        <f t="shared" si="296"/>
        <v>0</v>
      </c>
      <c r="CG78" s="22">
        <f t="shared" si="297"/>
        <v>0.48878595888067844</v>
      </c>
      <c r="CH78" s="22">
        <f t="shared" si="298"/>
        <v>0.39967146550240124</v>
      </c>
      <c r="CI78" s="22">
        <f t="shared" si="299"/>
        <v>0.11154257561692035</v>
      </c>
      <c r="CJ78" s="22"/>
      <c r="CK78" s="22">
        <f t="shared" si="300"/>
        <v>0.48709333047414299</v>
      </c>
      <c r="CL78" s="22">
        <f t="shared" si="301"/>
        <v>0.37417794139923366</v>
      </c>
      <c r="CM78" s="22">
        <f t="shared" si="302"/>
        <v>0.13872872812662332</v>
      </c>
      <c r="CN78" s="1"/>
      <c r="CO78" s="26">
        <f t="shared" si="303"/>
        <v>0.87516644474034622</v>
      </c>
      <c r="CP78" s="26">
        <f t="shared" si="304"/>
        <v>1.4646970455683527E-3</v>
      </c>
      <c r="CQ78" s="26">
        <f t="shared" si="305"/>
        <v>6.4535111808552382E-3</v>
      </c>
      <c r="CR78" s="26">
        <f t="shared" si="306"/>
        <v>1.7106388578195931E-4</v>
      </c>
      <c r="CS78" s="26">
        <f t="shared" si="307"/>
        <v>0.11871955462769659</v>
      </c>
      <c r="CT78" s="26">
        <f t="shared" si="308"/>
        <v>1.3391598533972371E-3</v>
      </c>
      <c r="CU78" s="26">
        <f t="shared" si="309"/>
        <v>0.32382133995037227</v>
      </c>
      <c r="CV78" s="26">
        <f t="shared" si="310"/>
        <v>0.42154065620542086</v>
      </c>
      <c r="CW78" s="26">
        <f t="shared" si="311"/>
        <v>1.9586963536624719E-2</v>
      </c>
      <c r="CX78" s="26">
        <f t="shared" si="312"/>
        <v>1.9108280254777067E-4</v>
      </c>
      <c r="CY78" s="26">
        <f t="shared" si="313"/>
        <v>0</v>
      </c>
      <c r="CZ78" s="26">
        <f t="shared" si="314"/>
        <v>0</v>
      </c>
      <c r="DA78" s="26">
        <f t="shared" si="315"/>
        <v>0</v>
      </c>
      <c r="DB78" s="26">
        <f t="shared" si="316"/>
        <v>1.7684544738286112</v>
      </c>
      <c r="DC78" s="26">
        <f t="shared" si="317"/>
        <v>2.6385088799782581</v>
      </c>
      <c r="DD78" s="26">
        <f t="shared" si="318"/>
        <v>2.2618620152206743</v>
      </c>
      <c r="DE78" s="26">
        <f t="shared" si="319"/>
        <v>5.967943012445267</v>
      </c>
      <c r="DF78" s="1"/>
      <c r="DG78" s="22"/>
      <c r="DH78" s="14"/>
      <c r="DI78" s="14"/>
      <c r="DJ78" s="14"/>
      <c r="DK78" s="14"/>
      <c r="DL78" s="14"/>
      <c r="DM78" s="96"/>
      <c r="DN78" s="14"/>
      <c r="DO78" s="96"/>
      <c r="DP78" s="22"/>
      <c r="DQ78" s="14"/>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46"/>
      <c r="FR78" s="46"/>
      <c r="FS78" s="46"/>
      <c r="FT78" s="46"/>
      <c r="FU78" s="46"/>
      <c r="FV78" s="46"/>
      <c r="FW78" s="46"/>
      <c r="FX78" s="46"/>
      <c r="FY78" s="46"/>
      <c r="FZ78" s="46"/>
      <c r="GA78" s="46"/>
      <c r="GB78" s="46"/>
      <c r="GC78" s="46"/>
      <c r="GD78" s="46"/>
      <c r="GE78" s="46"/>
      <c r="GF78" s="46"/>
      <c r="GG78" s="46"/>
      <c r="GH78" s="46"/>
    </row>
    <row r="79" spans="1:190" x14ac:dyDescent="0.25">
      <c r="A79" s="5" t="s">
        <v>84</v>
      </c>
      <c r="B79" s="1">
        <v>207</v>
      </c>
      <c r="C79" s="98" t="s">
        <v>97</v>
      </c>
      <c r="D79" s="98" t="s">
        <v>104</v>
      </c>
      <c r="E79" s="1">
        <v>39</v>
      </c>
      <c r="F79" s="22">
        <v>52.64</v>
      </c>
      <c r="G79" s="22">
        <v>0.20799999999999999</v>
      </c>
      <c r="H79" s="22">
        <v>0.70899999999999996</v>
      </c>
      <c r="I79" s="22">
        <v>0</v>
      </c>
      <c r="J79" s="22">
        <v>9.84</v>
      </c>
      <c r="K79" s="22">
        <v>0.40600000000000003</v>
      </c>
      <c r="L79" s="22">
        <v>12.94</v>
      </c>
      <c r="M79" s="22">
        <v>22.32</v>
      </c>
      <c r="N79" s="22">
        <v>0.63900000000000001</v>
      </c>
      <c r="O79" s="22">
        <v>0</v>
      </c>
      <c r="P79" s="22">
        <v>0</v>
      </c>
      <c r="Q79" s="22"/>
      <c r="R79" s="22"/>
      <c r="S79" s="22">
        <f t="shared" si="244"/>
        <v>99.702000000000012</v>
      </c>
      <c r="T79" s="3"/>
      <c r="U79" s="22">
        <f t="shared" si="245"/>
        <v>8.0983643022871412</v>
      </c>
      <c r="V79" s="22">
        <f t="shared" si="246"/>
        <v>1.9354797508683002</v>
      </c>
      <c r="W79" s="22">
        <f t="shared" si="247"/>
        <v>99.895844053155429</v>
      </c>
      <c r="X79" s="1"/>
      <c r="Y79" s="1"/>
      <c r="Z79" s="1"/>
      <c r="AA79" s="1" t="s">
        <v>185</v>
      </c>
      <c r="AC79" s="1">
        <v>6</v>
      </c>
      <c r="AD79" s="1">
        <v>4</v>
      </c>
      <c r="AE79" s="1"/>
      <c r="AF79" s="26">
        <f t="shared" si="248"/>
        <v>1.9834117574832533</v>
      </c>
      <c r="AG79" s="26">
        <f t="shared" si="249"/>
        <v>5.8945710323263008E-3</v>
      </c>
      <c r="AH79" s="26">
        <f t="shared" si="250"/>
        <v>3.1482798575810031E-2</v>
      </c>
      <c r="AI79" s="26">
        <f t="shared" si="251"/>
        <v>0</v>
      </c>
      <c r="AJ79" s="26">
        <f t="shared" si="252"/>
        <v>0.31002395530032478</v>
      </c>
      <c r="AK79" s="26">
        <f t="shared" si="253"/>
        <v>1.2955726645300425E-2</v>
      </c>
      <c r="AL79" s="26">
        <f t="shared" si="254"/>
        <v>0.72686901636347478</v>
      </c>
      <c r="AM79" s="26">
        <f t="shared" si="255"/>
        <v>0.90097577089981862</v>
      </c>
      <c r="AN79" s="26">
        <f t="shared" si="256"/>
        <v>4.6677351792414702E-2</v>
      </c>
      <c r="AO79" s="26">
        <f t="shared" si="257"/>
        <v>0</v>
      </c>
      <c r="AP79" s="26">
        <f t="shared" si="258"/>
        <v>0</v>
      </c>
      <c r="AQ79" s="26">
        <f t="shared" si="259"/>
        <v>0</v>
      </c>
      <c r="AR79" s="26">
        <f t="shared" si="260"/>
        <v>0</v>
      </c>
      <c r="AS79" s="26">
        <f t="shared" si="261"/>
        <v>4.0182909480927229</v>
      </c>
      <c r="AT79" s="26">
        <f t="shared" si="262"/>
        <v>2.0148945560590632</v>
      </c>
      <c r="AU79" s="26">
        <f t="shared" si="263"/>
        <v>0.94765312269223334</v>
      </c>
      <c r="AV79" s="47"/>
      <c r="AW79" s="26">
        <f t="shared" si="264"/>
        <v>1.9743834213146536</v>
      </c>
      <c r="AX79" s="26">
        <f t="shared" si="265"/>
        <v>5.8677394031152992E-3</v>
      </c>
      <c r="AY79" s="26">
        <f t="shared" si="266"/>
        <v>3.13394913235472E-2</v>
      </c>
      <c r="AZ79" s="26">
        <f t="shared" si="267"/>
        <v>0</v>
      </c>
      <c r="BA79" s="26">
        <f t="shared" si="268"/>
        <v>0.25398968299521779</v>
      </c>
      <c r="BB79" s="26">
        <f t="shared" si="269"/>
        <v>5.4623067355751509E-2</v>
      </c>
      <c r="BC79" s="26">
        <f t="shared" si="270"/>
        <v>1.2896753184534681E-2</v>
      </c>
      <c r="BD79" s="26">
        <f t="shared" si="271"/>
        <v>0.72356036509350563</v>
      </c>
      <c r="BE79" s="26">
        <f t="shared" si="272"/>
        <v>0.89687459921483859</v>
      </c>
      <c r="BF79" s="26">
        <f t="shared" si="273"/>
        <v>4.6464880114835939E-2</v>
      </c>
      <c r="BG79" s="26">
        <f t="shared" si="274"/>
        <v>0</v>
      </c>
      <c r="BH79" s="26">
        <f t="shared" si="275"/>
        <v>0</v>
      </c>
      <c r="BI79" s="26">
        <f t="shared" si="276"/>
        <v>0</v>
      </c>
      <c r="BJ79" s="26">
        <f t="shared" si="277"/>
        <v>0</v>
      </c>
      <c r="BK79" s="25">
        <f t="shared" si="278"/>
        <v>4</v>
      </c>
      <c r="BL79" s="24">
        <f t="shared" si="279"/>
        <v>6</v>
      </c>
      <c r="BM79" s="26">
        <f t="shared" si="280"/>
        <v>2.005722912638201</v>
      </c>
      <c r="BN79" s="26">
        <f t="shared" si="281"/>
        <v>0.94333947932967455</v>
      </c>
      <c r="BO79" s="22"/>
      <c r="BP79" s="23">
        <f t="shared" si="282"/>
        <v>0.70100679262695742</v>
      </c>
      <c r="BQ79" s="26">
        <f t="shared" si="283"/>
        <v>2.5616578685346392E-2</v>
      </c>
      <c r="BR79" s="26">
        <f t="shared" si="284"/>
        <v>5.7229126382008083E-3</v>
      </c>
      <c r="BS79" s="26"/>
      <c r="BT79" s="26">
        <f t="shared" si="285"/>
        <v>5.7229126382008083E-3</v>
      </c>
      <c r="BU79" s="26">
        <f t="shared" si="286"/>
        <v>0</v>
      </c>
      <c r="BV79" s="26">
        <f t="shared" si="287"/>
        <v>5.7229126382008083E-3</v>
      </c>
      <c r="BW79" s="26">
        <f t="shared" si="288"/>
        <v>0</v>
      </c>
      <c r="BX79" s="26">
        <f t="shared" si="289"/>
        <v>0.89525285826161782</v>
      </c>
      <c r="BY79" s="26">
        <f t="shared" si="290"/>
        <v>7.0820056701090872E-2</v>
      </c>
      <c r="BZ79" s="26">
        <f t="shared" si="291"/>
        <v>0.97751874023911034</v>
      </c>
      <c r="CA79" s="22"/>
      <c r="CB79" s="22">
        <f t="shared" si="292"/>
        <v>4.6464880114835939E-2</v>
      </c>
      <c r="CC79" s="22">
        <f t="shared" si="293"/>
        <v>0</v>
      </c>
      <c r="CD79" s="22">
        <f t="shared" si="294"/>
        <v>8.1581872409155695E-3</v>
      </c>
      <c r="CE79" s="22">
        <f t="shared" si="295"/>
        <v>0</v>
      </c>
      <c r="CF79" s="22">
        <f t="shared" si="296"/>
        <v>5.7229126382008083E-3</v>
      </c>
      <c r="CG79" s="22">
        <f t="shared" si="297"/>
        <v>0.4647291897252791</v>
      </c>
      <c r="CH79" s="22">
        <f t="shared" si="298"/>
        <v>0.3961953085302512</v>
      </c>
      <c r="CI79" s="22">
        <f t="shared" si="299"/>
        <v>0.13907550174446973</v>
      </c>
      <c r="CJ79" s="22"/>
      <c r="CK79" s="22">
        <f t="shared" si="300"/>
        <v>0.46184358722195773</v>
      </c>
      <c r="CL79" s="22">
        <f t="shared" si="301"/>
        <v>0.37259580645829626</v>
      </c>
      <c r="CM79" s="22">
        <f t="shared" si="302"/>
        <v>0.16556060631974601</v>
      </c>
      <c r="CN79" s="1"/>
      <c r="CO79" s="26">
        <f t="shared" si="303"/>
        <v>0.87616511318242352</v>
      </c>
      <c r="CP79" s="26">
        <f t="shared" si="304"/>
        <v>2.6039058587881822E-3</v>
      </c>
      <c r="CQ79" s="26">
        <f t="shared" si="305"/>
        <v>1.3907414672420557E-2</v>
      </c>
      <c r="CR79" s="26">
        <f t="shared" si="306"/>
        <v>0</v>
      </c>
      <c r="CS79" s="26">
        <f t="shared" si="307"/>
        <v>0.13695198329853864</v>
      </c>
      <c r="CT79" s="26">
        <f t="shared" si="308"/>
        <v>5.7231463208345084E-3</v>
      </c>
      <c r="CU79" s="26">
        <f t="shared" si="309"/>
        <v>0.32109181141439208</v>
      </c>
      <c r="CV79" s="26">
        <f t="shared" si="310"/>
        <v>0.39800285306704708</v>
      </c>
      <c r="CW79" s="26">
        <f t="shared" si="311"/>
        <v>2.0619554695062926E-2</v>
      </c>
      <c r="CX79" s="26">
        <f t="shared" si="312"/>
        <v>0</v>
      </c>
      <c r="CY79" s="26">
        <f t="shared" si="313"/>
        <v>0</v>
      </c>
      <c r="CZ79" s="26">
        <f t="shared" si="314"/>
        <v>0</v>
      </c>
      <c r="DA79" s="26">
        <f t="shared" si="315"/>
        <v>0</v>
      </c>
      <c r="DB79" s="26">
        <f t="shared" si="316"/>
        <v>1.7750657825095073</v>
      </c>
      <c r="DC79" s="26">
        <f t="shared" si="317"/>
        <v>2.6504787315393981</v>
      </c>
      <c r="DD79" s="26">
        <f t="shared" si="318"/>
        <v>2.2534376130810103</v>
      </c>
      <c r="DE79" s="26">
        <f t="shared" si="319"/>
        <v>5.9726884663221247</v>
      </c>
      <c r="DF79" s="1"/>
      <c r="DG79" s="22"/>
      <c r="DH79" s="14"/>
      <c r="DI79" s="14"/>
      <c r="DJ79" s="14"/>
      <c r="DK79" s="14"/>
      <c r="DL79" s="14"/>
      <c r="DM79" s="96"/>
      <c r="DN79" s="14"/>
      <c r="DO79" s="96"/>
      <c r="DP79" s="22"/>
      <c r="DQ79" s="14"/>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46"/>
      <c r="FR79" s="46"/>
      <c r="FS79" s="46"/>
      <c r="FT79" s="46"/>
      <c r="FU79" s="46"/>
      <c r="FV79" s="46"/>
      <c r="FW79" s="46"/>
      <c r="FX79" s="46"/>
      <c r="FY79" s="46"/>
      <c r="FZ79" s="46"/>
      <c r="GA79" s="46"/>
      <c r="GB79" s="46"/>
      <c r="GC79" s="46"/>
      <c r="GD79" s="46"/>
      <c r="GE79" s="46"/>
      <c r="GF79" s="46"/>
      <c r="GG79" s="46"/>
      <c r="GH79" s="46"/>
    </row>
    <row r="80" spans="1:190" x14ac:dyDescent="0.25">
      <c r="A80" s="5" t="s">
        <v>84</v>
      </c>
      <c r="B80" s="1">
        <v>208</v>
      </c>
      <c r="C80" s="98" t="s">
        <v>97</v>
      </c>
      <c r="D80" s="98" t="s">
        <v>104</v>
      </c>
      <c r="E80" s="1">
        <v>40</v>
      </c>
      <c r="F80" s="22">
        <v>53.25</v>
      </c>
      <c r="G80" s="22">
        <v>2.1000000000000001E-2</v>
      </c>
      <c r="H80" s="22">
        <v>0.22800000000000001</v>
      </c>
      <c r="I80" s="22">
        <v>4.7E-2</v>
      </c>
      <c r="J80" s="22">
        <v>9.83</v>
      </c>
      <c r="K80" s="22">
        <v>0.21</v>
      </c>
      <c r="L80" s="22">
        <v>12.74</v>
      </c>
      <c r="M80" s="22">
        <v>23.26</v>
      </c>
      <c r="N80" s="22">
        <v>0.8</v>
      </c>
      <c r="O80" s="22">
        <v>0</v>
      </c>
      <c r="P80" s="22">
        <v>0</v>
      </c>
      <c r="Q80" s="22"/>
      <c r="R80" s="22"/>
      <c r="S80" s="22">
        <f t="shared" si="244"/>
        <v>100.386</v>
      </c>
      <c r="T80" s="3"/>
      <c r="U80" s="22">
        <f t="shared" si="245"/>
        <v>7.2638680521765826</v>
      </c>
      <c r="V80" s="22">
        <f t="shared" si="246"/>
        <v>2.8517424336161636</v>
      </c>
      <c r="W80" s="22">
        <f t="shared" si="247"/>
        <v>100.67161048579274</v>
      </c>
      <c r="X80" s="1"/>
      <c r="Y80" s="1"/>
      <c r="Z80" s="1"/>
      <c r="AA80" s="1" t="s">
        <v>185</v>
      </c>
      <c r="AC80" s="1">
        <v>6</v>
      </c>
      <c r="AD80" s="1">
        <v>4</v>
      </c>
      <c r="AE80" s="1"/>
      <c r="AF80" s="26">
        <f t="shared" si="248"/>
        <v>1.9959331150596789</v>
      </c>
      <c r="AG80" s="26">
        <f t="shared" si="249"/>
        <v>5.9202157522868714E-4</v>
      </c>
      <c r="AH80" s="26">
        <f t="shared" si="250"/>
        <v>1.0071434009483642E-2</v>
      </c>
      <c r="AI80" s="26">
        <f t="shared" si="251"/>
        <v>1.3927370667716694E-3</v>
      </c>
      <c r="AJ80" s="26">
        <f t="shared" si="252"/>
        <v>0.30809385830910946</v>
      </c>
      <c r="AK80" s="26">
        <f t="shared" si="253"/>
        <v>6.6662931250729522E-3</v>
      </c>
      <c r="AL80" s="26">
        <f t="shared" si="254"/>
        <v>0.71190276130080143</v>
      </c>
      <c r="AM80" s="26">
        <f t="shared" si="255"/>
        <v>0.93402392548465007</v>
      </c>
      <c r="AN80" s="26">
        <f t="shared" si="256"/>
        <v>5.81332637923355E-2</v>
      </c>
      <c r="AO80" s="26">
        <f t="shared" si="257"/>
        <v>0</v>
      </c>
      <c r="AP80" s="26">
        <f t="shared" si="258"/>
        <v>0</v>
      </c>
      <c r="AQ80" s="26">
        <f t="shared" si="259"/>
        <v>0</v>
      </c>
      <c r="AR80" s="26">
        <f t="shared" si="260"/>
        <v>0</v>
      </c>
      <c r="AS80" s="26">
        <f t="shared" si="261"/>
        <v>4.0268094097231328</v>
      </c>
      <c r="AT80" s="26">
        <f t="shared" si="262"/>
        <v>2.0060045490691625</v>
      </c>
      <c r="AU80" s="26">
        <f t="shared" si="263"/>
        <v>0.9921571892769856</v>
      </c>
      <c r="AV80" s="47"/>
      <c r="AW80" s="26">
        <f t="shared" si="264"/>
        <v>1.9826447313253015</v>
      </c>
      <c r="AX80" s="26">
        <f t="shared" si="265"/>
        <v>5.8808005543961649E-4</v>
      </c>
      <c r="AY80" s="26">
        <f t="shared" si="266"/>
        <v>1.0004381121356438E-2</v>
      </c>
      <c r="AZ80" s="26">
        <f t="shared" si="267"/>
        <v>1.3834645994506393E-3</v>
      </c>
      <c r="BA80" s="26">
        <f t="shared" si="268"/>
        <v>0.22614989285560883</v>
      </c>
      <c r="BB80" s="26">
        <f t="shared" si="269"/>
        <v>7.9892759736973407E-2</v>
      </c>
      <c r="BC80" s="26">
        <f t="shared" si="270"/>
        <v>6.6219107454914793E-3</v>
      </c>
      <c r="BD80" s="26">
        <f t="shared" si="271"/>
        <v>0.70716310494541057</v>
      </c>
      <c r="BE80" s="26">
        <f t="shared" si="272"/>
        <v>0.92780544639570606</v>
      </c>
      <c r="BF80" s="26">
        <f t="shared" si="273"/>
        <v>5.7746228219261585E-2</v>
      </c>
      <c r="BG80" s="26">
        <f t="shared" si="274"/>
        <v>0</v>
      </c>
      <c r="BH80" s="26">
        <f t="shared" si="275"/>
        <v>0</v>
      </c>
      <c r="BI80" s="26">
        <f t="shared" si="276"/>
        <v>0</v>
      </c>
      <c r="BJ80" s="26">
        <f t="shared" si="277"/>
        <v>0</v>
      </c>
      <c r="BK80" s="25">
        <f t="shared" si="278"/>
        <v>4</v>
      </c>
      <c r="BL80" s="24">
        <f t="shared" si="279"/>
        <v>6.0000000000000009</v>
      </c>
      <c r="BM80" s="26">
        <f t="shared" si="280"/>
        <v>1.9926491124466579</v>
      </c>
      <c r="BN80" s="26">
        <f t="shared" si="281"/>
        <v>0.98555167461496762</v>
      </c>
      <c r="BO80" s="22"/>
      <c r="BP80" s="23">
        <f t="shared" si="282"/>
        <v>0.69794619669726232</v>
      </c>
      <c r="BQ80" s="26">
        <f t="shared" si="283"/>
        <v>1.7355268674698499E-2</v>
      </c>
      <c r="BR80" s="26">
        <f t="shared" si="284"/>
        <v>0</v>
      </c>
      <c r="BS80" s="26"/>
      <c r="BT80" s="26">
        <f t="shared" si="285"/>
        <v>0</v>
      </c>
      <c r="BU80" s="26">
        <f t="shared" si="286"/>
        <v>0</v>
      </c>
      <c r="BV80" s="26">
        <f t="shared" si="287"/>
        <v>0</v>
      </c>
      <c r="BW80" s="26">
        <f t="shared" si="288"/>
        <v>6.9636853338583468E-4</v>
      </c>
      <c r="BX80" s="26">
        <f t="shared" si="289"/>
        <v>0.93332755695126424</v>
      </c>
      <c r="BY80" s="26">
        <f t="shared" si="290"/>
        <v>4.33345313293233E-2</v>
      </c>
      <c r="BZ80" s="26">
        <f t="shared" si="291"/>
        <v>0.97735845681397338</v>
      </c>
      <c r="CA80" s="22"/>
      <c r="CB80" s="22">
        <f t="shared" si="292"/>
        <v>5.7746228219261585E-2</v>
      </c>
      <c r="CC80" s="22">
        <f t="shared" si="293"/>
        <v>0</v>
      </c>
      <c r="CD80" s="22">
        <f t="shared" si="294"/>
        <v>2.2146531517711822E-2</v>
      </c>
      <c r="CE80" s="22">
        <f t="shared" si="295"/>
        <v>1.3834645994506393E-3</v>
      </c>
      <c r="CF80" s="22">
        <f t="shared" si="296"/>
        <v>0</v>
      </c>
      <c r="CG80" s="22">
        <f t="shared" si="297"/>
        <v>0.48101083924890259</v>
      </c>
      <c r="CH80" s="22">
        <f t="shared" si="298"/>
        <v>0.39323355317505687</v>
      </c>
      <c r="CI80" s="22">
        <f t="shared" si="299"/>
        <v>0.1257556075760406</v>
      </c>
      <c r="CJ80" s="22"/>
      <c r="CK80" s="22">
        <f t="shared" si="300"/>
        <v>0.47637588383710144</v>
      </c>
      <c r="CL80" s="22">
        <f t="shared" si="301"/>
        <v>0.36308845830129194</v>
      </c>
      <c r="CM80" s="22">
        <f t="shared" si="302"/>
        <v>0.16053565786160659</v>
      </c>
      <c r="CN80" s="1"/>
      <c r="CO80" s="26">
        <f t="shared" si="303"/>
        <v>0.88631824234354195</v>
      </c>
      <c r="CP80" s="26">
        <f t="shared" si="304"/>
        <v>2.6289434151226845E-4</v>
      </c>
      <c r="CQ80" s="26">
        <f t="shared" si="305"/>
        <v>4.4723420949391926E-3</v>
      </c>
      <c r="CR80" s="26">
        <f t="shared" si="306"/>
        <v>6.1846174090400682E-4</v>
      </c>
      <c r="CS80" s="26">
        <f t="shared" si="307"/>
        <v>0.13681280445372304</v>
      </c>
      <c r="CT80" s="26">
        <f t="shared" si="308"/>
        <v>2.9602480969833662E-3</v>
      </c>
      <c r="CU80" s="26">
        <f t="shared" si="309"/>
        <v>0.31612903225806455</v>
      </c>
      <c r="CV80" s="26">
        <f t="shared" si="310"/>
        <v>0.4147646219686163</v>
      </c>
      <c r="CW80" s="26">
        <f t="shared" si="311"/>
        <v>2.5814778960955149E-2</v>
      </c>
      <c r="CX80" s="26">
        <f t="shared" si="312"/>
        <v>0</v>
      </c>
      <c r="CY80" s="26">
        <f t="shared" si="313"/>
        <v>0</v>
      </c>
      <c r="CZ80" s="26">
        <f t="shared" si="314"/>
        <v>0</v>
      </c>
      <c r="DA80" s="26">
        <f t="shared" si="315"/>
        <v>0</v>
      </c>
      <c r="DB80" s="26">
        <f t="shared" si="316"/>
        <v>1.7881534262592398</v>
      </c>
      <c r="DC80" s="26">
        <f t="shared" si="317"/>
        <v>2.664372575381738</v>
      </c>
      <c r="DD80" s="26">
        <f t="shared" si="318"/>
        <v>2.2369445156436454</v>
      </c>
      <c r="DE80" s="26">
        <f t="shared" si="319"/>
        <v>5.9600536201315135</v>
      </c>
      <c r="DF80" s="1"/>
      <c r="DG80" s="22"/>
      <c r="DH80" s="14"/>
      <c r="DI80" s="14"/>
      <c r="DJ80" s="14"/>
      <c r="DK80" s="14"/>
      <c r="DL80" s="14"/>
      <c r="DM80" s="96"/>
      <c r="DN80" s="14"/>
      <c r="DO80" s="96"/>
      <c r="DP80" s="22"/>
      <c r="DQ80" s="14"/>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46"/>
      <c r="FR80" s="46"/>
      <c r="FS80" s="46"/>
      <c r="FT80" s="46"/>
      <c r="FU80" s="46"/>
      <c r="FV80" s="46"/>
      <c r="FW80" s="46"/>
      <c r="FX80" s="46"/>
      <c r="FY80" s="46"/>
      <c r="FZ80" s="46"/>
      <c r="GA80" s="46"/>
      <c r="GB80" s="46"/>
      <c r="GC80" s="46"/>
      <c r="GD80" s="46"/>
      <c r="GE80" s="46"/>
      <c r="GF80" s="46"/>
      <c r="GG80" s="46"/>
      <c r="GH80" s="46"/>
    </row>
    <row r="81" spans="1:190" x14ac:dyDescent="0.25">
      <c r="A81" s="5" t="s">
        <v>84</v>
      </c>
      <c r="B81" s="1">
        <v>209</v>
      </c>
      <c r="C81" s="98" t="s">
        <v>97</v>
      </c>
      <c r="D81" s="98" t="s">
        <v>104</v>
      </c>
      <c r="E81" s="1">
        <v>41</v>
      </c>
      <c r="F81" s="22">
        <v>53.35</v>
      </c>
      <c r="G81" s="22">
        <v>8.9999999999999993E-3</v>
      </c>
      <c r="H81" s="22">
        <v>0.625</v>
      </c>
      <c r="I81" s="22">
        <v>0</v>
      </c>
      <c r="J81" s="22">
        <v>7.28</v>
      </c>
      <c r="K81" s="22">
        <v>7.5999999999999998E-2</v>
      </c>
      <c r="L81" s="22">
        <v>13.65</v>
      </c>
      <c r="M81" s="22">
        <v>22.95</v>
      </c>
      <c r="N81" s="22">
        <v>1.2949999999999999</v>
      </c>
      <c r="O81" s="22">
        <v>0</v>
      </c>
      <c r="P81" s="22">
        <v>0</v>
      </c>
      <c r="Q81" s="22"/>
      <c r="R81" s="22"/>
      <c r="S81" s="22">
        <f t="shared" si="244"/>
        <v>99.235000000000014</v>
      </c>
      <c r="T81" s="3"/>
      <c r="U81" s="22">
        <f t="shared" si="245"/>
        <v>3.9878332135157737</v>
      </c>
      <c r="V81" s="22">
        <f t="shared" si="246"/>
        <v>3.6585849498199203</v>
      </c>
      <c r="W81" s="22">
        <f t="shared" si="247"/>
        <v>99.601418163335708</v>
      </c>
      <c r="X81" s="1"/>
      <c r="Y81" s="1"/>
      <c r="Z81" s="1"/>
      <c r="AA81" s="1" t="s">
        <v>185</v>
      </c>
      <c r="AC81" s="1">
        <v>6</v>
      </c>
      <c r="AD81" s="1">
        <v>4</v>
      </c>
      <c r="AE81" s="1"/>
      <c r="AF81" s="26">
        <f t="shared" si="248"/>
        <v>1.9986000086127433</v>
      </c>
      <c r="AG81" s="26">
        <f t="shared" si="249"/>
        <v>2.5358632997694348E-4</v>
      </c>
      <c r="AH81" s="26">
        <f t="shared" si="250"/>
        <v>2.7593168397408364E-2</v>
      </c>
      <c r="AI81" s="26">
        <f t="shared" si="251"/>
        <v>0</v>
      </c>
      <c r="AJ81" s="26">
        <f t="shared" si="252"/>
        <v>0.22804785519323292</v>
      </c>
      <c r="AK81" s="26">
        <f t="shared" si="253"/>
        <v>2.4112586206346941E-3</v>
      </c>
      <c r="AL81" s="26">
        <f t="shared" si="254"/>
        <v>0.76234049607477283</v>
      </c>
      <c r="AM81" s="26">
        <f t="shared" si="255"/>
        <v>0.92107728064057659</v>
      </c>
      <c r="AN81" s="26">
        <f t="shared" si="256"/>
        <v>9.4052333978462341E-2</v>
      </c>
      <c r="AO81" s="26">
        <f t="shared" si="257"/>
        <v>0</v>
      </c>
      <c r="AP81" s="26">
        <f t="shared" si="258"/>
        <v>0</v>
      </c>
      <c r="AQ81" s="26">
        <f t="shared" si="259"/>
        <v>0</v>
      </c>
      <c r="AR81" s="26">
        <f t="shared" si="260"/>
        <v>0</v>
      </c>
      <c r="AS81" s="26">
        <f t="shared" si="261"/>
        <v>4.0343759878478078</v>
      </c>
      <c r="AT81" s="26">
        <f t="shared" si="262"/>
        <v>2.0261931770101516</v>
      </c>
      <c r="AU81" s="26">
        <f t="shared" si="263"/>
        <v>1.0151296146190389</v>
      </c>
      <c r="AV81" s="47"/>
      <c r="AW81" s="26">
        <f t="shared" si="264"/>
        <v>1.9815703986270485</v>
      </c>
      <c r="AX81" s="26">
        <f t="shared" si="265"/>
        <v>2.5142557931217765E-4</v>
      </c>
      <c r="AY81" s="26">
        <f t="shared" si="266"/>
        <v>2.7358053369862842E-2</v>
      </c>
      <c r="AZ81" s="26">
        <f t="shared" si="267"/>
        <v>0</v>
      </c>
      <c r="BA81" s="26">
        <f t="shared" si="268"/>
        <v>0.1238554780477456</v>
      </c>
      <c r="BB81" s="26">
        <f t="shared" si="269"/>
        <v>0.10224923393760221</v>
      </c>
      <c r="BC81" s="26">
        <f t="shared" si="270"/>
        <v>2.3907128417359159E-3</v>
      </c>
      <c r="BD81" s="26">
        <f t="shared" si="271"/>
        <v>0.7558447684311681</v>
      </c>
      <c r="BE81" s="26">
        <f t="shared" si="272"/>
        <v>0.91322899344534092</v>
      </c>
      <c r="BF81" s="26">
        <f t="shared" si="273"/>
        <v>9.3250935720183906E-2</v>
      </c>
      <c r="BG81" s="26">
        <f t="shared" si="274"/>
        <v>0</v>
      </c>
      <c r="BH81" s="26">
        <f t="shared" si="275"/>
        <v>0</v>
      </c>
      <c r="BI81" s="26">
        <f t="shared" si="276"/>
        <v>0</v>
      </c>
      <c r="BJ81" s="26">
        <f t="shared" si="277"/>
        <v>0</v>
      </c>
      <c r="BK81" s="25">
        <f t="shared" si="278"/>
        <v>4.0000000000000009</v>
      </c>
      <c r="BL81" s="24">
        <f t="shared" si="279"/>
        <v>6.0000000000000018</v>
      </c>
      <c r="BM81" s="26">
        <f t="shared" si="280"/>
        <v>2.0089284519969115</v>
      </c>
      <c r="BN81" s="26">
        <f t="shared" si="281"/>
        <v>1.0064799291655249</v>
      </c>
      <c r="BO81" s="22"/>
      <c r="BP81" s="23">
        <f t="shared" si="282"/>
        <v>0.76973895654037072</v>
      </c>
      <c r="BQ81" s="26">
        <f t="shared" si="283"/>
        <v>1.8429601372951465E-2</v>
      </c>
      <c r="BR81" s="26">
        <f t="shared" si="284"/>
        <v>8.9284519969113768E-3</v>
      </c>
      <c r="BS81" s="26"/>
      <c r="BT81" s="26">
        <f t="shared" si="285"/>
        <v>8.9284519969113768E-3</v>
      </c>
      <c r="BU81" s="26">
        <f t="shared" si="286"/>
        <v>0</v>
      </c>
      <c r="BV81" s="26">
        <f t="shared" si="287"/>
        <v>8.9284519969113768E-3</v>
      </c>
      <c r="BW81" s="26">
        <f t="shared" si="288"/>
        <v>0</v>
      </c>
      <c r="BX81" s="26">
        <f t="shared" si="289"/>
        <v>0.9121488286436652</v>
      </c>
      <c r="BY81" s="26">
        <f t="shared" si="290"/>
        <v>3.9119761312170265E-2</v>
      </c>
      <c r="BZ81" s="26">
        <f t="shared" si="291"/>
        <v>0.9691254939496583</v>
      </c>
      <c r="CA81" s="22"/>
      <c r="CB81" s="22">
        <f t="shared" si="292"/>
        <v>9.3250935720183906E-2</v>
      </c>
      <c r="CC81" s="22">
        <f t="shared" si="293"/>
        <v>0</v>
      </c>
      <c r="CD81" s="22">
        <f t="shared" si="294"/>
        <v>8.9982982174183074E-3</v>
      </c>
      <c r="CE81" s="22">
        <f t="shared" si="295"/>
        <v>0</v>
      </c>
      <c r="CF81" s="22">
        <f t="shared" si="296"/>
        <v>8.9284519969113768E-3</v>
      </c>
      <c r="CG81" s="22">
        <f t="shared" si="297"/>
        <v>0.49427658947559761</v>
      </c>
      <c r="CH81" s="22">
        <f t="shared" si="298"/>
        <v>0.43452118565161724</v>
      </c>
      <c r="CI81" s="22">
        <f t="shared" si="299"/>
        <v>7.1202224872785172E-2</v>
      </c>
      <c r="CJ81" s="22"/>
      <c r="CK81" s="22">
        <f t="shared" si="300"/>
        <v>0.4812625541373689</v>
      </c>
      <c r="CL81" s="22">
        <f t="shared" si="301"/>
        <v>0.39832264021118602</v>
      </c>
      <c r="CM81" s="22">
        <f t="shared" si="302"/>
        <v>0.12041480565144502</v>
      </c>
      <c r="CN81" s="1"/>
      <c r="CO81" s="26">
        <f t="shared" si="303"/>
        <v>0.88798268974700401</v>
      </c>
      <c r="CP81" s="26">
        <f t="shared" si="304"/>
        <v>1.1266900350525788E-4</v>
      </c>
      <c r="CQ81" s="26">
        <f t="shared" si="305"/>
        <v>1.225970969007454E-2</v>
      </c>
      <c r="CR81" s="26">
        <f t="shared" si="306"/>
        <v>0</v>
      </c>
      <c r="CS81" s="26">
        <f t="shared" si="307"/>
        <v>0.1013221990257481</v>
      </c>
      <c r="CT81" s="26">
        <f t="shared" si="308"/>
        <v>1.0713278827177897E-3</v>
      </c>
      <c r="CU81" s="26">
        <f t="shared" si="309"/>
        <v>0.33870967741935487</v>
      </c>
      <c r="CV81" s="26">
        <f t="shared" si="310"/>
        <v>0.4092368045649073</v>
      </c>
      <c r="CW81" s="26">
        <f t="shared" si="311"/>
        <v>4.1787673443046146E-2</v>
      </c>
      <c r="CX81" s="26">
        <f t="shared" si="312"/>
        <v>0</v>
      </c>
      <c r="CY81" s="26">
        <f t="shared" si="313"/>
        <v>0</v>
      </c>
      <c r="CZ81" s="26">
        <f t="shared" si="314"/>
        <v>0</v>
      </c>
      <c r="DA81" s="26">
        <f t="shared" si="315"/>
        <v>0</v>
      </c>
      <c r="DB81" s="26">
        <f t="shared" si="316"/>
        <v>1.7924827507763581</v>
      </c>
      <c r="DC81" s="26">
        <f t="shared" si="317"/>
        <v>2.6658141276503811</v>
      </c>
      <c r="DD81" s="26">
        <f t="shared" si="318"/>
        <v>2.2315416972729722</v>
      </c>
      <c r="DE81" s="26">
        <f t="shared" si="319"/>
        <v>5.9488753830311989</v>
      </c>
      <c r="DF81" s="1"/>
      <c r="DG81" s="22"/>
      <c r="DH81" s="14"/>
      <c r="DI81" s="14"/>
      <c r="DJ81" s="14"/>
      <c r="DK81" s="14"/>
      <c r="DL81" s="14"/>
      <c r="DM81" s="96"/>
      <c r="DN81" s="14"/>
      <c r="DO81" s="96"/>
      <c r="DP81" s="22"/>
      <c r="DQ81" s="14"/>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46"/>
      <c r="FR81" s="46"/>
      <c r="FS81" s="46"/>
      <c r="FT81" s="46"/>
      <c r="FU81" s="46"/>
      <c r="FV81" s="46"/>
      <c r="FW81" s="46"/>
      <c r="FX81" s="46"/>
      <c r="FY81" s="46"/>
      <c r="FZ81" s="46"/>
      <c r="GA81" s="46"/>
      <c r="GB81" s="46"/>
      <c r="GC81" s="46"/>
      <c r="GD81" s="46"/>
      <c r="GE81" s="46"/>
      <c r="GF81" s="46"/>
      <c r="GG81" s="46"/>
      <c r="GH81" s="46"/>
    </row>
    <row r="82" spans="1:190" x14ac:dyDescent="0.25">
      <c r="A82" s="5" t="s">
        <v>84</v>
      </c>
      <c r="B82" s="1">
        <v>210</v>
      </c>
      <c r="C82" s="98" t="s">
        <v>97</v>
      </c>
      <c r="D82" s="98" t="s">
        <v>104</v>
      </c>
      <c r="E82" s="1">
        <v>42</v>
      </c>
      <c r="F82" s="22">
        <v>53.28</v>
      </c>
      <c r="G82" s="22">
        <v>0.23</v>
      </c>
      <c r="H82" s="22">
        <v>0.61299999999999999</v>
      </c>
      <c r="I82" s="22">
        <v>0</v>
      </c>
      <c r="J82" s="22">
        <v>8.43</v>
      </c>
      <c r="K82" s="22">
        <v>0.32700000000000001</v>
      </c>
      <c r="L82" s="22">
        <v>13.51</v>
      </c>
      <c r="M82" s="22">
        <v>22.67</v>
      </c>
      <c r="N82" s="22">
        <v>0.73499999999999999</v>
      </c>
      <c r="O82" s="22">
        <v>0</v>
      </c>
      <c r="P82" s="22">
        <v>0</v>
      </c>
      <c r="Q82" s="22"/>
      <c r="R82" s="22"/>
      <c r="S82" s="22">
        <f t="shared" si="244"/>
        <v>99.795000000000002</v>
      </c>
      <c r="T82" s="3"/>
      <c r="U82" s="22">
        <f t="shared" si="245"/>
        <v>7.0537329800612829</v>
      </c>
      <c r="V82" s="22">
        <f t="shared" si="246"/>
        <v>1.5294455392578961</v>
      </c>
      <c r="W82" s="22">
        <f t="shared" si="247"/>
        <v>99.948178519319185</v>
      </c>
      <c r="X82" s="1"/>
      <c r="Y82" s="1"/>
      <c r="Z82" s="1"/>
      <c r="AA82" s="1" t="s">
        <v>185</v>
      </c>
      <c r="AC82" s="1">
        <v>6</v>
      </c>
      <c r="AD82" s="1">
        <v>4</v>
      </c>
      <c r="AE82" s="1"/>
      <c r="AF82" s="26">
        <f t="shared" si="248"/>
        <v>1.9923217491246514</v>
      </c>
      <c r="AG82" s="26">
        <f t="shared" si="249"/>
        <v>6.4686695156530045E-3</v>
      </c>
      <c r="AH82" s="26">
        <f t="shared" si="250"/>
        <v>2.7013809142379098E-2</v>
      </c>
      <c r="AI82" s="26">
        <f t="shared" si="251"/>
        <v>0</v>
      </c>
      <c r="AJ82" s="26">
        <f t="shared" si="252"/>
        <v>0.26358821308125935</v>
      </c>
      <c r="AK82" s="26">
        <f t="shared" si="253"/>
        <v>1.0355754644934996E-2</v>
      </c>
      <c r="AL82" s="26">
        <f t="shared" si="254"/>
        <v>0.75313960572866434</v>
      </c>
      <c r="AM82" s="26">
        <f t="shared" si="255"/>
        <v>0.90817323583063836</v>
      </c>
      <c r="AN82" s="26">
        <f t="shared" si="256"/>
        <v>5.3283279440649298E-2</v>
      </c>
      <c r="AO82" s="26">
        <f t="shared" si="257"/>
        <v>0</v>
      </c>
      <c r="AP82" s="26">
        <f t="shared" si="258"/>
        <v>0</v>
      </c>
      <c r="AQ82" s="26">
        <f t="shared" si="259"/>
        <v>0</v>
      </c>
      <c r="AR82" s="26">
        <f t="shared" si="260"/>
        <v>0</v>
      </c>
      <c r="AS82" s="26">
        <f t="shared" si="261"/>
        <v>4.0143443165088302</v>
      </c>
      <c r="AT82" s="26">
        <f t="shared" si="262"/>
        <v>2.0193355582670307</v>
      </c>
      <c r="AU82" s="26">
        <f t="shared" si="263"/>
        <v>0.96145651527128762</v>
      </c>
      <c r="AV82" s="47"/>
      <c r="AW82" s="26">
        <f t="shared" si="264"/>
        <v>1.9852026553191344</v>
      </c>
      <c r="AX82" s="26">
        <f t="shared" si="265"/>
        <v>6.4455552445273415E-3</v>
      </c>
      <c r="AY82" s="26">
        <f t="shared" si="266"/>
        <v>2.6917281640526838E-2</v>
      </c>
      <c r="AZ82" s="26">
        <f t="shared" si="267"/>
        <v>0</v>
      </c>
      <c r="BA82" s="26">
        <f t="shared" si="268"/>
        <v>0.21976716112541117</v>
      </c>
      <c r="BB82" s="26">
        <f t="shared" si="269"/>
        <v>4.2879181389119392E-2</v>
      </c>
      <c r="BC82" s="26">
        <f t="shared" si="270"/>
        <v>1.031875078811488E-2</v>
      </c>
      <c r="BD82" s="26">
        <f t="shared" si="271"/>
        <v>0.75044843824821683</v>
      </c>
      <c r="BE82" s="26">
        <f t="shared" si="272"/>
        <v>0.90492809208797786</v>
      </c>
      <c r="BF82" s="26">
        <f t="shared" si="273"/>
        <v>5.3092884156970735E-2</v>
      </c>
      <c r="BG82" s="26">
        <f t="shared" si="274"/>
        <v>0</v>
      </c>
      <c r="BH82" s="26">
        <f t="shared" si="275"/>
        <v>0</v>
      </c>
      <c r="BI82" s="26">
        <f t="shared" si="276"/>
        <v>0</v>
      </c>
      <c r="BJ82" s="26">
        <f t="shared" si="277"/>
        <v>0</v>
      </c>
      <c r="BK82" s="25">
        <f t="shared" si="278"/>
        <v>3.9999999999999996</v>
      </c>
      <c r="BL82" s="24">
        <f t="shared" si="279"/>
        <v>5.9999999999999991</v>
      </c>
      <c r="BM82" s="26">
        <f t="shared" si="280"/>
        <v>2.0121199369596612</v>
      </c>
      <c r="BN82" s="26">
        <f t="shared" si="281"/>
        <v>0.95802097624494864</v>
      </c>
      <c r="BO82" s="22"/>
      <c r="BP82" s="23">
        <f t="shared" si="282"/>
        <v>0.74074849905278628</v>
      </c>
      <c r="BQ82" s="26">
        <f t="shared" si="283"/>
        <v>1.4797344680865576E-2</v>
      </c>
      <c r="BR82" s="26">
        <f t="shared" si="284"/>
        <v>1.2119936959661261E-2</v>
      </c>
      <c r="BS82" s="26"/>
      <c r="BT82" s="26">
        <f t="shared" si="285"/>
        <v>1.2119936959661261E-2</v>
      </c>
      <c r="BU82" s="26">
        <f t="shared" si="286"/>
        <v>0</v>
      </c>
      <c r="BV82" s="26">
        <f t="shared" si="287"/>
        <v>1.2119936959661261E-2</v>
      </c>
      <c r="BW82" s="26">
        <f t="shared" si="288"/>
        <v>0</v>
      </c>
      <c r="BX82" s="26">
        <f t="shared" si="289"/>
        <v>0.89605329887097707</v>
      </c>
      <c r="BY82" s="26">
        <f t="shared" si="290"/>
        <v>6.0337259969473367E-2</v>
      </c>
      <c r="BZ82" s="26">
        <f t="shared" si="291"/>
        <v>0.98063043275977291</v>
      </c>
      <c r="CA82" s="22"/>
      <c r="CB82" s="22">
        <f t="shared" si="292"/>
        <v>4.2879181389119392E-2</v>
      </c>
      <c r="CC82" s="22">
        <f t="shared" si="293"/>
        <v>1.0213702767851343E-2</v>
      </c>
      <c r="CD82" s="22">
        <f t="shared" si="294"/>
        <v>0</v>
      </c>
      <c r="CE82" s="22">
        <f t="shared" si="295"/>
        <v>0</v>
      </c>
      <c r="CF82" s="22">
        <f t="shared" si="296"/>
        <v>1.9062341918099183E-3</v>
      </c>
      <c r="CG82" s="22">
        <f t="shared" si="297"/>
        <v>0.47295051964264367</v>
      </c>
      <c r="CH82" s="22">
        <f t="shared" si="298"/>
        <v>0.40766553296923136</v>
      </c>
      <c r="CI82" s="22">
        <f t="shared" si="299"/>
        <v>0.11938394738812499</v>
      </c>
      <c r="CJ82" s="22"/>
      <c r="CK82" s="22">
        <f t="shared" si="300"/>
        <v>0.46927789194341546</v>
      </c>
      <c r="CL82" s="22">
        <f t="shared" si="301"/>
        <v>0.38916778492396881</v>
      </c>
      <c r="CM82" s="22">
        <f t="shared" si="302"/>
        <v>0.14155432313261584</v>
      </c>
      <c r="CN82" s="1"/>
      <c r="CO82" s="26">
        <f t="shared" si="303"/>
        <v>0.8868175765645806</v>
      </c>
      <c r="CP82" s="26">
        <f t="shared" si="304"/>
        <v>2.8793189784677019E-3</v>
      </c>
      <c r="CQ82" s="26">
        <f t="shared" si="305"/>
        <v>1.2024323264025109E-2</v>
      </c>
      <c r="CR82" s="26">
        <f t="shared" si="306"/>
        <v>0</v>
      </c>
      <c r="CS82" s="26">
        <f t="shared" si="307"/>
        <v>0.11732776617954072</v>
      </c>
      <c r="CT82" s="26">
        <f t="shared" si="308"/>
        <v>4.6095291795883852E-3</v>
      </c>
      <c r="CU82" s="26">
        <f t="shared" si="309"/>
        <v>0.33523573200992557</v>
      </c>
      <c r="CV82" s="26">
        <f t="shared" si="310"/>
        <v>0.404243937232525</v>
      </c>
      <c r="CW82" s="26">
        <f t="shared" si="311"/>
        <v>2.3717328170377541E-2</v>
      </c>
      <c r="CX82" s="26">
        <f t="shared" si="312"/>
        <v>0</v>
      </c>
      <c r="CY82" s="26">
        <f t="shared" si="313"/>
        <v>0</v>
      </c>
      <c r="CZ82" s="26">
        <f t="shared" si="314"/>
        <v>0</v>
      </c>
      <c r="DA82" s="26">
        <f t="shared" si="315"/>
        <v>0</v>
      </c>
      <c r="DB82" s="26">
        <f t="shared" si="316"/>
        <v>1.7868555115790308</v>
      </c>
      <c r="DC82" s="26">
        <f t="shared" si="317"/>
        <v>2.6707059046689028</v>
      </c>
      <c r="DD82" s="26">
        <f t="shared" si="318"/>
        <v>2.2385693605775825</v>
      </c>
      <c r="DE82" s="26">
        <f t="shared" si="319"/>
        <v>5.9785604093054401</v>
      </c>
      <c r="DF82" s="1"/>
      <c r="DG82" s="22"/>
      <c r="DH82" s="14"/>
      <c r="DI82" s="14"/>
      <c r="DJ82" s="14"/>
      <c r="DK82" s="14"/>
      <c r="DL82" s="14"/>
      <c r="DM82" s="96"/>
      <c r="DN82" s="14"/>
      <c r="DO82" s="96"/>
      <c r="DP82" s="22"/>
      <c r="DQ82" s="14"/>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46">
        <f t="shared" ref="FQ82:FQ85" si="332" xml:space="preserve">  -0.73306   +   1.025016   *  FS82     +N("316 NN Nd")</f>
        <v>-1.5211637369933018</v>
      </c>
      <c r="FR82" s="46">
        <f t="shared" ref="FR82:FR85" si="333" xml:space="preserve">  -0.33671   +   1.013871 *  FS82    +N("340 NN")</f>
        <v>-1.1162446842675</v>
      </c>
      <c r="FS82" s="46">
        <f t="shared" ref="FS82:FS85" si="334">-0.42496     +   1.017678*FT82                 + N("361 NN")</f>
        <v>-0.76886969275923667</v>
      </c>
      <c r="FT82" s="46">
        <f xml:space="preserve"> 0.68509  -3.34181 * BP82 + 0.03095*(100*CK82) +N("642 cpx Mg# Wo R2 0.59")</f>
        <v>-0.33793566605472125</v>
      </c>
      <c r="FU82" s="46">
        <f t="shared" ref="FU82:FU85" si="335" xml:space="preserve"> -0.06599 + 0.926002 * FT82  + N("409 NN")</f>
        <v>-0.37891910263800399</v>
      </c>
      <c r="FV82" s="46">
        <f t="shared" ref="FV82:FV85" si="336">0.1453     +   0.925549*FT82     +N("424 LnD Sm")</f>
        <v>-0.16747601778128116</v>
      </c>
      <c r="FW82" s="46">
        <f t="shared" ref="FW82:FW85" si="337" xml:space="preserve">  0.053547 + 0.932974 * FV82  +  N("445 NN")</f>
        <v>-0.102703770213473</v>
      </c>
      <c r="FX82" s="46">
        <f t="shared" ref="FX82:FX85" si="338" xml:space="preserve">  0.027177  +  0.867603 * FV82 + N("464 NN Gd")</f>
        <v>-0.11812569545509288</v>
      </c>
      <c r="FY82" s="46">
        <f t="shared" ref="FY82:FY85" si="339" xml:space="preserve">  -0.06187  +  0.953618 * FX82   + N("505 NN Dy")</f>
        <v>-0.17451678944849477</v>
      </c>
      <c r="FZ82" s="46">
        <f t="shared" ref="FZ82:FZ85" si="340" xml:space="preserve"> -0.05652 + 0.972005*FY82   +N("533 NN")</f>
        <v>-0.22615119192788419</v>
      </c>
      <c r="GA82" s="46">
        <f t="shared" ref="GA82:GA85" si="341" xml:space="preserve">     0.018586 + 0.960264 * FZ82    +N("549 LnD Er")</f>
        <v>-0.1985788481654378</v>
      </c>
      <c r="GB82" s="46">
        <f t="shared" ref="GB82:GB85" si="342" xml:space="preserve"> -0.02011 + 0.936315 * FZ82    +N("574 NN Er")</f>
        <v>-0.23185875326995686</v>
      </c>
      <c r="GC82" s="46">
        <f t="shared" ref="GC82:GC85" si="343" xml:space="preserve">   0.01732 + 1.006083 * GB82  +N("597 NN Yb")</f>
        <v>-0.21594915006609802</v>
      </c>
      <c r="GD82" s="46">
        <f>(-1.72947 +0 ) * (3.46258+0) * BQ82   - (1.87473 + 0) *BP82   + (0.03253+0) * (CK82*100)    +N("eqn625 aliv mg# wo")</f>
        <v>4.9244712208291741E-2</v>
      </c>
      <c r="GE82" s="46"/>
      <c r="GF82" s="46"/>
      <c r="GG82" s="46"/>
      <c r="GH82" s="46"/>
    </row>
    <row r="83" spans="1:190" x14ac:dyDescent="0.25">
      <c r="A83" s="5" t="s">
        <v>84</v>
      </c>
      <c r="B83" s="1">
        <v>211</v>
      </c>
      <c r="C83" s="98" t="s">
        <v>97</v>
      </c>
      <c r="D83" s="98" t="s">
        <v>104</v>
      </c>
      <c r="E83" s="1">
        <v>43</v>
      </c>
      <c r="F83" s="22">
        <v>52.56</v>
      </c>
      <c r="G83" s="22">
        <v>2.3E-2</v>
      </c>
      <c r="H83" s="22">
        <v>0.53600000000000003</v>
      </c>
      <c r="I83" s="22">
        <v>0.01</v>
      </c>
      <c r="J83" s="22">
        <v>10.58</v>
      </c>
      <c r="K83" s="22">
        <v>0.128</v>
      </c>
      <c r="L83" s="22">
        <v>11.95</v>
      </c>
      <c r="M83" s="22">
        <v>23.09</v>
      </c>
      <c r="N83" s="22">
        <v>0.88600000000000001</v>
      </c>
      <c r="O83" s="22">
        <v>8.0000000000000002E-3</v>
      </c>
      <c r="P83" s="22">
        <v>0</v>
      </c>
      <c r="Q83" s="22"/>
      <c r="R83" s="22"/>
      <c r="S83" s="22">
        <f t="shared" si="244"/>
        <v>99.771000000000001</v>
      </c>
      <c r="T83" s="3"/>
      <c r="U83" s="22">
        <f t="shared" si="245"/>
        <v>7.7266350803894621</v>
      </c>
      <c r="V83" s="22">
        <f t="shared" si="246"/>
        <v>3.1709444351631895</v>
      </c>
      <c r="W83" s="22">
        <f t="shared" si="247"/>
        <v>100.08857951555265</v>
      </c>
      <c r="X83" s="1"/>
      <c r="Y83" s="1"/>
      <c r="Z83" s="1"/>
      <c r="AA83" s="1" t="s">
        <v>185</v>
      </c>
      <c r="AC83" s="1">
        <v>6</v>
      </c>
      <c r="AD83" s="1">
        <v>4</v>
      </c>
      <c r="AE83" s="1"/>
      <c r="AF83" s="26">
        <f t="shared" si="248"/>
        <v>1.9898364137507822</v>
      </c>
      <c r="AG83" s="26">
        <f t="shared" si="249"/>
        <v>6.5491015013230001E-4</v>
      </c>
      <c r="AH83" s="26">
        <f t="shared" si="250"/>
        <v>2.391425743839572E-2</v>
      </c>
      <c r="AI83" s="26">
        <f t="shared" si="251"/>
        <v>2.9930014155718547E-4</v>
      </c>
      <c r="AJ83" s="26">
        <f t="shared" si="252"/>
        <v>0.3349275224019671</v>
      </c>
      <c r="AK83" s="26">
        <f t="shared" si="253"/>
        <v>4.104031893117711E-3</v>
      </c>
      <c r="AL83" s="26">
        <f t="shared" si="254"/>
        <v>0.67445782972401458</v>
      </c>
      <c r="AM83" s="26">
        <f t="shared" si="255"/>
        <v>0.9365001893881395</v>
      </c>
      <c r="AN83" s="26">
        <f t="shared" si="256"/>
        <v>6.502855254039222E-2</v>
      </c>
      <c r="AO83" s="26">
        <f t="shared" si="257"/>
        <v>3.8633230161593744E-4</v>
      </c>
      <c r="AP83" s="26">
        <f t="shared" si="258"/>
        <v>0</v>
      </c>
      <c r="AQ83" s="26">
        <f t="shared" si="259"/>
        <v>0</v>
      </c>
      <c r="AR83" s="26">
        <f t="shared" si="260"/>
        <v>0</v>
      </c>
      <c r="AS83" s="26">
        <f t="shared" si="261"/>
        <v>4.0301093397301146</v>
      </c>
      <c r="AT83" s="26">
        <f t="shared" si="262"/>
        <v>2.0137506711891779</v>
      </c>
      <c r="AU83" s="26">
        <f t="shared" si="263"/>
        <v>1.0019150742301477</v>
      </c>
      <c r="AV83" s="47"/>
      <c r="AW83" s="26">
        <f t="shared" si="264"/>
        <v>1.9749701519354173</v>
      </c>
      <c r="AX83" s="26">
        <f t="shared" si="265"/>
        <v>6.5001725256035622E-4</v>
      </c>
      <c r="AY83" s="26">
        <f t="shared" si="266"/>
        <v>2.3735591689923917E-2</v>
      </c>
      <c r="AZ83" s="26">
        <f t="shared" si="267"/>
        <v>2.9706404102398753E-4</v>
      </c>
      <c r="BA83" s="26">
        <f t="shared" si="268"/>
        <v>0.24277207647969445</v>
      </c>
      <c r="BB83" s="26">
        <f t="shared" si="269"/>
        <v>8.9653169753844519E-2</v>
      </c>
      <c r="BC83" s="26">
        <f t="shared" si="270"/>
        <v>4.0733702707853054E-3</v>
      </c>
      <c r="BD83" s="26">
        <f t="shared" si="271"/>
        <v>0.66941888953234319</v>
      </c>
      <c r="BE83" s="26">
        <f t="shared" si="272"/>
        <v>0.92950350518366276</v>
      </c>
      <c r="BF83" s="26">
        <f t="shared" si="273"/>
        <v>6.4542717885413006E-2</v>
      </c>
      <c r="BG83" s="26">
        <f t="shared" si="274"/>
        <v>3.834459753310902E-4</v>
      </c>
      <c r="BH83" s="26">
        <f t="shared" si="275"/>
        <v>0</v>
      </c>
      <c r="BI83" s="26">
        <f t="shared" si="276"/>
        <v>0</v>
      </c>
      <c r="BJ83" s="26">
        <f t="shared" si="277"/>
        <v>0</v>
      </c>
      <c r="BK83" s="25">
        <f t="shared" si="278"/>
        <v>4</v>
      </c>
      <c r="BL83" s="24">
        <f t="shared" si="279"/>
        <v>6.0000000000000009</v>
      </c>
      <c r="BM83" s="26">
        <f t="shared" si="280"/>
        <v>1.9987057436253413</v>
      </c>
      <c r="BN83" s="26">
        <f t="shared" si="281"/>
        <v>0.99442966904440688</v>
      </c>
      <c r="BO83" s="22"/>
      <c r="BP83" s="23">
        <f t="shared" si="282"/>
        <v>0.66818666260953952</v>
      </c>
      <c r="BQ83" s="26">
        <f t="shared" si="283"/>
        <v>2.5029848064582749E-2</v>
      </c>
      <c r="BR83" s="26">
        <f t="shared" si="284"/>
        <v>0</v>
      </c>
      <c r="BS83" s="26"/>
      <c r="BT83" s="26">
        <f t="shared" si="285"/>
        <v>0</v>
      </c>
      <c r="BU83" s="26">
        <f t="shared" si="286"/>
        <v>0</v>
      </c>
      <c r="BV83" s="26">
        <f t="shared" si="287"/>
        <v>0</v>
      </c>
      <c r="BW83" s="26">
        <f t="shared" si="288"/>
        <v>1.4965007077859274E-4</v>
      </c>
      <c r="BX83" s="26">
        <f t="shared" si="289"/>
        <v>0.9363505393173609</v>
      </c>
      <c r="BY83" s="26">
        <f t="shared" si="290"/>
        <v>3.6517406404310393E-2</v>
      </c>
      <c r="BZ83" s="26">
        <f t="shared" si="291"/>
        <v>0.97301759579244984</v>
      </c>
      <c r="CA83" s="22"/>
      <c r="CB83" s="22">
        <f t="shared" si="292"/>
        <v>6.4542717885413006E-2</v>
      </c>
      <c r="CC83" s="22">
        <f t="shared" si="293"/>
        <v>0</v>
      </c>
      <c r="CD83" s="22">
        <f t="shared" si="294"/>
        <v>2.5110451868431513E-2</v>
      </c>
      <c r="CE83" s="22">
        <f t="shared" si="295"/>
        <v>2.9706404102398753E-4</v>
      </c>
      <c r="CF83" s="22">
        <f t="shared" si="296"/>
        <v>0</v>
      </c>
      <c r="CG83" s="22">
        <f t="shared" si="297"/>
        <v>0.48431935357981015</v>
      </c>
      <c r="CH83" s="22">
        <f t="shared" si="298"/>
        <v>0.37843651005349788</v>
      </c>
      <c r="CI83" s="22">
        <f t="shared" si="299"/>
        <v>0.137244136366692</v>
      </c>
      <c r="CJ83" s="22"/>
      <c r="CK83" s="22">
        <f t="shared" si="300"/>
        <v>0.48025907530971151</v>
      </c>
      <c r="CL83" s="22">
        <f t="shared" si="301"/>
        <v>0.34587765951257193</v>
      </c>
      <c r="CM83" s="22">
        <f t="shared" si="302"/>
        <v>0.17386326517771636</v>
      </c>
      <c r="CN83" s="1"/>
      <c r="CO83" s="26">
        <f t="shared" si="303"/>
        <v>0.87483355525965389</v>
      </c>
      <c r="CP83" s="26">
        <f t="shared" si="304"/>
        <v>2.8793189784677019E-4</v>
      </c>
      <c r="CQ83" s="26">
        <f t="shared" si="305"/>
        <v>1.0513927030207926E-2</v>
      </c>
      <c r="CR83" s="26">
        <f t="shared" si="306"/>
        <v>1.3158760444766102E-4</v>
      </c>
      <c r="CS83" s="26">
        <f t="shared" si="307"/>
        <v>0.14725121781489214</v>
      </c>
      <c r="CT83" s="26">
        <f t="shared" si="308"/>
        <v>1.804341697208909E-3</v>
      </c>
      <c r="CU83" s="26">
        <f t="shared" si="309"/>
        <v>0.29652605459057074</v>
      </c>
      <c r="CV83" s="26">
        <f t="shared" si="310"/>
        <v>0.41173323823109842</v>
      </c>
      <c r="CW83" s="26">
        <f t="shared" si="311"/>
        <v>2.8589867699257827E-2</v>
      </c>
      <c r="CX83" s="26">
        <f t="shared" si="312"/>
        <v>1.6985138004246286E-4</v>
      </c>
      <c r="CY83" s="26">
        <f t="shared" si="313"/>
        <v>0</v>
      </c>
      <c r="CZ83" s="26">
        <f t="shared" si="314"/>
        <v>0</v>
      </c>
      <c r="DA83" s="26">
        <f t="shared" si="315"/>
        <v>0</v>
      </c>
      <c r="DB83" s="26">
        <f t="shared" si="316"/>
        <v>1.7718415732052268</v>
      </c>
      <c r="DC83" s="26">
        <f t="shared" si="317"/>
        <v>2.6379059581404047</v>
      </c>
      <c r="DD83" s="26">
        <f t="shared" si="318"/>
        <v>2.2575381797617933</v>
      </c>
      <c r="DE83" s="26">
        <f t="shared" si="319"/>
        <v>5.9551734151230784</v>
      </c>
      <c r="DF83" s="1"/>
      <c r="DG83" s="22"/>
      <c r="DH83" s="14"/>
      <c r="DI83" s="14"/>
      <c r="DJ83" s="14"/>
      <c r="DK83" s="14"/>
      <c r="DL83" s="14"/>
      <c r="DM83" s="96"/>
      <c r="DN83" s="14"/>
      <c r="DO83" s="96"/>
      <c r="DP83" s="22"/>
      <c r="DQ83" s="14"/>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46">
        <f t="shared" si="332"/>
        <v>-1.2327630296775203</v>
      </c>
      <c r="FR83" s="46">
        <f t="shared" si="333"/>
        <v>-0.83097975813272873</v>
      </c>
      <c r="FS83" s="46">
        <f t="shared" si="334"/>
        <v>-0.48750754103108651</v>
      </c>
      <c r="FT83" s="46">
        <f xml:space="preserve"> 0.68509  -3.34181 * BP83 + 0.03095*(100*CK83) +N("642 cpx Mg# Wo R2 0.59")</f>
        <v>-6.1461032891628298E-2</v>
      </c>
      <c r="FU83" s="46">
        <f t="shared" si="335"/>
        <v>-0.12290303937971359</v>
      </c>
      <c r="FV83" s="46">
        <f t="shared" si="336"/>
        <v>8.8414802468186338E-2</v>
      </c>
      <c r="FW83" s="46">
        <f t="shared" si="337"/>
        <v>0.13603571191795366</v>
      </c>
      <c r="FX83" s="46">
        <f t="shared" si="338"/>
        <v>0.10388594786580588</v>
      </c>
      <c r="FY83" s="46">
        <f t="shared" si="339"/>
        <v>3.7197509831894064E-2</v>
      </c>
      <c r="FZ83" s="46">
        <f t="shared" si="340"/>
        <v>-2.0363834455849814E-2</v>
      </c>
      <c r="GA83" s="46">
        <f t="shared" si="341"/>
        <v>-9.686571299121656E-4</v>
      </c>
      <c r="GB83" s="46">
        <f t="shared" si="342"/>
        <v>-3.9176963658529018E-2</v>
      </c>
      <c r="GC83" s="46">
        <f t="shared" si="343"/>
        <v>-2.2095277128463851E-2</v>
      </c>
      <c r="GD83" s="46">
        <f>(-1.72947 +0 ) * (3.46258+0) * BQ83   - (1.87473 + 0) *BP83   + (0.03253+0) * (CK83*100)    +N("eqn625 aliv mg# wo")</f>
        <v>0.15972374118087407</v>
      </c>
      <c r="GE83" s="46"/>
      <c r="GF83" s="46"/>
      <c r="GG83" s="46"/>
      <c r="GH83" s="46"/>
    </row>
    <row r="84" spans="1:190" x14ac:dyDescent="0.25">
      <c r="A84" s="5" t="s">
        <v>84</v>
      </c>
      <c r="B84" s="1">
        <v>212</v>
      </c>
      <c r="C84" s="98" t="s">
        <v>97</v>
      </c>
      <c r="D84" s="98" t="s">
        <v>104</v>
      </c>
      <c r="E84" s="1">
        <v>44</v>
      </c>
      <c r="F84" s="22">
        <v>53.24</v>
      </c>
      <c r="G84" s="22">
        <v>0</v>
      </c>
      <c r="H84" s="22">
        <v>0.42399999999999999</v>
      </c>
      <c r="I84" s="22">
        <v>2.3E-2</v>
      </c>
      <c r="J84" s="22">
        <v>9.6300000000000008</v>
      </c>
      <c r="K84" s="22">
        <v>0.1</v>
      </c>
      <c r="L84" s="22">
        <v>12.54</v>
      </c>
      <c r="M84" s="22">
        <v>22.18</v>
      </c>
      <c r="N84" s="22">
        <v>1.288</v>
      </c>
      <c r="O84" s="22">
        <v>0</v>
      </c>
      <c r="P84" s="22">
        <v>0</v>
      </c>
      <c r="Q84" s="22"/>
      <c r="R84" s="22"/>
      <c r="S84" s="22">
        <f t="shared" si="244"/>
        <v>99.424999999999997</v>
      </c>
      <c r="T84" s="3"/>
      <c r="U84" s="22">
        <f t="shared" si="245"/>
        <v>6.8218625482332298</v>
      </c>
      <c r="V84" s="22">
        <f t="shared" si="246"/>
        <v>3.1206831501484116</v>
      </c>
      <c r="W84" s="22">
        <f t="shared" si="247"/>
        <v>99.737545698381638</v>
      </c>
      <c r="X84" s="1"/>
      <c r="Y84" s="1"/>
      <c r="Z84" s="1"/>
      <c r="AA84" s="1" t="s">
        <v>185</v>
      </c>
      <c r="AC84" s="1">
        <v>6</v>
      </c>
      <c r="AD84" s="1">
        <v>4</v>
      </c>
      <c r="AE84" s="1"/>
      <c r="AF84" s="26">
        <f t="shared" si="248"/>
        <v>2.0078016700821339</v>
      </c>
      <c r="AG84" s="26">
        <f t="shared" si="249"/>
        <v>0</v>
      </c>
      <c r="AH84" s="26">
        <f t="shared" si="250"/>
        <v>1.8844243775987146E-2</v>
      </c>
      <c r="AI84" s="26">
        <f t="shared" si="251"/>
        <v>6.8573371873695645E-4</v>
      </c>
      <c r="AJ84" s="26">
        <f t="shared" si="252"/>
        <v>0.30367721157644045</v>
      </c>
      <c r="AK84" s="26">
        <f t="shared" si="253"/>
        <v>3.1939013958774114E-3</v>
      </c>
      <c r="AL84" s="26">
        <f t="shared" si="254"/>
        <v>0.70502607379534388</v>
      </c>
      <c r="AM84" s="26">
        <f t="shared" si="255"/>
        <v>0.8961201134490363</v>
      </c>
      <c r="AN84" s="26">
        <f t="shared" si="256"/>
        <v>9.416878675389613E-2</v>
      </c>
      <c r="AO84" s="26">
        <f t="shared" si="257"/>
        <v>0</v>
      </c>
      <c r="AP84" s="26">
        <f t="shared" si="258"/>
        <v>0</v>
      </c>
      <c r="AQ84" s="26">
        <f t="shared" si="259"/>
        <v>0</v>
      </c>
      <c r="AR84" s="26">
        <f t="shared" si="260"/>
        <v>0</v>
      </c>
      <c r="AS84" s="26">
        <f t="shared" si="261"/>
        <v>4.0295177345474524</v>
      </c>
      <c r="AT84" s="26">
        <f t="shared" si="262"/>
        <v>2.026645913858121</v>
      </c>
      <c r="AU84" s="26">
        <f t="shared" si="263"/>
        <v>0.99028890020293248</v>
      </c>
      <c r="AV84" s="47"/>
      <c r="AW84" s="26">
        <f t="shared" si="264"/>
        <v>1.9930937668972704</v>
      </c>
      <c r="AX84" s="26">
        <f t="shared" si="265"/>
        <v>0</v>
      </c>
      <c r="AY84" s="26">
        <f t="shared" si="266"/>
        <v>1.8706202595337142E-2</v>
      </c>
      <c r="AZ84" s="26">
        <f t="shared" si="267"/>
        <v>6.807104610636192E-4</v>
      </c>
      <c r="BA84" s="26">
        <f t="shared" si="268"/>
        <v>0.21354814358025703</v>
      </c>
      <c r="BB84" s="26">
        <f t="shared" si="269"/>
        <v>8.7904518084770622E-2</v>
      </c>
      <c r="BC84" s="26">
        <f t="shared" si="270"/>
        <v>3.1705048656261721E-3</v>
      </c>
      <c r="BD84" s="26">
        <f t="shared" si="271"/>
        <v>0.69986149235749595</v>
      </c>
      <c r="BE84" s="26">
        <f t="shared" si="272"/>
        <v>0.88955569622246922</v>
      </c>
      <c r="BF84" s="26">
        <f t="shared" si="273"/>
        <v>9.3478964935710424E-2</v>
      </c>
      <c r="BG84" s="26">
        <f t="shared" si="274"/>
        <v>0</v>
      </c>
      <c r="BH84" s="26">
        <f t="shared" si="275"/>
        <v>0</v>
      </c>
      <c r="BI84" s="26">
        <f t="shared" si="276"/>
        <v>0</v>
      </c>
      <c r="BJ84" s="26">
        <f t="shared" si="277"/>
        <v>0</v>
      </c>
      <c r="BK84" s="25">
        <f t="shared" si="278"/>
        <v>4</v>
      </c>
      <c r="BL84" s="24">
        <f t="shared" si="279"/>
        <v>6.0000000000000027</v>
      </c>
      <c r="BM84" s="26">
        <f t="shared" si="280"/>
        <v>2.0117999694926074</v>
      </c>
      <c r="BN84" s="26">
        <f t="shared" si="281"/>
        <v>0.98303466115817961</v>
      </c>
      <c r="BO84" s="22"/>
      <c r="BP84" s="23">
        <f t="shared" si="282"/>
        <v>0.69894297363717606</v>
      </c>
      <c r="BQ84" s="26">
        <f t="shared" si="283"/>
        <v>6.906233102729642E-3</v>
      </c>
      <c r="BR84" s="26">
        <f t="shared" si="284"/>
        <v>1.17999694926075E-2</v>
      </c>
      <c r="BS84" s="26"/>
      <c r="BT84" s="26">
        <f t="shared" si="285"/>
        <v>1.17999694926075E-2</v>
      </c>
      <c r="BU84" s="26">
        <f t="shared" si="286"/>
        <v>0</v>
      </c>
      <c r="BV84" s="26">
        <f t="shared" si="287"/>
        <v>1.17999694926075E-2</v>
      </c>
      <c r="BW84" s="26">
        <f t="shared" si="288"/>
        <v>3.4286685936847823E-4</v>
      </c>
      <c r="BX84" s="26">
        <f t="shared" si="289"/>
        <v>0.88397727709706031</v>
      </c>
      <c r="BY84" s="26">
        <f t="shared" si="290"/>
        <v>6.236300413736201E-2</v>
      </c>
      <c r="BZ84" s="26">
        <f t="shared" si="291"/>
        <v>0.97028308707900579</v>
      </c>
      <c r="CA84" s="22"/>
      <c r="CB84" s="22">
        <f t="shared" si="292"/>
        <v>8.7904518084770622E-2</v>
      </c>
      <c r="CC84" s="22">
        <f t="shared" si="293"/>
        <v>5.5744468509398015E-3</v>
      </c>
      <c r="CD84" s="22">
        <f t="shared" si="294"/>
        <v>0</v>
      </c>
      <c r="CE84" s="22">
        <f t="shared" si="295"/>
        <v>6.807104610636192E-4</v>
      </c>
      <c r="CF84" s="22">
        <f t="shared" si="296"/>
        <v>6.2255226416676988E-3</v>
      </c>
      <c r="CG84" s="22">
        <f t="shared" si="297"/>
        <v>0.48527699060225427</v>
      </c>
      <c r="CH84" s="22">
        <f t="shared" si="298"/>
        <v>0.39438473094058424</v>
      </c>
      <c r="CI84" s="22">
        <f t="shared" si="299"/>
        <v>0.12033827845716145</v>
      </c>
      <c r="CJ84" s="22"/>
      <c r="CK84" s="22">
        <f t="shared" si="300"/>
        <v>0.46966037118597503</v>
      </c>
      <c r="CL84" s="22">
        <f t="shared" si="301"/>
        <v>0.36950717046185716</v>
      </c>
      <c r="CM84" s="22">
        <f t="shared" si="302"/>
        <v>0.16083245835216783</v>
      </c>
      <c r="CN84" s="1"/>
      <c r="CO84" s="26">
        <f t="shared" si="303"/>
        <v>0.88615179760319585</v>
      </c>
      <c r="CP84" s="26">
        <f t="shared" si="304"/>
        <v>0</v>
      </c>
      <c r="CQ84" s="26">
        <f t="shared" si="305"/>
        <v>8.3169870537465676E-3</v>
      </c>
      <c r="CR84" s="26">
        <f t="shared" si="306"/>
        <v>3.0265149022962033E-4</v>
      </c>
      <c r="CS84" s="26">
        <f t="shared" si="307"/>
        <v>0.13402922755741128</v>
      </c>
      <c r="CT84" s="26">
        <f t="shared" si="308"/>
        <v>1.4096419509444602E-3</v>
      </c>
      <c r="CU84" s="26">
        <f t="shared" si="309"/>
        <v>0.31116625310173696</v>
      </c>
      <c r="CV84" s="26">
        <f t="shared" si="310"/>
        <v>0.3955064194008559</v>
      </c>
      <c r="CW84" s="26">
        <f t="shared" si="311"/>
        <v>4.1561794127137792E-2</v>
      </c>
      <c r="CX84" s="26">
        <f t="shared" si="312"/>
        <v>0</v>
      </c>
      <c r="CY84" s="26">
        <f t="shared" si="313"/>
        <v>0</v>
      </c>
      <c r="CZ84" s="26">
        <f t="shared" si="314"/>
        <v>0</v>
      </c>
      <c r="DA84" s="26">
        <f t="shared" si="315"/>
        <v>0</v>
      </c>
      <c r="DB84" s="26">
        <f t="shared" si="316"/>
        <v>1.7784447722852583</v>
      </c>
      <c r="DC84" s="26">
        <f t="shared" si="317"/>
        <v>2.6481254920968738</v>
      </c>
      <c r="DD84" s="26">
        <f t="shared" si="318"/>
        <v>2.2491561516752063</v>
      </c>
      <c r="DE84" s="26">
        <f t="shared" si="319"/>
        <v>5.9560477409576169</v>
      </c>
      <c r="DF84" s="1"/>
      <c r="DG84" s="22"/>
      <c r="DH84" s="14"/>
      <c r="DI84" s="14"/>
      <c r="DJ84" s="14"/>
      <c r="DK84" s="14"/>
      <c r="DL84" s="14"/>
      <c r="DM84" s="96"/>
      <c r="DN84" s="14"/>
      <c r="DO84" s="96"/>
      <c r="DP84" s="22"/>
      <c r="DQ84" s="14"/>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46">
        <f t="shared" si="332"/>
        <v>-1.3741963814824039</v>
      </c>
      <c r="FR84" s="46">
        <f t="shared" si="333"/>
        <v>-0.9708753049610408</v>
      </c>
      <c r="FS84" s="46">
        <f t="shared" si="334"/>
        <v>-0.62548914503032516</v>
      </c>
      <c r="FT84" s="46">
        <f xml:space="preserve"> 0.68509  -3.34181 * BP84 + 0.03095*(100*CK84) +N("642 cpx Mg# Wo R2 0.59")</f>
        <v>-0.19704576990985867</v>
      </c>
      <c r="FU84" s="46">
        <f t="shared" si="335"/>
        <v>-0.24845477702806895</v>
      </c>
      <c r="FV84" s="46">
        <f t="shared" si="336"/>
        <v>-3.7075515294299755E-2</v>
      </c>
      <c r="FW84" s="46">
        <f t="shared" si="337"/>
        <v>1.8956508193815981E-2</v>
      </c>
      <c r="FX84" s="46">
        <f t="shared" si="338"/>
        <v>-4.9898282958803497E-3</v>
      </c>
      <c r="FY84" s="46">
        <f t="shared" si="339"/>
        <v>-6.6628390079860822E-2</v>
      </c>
      <c r="FZ84" s="46">
        <f t="shared" si="340"/>
        <v>-0.12128312829957512</v>
      </c>
      <c r="GA84" s="46">
        <f t="shared" si="341"/>
        <v>-9.7877821913463198E-2</v>
      </c>
      <c r="GB84" s="46">
        <f t="shared" si="342"/>
        <v>-0.13366921227381667</v>
      </c>
      <c r="GC84" s="46">
        <f t="shared" si="343"/>
        <v>-0.1171623220920783</v>
      </c>
      <c r="GD84" s="46">
        <f>(-1.72947 +0 ) * (3.46258+0) * BQ84   - (1.87473 + 0) *BP84   + (0.03253+0) * (CK84*100)    +N("eqn625 aliv mg# wo")</f>
        <v>0.17611834520785097</v>
      </c>
      <c r="GE84" s="46"/>
      <c r="GF84" s="46"/>
      <c r="GG84" s="46"/>
      <c r="GH84" s="46"/>
    </row>
    <row r="85" spans="1:190" x14ac:dyDescent="0.25">
      <c r="A85" s="5" t="s">
        <v>84</v>
      </c>
      <c r="B85" s="1">
        <v>213</v>
      </c>
      <c r="C85" s="98" t="s">
        <v>97</v>
      </c>
      <c r="D85" s="98" t="s">
        <v>104</v>
      </c>
      <c r="E85" s="1">
        <v>45</v>
      </c>
      <c r="F85" s="22">
        <v>53.33</v>
      </c>
      <c r="G85" s="22">
        <v>0.107</v>
      </c>
      <c r="H85" s="22">
        <v>0.74</v>
      </c>
      <c r="I85" s="22">
        <v>1.2E-2</v>
      </c>
      <c r="J85" s="22">
        <v>9.6300000000000008</v>
      </c>
      <c r="K85" s="22">
        <v>6.0999999999999999E-2</v>
      </c>
      <c r="L85" s="22">
        <v>12.82</v>
      </c>
      <c r="M85" s="22">
        <v>22.17</v>
      </c>
      <c r="N85" s="22">
        <v>1.57</v>
      </c>
      <c r="O85" s="22">
        <v>0.01</v>
      </c>
      <c r="P85" s="22">
        <v>0</v>
      </c>
      <c r="Q85" s="22"/>
      <c r="R85" s="22"/>
      <c r="S85" s="22">
        <f t="shared" si="244"/>
        <v>100.45</v>
      </c>
      <c r="T85" s="3"/>
      <c r="U85" s="22">
        <f t="shared" si="245"/>
        <v>5.2407063396675477</v>
      </c>
      <c r="V85" s="22">
        <f t="shared" si="246"/>
        <v>4.8778220447274547</v>
      </c>
      <c r="W85" s="22">
        <f t="shared" si="247"/>
        <v>100.938528384395</v>
      </c>
      <c r="X85" s="1"/>
      <c r="Y85" s="1"/>
      <c r="Z85" s="1"/>
      <c r="AA85" s="1" t="s">
        <v>185</v>
      </c>
      <c r="AC85" s="1">
        <v>6</v>
      </c>
      <c r="AD85" s="1">
        <v>4</v>
      </c>
      <c r="AE85" s="1"/>
      <c r="AF85" s="26">
        <f t="shared" si="248"/>
        <v>1.9919158059894793</v>
      </c>
      <c r="AG85" s="26">
        <f t="shared" si="249"/>
        <v>3.0059035378850497E-3</v>
      </c>
      <c r="AH85" s="26">
        <f t="shared" si="250"/>
        <v>3.2573258563671804E-2</v>
      </c>
      <c r="AI85" s="26">
        <f t="shared" si="251"/>
        <v>3.543443764776818E-4</v>
      </c>
      <c r="AJ85" s="26">
        <f t="shared" si="252"/>
        <v>0.30076606422495755</v>
      </c>
      <c r="AK85" s="26">
        <f t="shared" si="253"/>
        <v>1.9296030146552338E-3</v>
      </c>
      <c r="AL85" s="26">
        <f t="shared" si="254"/>
        <v>0.71385876636725143</v>
      </c>
      <c r="AM85" s="26">
        <f t="shared" si="255"/>
        <v>0.88712946941964343</v>
      </c>
      <c r="AN85" s="26">
        <f t="shared" si="256"/>
        <v>0.11368610680316675</v>
      </c>
      <c r="AO85" s="26">
        <f t="shared" si="257"/>
        <v>4.7644021391403808E-4</v>
      </c>
      <c r="AP85" s="26">
        <f t="shared" si="258"/>
        <v>0</v>
      </c>
      <c r="AQ85" s="26">
        <f t="shared" si="259"/>
        <v>0</v>
      </c>
      <c r="AR85" s="26">
        <f t="shared" si="260"/>
        <v>0</v>
      </c>
      <c r="AS85" s="26">
        <f t="shared" si="261"/>
        <v>4.0456957625111025</v>
      </c>
      <c r="AT85" s="26">
        <f t="shared" si="262"/>
        <v>2.0244890645531513</v>
      </c>
      <c r="AU85" s="26">
        <f t="shared" si="263"/>
        <v>1.0012920164367243</v>
      </c>
      <c r="AV85" s="47"/>
      <c r="AW85" s="26">
        <f t="shared" si="264"/>
        <v>1.9694172996865462</v>
      </c>
      <c r="AX85" s="26">
        <f t="shared" si="265"/>
        <v>2.9719521331671573E-3</v>
      </c>
      <c r="AY85" s="26">
        <f t="shared" si="266"/>
        <v>3.2205346596259204E-2</v>
      </c>
      <c r="AZ85" s="26">
        <f t="shared" si="267"/>
        <v>3.5034208925067132E-4</v>
      </c>
      <c r="BA85" s="26">
        <f t="shared" si="268"/>
        <v>0.16183003992377054</v>
      </c>
      <c r="BB85" s="26">
        <f t="shared" si="269"/>
        <v>0.1355388991961366</v>
      </c>
      <c r="BC85" s="26">
        <f t="shared" si="270"/>
        <v>1.9078083256142409E-3</v>
      </c>
      <c r="BD85" s="26">
        <f t="shared" si="271"/>
        <v>0.70579579708600737</v>
      </c>
      <c r="BE85" s="26">
        <f t="shared" si="272"/>
        <v>0.87710942344217757</v>
      </c>
      <c r="BF85" s="26">
        <f t="shared" si="273"/>
        <v>0.11240203265566713</v>
      </c>
      <c r="BG85" s="26">
        <f t="shared" si="274"/>
        <v>4.7105886540348141E-4</v>
      </c>
      <c r="BH85" s="26">
        <f t="shared" si="275"/>
        <v>0</v>
      </c>
      <c r="BI85" s="26">
        <f t="shared" si="276"/>
        <v>0</v>
      </c>
      <c r="BJ85" s="26">
        <f t="shared" si="277"/>
        <v>0</v>
      </c>
      <c r="BK85" s="25">
        <f t="shared" si="278"/>
        <v>4.0000000000000009</v>
      </c>
      <c r="BL85" s="24">
        <f t="shared" si="279"/>
        <v>6.0000000000000009</v>
      </c>
      <c r="BM85" s="26">
        <f t="shared" si="280"/>
        <v>2.0016226462828053</v>
      </c>
      <c r="BN85" s="26">
        <f t="shared" si="281"/>
        <v>0.98998251496324818</v>
      </c>
      <c r="BO85" s="22"/>
      <c r="BP85" s="23">
        <f t="shared" si="282"/>
        <v>0.70356918620904585</v>
      </c>
      <c r="BQ85" s="26">
        <f t="shared" si="283"/>
        <v>3.0582700313453781E-2</v>
      </c>
      <c r="BR85" s="26">
        <f t="shared" si="284"/>
        <v>1.6226462828054233E-3</v>
      </c>
      <c r="BS85" s="26"/>
      <c r="BT85" s="26">
        <f t="shared" si="285"/>
        <v>1.6226462828054233E-3</v>
      </c>
      <c r="BU85" s="26">
        <f t="shared" si="286"/>
        <v>0</v>
      </c>
      <c r="BV85" s="26">
        <f t="shared" si="287"/>
        <v>1.6226462828054233E-3</v>
      </c>
      <c r="BW85" s="26">
        <f t="shared" si="288"/>
        <v>1.771721882388409E-4</v>
      </c>
      <c r="BX85" s="26">
        <f t="shared" si="289"/>
        <v>0.88532965094859917</v>
      </c>
      <c r="BY85" s="26">
        <f t="shared" si="290"/>
        <v>6.4647589821804907E-2</v>
      </c>
      <c r="BZ85" s="26">
        <f t="shared" si="291"/>
        <v>0.95339970552425379</v>
      </c>
      <c r="CA85" s="22"/>
      <c r="CB85" s="22">
        <f t="shared" si="292"/>
        <v>0.11240203265566713</v>
      </c>
      <c r="CC85" s="22">
        <f t="shared" si="293"/>
        <v>0</v>
      </c>
      <c r="CD85" s="22">
        <f t="shared" si="294"/>
        <v>2.3136866540469467E-2</v>
      </c>
      <c r="CE85" s="22">
        <f t="shared" si="295"/>
        <v>3.5034208925067132E-4</v>
      </c>
      <c r="CF85" s="22">
        <f t="shared" si="296"/>
        <v>1.6226462828054233E-3</v>
      </c>
      <c r="CG85" s="22">
        <f t="shared" si="297"/>
        <v>0.48220080059265957</v>
      </c>
      <c r="CH85" s="22">
        <f t="shared" si="298"/>
        <v>0.4212190129511803</v>
      </c>
      <c r="CI85" s="22">
        <f t="shared" si="299"/>
        <v>9.6580186456160094E-2</v>
      </c>
      <c r="CJ85" s="22"/>
      <c r="CK85" s="22">
        <f t="shared" si="300"/>
        <v>0.46600670836648383</v>
      </c>
      <c r="CL85" s="22">
        <f t="shared" si="301"/>
        <v>0.37498807718673627</v>
      </c>
      <c r="CM85" s="22">
        <f t="shared" si="302"/>
        <v>0.15900521444677987</v>
      </c>
      <c r="CN85" s="1"/>
      <c r="CO85" s="26">
        <f t="shared" si="303"/>
        <v>0.88764980026631157</v>
      </c>
      <c r="CP85" s="26">
        <f t="shared" si="304"/>
        <v>1.3395092638958438E-3</v>
      </c>
      <c r="CQ85" s="26">
        <f t="shared" si="305"/>
        <v>1.4515496273048255E-2</v>
      </c>
      <c r="CR85" s="26">
        <f t="shared" si="306"/>
        <v>1.5790512533719322E-4</v>
      </c>
      <c r="CS85" s="26">
        <f t="shared" si="307"/>
        <v>0.13402922755741128</v>
      </c>
      <c r="CT85" s="26">
        <f t="shared" si="308"/>
        <v>8.5988159007612073E-4</v>
      </c>
      <c r="CU85" s="26">
        <f t="shared" si="309"/>
        <v>0.31811414392059556</v>
      </c>
      <c r="CV85" s="26">
        <f t="shared" si="310"/>
        <v>0.39532810271041374</v>
      </c>
      <c r="CW85" s="26">
        <f t="shared" si="311"/>
        <v>5.0661503710874481E-2</v>
      </c>
      <c r="CX85" s="26">
        <f t="shared" si="312"/>
        <v>2.1231422505307856E-4</v>
      </c>
      <c r="CY85" s="26">
        <f t="shared" si="313"/>
        <v>0</v>
      </c>
      <c r="CZ85" s="26">
        <f t="shared" si="314"/>
        <v>0</v>
      </c>
      <c r="DA85" s="26">
        <f t="shared" si="315"/>
        <v>0</v>
      </c>
      <c r="DB85" s="26">
        <f t="shared" si="316"/>
        <v>1.8028678846430171</v>
      </c>
      <c r="DC85" s="26">
        <f t="shared" si="317"/>
        <v>2.6737569859044532</v>
      </c>
      <c r="DD85" s="26">
        <f t="shared" si="318"/>
        <v>2.2186872560503974</v>
      </c>
      <c r="DE85" s="26">
        <f t="shared" si="319"/>
        <v>5.9322305504019326</v>
      </c>
      <c r="DF85" s="1"/>
      <c r="DG85" s="22">
        <v>12.808972090438854</v>
      </c>
      <c r="DH85" s="14">
        <v>8303.1231963768878</v>
      </c>
      <c r="DI85" s="14">
        <v>72126.697310477059</v>
      </c>
      <c r="DJ85" s="14">
        <v>2864.0848471840113</v>
      </c>
      <c r="DK85" s="14">
        <v>251086.13186158592</v>
      </c>
      <c r="DL85" s="14">
        <v>162790.55654780974</v>
      </c>
      <c r="DM85" s="96">
        <v>65.29209499927704</v>
      </c>
      <c r="DN85" s="14">
        <v>193.07286793448239</v>
      </c>
      <c r="DO85" s="96">
        <v>288.53091769689235</v>
      </c>
      <c r="DP85" s="22">
        <v>6.8662041883023717</v>
      </c>
      <c r="DQ85" s="14">
        <v>610.13735546806208</v>
      </c>
      <c r="DR85" s="22">
        <v>13.805937556866843</v>
      </c>
      <c r="DS85" s="22">
        <v>13.684290241581184</v>
      </c>
      <c r="DT85" s="22">
        <v>1.3636519954935127</v>
      </c>
      <c r="DU85" s="22">
        <v>24.585067980983951</v>
      </c>
      <c r="DV85" s="22">
        <v>1.1741746053021858</v>
      </c>
      <c r="DW85" s="22">
        <v>6.8783382023915127</v>
      </c>
      <c r="DX85" s="22">
        <v>7.4229784673506298</v>
      </c>
      <c r="DY85" s="22">
        <v>4.6920061359525747</v>
      </c>
      <c r="DZ85" s="22">
        <v>34.415750046138108</v>
      </c>
      <c r="EA85" s="22">
        <v>4.8234187542098489E-2</v>
      </c>
      <c r="EB85" s="22">
        <v>0.14019391876190404</v>
      </c>
      <c r="EC85" s="22">
        <v>2.1795101622100241</v>
      </c>
      <c r="ED85" s="22">
        <v>0.84510115885078652</v>
      </c>
      <c r="EE85" s="22">
        <v>2.30665448040142</v>
      </c>
      <c r="EF85" s="22">
        <v>0.29339814416328297</v>
      </c>
      <c r="EG85" s="22">
        <v>1.2997944470059402</v>
      </c>
      <c r="EH85" s="22">
        <v>0.3893567163017293</v>
      </c>
      <c r="EI85" s="22">
        <v>7.1902387763872491E-2</v>
      </c>
      <c r="EJ85" s="22">
        <v>0.38417193368507113</v>
      </c>
      <c r="EK85" s="22">
        <v>0.14531089874533973</v>
      </c>
      <c r="EL85" s="22">
        <v>0.67419844427731379</v>
      </c>
      <c r="EM85" s="22">
        <v>0.19097608714129224</v>
      </c>
      <c r="EN85" s="22">
        <v>0.58807281684156765</v>
      </c>
      <c r="EO85" s="22">
        <v>0.12517590503342743</v>
      </c>
      <c r="EP85" s="22">
        <v>1.7996330006857808</v>
      </c>
      <c r="EQ85" s="22">
        <v>0.68620187814258837</v>
      </c>
      <c r="ER85" s="22">
        <v>2.563883921783892</v>
      </c>
      <c r="ES85" s="22">
        <v>0</v>
      </c>
      <c r="ET85" s="22">
        <v>0.7034403195183242</v>
      </c>
      <c r="EU85" s="22">
        <v>1.1339221965262596</v>
      </c>
      <c r="EV85" s="22">
        <v>4.2346497589758024E-2</v>
      </c>
      <c r="EW85" s="22">
        <f>(EI85/0.05883)/SQRT((EH85/0.1536)*(EJ85/0.2069))</f>
        <v>0.56335696180054573</v>
      </c>
      <c r="EX85" s="22"/>
      <c r="EY85" s="22"/>
      <c r="EZ85" s="22"/>
      <c r="FA85" s="22"/>
      <c r="FB85" s="22"/>
      <c r="FC85" s="22"/>
      <c r="FD85" s="22"/>
      <c r="FE85" s="22"/>
      <c r="FF85" s="22"/>
      <c r="FG85" s="22"/>
      <c r="FH85" s="22"/>
      <c r="FI85" s="22">
        <f>-0.50354-2.23025*BP85+ N("eqn 18 Mg# R2 0.28 best")</f>
        <v>-2.0726751775427243</v>
      </c>
      <c r="FJ85" s="22"/>
      <c r="FK85" s="22">
        <f xml:space="preserve"> -0.03692  +  0.931085 + FX85   + N("488 NN Dy")</f>
        <v>0.86768021648993598</v>
      </c>
      <c r="FL85" s="22">
        <f>-0.48986  +   0    +   (1.071278 + 0) * GD85  +N("eqn 119 LnD Hf  (which has R2 of 0.51 for TS")</f>
        <v>-0.47510287144396646</v>
      </c>
      <c r="FM85" s="22"/>
      <c r="FN85" s="22"/>
      <c r="FO85" s="22">
        <f>3.94011-11.9214*BP85</f>
        <v>-4.4474196964725197</v>
      </c>
      <c r="FP85" s="22">
        <f xml:space="preserve">  -0.49862 +   1.013256 * FQ85 + N("294 NN")</f>
        <v>-1.9193255527416111</v>
      </c>
      <c r="FQ85" s="46">
        <f t="shared" si="332"/>
        <v>-1.4021190624497768</v>
      </c>
      <c r="FR85" s="46">
        <f t="shared" si="333"/>
        <v>-0.99849438259014245</v>
      </c>
      <c r="FS85" s="46">
        <f t="shared" si="334"/>
        <v>-0.652730359769776</v>
      </c>
      <c r="FT85" s="46">
        <f xml:space="preserve"> 0.68509  -3.34181 * BP85 + 0.03095*(100*CK85) +N("642 cpx Mg# Wo R2 0.59")</f>
        <v>-0.22381377977098449</v>
      </c>
      <c r="FU85" s="46">
        <f t="shared" si="335"/>
        <v>-0.27324200769549117</v>
      </c>
      <c r="FV85" s="46">
        <f t="shared" si="336"/>
        <v>-6.1850620053254896E-2</v>
      </c>
      <c r="FW85" s="46">
        <f t="shared" si="337"/>
        <v>-4.1580203935654356E-3</v>
      </c>
      <c r="FX85" s="46">
        <f t="shared" si="338"/>
        <v>-2.6484783510064107E-2</v>
      </c>
      <c r="FY85" s="46">
        <f t="shared" si="339"/>
        <v>-8.7126366281300313E-2</v>
      </c>
      <c r="FZ85" s="46">
        <f t="shared" si="340"/>
        <v>-0.14120726365725533</v>
      </c>
      <c r="GA85" s="46">
        <f t="shared" si="341"/>
        <v>-0.11701025182857064</v>
      </c>
      <c r="GB85" s="46">
        <f t="shared" si="342"/>
        <v>-0.15232447907124302</v>
      </c>
      <c r="GC85" s="46">
        <f t="shared" si="343"/>
        <v>-0.13593106887743339</v>
      </c>
      <c r="GD85" s="46">
        <f>(-1.72947 +0 ) * (3.46258+0) * BQ85   - (1.87473 + 0) *BP85   + (0.03253+0) * (CK85*100)    +N("eqn625 aliv mg# wo")</f>
        <v>1.3775255868256009E-2</v>
      </c>
      <c r="GE85" s="46"/>
      <c r="GF85" s="46"/>
      <c r="GG85" s="46"/>
      <c r="GH85" s="46"/>
    </row>
    <row r="86" spans="1:190" x14ac:dyDescent="0.25">
      <c r="A86" s="5" t="s">
        <v>84</v>
      </c>
      <c r="B86" s="1">
        <v>214</v>
      </c>
      <c r="C86" s="98" t="s">
        <v>97</v>
      </c>
      <c r="D86" s="98" t="s">
        <v>104</v>
      </c>
      <c r="E86" s="1">
        <v>46</v>
      </c>
      <c r="F86" s="22">
        <v>54.24</v>
      </c>
      <c r="G86" s="22">
        <v>2.5999999999999999E-2</v>
      </c>
      <c r="H86" s="22">
        <v>0.221</v>
      </c>
      <c r="I86" s="22">
        <v>0</v>
      </c>
      <c r="J86" s="22">
        <v>6.05</v>
      </c>
      <c r="K86" s="22">
        <v>7.9000000000000001E-2</v>
      </c>
      <c r="L86" s="22">
        <v>14.96</v>
      </c>
      <c r="M86" s="22">
        <v>23.87</v>
      </c>
      <c r="N86" s="22">
        <v>0.89900000000000002</v>
      </c>
      <c r="O86" s="22">
        <v>0</v>
      </c>
      <c r="P86" s="22">
        <v>0</v>
      </c>
      <c r="Q86" s="22"/>
      <c r="R86" s="22"/>
      <c r="S86" s="22">
        <f t="shared" si="244"/>
        <v>100.345</v>
      </c>
      <c r="T86" s="3"/>
      <c r="U86" s="22">
        <f t="shared" si="245"/>
        <v>3.3864058936349712</v>
      </c>
      <c r="V86" s="22">
        <f t="shared" si="246"/>
        <v>2.9600521304034566</v>
      </c>
      <c r="W86" s="22">
        <f t="shared" si="247"/>
        <v>100.64145802403844</v>
      </c>
      <c r="X86" s="1"/>
      <c r="Y86" s="1"/>
      <c r="Z86" s="1"/>
      <c r="AA86" s="1" t="s">
        <v>185</v>
      </c>
      <c r="AC86" s="1">
        <v>6</v>
      </c>
      <c r="AD86" s="1">
        <v>4</v>
      </c>
      <c r="AE86" s="1"/>
      <c r="AF86" s="26">
        <f t="shared" si="248"/>
        <v>1.9992348392294739</v>
      </c>
      <c r="AG86" s="26">
        <f t="shared" si="249"/>
        <v>7.2079098498032269E-4</v>
      </c>
      <c r="AH86" s="26">
        <f t="shared" si="250"/>
        <v>9.5998953115327499E-3</v>
      </c>
      <c r="AI86" s="26">
        <f t="shared" si="251"/>
        <v>0</v>
      </c>
      <c r="AJ86" s="26">
        <f t="shared" si="252"/>
        <v>0.18646728894351505</v>
      </c>
      <c r="AK86" s="26">
        <f t="shared" si="253"/>
        <v>2.4660959025709843E-3</v>
      </c>
      <c r="AL86" s="26">
        <f t="shared" si="254"/>
        <v>0.82205448258084912</v>
      </c>
      <c r="AM86" s="26">
        <f t="shared" si="255"/>
        <v>0.94258053825650634</v>
      </c>
      <c r="AN86" s="26">
        <f t="shared" si="256"/>
        <v>6.4240981840699402E-2</v>
      </c>
      <c r="AO86" s="26">
        <f t="shared" si="257"/>
        <v>0</v>
      </c>
      <c r="AP86" s="26">
        <f t="shared" si="258"/>
        <v>0</v>
      </c>
      <c r="AQ86" s="26">
        <f t="shared" si="259"/>
        <v>0</v>
      </c>
      <c r="AR86" s="26">
        <f t="shared" si="260"/>
        <v>0</v>
      </c>
      <c r="AS86" s="26">
        <f t="shared" si="261"/>
        <v>4.0273649130501274</v>
      </c>
      <c r="AT86" s="26">
        <f t="shared" si="262"/>
        <v>2.0088347345410065</v>
      </c>
      <c r="AU86" s="26">
        <f t="shared" si="263"/>
        <v>1.0068215200972057</v>
      </c>
      <c r="AV86" s="47"/>
      <c r="AW86" s="26">
        <f t="shared" si="264"/>
        <v>1.9856505505634472</v>
      </c>
      <c r="AX86" s="26">
        <f t="shared" si="265"/>
        <v>7.1589339485448429E-4</v>
      </c>
      <c r="AY86" s="26">
        <f t="shared" si="266"/>
        <v>9.534666481724163E-3</v>
      </c>
      <c r="AZ86" s="26">
        <f t="shared" si="267"/>
        <v>0</v>
      </c>
      <c r="BA86" s="26">
        <f t="shared" si="268"/>
        <v>0.10366336505036128</v>
      </c>
      <c r="BB86" s="26">
        <f t="shared" si="269"/>
        <v>8.1536926424884193E-2</v>
      </c>
      <c r="BC86" s="26">
        <f t="shared" si="270"/>
        <v>2.449339412557264E-3</v>
      </c>
      <c r="BD86" s="26">
        <f t="shared" si="271"/>
        <v>0.81646883292556238</v>
      </c>
      <c r="BE86" s="26">
        <f t="shared" si="272"/>
        <v>0.93617594492339384</v>
      </c>
      <c r="BF86" s="26">
        <f t="shared" si="273"/>
        <v>6.3804480823215451E-2</v>
      </c>
      <c r="BG86" s="26">
        <f t="shared" si="274"/>
        <v>0</v>
      </c>
      <c r="BH86" s="26">
        <f t="shared" si="275"/>
        <v>0</v>
      </c>
      <c r="BI86" s="26">
        <f t="shared" si="276"/>
        <v>0</v>
      </c>
      <c r="BJ86" s="26">
        <f t="shared" si="277"/>
        <v>0</v>
      </c>
      <c r="BK86" s="25">
        <f t="shared" si="278"/>
        <v>4</v>
      </c>
      <c r="BL86" s="24">
        <f t="shared" si="279"/>
        <v>5.9999999999999991</v>
      </c>
      <c r="BM86" s="26">
        <f t="shared" si="280"/>
        <v>1.9951852170451714</v>
      </c>
      <c r="BN86" s="26">
        <f t="shared" si="281"/>
        <v>0.99998042574660928</v>
      </c>
      <c r="BO86" s="22"/>
      <c r="BP86" s="23">
        <f t="shared" si="282"/>
        <v>0.8151083157464486</v>
      </c>
      <c r="BQ86" s="26">
        <f t="shared" si="283"/>
        <v>1.4349449436552808E-2</v>
      </c>
      <c r="BR86" s="26">
        <f t="shared" si="284"/>
        <v>0</v>
      </c>
      <c r="BS86" s="26"/>
      <c r="BT86" s="26">
        <f t="shared" si="285"/>
        <v>0</v>
      </c>
      <c r="BU86" s="26">
        <f t="shared" si="286"/>
        <v>0</v>
      </c>
      <c r="BV86" s="26">
        <f t="shared" si="287"/>
        <v>0</v>
      </c>
      <c r="BW86" s="26">
        <f t="shared" si="288"/>
        <v>0</v>
      </c>
      <c r="BX86" s="26">
        <f t="shared" si="289"/>
        <v>0.94258053825650634</v>
      </c>
      <c r="BY86" s="26">
        <f t="shared" si="290"/>
        <v>3.2970616633928918E-2</v>
      </c>
      <c r="BZ86" s="26">
        <f t="shared" si="291"/>
        <v>0.9755511548904352</v>
      </c>
      <c r="CA86" s="22"/>
      <c r="CB86" s="22">
        <f t="shared" si="292"/>
        <v>6.3804480823215451E-2</v>
      </c>
      <c r="CC86" s="22">
        <f t="shared" si="293"/>
        <v>0</v>
      </c>
      <c r="CD86" s="22">
        <f t="shared" si="294"/>
        <v>1.7732445601668742E-2</v>
      </c>
      <c r="CE86" s="22">
        <f t="shared" si="295"/>
        <v>0</v>
      </c>
      <c r="CF86" s="22">
        <f t="shared" si="296"/>
        <v>0</v>
      </c>
      <c r="CG86" s="22">
        <f t="shared" si="297"/>
        <v>0.49112399007247026</v>
      </c>
      <c r="CH86" s="22">
        <f t="shared" si="298"/>
        <v>0.45154533538040442</v>
      </c>
      <c r="CI86" s="22">
        <f t="shared" si="299"/>
        <v>5.733067454712535E-2</v>
      </c>
      <c r="CJ86" s="22"/>
      <c r="CK86" s="22">
        <f t="shared" si="300"/>
        <v>0.48249169853192386</v>
      </c>
      <c r="CL86" s="22">
        <f t="shared" si="301"/>
        <v>0.4207963643296429</v>
      </c>
      <c r="CM86" s="22">
        <f t="shared" si="302"/>
        <v>9.6711937138433138E-2</v>
      </c>
      <c r="CN86" s="1"/>
      <c r="CO86" s="26">
        <f t="shared" si="303"/>
        <v>0.90279627163781628</v>
      </c>
      <c r="CP86" s="26">
        <f t="shared" si="304"/>
        <v>3.2548823234852277E-4</v>
      </c>
      <c r="CQ86" s="26">
        <f t="shared" si="305"/>
        <v>4.3350333464103573E-3</v>
      </c>
      <c r="CR86" s="26">
        <f t="shared" si="306"/>
        <v>0</v>
      </c>
      <c r="CS86" s="26">
        <f t="shared" si="307"/>
        <v>8.4203201113430756E-2</v>
      </c>
      <c r="CT86" s="26">
        <f t="shared" si="308"/>
        <v>1.1136171412461234E-3</v>
      </c>
      <c r="CU86" s="26">
        <f t="shared" si="309"/>
        <v>0.37121588089330032</v>
      </c>
      <c r="CV86" s="26">
        <f t="shared" si="310"/>
        <v>0.42564194008559203</v>
      </c>
      <c r="CW86" s="26">
        <f t="shared" si="311"/>
        <v>2.9009357857373349E-2</v>
      </c>
      <c r="CX86" s="26">
        <f t="shared" si="312"/>
        <v>0</v>
      </c>
      <c r="CY86" s="26">
        <f t="shared" si="313"/>
        <v>0</v>
      </c>
      <c r="CZ86" s="26">
        <f t="shared" si="314"/>
        <v>0</v>
      </c>
      <c r="DA86" s="26">
        <f t="shared" si="315"/>
        <v>0</v>
      </c>
      <c r="DB86" s="26">
        <f t="shared" si="316"/>
        <v>1.8186407903075177</v>
      </c>
      <c r="DC86" s="26">
        <f t="shared" si="317"/>
        <v>2.7094253879222014</v>
      </c>
      <c r="DD86" s="26">
        <f t="shared" si="318"/>
        <v>2.1994447838837003</v>
      </c>
      <c r="DE86" s="26">
        <f t="shared" si="319"/>
        <v>5.9592315367875575</v>
      </c>
      <c r="DF86" s="1"/>
      <c r="DG86" s="22"/>
      <c r="DH86" s="14"/>
      <c r="DI86" s="14"/>
      <c r="DJ86" s="14"/>
      <c r="DK86" s="14"/>
      <c r="DL86" s="14"/>
      <c r="DM86" s="96"/>
      <c r="DN86" s="14"/>
      <c r="DO86" s="96"/>
      <c r="DP86" s="22"/>
      <c r="DQ86" s="14"/>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46"/>
      <c r="FR86" s="46"/>
      <c r="FS86" s="46"/>
      <c r="FT86" s="46"/>
      <c r="FU86" s="46"/>
      <c r="FV86" s="46"/>
      <c r="FW86" s="46"/>
      <c r="FX86" s="46"/>
      <c r="FY86" s="46"/>
      <c r="FZ86" s="46"/>
      <c r="GA86" s="46"/>
      <c r="GB86" s="46"/>
      <c r="GC86" s="46"/>
      <c r="GD86" s="46"/>
      <c r="GE86" s="46"/>
      <c r="GF86" s="46"/>
      <c r="GG86" s="46"/>
      <c r="GH86" s="46"/>
    </row>
    <row r="87" spans="1:190" x14ac:dyDescent="0.25">
      <c r="A87" s="5" t="s">
        <v>84</v>
      </c>
      <c r="B87" s="1">
        <v>215</v>
      </c>
      <c r="C87" s="98" t="s">
        <v>97</v>
      </c>
      <c r="D87" s="98" t="s">
        <v>104</v>
      </c>
      <c r="E87" s="1">
        <v>47</v>
      </c>
      <c r="F87" s="22">
        <v>52.49</v>
      </c>
      <c r="G87" s="22">
        <v>5.6000000000000001E-2</v>
      </c>
      <c r="H87" s="22">
        <v>0.32800000000000001</v>
      </c>
      <c r="I87" s="22">
        <v>0</v>
      </c>
      <c r="J87" s="22">
        <v>11.42</v>
      </c>
      <c r="K87" s="22">
        <v>0.15</v>
      </c>
      <c r="L87" s="22">
        <v>11.21</v>
      </c>
      <c r="M87" s="22">
        <v>23.37</v>
      </c>
      <c r="N87" s="22">
        <v>0.91600000000000004</v>
      </c>
      <c r="O87" s="22">
        <v>0</v>
      </c>
      <c r="P87" s="22">
        <v>0</v>
      </c>
      <c r="Q87" s="22"/>
      <c r="R87" s="22"/>
      <c r="S87" s="22">
        <f t="shared" si="244"/>
        <v>99.94</v>
      </c>
      <c r="T87" s="3"/>
      <c r="U87" s="22">
        <f t="shared" si="245"/>
        <v>8.496212897055841</v>
      </c>
      <c r="V87" s="22">
        <f t="shared" si="246"/>
        <v>3.2492046075018424</v>
      </c>
      <c r="W87" s="22">
        <f t="shared" si="247"/>
        <v>100.26541750455769</v>
      </c>
      <c r="X87" s="1"/>
      <c r="Y87" s="1"/>
      <c r="Z87" s="1"/>
      <c r="AA87" s="1" t="s">
        <v>185</v>
      </c>
      <c r="AC87" s="1">
        <v>6</v>
      </c>
      <c r="AD87" s="1">
        <v>4</v>
      </c>
      <c r="AE87" s="1"/>
      <c r="AF87" s="26">
        <f t="shared" si="248"/>
        <v>1.9938305891279606</v>
      </c>
      <c r="AG87" s="26">
        <f t="shared" si="249"/>
        <v>1.5998953518173147E-3</v>
      </c>
      <c r="AH87" s="26">
        <f t="shared" si="250"/>
        <v>1.4683027710670435E-2</v>
      </c>
      <c r="AI87" s="26">
        <f t="shared" si="251"/>
        <v>0</v>
      </c>
      <c r="AJ87" s="26">
        <f t="shared" si="252"/>
        <v>0.3627278797172106</v>
      </c>
      <c r="AK87" s="26">
        <f t="shared" si="253"/>
        <v>4.8254928977896471E-3</v>
      </c>
      <c r="AL87" s="26">
        <f t="shared" si="254"/>
        <v>0.63480768002592314</v>
      </c>
      <c r="AM87" s="26">
        <f t="shared" si="255"/>
        <v>0.95102583147576658</v>
      </c>
      <c r="AN87" s="26">
        <f t="shared" si="256"/>
        <v>6.74552107154964E-2</v>
      </c>
      <c r="AO87" s="26">
        <f t="shared" si="257"/>
        <v>0</v>
      </c>
      <c r="AP87" s="26">
        <f t="shared" si="258"/>
        <v>0</v>
      </c>
      <c r="AQ87" s="26">
        <f t="shared" si="259"/>
        <v>0</v>
      </c>
      <c r="AR87" s="26">
        <f t="shared" si="260"/>
        <v>0</v>
      </c>
      <c r="AS87" s="26">
        <f t="shared" si="261"/>
        <v>4.0309556070226344</v>
      </c>
      <c r="AT87" s="26">
        <f t="shared" si="262"/>
        <v>2.0085136168386311</v>
      </c>
      <c r="AU87" s="26">
        <f t="shared" si="263"/>
        <v>1.0184810421912629</v>
      </c>
      <c r="AV87" s="47"/>
      <c r="AW87" s="26">
        <f t="shared" si="264"/>
        <v>1.9785190247735365</v>
      </c>
      <c r="AX87" s="26">
        <f t="shared" si="265"/>
        <v>1.5876090017265536E-3</v>
      </c>
      <c r="AY87" s="26">
        <f t="shared" si="266"/>
        <v>1.4570269823949452E-2</v>
      </c>
      <c r="AZ87" s="26">
        <f t="shared" si="267"/>
        <v>0</v>
      </c>
      <c r="BA87" s="26">
        <f t="shared" si="268"/>
        <v>0.26778866845287147</v>
      </c>
      <c r="BB87" s="26">
        <f t="shared" si="269"/>
        <v>9.2153653000904612E-2</v>
      </c>
      <c r="BC87" s="26">
        <f t="shared" si="270"/>
        <v>4.788435664617877E-3</v>
      </c>
      <c r="BD87" s="26">
        <f t="shared" si="271"/>
        <v>0.62993269280363817</v>
      </c>
      <c r="BE87" s="26">
        <f t="shared" si="272"/>
        <v>0.94372245610337357</v>
      </c>
      <c r="BF87" s="26">
        <f t="shared" si="273"/>
        <v>6.6937190375381497E-2</v>
      </c>
      <c r="BG87" s="26">
        <f t="shared" si="274"/>
        <v>0</v>
      </c>
      <c r="BH87" s="26">
        <f t="shared" si="275"/>
        <v>0</v>
      </c>
      <c r="BI87" s="26">
        <f t="shared" si="276"/>
        <v>0</v>
      </c>
      <c r="BJ87" s="26">
        <f t="shared" si="277"/>
        <v>0</v>
      </c>
      <c r="BK87" s="25">
        <f t="shared" si="278"/>
        <v>3.9999999999999996</v>
      </c>
      <c r="BL87" s="24">
        <f t="shared" si="279"/>
        <v>6</v>
      </c>
      <c r="BM87" s="26">
        <f t="shared" si="280"/>
        <v>1.9930892945974858</v>
      </c>
      <c r="BN87" s="26">
        <f t="shared" si="281"/>
        <v>1.0106596464787552</v>
      </c>
      <c r="BO87" s="22"/>
      <c r="BP87" s="23">
        <f t="shared" si="282"/>
        <v>0.63637599063574901</v>
      </c>
      <c r="BQ87" s="26">
        <f t="shared" si="283"/>
        <v>2.1480975226463528E-2</v>
      </c>
      <c r="BR87" s="26">
        <f t="shared" si="284"/>
        <v>0</v>
      </c>
      <c r="BS87" s="26"/>
      <c r="BT87" s="26">
        <f t="shared" si="285"/>
        <v>0</v>
      </c>
      <c r="BU87" s="26">
        <f t="shared" si="286"/>
        <v>0</v>
      </c>
      <c r="BV87" s="26">
        <f t="shared" si="287"/>
        <v>0</v>
      </c>
      <c r="BW87" s="26">
        <f t="shared" si="288"/>
        <v>0</v>
      </c>
      <c r="BX87" s="26">
        <f t="shared" si="289"/>
        <v>0.95102583147576658</v>
      </c>
      <c r="BY87" s="26">
        <f t="shared" si="290"/>
        <v>2.325486413368355E-2</v>
      </c>
      <c r="BZ87" s="26">
        <f t="shared" si="291"/>
        <v>0.97428069560945008</v>
      </c>
      <c r="CA87" s="22"/>
      <c r="CB87" s="22">
        <f t="shared" si="292"/>
        <v>6.6937190375381497E-2</v>
      </c>
      <c r="CC87" s="22">
        <f t="shared" si="293"/>
        <v>0</v>
      </c>
      <c r="CD87" s="22">
        <f t="shared" si="294"/>
        <v>2.5216462625523114E-2</v>
      </c>
      <c r="CE87" s="22">
        <f t="shared" si="295"/>
        <v>0</v>
      </c>
      <c r="CF87" s="22">
        <f t="shared" si="296"/>
        <v>0</v>
      </c>
      <c r="CG87" s="22">
        <f t="shared" si="297"/>
        <v>0.49272159192661602</v>
      </c>
      <c r="CH87" s="22">
        <f t="shared" si="298"/>
        <v>0.35595817075305497</v>
      </c>
      <c r="CI87" s="22">
        <f t="shared" si="299"/>
        <v>0.15132023732032901</v>
      </c>
      <c r="CJ87" s="22"/>
      <c r="CK87" s="22">
        <f t="shared" si="300"/>
        <v>0.48685994526159365</v>
      </c>
      <c r="CL87" s="22">
        <f t="shared" si="301"/>
        <v>0.32497795761180176</v>
      </c>
      <c r="CM87" s="22">
        <f t="shared" si="302"/>
        <v>0.18816209712660467</v>
      </c>
      <c r="CN87" s="1"/>
      <c r="CO87" s="26">
        <f t="shared" si="303"/>
        <v>0.87366844207723038</v>
      </c>
      <c r="CP87" s="26">
        <f t="shared" si="304"/>
        <v>7.0105157736604913E-4</v>
      </c>
      <c r="CQ87" s="26">
        <f t="shared" si="305"/>
        <v>6.4338956453511191E-3</v>
      </c>
      <c r="CR87" s="26">
        <f t="shared" si="306"/>
        <v>0</v>
      </c>
      <c r="CS87" s="26">
        <f t="shared" si="307"/>
        <v>0.15894224077940156</v>
      </c>
      <c r="CT87" s="26">
        <f t="shared" si="308"/>
        <v>2.11446292641669E-3</v>
      </c>
      <c r="CU87" s="26">
        <f t="shared" si="309"/>
        <v>0.27816377171215884</v>
      </c>
      <c r="CV87" s="26">
        <f t="shared" si="310"/>
        <v>0.41672610556348078</v>
      </c>
      <c r="CW87" s="26">
        <f t="shared" si="311"/>
        <v>2.9557921910293647E-2</v>
      </c>
      <c r="CX87" s="26">
        <f t="shared" si="312"/>
        <v>0</v>
      </c>
      <c r="CY87" s="26">
        <f t="shared" si="313"/>
        <v>0</v>
      </c>
      <c r="CZ87" s="26">
        <f t="shared" si="314"/>
        <v>0</v>
      </c>
      <c r="DA87" s="26">
        <f t="shared" si="315"/>
        <v>0</v>
      </c>
      <c r="DB87" s="26">
        <f t="shared" si="316"/>
        <v>1.766307892191699</v>
      </c>
      <c r="DC87" s="26">
        <f t="shared" si="317"/>
        <v>2.6291153727138243</v>
      </c>
      <c r="DD87" s="26">
        <f t="shared" si="318"/>
        <v>2.2646108403199481</v>
      </c>
      <c r="DE87" s="26">
        <f t="shared" si="319"/>
        <v>5.9539231734995468</v>
      </c>
      <c r="DF87" s="1"/>
      <c r="DG87" s="22"/>
      <c r="DH87" s="14"/>
      <c r="DI87" s="14"/>
      <c r="DJ87" s="14"/>
      <c r="DK87" s="14"/>
      <c r="DL87" s="14"/>
      <c r="DM87" s="96"/>
      <c r="DN87" s="14"/>
      <c r="DO87" s="96"/>
      <c r="DP87" s="22"/>
      <c r="DQ87" s="14"/>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46"/>
      <c r="FR87" s="46"/>
      <c r="FS87" s="46"/>
      <c r="FT87" s="46"/>
      <c r="FU87" s="46"/>
      <c r="FV87" s="46"/>
      <c r="FW87" s="46"/>
      <c r="FX87" s="46"/>
      <c r="FY87" s="46"/>
      <c r="FZ87" s="46"/>
      <c r="GA87" s="46"/>
      <c r="GB87" s="46"/>
      <c r="GC87" s="46"/>
      <c r="GD87" s="46"/>
      <c r="GE87" s="46"/>
      <c r="GF87" s="46"/>
      <c r="GG87" s="46"/>
      <c r="GH87" s="46"/>
    </row>
    <row r="88" spans="1:190" x14ac:dyDescent="0.25">
      <c r="A88" s="5" t="s">
        <v>84</v>
      </c>
      <c r="B88" s="1">
        <v>216</v>
      </c>
      <c r="C88" s="98" t="s">
        <v>97</v>
      </c>
      <c r="D88" s="98" t="s">
        <v>104</v>
      </c>
      <c r="E88" s="1">
        <v>48</v>
      </c>
      <c r="F88" s="22">
        <v>53.13</v>
      </c>
      <c r="G88" s="22">
        <v>6.9000000000000006E-2</v>
      </c>
      <c r="H88" s="22">
        <v>0.27900000000000003</v>
      </c>
      <c r="I88" s="22">
        <v>3.4000000000000002E-2</v>
      </c>
      <c r="J88" s="22">
        <v>7.66</v>
      </c>
      <c r="K88" s="22">
        <v>6.7000000000000004E-2</v>
      </c>
      <c r="L88" s="22">
        <v>13.66</v>
      </c>
      <c r="M88" s="22">
        <v>23.54</v>
      </c>
      <c r="N88" s="22">
        <v>0.82299999999999995</v>
      </c>
      <c r="O88" s="22">
        <v>0</v>
      </c>
      <c r="P88" s="22">
        <v>0</v>
      </c>
      <c r="Q88" s="22"/>
      <c r="R88" s="22"/>
      <c r="S88" s="22">
        <f t="shared" si="244"/>
        <v>99.262000000000015</v>
      </c>
      <c r="T88" s="3"/>
      <c r="U88" s="22">
        <f t="shared" si="245"/>
        <v>5.2027323370448526</v>
      </c>
      <c r="V88" s="22">
        <f t="shared" si="246"/>
        <v>2.7307615538420555</v>
      </c>
      <c r="W88" s="22">
        <f t="shared" si="247"/>
        <v>99.535493890886912</v>
      </c>
      <c r="X88" s="1"/>
      <c r="Y88" s="1"/>
      <c r="Z88" s="1"/>
      <c r="AA88" s="1" t="s">
        <v>185</v>
      </c>
      <c r="AC88" s="1">
        <v>6</v>
      </c>
      <c r="AD88" s="1">
        <v>4</v>
      </c>
      <c r="AE88" s="1"/>
      <c r="AF88" s="26">
        <f t="shared" si="248"/>
        <v>1.9956099558369438</v>
      </c>
      <c r="AG88" s="26">
        <f t="shared" si="249"/>
        <v>1.9492915696057655E-3</v>
      </c>
      <c r="AH88" s="26">
        <f t="shared" si="250"/>
        <v>1.2350090558914917E-2</v>
      </c>
      <c r="AI88" s="26">
        <f t="shared" si="251"/>
        <v>1.0096240045776638E-3</v>
      </c>
      <c r="AJ88" s="26">
        <f t="shared" si="252"/>
        <v>0.24058456830224631</v>
      </c>
      <c r="AK88" s="26">
        <f t="shared" si="253"/>
        <v>2.1313235738851105E-3</v>
      </c>
      <c r="AL88" s="26">
        <f t="shared" si="254"/>
        <v>0.76491191013927529</v>
      </c>
      <c r="AM88" s="26">
        <f t="shared" si="255"/>
        <v>0.94724914848760444</v>
      </c>
      <c r="AN88" s="26">
        <f t="shared" si="256"/>
        <v>5.9929965677300918E-2</v>
      </c>
      <c r="AO88" s="26">
        <f t="shared" si="257"/>
        <v>0</v>
      </c>
      <c r="AP88" s="26">
        <f t="shared" si="258"/>
        <v>0</v>
      </c>
      <c r="AQ88" s="26">
        <f t="shared" si="259"/>
        <v>0</v>
      </c>
      <c r="AR88" s="26">
        <f t="shared" si="260"/>
        <v>0</v>
      </c>
      <c r="AS88" s="26">
        <f t="shared" si="261"/>
        <v>4.0257258781503538</v>
      </c>
      <c r="AT88" s="26">
        <f t="shared" si="262"/>
        <v>2.0079600463958589</v>
      </c>
      <c r="AU88" s="26">
        <f t="shared" si="263"/>
        <v>1.0071791141649054</v>
      </c>
      <c r="AV88" s="47"/>
      <c r="AW88" s="26">
        <f t="shared" si="264"/>
        <v>1.9828572697094218</v>
      </c>
      <c r="AX88" s="26">
        <f t="shared" si="265"/>
        <v>1.9368348751071746E-3</v>
      </c>
      <c r="AY88" s="26">
        <f t="shared" si="266"/>
        <v>1.2271168909880418E-2</v>
      </c>
      <c r="AZ88" s="26">
        <f t="shared" si="267"/>
        <v>1.0031721335597168E-3</v>
      </c>
      <c r="BA88" s="26">
        <f t="shared" si="268"/>
        <v>0.16236270307233419</v>
      </c>
      <c r="BB88" s="26">
        <f t="shared" si="269"/>
        <v>7.6684440806011001E-2</v>
      </c>
      <c r="BC88" s="26">
        <f t="shared" si="270"/>
        <v>2.1177036275151066E-3</v>
      </c>
      <c r="BD88" s="26">
        <f t="shared" si="271"/>
        <v>0.76002383996470124</v>
      </c>
      <c r="BE88" s="26">
        <f t="shared" si="272"/>
        <v>0.94119587588295928</v>
      </c>
      <c r="BF88" s="26">
        <f t="shared" si="273"/>
        <v>5.9546991018510312E-2</v>
      </c>
      <c r="BG88" s="26">
        <f t="shared" si="274"/>
        <v>0</v>
      </c>
      <c r="BH88" s="26">
        <f t="shared" si="275"/>
        <v>0</v>
      </c>
      <c r="BI88" s="26">
        <f t="shared" si="276"/>
        <v>0</v>
      </c>
      <c r="BJ88" s="26">
        <f t="shared" si="277"/>
        <v>0</v>
      </c>
      <c r="BK88" s="25">
        <f t="shared" si="278"/>
        <v>4</v>
      </c>
      <c r="BL88" s="24">
        <f t="shared" si="279"/>
        <v>6</v>
      </c>
      <c r="BM88" s="26">
        <f t="shared" si="280"/>
        <v>1.9951284386193022</v>
      </c>
      <c r="BN88" s="26">
        <f t="shared" si="281"/>
        <v>1.0007428669014695</v>
      </c>
      <c r="BO88" s="22"/>
      <c r="BP88" s="23">
        <f t="shared" si="282"/>
        <v>0.760730570956208</v>
      </c>
      <c r="BQ88" s="26">
        <f t="shared" si="283"/>
        <v>1.7142730290578223E-2</v>
      </c>
      <c r="BR88" s="26">
        <f t="shared" si="284"/>
        <v>0</v>
      </c>
      <c r="BS88" s="26"/>
      <c r="BT88" s="26">
        <f t="shared" si="285"/>
        <v>0</v>
      </c>
      <c r="BU88" s="26">
        <f t="shared" si="286"/>
        <v>0</v>
      </c>
      <c r="BV88" s="26">
        <f t="shared" si="287"/>
        <v>0</v>
      </c>
      <c r="BW88" s="26">
        <f t="shared" si="288"/>
        <v>5.0481200228883188E-4</v>
      </c>
      <c r="BX88" s="26">
        <f t="shared" si="289"/>
        <v>0.94674433648531564</v>
      </c>
      <c r="BY88" s="26">
        <f t="shared" si="290"/>
        <v>2.9376070978103019E-2</v>
      </c>
      <c r="BZ88" s="26">
        <f t="shared" si="291"/>
        <v>0.97662521946570746</v>
      </c>
      <c r="CA88" s="22"/>
      <c r="CB88" s="22">
        <f t="shared" si="292"/>
        <v>5.9546991018510312E-2</v>
      </c>
      <c r="CC88" s="22">
        <f t="shared" si="293"/>
        <v>0</v>
      </c>
      <c r="CD88" s="22">
        <f t="shared" si="294"/>
        <v>1.7137449787500689E-2</v>
      </c>
      <c r="CE88" s="22">
        <f t="shared" si="295"/>
        <v>1.0031721335597168E-3</v>
      </c>
      <c r="CF88" s="22">
        <f t="shared" si="296"/>
        <v>0</v>
      </c>
      <c r="CG88" s="22">
        <f t="shared" si="297"/>
        <v>0.49130112249020458</v>
      </c>
      <c r="CH88" s="22">
        <f t="shared" si="298"/>
        <v>0.41915537167068612</v>
      </c>
      <c r="CI88" s="22">
        <f t="shared" si="299"/>
        <v>8.9543505839109278E-2</v>
      </c>
      <c r="CJ88" s="22"/>
      <c r="CK88" s="22">
        <f t="shared" si="300"/>
        <v>0.48455691712149296</v>
      </c>
      <c r="CL88" s="22">
        <f t="shared" si="301"/>
        <v>0.39128391684318292</v>
      </c>
      <c r="CM88" s="22">
        <f t="shared" si="302"/>
        <v>0.12415916603532409</v>
      </c>
      <c r="CN88" s="1"/>
      <c r="CO88" s="26">
        <f t="shared" si="303"/>
        <v>0.88432090545938757</v>
      </c>
      <c r="CP88" s="26">
        <f t="shared" si="304"/>
        <v>8.6379569354031057E-4</v>
      </c>
      <c r="CQ88" s="26">
        <f t="shared" si="305"/>
        <v>5.4727344056492754E-3</v>
      </c>
      <c r="CR88" s="26">
        <f t="shared" si="306"/>
        <v>4.4739785512204748E-4</v>
      </c>
      <c r="CS88" s="26">
        <f t="shared" si="307"/>
        <v>0.10661099512874044</v>
      </c>
      <c r="CT88" s="26">
        <f t="shared" si="308"/>
        <v>9.4446010713278837E-4</v>
      </c>
      <c r="CU88" s="26">
        <f t="shared" si="309"/>
        <v>0.33895781637717126</v>
      </c>
      <c r="CV88" s="26">
        <f t="shared" si="310"/>
        <v>0.4197574893009986</v>
      </c>
      <c r="CW88" s="26">
        <f t="shared" si="311"/>
        <v>2.6556953856082609E-2</v>
      </c>
      <c r="CX88" s="26">
        <f t="shared" si="312"/>
        <v>0</v>
      </c>
      <c r="CY88" s="26">
        <f t="shared" si="313"/>
        <v>0</v>
      </c>
      <c r="CZ88" s="26">
        <f t="shared" si="314"/>
        <v>0</v>
      </c>
      <c r="DA88" s="26">
        <f t="shared" si="315"/>
        <v>0</v>
      </c>
      <c r="DB88" s="26">
        <f t="shared" si="316"/>
        <v>1.7839325481838249</v>
      </c>
      <c r="DC88" s="26">
        <f t="shared" si="317"/>
        <v>2.6587988385390973</v>
      </c>
      <c r="DD88" s="26">
        <f t="shared" si="318"/>
        <v>2.242237243819726</v>
      </c>
      <c r="DE88" s="26">
        <f t="shared" si="319"/>
        <v>5.9616577795969938</v>
      </c>
      <c r="DF88" s="1"/>
      <c r="DG88" s="22">
        <v>11.210117754507635</v>
      </c>
      <c r="DH88" s="14">
        <v>5883.0127837191221</v>
      </c>
      <c r="DI88" s="14">
        <v>77174.989294256069</v>
      </c>
      <c r="DJ88" s="14">
        <v>2497.3465079822909</v>
      </c>
      <c r="DK88" s="14">
        <v>247308.86290433985</v>
      </c>
      <c r="DL88" s="14">
        <v>164170.15471343344</v>
      </c>
      <c r="DM88" s="96">
        <v>76.25730119988124</v>
      </c>
      <c r="DN88" s="14">
        <v>234.82646329144509</v>
      </c>
      <c r="DO88" s="96">
        <v>356.8727717574863</v>
      </c>
      <c r="DP88" s="22">
        <v>6.4084283786601519</v>
      </c>
      <c r="DQ88" s="14">
        <v>733.27382648318246</v>
      </c>
      <c r="DR88" s="22">
        <v>10.888878446334298</v>
      </c>
      <c r="DS88" s="22">
        <v>19.275261028331531</v>
      </c>
      <c r="DT88" s="22">
        <v>0</v>
      </c>
      <c r="DU88" s="22">
        <v>22.376111426621481</v>
      </c>
      <c r="DV88" s="22">
        <v>0.32254754993378226</v>
      </c>
      <c r="DW88" s="22">
        <v>7.5501568404016073</v>
      </c>
      <c r="DX88" s="22">
        <v>8.3549999558058072</v>
      </c>
      <c r="DY88" s="22">
        <v>7.3288113389845462</v>
      </c>
      <c r="DZ88" s="22">
        <v>35.719085673956499</v>
      </c>
      <c r="EA88" s="22">
        <v>0.11242464815417189</v>
      </c>
      <c r="EB88" s="22">
        <v>0</v>
      </c>
      <c r="EC88" s="22">
        <v>0.8081964948310284</v>
      </c>
      <c r="ED88" s="22">
        <v>1.2184835728887708</v>
      </c>
      <c r="EE88" s="22">
        <v>2.9856320838007062</v>
      </c>
      <c r="EF88" s="22">
        <v>0.444749432296147</v>
      </c>
      <c r="EG88" s="22">
        <v>1.6030669199844154</v>
      </c>
      <c r="EH88" s="22">
        <v>0.83295873705337753</v>
      </c>
      <c r="EI88" s="22">
        <v>9.2901530675587207E-2</v>
      </c>
      <c r="EJ88" s="22">
        <v>0.77412956455968951</v>
      </c>
      <c r="EK88" s="22">
        <v>0.18683533360578353</v>
      </c>
      <c r="EL88" s="22">
        <v>0.90248349052719268</v>
      </c>
      <c r="EM88" s="22">
        <v>0.23662319835973228</v>
      </c>
      <c r="EN88" s="22">
        <v>1.142372167657687</v>
      </c>
      <c r="EO88" s="22">
        <v>0.2534066733193398</v>
      </c>
      <c r="EP88" s="22">
        <v>3.2783189638695469</v>
      </c>
      <c r="EQ88" s="22">
        <v>1.2111719043394771</v>
      </c>
      <c r="ER88" s="22">
        <v>1.9415036155657808</v>
      </c>
      <c r="ES88" s="22">
        <v>0</v>
      </c>
      <c r="ET88" s="22">
        <v>0.12538257180908627</v>
      </c>
      <c r="EU88" s="22">
        <v>0.79097676296827513</v>
      </c>
      <c r="EV88" s="22">
        <v>4.8301565051639163E-2</v>
      </c>
      <c r="EW88" s="22">
        <f>(EI88/0.05883)/SQRT((EH88/0.1536)*(EJ88/0.2069))</f>
        <v>0.35057529128675985</v>
      </c>
      <c r="EX88" s="22"/>
      <c r="EY88" s="22"/>
      <c r="EZ88" s="22"/>
      <c r="FA88" s="22"/>
      <c r="FB88" s="22"/>
      <c r="FC88" s="22"/>
      <c r="FD88" s="22"/>
      <c r="FE88" s="22"/>
      <c r="FF88" s="22"/>
      <c r="FG88" s="22"/>
      <c r="FH88" s="22"/>
      <c r="FI88" s="22">
        <f>-0.50354-2.23025*BP88+ N("eqn 18 Mg# R2 0.28 best")</f>
        <v>-2.2001593558750829</v>
      </c>
      <c r="FJ88" s="22"/>
      <c r="FK88" s="22">
        <f xml:space="preserve"> -0.03692  +  0.931085 + FX88   + N("488 NN Dy")</f>
        <v>0.76039050048075929</v>
      </c>
      <c r="FL88" s="22">
        <f>-0.48986  +   0    +   (1.071278 + 0) * GD88  +N("eqn 119 LnD Hf  (which has R2 of 0.51 for TS")</f>
        <v>-0.43903726680818328</v>
      </c>
      <c r="FM88" s="22"/>
      <c r="FN88" s="22"/>
      <c r="FO88" s="22">
        <f>3.94011-11.9214*BP88</f>
        <v>-5.1288634285973389</v>
      </c>
      <c r="FP88" s="22">
        <f xml:space="preserve">  -0.49862 +   1.013256 * FQ88 + N("294 NN")</f>
        <v>-2.0605460867985399</v>
      </c>
      <c r="FQ88" s="46">
        <f t="shared" ref="FQ88:FQ89" si="344" xml:space="preserve">  -0.73306   +   1.025016   *  FS88     +N("316 NN Nd")</f>
        <v>-1.5414920679458499</v>
      </c>
      <c r="FR88" s="46">
        <f t="shared" ref="FR88:FR89" si="345" xml:space="preserve">  -0.33671   +   1.013871 *  FS88    +N("340 NN")</f>
        <v>-1.1363519852571344</v>
      </c>
      <c r="FS88" s="46">
        <f t="shared" ref="FS88:FS89" si="346">-0.42496     +   1.017678*FT88                 + N("361 NN")</f>
        <v>-0.78870190118578631</v>
      </c>
      <c r="FT88" s="46">
        <f xml:space="preserve"> 0.68509  -3.34181 * BP88 + 0.03095*(100*CK88) +N("642 cpx Mg# Wo R2 0.59")</f>
        <v>-0.35742337083614495</v>
      </c>
      <c r="FU88" s="46">
        <f t="shared" ref="FU88:FU89" si="347" xml:space="preserve"> -0.06599 + 0.926002 * FT88  + N("409 NN")</f>
        <v>-0.39696475624101191</v>
      </c>
      <c r="FV88" s="46">
        <f t="shared" ref="FV88:FV89" si="348">0.1453     +   0.925549*FT88     +N("424 LnD Sm")</f>
        <v>-0.18551284345402311</v>
      </c>
      <c r="FW88" s="46">
        <f t="shared" ref="FW88:FW89" si="349" xml:space="preserve">  0.053547 + 0.932974 * FV88  +  N("445 NN")</f>
        <v>-0.11953165960867375</v>
      </c>
      <c r="FX88" s="46">
        <f t="shared" ref="FX88:FX89" si="350" xml:space="preserve">  0.027177  +  0.867603 * FV88 + N("464 NN Gd")</f>
        <v>-0.13377449951924081</v>
      </c>
      <c r="FY88" s="46">
        <f t="shared" ref="FY88:FY89" si="351" xml:space="preserve">  -0.06187  +  0.953618 * FX88   + N("505 NN Dy")</f>
        <v>-0.18943977068253939</v>
      </c>
      <c r="FZ88" s="46">
        <f t="shared" ref="FZ88:FZ89" si="352" xml:space="preserve"> -0.05652 + 0.972005*FY88   +N("533 NN")</f>
        <v>-0.24065640430228169</v>
      </c>
      <c r="GA88" s="46">
        <f t="shared" ref="GA88:GA89" si="353" xml:space="preserve">     0.018586 + 0.960264 * FZ88    +N("549 LnD Er")</f>
        <v>-0.21250768142092624</v>
      </c>
      <c r="GB88" s="46">
        <f t="shared" ref="GB88:GB89" si="354" xml:space="preserve"> -0.02011 + 0.936315 * FZ88    +N("574 NN Er")</f>
        <v>-0.24544020119429086</v>
      </c>
      <c r="GC88" s="46">
        <f t="shared" ref="GC88:GC89" si="355" xml:space="preserve">   0.01732 + 1.006083 * GB88  +N("597 NN Yb")</f>
        <v>-0.22961321393815573</v>
      </c>
      <c r="GD88" s="46">
        <f>(-1.72947 +0 ) * (3.46258+0) * BQ88   - (1.87473 + 0) *BP88   + (0.03253+0) * (CK88*100)    +N("eqn625 aliv mg# wo")</f>
        <v>4.7441218051539114E-2</v>
      </c>
      <c r="GE88" s="46"/>
      <c r="GF88" s="46"/>
      <c r="GG88" s="46"/>
      <c r="GH88" s="46"/>
    </row>
    <row r="89" spans="1:190" x14ac:dyDescent="0.25">
      <c r="A89" s="5" t="s">
        <v>84</v>
      </c>
      <c r="B89" s="1">
        <v>217</v>
      </c>
      <c r="C89" s="98" t="s">
        <v>97</v>
      </c>
      <c r="D89" s="98" t="s">
        <v>104</v>
      </c>
      <c r="E89" s="1">
        <v>49</v>
      </c>
      <c r="F89" s="22">
        <v>52.01</v>
      </c>
      <c r="G89" s="22">
        <v>5.6000000000000001E-2</v>
      </c>
      <c r="H89" s="22">
        <v>0.41699999999999998</v>
      </c>
      <c r="I89" s="22">
        <v>0.02</v>
      </c>
      <c r="J89" s="22">
        <v>12.64</v>
      </c>
      <c r="K89" s="22">
        <v>0.156</v>
      </c>
      <c r="L89" s="22">
        <v>10.57</v>
      </c>
      <c r="M89" s="22">
        <v>23.07</v>
      </c>
      <c r="N89" s="22">
        <v>0.70299999999999996</v>
      </c>
      <c r="O89" s="22">
        <v>0</v>
      </c>
      <c r="P89" s="22">
        <v>0</v>
      </c>
      <c r="Q89" s="22"/>
      <c r="R89" s="22"/>
      <c r="S89" s="22">
        <f t="shared" si="244"/>
        <v>99.641999999999996</v>
      </c>
      <c r="T89" s="3"/>
      <c r="U89" s="22">
        <f t="shared" si="245"/>
        <v>10.429181789863943</v>
      </c>
      <c r="V89" s="22">
        <f t="shared" si="246"/>
        <v>2.4568822769242002</v>
      </c>
      <c r="W89" s="22">
        <f t="shared" si="247"/>
        <v>99.888064066788161</v>
      </c>
      <c r="X89" s="1"/>
      <c r="Y89" s="1"/>
      <c r="Z89" s="1"/>
      <c r="AA89" s="1" t="s">
        <v>185</v>
      </c>
      <c r="AC89" s="1">
        <v>6</v>
      </c>
      <c r="AD89" s="1">
        <v>4</v>
      </c>
      <c r="AE89" s="1"/>
      <c r="AF89" s="26">
        <f t="shared" si="248"/>
        <v>1.9911749800753471</v>
      </c>
      <c r="AG89" s="26">
        <f t="shared" si="249"/>
        <v>1.6125101892802442E-3</v>
      </c>
      <c r="AH89" s="26">
        <f t="shared" si="250"/>
        <v>1.8814328414685506E-2</v>
      </c>
      <c r="AI89" s="26">
        <f t="shared" si="251"/>
        <v>6.0533735264399859E-4</v>
      </c>
      <c r="AJ89" s="26">
        <f t="shared" si="252"/>
        <v>0.40464371407323857</v>
      </c>
      <c r="AK89" s="26">
        <f t="shared" si="253"/>
        <v>5.0580825273556429E-3</v>
      </c>
      <c r="AL89" s="26">
        <f t="shared" si="254"/>
        <v>0.60328487598869696</v>
      </c>
      <c r="AM89" s="26">
        <f t="shared" si="255"/>
        <v>0.94621991928864857</v>
      </c>
      <c r="AN89" s="26">
        <f t="shared" si="256"/>
        <v>5.2177857883622163E-2</v>
      </c>
      <c r="AO89" s="26">
        <f t="shared" si="257"/>
        <v>0</v>
      </c>
      <c r="AP89" s="26">
        <f t="shared" si="258"/>
        <v>0</v>
      </c>
      <c r="AQ89" s="26">
        <f t="shared" si="259"/>
        <v>0</v>
      </c>
      <c r="AR89" s="26">
        <f t="shared" si="260"/>
        <v>0</v>
      </c>
      <c r="AS89" s="26">
        <f t="shared" si="261"/>
        <v>4.0235916057935182</v>
      </c>
      <c r="AT89" s="26">
        <f t="shared" si="262"/>
        <v>2.0099893084900327</v>
      </c>
      <c r="AU89" s="26">
        <f t="shared" si="263"/>
        <v>0.99839777717227074</v>
      </c>
      <c r="AV89" s="47"/>
      <c r="AW89" s="26">
        <f t="shared" si="264"/>
        <v>1.9795000836648324</v>
      </c>
      <c r="AX89" s="26">
        <f t="shared" si="265"/>
        <v>1.6030555257729548E-3</v>
      </c>
      <c r="AY89" s="26">
        <f t="shared" si="266"/>
        <v>1.8704013983521579E-2</v>
      </c>
      <c r="AZ89" s="26">
        <f t="shared" si="267"/>
        <v>6.017880659382835E-4</v>
      </c>
      <c r="BA89" s="26">
        <f t="shared" si="268"/>
        <v>0.33191131645860961</v>
      </c>
      <c r="BB89" s="26">
        <f t="shared" si="269"/>
        <v>7.0359841966710857E-2</v>
      </c>
      <c r="BC89" s="26">
        <f t="shared" si="270"/>
        <v>5.0284253700823645E-3</v>
      </c>
      <c r="BD89" s="26">
        <f t="shared" si="271"/>
        <v>0.59974762361074085</v>
      </c>
      <c r="BE89" s="26">
        <f t="shared" si="272"/>
        <v>0.94067192895640639</v>
      </c>
      <c r="BF89" s="26">
        <f t="shared" si="273"/>
        <v>5.1871922397384383E-2</v>
      </c>
      <c r="BG89" s="26">
        <f t="shared" si="274"/>
        <v>0</v>
      </c>
      <c r="BH89" s="26">
        <f t="shared" si="275"/>
        <v>0</v>
      </c>
      <c r="BI89" s="26">
        <f t="shared" si="276"/>
        <v>0</v>
      </c>
      <c r="BJ89" s="26">
        <f t="shared" si="277"/>
        <v>0</v>
      </c>
      <c r="BK89" s="25">
        <f t="shared" si="278"/>
        <v>4</v>
      </c>
      <c r="BL89" s="24">
        <f t="shared" si="279"/>
        <v>5.9999999999999973</v>
      </c>
      <c r="BM89" s="26">
        <f t="shared" si="280"/>
        <v>1.9982040976483539</v>
      </c>
      <c r="BN89" s="26">
        <f t="shared" si="281"/>
        <v>0.99254385135379075</v>
      </c>
      <c r="BO89" s="22"/>
      <c r="BP89" s="23">
        <f t="shared" si="282"/>
        <v>0.59853930321752868</v>
      </c>
      <c r="BQ89" s="26">
        <f t="shared" si="283"/>
        <v>2.0499916335167567E-2</v>
      </c>
      <c r="BR89" s="26">
        <f t="shared" si="284"/>
        <v>0</v>
      </c>
      <c r="BS89" s="26"/>
      <c r="BT89" s="26">
        <f t="shared" si="285"/>
        <v>0</v>
      </c>
      <c r="BU89" s="26">
        <f t="shared" si="286"/>
        <v>0</v>
      </c>
      <c r="BV89" s="26">
        <f t="shared" si="287"/>
        <v>0</v>
      </c>
      <c r="BW89" s="26">
        <f t="shared" si="288"/>
        <v>3.026686763219993E-4</v>
      </c>
      <c r="BX89" s="26">
        <f t="shared" si="289"/>
        <v>0.94591725061232657</v>
      </c>
      <c r="BY89" s="26">
        <f t="shared" si="290"/>
        <v>3.1005669724804452E-2</v>
      </c>
      <c r="BZ89" s="26">
        <f t="shared" si="291"/>
        <v>0.97722558901345302</v>
      </c>
      <c r="CA89" s="22"/>
      <c r="CB89" s="22">
        <f t="shared" si="292"/>
        <v>5.1871922397384383E-2</v>
      </c>
      <c r="CC89" s="22">
        <f t="shared" si="293"/>
        <v>0</v>
      </c>
      <c r="CD89" s="22">
        <f t="shared" si="294"/>
        <v>1.8487919569326473E-2</v>
      </c>
      <c r="CE89" s="22">
        <f t="shared" si="295"/>
        <v>6.017880659382835E-4</v>
      </c>
      <c r="CF89" s="22">
        <f t="shared" si="296"/>
        <v>0</v>
      </c>
      <c r="CG89" s="22">
        <f t="shared" si="297"/>
        <v>0.48672707185926301</v>
      </c>
      <c r="CH89" s="22">
        <f t="shared" si="298"/>
        <v>0.3304151397862603</v>
      </c>
      <c r="CI89" s="22">
        <f t="shared" si="299"/>
        <v>0.18285778835447666</v>
      </c>
      <c r="CJ89" s="22"/>
      <c r="CK89" s="22">
        <f t="shared" si="300"/>
        <v>0.4829607674919455</v>
      </c>
      <c r="CL89" s="22">
        <f t="shared" si="301"/>
        <v>0.30792305338786968</v>
      </c>
      <c r="CM89" s="22">
        <f t="shared" si="302"/>
        <v>0.2091161791201849</v>
      </c>
      <c r="CN89" s="1"/>
      <c r="CO89" s="26">
        <f t="shared" si="303"/>
        <v>0.86567909454061254</v>
      </c>
      <c r="CP89" s="26">
        <f t="shared" si="304"/>
        <v>7.0105157736604913E-4</v>
      </c>
      <c r="CQ89" s="26">
        <f t="shared" si="305"/>
        <v>8.1796783052177323E-3</v>
      </c>
      <c r="CR89" s="26">
        <f t="shared" si="306"/>
        <v>2.6317520889532203E-4</v>
      </c>
      <c r="CS89" s="26">
        <f t="shared" si="307"/>
        <v>0.17592205984690329</v>
      </c>
      <c r="CT89" s="26">
        <f t="shared" si="308"/>
        <v>2.199041443473358E-3</v>
      </c>
      <c r="CU89" s="26">
        <f t="shared" si="309"/>
        <v>0.26228287841191067</v>
      </c>
      <c r="CV89" s="26">
        <f t="shared" si="310"/>
        <v>0.41137660485021399</v>
      </c>
      <c r="CW89" s="26">
        <f t="shared" si="311"/>
        <v>2.2684737011939335E-2</v>
      </c>
      <c r="CX89" s="26">
        <f t="shared" si="312"/>
        <v>0</v>
      </c>
      <c r="CY89" s="26">
        <f t="shared" si="313"/>
        <v>0</v>
      </c>
      <c r="CZ89" s="26">
        <f t="shared" si="314"/>
        <v>0</v>
      </c>
      <c r="DA89" s="26">
        <f t="shared" si="315"/>
        <v>0</v>
      </c>
      <c r="DB89" s="26">
        <f t="shared" si="316"/>
        <v>1.7492883211965324</v>
      </c>
      <c r="DC89" s="26">
        <f t="shared" si="317"/>
        <v>2.6085475255655979</v>
      </c>
      <c r="DD89" s="26">
        <f t="shared" si="318"/>
        <v>2.2866442035489931</v>
      </c>
      <c r="DE89" s="26">
        <f t="shared" si="319"/>
        <v>5.9648200790166435</v>
      </c>
      <c r="DF89" s="1"/>
      <c r="DG89" s="22"/>
      <c r="DH89" s="14"/>
      <c r="DI89" s="14"/>
      <c r="DJ89" s="14"/>
      <c r="DK89" s="14"/>
      <c r="DL89" s="14"/>
      <c r="DM89" s="96"/>
      <c r="DN89" s="14"/>
      <c r="DO89" s="96"/>
      <c r="DP89" s="22"/>
      <c r="DQ89" s="14"/>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46">
        <f t="shared" si="344"/>
        <v>-0.98125247407058169</v>
      </c>
      <c r="FR89" s="46">
        <f t="shared" si="345"/>
        <v>-0.58220387705012866</v>
      </c>
      <c r="FS89" s="46">
        <f t="shared" si="346"/>
        <v>-0.24213521942153254</v>
      </c>
      <c r="FT89" s="46">
        <f xml:space="preserve"> 0.68509  -3.34181 * BP89 + 0.03095*(100*CK89) +N("642 cpx Mg# Wo R2 0.59")</f>
        <v>0.17964894650220153</v>
      </c>
      <c r="FU89" s="46">
        <f t="shared" si="347"/>
        <v>0.10036528375893164</v>
      </c>
      <c r="FV89" s="46">
        <f t="shared" si="348"/>
        <v>0.31157390278616615</v>
      </c>
      <c r="FW89" s="46">
        <f t="shared" si="349"/>
        <v>0.34423735037802056</v>
      </c>
      <c r="FX89" s="46">
        <f t="shared" si="350"/>
        <v>0.2974994527789861</v>
      </c>
      <c r="FY89" s="46">
        <f t="shared" si="351"/>
        <v>0.22183083316019117</v>
      </c>
      <c r="FZ89" s="46">
        <f t="shared" si="352"/>
        <v>0.1591006789858716</v>
      </c>
      <c r="GA89" s="46">
        <f t="shared" si="353"/>
        <v>0.17136465440568899</v>
      </c>
      <c r="GB89" s="46">
        <f t="shared" si="354"/>
        <v>0.12885835224465639</v>
      </c>
      <c r="GC89" s="46">
        <f t="shared" si="355"/>
        <v>0.14696219760136064</v>
      </c>
      <c r="GD89" s="46">
        <f>(-1.72947 +0 ) * (3.46258+0) * BQ89   - (1.87473 + 0) *BP89   + (0.03253+0) * (CK89*100)    +N("eqn625 aliv mg# wo")</f>
        <v>0.32620951098284579</v>
      </c>
      <c r="GE89" s="46"/>
      <c r="GF89" s="46"/>
      <c r="GG89" s="46"/>
      <c r="GH89" s="46"/>
    </row>
    <row r="90" spans="1:190" x14ac:dyDescent="0.25">
      <c r="A90" s="5" t="s">
        <v>84</v>
      </c>
      <c r="B90" s="1">
        <v>222</v>
      </c>
      <c r="C90" s="98" t="s">
        <v>97</v>
      </c>
      <c r="D90" s="98" t="s">
        <v>104</v>
      </c>
      <c r="E90" s="1">
        <v>54</v>
      </c>
      <c r="F90" s="22">
        <v>53.52</v>
      </c>
      <c r="G90" s="22">
        <v>0</v>
      </c>
      <c r="H90" s="22">
        <v>0.49299999999999999</v>
      </c>
      <c r="I90" s="22">
        <v>0</v>
      </c>
      <c r="J90" s="22">
        <v>7.83</v>
      </c>
      <c r="K90" s="22">
        <v>5.2999999999999999E-2</v>
      </c>
      <c r="L90" s="22">
        <v>13.56</v>
      </c>
      <c r="M90" s="22">
        <v>24</v>
      </c>
      <c r="N90" s="22">
        <v>0.77100000000000002</v>
      </c>
      <c r="O90" s="22">
        <v>0</v>
      </c>
      <c r="P90" s="22">
        <v>0</v>
      </c>
      <c r="Q90" s="22"/>
      <c r="R90" s="22"/>
      <c r="S90" s="22">
        <f t="shared" si="244"/>
        <v>100.227</v>
      </c>
      <c r="T90" s="3"/>
      <c r="U90" s="22">
        <f t="shared" si="245"/>
        <v>5.4513076245049206</v>
      </c>
      <c r="V90" s="22">
        <f t="shared" si="246"/>
        <v>2.6434408368876814</v>
      </c>
      <c r="W90" s="22">
        <f t="shared" si="247"/>
        <v>100.4917484613926</v>
      </c>
      <c r="X90" s="1"/>
      <c r="Y90" s="1"/>
      <c r="Z90" s="1"/>
      <c r="AA90" s="1" t="s">
        <v>185</v>
      </c>
      <c r="AC90" s="1">
        <v>6</v>
      </c>
      <c r="AD90" s="1">
        <v>4</v>
      </c>
      <c r="AE90" s="1"/>
      <c r="AF90" s="26">
        <f t="shared" si="248"/>
        <v>1.9923260535654996</v>
      </c>
      <c r="AG90" s="26">
        <f t="shared" si="249"/>
        <v>0</v>
      </c>
      <c r="AH90" s="26">
        <f t="shared" si="250"/>
        <v>2.162824704697499E-2</v>
      </c>
      <c r="AI90" s="26">
        <f t="shared" si="251"/>
        <v>0</v>
      </c>
      <c r="AJ90" s="26">
        <f t="shared" si="252"/>
        <v>0.24373013164909899</v>
      </c>
      <c r="AK90" s="26">
        <f t="shared" si="253"/>
        <v>1.6709325489501342E-3</v>
      </c>
      <c r="AL90" s="26">
        <f t="shared" si="254"/>
        <v>0.75253876590917435</v>
      </c>
      <c r="AM90" s="26">
        <f t="shared" si="255"/>
        <v>0.95714441651432614</v>
      </c>
      <c r="AN90" s="26">
        <f t="shared" si="256"/>
        <v>5.5642551353975944E-2</v>
      </c>
      <c r="AO90" s="26">
        <f t="shared" si="257"/>
        <v>0</v>
      </c>
      <c r="AP90" s="26">
        <f t="shared" si="258"/>
        <v>0</v>
      </c>
      <c r="AQ90" s="26">
        <f t="shared" si="259"/>
        <v>0</v>
      </c>
      <c r="AR90" s="26">
        <f t="shared" si="260"/>
        <v>0</v>
      </c>
      <c r="AS90" s="26">
        <f t="shared" si="261"/>
        <v>4.0246810985880002</v>
      </c>
      <c r="AT90" s="26">
        <f t="shared" si="262"/>
        <v>2.0139543006124745</v>
      </c>
      <c r="AU90" s="26">
        <f t="shared" si="263"/>
        <v>1.0127869678683021</v>
      </c>
      <c r="AV90" s="47"/>
      <c r="AW90" s="26">
        <f t="shared" si="264"/>
        <v>1.9801082418822975</v>
      </c>
      <c r="AX90" s="26">
        <f t="shared" si="265"/>
        <v>0</v>
      </c>
      <c r="AY90" s="26">
        <f t="shared" si="266"/>
        <v>2.149561320976506E-2</v>
      </c>
      <c r="AZ90" s="26">
        <f t="shared" si="267"/>
        <v>0</v>
      </c>
      <c r="BA90" s="26">
        <f t="shared" si="268"/>
        <v>0.16864624225221783</v>
      </c>
      <c r="BB90" s="26">
        <f t="shared" si="269"/>
        <v>7.3589230003815675E-2</v>
      </c>
      <c r="BC90" s="26">
        <f t="shared" si="270"/>
        <v>1.6606856623113382E-3</v>
      </c>
      <c r="BD90" s="26">
        <f t="shared" si="271"/>
        <v>0.74792387021490125</v>
      </c>
      <c r="BE90" s="26">
        <f t="shared" si="272"/>
        <v>0.95127478979651436</v>
      </c>
      <c r="BF90" s="26">
        <f t="shared" si="273"/>
        <v>5.5301326978177044E-2</v>
      </c>
      <c r="BG90" s="26">
        <f t="shared" si="274"/>
        <v>0</v>
      </c>
      <c r="BH90" s="26">
        <f t="shared" si="275"/>
        <v>0</v>
      </c>
      <c r="BI90" s="26">
        <f t="shared" si="276"/>
        <v>0</v>
      </c>
      <c r="BJ90" s="26">
        <f t="shared" si="277"/>
        <v>0</v>
      </c>
      <c r="BK90" s="25">
        <f t="shared" si="278"/>
        <v>4</v>
      </c>
      <c r="BL90" s="24">
        <f t="shared" si="279"/>
        <v>6</v>
      </c>
      <c r="BM90" s="26">
        <f t="shared" si="280"/>
        <v>2.0016038550920627</v>
      </c>
      <c r="BN90" s="26">
        <f t="shared" si="281"/>
        <v>1.0065761167746914</v>
      </c>
      <c r="BO90" s="22"/>
      <c r="BP90" s="23">
        <f t="shared" si="282"/>
        <v>0.75535708055681539</v>
      </c>
      <c r="BQ90" s="26">
        <f t="shared" si="283"/>
        <v>1.9891758117702496E-2</v>
      </c>
      <c r="BR90" s="26">
        <f t="shared" si="284"/>
        <v>1.6038550920625637E-3</v>
      </c>
      <c r="BS90" s="26"/>
      <c r="BT90" s="26">
        <f t="shared" si="285"/>
        <v>1.6038550920625637E-3</v>
      </c>
      <c r="BU90" s="26">
        <f t="shared" si="286"/>
        <v>0</v>
      </c>
      <c r="BV90" s="26">
        <f t="shared" si="287"/>
        <v>1.6038550920625637E-3</v>
      </c>
      <c r="BW90" s="26">
        <f t="shared" si="288"/>
        <v>0</v>
      </c>
      <c r="BX90" s="26">
        <f t="shared" si="289"/>
        <v>0.95554056142226362</v>
      </c>
      <c r="BY90" s="26">
        <f t="shared" si="290"/>
        <v>2.036416806800484E-2</v>
      </c>
      <c r="BZ90" s="26">
        <f t="shared" si="291"/>
        <v>0.97911243967439354</v>
      </c>
      <c r="CA90" s="22"/>
      <c r="CB90" s="22">
        <f t="shared" si="292"/>
        <v>5.5301326978177044E-2</v>
      </c>
      <c r="CC90" s="22">
        <f t="shared" si="293"/>
        <v>0</v>
      </c>
      <c r="CD90" s="22">
        <f t="shared" si="294"/>
        <v>1.8287903025638631E-2</v>
      </c>
      <c r="CE90" s="22">
        <f t="shared" si="295"/>
        <v>0</v>
      </c>
      <c r="CF90" s="22">
        <f t="shared" si="296"/>
        <v>1.6038550920625637E-3</v>
      </c>
      <c r="CG90" s="22">
        <f t="shared" si="297"/>
        <v>0.49334217932849511</v>
      </c>
      <c r="CH90" s="22">
        <f t="shared" si="298"/>
        <v>0.41343425119032939</v>
      </c>
      <c r="CI90" s="22">
        <f t="shared" si="299"/>
        <v>9.3223569481175536E-2</v>
      </c>
      <c r="CJ90" s="22"/>
      <c r="CK90" s="22">
        <f t="shared" si="300"/>
        <v>0.48956683998058048</v>
      </c>
      <c r="CL90" s="22">
        <f t="shared" si="301"/>
        <v>0.38491372799386331</v>
      </c>
      <c r="CM90" s="22">
        <f t="shared" si="302"/>
        <v>0.12551943202555607</v>
      </c>
      <c r="CN90" s="1"/>
      <c r="CO90" s="26">
        <f t="shared" si="303"/>
        <v>0.89081225033288958</v>
      </c>
      <c r="CP90" s="26">
        <f t="shared" si="304"/>
        <v>0</v>
      </c>
      <c r="CQ90" s="26">
        <f t="shared" si="305"/>
        <v>9.6704590035307965E-3</v>
      </c>
      <c r="CR90" s="26">
        <f t="shared" si="306"/>
        <v>0</v>
      </c>
      <c r="CS90" s="26">
        <f t="shared" si="307"/>
        <v>0.10897703549060543</v>
      </c>
      <c r="CT90" s="26">
        <f t="shared" si="308"/>
        <v>7.4711023400056387E-4</v>
      </c>
      <c r="CU90" s="26">
        <f t="shared" si="309"/>
        <v>0.33647642679900747</v>
      </c>
      <c r="CV90" s="26">
        <f t="shared" si="310"/>
        <v>0.42796005706134094</v>
      </c>
      <c r="CW90" s="26">
        <f t="shared" si="311"/>
        <v>2.4878993223620523E-2</v>
      </c>
      <c r="CX90" s="26">
        <f t="shared" si="312"/>
        <v>0</v>
      </c>
      <c r="CY90" s="26">
        <f t="shared" si="313"/>
        <v>0</v>
      </c>
      <c r="CZ90" s="26">
        <f t="shared" si="314"/>
        <v>0</v>
      </c>
      <c r="DA90" s="26">
        <f t="shared" si="315"/>
        <v>0</v>
      </c>
      <c r="DB90" s="26">
        <f t="shared" si="316"/>
        <v>1.7995223321449951</v>
      </c>
      <c r="DC90" s="26">
        <f t="shared" si="317"/>
        <v>2.6827303153678401</v>
      </c>
      <c r="DD90" s="26">
        <f t="shared" si="318"/>
        <v>2.2228120921578554</v>
      </c>
      <c r="DE90" s="26">
        <f t="shared" si="319"/>
        <v>5.9632053849980915</v>
      </c>
      <c r="DF90" s="1"/>
      <c r="DG90" s="22"/>
      <c r="DH90" s="14"/>
      <c r="DI90" s="14"/>
      <c r="DJ90" s="14"/>
      <c r="DK90" s="14"/>
      <c r="DL90" s="14"/>
      <c r="DM90" s="96"/>
      <c r="DN90" s="14"/>
      <c r="DO90" s="96"/>
      <c r="DP90" s="22"/>
      <c r="DQ90" s="14"/>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46"/>
      <c r="FR90" s="46"/>
      <c r="FS90" s="46"/>
      <c r="FT90" s="46"/>
      <c r="FU90" s="46"/>
      <c r="FV90" s="46"/>
      <c r="FW90" s="46"/>
      <c r="FX90" s="46"/>
      <c r="FY90" s="46"/>
      <c r="FZ90" s="46"/>
      <c r="GA90" s="46"/>
      <c r="GB90" s="46"/>
      <c r="GC90" s="46"/>
      <c r="GD90" s="46"/>
      <c r="GE90" s="46"/>
      <c r="GF90" s="46"/>
      <c r="GG90" s="46"/>
      <c r="GH90" s="46"/>
    </row>
    <row r="91" spans="1:190" x14ac:dyDescent="0.25">
      <c r="A91" s="5" t="s">
        <v>84</v>
      </c>
      <c r="B91" s="1">
        <v>223</v>
      </c>
      <c r="C91" s="98" t="s">
        <v>97</v>
      </c>
      <c r="D91" s="98" t="s">
        <v>104</v>
      </c>
      <c r="E91" s="1">
        <v>55</v>
      </c>
      <c r="F91" s="22">
        <v>53.2</v>
      </c>
      <c r="G91" s="22">
        <v>2.5999999999999999E-2</v>
      </c>
      <c r="H91" s="22">
        <v>0.54300000000000004</v>
      </c>
      <c r="I91" s="22">
        <v>0</v>
      </c>
      <c r="J91" s="22">
        <v>9.6</v>
      </c>
      <c r="K91" s="22">
        <v>6.7000000000000004E-2</v>
      </c>
      <c r="L91" s="22">
        <v>12.4</v>
      </c>
      <c r="M91" s="22">
        <v>21.99</v>
      </c>
      <c r="N91" s="22">
        <v>1.73</v>
      </c>
      <c r="O91" s="22">
        <v>0</v>
      </c>
      <c r="P91" s="22">
        <v>0</v>
      </c>
      <c r="Q91" s="22"/>
      <c r="R91" s="22"/>
      <c r="S91" s="22">
        <f t="shared" si="244"/>
        <v>99.556000000000012</v>
      </c>
      <c r="T91" s="3"/>
      <c r="U91" s="22">
        <f t="shared" si="245"/>
        <v>5.274322967933708</v>
      </c>
      <c r="V91" s="22">
        <f t="shared" si="246"/>
        <v>4.80712488573527</v>
      </c>
      <c r="W91" s="22">
        <f t="shared" si="247"/>
        <v>100.03744785366898</v>
      </c>
      <c r="X91" s="1"/>
      <c r="Y91" s="1"/>
      <c r="Z91" s="1"/>
      <c r="AA91" s="1" t="s">
        <v>185</v>
      </c>
      <c r="AC91" s="1">
        <v>6</v>
      </c>
      <c r="AD91" s="1">
        <v>4</v>
      </c>
      <c r="AE91" s="1"/>
      <c r="AF91" s="26">
        <f t="shared" si="248"/>
        <v>2.004965583527563</v>
      </c>
      <c r="AG91" s="26">
        <f t="shared" si="249"/>
        <v>7.3698815109806044E-4</v>
      </c>
      <c r="AH91" s="26">
        <f t="shared" si="250"/>
        <v>2.4117107112724599E-2</v>
      </c>
      <c r="AI91" s="26">
        <f t="shared" si="251"/>
        <v>0</v>
      </c>
      <c r="AJ91" s="26">
        <f t="shared" si="252"/>
        <v>0.30253085471508245</v>
      </c>
      <c r="AK91" s="26">
        <f t="shared" si="253"/>
        <v>2.1384979208598689E-3</v>
      </c>
      <c r="AL91" s="26">
        <f t="shared" si="254"/>
        <v>0.69669365100252156</v>
      </c>
      <c r="AM91" s="26">
        <f t="shared" si="255"/>
        <v>0.88785580426217392</v>
      </c>
      <c r="AN91" s="26">
        <f t="shared" si="256"/>
        <v>0.12640077614590764</v>
      </c>
      <c r="AO91" s="26">
        <f t="shared" si="257"/>
        <v>0</v>
      </c>
      <c r="AP91" s="26">
        <f t="shared" si="258"/>
        <v>0</v>
      </c>
      <c r="AQ91" s="26">
        <f t="shared" si="259"/>
        <v>0</v>
      </c>
      <c r="AR91" s="26">
        <f t="shared" si="260"/>
        <v>0</v>
      </c>
      <c r="AS91" s="26">
        <f t="shared" si="261"/>
        <v>4.045439262837931</v>
      </c>
      <c r="AT91" s="26">
        <f t="shared" si="262"/>
        <v>2.0290826906402875</v>
      </c>
      <c r="AU91" s="26">
        <f t="shared" si="263"/>
        <v>1.0142565804080816</v>
      </c>
      <c r="AV91" s="47"/>
      <c r="AW91" s="26">
        <f t="shared" si="264"/>
        <v>1.9824453694761961</v>
      </c>
      <c r="AX91" s="26">
        <f t="shared" si="265"/>
        <v>7.2871013822222428E-4</v>
      </c>
      <c r="AY91" s="26">
        <f t="shared" si="266"/>
        <v>2.3846218465587463E-2</v>
      </c>
      <c r="AZ91" s="26">
        <f t="shared" si="267"/>
        <v>0</v>
      </c>
      <c r="BA91" s="26">
        <f t="shared" si="268"/>
        <v>0.16434612451423963</v>
      </c>
      <c r="BB91" s="26">
        <f t="shared" si="269"/>
        <v>0.13478663715560479</v>
      </c>
      <c r="BC91" s="26">
        <f t="shared" si="270"/>
        <v>2.1144778422501225E-3</v>
      </c>
      <c r="BD91" s="26">
        <f t="shared" si="271"/>
        <v>0.68886823480699744</v>
      </c>
      <c r="BE91" s="26">
        <f t="shared" si="272"/>
        <v>0.87788321275087533</v>
      </c>
      <c r="BF91" s="26">
        <f t="shared" si="273"/>
        <v>0.1249810148500272</v>
      </c>
      <c r="BG91" s="26">
        <f t="shared" si="274"/>
        <v>0</v>
      </c>
      <c r="BH91" s="26">
        <f t="shared" si="275"/>
        <v>0</v>
      </c>
      <c r="BI91" s="26">
        <f t="shared" si="276"/>
        <v>0</v>
      </c>
      <c r="BJ91" s="26">
        <f t="shared" si="277"/>
        <v>0</v>
      </c>
      <c r="BK91" s="25">
        <f t="shared" si="278"/>
        <v>4</v>
      </c>
      <c r="BL91" s="24">
        <f t="shared" si="279"/>
        <v>6.0000000000000009</v>
      </c>
      <c r="BM91" s="26">
        <f t="shared" si="280"/>
        <v>2.0062915879417837</v>
      </c>
      <c r="BN91" s="26">
        <f t="shared" si="281"/>
        <v>1.0028642276009025</v>
      </c>
      <c r="BO91" s="22"/>
      <c r="BP91" s="23">
        <f t="shared" si="282"/>
        <v>0.69723435225618635</v>
      </c>
      <c r="BQ91" s="26">
        <f t="shared" si="283"/>
        <v>1.7554630523803905E-2</v>
      </c>
      <c r="BR91" s="26">
        <f t="shared" si="284"/>
        <v>6.2915879417835587E-3</v>
      </c>
      <c r="BS91" s="26"/>
      <c r="BT91" s="26">
        <f t="shared" si="285"/>
        <v>6.2915879417835587E-3</v>
      </c>
      <c r="BU91" s="26">
        <f t="shared" si="286"/>
        <v>0</v>
      </c>
      <c r="BV91" s="26">
        <f t="shared" si="287"/>
        <v>6.2915879417835587E-3</v>
      </c>
      <c r="BW91" s="26">
        <f t="shared" si="288"/>
        <v>0</v>
      </c>
      <c r="BX91" s="26">
        <f t="shared" si="289"/>
        <v>0.88156421632039039</v>
      </c>
      <c r="BY91" s="26">
        <f t="shared" si="290"/>
        <v>5.8830144698606812E-2</v>
      </c>
      <c r="BZ91" s="26">
        <f t="shared" si="291"/>
        <v>0.95297753690256437</v>
      </c>
      <c r="CA91" s="22"/>
      <c r="CB91" s="22">
        <f t="shared" si="292"/>
        <v>0.1249810148500272</v>
      </c>
      <c r="CC91" s="22">
        <f t="shared" si="293"/>
        <v>0</v>
      </c>
      <c r="CD91" s="22">
        <f t="shared" si="294"/>
        <v>9.805622305577591E-3</v>
      </c>
      <c r="CE91" s="22">
        <f t="shared" si="295"/>
        <v>0</v>
      </c>
      <c r="CF91" s="22">
        <f t="shared" si="296"/>
        <v>6.2915879417835587E-3</v>
      </c>
      <c r="CG91" s="22">
        <f t="shared" si="297"/>
        <v>0.49338350867677072</v>
      </c>
      <c r="CH91" s="22">
        <f t="shared" si="298"/>
        <v>0.40903203783347397</v>
      </c>
      <c r="CI91" s="22">
        <f t="shared" si="299"/>
        <v>9.7584453489755321E-2</v>
      </c>
      <c r="CJ91" s="22"/>
      <c r="CK91" s="22">
        <f t="shared" si="300"/>
        <v>0.46995922364799475</v>
      </c>
      <c r="CL91" s="22">
        <f t="shared" si="301"/>
        <v>0.36877340416524357</v>
      </c>
      <c r="CM91" s="22">
        <f t="shared" si="302"/>
        <v>0.16126737218676165</v>
      </c>
      <c r="CN91" s="1"/>
      <c r="CO91" s="26">
        <f t="shared" si="303"/>
        <v>0.88548601864181098</v>
      </c>
      <c r="CP91" s="26">
        <f t="shared" si="304"/>
        <v>3.2548823234852277E-4</v>
      </c>
      <c r="CQ91" s="26">
        <f t="shared" si="305"/>
        <v>1.0651235778736761E-2</v>
      </c>
      <c r="CR91" s="26">
        <f t="shared" si="306"/>
        <v>0</v>
      </c>
      <c r="CS91" s="26">
        <f t="shared" si="307"/>
        <v>0.13361169102296452</v>
      </c>
      <c r="CT91" s="26">
        <f t="shared" si="308"/>
        <v>9.4446010713278837E-4</v>
      </c>
      <c r="CU91" s="26">
        <f t="shared" si="309"/>
        <v>0.30769230769230771</v>
      </c>
      <c r="CV91" s="26">
        <f t="shared" si="310"/>
        <v>0.39211840228245365</v>
      </c>
      <c r="CW91" s="26">
        <f t="shared" si="311"/>
        <v>5.5824459503065506E-2</v>
      </c>
      <c r="CX91" s="26">
        <f t="shared" si="312"/>
        <v>0</v>
      </c>
      <c r="CY91" s="26">
        <f t="shared" si="313"/>
        <v>0</v>
      </c>
      <c r="CZ91" s="26">
        <f t="shared" si="314"/>
        <v>0</v>
      </c>
      <c r="DA91" s="26">
        <f t="shared" si="315"/>
        <v>0</v>
      </c>
      <c r="DB91" s="26">
        <f t="shared" si="316"/>
        <v>1.7866540632608203</v>
      </c>
      <c r="DC91" s="26">
        <f t="shared" si="317"/>
        <v>2.6498789582728155</v>
      </c>
      <c r="DD91" s="26">
        <f t="shared" si="318"/>
        <v>2.2388217631227416</v>
      </c>
      <c r="DE91" s="26">
        <f t="shared" si="319"/>
        <v>5.9326066814221985</v>
      </c>
      <c r="DF91" s="1"/>
      <c r="DG91" s="22"/>
      <c r="DH91" s="14"/>
      <c r="DI91" s="14"/>
      <c r="DJ91" s="14"/>
      <c r="DK91" s="14"/>
      <c r="DL91" s="14"/>
      <c r="DM91" s="96"/>
      <c r="DN91" s="14"/>
      <c r="DO91" s="96"/>
      <c r="DP91" s="22"/>
      <c r="DQ91" s="14"/>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46"/>
      <c r="FR91" s="46"/>
      <c r="FS91" s="46"/>
      <c r="FT91" s="46"/>
      <c r="FU91" s="46"/>
      <c r="FV91" s="46"/>
      <c r="FW91" s="46"/>
      <c r="FX91" s="46"/>
      <c r="FY91" s="46"/>
      <c r="FZ91" s="46"/>
      <c r="GA91" s="46"/>
      <c r="GB91" s="46"/>
      <c r="GC91" s="46"/>
      <c r="GD91" s="46"/>
      <c r="GE91" s="46"/>
      <c r="GF91" s="46"/>
      <c r="GG91" s="46"/>
      <c r="GH91" s="46"/>
    </row>
    <row r="92" spans="1:190" x14ac:dyDescent="0.25">
      <c r="A92" s="5" t="s">
        <v>93</v>
      </c>
      <c r="B92" s="1">
        <v>1113</v>
      </c>
      <c r="C92" s="98" t="s">
        <v>101</v>
      </c>
      <c r="D92" s="98" t="s">
        <v>107</v>
      </c>
      <c r="E92" s="1">
        <v>271</v>
      </c>
      <c r="F92" s="22">
        <v>50.35</v>
      </c>
      <c r="G92" s="22">
        <v>0.995</v>
      </c>
      <c r="H92" s="22">
        <v>3.58</v>
      </c>
      <c r="I92" s="22">
        <v>0</v>
      </c>
      <c r="J92" s="22">
        <v>9.7899999999999991</v>
      </c>
      <c r="K92" s="22">
        <v>0.34399999999999997</v>
      </c>
      <c r="L92" s="22">
        <v>13.99</v>
      </c>
      <c r="M92" s="22">
        <v>20.37</v>
      </c>
      <c r="N92" s="22">
        <v>0.32800000000000001</v>
      </c>
      <c r="O92" s="22">
        <v>0</v>
      </c>
      <c r="P92" s="22">
        <v>0</v>
      </c>
      <c r="Q92" s="22"/>
      <c r="R92" s="22"/>
      <c r="S92" s="22">
        <f t="shared" si="244"/>
        <v>99.747</v>
      </c>
      <c r="T92" s="3"/>
      <c r="U92" s="22">
        <f t="shared" si="245"/>
        <v>8.1988512403301748</v>
      </c>
      <c r="V92" s="22">
        <f t="shared" si="246"/>
        <v>1.7682436166210753</v>
      </c>
      <c r="W92" s="22">
        <f t="shared" si="247"/>
        <v>99.924094856951243</v>
      </c>
      <c r="X92" s="1"/>
      <c r="Y92" s="1"/>
      <c r="Z92" s="1"/>
      <c r="AA92" s="1" t="s">
        <v>185</v>
      </c>
      <c r="AC92" s="1">
        <v>6</v>
      </c>
      <c r="AD92" s="1">
        <v>4</v>
      </c>
      <c r="AE92" s="1"/>
      <c r="AF92" s="26">
        <f t="shared" si="248"/>
        <v>1.8881212626002515</v>
      </c>
      <c r="AG92" s="26">
        <f t="shared" si="249"/>
        <v>2.8063727624639042E-2</v>
      </c>
      <c r="AH92" s="26">
        <f t="shared" si="250"/>
        <v>0.15821349616479963</v>
      </c>
      <c r="AI92" s="26">
        <f t="shared" si="251"/>
        <v>0</v>
      </c>
      <c r="AJ92" s="26">
        <f t="shared" si="252"/>
        <v>0.30698436103137638</v>
      </c>
      <c r="AK92" s="26">
        <f t="shared" si="253"/>
        <v>1.0925154579688991E-2</v>
      </c>
      <c r="AL92" s="26">
        <f t="shared" si="254"/>
        <v>0.78211929552376713</v>
      </c>
      <c r="AM92" s="26">
        <f t="shared" si="255"/>
        <v>0.81835804488394392</v>
      </c>
      <c r="AN92" s="26">
        <f t="shared" si="256"/>
        <v>2.3845838568486925E-2</v>
      </c>
      <c r="AO92" s="26">
        <f t="shared" si="257"/>
        <v>0</v>
      </c>
      <c r="AP92" s="26">
        <f t="shared" si="258"/>
        <v>0</v>
      </c>
      <c r="AQ92" s="26">
        <f t="shared" si="259"/>
        <v>0</v>
      </c>
      <c r="AR92" s="26">
        <f t="shared" si="260"/>
        <v>0</v>
      </c>
      <c r="AS92" s="26">
        <f t="shared" si="261"/>
        <v>4.0166311809769528</v>
      </c>
      <c r="AT92" s="26">
        <f t="shared" si="262"/>
        <v>2.0463347587650511</v>
      </c>
      <c r="AU92" s="26">
        <f t="shared" si="263"/>
        <v>0.8422038834524308</v>
      </c>
      <c r="AV92" s="47"/>
      <c r="AW92" s="26">
        <f t="shared" si="264"/>
        <v>1.8803033462893237</v>
      </c>
      <c r="AX92" s="26">
        <f t="shared" si="265"/>
        <v>2.7947527527596574E-2</v>
      </c>
      <c r="AY92" s="26">
        <f t="shared" si="266"/>
        <v>0.15755840059611126</v>
      </c>
      <c r="AZ92" s="26">
        <f t="shared" si="267"/>
        <v>0</v>
      </c>
      <c r="BA92" s="26">
        <f t="shared" si="268"/>
        <v>0.25602631311345447</v>
      </c>
      <c r="BB92" s="26">
        <f t="shared" si="269"/>
        <v>4.9686954746712253E-2</v>
      </c>
      <c r="BC92" s="26">
        <f t="shared" si="270"/>
        <v>1.0879918107922167E-2</v>
      </c>
      <c r="BD92" s="26">
        <f t="shared" si="271"/>
        <v>0.77888086835349846</v>
      </c>
      <c r="BE92" s="26">
        <f t="shared" si="272"/>
        <v>0.81496956828871392</v>
      </c>
      <c r="BF92" s="26">
        <f t="shared" si="273"/>
        <v>2.3747102976666098E-2</v>
      </c>
      <c r="BG92" s="26">
        <f t="shared" si="274"/>
        <v>0</v>
      </c>
      <c r="BH92" s="26">
        <f t="shared" si="275"/>
        <v>0</v>
      </c>
      <c r="BI92" s="26">
        <f t="shared" si="276"/>
        <v>0</v>
      </c>
      <c r="BJ92" s="26">
        <f t="shared" si="277"/>
        <v>0</v>
      </c>
      <c r="BK92" s="25">
        <f t="shared" si="278"/>
        <v>3.9999999999999991</v>
      </c>
      <c r="BL92" s="24">
        <f t="shared" si="279"/>
        <v>5.9999999999999973</v>
      </c>
      <c r="BM92" s="26">
        <f t="shared" si="280"/>
        <v>2.0378617468854348</v>
      </c>
      <c r="BN92" s="26">
        <f t="shared" si="281"/>
        <v>0.83871667126537996</v>
      </c>
      <c r="BO92" s="22"/>
      <c r="BP92" s="23">
        <f t="shared" si="282"/>
        <v>0.71813118137682685</v>
      </c>
      <c r="BQ92" s="26">
        <f t="shared" si="283"/>
        <v>0.11969665371067628</v>
      </c>
      <c r="BR92" s="26">
        <f t="shared" si="284"/>
        <v>3.7861746885434977E-2</v>
      </c>
      <c r="BS92" s="26"/>
      <c r="BT92" s="26">
        <f t="shared" si="285"/>
        <v>2.3845838568486925E-2</v>
      </c>
      <c r="BU92" s="26">
        <f t="shared" si="286"/>
        <v>1.4114643908768879E-2</v>
      </c>
      <c r="BV92" s="26">
        <f t="shared" si="287"/>
        <v>3.0804424931050539E-2</v>
      </c>
      <c r="BW92" s="26">
        <f t="shared" si="288"/>
        <v>0</v>
      </c>
      <c r="BX92" s="26">
        <f t="shared" si="289"/>
        <v>0.77343897604412448</v>
      </c>
      <c r="BY92" s="26">
        <f t="shared" si="290"/>
        <v>0.15783234025550952</v>
      </c>
      <c r="BZ92" s="26">
        <f t="shared" si="291"/>
        <v>1.0000362237079403</v>
      </c>
      <c r="CA92" s="22"/>
      <c r="CB92" s="22">
        <f t="shared" si="292"/>
        <v>2.3747102976666098E-2</v>
      </c>
      <c r="CC92" s="22">
        <f t="shared" si="293"/>
        <v>0</v>
      </c>
      <c r="CD92" s="22">
        <f t="shared" si="294"/>
        <v>2.5939851770046155E-2</v>
      </c>
      <c r="CE92" s="22">
        <f t="shared" si="295"/>
        <v>0</v>
      </c>
      <c r="CF92" s="22">
        <f t="shared" si="296"/>
        <v>3.7861746885434977E-2</v>
      </c>
      <c r="CG92" s="22">
        <f t="shared" si="297"/>
        <v>0.38745753630494939</v>
      </c>
      <c r="CH92" s="22">
        <f t="shared" si="298"/>
        <v>0.46100521338533895</v>
      </c>
      <c r="CI92" s="22">
        <f t="shared" si="299"/>
        <v>0.15153725030971166</v>
      </c>
      <c r="CJ92" s="22"/>
      <c r="CK92" s="22">
        <f t="shared" si="300"/>
        <v>0.42658655751128338</v>
      </c>
      <c r="CL92" s="22">
        <f t="shared" si="301"/>
        <v>0.40769633771725133</v>
      </c>
      <c r="CM92" s="22">
        <f t="shared" si="302"/>
        <v>0.16571710477146523</v>
      </c>
      <c r="CN92" s="1"/>
      <c r="CO92" s="26">
        <f t="shared" si="303"/>
        <v>0.83804926764314247</v>
      </c>
      <c r="CP92" s="26">
        <f t="shared" si="304"/>
        <v>1.2456184276414622E-2</v>
      </c>
      <c r="CQ92" s="26">
        <f t="shared" si="305"/>
        <v>7.0223617104746963E-2</v>
      </c>
      <c r="CR92" s="26">
        <f t="shared" si="306"/>
        <v>0</v>
      </c>
      <c r="CS92" s="26">
        <f t="shared" si="307"/>
        <v>0.13625608907446068</v>
      </c>
      <c r="CT92" s="26">
        <f t="shared" si="308"/>
        <v>4.8491683112489425E-3</v>
      </c>
      <c r="CU92" s="26">
        <f t="shared" si="309"/>
        <v>0.34714640198511171</v>
      </c>
      <c r="CV92" s="26">
        <f t="shared" si="310"/>
        <v>0.36323109843081314</v>
      </c>
      <c r="CW92" s="26">
        <f t="shared" si="311"/>
        <v>1.0584059373991612E-2</v>
      </c>
      <c r="CX92" s="26">
        <f t="shared" si="312"/>
        <v>0</v>
      </c>
      <c r="CY92" s="26">
        <f t="shared" si="313"/>
        <v>0</v>
      </c>
      <c r="CZ92" s="26">
        <f t="shared" si="314"/>
        <v>0</v>
      </c>
      <c r="DA92" s="26">
        <f t="shared" si="315"/>
        <v>0</v>
      </c>
      <c r="DB92" s="26">
        <f t="shared" si="316"/>
        <v>1.7827958861999305</v>
      </c>
      <c r="DC92" s="26">
        <f t="shared" si="317"/>
        <v>2.6631211169848648</v>
      </c>
      <c r="DD92" s="26">
        <f t="shared" si="318"/>
        <v>2.2436668330697631</v>
      </c>
      <c r="DE92" s="26">
        <f t="shared" si="319"/>
        <v>5.9751565226266417</v>
      </c>
      <c r="DF92" s="1"/>
      <c r="DG92" s="22"/>
      <c r="DH92" s="14"/>
      <c r="DI92" s="14"/>
      <c r="DJ92" s="14"/>
      <c r="DK92" s="14"/>
      <c r="DL92" s="14"/>
      <c r="DM92" s="96"/>
      <c r="DN92" s="14"/>
      <c r="DO92" s="96"/>
      <c r="DP92" s="22"/>
      <c r="DQ92" s="14"/>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46"/>
      <c r="FR92" s="46"/>
      <c r="FS92" s="46"/>
      <c r="FT92" s="46"/>
      <c r="FU92" s="46"/>
      <c r="FV92" s="46"/>
      <c r="FW92" s="46"/>
      <c r="FX92" s="46"/>
      <c r="FY92" s="46"/>
      <c r="FZ92" s="46"/>
      <c r="GA92" s="46"/>
      <c r="GB92" s="46"/>
      <c r="GC92" s="46"/>
      <c r="GD92" s="46"/>
      <c r="GE92" s="46"/>
      <c r="GF92" s="46"/>
      <c r="GG92" s="46"/>
      <c r="GH92" s="46"/>
    </row>
    <row r="93" spans="1:190" x14ac:dyDescent="0.25">
      <c r="A93" s="5" t="s">
        <v>93</v>
      </c>
      <c r="B93" s="1">
        <v>1123</v>
      </c>
      <c r="C93" s="98" t="s">
        <v>101</v>
      </c>
      <c r="D93" s="98" t="s">
        <v>107</v>
      </c>
      <c r="E93" s="1">
        <v>281</v>
      </c>
      <c r="F93" s="22">
        <v>46.13</v>
      </c>
      <c r="G93" s="22">
        <v>2.4300000000000002</v>
      </c>
      <c r="H93" s="22">
        <v>6.37</v>
      </c>
      <c r="I93" s="22">
        <v>0.04</v>
      </c>
      <c r="J93" s="22">
        <v>12.54</v>
      </c>
      <c r="K93" s="22">
        <v>0.3</v>
      </c>
      <c r="L93" s="22">
        <v>9.7899999999999991</v>
      </c>
      <c r="M93" s="22">
        <v>21.98</v>
      </c>
      <c r="N93" s="22">
        <v>0.60899999999999999</v>
      </c>
      <c r="O93" s="22">
        <v>0</v>
      </c>
      <c r="P93" s="22">
        <v>0</v>
      </c>
      <c r="Q93" s="22"/>
      <c r="R93" s="22"/>
      <c r="S93" s="22">
        <f t="shared" si="244"/>
        <v>100.18899999999999</v>
      </c>
      <c r="T93" s="3"/>
      <c r="U93" s="22">
        <f t="shared" si="245"/>
        <v>8.6097974305724918</v>
      </c>
      <c r="V93" s="22">
        <f t="shared" si="246"/>
        <v>4.3676341154047886</v>
      </c>
      <c r="W93" s="22">
        <f t="shared" si="247"/>
        <v>100.62643154597728</v>
      </c>
      <c r="X93" s="1"/>
      <c r="Y93" s="1"/>
      <c r="Z93" s="1"/>
      <c r="AA93" s="1" t="s">
        <v>187</v>
      </c>
      <c r="AC93" s="1">
        <v>6</v>
      </c>
      <c r="AD93" s="1">
        <v>4</v>
      </c>
      <c r="AE93" s="1"/>
      <c r="AF93" s="26">
        <f t="shared" si="248"/>
        <v>1.7663454076344209</v>
      </c>
      <c r="AG93" s="26">
        <f t="shared" si="249"/>
        <v>6.9982639790040241E-2</v>
      </c>
      <c r="AH93" s="26">
        <f t="shared" si="250"/>
        <v>0.28744959701092332</v>
      </c>
      <c r="AI93" s="26">
        <f t="shared" si="251"/>
        <v>1.2108687606269121E-3</v>
      </c>
      <c r="AJ93" s="26">
        <f t="shared" si="252"/>
        <v>0.40150676484223419</v>
      </c>
      <c r="AK93" s="26">
        <f t="shared" si="253"/>
        <v>9.7286409075108028E-3</v>
      </c>
      <c r="AL93" s="26">
        <f t="shared" si="254"/>
        <v>0.55885578202916564</v>
      </c>
      <c r="AM93" s="26">
        <f t="shared" si="255"/>
        <v>0.90165788729281893</v>
      </c>
      <c r="AN93" s="26">
        <f t="shared" si="256"/>
        <v>4.520826284404638E-2</v>
      </c>
      <c r="AO93" s="26">
        <f t="shared" si="257"/>
        <v>0</v>
      </c>
      <c r="AP93" s="26">
        <f t="shared" si="258"/>
        <v>0</v>
      </c>
      <c r="AQ93" s="26">
        <f t="shared" si="259"/>
        <v>0</v>
      </c>
      <c r="AR93" s="26">
        <f t="shared" si="260"/>
        <v>0</v>
      </c>
      <c r="AS93" s="26">
        <f t="shared" si="261"/>
        <v>4.0419458511117883</v>
      </c>
      <c r="AT93" s="26">
        <f t="shared" si="262"/>
        <v>2.0537950046453441</v>
      </c>
      <c r="AU93" s="26">
        <f t="shared" si="263"/>
        <v>0.94686615013686526</v>
      </c>
      <c r="AV93" s="47"/>
      <c r="AW93" s="26">
        <f t="shared" si="264"/>
        <v>1.7480149143003147</v>
      </c>
      <c r="AX93" s="26">
        <f t="shared" si="265"/>
        <v>6.9256385283628319E-2</v>
      </c>
      <c r="AY93" s="26">
        <f t="shared" si="266"/>
        <v>0.28446654913188085</v>
      </c>
      <c r="AZ93" s="26">
        <f t="shared" si="267"/>
        <v>1.1983028028877205E-3</v>
      </c>
      <c r="BA93" s="26">
        <f t="shared" si="268"/>
        <v>0.27280841620482682</v>
      </c>
      <c r="BB93" s="26">
        <f t="shared" si="269"/>
        <v>0.12453165675215727</v>
      </c>
      <c r="BC93" s="26">
        <f t="shared" si="270"/>
        <v>9.6276805933308788E-3</v>
      </c>
      <c r="BD93" s="26">
        <f t="shared" si="271"/>
        <v>0.55305617899403126</v>
      </c>
      <c r="BE93" s="26">
        <f t="shared" si="272"/>
        <v>0.89230080808213375</v>
      </c>
      <c r="BF93" s="26">
        <f t="shared" si="273"/>
        <v>4.4739107854808384E-2</v>
      </c>
      <c r="BG93" s="26">
        <f t="shared" si="274"/>
        <v>0</v>
      </c>
      <c r="BH93" s="26">
        <f t="shared" si="275"/>
        <v>0</v>
      </c>
      <c r="BI93" s="26">
        <f t="shared" si="276"/>
        <v>0</v>
      </c>
      <c r="BJ93" s="26">
        <f t="shared" si="277"/>
        <v>0</v>
      </c>
      <c r="BK93" s="25">
        <f t="shared" si="278"/>
        <v>4</v>
      </c>
      <c r="BL93" s="24">
        <f t="shared" si="279"/>
        <v>6.0000000000000009</v>
      </c>
      <c r="BM93" s="26">
        <f t="shared" si="280"/>
        <v>2.0324814634321955</v>
      </c>
      <c r="BN93" s="26">
        <f t="shared" si="281"/>
        <v>0.93703991593694214</v>
      </c>
      <c r="BO93" s="22"/>
      <c r="BP93" s="23">
        <f t="shared" si="282"/>
        <v>0.5819216751525409</v>
      </c>
      <c r="BQ93" s="26">
        <f t="shared" si="283"/>
        <v>0.25198508569968525</v>
      </c>
      <c r="BR93" s="26">
        <f t="shared" si="284"/>
        <v>3.2481463432195601E-2</v>
      </c>
      <c r="BS93" s="26"/>
      <c r="BT93" s="26">
        <f t="shared" si="285"/>
        <v>3.2481463432195601E-2</v>
      </c>
      <c r="BU93" s="26">
        <f t="shared" si="286"/>
        <v>0</v>
      </c>
      <c r="BV93" s="26">
        <f t="shared" si="287"/>
        <v>3.2481463432195601E-2</v>
      </c>
      <c r="BW93" s="26">
        <f t="shared" si="288"/>
        <v>6.0543438031345604E-4</v>
      </c>
      <c r="BX93" s="26">
        <f t="shared" si="289"/>
        <v>0.86857098948030986</v>
      </c>
      <c r="BY93" s="26">
        <f t="shared" si="290"/>
        <v>4.5895778695545009E-2</v>
      </c>
      <c r="BZ93" s="26">
        <f t="shared" si="291"/>
        <v>0.98003512942055959</v>
      </c>
      <c r="CA93" s="22"/>
      <c r="CB93" s="22">
        <f t="shared" si="292"/>
        <v>4.4739107854808384E-2</v>
      </c>
      <c r="CC93" s="22">
        <f t="shared" si="293"/>
        <v>0</v>
      </c>
      <c r="CD93" s="22">
        <f t="shared" si="294"/>
        <v>7.9792548897348881E-2</v>
      </c>
      <c r="CE93" s="22">
        <f t="shared" si="295"/>
        <v>1.1983028028877205E-3</v>
      </c>
      <c r="CF93" s="22">
        <f t="shared" si="296"/>
        <v>3.2481463432195601E-2</v>
      </c>
      <c r="CG93" s="22">
        <f t="shared" si="297"/>
        <v>0.41178380040225498</v>
      </c>
      <c r="CH93" s="22">
        <f t="shared" si="298"/>
        <v>0.3939103403428828</v>
      </c>
      <c r="CI93" s="22">
        <f t="shared" si="299"/>
        <v>0.19430585925486227</v>
      </c>
      <c r="CJ93" s="22"/>
      <c r="CK93" s="22">
        <f t="shared" si="300"/>
        <v>0.48171942452182881</v>
      </c>
      <c r="CL93" s="22">
        <f t="shared" si="301"/>
        <v>0.29857409279486302</v>
      </c>
      <c r="CM93" s="22">
        <f t="shared" si="302"/>
        <v>0.21970648268330814</v>
      </c>
      <c r="CN93" s="1"/>
      <c r="CO93" s="26">
        <f t="shared" si="303"/>
        <v>0.76780958721704395</v>
      </c>
      <c r="CP93" s="26">
        <f t="shared" si="304"/>
        <v>3.0420630946419634E-2</v>
      </c>
      <c r="CQ93" s="26">
        <f t="shared" si="305"/>
        <v>0.12495096116123972</v>
      </c>
      <c r="CR93" s="26">
        <f t="shared" si="306"/>
        <v>5.2635041779064407E-4</v>
      </c>
      <c r="CS93" s="26">
        <f t="shared" si="307"/>
        <v>0.17453027139874738</v>
      </c>
      <c r="CT93" s="26">
        <f t="shared" si="308"/>
        <v>4.22892585283338E-3</v>
      </c>
      <c r="CU93" s="26">
        <f t="shared" si="309"/>
        <v>0.24292803970223326</v>
      </c>
      <c r="CV93" s="26">
        <f t="shared" si="310"/>
        <v>0.39194008559201143</v>
      </c>
      <c r="CW93" s="26">
        <f t="shared" si="311"/>
        <v>1.9651500484027105E-2</v>
      </c>
      <c r="CX93" s="26">
        <f t="shared" si="312"/>
        <v>0</v>
      </c>
      <c r="CY93" s="26">
        <f t="shared" si="313"/>
        <v>0</v>
      </c>
      <c r="CZ93" s="26">
        <f t="shared" si="314"/>
        <v>0</v>
      </c>
      <c r="DA93" s="26">
        <f t="shared" si="315"/>
        <v>0</v>
      </c>
      <c r="DB93" s="26">
        <f t="shared" si="316"/>
        <v>1.7569863527723466</v>
      </c>
      <c r="DC93" s="26">
        <f t="shared" si="317"/>
        <v>2.6081294764833114</v>
      </c>
      <c r="DD93" s="26">
        <f t="shared" si="318"/>
        <v>2.2766255376363085</v>
      </c>
      <c r="DE93" s="26">
        <f t="shared" si="319"/>
        <v>5.9377341716239229</v>
      </c>
      <c r="DF93" s="1"/>
      <c r="DG93" s="22"/>
      <c r="DH93" s="14"/>
      <c r="DI93" s="14"/>
      <c r="DJ93" s="14"/>
      <c r="DK93" s="14"/>
      <c r="DL93" s="14"/>
      <c r="DM93" s="96"/>
      <c r="DN93" s="14"/>
      <c r="DO93" s="96"/>
      <c r="DP93" s="22"/>
      <c r="DQ93" s="14"/>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46"/>
      <c r="FR93" s="46"/>
      <c r="FS93" s="46"/>
      <c r="FT93" s="46"/>
      <c r="FU93" s="46"/>
      <c r="FV93" s="46"/>
      <c r="FW93" s="46"/>
      <c r="FX93" s="46"/>
      <c r="FY93" s="46"/>
      <c r="FZ93" s="46"/>
      <c r="GA93" s="46"/>
      <c r="GB93" s="46"/>
      <c r="GC93" s="46"/>
      <c r="GD93" s="46"/>
      <c r="GE93" s="46"/>
      <c r="GF93" s="46"/>
      <c r="GG93" s="46"/>
      <c r="GH93" s="46"/>
    </row>
    <row r="94" spans="1:190" x14ac:dyDescent="0.25">
      <c r="A94" s="5" t="s">
        <v>93</v>
      </c>
      <c r="B94" s="1">
        <v>1126</v>
      </c>
      <c r="C94" s="98" t="s">
        <v>101</v>
      </c>
      <c r="D94" s="98" t="s">
        <v>107</v>
      </c>
      <c r="E94" s="1">
        <v>284</v>
      </c>
      <c r="F94" s="22">
        <v>49.31</v>
      </c>
      <c r="G94" s="22">
        <v>1.1879999999999999</v>
      </c>
      <c r="H94" s="22">
        <v>4.41</v>
      </c>
      <c r="I94" s="22">
        <v>0</v>
      </c>
      <c r="J94" s="22">
        <v>9.89</v>
      </c>
      <c r="K94" s="22">
        <v>0.25700000000000001</v>
      </c>
      <c r="L94" s="22">
        <v>13.29</v>
      </c>
      <c r="M94" s="22">
        <v>21.16</v>
      </c>
      <c r="N94" s="22">
        <v>0.32300000000000001</v>
      </c>
      <c r="O94" s="22">
        <v>0</v>
      </c>
      <c r="P94" s="22">
        <v>0</v>
      </c>
      <c r="Q94" s="22"/>
      <c r="R94" s="22"/>
      <c r="S94" s="22">
        <f t="shared" si="244"/>
        <v>99.827999999999989</v>
      </c>
      <c r="T94" s="3"/>
      <c r="U94" s="22">
        <f t="shared" si="245"/>
        <v>7.4758716031219699</v>
      </c>
      <c r="V94" s="22">
        <f t="shared" si="246"/>
        <v>2.6828208874505557</v>
      </c>
      <c r="W94" s="22">
        <f t="shared" si="247"/>
        <v>100.09669249057252</v>
      </c>
      <c r="X94" s="1"/>
      <c r="Y94" s="1">
        <v>1</v>
      </c>
      <c r="Z94" s="1"/>
      <c r="AA94" s="1" t="s">
        <v>185</v>
      </c>
      <c r="AC94" s="1">
        <v>6</v>
      </c>
      <c r="AD94" s="1">
        <v>4</v>
      </c>
      <c r="AE94" s="1"/>
      <c r="AF94" s="26">
        <f t="shared" si="248"/>
        <v>1.8550875089061338</v>
      </c>
      <c r="AG94" s="26">
        <f t="shared" si="249"/>
        <v>3.3615355387491004E-2</v>
      </c>
      <c r="AH94" s="26">
        <f t="shared" si="250"/>
        <v>0.19552310298347286</v>
      </c>
      <c r="AI94" s="26">
        <f t="shared" si="251"/>
        <v>0</v>
      </c>
      <c r="AJ94" s="26">
        <f t="shared" si="252"/>
        <v>0.31112065304880182</v>
      </c>
      <c r="AK94" s="26">
        <f t="shared" si="253"/>
        <v>8.1884417097232171E-3</v>
      </c>
      <c r="AL94" s="26">
        <f t="shared" si="254"/>
        <v>0.74538261187575638</v>
      </c>
      <c r="AM94" s="26">
        <f t="shared" si="255"/>
        <v>0.85283886009321785</v>
      </c>
      <c r="AN94" s="26">
        <f t="shared" si="256"/>
        <v>2.3558100420086322E-2</v>
      </c>
      <c r="AO94" s="26">
        <f t="shared" si="257"/>
        <v>0</v>
      </c>
      <c r="AP94" s="26">
        <f t="shared" si="258"/>
        <v>0</v>
      </c>
      <c r="AQ94" s="26">
        <f t="shared" si="259"/>
        <v>0</v>
      </c>
      <c r="AR94" s="26">
        <f t="shared" si="260"/>
        <v>0</v>
      </c>
      <c r="AS94" s="26">
        <f t="shared" si="261"/>
        <v>4.0253146344246833</v>
      </c>
      <c r="AT94" s="26">
        <f t="shared" si="262"/>
        <v>2.0506106118896068</v>
      </c>
      <c r="AU94" s="26">
        <f t="shared" si="263"/>
        <v>0.87639696051330418</v>
      </c>
      <c r="AV94" s="47"/>
      <c r="AW94" s="26">
        <f t="shared" si="264"/>
        <v>1.8434211259327025</v>
      </c>
      <c r="AX94" s="26">
        <f t="shared" si="265"/>
        <v>3.3403953171770348E-2</v>
      </c>
      <c r="AY94" s="26">
        <f t="shared" si="266"/>
        <v>0.19429348584217485</v>
      </c>
      <c r="AZ94" s="26">
        <f t="shared" si="267"/>
        <v>0</v>
      </c>
      <c r="BA94" s="26">
        <f t="shared" si="268"/>
        <v>0.23369775645710716</v>
      </c>
      <c r="BB94" s="26">
        <f t="shared" si="269"/>
        <v>7.5466302807312147E-2</v>
      </c>
      <c r="BC94" s="26">
        <f t="shared" si="270"/>
        <v>8.1369457579243843E-3</v>
      </c>
      <c r="BD94" s="26">
        <f t="shared" si="271"/>
        <v>0.7406950060511629</v>
      </c>
      <c r="BE94" s="26">
        <f t="shared" si="272"/>
        <v>0.84747547712141469</v>
      </c>
      <c r="BF94" s="26">
        <f t="shared" si="273"/>
        <v>2.3409946858430709E-2</v>
      </c>
      <c r="BG94" s="26">
        <f t="shared" si="274"/>
        <v>0</v>
      </c>
      <c r="BH94" s="26">
        <f t="shared" si="275"/>
        <v>0</v>
      </c>
      <c r="BI94" s="26">
        <f t="shared" si="276"/>
        <v>0</v>
      </c>
      <c r="BJ94" s="26">
        <f t="shared" si="277"/>
        <v>0</v>
      </c>
      <c r="BK94" s="25">
        <f t="shared" si="278"/>
        <v>3.9999999999999991</v>
      </c>
      <c r="BL94" s="24">
        <f t="shared" si="279"/>
        <v>6.0000000000000009</v>
      </c>
      <c r="BM94" s="26">
        <f t="shared" si="280"/>
        <v>2.0377146117748772</v>
      </c>
      <c r="BN94" s="26">
        <f t="shared" si="281"/>
        <v>0.87088542397984536</v>
      </c>
      <c r="BO94" s="22"/>
      <c r="BP94" s="23">
        <f t="shared" si="282"/>
        <v>0.70551851245720654</v>
      </c>
      <c r="BQ94" s="26">
        <f t="shared" si="283"/>
        <v>0.15657887406729754</v>
      </c>
      <c r="BR94" s="26">
        <f t="shared" si="284"/>
        <v>3.771461177487731E-2</v>
      </c>
      <c r="BS94" s="26"/>
      <c r="BT94" s="26">
        <f t="shared" si="285"/>
        <v>2.3558100420086322E-2</v>
      </c>
      <c r="BU94" s="26">
        <f t="shared" si="286"/>
        <v>1.4304664916446601E-2</v>
      </c>
      <c r="BV94" s="26">
        <f t="shared" si="287"/>
        <v>3.056227931665401E-2</v>
      </c>
      <c r="BW94" s="26">
        <f t="shared" si="288"/>
        <v>0</v>
      </c>
      <c r="BX94" s="26">
        <f t="shared" si="289"/>
        <v>0.8079719158601173</v>
      </c>
      <c r="BY94" s="26">
        <f t="shared" si="290"/>
        <v>0.12426567453222048</v>
      </c>
      <c r="BZ94" s="26">
        <f t="shared" si="291"/>
        <v>1.0006626350455248</v>
      </c>
      <c r="CA94" s="22"/>
      <c r="CB94" s="22">
        <f t="shared" si="292"/>
        <v>2.3409946858430709E-2</v>
      </c>
      <c r="CC94" s="22">
        <f t="shared" si="293"/>
        <v>0</v>
      </c>
      <c r="CD94" s="22">
        <f t="shared" si="294"/>
        <v>5.2056355948881437E-2</v>
      </c>
      <c r="CE94" s="22">
        <f t="shared" si="295"/>
        <v>0</v>
      </c>
      <c r="CF94" s="22">
        <f t="shared" si="296"/>
        <v>3.771461177487731E-2</v>
      </c>
      <c r="CG94" s="22">
        <f t="shared" si="297"/>
        <v>0.39055722812804328</v>
      </c>
      <c r="CH94" s="22">
        <f t="shared" si="298"/>
        <v>0.46327439505761431</v>
      </c>
      <c r="CI94" s="22">
        <f t="shared" si="299"/>
        <v>0.14616837681434242</v>
      </c>
      <c r="CJ94" s="22"/>
      <c r="CK94" s="22">
        <f t="shared" si="300"/>
        <v>0.44475893886202389</v>
      </c>
      <c r="CL94" s="22">
        <f t="shared" si="301"/>
        <v>0.38872006778376578</v>
      </c>
      <c r="CM94" s="22">
        <f t="shared" si="302"/>
        <v>0.16652099335421031</v>
      </c>
      <c r="CN94" s="1"/>
      <c r="CO94" s="26">
        <f t="shared" si="303"/>
        <v>0.82073901464713717</v>
      </c>
      <c r="CP94" s="26">
        <f t="shared" si="304"/>
        <v>1.4872308462694042E-2</v>
      </c>
      <c r="CQ94" s="26">
        <f t="shared" si="305"/>
        <v>8.6504511573165951E-2</v>
      </c>
      <c r="CR94" s="26">
        <f t="shared" si="306"/>
        <v>0</v>
      </c>
      <c r="CS94" s="26">
        <f t="shared" si="307"/>
        <v>0.13764787752261659</v>
      </c>
      <c r="CT94" s="26">
        <f t="shared" si="308"/>
        <v>3.6227798139272628E-3</v>
      </c>
      <c r="CU94" s="26">
        <f t="shared" si="309"/>
        <v>0.32977667493796525</v>
      </c>
      <c r="CV94" s="26">
        <f t="shared" si="310"/>
        <v>0.37731811697574896</v>
      </c>
      <c r="CW94" s="26">
        <f t="shared" si="311"/>
        <v>1.0422717005485641E-2</v>
      </c>
      <c r="CX94" s="26">
        <f t="shared" si="312"/>
        <v>0</v>
      </c>
      <c r="CY94" s="26">
        <f t="shared" si="313"/>
        <v>0</v>
      </c>
      <c r="CZ94" s="26">
        <f t="shared" si="314"/>
        <v>0</v>
      </c>
      <c r="DA94" s="26">
        <f t="shared" si="315"/>
        <v>0</v>
      </c>
      <c r="DB94" s="26">
        <f t="shared" si="316"/>
        <v>1.7809040009387409</v>
      </c>
      <c r="DC94" s="26">
        <f t="shared" si="317"/>
        <v>2.6545562213324119</v>
      </c>
      <c r="DD94" s="26">
        <f t="shared" si="318"/>
        <v>2.2460503193274541</v>
      </c>
      <c r="DE94" s="26">
        <f t="shared" si="319"/>
        <v>5.9622668485963439</v>
      </c>
      <c r="DF94" s="1"/>
      <c r="DG94" s="22"/>
      <c r="DH94" s="14"/>
      <c r="DI94" s="14"/>
      <c r="DJ94" s="14"/>
      <c r="DK94" s="14"/>
      <c r="DL94" s="14"/>
      <c r="DM94" s="96"/>
      <c r="DN94" s="14"/>
      <c r="DO94" s="96"/>
      <c r="DP94" s="22"/>
      <c r="DQ94" s="14"/>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46">
        <f t="shared" ref="FQ94:FQ95" si="356" xml:space="preserve">  -0.73306   +   1.025016   *  FS94     +N("316 NN Nd")</f>
        <v>-1.477512906754062</v>
      </c>
      <c r="FR94" s="46">
        <f t="shared" ref="FR94:FR95" si="357" xml:space="preserve">  -0.33671   +   1.013871 *  FS94    +N("340 NN")</f>
        <v>-1.0730684695493997</v>
      </c>
      <c r="FS94" s="46">
        <f t="shared" ref="FS94:FS95" si="358">-0.42496     +   1.017678*FT94                 + N("361 NN")</f>
        <v>-0.72628418166551745</v>
      </c>
      <c r="FT94" s="46">
        <f xml:space="preserve"> 0.68509  -3.34181 * BP94 + 0.03095*(100*CK94) +N("642 cpx Mg# Wo R2 0.59")</f>
        <v>-0.29608990433665405</v>
      </c>
      <c r="FU94" s="46">
        <f t="shared" ref="FU94:FU95" si="359" xml:space="preserve"> -0.06599 + 0.926002 * FT94  + N("409 NN")</f>
        <v>-0.3401698435955503</v>
      </c>
      <c r="FV94" s="46">
        <f t="shared" ref="FV94:FV95" si="360">0.1453     +   0.925549*FT94     +N("424 LnD Sm")</f>
        <v>-0.12874571486888578</v>
      </c>
      <c r="FW94" s="46">
        <f t="shared" ref="FW94:FW95" si="361" xml:space="preserve">  0.053547 + 0.932974 * FV94  +  N("445 NN")</f>
        <v>-6.6569404584083836E-2</v>
      </c>
      <c r="FX94" s="46">
        <f t="shared" ref="FX94:FX95" si="362" xml:space="preserve">  0.027177  +  0.867603 * FV94 + N("464 NN Gd")</f>
        <v>-8.4523168457389913E-2</v>
      </c>
      <c r="FY94" s="46">
        <f t="shared" ref="FY94:FY95" si="363" xml:space="preserve">  -0.06187  +  0.953618 * FX94   + N("505 NN Dy")</f>
        <v>-0.14247281485799926</v>
      </c>
      <c r="FZ94" s="46">
        <f t="shared" ref="FZ94:FZ95" si="364" xml:space="preserve"> -0.05652 + 0.972005*FY94   +N("533 NN")</f>
        <v>-0.19500428840604955</v>
      </c>
      <c r="GA94" s="46">
        <f t="shared" ref="GA94:GA95" si="365" xml:space="preserve">     0.018586 + 0.960264 * FZ94    +N("549 LnD Er")</f>
        <v>-0.16866959800194678</v>
      </c>
      <c r="GB94" s="46">
        <f t="shared" ref="GB94:GB95" si="366" xml:space="preserve"> -0.02011 + 0.936315 * FZ94    +N("574 NN Er")</f>
        <v>-0.20269544029891029</v>
      </c>
      <c r="GC94" s="46">
        <f t="shared" ref="GC94:GC95" si="367" xml:space="preserve">   0.01732 + 1.006083 * GB94  +N("597 NN Yb")</f>
        <v>-0.18660843666224858</v>
      </c>
      <c r="GD94" s="46">
        <f>(-1.72947 +0 ) * (3.46258+0) * BQ94   - (1.87473 + 0) *BP94   + (0.03253+0) * (CK94*100)    +N("eqn625 aliv mg# wo")</f>
        <v>-0.81351724283405979</v>
      </c>
      <c r="GE94" s="46"/>
      <c r="GF94" s="46"/>
      <c r="GG94" s="46"/>
      <c r="GH94" s="46"/>
    </row>
    <row r="95" spans="1:190" x14ac:dyDescent="0.25">
      <c r="A95" s="5" t="s">
        <v>256</v>
      </c>
      <c r="B95" s="1">
        <v>1205</v>
      </c>
      <c r="C95" s="98" t="s">
        <v>99</v>
      </c>
      <c r="D95" s="98" t="s">
        <v>105</v>
      </c>
      <c r="E95" s="1">
        <v>38</v>
      </c>
      <c r="F95" s="22">
        <v>50.83</v>
      </c>
      <c r="G95" s="22">
        <v>0.53600000000000003</v>
      </c>
      <c r="H95" s="22">
        <v>1.353</v>
      </c>
      <c r="I95" s="22">
        <v>0.01</v>
      </c>
      <c r="J95" s="22">
        <v>10.5</v>
      </c>
      <c r="K95" s="22">
        <v>0.33</v>
      </c>
      <c r="L95" s="22">
        <v>12.24</v>
      </c>
      <c r="M95" s="22">
        <v>22.47</v>
      </c>
      <c r="N95" s="22">
        <v>0.53400000000000003</v>
      </c>
      <c r="O95" s="22">
        <v>0.01</v>
      </c>
      <c r="P95" s="22">
        <v>0</v>
      </c>
      <c r="Q95" s="22"/>
      <c r="R95" s="22"/>
      <c r="S95" s="22">
        <f t="shared" si="244"/>
        <v>98.813000000000002</v>
      </c>
      <c r="T95" s="3"/>
      <c r="U95" s="22">
        <f t="shared" si="245"/>
        <v>7.8179852569946737</v>
      </c>
      <c r="V95" s="22">
        <f t="shared" si="246"/>
        <v>2.9805229839018201</v>
      </c>
      <c r="W95" s="22">
        <f t="shared" si="247"/>
        <v>99.111508240896484</v>
      </c>
      <c r="X95" s="1"/>
      <c r="Y95" s="1"/>
      <c r="Z95" s="1"/>
      <c r="AA95" s="1" t="s">
        <v>185</v>
      </c>
      <c r="AC95" s="1">
        <v>6</v>
      </c>
      <c r="AD95" s="1">
        <v>4</v>
      </c>
      <c r="AE95" s="1"/>
      <c r="AF95" s="26">
        <f t="shared" si="248"/>
        <v>1.9453519335971172</v>
      </c>
      <c r="AG95" s="26">
        <f t="shared" si="249"/>
        <v>1.5428891634568698E-2</v>
      </c>
      <c r="AH95" s="26">
        <f t="shared" si="250"/>
        <v>6.1024743229709896E-2</v>
      </c>
      <c r="AI95" s="26">
        <f t="shared" si="251"/>
        <v>3.0256798703600572E-4</v>
      </c>
      <c r="AJ95" s="26">
        <f t="shared" si="252"/>
        <v>0.33602417374448612</v>
      </c>
      <c r="AK95" s="26">
        <f t="shared" si="253"/>
        <v>1.0696230445001996E-2</v>
      </c>
      <c r="AL95" s="26">
        <f t="shared" si="254"/>
        <v>0.69836805731902585</v>
      </c>
      <c r="AM95" s="26">
        <f t="shared" si="255"/>
        <v>0.92130422487122743</v>
      </c>
      <c r="AN95" s="26">
        <f t="shared" si="256"/>
        <v>3.9621204676811468E-2</v>
      </c>
      <c r="AO95" s="26">
        <f t="shared" si="257"/>
        <v>4.8818798672614139E-4</v>
      </c>
      <c r="AP95" s="26">
        <f t="shared" si="258"/>
        <v>0</v>
      </c>
      <c r="AQ95" s="26">
        <f t="shared" si="259"/>
        <v>0</v>
      </c>
      <c r="AR95" s="26">
        <f t="shared" si="260"/>
        <v>0</v>
      </c>
      <c r="AS95" s="26">
        <f t="shared" si="261"/>
        <v>4.0286102154917112</v>
      </c>
      <c r="AT95" s="26">
        <f t="shared" si="262"/>
        <v>2.006376676826827</v>
      </c>
      <c r="AU95" s="26">
        <f t="shared" si="263"/>
        <v>0.96141361753476506</v>
      </c>
      <c r="AV95" s="47"/>
      <c r="AW95" s="26">
        <f t="shared" si="264"/>
        <v>1.9315365146187791</v>
      </c>
      <c r="AX95" s="26">
        <f t="shared" si="265"/>
        <v>1.5319319377425079E-2</v>
      </c>
      <c r="AY95" s="26">
        <f t="shared" si="266"/>
        <v>6.0591360261207636E-2</v>
      </c>
      <c r="AZ95" s="26">
        <f t="shared" si="267"/>
        <v>3.0041922236358714E-4</v>
      </c>
      <c r="BA95" s="26">
        <f t="shared" si="268"/>
        <v>0.24841671334422299</v>
      </c>
      <c r="BB95" s="26">
        <f t="shared" si="269"/>
        <v>8.5221097980715754E-2</v>
      </c>
      <c r="BC95" s="26">
        <f t="shared" si="270"/>
        <v>1.0620268403103842E-2</v>
      </c>
      <c r="BD95" s="26">
        <f t="shared" si="271"/>
        <v>0.69340841626574357</v>
      </c>
      <c r="BE95" s="26">
        <f t="shared" si="272"/>
        <v>0.91476134506974416</v>
      </c>
      <c r="BF95" s="26">
        <f t="shared" si="273"/>
        <v>3.9339824462988421E-2</v>
      </c>
      <c r="BG95" s="26">
        <f t="shared" si="274"/>
        <v>4.8472099370532496E-4</v>
      </c>
      <c r="BH95" s="26">
        <f t="shared" si="275"/>
        <v>0</v>
      </c>
      <c r="BI95" s="26">
        <f t="shared" si="276"/>
        <v>0</v>
      </c>
      <c r="BJ95" s="26">
        <f t="shared" si="277"/>
        <v>0</v>
      </c>
      <c r="BK95" s="25">
        <f t="shared" si="278"/>
        <v>4</v>
      </c>
      <c r="BL95" s="24">
        <f t="shared" si="279"/>
        <v>5.9999999999999991</v>
      </c>
      <c r="BM95" s="26">
        <f t="shared" si="280"/>
        <v>1.9921278748799867</v>
      </c>
      <c r="BN95" s="26">
        <f t="shared" si="281"/>
        <v>0.95458589052643794</v>
      </c>
      <c r="BO95" s="22"/>
      <c r="BP95" s="23">
        <f t="shared" si="282"/>
        <v>0.67514820427546884</v>
      </c>
      <c r="BQ95" s="26">
        <f t="shared" si="283"/>
        <v>6.8463485381220934E-2</v>
      </c>
      <c r="BR95" s="26">
        <f t="shared" si="284"/>
        <v>0</v>
      </c>
      <c r="BS95" s="26"/>
      <c r="BT95" s="26">
        <f t="shared" si="285"/>
        <v>0</v>
      </c>
      <c r="BU95" s="26">
        <f t="shared" si="286"/>
        <v>0</v>
      </c>
      <c r="BV95" s="26">
        <f t="shared" si="287"/>
        <v>0</v>
      </c>
      <c r="BW95" s="26">
        <f t="shared" si="288"/>
        <v>1.5128399351800286E-4</v>
      </c>
      <c r="BX95" s="26">
        <f t="shared" si="289"/>
        <v>0.92115294087770938</v>
      </c>
      <c r="BY95" s="26">
        <f t="shared" si="290"/>
        <v>5.6619645092901238E-2</v>
      </c>
      <c r="BZ95" s="26">
        <f t="shared" si="291"/>
        <v>0.97792386996412861</v>
      </c>
      <c r="CA95" s="22"/>
      <c r="CB95" s="22">
        <f t="shared" si="292"/>
        <v>3.9339824462988421E-2</v>
      </c>
      <c r="CC95" s="22">
        <f t="shared" si="293"/>
        <v>0</v>
      </c>
      <c r="CD95" s="22">
        <f t="shared" si="294"/>
        <v>4.5881273517727333E-2</v>
      </c>
      <c r="CE95" s="22">
        <f t="shared" si="295"/>
        <v>3.0041922236358714E-4</v>
      </c>
      <c r="CF95" s="22">
        <f t="shared" si="296"/>
        <v>0</v>
      </c>
      <c r="CG95" s="22">
        <f t="shared" si="297"/>
        <v>0.45395973839632087</v>
      </c>
      <c r="CH95" s="22">
        <f t="shared" si="298"/>
        <v>0.40201615046387562</v>
      </c>
      <c r="CI95" s="22">
        <f t="shared" si="299"/>
        <v>0.14402411113980354</v>
      </c>
      <c r="CJ95" s="22"/>
      <c r="CK95" s="22">
        <f t="shared" si="300"/>
        <v>0.46852504652435889</v>
      </c>
      <c r="CL95" s="22">
        <f t="shared" si="301"/>
        <v>0.35515187894884187</v>
      </c>
      <c r="CM95" s="22">
        <f t="shared" si="302"/>
        <v>0.17632307452679924</v>
      </c>
      <c r="CN95" s="1"/>
      <c r="CO95" s="26">
        <f t="shared" si="303"/>
        <v>0.84603861517976031</v>
      </c>
      <c r="CP95" s="26">
        <f t="shared" si="304"/>
        <v>6.7100650976464702E-3</v>
      </c>
      <c r="CQ95" s="26">
        <f t="shared" si="305"/>
        <v>2.6539819537073364E-2</v>
      </c>
      <c r="CR95" s="26">
        <f t="shared" si="306"/>
        <v>1.3158760444766102E-4</v>
      </c>
      <c r="CS95" s="26">
        <f t="shared" si="307"/>
        <v>0.14613778705636746</v>
      </c>
      <c r="CT95" s="26">
        <f t="shared" si="308"/>
        <v>4.6518184381167185E-3</v>
      </c>
      <c r="CU95" s="26">
        <f t="shared" si="309"/>
        <v>0.30372208436724568</v>
      </c>
      <c r="CV95" s="26">
        <f t="shared" si="310"/>
        <v>0.40067760342368047</v>
      </c>
      <c r="CW95" s="26">
        <f t="shared" si="311"/>
        <v>1.7231364956437564E-2</v>
      </c>
      <c r="CX95" s="26">
        <f t="shared" si="312"/>
        <v>2.1231422505307856E-4</v>
      </c>
      <c r="CY95" s="26">
        <f t="shared" si="313"/>
        <v>0</v>
      </c>
      <c r="CZ95" s="26">
        <f t="shared" si="314"/>
        <v>0</v>
      </c>
      <c r="DA95" s="26">
        <f t="shared" si="315"/>
        <v>0</v>
      </c>
      <c r="DB95" s="26">
        <f t="shared" si="316"/>
        <v>1.7520530598858288</v>
      </c>
      <c r="DC95" s="26">
        <f t="shared" si="317"/>
        <v>2.6094156041432504</v>
      </c>
      <c r="DD95" s="26">
        <f t="shared" si="318"/>
        <v>2.2830358803520805</v>
      </c>
      <c r="DE95" s="26">
        <f t="shared" si="319"/>
        <v>5.9573894510096412</v>
      </c>
      <c r="DF95" s="1"/>
      <c r="DG95" s="22">
        <v>2.4582280364987348</v>
      </c>
      <c r="DH95" s="14">
        <v>3311.9847384058057</v>
      </c>
      <c r="DI95" s="14">
        <v>76112.252707330175</v>
      </c>
      <c r="DJ95" s="14">
        <v>6753.0277526557729</v>
      </c>
      <c r="DK95" s="14">
        <v>236623.19045258075</v>
      </c>
      <c r="DL95" s="14">
        <v>162103.8243166375</v>
      </c>
      <c r="DM95" s="96">
        <v>84.763983536579346</v>
      </c>
      <c r="DN95" s="14">
        <v>3270.6229833739662</v>
      </c>
      <c r="DO95" s="96">
        <v>321.73617143489236</v>
      </c>
      <c r="DP95" s="22">
        <v>45.482245142365741</v>
      </c>
      <c r="DQ95" s="14">
        <v>2545.72179483337</v>
      </c>
      <c r="DR95" s="22">
        <v>40.873953954017225</v>
      </c>
      <c r="DS95" s="22">
        <v>46.277793052511413</v>
      </c>
      <c r="DT95" s="22">
        <v>0</v>
      </c>
      <c r="DU95" s="22">
        <v>61.650227385112785</v>
      </c>
      <c r="DV95" s="22">
        <v>0</v>
      </c>
      <c r="DW95" s="22">
        <v>16.710510273676356</v>
      </c>
      <c r="DX95" s="22">
        <v>18.26660749327726</v>
      </c>
      <c r="DY95" s="22">
        <v>17.944334178363555</v>
      </c>
      <c r="DZ95" s="22">
        <v>66.813912114668398</v>
      </c>
      <c r="EA95" s="22">
        <v>0</v>
      </c>
      <c r="EB95" s="22">
        <v>0</v>
      </c>
      <c r="EC95" s="22">
        <v>0</v>
      </c>
      <c r="ED95" s="22">
        <v>4.9385063051050802</v>
      </c>
      <c r="EE95" s="22">
        <v>14.170569472413391</v>
      </c>
      <c r="EF95" s="22">
        <v>1.9108144044898232</v>
      </c>
      <c r="EG95" s="22">
        <v>8.7276840864746728</v>
      </c>
      <c r="EH95" s="22">
        <v>2.7553958545279991</v>
      </c>
      <c r="EI95" s="22">
        <v>0.35540028425648018</v>
      </c>
      <c r="EJ95" s="22">
        <v>3.0729289533869406</v>
      </c>
      <c r="EK95" s="22">
        <v>0.48274210623334635</v>
      </c>
      <c r="EL95" s="22">
        <v>2.8594189644406347</v>
      </c>
      <c r="EM95" s="22">
        <v>0.6822529747515631</v>
      </c>
      <c r="EN95" s="22">
        <v>2.0601867207482467</v>
      </c>
      <c r="EO95" s="22">
        <v>0.29390503349641683</v>
      </c>
      <c r="EP95" s="22">
        <v>2.3275109588107417</v>
      </c>
      <c r="EQ95" s="22">
        <v>0.43654793793127811</v>
      </c>
      <c r="ER95" s="22">
        <v>2.7432606598368459</v>
      </c>
      <c r="ES95" s="22">
        <v>4.4609516989682761E-2</v>
      </c>
      <c r="ET95" s="22">
        <v>9.8095480940308274E-2</v>
      </c>
      <c r="EU95" s="22">
        <v>8.628615342803958E-2</v>
      </c>
      <c r="EV95" s="22">
        <v>1.1058406616187597E-2</v>
      </c>
      <c r="EW95" s="22">
        <f t="shared" ref="EW95:EW100" si="368">(EI95/0.05883)/SQRT((EH95/0.1536)*(EJ95/0.2069))</f>
        <v>0.3701063322097401</v>
      </c>
      <c r="EX95" s="22"/>
      <c r="EY95" s="22"/>
      <c r="EZ95" s="22"/>
      <c r="FA95" s="22"/>
      <c r="FB95" s="22"/>
      <c r="FC95" s="22"/>
      <c r="FD95" s="22"/>
      <c r="FE95" s="22"/>
      <c r="FF95" s="22"/>
      <c r="FG95" s="22"/>
      <c r="FH95" s="22"/>
      <c r="FI95" s="22">
        <f t="shared" ref="FI95:FI100" si="369">-0.50354-2.23025*BP95+ N("eqn 18 Mg# R2 0.28 best")</f>
        <v>-2.0092892825853643</v>
      </c>
      <c r="FJ95" s="22"/>
      <c r="FK95" s="22">
        <f t="shared" ref="FK95:FK100" si="370" xml:space="preserve"> -0.03692  +  0.931085 + FX95   + N("488 NN Dy")</f>
        <v>0.95020688850941737</v>
      </c>
      <c r="FL95" s="22">
        <f t="shared" ref="FL95:FL100" si="371">-0.48986  +   0    +   (1.071278 + 0) * GD95  +N("eqn 119 LnD Hf  (which has R2 of 0.51 for TS")</f>
        <v>-0.6522628367266432</v>
      </c>
      <c r="FM95" s="22"/>
      <c r="FN95" s="22"/>
      <c r="FO95" s="22">
        <f t="shared" ref="FO95:FO100" si="372">3.94011-11.9214*BP95</f>
        <v>-4.1086018024495745</v>
      </c>
      <c r="FP95" s="22">
        <f t="shared" ref="FP95:FP100" si="373" xml:space="preserve">  -0.49862 +   1.013256 * FQ95 + N("294 NN")</f>
        <v>-1.8106994781275689</v>
      </c>
      <c r="FQ95" s="46">
        <f t="shared" si="356"/>
        <v>-1.294914096859598</v>
      </c>
      <c r="FR95" s="46">
        <f t="shared" si="357"/>
        <v>-0.89245505669876124</v>
      </c>
      <c r="FS95" s="46">
        <f t="shared" si="358"/>
        <v>-0.54814178204008335</v>
      </c>
      <c r="FT95" s="46">
        <f xml:space="preserve"> 0.68509  -3.34181 * BP95 + 0.03095*(100*CK95) +N("642 cpx Mg# Wo R2 0.59")</f>
        <v>-0.1210420015369138</v>
      </c>
      <c r="FU95" s="46">
        <f t="shared" si="359"/>
        <v>-0.17807513550718523</v>
      </c>
      <c r="FV95" s="46">
        <f t="shared" si="360"/>
        <v>3.3269696519510991E-2</v>
      </c>
      <c r="FW95" s="46">
        <f t="shared" si="361"/>
        <v>8.4586761840594243E-2</v>
      </c>
      <c r="FX95" s="46">
        <f t="shared" si="362"/>
        <v>5.6041888509417298E-2</v>
      </c>
      <c r="FY95" s="46">
        <f t="shared" si="363"/>
        <v>-8.4274463634264954E-3</v>
      </c>
      <c r="FZ95" s="46">
        <f t="shared" si="364"/>
        <v>-6.471152000248237E-2</v>
      </c>
      <c r="GA95" s="46">
        <f t="shared" si="365"/>
        <v>-4.3554143043663736E-2</v>
      </c>
      <c r="GB95" s="46">
        <f t="shared" si="366"/>
        <v>-8.0700366851124278E-2</v>
      </c>
      <c r="GC95" s="46">
        <f t="shared" si="367"/>
        <v>-6.3871267182679672E-2</v>
      </c>
      <c r="GD95" s="46">
        <f>(-1.72947 +0 ) * (3.46258+0) * BQ95   - (1.87473 + 0) *BP95   + (0.03253+0) * (CK95*100)    +N("eqn625 aliv mg# wo")</f>
        <v>-0.15159728541671091</v>
      </c>
      <c r="GE95" s="46"/>
      <c r="GF95" s="46"/>
      <c r="GG95" s="46"/>
      <c r="GH95" s="46"/>
    </row>
    <row r="96" spans="1:190" x14ac:dyDescent="0.25">
      <c r="A96" s="5" t="s">
        <v>256</v>
      </c>
      <c r="B96" s="1">
        <v>1206</v>
      </c>
      <c r="C96" s="98" t="s">
        <v>99</v>
      </c>
      <c r="D96" s="98" t="s">
        <v>105</v>
      </c>
      <c r="E96" s="1">
        <v>39</v>
      </c>
      <c r="F96" s="22">
        <v>52.82</v>
      </c>
      <c r="G96" s="22">
        <v>0.16400000000000001</v>
      </c>
      <c r="H96" s="22">
        <v>0.90300000000000002</v>
      </c>
      <c r="I96" s="22">
        <v>0</v>
      </c>
      <c r="J96" s="22">
        <v>7.97</v>
      </c>
      <c r="K96" s="22">
        <v>0.30099999999999999</v>
      </c>
      <c r="L96" s="22">
        <v>13.49</v>
      </c>
      <c r="M96" s="22">
        <v>24.15</v>
      </c>
      <c r="N96" s="22">
        <v>0.36799999999999999</v>
      </c>
      <c r="O96" s="22">
        <v>0</v>
      </c>
      <c r="P96" s="22">
        <v>0</v>
      </c>
      <c r="Q96" s="22"/>
      <c r="R96" s="22"/>
      <c r="S96" s="22">
        <f t="shared" si="244"/>
        <v>100.166</v>
      </c>
      <c r="T96" s="3"/>
      <c r="U96" s="22">
        <f t="shared" si="245"/>
        <v>6.3118297767015301</v>
      </c>
      <c r="V96" s="22">
        <f t="shared" si="246"/>
        <v>1.8427245691515894</v>
      </c>
      <c r="W96" s="22">
        <f t="shared" si="247"/>
        <v>100.35055434585311</v>
      </c>
      <c r="X96" s="1"/>
      <c r="Y96" s="1"/>
      <c r="Z96" s="1"/>
      <c r="AA96" s="1" t="s">
        <v>185</v>
      </c>
      <c r="AC96" s="1">
        <v>6</v>
      </c>
      <c r="AD96" s="1">
        <v>4</v>
      </c>
      <c r="AE96" s="1"/>
      <c r="AF96" s="26">
        <f t="shared" si="248"/>
        <v>1.9715979665667123</v>
      </c>
      <c r="AG96" s="26">
        <f t="shared" si="249"/>
        <v>4.6042159026920271E-3</v>
      </c>
      <c r="AH96" s="26">
        <f t="shared" si="250"/>
        <v>3.9722612882055169E-2</v>
      </c>
      <c r="AI96" s="26">
        <f t="shared" si="251"/>
        <v>0</v>
      </c>
      <c r="AJ96" s="26">
        <f t="shared" si="252"/>
        <v>0.24876050948513176</v>
      </c>
      <c r="AK96" s="26">
        <f t="shared" si="253"/>
        <v>9.5153594809095597E-3</v>
      </c>
      <c r="AL96" s="26">
        <f t="shared" si="254"/>
        <v>0.75068336523058121</v>
      </c>
      <c r="AM96" s="26">
        <f t="shared" si="255"/>
        <v>0.96573732932863698</v>
      </c>
      <c r="AN96" s="26">
        <f t="shared" si="256"/>
        <v>2.6630304425697977E-2</v>
      </c>
      <c r="AO96" s="26">
        <f t="shared" si="257"/>
        <v>0</v>
      </c>
      <c r="AP96" s="26">
        <f t="shared" si="258"/>
        <v>0</v>
      </c>
      <c r="AQ96" s="26">
        <f t="shared" si="259"/>
        <v>0</v>
      </c>
      <c r="AR96" s="26">
        <f t="shared" si="260"/>
        <v>0</v>
      </c>
      <c r="AS96" s="26">
        <f t="shared" si="261"/>
        <v>4.0172516633024173</v>
      </c>
      <c r="AT96" s="26">
        <f t="shared" si="262"/>
        <v>2.0113205794487676</v>
      </c>
      <c r="AU96" s="26">
        <f t="shared" si="263"/>
        <v>0.99236763375433501</v>
      </c>
      <c r="AV96" s="47"/>
      <c r="AW96" s="26">
        <f t="shared" si="264"/>
        <v>1.9631311471743276</v>
      </c>
      <c r="AX96" s="26">
        <f t="shared" si="265"/>
        <v>4.5844435834095495E-3</v>
      </c>
      <c r="AY96" s="26">
        <f t="shared" si="266"/>
        <v>3.9552028313208386E-2</v>
      </c>
      <c r="AZ96" s="26">
        <f t="shared" si="267"/>
        <v>0</v>
      </c>
      <c r="BA96" s="26">
        <f t="shared" si="268"/>
        <v>0.19615950016527386</v>
      </c>
      <c r="BB96" s="26">
        <f t="shared" si="269"/>
        <v>5.1532733565122779E-2</v>
      </c>
      <c r="BC96" s="26">
        <f t="shared" si="270"/>
        <v>9.4744967738340548E-3</v>
      </c>
      <c r="BD96" s="26">
        <f t="shared" si="271"/>
        <v>0.74745963474289823</v>
      </c>
      <c r="BE96" s="26">
        <f t="shared" si="272"/>
        <v>0.96159007228812154</v>
      </c>
      <c r="BF96" s="26">
        <f t="shared" si="273"/>
        <v>2.6515943393804014E-2</v>
      </c>
      <c r="BG96" s="26">
        <f t="shared" si="274"/>
        <v>0</v>
      </c>
      <c r="BH96" s="26">
        <f t="shared" si="275"/>
        <v>0</v>
      </c>
      <c r="BI96" s="26">
        <f t="shared" si="276"/>
        <v>0</v>
      </c>
      <c r="BJ96" s="26">
        <f t="shared" si="277"/>
        <v>0</v>
      </c>
      <c r="BK96" s="25">
        <f t="shared" si="278"/>
        <v>3.9999999999999996</v>
      </c>
      <c r="BL96" s="24">
        <f t="shared" si="279"/>
        <v>6.0000000000000018</v>
      </c>
      <c r="BM96" s="26">
        <f t="shared" si="280"/>
        <v>2.0026831754875358</v>
      </c>
      <c r="BN96" s="26">
        <f t="shared" si="281"/>
        <v>0.98810601568192558</v>
      </c>
      <c r="BO96" s="22"/>
      <c r="BP96" s="23">
        <f t="shared" si="282"/>
        <v>0.75110107152751271</v>
      </c>
      <c r="BQ96" s="26">
        <f t="shared" si="283"/>
        <v>3.6868852825672427E-2</v>
      </c>
      <c r="BR96" s="26">
        <f t="shared" si="284"/>
        <v>2.683175487535959E-3</v>
      </c>
      <c r="BS96" s="26"/>
      <c r="BT96" s="26">
        <f t="shared" si="285"/>
        <v>2.683175487535959E-3</v>
      </c>
      <c r="BU96" s="26">
        <f t="shared" si="286"/>
        <v>0</v>
      </c>
      <c r="BV96" s="26">
        <f t="shared" si="287"/>
        <v>2.683175487535959E-3</v>
      </c>
      <c r="BW96" s="26">
        <f t="shared" si="288"/>
        <v>0</v>
      </c>
      <c r="BX96" s="26">
        <f t="shared" si="289"/>
        <v>0.96305415384110105</v>
      </c>
      <c r="BY96" s="26">
        <f t="shared" si="290"/>
        <v>1.8194860437305949E-2</v>
      </c>
      <c r="BZ96" s="26">
        <f t="shared" si="291"/>
        <v>0.98661536525347882</v>
      </c>
      <c r="CA96" s="22"/>
      <c r="CB96" s="22">
        <f t="shared" si="292"/>
        <v>2.6515943393804014E-2</v>
      </c>
      <c r="CC96" s="22">
        <f t="shared" si="293"/>
        <v>0</v>
      </c>
      <c r="CD96" s="22">
        <f t="shared" si="294"/>
        <v>2.5016790171318765E-2</v>
      </c>
      <c r="CE96" s="22">
        <f t="shared" si="295"/>
        <v>0</v>
      </c>
      <c r="CF96" s="22">
        <f t="shared" si="296"/>
        <v>2.683175487535959E-3</v>
      </c>
      <c r="CG96" s="22">
        <f t="shared" si="297"/>
        <v>0.48020302501153544</v>
      </c>
      <c r="CH96" s="22">
        <f t="shared" si="298"/>
        <v>0.41174160494652373</v>
      </c>
      <c r="CI96" s="22">
        <f t="shared" si="299"/>
        <v>0.10805537004194078</v>
      </c>
      <c r="CJ96" s="22"/>
      <c r="CK96" s="22">
        <f t="shared" si="300"/>
        <v>0.48905606419073694</v>
      </c>
      <c r="CL96" s="22">
        <f t="shared" si="301"/>
        <v>0.38015124910657133</v>
      </c>
      <c r="CM96" s="22">
        <f t="shared" si="302"/>
        <v>0.13079268670269176</v>
      </c>
      <c r="CN96" s="1"/>
      <c r="CO96" s="26">
        <f t="shared" si="303"/>
        <v>0.87916111850865519</v>
      </c>
      <c r="CP96" s="26">
        <f t="shared" si="304"/>
        <v>2.053079619429144E-3</v>
      </c>
      <c r="CQ96" s="26">
        <f t="shared" si="305"/>
        <v>1.7712828560219697E-2</v>
      </c>
      <c r="CR96" s="26">
        <f t="shared" si="306"/>
        <v>0</v>
      </c>
      <c r="CS96" s="26">
        <f t="shared" si="307"/>
        <v>0.11092553931802367</v>
      </c>
      <c r="CT96" s="26">
        <f t="shared" si="308"/>
        <v>4.2430222723428253E-3</v>
      </c>
      <c r="CU96" s="26">
        <f t="shared" si="309"/>
        <v>0.33473945409429284</v>
      </c>
      <c r="CV96" s="26">
        <f t="shared" si="310"/>
        <v>0.43063480741797433</v>
      </c>
      <c r="CW96" s="26">
        <f t="shared" si="311"/>
        <v>1.1874798322039368E-2</v>
      </c>
      <c r="CX96" s="26">
        <f t="shared" si="312"/>
        <v>0</v>
      </c>
      <c r="CY96" s="26">
        <f t="shared" si="313"/>
        <v>0</v>
      </c>
      <c r="CZ96" s="26">
        <f t="shared" si="314"/>
        <v>0</v>
      </c>
      <c r="DA96" s="26">
        <f t="shared" si="315"/>
        <v>0</v>
      </c>
      <c r="DB96" s="26">
        <f t="shared" si="316"/>
        <v>1.7913446481129771</v>
      </c>
      <c r="DC96" s="26">
        <f t="shared" si="317"/>
        <v>2.6754778613601515</v>
      </c>
      <c r="DD96" s="26">
        <f t="shared" si="318"/>
        <v>2.2329594722119195</v>
      </c>
      <c r="DE96" s="26">
        <f t="shared" si="319"/>
        <v>5.9742336332174393</v>
      </c>
      <c r="DF96" s="1"/>
      <c r="DG96" s="22">
        <v>4.0052910211687349</v>
      </c>
      <c r="DH96" s="14">
        <v>3030.0316355495315</v>
      </c>
      <c r="DI96" s="14">
        <v>79951.636476145053</v>
      </c>
      <c r="DJ96" s="14">
        <v>14523.006171114772</v>
      </c>
      <c r="DK96" s="14">
        <v>248933.29251678917</v>
      </c>
      <c r="DL96" s="14">
        <v>169512.50761012331</v>
      </c>
      <c r="DM96" s="96">
        <v>85.357240725951968</v>
      </c>
      <c r="DN96" s="14">
        <v>4711.436738259632</v>
      </c>
      <c r="DO96" s="96">
        <v>366.2656082779543</v>
      </c>
      <c r="DP96" s="22">
        <v>55.113073241304356</v>
      </c>
      <c r="DQ96" s="14">
        <v>2207.8809215227939</v>
      </c>
      <c r="DR96" s="22">
        <v>43.62706050302554</v>
      </c>
      <c r="DS96" s="22">
        <v>70.877342344213261</v>
      </c>
      <c r="DT96" s="22">
        <v>0</v>
      </c>
      <c r="DU96" s="22">
        <v>64.209807373276448</v>
      </c>
      <c r="DV96" s="22">
        <v>0.28658452461893896</v>
      </c>
      <c r="DW96" s="22">
        <v>28.317919035917797</v>
      </c>
      <c r="DX96" s="22">
        <v>29.522017375057434</v>
      </c>
      <c r="DY96" s="22">
        <v>17.702716248648994</v>
      </c>
      <c r="DZ96" s="22">
        <v>36.433559552117707</v>
      </c>
      <c r="EA96" s="22">
        <v>6.4888872833225364E-2</v>
      </c>
      <c r="EB96" s="22">
        <v>5.2297321324471867E-2</v>
      </c>
      <c r="EC96" s="22">
        <v>0.96072497473615481</v>
      </c>
      <c r="ED96" s="22">
        <v>2.4578652285972216</v>
      </c>
      <c r="EE96" s="22">
        <v>8.6071211441041093</v>
      </c>
      <c r="EF96" s="22">
        <v>1.6159345853371179</v>
      </c>
      <c r="EG96" s="22">
        <v>8.9587180656496059</v>
      </c>
      <c r="EH96" s="22">
        <v>3.1518240954753232</v>
      </c>
      <c r="EI96" s="22">
        <v>0.63680146591602371</v>
      </c>
      <c r="EJ96" s="22">
        <v>3.1172615549037941</v>
      </c>
      <c r="EK96" s="22">
        <v>0.55256798019523812</v>
      </c>
      <c r="EL96" s="22">
        <v>3.9192489028007964</v>
      </c>
      <c r="EM96" s="22">
        <v>0.65757031989798409</v>
      </c>
      <c r="EN96" s="22">
        <v>2.1592138373170791</v>
      </c>
      <c r="EO96" s="22">
        <v>0.28170283821431685</v>
      </c>
      <c r="EP96" s="22">
        <v>2.0208206459058418</v>
      </c>
      <c r="EQ96" s="22">
        <v>0.35494637518668809</v>
      </c>
      <c r="ER96" s="22">
        <v>1.5330294459393632</v>
      </c>
      <c r="ES96" s="22">
        <v>0</v>
      </c>
      <c r="ET96" s="22">
        <v>0.14820779765669687</v>
      </c>
      <c r="EU96" s="22">
        <v>5.0995172306838282E-2</v>
      </c>
      <c r="EV96" s="22">
        <v>1.0148200947970499E-2</v>
      </c>
      <c r="EW96" s="22">
        <f t="shared" si="368"/>
        <v>0.61562103665204504</v>
      </c>
      <c r="EX96" s="22"/>
      <c r="EY96" s="22"/>
      <c r="EZ96" s="22"/>
      <c r="FA96" s="22"/>
      <c r="FB96" s="22"/>
      <c r="FC96" s="22"/>
      <c r="FD96" s="22"/>
      <c r="FE96" s="22"/>
      <c r="FF96" s="22"/>
      <c r="FG96" s="22"/>
      <c r="FH96" s="22"/>
      <c r="FI96" s="22">
        <f t="shared" si="369"/>
        <v>-2.1786831647742351</v>
      </c>
      <c r="FJ96" s="22"/>
      <c r="FK96" s="22">
        <f t="shared" si="370"/>
        <v>0.8941650000000001</v>
      </c>
      <c r="FL96" s="22">
        <f t="shared" si="371"/>
        <v>-0.48986000000000002</v>
      </c>
      <c r="FM96" s="22"/>
      <c r="FN96" s="22"/>
      <c r="FO96" s="22">
        <f t="shared" si="372"/>
        <v>-5.0140663141080912</v>
      </c>
      <c r="FP96" s="22">
        <f t="shared" si="373"/>
        <v>-0.49862000000000001</v>
      </c>
      <c r="FQ96" s="46"/>
      <c r="FR96" s="46"/>
      <c r="FS96" s="46"/>
      <c r="FT96" s="46"/>
      <c r="FU96" s="46"/>
      <c r="FV96" s="46"/>
      <c r="FW96" s="46"/>
      <c r="FX96" s="46"/>
      <c r="FY96" s="46"/>
      <c r="FZ96" s="46"/>
      <c r="GA96" s="46"/>
      <c r="GB96" s="46"/>
      <c r="GC96" s="46"/>
      <c r="GD96" s="46"/>
      <c r="GE96" s="46"/>
      <c r="GF96" s="46"/>
      <c r="GG96" s="46"/>
      <c r="GH96" s="46"/>
    </row>
    <row r="97" spans="1:190" x14ac:dyDescent="0.25">
      <c r="A97" s="5" t="s">
        <v>256</v>
      </c>
      <c r="B97" s="1">
        <v>1207</v>
      </c>
      <c r="C97" s="98" t="s">
        <v>99</v>
      </c>
      <c r="D97" s="98" t="s">
        <v>105</v>
      </c>
      <c r="E97" s="1">
        <v>40</v>
      </c>
      <c r="F97" s="22">
        <v>48.7</v>
      </c>
      <c r="G97" s="22">
        <v>0.88900000000000001</v>
      </c>
      <c r="H97" s="22">
        <v>3.79</v>
      </c>
      <c r="I97" s="22">
        <v>2.3E-2</v>
      </c>
      <c r="J97" s="22">
        <v>10.45</v>
      </c>
      <c r="K97" s="22">
        <v>0.34399999999999997</v>
      </c>
      <c r="L97" s="22">
        <v>11.58</v>
      </c>
      <c r="M97" s="22">
        <v>22.27</v>
      </c>
      <c r="N97" s="22">
        <v>0.60199999999999998</v>
      </c>
      <c r="O97" s="22">
        <v>2.1000000000000001E-2</v>
      </c>
      <c r="P97" s="22">
        <v>0</v>
      </c>
      <c r="Q97" s="22"/>
      <c r="R97" s="22"/>
      <c r="S97" s="22">
        <f t="shared" si="244"/>
        <v>98.668999999999997</v>
      </c>
      <c r="T97" s="3"/>
      <c r="U97" s="22">
        <f t="shared" si="245"/>
        <v>6.6581071455635152</v>
      </c>
      <c r="V97" s="22">
        <f t="shared" si="246"/>
        <v>4.213930529135264</v>
      </c>
      <c r="W97" s="22">
        <f t="shared" si="247"/>
        <v>99.091037674698782</v>
      </c>
      <c r="X97" s="1"/>
      <c r="Y97" s="1"/>
      <c r="Z97" s="1"/>
      <c r="AA97" s="1" t="s">
        <v>185</v>
      </c>
      <c r="AC97" s="1">
        <v>6</v>
      </c>
      <c r="AD97" s="1">
        <v>4</v>
      </c>
      <c r="AE97" s="1"/>
      <c r="AF97" s="26">
        <f t="shared" si="248"/>
        <v>1.8705242224026497</v>
      </c>
      <c r="AG97" s="26">
        <f t="shared" si="249"/>
        <v>2.5681950468221481E-2</v>
      </c>
      <c r="AH97" s="26">
        <f t="shared" si="250"/>
        <v>0.17155511768861928</v>
      </c>
      <c r="AI97" s="26">
        <f t="shared" si="251"/>
        <v>6.9840463985050257E-4</v>
      </c>
      <c r="AJ97" s="26">
        <f t="shared" si="252"/>
        <v>0.33562462456617781</v>
      </c>
      <c r="AK97" s="26">
        <f t="shared" si="253"/>
        <v>1.1190037906051041E-2</v>
      </c>
      <c r="AL97" s="26">
        <f t="shared" si="254"/>
        <v>0.66308287605025695</v>
      </c>
      <c r="AM97" s="26">
        <f t="shared" si="255"/>
        <v>0.91638191844191952</v>
      </c>
      <c r="AN97" s="26">
        <f t="shared" si="256"/>
        <v>4.4826952431323216E-2</v>
      </c>
      <c r="AO97" s="26">
        <f t="shared" si="257"/>
        <v>1.0288751709722312E-3</v>
      </c>
      <c r="AP97" s="26">
        <f t="shared" si="258"/>
        <v>0</v>
      </c>
      <c r="AQ97" s="26">
        <f t="shared" si="259"/>
        <v>0</v>
      </c>
      <c r="AR97" s="26">
        <f t="shared" si="260"/>
        <v>0</v>
      </c>
      <c r="AS97" s="26">
        <f t="shared" si="261"/>
        <v>4.0405949797660421</v>
      </c>
      <c r="AT97" s="26">
        <f t="shared" si="262"/>
        <v>2.0420793400912691</v>
      </c>
      <c r="AU97" s="26">
        <f t="shared" si="263"/>
        <v>0.96223774604421497</v>
      </c>
      <c r="AV97" s="47"/>
      <c r="AW97" s="26">
        <f t="shared" si="264"/>
        <v>1.851731471993223</v>
      </c>
      <c r="AX97" s="26">
        <f t="shared" si="265"/>
        <v>2.542392949239225E-2</v>
      </c>
      <c r="AY97" s="26">
        <f t="shared" si="266"/>
        <v>0.16983154069904099</v>
      </c>
      <c r="AZ97" s="26">
        <f t="shared" si="267"/>
        <v>6.913879201928243E-4</v>
      </c>
      <c r="BA97" s="26">
        <f t="shared" si="268"/>
        <v>0.2116912844161713</v>
      </c>
      <c r="BB97" s="26">
        <f t="shared" si="269"/>
        <v>0.12056139247609288</v>
      </c>
      <c r="BC97" s="26">
        <f t="shared" si="270"/>
        <v>1.1077614026733228E-2</v>
      </c>
      <c r="BD97" s="26">
        <f t="shared" si="271"/>
        <v>0.65642102647828438</v>
      </c>
      <c r="BE97" s="26">
        <f t="shared" si="272"/>
        <v>0.90717522843131371</v>
      </c>
      <c r="BF97" s="26">
        <f t="shared" si="273"/>
        <v>4.4376585780858235E-2</v>
      </c>
      <c r="BG97" s="26">
        <f t="shared" si="274"/>
        <v>1.0185382856975238E-3</v>
      </c>
      <c r="BH97" s="26">
        <f t="shared" si="275"/>
        <v>0</v>
      </c>
      <c r="BI97" s="26">
        <f t="shared" si="276"/>
        <v>0</v>
      </c>
      <c r="BJ97" s="26">
        <f t="shared" si="277"/>
        <v>0</v>
      </c>
      <c r="BK97" s="25">
        <f t="shared" si="278"/>
        <v>3.9999999999999996</v>
      </c>
      <c r="BL97" s="24">
        <f t="shared" si="279"/>
        <v>6</v>
      </c>
      <c r="BM97" s="26">
        <f t="shared" si="280"/>
        <v>2.0215630126922641</v>
      </c>
      <c r="BN97" s="26">
        <f t="shared" si="281"/>
        <v>0.95257035249786948</v>
      </c>
      <c r="BO97" s="22"/>
      <c r="BP97" s="23">
        <f t="shared" si="282"/>
        <v>0.6639410194085662</v>
      </c>
      <c r="BQ97" s="26">
        <f t="shared" si="283"/>
        <v>0.14826852800677703</v>
      </c>
      <c r="BR97" s="26">
        <f t="shared" si="284"/>
        <v>2.1563012692263961E-2</v>
      </c>
      <c r="BS97" s="26"/>
      <c r="BT97" s="26">
        <f t="shared" si="285"/>
        <v>2.1563012692263961E-2</v>
      </c>
      <c r="BU97" s="26">
        <f t="shared" si="286"/>
        <v>0</v>
      </c>
      <c r="BV97" s="26">
        <f t="shared" si="287"/>
        <v>2.1563012692263961E-2</v>
      </c>
      <c r="BW97" s="26">
        <f t="shared" si="288"/>
        <v>3.4920231992525128E-4</v>
      </c>
      <c r="BX97" s="26">
        <f t="shared" si="289"/>
        <v>0.89446970342973031</v>
      </c>
      <c r="BY97" s="26">
        <f t="shared" si="290"/>
        <v>5.2118898593352225E-2</v>
      </c>
      <c r="BZ97" s="26">
        <f t="shared" si="291"/>
        <v>0.9900638297275357</v>
      </c>
      <c r="CA97" s="22"/>
      <c r="CB97" s="22">
        <f t="shared" si="292"/>
        <v>4.4376585780858235E-2</v>
      </c>
      <c r="CC97" s="22">
        <f t="shared" si="293"/>
        <v>0</v>
      </c>
      <c r="CD97" s="22">
        <f t="shared" si="294"/>
        <v>7.6184806695234641E-2</v>
      </c>
      <c r="CE97" s="22">
        <f t="shared" si="295"/>
        <v>6.913879201928243E-4</v>
      </c>
      <c r="CF97" s="22">
        <f t="shared" si="296"/>
        <v>2.1563012692263961E-2</v>
      </c>
      <c r="CG97" s="22">
        <f t="shared" si="297"/>
        <v>0.42655630345224027</v>
      </c>
      <c r="CH97" s="22">
        <f t="shared" si="298"/>
        <v>0.43360806567475019</v>
      </c>
      <c r="CI97" s="22">
        <f t="shared" si="299"/>
        <v>0.13983563087300957</v>
      </c>
      <c r="CJ97" s="22"/>
      <c r="CK97" s="22">
        <f t="shared" si="300"/>
        <v>0.47572636209599201</v>
      </c>
      <c r="CL97" s="22">
        <f t="shared" si="301"/>
        <v>0.34422984352187358</v>
      </c>
      <c r="CM97" s="22">
        <f t="shared" si="302"/>
        <v>0.18004379438213439</v>
      </c>
      <c r="CN97" s="1"/>
      <c r="CO97" s="26">
        <f t="shared" si="303"/>
        <v>0.81058588548601873</v>
      </c>
      <c r="CP97" s="26">
        <f t="shared" si="304"/>
        <v>1.112919379068603E-2</v>
      </c>
      <c r="CQ97" s="26">
        <f t="shared" si="305"/>
        <v>7.4342879560612016E-2</v>
      </c>
      <c r="CR97" s="26">
        <f t="shared" si="306"/>
        <v>3.0265149022962033E-4</v>
      </c>
      <c r="CS97" s="26">
        <f t="shared" si="307"/>
        <v>0.1454418928322895</v>
      </c>
      <c r="CT97" s="26">
        <f t="shared" si="308"/>
        <v>4.8491683112489425E-3</v>
      </c>
      <c r="CU97" s="26">
        <f t="shared" si="309"/>
        <v>0.28734491315136479</v>
      </c>
      <c r="CV97" s="26">
        <f t="shared" si="310"/>
        <v>0.39711126961483595</v>
      </c>
      <c r="CW97" s="26">
        <f t="shared" si="311"/>
        <v>1.9425621168118749E-2</v>
      </c>
      <c r="CX97" s="26">
        <f t="shared" si="312"/>
        <v>4.4585987261146497E-4</v>
      </c>
      <c r="CY97" s="26">
        <f t="shared" si="313"/>
        <v>0</v>
      </c>
      <c r="CZ97" s="26">
        <f t="shared" si="314"/>
        <v>0</v>
      </c>
      <c r="DA97" s="26">
        <f t="shared" si="315"/>
        <v>0</v>
      </c>
      <c r="DB97" s="26">
        <f t="shared" si="316"/>
        <v>1.7509793352780159</v>
      </c>
      <c r="DC97" s="26">
        <f t="shared" si="317"/>
        <v>2.6000814395597764</v>
      </c>
      <c r="DD97" s="26">
        <f t="shared" si="318"/>
        <v>2.2844358693501605</v>
      </c>
      <c r="DE97" s="26">
        <f t="shared" si="319"/>
        <v>5.9397193037619544</v>
      </c>
      <c r="DF97" s="1"/>
      <c r="DG97" s="22">
        <v>5.1009642547493534</v>
      </c>
      <c r="DH97" s="14">
        <v>2873.3532267074816</v>
      </c>
      <c r="DI97" s="14">
        <v>73677.783800405901</v>
      </c>
      <c r="DJ97" s="14">
        <v>13222.060884592314</v>
      </c>
      <c r="DK97" s="14">
        <v>229677.89170987043</v>
      </c>
      <c r="DL97" s="14">
        <v>156069.9357162987</v>
      </c>
      <c r="DM97" s="96">
        <v>74.29976386293599</v>
      </c>
      <c r="DN97" s="14">
        <v>4425.3174384241911</v>
      </c>
      <c r="DO97" s="96">
        <v>347.53041804111064</v>
      </c>
      <c r="DP97" s="22">
        <v>39.460590654485941</v>
      </c>
      <c r="DQ97" s="14">
        <v>2013.6613014288569</v>
      </c>
      <c r="DR97" s="22">
        <v>40.845419455630839</v>
      </c>
      <c r="DS97" s="22">
        <v>35.772124448335383</v>
      </c>
      <c r="DT97" s="22">
        <v>0.44210823131480881</v>
      </c>
      <c r="DU97" s="22">
        <v>61.016775484261487</v>
      </c>
      <c r="DV97" s="22">
        <v>0</v>
      </c>
      <c r="DW97" s="22">
        <v>27.914643141597612</v>
      </c>
      <c r="DX97" s="22">
        <v>27.696871292398239</v>
      </c>
      <c r="DY97" s="22">
        <v>16.859773382633499</v>
      </c>
      <c r="DZ97" s="22">
        <v>35.495655335570575</v>
      </c>
      <c r="EA97" s="22">
        <v>7.9821283043104388E-2</v>
      </c>
      <c r="EB97" s="22">
        <v>0</v>
      </c>
      <c r="EC97" s="22">
        <v>0.2922405194889387</v>
      </c>
      <c r="ED97" s="22">
        <v>2.3735962084892619</v>
      </c>
      <c r="EE97" s="22">
        <v>8.4964854823943305</v>
      </c>
      <c r="EF97" s="22">
        <v>1.6071666369047808</v>
      </c>
      <c r="EG97" s="22">
        <v>8.0708179206707271</v>
      </c>
      <c r="EH97" s="22">
        <v>2.5694144268884487</v>
      </c>
      <c r="EI97" s="22">
        <v>0.57819045169713257</v>
      </c>
      <c r="EJ97" s="22">
        <v>3.3109075956760798</v>
      </c>
      <c r="EK97" s="22">
        <v>0.59206945116758303</v>
      </c>
      <c r="EL97" s="22">
        <v>3.0998708611590091</v>
      </c>
      <c r="EM97" s="22">
        <v>0.65681649770216954</v>
      </c>
      <c r="EN97" s="22">
        <v>1.88473745601405</v>
      </c>
      <c r="EO97" s="22">
        <v>0.28118892268041945</v>
      </c>
      <c r="EP97" s="22">
        <v>1.8291372356250022</v>
      </c>
      <c r="EQ97" s="22">
        <v>0.27923455668804092</v>
      </c>
      <c r="ER97" s="22">
        <v>1.7656787623749934</v>
      </c>
      <c r="ES97" s="22">
        <v>0</v>
      </c>
      <c r="ET97" s="22">
        <v>6.7344818072189838E-2</v>
      </c>
      <c r="EU97" s="22">
        <v>6.4253145846767654E-2</v>
      </c>
      <c r="EV97" s="22">
        <v>1.9047294024241053E-2</v>
      </c>
      <c r="EW97" s="22">
        <f t="shared" si="368"/>
        <v>0.60069955603214709</v>
      </c>
      <c r="EX97" s="22"/>
      <c r="EY97" s="22"/>
      <c r="EZ97" s="22"/>
      <c r="FA97" s="22"/>
      <c r="FB97" s="22"/>
      <c r="FC97" s="22"/>
      <c r="FD97" s="22"/>
      <c r="FE97" s="22"/>
      <c r="FF97" s="22"/>
      <c r="FG97" s="22"/>
      <c r="FH97" s="22"/>
      <c r="FI97" s="22">
        <f t="shared" si="369"/>
        <v>-1.9842944585359548</v>
      </c>
      <c r="FJ97" s="22"/>
      <c r="FK97" s="22">
        <f t="shared" si="370"/>
        <v>0.8941650000000001</v>
      </c>
      <c r="FL97" s="22">
        <f t="shared" si="371"/>
        <v>-0.48986000000000002</v>
      </c>
      <c r="FM97" s="22"/>
      <c r="FN97" s="22"/>
      <c r="FO97" s="22">
        <f t="shared" si="372"/>
        <v>-3.9749964687772819</v>
      </c>
      <c r="FP97" s="22">
        <f t="shared" si="373"/>
        <v>-0.49862000000000001</v>
      </c>
      <c r="FQ97" s="46"/>
      <c r="FR97" s="46"/>
      <c r="FS97" s="46"/>
      <c r="FT97" s="46"/>
      <c r="FU97" s="46"/>
      <c r="FV97" s="46"/>
      <c r="FW97" s="46"/>
      <c r="FX97" s="46"/>
      <c r="FY97" s="46"/>
      <c r="FZ97" s="46"/>
      <c r="GA97" s="46"/>
      <c r="GB97" s="46"/>
      <c r="GC97" s="46"/>
      <c r="GD97" s="46"/>
      <c r="GE97" s="46"/>
      <c r="GF97" s="46"/>
      <c r="GG97" s="46"/>
      <c r="GH97" s="46"/>
    </row>
    <row r="98" spans="1:190" x14ac:dyDescent="0.25">
      <c r="A98" s="5" t="s">
        <v>256</v>
      </c>
      <c r="B98" s="1">
        <v>1208</v>
      </c>
      <c r="C98" s="98" t="s">
        <v>99</v>
      </c>
      <c r="D98" s="98" t="s">
        <v>105</v>
      </c>
      <c r="E98" s="1">
        <v>41</v>
      </c>
      <c r="F98" s="22">
        <v>49.98</v>
      </c>
      <c r="G98" s="22">
        <v>0.73699999999999999</v>
      </c>
      <c r="H98" s="22">
        <v>2.21</v>
      </c>
      <c r="I98" s="22">
        <v>2.8000000000000001E-2</v>
      </c>
      <c r="J98" s="22">
        <v>10.62</v>
      </c>
      <c r="K98" s="22">
        <v>0.28299999999999997</v>
      </c>
      <c r="L98" s="22">
        <v>11.82</v>
      </c>
      <c r="M98" s="22">
        <v>22.67</v>
      </c>
      <c r="N98" s="22">
        <v>0.52200000000000002</v>
      </c>
      <c r="O98" s="22">
        <v>0.01</v>
      </c>
      <c r="P98" s="22">
        <v>0</v>
      </c>
      <c r="Q98" s="22"/>
      <c r="R98" s="22"/>
      <c r="S98" s="22">
        <f t="shared" si="244"/>
        <v>98.88000000000001</v>
      </c>
      <c r="T98" s="3"/>
      <c r="U98" s="22">
        <f t="shared" si="245"/>
        <v>7.5780744417397701</v>
      </c>
      <c r="V98" s="22">
        <f t="shared" si="246"/>
        <v>3.3804918728945923</v>
      </c>
      <c r="W98" s="22">
        <f t="shared" si="247"/>
        <v>99.218566314634359</v>
      </c>
      <c r="X98" s="1"/>
      <c r="Y98" s="1"/>
      <c r="Z98" s="1"/>
      <c r="AA98" s="1" t="s">
        <v>186</v>
      </c>
      <c r="AC98" s="1">
        <v>6</v>
      </c>
      <c r="AD98" s="1">
        <v>4</v>
      </c>
      <c r="AE98" s="1"/>
      <c r="AF98" s="26">
        <f t="shared" si="248"/>
        <v>1.9155617113091596</v>
      </c>
      <c r="AG98" s="26">
        <f t="shared" si="249"/>
        <v>2.1245123084934984E-2</v>
      </c>
      <c r="AH98" s="26">
        <f t="shared" si="250"/>
        <v>9.9821079561739967E-2</v>
      </c>
      <c r="AI98" s="26">
        <f t="shared" si="251"/>
        <v>8.4840424313227373E-4</v>
      </c>
      <c r="AJ98" s="26">
        <f t="shared" si="252"/>
        <v>0.34035141786042872</v>
      </c>
      <c r="AK98" s="26">
        <f t="shared" si="253"/>
        <v>9.1859710264634662E-3</v>
      </c>
      <c r="AL98" s="26">
        <f t="shared" si="254"/>
        <v>0.67537075416502579</v>
      </c>
      <c r="AM98" s="26">
        <f t="shared" si="255"/>
        <v>0.9308363511033334</v>
      </c>
      <c r="AN98" s="26">
        <f t="shared" si="256"/>
        <v>3.8786335221579538E-2</v>
      </c>
      <c r="AO98" s="26">
        <f t="shared" si="257"/>
        <v>4.888874769247585E-4</v>
      </c>
      <c r="AP98" s="26">
        <f t="shared" si="258"/>
        <v>0</v>
      </c>
      <c r="AQ98" s="26">
        <f t="shared" si="259"/>
        <v>0</v>
      </c>
      <c r="AR98" s="26">
        <f t="shared" si="260"/>
        <v>0</v>
      </c>
      <c r="AS98" s="26">
        <f t="shared" si="261"/>
        <v>4.0324960350527226</v>
      </c>
      <c r="AT98" s="26">
        <f t="shared" si="262"/>
        <v>2.0153827908708997</v>
      </c>
      <c r="AU98" s="26">
        <f t="shared" si="263"/>
        <v>0.97011157380183766</v>
      </c>
      <c r="AV98" s="47"/>
      <c r="AW98" s="26">
        <f t="shared" si="264"/>
        <v>1.9001250785201229</v>
      </c>
      <c r="AX98" s="26">
        <f t="shared" si="265"/>
        <v>2.1073918387282151E-2</v>
      </c>
      <c r="AY98" s="26">
        <f t="shared" si="266"/>
        <v>9.9016667288983326E-2</v>
      </c>
      <c r="AZ98" s="26">
        <f t="shared" si="267"/>
        <v>8.4156734266565138E-4</v>
      </c>
      <c r="BA98" s="26">
        <f t="shared" si="268"/>
        <v>0.24090618871404329</v>
      </c>
      <c r="BB98" s="26">
        <f t="shared" si="269"/>
        <v>9.6702493255538702E-2</v>
      </c>
      <c r="BC98" s="26">
        <f t="shared" si="270"/>
        <v>9.111945501360786E-3</v>
      </c>
      <c r="BD98" s="26">
        <f t="shared" si="271"/>
        <v>0.66992825118172328</v>
      </c>
      <c r="BE98" s="26">
        <f t="shared" si="272"/>
        <v>0.92333516810628513</v>
      </c>
      <c r="BF98" s="26">
        <f t="shared" si="273"/>
        <v>3.8473773944898551E-2</v>
      </c>
      <c r="BG98" s="26">
        <f t="shared" si="274"/>
        <v>4.849477570964224E-4</v>
      </c>
      <c r="BH98" s="26">
        <f t="shared" si="275"/>
        <v>0</v>
      </c>
      <c r="BI98" s="26">
        <f t="shared" si="276"/>
        <v>0</v>
      </c>
      <c r="BJ98" s="26">
        <f t="shared" si="277"/>
        <v>0</v>
      </c>
      <c r="BK98" s="25">
        <f t="shared" si="278"/>
        <v>4</v>
      </c>
      <c r="BL98" s="24">
        <f t="shared" si="279"/>
        <v>6.0000000000000009</v>
      </c>
      <c r="BM98" s="26">
        <f t="shared" si="280"/>
        <v>1.9991417458091063</v>
      </c>
      <c r="BN98" s="26">
        <f t="shared" si="281"/>
        <v>0.96229388980828012</v>
      </c>
      <c r="BO98" s="22"/>
      <c r="BP98" s="23">
        <f t="shared" si="282"/>
        <v>0.6649168175764707</v>
      </c>
      <c r="BQ98" s="26">
        <f t="shared" si="283"/>
        <v>9.9874921479877088E-2</v>
      </c>
      <c r="BR98" s="26">
        <f t="shared" si="284"/>
        <v>0</v>
      </c>
      <c r="BS98" s="26"/>
      <c r="BT98" s="26">
        <f t="shared" si="285"/>
        <v>0</v>
      </c>
      <c r="BU98" s="26">
        <f t="shared" si="286"/>
        <v>0</v>
      </c>
      <c r="BV98" s="26">
        <f t="shared" si="287"/>
        <v>0</v>
      </c>
      <c r="BW98" s="26">
        <f t="shared" si="288"/>
        <v>4.2420212156613687E-4</v>
      </c>
      <c r="BX98" s="26">
        <f t="shared" si="289"/>
        <v>0.93041214898176727</v>
      </c>
      <c r="BY98" s="26">
        <f t="shared" si="290"/>
        <v>4.2655011521843644E-2</v>
      </c>
      <c r="BZ98" s="26">
        <f t="shared" si="291"/>
        <v>0.9734913626251771</v>
      </c>
      <c r="CA98" s="22"/>
      <c r="CB98" s="22">
        <f t="shared" si="292"/>
        <v>3.8473773944898551E-2</v>
      </c>
      <c r="CC98" s="22">
        <f t="shared" si="293"/>
        <v>0</v>
      </c>
      <c r="CD98" s="22">
        <f t="shared" si="294"/>
        <v>5.8228719310640151E-2</v>
      </c>
      <c r="CE98" s="22">
        <f t="shared" si="295"/>
        <v>8.4156734266565138E-4</v>
      </c>
      <c r="CF98" s="22">
        <f t="shared" si="296"/>
        <v>0</v>
      </c>
      <c r="CG98" s="22">
        <f t="shared" si="297"/>
        <v>0.45136932769893895</v>
      </c>
      <c r="CH98" s="22">
        <f t="shared" si="298"/>
        <v>0.40352359412470562</v>
      </c>
      <c r="CI98" s="22">
        <f t="shared" si="299"/>
        <v>0.14510707817635535</v>
      </c>
      <c r="CJ98" s="22"/>
      <c r="CK98" s="22">
        <f t="shared" si="300"/>
        <v>0.47594987682958623</v>
      </c>
      <c r="CL98" s="22">
        <f t="shared" si="301"/>
        <v>0.3453266805471642</v>
      </c>
      <c r="CM98" s="22">
        <f t="shared" si="302"/>
        <v>0.17872344262324949</v>
      </c>
      <c r="CN98" s="1"/>
      <c r="CO98" s="26">
        <f t="shared" si="303"/>
        <v>0.8318908122503329</v>
      </c>
      <c r="CP98" s="26">
        <f t="shared" si="304"/>
        <v>9.2263395092638967E-3</v>
      </c>
      <c r="CQ98" s="26">
        <f t="shared" si="305"/>
        <v>4.3350333464103573E-2</v>
      </c>
      <c r="CR98" s="26">
        <f t="shared" si="306"/>
        <v>3.6844529245345085E-4</v>
      </c>
      <c r="CS98" s="26">
        <f t="shared" si="307"/>
        <v>0.1478079331941545</v>
      </c>
      <c r="CT98" s="26">
        <f t="shared" si="308"/>
        <v>3.9892867211728219E-3</v>
      </c>
      <c r="CU98" s="26">
        <f t="shared" si="309"/>
        <v>0.29330024813895783</v>
      </c>
      <c r="CV98" s="26">
        <f t="shared" si="310"/>
        <v>0.404243937232525</v>
      </c>
      <c r="CW98" s="26">
        <f t="shared" si="311"/>
        <v>1.6844143272023236E-2</v>
      </c>
      <c r="CX98" s="26">
        <f t="shared" si="312"/>
        <v>2.1231422505307856E-4</v>
      </c>
      <c r="CY98" s="26">
        <f t="shared" si="313"/>
        <v>0</v>
      </c>
      <c r="CZ98" s="26">
        <f t="shared" si="314"/>
        <v>0</v>
      </c>
      <c r="DA98" s="26">
        <f t="shared" si="315"/>
        <v>0</v>
      </c>
      <c r="DB98" s="26">
        <f t="shared" si="316"/>
        <v>1.7512337933000404</v>
      </c>
      <c r="DC98" s="26">
        <f t="shared" si="317"/>
        <v>2.6056821056893771</v>
      </c>
      <c r="DD98" s="26">
        <f t="shared" si="318"/>
        <v>2.2841039359241493</v>
      </c>
      <c r="DE98" s="26">
        <f t="shared" si="319"/>
        <v>5.9516487533722318</v>
      </c>
      <c r="DF98" s="1"/>
      <c r="DG98" s="22">
        <v>3.2858071405559031</v>
      </c>
      <c r="DH98" s="14">
        <v>3127.1753877329038</v>
      </c>
      <c r="DI98" s="14">
        <v>71827.847555666609</v>
      </c>
      <c r="DJ98" s="14">
        <v>13219.029840467456</v>
      </c>
      <c r="DK98" s="14">
        <v>234765.96270302319</v>
      </c>
      <c r="DL98" s="14">
        <v>160297.77914929448</v>
      </c>
      <c r="DM98" s="96">
        <v>84.346265893836645</v>
      </c>
      <c r="DN98" s="14">
        <v>5078.6895633003887</v>
      </c>
      <c r="DO98" s="96">
        <v>386.54968447213315</v>
      </c>
      <c r="DP98" s="22">
        <v>35.760630588738664</v>
      </c>
      <c r="DQ98" s="14">
        <v>2320.9848602002867</v>
      </c>
      <c r="DR98" s="22">
        <v>41.389002892403873</v>
      </c>
      <c r="DS98" s="22">
        <v>36.840889363280724</v>
      </c>
      <c r="DT98" s="22">
        <v>3.477086748561506</v>
      </c>
      <c r="DU98" s="22">
        <v>64.41394488475612</v>
      </c>
      <c r="DV98" s="22">
        <v>0</v>
      </c>
      <c r="DW98" s="22">
        <v>29.996575333121548</v>
      </c>
      <c r="DX98" s="22">
        <v>30.584577566195346</v>
      </c>
      <c r="DY98" s="22">
        <v>19.943532632933199</v>
      </c>
      <c r="DZ98" s="22">
        <v>39.145209636490648</v>
      </c>
      <c r="EA98" s="22">
        <v>6.9266644580209868E-2</v>
      </c>
      <c r="EB98" s="22">
        <v>0</v>
      </c>
      <c r="EC98" s="22">
        <v>0.37277158020539392</v>
      </c>
      <c r="ED98" s="22">
        <v>2.553265318131158</v>
      </c>
      <c r="EE98" s="22">
        <v>9.2346257652613097</v>
      </c>
      <c r="EF98" s="22">
        <v>1.7137775789736052</v>
      </c>
      <c r="EG98" s="22">
        <v>9.4054597984726094</v>
      </c>
      <c r="EH98" s="22">
        <v>2.8915946670180719</v>
      </c>
      <c r="EI98" s="22">
        <v>0.54931414775607446</v>
      </c>
      <c r="EJ98" s="22">
        <v>3.4065518773474901</v>
      </c>
      <c r="EK98" s="22">
        <v>0.59603433918565574</v>
      </c>
      <c r="EL98" s="22">
        <v>3.6244543433256049</v>
      </c>
      <c r="EM98" s="22">
        <v>0.69752216488272101</v>
      </c>
      <c r="EN98" s="22">
        <v>2.137772810122939</v>
      </c>
      <c r="EO98" s="22">
        <v>0.28094998225376427</v>
      </c>
      <c r="EP98" s="22">
        <v>2.0647290934555285</v>
      </c>
      <c r="EQ98" s="22">
        <v>0.33224303633236596</v>
      </c>
      <c r="ER98" s="22">
        <v>1.9797729858720114</v>
      </c>
      <c r="ES98" s="22">
        <v>0</v>
      </c>
      <c r="ET98" s="22">
        <v>9.3838537530604352E-2</v>
      </c>
      <c r="EU98" s="22">
        <v>3.9871755603006043E-2</v>
      </c>
      <c r="EV98" s="22">
        <v>6.37947821963909E-3</v>
      </c>
      <c r="EW98" s="22">
        <f t="shared" si="368"/>
        <v>0.53036099689574334</v>
      </c>
      <c r="EX98" s="22"/>
      <c r="EY98" s="22"/>
      <c r="EZ98" s="22"/>
      <c r="FA98" s="22"/>
      <c r="FB98" s="22"/>
      <c r="FC98" s="22"/>
      <c r="FD98" s="22"/>
      <c r="FE98" s="22"/>
      <c r="FF98" s="22"/>
      <c r="FG98" s="22"/>
      <c r="FH98" s="22"/>
      <c r="FI98" s="22">
        <f t="shared" si="369"/>
        <v>-1.9864707323999236</v>
      </c>
      <c r="FJ98" s="22"/>
      <c r="FK98" s="22">
        <f t="shared" si="370"/>
        <v>0.99611588188508682</v>
      </c>
      <c r="FL98" s="22">
        <f t="shared" si="371"/>
        <v>-0.8073528992582738</v>
      </c>
      <c r="FM98" s="22"/>
      <c r="FN98" s="22"/>
      <c r="FO98" s="22">
        <f t="shared" si="372"/>
        <v>-3.9866293490561384</v>
      </c>
      <c r="FP98" s="22">
        <f t="shared" si="373"/>
        <v>-1.7502715750285103</v>
      </c>
      <c r="FQ98" s="46">
        <f t="shared" ref="FQ98" si="374" xml:space="preserve">  -0.73306   +   1.025016   *  FS98     +N("316 NN Nd")</f>
        <v>-1.2352767464772083</v>
      </c>
      <c r="FR98" s="46">
        <f t="shared" ref="FR98" si="375" xml:space="preserve">  -0.33671   +   1.013871 *  FS98    +N("340 NN")</f>
        <v>-0.83346614328712298</v>
      </c>
      <c r="FS98" s="46">
        <f t="shared" ref="FS98" si="376">-0.42496     +   1.017678*FT98                 + N("361 NN")</f>
        <v>-0.48995990938405676</v>
      </c>
      <c r="FT98" s="46">
        <f xml:space="preserve"> 0.68509  -3.34181 * BP98 + 0.03095*(100*CK98) +N("642 cpx Mg# Wo R2 0.59")</f>
        <v>-6.3870801357656104E-2</v>
      </c>
      <c r="FU98" s="46">
        <f t="shared" ref="FU98" si="377" xml:space="preserve"> -0.06599 + 0.926002 * FT98  + N("409 NN")</f>
        <v>-0.12513448979879227</v>
      </c>
      <c r="FV98" s="46">
        <f t="shared" ref="FV98" si="378">0.1453     +   0.925549*FT98     +N("424 LnD Sm")</f>
        <v>8.618444367422276E-2</v>
      </c>
      <c r="FW98" s="46">
        <f t="shared" ref="FW98" si="379" xml:space="preserve">  0.053547 + 0.932974 * FV98  +  N("445 NN")</f>
        <v>0.1339548451525143</v>
      </c>
      <c r="FX98" s="46">
        <f t="shared" ref="FX98" si="380" xml:space="preserve">  0.027177  +  0.867603 * FV98 + N("464 NN Gd")</f>
        <v>0.10195088188508669</v>
      </c>
      <c r="FY98" s="46">
        <f t="shared" ref="FY98" si="381" xml:space="preserve">  -0.06187  +  0.953618 * FX98   + N("505 NN Dy")</f>
        <v>3.53521960814926E-2</v>
      </c>
      <c r="FZ98" s="46">
        <f t="shared" ref="FZ98" si="382" xml:space="preserve"> -0.05652 + 0.972005*FY98   +N("533 NN")</f>
        <v>-2.2157488647808789E-2</v>
      </c>
      <c r="GA98" s="46">
        <f t="shared" ref="GA98" si="383" xml:space="preserve">     0.018586 + 0.960264 * FZ98    +N("549 LnD Er")</f>
        <v>-2.6910386788994607E-3</v>
      </c>
      <c r="GB98" s="46">
        <f t="shared" ref="GB98" si="384" xml:space="preserve"> -0.02011 + 0.936315 * FZ98    +N("574 NN Er")</f>
        <v>-4.0856388983273081E-2</v>
      </c>
      <c r="GC98" s="46">
        <f t="shared" ref="GC98" si="385" xml:space="preserve">   0.01732 + 1.006083 * GB98  +N("597 NN Yb")</f>
        <v>-2.3784918397458336E-2</v>
      </c>
      <c r="GD98" s="46">
        <f>(-1.72947 +0 ) * (3.46258+0) * BQ98   - (1.87473 + 0) *BP98   + (0.03253+0) * (CK98*100)    +N("eqn625 aliv mg# wo")</f>
        <v>-0.29636835560729691</v>
      </c>
      <c r="GE98" s="46"/>
      <c r="GF98" s="46"/>
      <c r="GG98" s="46"/>
      <c r="GH98" s="46"/>
    </row>
    <row r="99" spans="1:190" x14ac:dyDescent="0.25">
      <c r="A99" s="5" t="s">
        <v>256</v>
      </c>
      <c r="B99" s="1">
        <v>1209</v>
      </c>
      <c r="C99" s="98" t="s">
        <v>99</v>
      </c>
      <c r="D99" s="98" t="s">
        <v>105</v>
      </c>
      <c r="E99" s="1">
        <v>42</v>
      </c>
      <c r="F99" s="22">
        <v>51.53</v>
      </c>
      <c r="G99" s="22">
        <v>0.434</v>
      </c>
      <c r="H99" s="22">
        <v>1.2689999999999999</v>
      </c>
      <c r="I99" s="22">
        <v>0</v>
      </c>
      <c r="J99" s="22">
        <v>10.56</v>
      </c>
      <c r="K99" s="22">
        <v>0.317</v>
      </c>
      <c r="L99" s="22">
        <v>12.39</v>
      </c>
      <c r="M99" s="22">
        <v>22.36</v>
      </c>
      <c r="N99" s="22">
        <v>0.56999999999999995</v>
      </c>
      <c r="O99" s="22">
        <v>7.0000000000000001E-3</v>
      </c>
      <c r="P99" s="22">
        <v>0</v>
      </c>
      <c r="Q99" s="22"/>
      <c r="R99" s="22"/>
      <c r="S99" s="22">
        <f t="shared" si="244"/>
        <v>99.436999999999998</v>
      </c>
      <c r="T99" s="3"/>
      <c r="U99" s="22">
        <f t="shared" si="245"/>
        <v>8.2922619022499227</v>
      </c>
      <c r="V99" s="22">
        <f t="shared" si="246"/>
        <v>2.5201373480296625</v>
      </c>
      <c r="W99" s="22">
        <f t="shared" si="247"/>
        <v>99.689399250279578</v>
      </c>
      <c r="X99" s="1"/>
      <c r="Y99" s="1"/>
      <c r="Z99" s="1"/>
      <c r="AA99" s="1" t="s">
        <v>185</v>
      </c>
      <c r="AC99" s="1">
        <v>6</v>
      </c>
      <c r="AD99" s="1">
        <v>4</v>
      </c>
      <c r="AE99" s="1"/>
      <c r="AF99" s="26">
        <f t="shared" si="248"/>
        <v>1.9563670694817761</v>
      </c>
      <c r="AG99" s="26">
        <f t="shared" si="249"/>
        <v>1.2392867283157869E-2</v>
      </c>
      <c r="AH99" s="26">
        <f t="shared" si="250"/>
        <v>5.6778238721804132E-2</v>
      </c>
      <c r="AI99" s="26">
        <f t="shared" si="251"/>
        <v>0</v>
      </c>
      <c r="AJ99" s="26">
        <f t="shared" si="252"/>
        <v>0.3352411109739809</v>
      </c>
      <c r="AK99" s="26">
        <f t="shared" si="253"/>
        <v>1.0192675631299775E-2</v>
      </c>
      <c r="AL99" s="26">
        <f t="shared" si="254"/>
        <v>0.70127181713127817</v>
      </c>
      <c r="AM99" s="26">
        <f t="shared" si="255"/>
        <v>0.90946066410306803</v>
      </c>
      <c r="AN99" s="26">
        <f t="shared" si="256"/>
        <v>4.1954003000063252E-2</v>
      </c>
      <c r="AO99" s="26">
        <f t="shared" si="257"/>
        <v>3.3899809553409026E-4</v>
      </c>
      <c r="AP99" s="26">
        <f t="shared" si="258"/>
        <v>0</v>
      </c>
      <c r="AQ99" s="26">
        <f t="shared" si="259"/>
        <v>0</v>
      </c>
      <c r="AR99" s="26">
        <f t="shared" si="260"/>
        <v>0</v>
      </c>
      <c r="AS99" s="26">
        <f t="shared" si="261"/>
        <v>4.0239974444219619</v>
      </c>
      <c r="AT99" s="26">
        <f t="shared" si="262"/>
        <v>2.0131453082035802</v>
      </c>
      <c r="AU99" s="26">
        <f t="shared" si="263"/>
        <v>0.95175366519866533</v>
      </c>
      <c r="AV99" s="47"/>
      <c r="AW99" s="26">
        <f t="shared" si="264"/>
        <v>1.9447001112723656</v>
      </c>
      <c r="AX99" s="26">
        <f t="shared" si="265"/>
        <v>1.2318961385362485E-2</v>
      </c>
      <c r="AY99" s="26">
        <f t="shared" si="266"/>
        <v>5.6439636959024153E-2</v>
      </c>
      <c r="AZ99" s="26">
        <f t="shared" si="267"/>
        <v>0</v>
      </c>
      <c r="BA99" s="26">
        <f t="shared" si="268"/>
        <v>0.26167887166330922</v>
      </c>
      <c r="BB99" s="26">
        <f t="shared" si="269"/>
        <v>7.1563000981207381E-2</v>
      </c>
      <c r="BC99" s="26">
        <f t="shared" si="270"/>
        <v>1.0131890759949455E-2</v>
      </c>
      <c r="BD99" s="26">
        <f t="shared" si="271"/>
        <v>0.69708972415315651</v>
      </c>
      <c r="BE99" s="26">
        <f t="shared" si="272"/>
        <v>0.90403701956993654</v>
      </c>
      <c r="BF99" s="26">
        <f t="shared" si="273"/>
        <v>4.1703806803574994E-2</v>
      </c>
      <c r="BG99" s="26">
        <f t="shared" si="274"/>
        <v>3.3697645211381249E-4</v>
      </c>
      <c r="BH99" s="26">
        <f t="shared" si="275"/>
        <v>0</v>
      </c>
      <c r="BI99" s="26">
        <f t="shared" si="276"/>
        <v>0</v>
      </c>
      <c r="BJ99" s="26">
        <f t="shared" si="277"/>
        <v>0</v>
      </c>
      <c r="BK99" s="25">
        <f t="shared" si="278"/>
        <v>4.0000000000000009</v>
      </c>
      <c r="BL99" s="24">
        <f t="shared" si="279"/>
        <v>5.9999999999999991</v>
      </c>
      <c r="BM99" s="26">
        <f t="shared" si="280"/>
        <v>2.00113974823139</v>
      </c>
      <c r="BN99" s="26">
        <f t="shared" si="281"/>
        <v>0.94607780282562537</v>
      </c>
      <c r="BO99" s="22"/>
      <c r="BP99" s="23">
        <f t="shared" si="282"/>
        <v>0.67656832646863363</v>
      </c>
      <c r="BQ99" s="26">
        <f t="shared" si="283"/>
        <v>5.5299888727634361E-2</v>
      </c>
      <c r="BR99" s="26">
        <f t="shared" si="284"/>
        <v>1.1397482313897922E-3</v>
      </c>
      <c r="BS99" s="26"/>
      <c r="BT99" s="26">
        <f t="shared" si="285"/>
        <v>1.1397482313897922E-3</v>
      </c>
      <c r="BU99" s="26">
        <f t="shared" si="286"/>
        <v>0</v>
      </c>
      <c r="BV99" s="26">
        <f t="shared" si="287"/>
        <v>1.1397482313897922E-3</v>
      </c>
      <c r="BW99" s="26">
        <f t="shared" si="288"/>
        <v>0</v>
      </c>
      <c r="BX99" s="26">
        <f t="shared" si="289"/>
        <v>0.90832091587167829</v>
      </c>
      <c r="BY99" s="26">
        <f t="shared" si="290"/>
        <v>6.4096006116790338E-2</v>
      </c>
      <c r="BZ99" s="26">
        <f t="shared" si="291"/>
        <v>0.97469641845124821</v>
      </c>
      <c r="CA99" s="22"/>
      <c r="CB99" s="22">
        <f t="shared" si="292"/>
        <v>4.1703806803574994E-2</v>
      </c>
      <c r="CC99" s="22">
        <f t="shared" si="293"/>
        <v>0</v>
      </c>
      <c r="CD99" s="22">
        <f t="shared" si="294"/>
        <v>2.9859194177632387E-2</v>
      </c>
      <c r="CE99" s="22">
        <f t="shared" si="295"/>
        <v>0</v>
      </c>
      <c r="CF99" s="22">
        <f t="shared" si="296"/>
        <v>1.1397482313897922E-3</v>
      </c>
      <c r="CG99" s="22">
        <f t="shared" si="297"/>
        <v>0.45737094198224471</v>
      </c>
      <c r="CH99" s="22">
        <f t="shared" si="298"/>
        <v>0.39452808740462092</v>
      </c>
      <c r="CI99" s="22">
        <f t="shared" si="299"/>
        <v>0.14810097061313443</v>
      </c>
      <c r="CJ99" s="22"/>
      <c r="CK99" s="22">
        <f t="shared" si="300"/>
        <v>0.46491991966892904</v>
      </c>
      <c r="CL99" s="22">
        <f t="shared" si="301"/>
        <v>0.35849295055361352</v>
      </c>
      <c r="CM99" s="22">
        <f t="shared" si="302"/>
        <v>0.17658712977745741</v>
      </c>
      <c r="CN99" s="1"/>
      <c r="CO99" s="26">
        <f t="shared" si="303"/>
        <v>0.8576897470039947</v>
      </c>
      <c r="CP99" s="26">
        <f t="shared" si="304"/>
        <v>5.4331497245868809E-3</v>
      </c>
      <c r="CQ99" s="26">
        <f t="shared" si="305"/>
        <v>2.4892114554727344E-2</v>
      </c>
      <c r="CR99" s="26">
        <f t="shared" si="306"/>
        <v>0</v>
      </c>
      <c r="CS99" s="26">
        <f t="shared" si="307"/>
        <v>0.14697286012526098</v>
      </c>
      <c r="CT99" s="26">
        <f t="shared" si="308"/>
        <v>4.468564984493939E-3</v>
      </c>
      <c r="CU99" s="26">
        <f t="shared" si="309"/>
        <v>0.30744416873449137</v>
      </c>
      <c r="CV99" s="26">
        <f t="shared" si="310"/>
        <v>0.398716119828816</v>
      </c>
      <c r="CW99" s="26">
        <f t="shared" si="311"/>
        <v>1.8393030009680542E-2</v>
      </c>
      <c r="CX99" s="26">
        <f t="shared" si="312"/>
        <v>1.4861995753715499E-4</v>
      </c>
      <c r="CY99" s="26">
        <f t="shared" si="313"/>
        <v>0</v>
      </c>
      <c r="CZ99" s="26">
        <f t="shared" si="314"/>
        <v>0</v>
      </c>
      <c r="DA99" s="26">
        <f t="shared" si="315"/>
        <v>0</v>
      </c>
      <c r="DB99" s="26">
        <f t="shared" si="316"/>
        <v>1.764158374923589</v>
      </c>
      <c r="DC99" s="26">
        <f t="shared" si="317"/>
        <v>2.6304565039459256</v>
      </c>
      <c r="DD99" s="26">
        <f t="shared" si="318"/>
        <v>2.2673701277943668</v>
      </c>
      <c r="DE99" s="26">
        <f t="shared" si="319"/>
        <v>5.9642184995093963</v>
      </c>
      <c r="DF99" s="1"/>
      <c r="DG99" s="22">
        <v>3.36026798114362</v>
      </c>
      <c r="DH99" s="14">
        <v>3217.0957920552687</v>
      </c>
      <c r="DI99" s="14">
        <v>75145.288356638688</v>
      </c>
      <c r="DJ99" s="14">
        <v>5986.4495046154389</v>
      </c>
      <c r="DK99" s="14">
        <v>241230.71302597006</v>
      </c>
      <c r="DL99" s="14">
        <v>159276.19975331961</v>
      </c>
      <c r="DM99" s="96">
        <v>83.837070498651158</v>
      </c>
      <c r="DN99" s="14">
        <v>2264.2960290218998</v>
      </c>
      <c r="DO99" s="96">
        <v>278.44761554865477</v>
      </c>
      <c r="DP99" s="22">
        <v>34.253777367891537</v>
      </c>
      <c r="DQ99" s="14">
        <v>2426.9152146283632</v>
      </c>
      <c r="DR99" s="22">
        <v>38.557003551405089</v>
      </c>
      <c r="DS99" s="22">
        <v>38.84572319428321</v>
      </c>
      <c r="DT99" s="22">
        <v>0</v>
      </c>
      <c r="DU99" s="22">
        <v>57.651212802463959</v>
      </c>
      <c r="DV99" s="22">
        <v>0</v>
      </c>
      <c r="DW99" s="22">
        <v>13.437160207393768</v>
      </c>
      <c r="DX99" s="22">
        <v>14.451702902536061</v>
      </c>
      <c r="DY99" s="22">
        <v>15.858994888629793</v>
      </c>
      <c r="DZ99" s="22">
        <v>73.008612987360067</v>
      </c>
      <c r="EA99" s="22">
        <v>0</v>
      </c>
      <c r="EB99" s="22">
        <v>0</v>
      </c>
      <c r="EC99" s="22">
        <v>0.23833049959876307</v>
      </c>
      <c r="ED99" s="22">
        <v>3.884568928615197</v>
      </c>
      <c r="EE99" s="22">
        <v>9.916720416609424</v>
      </c>
      <c r="EF99" s="22">
        <v>1.7505667611163962</v>
      </c>
      <c r="EG99" s="22">
        <v>6.9954251165603782</v>
      </c>
      <c r="EH99" s="22">
        <v>2.4123701475137471</v>
      </c>
      <c r="EI99" s="22">
        <v>0.37016026567200722</v>
      </c>
      <c r="EJ99" s="22">
        <v>2.6758158107261631</v>
      </c>
      <c r="EK99" s="22">
        <v>0.41931626398688127</v>
      </c>
      <c r="EL99" s="22">
        <v>2.8645271143394435</v>
      </c>
      <c r="EM99" s="22">
        <v>0.58064957615851054</v>
      </c>
      <c r="EN99" s="22">
        <v>1.721176320776252</v>
      </c>
      <c r="EO99" s="22">
        <v>0.26749675188176558</v>
      </c>
      <c r="EP99" s="22">
        <v>2.0196952966103869</v>
      </c>
      <c r="EQ99" s="22">
        <v>0.47977229137451521</v>
      </c>
      <c r="ER99" s="22">
        <v>2.2876959323605965</v>
      </c>
      <c r="ES99" s="22">
        <v>0</v>
      </c>
      <c r="ET99" s="22">
        <v>0.23674799263683874</v>
      </c>
      <c r="EU99" s="22">
        <v>0.11417352641298303</v>
      </c>
      <c r="EV99" s="22">
        <v>1.6770289140801243E-2</v>
      </c>
      <c r="EW99" s="22">
        <f t="shared" si="368"/>
        <v>0.44148578271991096</v>
      </c>
      <c r="EX99" s="22"/>
      <c r="EY99" s="22"/>
      <c r="EZ99" s="22"/>
      <c r="FA99" s="22"/>
      <c r="FB99" s="22"/>
      <c r="FC99" s="22"/>
      <c r="FD99" s="22"/>
      <c r="FE99" s="22"/>
      <c r="FF99" s="22"/>
      <c r="FG99" s="22"/>
      <c r="FH99" s="22"/>
      <c r="FI99" s="22">
        <f t="shared" si="369"/>
        <v>-2.01245651010667</v>
      </c>
      <c r="FJ99" s="22"/>
      <c r="FK99" s="22">
        <f t="shared" si="370"/>
        <v>0.8941650000000001</v>
      </c>
      <c r="FL99" s="22">
        <f t="shared" si="371"/>
        <v>-0.48986000000000002</v>
      </c>
      <c r="FM99" s="22"/>
      <c r="FN99" s="22"/>
      <c r="FO99" s="22">
        <f t="shared" si="372"/>
        <v>-4.1255316471631689</v>
      </c>
      <c r="FP99" s="22">
        <f t="shared" si="373"/>
        <v>-0.49862000000000001</v>
      </c>
      <c r="FQ99" s="46"/>
      <c r="FR99" s="46"/>
      <c r="FS99" s="46"/>
      <c r="FT99" s="46"/>
      <c r="FU99" s="46"/>
      <c r="FV99" s="46"/>
      <c r="FW99" s="46"/>
      <c r="FX99" s="46"/>
      <c r="FY99" s="46"/>
      <c r="FZ99" s="46"/>
      <c r="GA99" s="46"/>
      <c r="GB99" s="46"/>
      <c r="GC99" s="46"/>
      <c r="GD99" s="46"/>
      <c r="GE99" s="46"/>
      <c r="GF99" s="46"/>
      <c r="GG99" s="46"/>
      <c r="GH99" s="46"/>
    </row>
    <row r="100" spans="1:190" x14ac:dyDescent="0.25">
      <c r="A100" s="5" t="s">
        <v>256</v>
      </c>
      <c r="B100" s="1">
        <v>1210</v>
      </c>
      <c r="C100" s="98" t="s">
        <v>99</v>
      </c>
      <c r="D100" s="98" t="s">
        <v>105</v>
      </c>
      <c r="E100" s="1">
        <v>43</v>
      </c>
      <c r="F100" s="22">
        <v>50.69</v>
      </c>
      <c r="G100" s="22">
        <v>0.66800000000000004</v>
      </c>
      <c r="H100" s="22">
        <v>2.31</v>
      </c>
      <c r="I100" s="22">
        <v>0</v>
      </c>
      <c r="J100" s="22">
        <v>10.58</v>
      </c>
      <c r="K100" s="22">
        <v>0.25600000000000001</v>
      </c>
      <c r="L100" s="22">
        <v>12.12</v>
      </c>
      <c r="M100" s="22">
        <v>22.35</v>
      </c>
      <c r="N100" s="22">
        <v>0.46400000000000002</v>
      </c>
      <c r="O100" s="22">
        <v>6.0000000000000001E-3</v>
      </c>
      <c r="P100" s="22">
        <v>0</v>
      </c>
      <c r="Q100" s="22"/>
      <c r="R100" s="22"/>
      <c r="S100" s="22">
        <f t="shared" si="244"/>
        <v>99.444000000000017</v>
      </c>
      <c r="T100" s="3"/>
      <c r="U100" s="22">
        <f t="shared" si="245"/>
        <v>8.5487208000089527</v>
      </c>
      <c r="V100" s="22">
        <f t="shared" si="246"/>
        <v>2.2573605749500505</v>
      </c>
      <c r="W100" s="22">
        <f t="shared" si="247"/>
        <v>99.670081374959011</v>
      </c>
      <c r="X100" s="1"/>
      <c r="Y100" s="1"/>
      <c r="Z100" s="1"/>
      <c r="AA100" s="1" t="s">
        <v>185</v>
      </c>
      <c r="AC100" s="1">
        <v>6</v>
      </c>
      <c r="AD100" s="1">
        <v>4</v>
      </c>
      <c r="AE100" s="1"/>
      <c r="AF100" s="26">
        <f t="shared" si="248"/>
        <v>1.9249550815336673</v>
      </c>
      <c r="AG100" s="26">
        <f t="shared" si="249"/>
        <v>1.9079484601588356E-2</v>
      </c>
      <c r="AH100" s="26">
        <f t="shared" si="250"/>
        <v>0.10338091729179835</v>
      </c>
      <c r="AI100" s="26">
        <f t="shared" si="251"/>
        <v>0</v>
      </c>
      <c r="AJ100" s="26">
        <f t="shared" si="252"/>
        <v>0.33595965591018812</v>
      </c>
      <c r="AK100" s="26">
        <f t="shared" si="253"/>
        <v>8.2333582666968431E-3</v>
      </c>
      <c r="AL100" s="26">
        <f t="shared" si="254"/>
        <v>0.68616064647239716</v>
      </c>
      <c r="AM100" s="26">
        <f t="shared" si="255"/>
        <v>0.90928024363021065</v>
      </c>
      <c r="AN100" s="26">
        <f t="shared" si="256"/>
        <v>3.4160532889127036E-2</v>
      </c>
      <c r="AO100" s="26">
        <f t="shared" si="257"/>
        <v>2.9064213546948348E-4</v>
      </c>
      <c r="AP100" s="26">
        <f t="shared" si="258"/>
        <v>0</v>
      </c>
      <c r="AQ100" s="26">
        <f t="shared" si="259"/>
        <v>0</v>
      </c>
      <c r="AR100" s="26">
        <f t="shared" si="260"/>
        <v>0</v>
      </c>
      <c r="AS100" s="26">
        <f t="shared" si="261"/>
        <v>4.021500562731144</v>
      </c>
      <c r="AT100" s="26">
        <f t="shared" si="262"/>
        <v>2.0283359988254657</v>
      </c>
      <c r="AU100" s="26">
        <f t="shared" si="263"/>
        <v>0.94373141865480714</v>
      </c>
      <c r="AV100" s="47"/>
      <c r="AW100" s="26">
        <f t="shared" si="264"/>
        <v>1.9146634958831013</v>
      </c>
      <c r="AX100" s="26">
        <f t="shared" si="265"/>
        <v>1.8977477987600532E-2</v>
      </c>
      <c r="AY100" s="26">
        <f t="shared" si="266"/>
        <v>0.1028282012439543</v>
      </c>
      <c r="AZ100" s="26">
        <f t="shared" si="267"/>
        <v>0</v>
      </c>
      <c r="BA100" s="26">
        <f t="shared" si="268"/>
        <v>0.27000664401986213</v>
      </c>
      <c r="BB100" s="26">
        <f t="shared" si="269"/>
        <v>6.4156836173238752E-2</v>
      </c>
      <c r="BC100" s="26">
        <f t="shared" si="270"/>
        <v>8.1893394152408421E-3</v>
      </c>
      <c r="BD100" s="26">
        <f t="shared" si="271"/>
        <v>0.68249215512370953</v>
      </c>
      <c r="BE100" s="26">
        <f t="shared" si="272"/>
        <v>0.9044188649946987</v>
      </c>
      <c r="BF100" s="26">
        <f t="shared" si="273"/>
        <v>3.3977896913113856E-2</v>
      </c>
      <c r="BG100" s="26">
        <f t="shared" si="274"/>
        <v>2.8908824548028726E-4</v>
      </c>
      <c r="BH100" s="26">
        <f t="shared" si="275"/>
        <v>0</v>
      </c>
      <c r="BI100" s="26">
        <f t="shared" si="276"/>
        <v>0</v>
      </c>
      <c r="BJ100" s="26">
        <f t="shared" si="277"/>
        <v>0</v>
      </c>
      <c r="BK100" s="25">
        <f t="shared" si="278"/>
        <v>4.0000000000000009</v>
      </c>
      <c r="BL100" s="24">
        <f t="shared" si="279"/>
        <v>6.0000000000000009</v>
      </c>
      <c r="BM100" s="26">
        <f t="shared" si="280"/>
        <v>2.0174916971270553</v>
      </c>
      <c r="BN100" s="26">
        <f t="shared" si="281"/>
        <v>0.93868585015329276</v>
      </c>
      <c r="BO100" s="22"/>
      <c r="BP100" s="23">
        <f t="shared" si="282"/>
        <v>0.67131104320395685</v>
      </c>
      <c r="BQ100" s="26">
        <f t="shared" si="283"/>
        <v>8.5336504116898748E-2</v>
      </c>
      <c r="BR100" s="26">
        <f t="shared" si="284"/>
        <v>1.7491697127055547E-2</v>
      </c>
      <c r="BS100" s="26"/>
      <c r="BT100" s="26">
        <f t="shared" si="285"/>
        <v>1.7491697127055547E-2</v>
      </c>
      <c r="BU100" s="26">
        <f t="shared" si="286"/>
        <v>0</v>
      </c>
      <c r="BV100" s="26">
        <f t="shared" si="287"/>
        <v>1.7491697127055547E-2</v>
      </c>
      <c r="BW100" s="26">
        <f t="shared" si="288"/>
        <v>0</v>
      </c>
      <c r="BX100" s="26">
        <f t="shared" si="289"/>
        <v>0.89178854650315509</v>
      </c>
      <c r="BY100" s="26">
        <f t="shared" si="290"/>
        <v>6.5165877939715122E-2</v>
      </c>
      <c r="BZ100" s="26">
        <f t="shared" si="291"/>
        <v>0.99193781869698139</v>
      </c>
      <c r="CA100" s="22"/>
      <c r="CB100" s="22">
        <f t="shared" si="292"/>
        <v>3.3977896913113856E-2</v>
      </c>
      <c r="CC100" s="22">
        <f t="shared" si="293"/>
        <v>0</v>
      </c>
      <c r="CD100" s="22">
        <f t="shared" si="294"/>
        <v>3.0178939260124896E-2</v>
      </c>
      <c r="CE100" s="22">
        <f t="shared" si="295"/>
        <v>0</v>
      </c>
      <c r="CF100" s="22">
        <f t="shared" si="296"/>
        <v>1.7491697127055547E-2</v>
      </c>
      <c r="CG100" s="22">
        <f t="shared" si="297"/>
        <v>0.44536306276031601</v>
      </c>
      <c r="CH100" s="22">
        <f t="shared" si="298"/>
        <v>0.39741295101713647</v>
      </c>
      <c r="CI100" s="22">
        <f t="shared" si="299"/>
        <v>0.15722398622254752</v>
      </c>
      <c r="CJ100" s="22"/>
      <c r="CK100" s="22">
        <f t="shared" si="300"/>
        <v>0.46878962139403157</v>
      </c>
      <c r="CL100" s="22">
        <f t="shared" si="301"/>
        <v>0.35375781221316721</v>
      </c>
      <c r="CM100" s="22">
        <f t="shared" si="302"/>
        <v>0.17745256639280124</v>
      </c>
      <c r="CN100" s="1"/>
      <c r="CO100" s="26">
        <f t="shared" si="303"/>
        <v>0.84370838881491339</v>
      </c>
      <c r="CP100" s="26">
        <f t="shared" si="304"/>
        <v>8.362543815723586E-3</v>
      </c>
      <c r="CQ100" s="26">
        <f t="shared" si="305"/>
        <v>4.5311887014515502E-2</v>
      </c>
      <c r="CR100" s="26">
        <f t="shared" si="306"/>
        <v>0</v>
      </c>
      <c r="CS100" s="26">
        <f t="shared" si="307"/>
        <v>0.14725121781489214</v>
      </c>
      <c r="CT100" s="26">
        <f t="shared" si="308"/>
        <v>3.608683394417818E-3</v>
      </c>
      <c r="CU100" s="26">
        <f t="shared" si="309"/>
        <v>0.30074441687344916</v>
      </c>
      <c r="CV100" s="26">
        <f t="shared" si="310"/>
        <v>0.39853780313837378</v>
      </c>
      <c r="CW100" s="26">
        <f t="shared" si="311"/>
        <v>1.4972571797353987E-2</v>
      </c>
      <c r="CX100" s="26">
        <f t="shared" si="312"/>
        <v>1.2738853503184712E-4</v>
      </c>
      <c r="CY100" s="26">
        <f t="shared" si="313"/>
        <v>0</v>
      </c>
      <c r="CZ100" s="26">
        <f t="shared" si="314"/>
        <v>0</v>
      </c>
      <c r="DA100" s="26">
        <f t="shared" si="315"/>
        <v>0</v>
      </c>
      <c r="DB100" s="26">
        <f t="shared" si="316"/>
        <v>1.7626249011986712</v>
      </c>
      <c r="DC100" s="26">
        <f t="shared" si="317"/>
        <v>2.6298017971703729</v>
      </c>
      <c r="DD100" s="26">
        <f t="shared" si="318"/>
        <v>2.2693427270202551</v>
      </c>
      <c r="DE100" s="26">
        <f t="shared" si="319"/>
        <v>5.967921581913382</v>
      </c>
      <c r="DF100" s="1"/>
      <c r="DG100" s="22">
        <v>4.0567020468760395</v>
      </c>
      <c r="DH100" s="14">
        <v>2975.2731198977763</v>
      </c>
      <c r="DI100" s="14">
        <v>77149.557433214854</v>
      </c>
      <c r="DJ100" s="14">
        <v>13820.236302426345</v>
      </c>
      <c r="DK100" s="14">
        <v>235570.78200246318</v>
      </c>
      <c r="DL100" s="14">
        <v>161854.6191683324</v>
      </c>
      <c r="DM100" s="96">
        <v>83.838008641370081</v>
      </c>
      <c r="DN100" s="14">
        <v>4587.7332867193072</v>
      </c>
      <c r="DO100" s="96">
        <v>401.34219665983045</v>
      </c>
      <c r="DP100" s="22">
        <v>45.501505660635125</v>
      </c>
      <c r="DQ100" s="14">
        <v>2114.2965314727217</v>
      </c>
      <c r="DR100" s="22">
        <v>44.05221478473937</v>
      </c>
      <c r="DS100" s="22">
        <v>57.02161726648545</v>
      </c>
      <c r="DT100" s="22">
        <v>1.3317645632459938</v>
      </c>
      <c r="DU100" s="22">
        <v>61.153899356018968</v>
      </c>
      <c r="DV100" s="22">
        <v>0</v>
      </c>
      <c r="DW100" s="22">
        <v>24.021110728283553</v>
      </c>
      <c r="DX100" s="22">
        <v>26.004838675529168</v>
      </c>
      <c r="DY100" s="22">
        <v>19.070745299383777</v>
      </c>
      <c r="DZ100" s="22">
        <v>36.537313008489562</v>
      </c>
      <c r="EA100" s="22">
        <v>0</v>
      </c>
      <c r="EB100" s="22">
        <v>3.634670930213043E-2</v>
      </c>
      <c r="EC100" s="22">
        <v>0.46743263561775478</v>
      </c>
      <c r="ED100" s="22">
        <v>2.3735696422701507</v>
      </c>
      <c r="EE100" s="22">
        <v>8.3259880060786617</v>
      </c>
      <c r="EF100" s="22">
        <v>1.5467735677342387</v>
      </c>
      <c r="EG100" s="22">
        <v>8.229802976480169</v>
      </c>
      <c r="EH100" s="22">
        <v>2.9322683500477118</v>
      </c>
      <c r="EI100" s="22">
        <v>0.69203660392710842</v>
      </c>
      <c r="EJ100" s="22">
        <v>3.8146952584766942</v>
      </c>
      <c r="EK100" s="22">
        <v>0.62268960434264509</v>
      </c>
      <c r="EL100" s="22">
        <v>4.0436165487549838</v>
      </c>
      <c r="EM100" s="22">
        <v>0.82125785998315493</v>
      </c>
      <c r="EN100" s="22">
        <v>1.987577213560175</v>
      </c>
      <c r="EO100" s="22">
        <v>0.2878233597492007</v>
      </c>
      <c r="EP100" s="22">
        <v>2.2651274666528693</v>
      </c>
      <c r="EQ100" s="22">
        <v>0.33062460132388388</v>
      </c>
      <c r="ER100" s="22">
        <v>1.5485119724200229</v>
      </c>
      <c r="ES100" s="22">
        <v>2.5592554565459797E-2</v>
      </c>
      <c r="ET100" s="22">
        <v>0.2250147635625438</v>
      </c>
      <c r="EU100" s="22">
        <v>0.12303742925448684</v>
      </c>
      <c r="EV100" s="22">
        <v>1.7361979577268608E-2</v>
      </c>
      <c r="EW100" s="22">
        <f t="shared" si="368"/>
        <v>0.62700974379628338</v>
      </c>
      <c r="EX100" s="22"/>
      <c r="EY100" s="22"/>
      <c r="EZ100" s="22"/>
      <c r="FA100" s="22"/>
      <c r="FB100" s="22"/>
      <c r="FC100" s="22"/>
      <c r="FD100" s="22"/>
      <c r="FE100" s="22"/>
      <c r="FF100" s="22"/>
      <c r="FG100" s="22"/>
      <c r="FH100" s="22"/>
      <c r="FI100" s="22">
        <f t="shared" si="369"/>
        <v>-2.0007314541056247</v>
      </c>
      <c r="FJ100" s="22"/>
      <c r="FK100" s="22">
        <f t="shared" si="370"/>
        <v>0.96116147623849901</v>
      </c>
      <c r="FL100" s="22">
        <f t="shared" si="371"/>
        <v>-0.75187943395574264</v>
      </c>
      <c r="FM100" s="22"/>
      <c r="FN100" s="22"/>
      <c r="FO100" s="22">
        <f t="shared" si="372"/>
        <v>-4.0628574704516511</v>
      </c>
      <c r="FP100" s="22">
        <f t="shared" si="373"/>
        <v>-1.7962804565566473</v>
      </c>
      <c r="FQ100" s="46">
        <f t="shared" ref="FQ100" si="386" xml:space="preserve">  -0.73306   +   1.025016   *  FS100     +N("316 NN Nd")</f>
        <v>-1.2806837132537554</v>
      </c>
      <c r="FR100" s="46">
        <f t="shared" ref="FR100" si="387" xml:space="preserve">  -0.33671   +   1.013871 *  FS100    +N("340 NN")</f>
        <v>-0.87837940006819237</v>
      </c>
      <c r="FS100" s="46">
        <f t="shared" ref="FS100" si="388">-0.42496     +   1.017678*FT100                 + N("361 NN")</f>
        <v>-0.53425869767277334</v>
      </c>
      <c r="FT100" s="46">
        <f xml:space="preserve"> 0.68509  -3.34181 * BP100 + 0.03095*(100*CK100) +N("642 cpx Mg# Wo R2 0.59")</f>
        <v>-0.10740007907488747</v>
      </c>
      <c r="FU100" s="46">
        <f t="shared" ref="FU100" si="389" xml:space="preserve"> -0.06599 + 0.926002 * FT100  + N("409 NN")</f>
        <v>-0.16544268802350393</v>
      </c>
      <c r="FV100" s="46">
        <f t="shared" ref="FV100" si="390">0.1453     +   0.925549*FT100     +N("424 LnD Sm")</f>
        <v>4.5895964212316995E-2</v>
      </c>
      <c r="FW100" s="46">
        <f t="shared" ref="FW100" si="391" xml:space="preserve">  0.053547 + 0.932974 * FV100  +  N("445 NN")</f>
        <v>9.6366741315022236E-2</v>
      </c>
      <c r="FX100" s="46">
        <f t="shared" ref="FX100" si="392" xml:space="preserve">  0.027177  +  0.867603 * FV100 + N("464 NN Gd")</f>
        <v>6.6996476238498859E-2</v>
      </c>
      <c r="FY100" s="46">
        <f t="shared" ref="FY100" si="393" xml:space="preserve">  -0.06187  +  0.953618 * FX100   + N("505 NN Dy")</f>
        <v>2.0190456776047958E-3</v>
      </c>
      <c r="FZ100" s="46">
        <f t="shared" ref="FZ100" si="394" xml:space="preserve"> -0.05652 + 0.972005*FY100   +N("533 NN")</f>
        <v>-5.4557477506139748E-2</v>
      </c>
      <c r="GA100" s="46">
        <f t="shared" ref="GA100" si="395" xml:space="preserve">     0.018586 + 0.960264 * FZ100    +N("549 LnD Er")</f>
        <v>-3.3803581579955784E-2</v>
      </c>
      <c r="GB100" s="46">
        <f t="shared" ref="GB100" si="396" xml:space="preserve"> -0.02011 + 0.936315 * FZ100    +N("574 NN Er")</f>
        <v>-7.1192984551161242E-2</v>
      </c>
      <c r="GC100" s="46">
        <f t="shared" ref="GC100" si="397" xml:space="preserve">   0.01732 + 1.006083 * GB100  +N("597 NN Yb")</f>
        <v>-5.430605147618596E-2</v>
      </c>
      <c r="GD100" s="46">
        <f>(-1.72947 +0 ) * (3.46258+0) * BQ100   - (1.87473 + 0) *BP100   + (0.03253+0) * (CK100*100)    +N("eqn625 aliv mg# wo")</f>
        <v>-0.24458584415599183</v>
      </c>
      <c r="GE100" s="46"/>
      <c r="GF100" s="46"/>
      <c r="GG100" s="46"/>
      <c r="GH100" s="46"/>
    </row>
    <row r="101" spans="1:190" x14ac:dyDescent="0.25">
      <c r="A101" s="5" t="s">
        <v>256</v>
      </c>
      <c r="B101" s="1">
        <v>1211</v>
      </c>
      <c r="C101" s="98" t="s">
        <v>99</v>
      </c>
      <c r="D101" s="98" t="s">
        <v>105</v>
      </c>
      <c r="E101" s="1">
        <v>44</v>
      </c>
      <c r="F101" s="22">
        <v>50.81</v>
      </c>
      <c r="G101" s="22">
        <v>0.83</v>
      </c>
      <c r="H101" s="22">
        <v>2.13</v>
      </c>
      <c r="I101" s="22">
        <v>0</v>
      </c>
      <c r="J101" s="22">
        <v>11.23</v>
      </c>
      <c r="K101" s="22">
        <v>0.32900000000000001</v>
      </c>
      <c r="L101" s="22">
        <v>11.97</v>
      </c>
      <c r="M101" s="22">
        <v>22.06</v>
      </c>
      <c r="N101" s="22">
        <v>0.50800000000000001</v>
      </c>
      <c r="O101" s="22">
        <v>7.0000000000000001E-3</v>
      </c>
      <c r="P101" s="22">
        <v>0</v>
      </c>
      <c r="Q101" s="22"/>
      <c r="R101" s="22"/>
      <c r="S101" s="22">
        <f t="shared" si="244"/>
        <v>99.873999999999995</v>
      </c>
      <c r="T101" s="3"/>
      <c r="U101" s="22">
        <f t="shared" si="245"/>
        <v>9.195911125115499</v>
      </c>
      <c r="V101" s="22">
        <f t="shared" si="246"/>
        <v>2.2604829666591471</v>
      </c>
      <c r="W101" s="22">
        <f t="shared" si="247"/>
        <v>100.10039409177465</v>
      </c>
      <c r="X101" s="1"/>
      <c r="Y101" s="1"/>
      <c r="Z101" s="1"/>
      <c r="AA101" s="1" t="s">
        <v>185</v>
      </c>
      <c r="AC101" s="1">
        <v>6</v>
      </c>
      <c r="AD101" s="1">
        <v>4</v>
      </c>
      <c r="AE101" s="1"/>
      <c r="AF101" s="26">
        <f t="shared" si="248"/>
        <v>1.9261008879634787</v>
      </c>
      <c r="AG101" s="26">
        <f t="shared" si="249"/>
        <v>2.36646342569212E-2</v>
      </c>
      <c r="AH101" s="26">
        <f t="shared" si="250"/>
        <v>9.5156735144500418E-2</v>
      </c>
      <c r="AI101" s="26">
        <f t="shared" si="251"/>
        <v>0</v>
      </c>
      <c r="AJ101" s="26">
        <f t="shared" si="252"/>
        <v>0.35596946374715366</v>
      </c>
      <c r="AK101" s="26">
        <f t="shared" si="253"/>
        <v>1.0562445336152099E-2</v>
      </c>
      <c r="AL101" s="26">
        <f t="shared" si="254"/>
        <v>0.6764705038650215</v>
      </c>
      <c r="AM101" s="26">
        <f t="shared" si="255"/>
        <v>0.89589531127669619</v>
      </c>
      <c r="AN101" s="26">
        <f t="shared" si="256"/>
        <v>3.7333774209985175E-2</v>
      </c>
      <c r="AO101" s="26">
        <f t="shared" si="257"/>
        <v>3.3848302486634584E-4</v>
      </c>
      <c r="AP101" s="26">
        <f t="shared" si="258"/>
        <v>0</v>
      </c>
      <c r="AQ101" s="26">
        <f t="shared" si="259"/>
        <v>0</v>
      </c>
      <c r="AR101" s="26">
        <f t="shared" si="260"/>
        <v>0</v>
      </c>
      <c r="AS101" s="26">
        <f t="shared" si="261"/>
        <v>4.0214922388247754</v>
      </c>
      <c r="AT101" s="26">
        <f t="shared" si="262"/>
        <v>2.0212576231079793</v>
      </c>
      <c r="AU101" s="26">
        <f t="shared" si="263"/>
        <v>0.93356756851154776</v>
      </c>
      <c r="AV101" s="47"/>
      <c r="AW101" s="26">
        <f t="shared" si="264"/>
        <v>1.9158071418050078</v>
      </c>
      <c r="AX101" s="26">
        <f t="shared" si="265"/>
        <v>2.3538162305479778E-2</v>
      </c>
      <c r="AY101" s="26">
        <f t="shared" si="266"/>
        <v>9.4648184796505927E-2</v>
      </c>
      <c r="AZ101" s="26">
        <f t="shared" si="267"/>
        <v>0</v>
      </c>
      <c r="BA101" s="26">
        <f t="shared" si="268"/>
        <v>0.28993490969214131</v>
      </c>
      <c r="BB101" s="26">
        <f t="shared" si="269"/>
        <v>6.4132130706952672E-2</v>
      </c>
      <c r="BC101" s="26">
        <f t="shared" si="270"/>
        <v>1.0505995992411837E-2</v>
      </c>
      <c r="BD101" s="26">
        <f t="shared" si="271"/>
        <v>0.67285521263391568</v>
      </c>
      <c r="BE101" s="26">
        <f t="shared" si="272"/>
        <v>0.89110733834315103</v>
      </c>
      <c r="BF101" s="26">
        <f t="shared" si="273"/>
        <v>3.7134249669366959E-2</v>
      </c>
      <c r="BG101" s="26">
        <f t="shared" si="274"/>
        <v>3.3667405506694479E-4</v>
      </c>
      <c r="BH101" s="26">
        <f t="shared" si="275"/>
        <v>0</v>
      </c>
      <c r="BI101" s="26">
        <f t="shared" si="276"/>
        <v>0</v>
      </c>
      <c r="BJ101" s="26">
        <f t="shared" si="277"/>
        <v>0</v>
      </c>
      <c r="BK101" s="25">
        <f t="shared" si="278"/>
        <v>3.9999999999999996</v>
      </c>
      <c r="BL101" s="24">
        <f t="shared" si="279"/>
        <v>5.9999999999999991</v>
      </c>
      <c r="BM101" s="26">
        <f t="shared" si="280"/>
        <v>2.0104553266015137</v>
      </c>
      <c r="BN101" s="26">
        <f t="shared" si="281"/>
        <v>0.92857826206758498</v>
      </c>
      <c r="BO101" s="22"/>
      <c r="BP101" s="23">
        <f t="shared" si="282"/>
        <v>0.65521533947350075</v>
      </c>
      <c r="BQ101" s="26">
        <f t="shared" si="283"/>
        <v>8.4192858194992226E-2</v>
      </c>
      <c r="BR101" s="26">
        <f t="shared" si="284"/>
        <v>1.0455326601513701E-2</v>
      </c>
      <c r="BS101" s="26"/>
      <c r="BT101" s="26">
        <f t="shared" si="285"/>
        <v>1.0455326601513701E-2</v>
      </c>
      <c r="BU101" s="26">
        <f t="shared" si="286"/>
        <v>0</v>
      </c>
      <c r="BV101" s="26">
        <f t="shared" si="287"/>
        <v>1.0455326601513701E-2</v>
      </c>
      <c r="BW101" s="26">
        <f t="shared" si="288"/>
        <v>0</v>
      </c>
      <c r="BX101" s="26">
        <f t="shared" si="289"/>
        <v>0.88543998467518248</v>
      </c>
      <c r="BY101" s="26">
        <f t="shared" si="290"/>
        <v>7.349999146849634E-2</v>
      </c>
      <c r="BZ101" s="26">
        <f t="shared" si="291"/>
        <v>0.97985062934670619</v>
      </c>
      <c r="CA101" s="22"/>
      <c r="CB101" s="22">
        <f t="shared" si="292"/>
        <v>3.7134249669366959E-2</v>
      </c>
      <c r="CC101" s="22">
        <f t="shared" si="293"/>
        <v>0</v>
      </c>
      <c r="CD101" s="22">
        <f t="shared" si="294"/>
        <v>2.6997881037585714E-2</v>
      </c>
      <c r="CE101" s="22">
        <f t="shared" si="295"/>
        <v>0</v>
      </c>
      <c r="CF101" s="22">
        <f t="shared" si="296"/>
        <v>1.0455326601513701E-2</v>
      </c>
      <c r="CG101" s="22">
        <f t="shared" si="297"/>
        <v>0.44539419018670928</v>
      </c>
      <c r="CH101" s="22">
        <f t="shared" si="298"/>
        <v>0.38759164789556255</v>
      </c>
      <c r="CI101" s="22">
        <f t="shared" si="299"/>
        <v>0.16701416191772811</v>
      </c>
      <c r="CJ101" s="22"/>
      <c r="CK101" s="22">
        <f t="shared" si="300"/>
        <v>0.46206424407186575</v>
      </c>
      <c r="CL101" s="22">
        <f t="shared" si="301"/>
        <v>0.34889437199964035</v>
      </c>
      <c r="CM101" s="22">
        <f t="shared" si="302"/>
        <v>0.18904138392849393</v>
      </c>
      <c r="CN101" s="1"/>
      <c r="CO101" s="26">
        <f t="shared" si="303"/>
        <v>0.84570572569906799</v>
      </c>
      <c r="CP101" s="26">
        <f t="shared" si="304"/>
        <v>1.0390585878818227E-2</v>
      </c>
      <c r="CQ101" s="26">
        <f t="shared" si="305"/>
        <v>4.1781090623774032E-2</v>
      </c>
      <c r="CR101" s="26">
        <f t="shared" si="306"/>
        <v>0</v>
      </c>
      <c r="CS101" s="26">
        <f t="shared" si="307"/>
        <v>0.15629784272790537</v>
      </c>
      <c r="CT101" s="26">
        <f t="shared" si="308"/>
        <v>4.6377220186072741E-3</v>
      </c>
      <c r="CU101" s="26">
        <f t="shared" si="309"/>
        <v>0.29702233250620352</v>
      </c>
      <c r="CV101" s="26">
        <f t="shared" si="310"/>
        <v>0.39336661911554921</v>
      </c>
      <c r="CW101" s="26">
        <f t="shared" si="311"/>
        <v>1.6392384640206519E-2</v>
      </c>
      <c r="CX101" s="26">
        <f t="shared" si="312"/>
        <v>1.4861995753715499E-4</v>
      </c>
      <c r="CY101" s="26">
        <f t="shared" si="313"/>
        <v>0</v>
      </c>
      <c r="CZ101" s="26">
        <f t="shared" si="314"/>
        <v>0</v>
      </c>
      <c r="DA101" s="26">
        <f t="shared" si="315"/>
        <v>0</v>
      </c>
      <c r="DB101" s="26">
        <f t="shared" si="316"/>
        <v>1.7657429231676693</v>
      </c>
      <c r="DC101" s="26">
        <f t="shared" si="317"/>
        <v>2.6344592777585709</v>
      </c>
      <c r="DD101" s="26">
        <f t="shared" si="318"/>
        <v>2.2653354276647284</v>
      </c>
      <c r="DE101" s="26">
        <f t="shared" si="319"/>
        <v>5.9679339346465241</v>
      </c>
      <c r="DF101" s="1"/>
      <c r="DG101" s="22"/>
      <c r="DH101" s="14"/>
      <c r="DI101" s="14"/>
      <c r="DJ101" s="14"/>
      <c r="DK101" s="14"/>
      <c r="DL101" s="14"/>
      <c r="DM101" s="96"/>
      <c r="DN101" s="14"/>
      <c r="DO101" s="96"/>
      <c r="DP101" s="22"/>
      <c r="DQ101" s="14"/>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46"/>
      <c r="FR101" s="46"/>
      <c r="FS101" s="46"/>
      <c r="FT101" s="46"/>
      <c r="FU101" s="46"/>
      <c r="FV101" s="46"/>
      <c r="FW101" s="46"/>
      <c r="FX101" s="46"/>
      <c r="FY101" s="46"/>
      <c r="FZ101" s="46"/>
      <c r="GA101" s="46"/>
      <c r="GB101" s="46"/>
      <c r="GC101" s="46"/>
      <c r="GD101" s="46"/>
      <c r="GE101" s="46"/>
      <c r="GF101" s="46"/>
      <c r="GG101" s="46"/>
      <c r="GH101" s="46"/>
    </row>
    <row r="102" spans="1:190" x14ac:dyDescent="0.25">
      <c r="A102" s="5" t="s">
        <v>256</v>
      </c>
      <c r="B102" s="1">
        <v>1235</v>
      </c>
      <c r="C102" s="98" t="s">
        <v>99</v>
      </c>
      <c r="D102" s="98" t="s">
        <v>105</v>
      </c>
      <c r="E102" s="1">
        <v>68</v>
      </c>
      <c r="F102" s="22">
        <v>51.97</v>
      </c>
      <c r="G102" s="22">
        <v>0.32300000000000001</v>
      </c>
      <c r="H102" s="22">
        <v>1.0780000000000001</v>
      </c>
      <c r="I102" s="22">
        <v>0.01</v>
      </c>
      <c r="J102" s="22">
        <v>10.46</v>
      </c>
      <c r="K102" s="22">
        <v>0.34899999999999998</v>
      </c>
      <c r="L102" s="22">
        <v>12.38</v>
      </c>
      <c r="M102" s="22">
        <v>22.56</v>
      </c>
      <c r="N102" s="22">
        <v>0.52700000000000002</v>
      </c>
      <c r="O102" s="22">
        <v>0</v>
      </c>
      <c r="P102" s="22">
        <v>0</v>
      </c>
      <c r="Q102" s="22"/>
      <c r="R102" s="22"/>
      <c r="S102" s="22">
        <f t="shared" si="244"/>
        <v>99.656999999999996</v>
      </c>
      <c r="T102" s="3"/>
      <c r="U102" s="22">
        <f t="shared" si="245"/>
        <v>8.6685426928867777</v>
      </c>
      <c r="V102" s="22">
        <f t="shared" si="246"/>
        <v>1.9908465053949251</v>
      </c>
      <c r="W102" s="22">
        <f t="shared" si="247"/>
        <v>99.856389198281704</v>
      </c>
      <c r="X102" s="1"/>
      <c r="Y102" s="1"/>
      <c r="Z102" s="1"/>
      <c r="AA102" s="1" t="s">
        <v>185</v>
      </c>
      <c r="AC102" s="1">
        <v>6</v>
      </c>
      <c r="AD102" s="1">
        <v>4</v>
      </c>
      <c r="AE102" s="1"/>
      <c r="AF102" s="26">
        <f t="shared" si="248"/>
        <v>1.9670484913968251</v>
      </c>
      <c r="AG102" s="26">
        <f t="shared" si="249"/>
        <v>9.1951059878947177E-3</v>
      </c>
      <c r="AH102" s="26">
        <f t="shared" si="250"/>
        <v>4.8085175239330563E-2</v>
      </c>
      <c r="AI102" s="26">
        <f t="shared" si="251"/>
        <v>2.9923146170526935E-4</v>
      </c>
      <c r="AJ102" s="26">
        <f t="shared" si="252"/>
        <v>0.33105273902821686</v>
      </c>
      <c r="AK102" s="26">
        <f t="shared" si="253"/>
        <v>1.1187331732971369E-2</v>
      </c>
      <c r="AL102" s="26">
        <f t="shared" si="254"/>
        <v>0.6985666879944773</v>
      </c>
      <c r="AM102" s="26">
        <f t="shared" si="255"/>
        <v>0.91479411853157333</v>
      </c>
      <c r="AN102" s="26">
        <f t="shared" si="256"/>
        <v>3.8670635783536161E-2</v>
      </c>
      <c r="AO102" s="26">
        <f t="shared" si="257"/>
        <v>0</v>
      </c>
      <c r="AP102" s="26">
        <f t="shared" si="258"/>
        <v>0</v>
      </c>
      <c r="AQ102" s="26">
        <f t="shared" si="259"/>
        <v>0</v>
      </c>
      <c r="AR102" s="26">
        <f t="shared" si="260"/>
        <v>0</v>
      </c>
      <c r="AS102" s="26">
        <f t="shared" si="261"/>
        <v>4.0188995171565312</v>
      </c>
      <c r="AT102" s="26">
        <f t="shared" si="262"/>
        <v>2.0151336666361557</v>
      </c>
      <c r="AU102" s="26">
        <f t="shared" si="263"/>
        <v>0.95346475431510946</v>
      </c>
      <c r="AV102" s="47"/>
      <c r="AW102" s="26">
        <f t="shared" si="264"/>
        <v>1.9577981315527486</v>
      </c>
      <c r="AX102" s="26">
        <f t="shared" si="265"/>
        <v>9.1518645327071796E-3</v>
      </c>
      <c r="AY102" s="26">
        <f t="shared" si="266"/>
        <v>4.7859047019271572E-2</v>
      </c>
      <c r="AZ102" s="26">
        <f t="shared" si="267"/>
        <v>2.9782427794261735E-4</v>
      </c>
      <c r="BA102" s="26">
        <f t="shared" si="268"/>
        <v>0.27306399315276814</v>
      </c>
      <c r="BB102" s="26">
        <f t="shared" si="269"/>
        <v>5.6431917471486237E-2</v>
      </c>
      <c r="BC102" s="26">
        <f t="shared" si="270"/>
        <v>1.1134721517881271E-2</v>
      </c>
      <c r="BD102" s="26">
        <f t="shared" si="271"/>
        <v>0.69528156652070783</v>
      </c>
      <c r="BE102" s="26">
        <f t="shared" si="272"/>
        <v>0.9104921530148754</v>
      </c>
      <c r="BF102" s="26">
        <f t="shared" si="273"/>
        <v>3.8488780939610626E-2</v>
      </c>
      <c r="BG102" s="26">
        <f t="shared" si="274"/>
        <v>0</v>
      </c>
      <c r="BH102" s="26">
        <f t="shared" si="275"/>
        <v>0</v>
      </c>
      <c r="BI102" s="26">
        <f t="shared" si="276"/>
        <v>0</v>
      </c>
      <c r="BJ102" s="26">
        <f t="shared" si="277"/>
        <v>0</v>
      </c>
      <c r="BK102" s="25">
        <f t="shared" si="278"/>
        <v>3.9999999999999996</v>
      </c>
      <c r="BL102" s="24">
        <f t="shared" si="279"/>
        <v>6.0000000000000009</v>
      </c>
      <c r="BM102" s="26">
        <f t="shared" si="280"/>
        <v>2.0056571785720201</v>
      </c>
      <c r="BN102" s="26">
        <f t="shared" si="281"/>
        <v>0.94898093395448602</v>
      </c>
      <c r="BO102" s="22"/>
      <c r="BP102" s="23">
        <f t="shared" si="282"/>
        <v>0.67847077246249354</v>
      </c>
      <c r="BQ102" s="26">
        <f t="shared" si="283"/>
        <v>4.2201868447251378E-2</v>
      </c>
      <c r="BR102" s="26">
        <f t="shared" si="284"/>
        <v>5.6571785720201939E-3</v>
      </c>
      <c r="BS102" s="26"/>
      <c r="BT102" s="26">
        <f t="shared" si="285"/>
        <v>5.6571785720201939E-3</v>
      </c>
      <c r="BU102" s="26">
        <f t="shared" si="286"/>
        <v>0</v>
      </c>
      <c r="BV102" s="26">
        <f t="shared" si="287"/>
        <v>5.6571785720201939E-3</v>
      </c>
      <c r="BW102" s="26">
        <f t="shared" si="288"/>
        <v>1.4961573085263467E-4</v>
      </c>
      <c r="BX102" s="26">
        <f t="shared" si="289"/>
        <v>0.90898732422870054</v>
      </c>
      <c r="BY102" s="26">
        <f t="shared" si="290"/>
        <v>6.0316051396996806E-2</v>
      </c>
      <c r="BZ102" s="26">
        <f t="shared" si="291"/>
        <v>0.98076734850059033</v>
      </c>
      <c r="CA102" s="22"/>
      <c r="CB102" s="22">
        <f t="shared" si="292"/>
        <v>3.8488780939610626E-2</v>
      </c>
      <c r="CC102" s="22">
        <f t="shared" si="293"/>
        <v>0</v>
      </c>
      <c r="CD102" s="22">
        <f t="shared" si="294"/>
        <v>1.7943136531875611E-2</v>
      </c>
      <c r="CE102" s="22">
        <f t="shared" si="295"/>
        <v>2.9782427794261735E-4</v>
      </c>
      <c r="CF102" s="22">
        <f t="shared" si="296"/>
        <v>5.6571785720201939E-3</v>
      </c>
      <c r="CG102" s="22">
        <f t="shared" si="297"/>
        <v>0.46254139728632382</v>
      </c>
      <c r="CH102" s="22">
        <f t="shared" si="298"/>
        <v>0.38590052435496408</v>
      </c>
      <c r="CI102" s="22">
        <f t="shared" si="299"/>
        <v>0.1515580783587121</v>
      </c>
      <c r="CJ102" s="22"/>
      <c r="CK102" s="22">
        <f t="shared" si="300"/>
        <v>0.46778160572343019</v>
      </c>
      <c r="CL102" s="22">
        <f t="shared" si="301"/>
        <v>0.35721332308027587</v>
      </c>
      <c r="CM102" s="22">
        <f t="shared" si="302"/>
        <v>0.17500507119629399</v>
      </c>
      <c r="CN102" s="1"/>
      <c r="CO102" s="26">
        <f t="shared" si="303"/>
        <v>0.86501331557922767</v>
      </c>
      <c r="CP102" s="26">
        <f t="shared" si="304"/>
        <v>4.0435653480220338E-3</v>
      </c>
      <c r="CQ102" s="26">
        <f t="shared" si="305"/>
        <v>2.1145547273440566E-2</v>
      </c>
      <c r="CR102" s="26">
        <f t="shared" si="306"/>
        <v>1.3158760444766102E-4</v>
      </c>
      <c r="CS102" s="26">
        <f t="shared" si="307"/>
        <v>0.1455810716771051</v>
      </c>
      <c r="CT102" s="26">
        <f t="shared" si="308"/>
        <v>4.9196504087961656E-3</v>
      </c>
      <c r="CU102" s="26">
        <f t="shared" si="309"/>
        <v>0.30719602977667498</v>
      </c>
      <c r="CV102" s="26">
        <f t="shared" si="310"/>
        <v>0.40228245363766046</v>
      </c>
      <c r="CW102" s="26">
        <f t="shared" si="311"/>
        <v>1.7005485640529203E-2</v>
      </c>
      <c r="CX102" s="26">
        <f t="shared" si="312"/>
        <v>0</v>
      </c>
      <c r="CY102" s="26">
        <f t="shared" si="313"/>
        <v>0</v>
      </c>
      <c r="CZ102" s="26">
        <f t="shared" si="314"/>
        <v>0</v>
      </c>
      <c r="DA102" s="26">
        <f t="shared" si="315"/>
        <v>0</v>
      </c>
      <c r="DB102" s="26">
        <f t="shared" si="316"/>
        <v>1.767318706945904</v>
      </c>
      <c r="DC102" s="26">
        <f t="shared" si="317"/>
        <v>2.638511412491833</v>
      </c>
      <c r="DD102" s="26">
        <f t="shared" si="318"/>
        <v>2.2633156002249208</v>
      </c>
      <c r="DE102" s="26">
        <f t="shared" si="319"/>
        <v>5.9717840412642564</v>
      </c>
      <c r="DF102" s="1"/>
      <c r="DG102" s="22"/>
      <c r="DH102" s="14"/>
      <c r="DI102" s="14"/>
      <c r="DJ102" s="14"/>
      <c r="DK102" s="14"/>
      <c r="DL102" s="14"/>
      <c r="DM102" s="96"/>
      <c r="DN102" s="14"/>
      <c r="DO102" s="96"/>
      <c r="DP102" s="22"/>
      <c r="DQ102" s="14"/>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46"/>
      <c r="FR102" s="46"/>
      <c r="FS102" s="46"/>
      <c r="FT102" s="46"/>
      <c r="FU102" s="46"/>
      <c r="FV102" s="46"/>
      <c r="FW102" s="46"/>
      <c r="FX102" s="46"/>
      <c r="FY102" s="46"/>
      <c r="FZ102" s="46"/>
      <c r="GA102" s="46"/>
      <c r="GB102" s="46"/>
      <c r="GC102" s="46"/>
      <c r="GD102" s="46"/>
      <c r="GE102" s="46"/>
      <c r="GF102" s="46"/>
      <c r="GG102" s="46"/>
      <c r="GH102" s="46"/>
    </row>
    <row r="103" spans="1:190" x14ac:dyDescent="0.25">
      <c r="A103" s="5" t="s">
        <v>256</v>
      </c>
      <c r="B103" s="1">
        <v>1236</v>
      </c>
      <c r="C103" s="98" t="s">
        <v>99</v>
      </c>
      <c r="D103" s="98" t="s">
        <v>105</v>
      </c>
      <c r="E103" s="1">
        <v>69</v>
      </c>
      <c r="F103" s="22">
        <v>52.4</v>
      </c>
      <c r="G103" s="22">
        <v>0.221</v>
      </c>
      <c r="H103" s="22">
        <v>0.497</v>
      </c>
      <c r="I103" s="22">
        <v>8.9999999999999993E-3</v>
      </c>
      <c r="J103" s="22">
        <v>11.01</v>
      </c>
      <c r="K103" s="22">
        <v>0.29899999999999999</v>
      </c>
      <c r="L103" s="22">
        <v>12.09</v>
      </c>
      <c r="M103" s="22">
        <v>22.89</v>
      </c>
      <c r="N103" s="22">
        <v>0.45200000000000001</v>
      </c>
      <c r="O103" s="22">
        <v>0</v>
      </c>
      <c r="P103" s="22">
        <v>0</v>
      </c>
      <c r="Q103" s="22"/>
      <c r="R103" s="22"/>
      <c r="S103" s="22">
        <f t="shared" si="244"/>
        <v>99.868000000000009</v>
      </c>
      <c r="T103" s="3"/>
      <c r="U103" s="22">
        <f t="shared" si="245"/>
        <v>9.5836874838526143</v>
      </c>
      <c r="V103" s="22">
        <f t="shared" si="246"/>
        <v>1.5850610991945895</v>
      </c>
      <c r="W103" s="22">
        <f t="shared" si="247"/>
        <v>100.02674858304719</v>
      </c>
      <c r="X103" s="1"/>
      <c r="Y103" s="1"/>
      <c r="Z103" s="1"/>
      <c r="AA103" s="1" t="s">
        <v>185</v>
      </c>
      <c r="AC103" s="1">
        <v>6</v>
      </c>
      <c r="AD103" s="1">
        <v>4</v>
      </c>
      <c r="AE103" s="1"/>
      <c r="AF103" s="26">
        <f t="shared" si="248"/>
        <v>1.9840200801772505</v>
      </c>
      <c r="AG103" s="26">
        <f t="shared" si="249"/>
        <v>6.2935968213216481E-3</v>
      </c>
      <c r="AH103" s="26">
        <f t="shared" si="250"/>
        <v>2.2176921435016223E-2</v>
      </c>
      <c r="AI103" s="26">
        <f t="shared" si="251"/>
        <v>2.6940285287788688E-4</v>
      </c>
      <c r="AJ103" s="26">
        <f t="shared" si="252"/>
        <v>0.34858223234678687</v>
      </c>
      <c r="AK103" s="26">
        <f t="shared" si="253"/>
        <v>9.5879266853554634E-3</v>
      </c>
      <c r="AL103" s="26">
        <f t="shared" si="254"/>
        <v>0.68244232681516726</v>
      </c>
      <c r="AM103" s="26">
        <f t="shared" si="255"/>
        <v>0.9285012399428898</v>
      </c>
      <c r="AN103" s="26">
        <f t="shared" si="256"/>
        <v>3.3178867561628009E-2</v>
      </c>
      <c r="AO103" s="26">
        <f t="shared" si="257"/>
        <v>0</v>
      </c>
      <c r="AP103" s="26">
        <f t="shared" si="258"/>
        <v>0</v>
      </c>
      <c r="AQ103" s="26">
        <f t="shared" si="259"/>
        <v>0</v>
      </c>
      <c r="AR103" s="26">
        <f t="shared" si="260"/>
        <v>0</v>
      </c>
      <c r="AS103" s="26">
        <f t="shared" si="261"/>
        <v>4.0150525946382931</v>
      </c>
      <c r="AT103" s="26">
        <f t="shared" si="262"/>
        <v>2.0061970016122666</v>
      </c>
      <c r="AU103" s="26">
        <f t="shared" si="263"/>
        <v>0.96168010750451782</v>
      </c>
      <c r="AV103" s="47"/>
      <c r="AW103" s="26">
        <f t="shared" si="264"/>
        <v>1.9765819086173002</v>
      </c>
      <c r="AX103" s="26">
        <f t="shared" si="265"/>
        <v>6.2700018721808274E-3</v>
      </c>
      <c r="AY103" s="26">
        <f t="shared" si="266"/>
        <v>2.209377925921201E-2</v>
      </c>
      <c r="AZ103" s="26">
        <f t="shared" si="267"/>
        <v>2.6839285068160529E-4</v>
      </c>
      <c r="BA103" s="26">
        <f t="shared" si="268"/>
        <v>0.30228689789727908</v>
      </c>
      <c r="BB103" s="26">
        <f t="shared" si="269"/>
        <v>4.4988485555763624E-2</v>
      </c>
      <c r="BC103" s="26">
        <f t="shared" si="270"/>
        <v>9.5519811602559762E-3</v>
      </c>
      <c r="BD103" s="26">
        <f t="shared" si="271"/>
        <v>0.67988382291828675</v>
      </c>
      <c r="BE103" s="26">
        <f t="shared" si="272"/>
        <v>0.92502025122441633</v>
      </c>
      <c r="BF103" s="26">
        <f t="shared" si="273"/>
        <v>3.3054478644623596E-2</v>
      </c>
      <c r="BG103" s="26">
        <f t="shared" si="274"/>
        <v>0</v>
      </c>
      <c r="BH103" s="26">
        <f t="shared" si="275"/>
        <v>0</v>
      </c>
      <c r="BI103" s="26">
        <f t="shared" si="276"/>
        <v>0</v>
      </c>
      <c r="BJ103" s="26">
        <f t="shared" si="277"/>
        <v>0</v>
      </c>
      <c r="BK103" s="25">
        <f t="shared" si="278"/>
        <v>3.9999999999999996</v>
      </c>
      <c r="BL103" s="24">
        <f t="shared" si="279"/>
        <v>5.9999999999999982</v>
      </c>
      <c r="BM103" s="26">
        <f t="shared" si="280"/>
        <v>1.9986756878765122</v>
      </c>
      <c r="BN103" s="26">
        <f t="shared" si="281"/>
        <v>0.95807472986903996</v>
      </c>
      <c r="BO103" s="22"/>
      <c r="BP103" s="23">
        <f t="shared" si="282"/>
        <v>0.66190695532012911</v>
      </c>
      <c r="BQ103" s="26">
        <f t="shared" si="283"/>
        <v>2.3418091382699791E-2</v>
      </c>
      <c r="BR103" s="26">
        <f t="shared" si="284"/>
        <v>0</v>
      </c>
      <c r="BS103" s="26"/>
      <c r="BT103" s="26">
        <f t="shared" si="285"/>
        <v>0</v>
      </c>
      <c r="BU103" s="26">
        <f t="shared" si="286"/>
        <v>0</v>
      </c>
      <c r="BV103" s="26">
        <f t="shared" si="287"/>
        <v>0</v>
      </c>
      <c r="BW103" s="26">
        <f t="shared" si="288"/>
        <v>1.3470142643894344E-4</v>
      </c>
      <c r="BX103" s="26">
        <f t="shared" si="289"/>
        <v>0.9283665385164509</v>
      </c>
      <c r="BY103" s="26">
        <f t="shared" si="290"/>
        <v>5.1329010322751556E-2</v>
      </c>
      <c r="BZ103" s="26">
        <f t="shared" si="291"/>
        <v>0.9798302502656413</v>
      </c>
      <c r="CA103" s="22"/>
      <c r="CB103" s="22">
        <f t="shared" si="292"/>
        <v>3.3054478644623596E-2</v>
      </c>
      <c r="CC103" s="22">
        <f t="shared" si="293"/>
        <v>0</v>
      </c>
      <c r="CD103" s="22">
        <f t="shared" si="294"/>
        <v>1.1934006911140028E-2</v>
      </c>
      <c r="CE103" s="22">
        <f t="shared" si="295"/>
        <v>2.6839285068160529E-4</v>
      </c>
      <c r="CF103" s="22">
        <f t="shared" si="296"/>
        <v>0</v>
      </c>
      <c r="CG103" s="22">
        <f t="shared" si="297"/>
        <v>0.47293616505360919</v>
      </c>
      <c r="CH103" s="22">
        <f t="shared" si="298"/>
        <v>0.36484713648129136</v>
      </c>
      <c r="CI103" s="22">
        <f t="shared" si="299"/>
        <v>0.1622166984650994</v>
      </c>
      <c r="CJ103" s="22"/>
      <c r="CK103" s="22">
        <f t="shared" si="300"/>
        <v>0.47153256197545679</v>
      </c>
      <c r="CL103" s="22">
        <f t="shared" si="301"/>
        <v>0.34657334306138432</v>
      </c>
      <c r="CM103" s="22">
        <f t="shared" si="302"/>
        <v>0.18189409496315898</v>
      </c>
      <c r="CN103" s="1"/>
      <c r="CO103" s="26">
        <f t="shared" si="303"/>
        <v>0.87217043941411454</v>
      </c>
      <c r="CP103" s="26">
        <f t="shared" si="304"/>
        <v>2.766649974962444E-3</v>
      </c>
      <c r="CQ103" s="26">
        <f t="shared" si="305"/>
        <v>9.7489211455472746E-3</v>
      </c>
      <c r="CR103" s="26">
        <f t="shared" si="306"/>
        <v>1.1842884400289492E-4</v>
      </c>
      <c r="CS103" s="26">
        <f t="shared" si="307"/>
        <v>0.15323590814196242</v>
      </c>
      <c r="CT103" s="26">
        <f t="shared" si="308"/>
        <v>4.2148294333239356E-3</v>
      </c>
      <c r="CU103" s="26">
        <f t="shared" si="309"/>
        <v>0.30000000000000004</v>
      </c>
      <c r="CV103" s="26">
        <f t="shared" si="310"/>
        <v>0.40816690442225395</v>
      </c>
      <c r="CW103" s="26">
        <f t="shared" si="311"/>
        <v>1.458535011293966E-2</v>
      </c>
      <c r="CX103" s="26">
        <f t="shared" si="312"/>
        <v>0</v>
      </c>
      <c r="CY103" s="26">
        <f t="shared" si="313"/>
        <v>0</v>
      </c>
      <c r="CZ103" s="26">
        <f t="shared" si="314"/>
        <v>0</v>
      </c>
      <c r="DA103" s="26">
        <f t="shared" si="315"/>
        <v>0</v>
      </c>
      <c r="DB103" s="26">
        <f t="shared" si="316"/>
        <v>1.7650074314891073</v>
      </c>
      <c r="DC103" s="26">
        <f t="shared" si="317"/>
        <v>2.63758552081649</v>
      </c>
      <c r="DD103" s="26">
        <f t="shared" si="318"/>
        <v>2.266279409727622</v>
      </c>
      <c r="DE103" s="26">
        <f t="shared" si="319"/>
        <v>5.9775057572221177</v>
      </c>
      <c r="DF103" s="1"/>
      <c r="DG103" s="22"/>
      <c r="DH103" s="14"/>
      <c r="DI103" s="14"/>
      <c r="DJ103" s="14"/>
      <c r="DK103" s="14"/>
      <c r="DL103" s="14"/>
      <c r="DM103" s="96"/>
      <c r="DN103" s="14"/>
      <c r="DO103" s="96"/>
      <c r="DP103" s="22"/>
      <c r="DQ103" s="14"/>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46">
        <f t="shared" ref="FQ103" si="398" xml:space="preserve">  -0.73306   +   1.025016   *  FS103     +N("316 NN Nd")</f>
        <v>-1.239045808073157</v>
      </c>
      <c r="FR103" s="46">
        <f t="shared" ref="FR103" si="399" xml:space="preserve">  -0.33671   +   1.013871 *  FS103    +N("340 NN")</f>
        <v>-0.83719422387254427</v>
      </c>
      <c r="FS103" s="46">
        <f t="shared" ref="FS103" si="400">-0.42496     +   1.017678*FT103                 + N("361 NN")</f>
        <v>-0.49363698525013955</v>
      </c>
      <c r="FT103" s="46">
        <f xml:space="preserve"> 0.68509  -3.34181 * BP103 + 0.03095*(100*CK103) +N("642 cpx Mg# Wo R2 0.59")</f>
        <v>-6.7484003044322005E-2</v>
      </c>
      <c r="FU103" s="46">
        <f t="shared" ref="FU103" si="401" xml:space="preserve"> -0.06599 + 0.926002 * FT103  + N("409 NN")</f>
        <v>-0.12848032178704827</v>
      </c>
      <c r="FV103" s="46">
        <f t="shared" ref="FV103" si="402">0.1453     +   0.925549*FT103     +N("424 LnD Sm")</f>
        <v>8.2840248466330826E-2</v>
      </c>
      <c r="FW103" s="46">
        <f t="shared" ref="FW103" si="403" xml:space="preserve">  0.053547 + 0.932974 * FV103  +  N("445 NN")</f>
        <v>0.13083479797262654</v>
      </c>
      <c r="FX103" s="46">
        <f t="shared" ref="FX103" si="404" xml:space="preserve">  0.027177  +  0.867603 * FV103 + N("464 NN Gd")</f>
        <v>9.9049448090134024E-2</v>
      </c>
      <c r="FY103" s="46">
        <f t="shared" ref="FY103" si="405" xml:space="preserve">  -0.06187  +  0.953618 * FX103   + N("505 NN Dy")</f>
        <v>3.2585336588817425E-2</v>
      </c>
      <c r="FZ103" s="46">
        <f t="shared" ref="FZ103" si="406" xml:space="preserve"> -0.05652 + 0.972005*FY103   +N("533 NN")</f>
        <v>-2.4846889908986522E-2</v>
      </c>
      <c r="GA103" s="46">
        <f t="shared" ref="GA103" si="407" xml:space="preserve">     0.018586 + 0.960264 * FZ103    +N("549 LnD Er")</f>
        <v>-5.2735738915630354E-3</v>
      </c>
      <c r="GB103" s="46">
        <f t="shared" ref="GB103" si="408" xml:space="preserve"> -0.02011 + 0.936315 * FZ103    +N("574 NN Er")</f>
        <v>-4.3374515725132713E-2</v>
      </c>
      <c r="GC103" s="46">
        <f t="shared" ref="GC103" si="409" xml:space="preserve">   0.01732 + 1.006083 * GB103  +N("597 NN Yb")</f>
        <v>-2.6318362904288701E-2</v>
      </c>
      <c r="GD103" s="46">
        <f>(-1.72947 +0 ) * (3.46258+0) * BQ103   - (1.87473 + 0) *BP103   + (0.03253+0) * (CK103*100)    +N("eqn625 aliv mg# wo")</f>
        <v>0.15276103816908915</v>
      </c>
      <c r="GE103" s="46"/>
      <c r="GF103" s="46"/>
      <c r="GG103" s="46"/>
      <c r="GH103" s="46"/>
    </row>
    <row r="104" spans="1:190" x14ac:dyDescent="0.25">
      <c r="A104" s="5" t="s">
        <v>250</v>
      </c>
      <c r="B104" s="1">
        <v>261</v>
      </c>
      <c r="C104" s="98" t="s">
        <v>251</v>
      </c>
      <c r="D104" s="98" t="s">
        <v>104</v>
      </c>
      <c r="E104" s="1">
        <v>93</v>
      </c>
      <c r="F104" s="22">
        <v>53.78</v>
      </c>
      <c r="G104" s="22">
        <v>0</v>
      </c>
      <c r="H104" s="22">
        <v>0.112</v>
      </c>
      <c r="I104" s="22">
        <v>0</v>
      </c>
      <c r="J104" s="22">
        <v>7.43</v>
      </c>
      <c r="K104" s="22">
        <v>0.58599999999999997</v>
      </c>
      <c r="L104" s="22">
        <v>13.94</v>
      </c>
      <c r="M104" s="22">
        <v>24.05</v>
      </c>
      <c r="N104" s="22">
        <v>8.4000000000000005E-2</v>
      </c>
      <c r="O104" s="22">
        <v>0</v>
      </c>
      <c r="P104" s="22">
        <v>0</v>
      </c>
      <c r="Q104" s="22"/>
      <c r="R104" s="22"/>
      <c r="S104" s="22">
        <f t="shared" si="244"/>
        <v>99.981999999999999</v>
      </c>
      <c r="T104" s="3"/>
      <c r="U104" s="22">
        <f t="shared" si="245"/>
        <v>7.43</v>
      </c>
      <c r="V104" s="22">
        <f t="shared" si="246"/>
        <v>0</v>
      </c>
      <c r="W104" s="22">
        <f t="shared" si="247"/>
        <v>99.981999999999999</v>
      </c>
      <c r="X104" s="1"/>
      <c r="Y104" s="1"/>
      <c r="Z104" s="1"/>
      <c r="AA104" s="1" t="s">
        <v>185</v>
      </c>
      <c r="AC104" s="1">
        <v>6</v>
      </c>
      <c r="AD104" s="1">
        <v>4</v>
      </c>
      <c r="AE104" s="1"/>
      <c r="AF104" s="26">
        <f t="shared" si="248"/>
        <v>2.0030293578213758</v>
      </c>
      <c r="AG104" s="26">
        <f t="shared" si="249"/>
        <v>0</v>
      </c>
      <c r="AH104" s="26">
        <f t="shared" si="250"/>
        <v>4.9160312204356267E-3</v>
      </c>
      <c r="AI104" s="26">
        <f t="shared" si="251"/>
        <v>0</v>
      </c>
      <c r="AJ104" s="26">
        <f t="shared" si="252"/>
        <v>0.23139740383242807</v>
      </c>
      <c r="AK104" s="26">
        <f t="shared" si="253"/>
        <v>1.8484294218458708E-2</v>
      </c>
      <c r="AL104" s="26">
        <f t="shared" si="254"/>
        <v>0.77402353915992705</v>
      </c>
      <c r="AM104" s="26">
        <f t="shared" si="255"/>
        <v>0.95962933730007627</v>
      </c>
      <c r="AN104" s="26">
        <f t="shared" si="256"/>
        <v>6.0653260314087179E-3</v>
      </c>
      <c r="AO104" s="26">
        <f t="shared" si="257"/>
        <v>0</v>
      </c>
      <c r="AP104" s="26">
        <f t="shared" si="258"/>
        <v>0</v>
      </c>
      <c r="AQ104" s="26">
        <f t="shared" si="259"/>
        <v>0</v>
      </c>
      <c r="AR104" s="26">
        <f t="shared" si="260"/>
        <v>0</v>
      </c>
      <c r="AS104" s="26">
        <f t="shared" si="261"/>
        <v>3.9975452895841106</v>
      </c>
      <c r="AT104" s="26">
        <f t="shared" si="262"/>
        <v>2.0079453890418115</v>
      </c>
      <c r="AU104" s="26">
        <f t="shared" si="263"/>
        <v>0.96569466333148501</v>
      </c>
      <c r="AV104" s="47"/>
      <c r="AW104" s="26">
        <f t="shared" si="264"/>
        <v>2.0042593268828366</v>
      </c>
      <c r="AX104" s="26">
        <f t="shared" si="265"/>
        <v>0</v>
      </c>
      <c r="AY104" s="26">
        <f t="shared" si="266"/>
        <v>4.9190499312112322E-3</v>
      </c>
      <c r="AZ104" s="26">
        <f t="shared" si="267"/>
        <v>0</v>
      </c>
      <c r="BA104" s="26">
        <f t="shared" si="268"/>
        <v>0.23153949443459768</v>
      </c>
      <c r="BB104" s="26">
        <f t="shared" si="269"/>
        <v>0</v>
      </c>
      <c r="BC104" s="26">
        <f t="shared" si="270"/>
        <v>1.8495644581309291E-2</v>
      </c>
      <c r="BD104" s="26">
        <f t="shared" si="271"/>
        <v>0.77449883174727308</v>
      </c>
      <c r="BE104" s="26">
        <f t="shared" si="272"/>
        <v>0.96021860195101127</v>
      </c>
      <c r="BF104" s="26">
        <f t="shared" si="273"/>
        <v>6.0690504717606161E-3</v>
      </c>
      <c r="BG104" s="26">
        <f t="shared" si="274"/>
        <v>0</v>
      </c>
      <c r="BH104" s="26">
        <f t="shared" si="275"/>
        <v>0</v>
      </c>
      <c r="BI104" s="26">
        <f t="shared" si="276"/>
        <v>0</v>
      </c>
      <c r="BJ104" s="26">
        <f t="shared" si="277"/>
        <v>0</v>
      </c>
      <c r="BK104" s="25">
        <f t="shared" si="278"/>
        <v>4</v>
      </c>
      <c r="BL104" s="24">
        <f t="shared" si="279"/>
        <v>6.0036843266125608</v>
      </c>
      <c r="BM104" s="26">
        <f t="shared" si="280"/>
        <v>2.0091783768140479</v>
      </c>
      <c r="BN104" s="26">
        <f t="shared" si="281"/>
        <v>0.96628765242277193</v>
      </c>
      <c r="BO104" s="22"/>
      <c r="BP104" s="23">
        <f t="shared" si="282"/>
        <v>0.76985022497767142</v>
      </c>
      <c r="BQ104" s="26">
        <f t="shared" si="283"/>
        <v>0</v>
      </c>
      <c r="BR104" s="26">
        <f t="shared" si="284"/>
        <v>4.9190499312112322E-3</v>
      </c>
      <c r="BS104" s="26"/>
      <c r="BT104" s="26">
        <f t="shared" si="285"/>
        <v>4.9190499312112322E-3</v>
      </c>
      <c r="BU104" s="26">
        <f t="shared" si="286"/>
        <v>0</v>
      </c>
      <c r="BV104" s="26">
        <f t="shared" si="287"/>
        <v>4.9190499312112322E-3</v>
      </c>
      <c r="BW104" s="26">
        <f t="shared" si="288"/>
        <v>0</v>
      </c>
      <c r="BX104" s="26">
        <f t="shared" si="289"/>
        <v>0.95471028736886498</v>
      </c>
      <c r="BY104" s="26">
        <f t="shared" si="290"/>
        <v>2.5355327811745043E-2</v>
      </c>
      <c r="BZ104" s="26">
        <f t="shared" si="291"/>
        <v>0.98990371504303254</v>
      </c>
      <c r="CA104" s="22"/>
      <c r="CB104" s="22">
        <f t="shared" si="292"/>
        <v>0</v>
      </c>
      <c r="CC104" s="22">
        <f t="shared" si="293"/>
        <v>4.9190499312112322E-3</v>
      </c>
      <c r="CD104" s="22">
        <f t="shared" si="294"/>
        <v>0</v>
      </c>
      <c r="CE104" s="22">
        <f t="shared" si="295"/>
        <v>0</v>
      </c>
      <c r="CF104" s="22">
        <f t="shared" si="296"/>
        <v>0</v>
      </c>
      <c r="CG104" s="22">
        <f t="shared" si="297"/>
        <v>0.48010930097550564</v>
      </c>
      <c r="CH104" s="22">
        <f t="shared" si="298"/>
        <v>0.40023797160780578</v>
      </c>
      <c r="CI104" s="22">
        <f t="shared" si="299"/>
        <v>0.11965272741668856</v>
      </c>
      <c r="CJ104" s="22"/>
      <c r="CK104" s="22">
        <f t="shared" si="300"/>
        <v>0.48379763561051442</v>
      </c>
      <c r="CL104" s="22">
        <f t="shared" si="301"/>
        <v>0.39022437476331345</v>
      </c>
      <c r="CM104" s="22">
        <f t="shared" si="302"/>
        <v>0.12597798962617218</v>
      </c>
      <c r="CN104" s="1"/>
      <c r="CO104" s="26">
        <f t="shared" si="303"/>
        <v>0.89513981358189088</v>
      </c>
      <c r="CP104" s="26">
        <f t="shared" si="304"/>
        <v>0</v>
      </c>
      <c r="CQ104" s="26">
        <f t="shared" si="305"/>
        <v>2.1969399764613577E-3</v>
      </c>
      <c r="CR104" s="26">
        <f t="shared" si="306"/>
        <v>0</v>
      </c>
      <c r="CS104" s="26">
        <f t="shared" si="307"/>
        <v>0.10340988169798192</v>
      </c>
      <c r="CT104" s="26">
        <f t="shared" si="308"/>
        <v>8.2605018325345361E-3</v>
      </c>
      <c r="CU104" s="26">
        <f t="shared" si="309"/>
        <v>0.34590570719602981</v>
      </c>
      <c r="CV104" s="26">
        <f t="shared" si="310"/>
        <v>0.42885164051355207</v>
      </c>
      <c r="CW104" s="26">
        <f t="shared" si="311"/>
        <v>2.7105517909002909E-3</v>
      </c>
      <c r="CX104" s="26">
        <f t="shared" si="312"/>
        <v>0</v>
      </c>
      <c r="CY104" s="26">
        <f t="shared" si="313"/>
        <v>0</v>
      </c>
      <c r="CZ104" s="26">
        <f t="shared" si="314"/>
        <v>0</v>
      </c>
      <c r="DA104" s="26">
        <f t="shared" si="315"/>
        <v>0</v>
      </c>
      <c r="DB104" s="26">
        <f t="shared" si="316"/>
        <v>1.7864750365893509</v>
      </c>
      <c r="DC104" s="26">
        <f t="shared" si="317"/>
        <v>2.6813580442640226</v>
      </c>
      <c r="DD104" s="26">
        <f t="shared" si="318"/>
        <v>2.2390461204745411</v>
      </c>
      <c r="DE104" s="26">
        <f t="shared" si="319"/>
        <v>6.0036843266125626</v>
      </c>
      <c r="DF104" s="1"/>
      <c r="DG104" s="22">
        <v>21.60127361733452</v>
      </c>
      <c r="DH104" s="14">
        <v>1755.5887728774351</v>
      </c>
      <c r="DI104" s="14">
        <v>87104.683336045477</v>
      </c>
      <c r="DJ104" s="14">
        <v>3192.078922978159</v>
      </c>
      <c r="DK104" s="14">
        <v>255986.33218668212</v>
      </c>
      <c r="DL104" s="14">
        <v>164875.67051618747</v>
      </c>
      <c r="DM104" s="96">
        <v>146.24472153145319</v>
      </c>
      <c r="DN104" s="14">
        <v>708.49020756013749</v>
      </c>
      <c r="DO104" s="96">
        <v>119.73046546379584</v>
      </c>
      <c r="DP104" s="22">
        <v>13.752325311836636</v>
      </c>
      <c r="DQ104" s="14">
        <v>3120.2104247791794</v>
      </c>
      <c r="DR104" s="22">
        <v>45.380791602842685</v>
      </c>
      <c r="DS104" s="22">
        <v>40.552361686939435</v>
      </c>
      <c r="DT104" s="22">
        <v>1.0773974577818985</v>
      </c>
      <c r="DU104" s="22">
        <v>103.89769712269383</v>
      </c>
      <c r="DV104" s="22">
        <v>0</v>
      </c>
      <c r="DW104" s="22">
        <v>5.2477591076099515</v>
      </c>
      <c r="DX104" s="22">
        <v>6.1721569201429176</v>
      </c>
      <c r="DY104" s="22">
        <v>129.02229398828811</v>
      </c>
      <c r="DZ104" s="22">
        <v>40.05168645072731</v>
      </c>
      <c r="EA104" s="22">
        <v>0</v>
      </c>
      <c r="EB104" s="22">
        <v>3.1167145316430025E-2</v>
      </c>
      <c r="EC104" s="22">
        <v>6.477666610536241E-2</v>
      </c>
      <c r="ED104" s="22">
        <v>14.716928400099693</v>
      </c>
      <c r="EE104" s="22">
        <v>62.443144975173865</v>
      </c>
      <c r="EF104" s="22">
        <v>10.748290583865685</v>
      </c>
      <c r="EG104" s="22">
        <v>55.011712735247116</v>
      </c>
      <c r="EH104" s="22">
        <v>17.840936878361077</v>
      </c>
      <c r="EI104" s="22">
        <v>1.0422105234287531</v>
      </c>
      <c r="EJ104" s="22">
        <v>20.673335147550162</v>
      </c>
      <c r="EK104" s="22">
        <v>3.6980951444865982</v>
      </c>
      <c r="EL104" s="22">
        <v>23.807505510568568</v>
      </c>
      <c r="EM104" s="22">
        <v>4.7920117101343358</v>
      </c>
      <c r="EN104" s="22">
        <v>13.667808252811618</v>
      </c>
      <c r="EO104" s="22">
        <v>1.9500799756427316</v>
      </c>
      <c r="EP104" s="22">
        <v>13.160054993637656</v>
      </c>
      <c r="EQ104" s="22">
        <v>1.8334062891005678</v>
      </c>
      <c r="ER104" s="22">
        <v>2.1411149586388483</v>
      </c>
      <c r="ES104" s="22">
        <v>0</v>
      </c>
      <c r="ET104" s="22">
        <v>0.54891350151784379</v>
      </c>
      <c r="EU104" s="22">
        <v>0.13074653381748597</v>
      </c>
      <c r="EV104" s="22">
        <v>8.7474718113727284E-2</v>
      </c>
      <c r="EW104" s="22">
        <f>(EI104/0.05883)/SQRT((EH104/0.1536)*(EJ104/0.2069))</f>
        <v>0.16444412330313846</v>
      </c>
      <c r="EX104" s="22"/>
      <c r="EY104" s="22"/>
      <c r="EZ104" s="22"/>
      <c r="FA104" s="22"/>
      <c r="FB104" s="22"/>
      <c r="FC104" s="22"/>
      <c r="FD104" s="22"/>
      <c r="FE104" s="22"/>
      <c r="FF104" s="22"/>
      <c r="FG104" s="22"/>
      <c r="FH104" s="22"/>
      <c r="FI104" s="22">
        <f>-0.50354-2.23025*BP104+ N("eqn 18 Mg# R2 0.28 best")</f>
        <v>-2.2204984642564516</v>
      </c>
      <c r="FJ104" s="22"/>
      <c r="FK104" s="22">
        <f xml:space="preserve"> -0.03692  +  0.931085 + FX104   + N("488 NN Dy")</f>
        <v>0.8941650000000001</v>
      </c>
      <c r="FL104" s="22">
        <f>-0.48986  +   0    +   (1.071278 + 0) * GD104  +N("eqn 119 LnD Hf  (which has R2 of 0.51 for TS")</f>
        <v>-0.48986000000000002</v>
      </c>
      <c r="FM104" s="22"/>
      <c r="FN104" s="22"/>
      <c r="FO104" s="22">
        <f>3.94011-11.9214*BP104</f>
        <v>-5.2375824720488131</v>
      </c>
      <c r="FP104" s="22">
        <f xml:space="preserve">  -0.49862 +   1.013256 * FQ104 + N("294 NN")</f>
        <v>-0.49862000000000001</v>
      </c>
      <c r="FQ104" s="46"/>
      <c r="FR104" s="46"/>
      <c r="FS104" s="46"/>
      <c r="FT104" s="46"/>
      <c r="FU104" s="46"/>
      <c r="FV104" s="46"/>
      <c r="FW104" s="46"/>
      <c r="FX104" s="46"/>
      <c r="FY104" s="46"/>
      <c r="FZ104" s="46"/>
      <c r="GA104" s="46"/>
      <c r="GB104" s="46"/>
      <c r="GC104" s="46"/>
      <c r="GD104" s="46"/>
      <c r="GE104" s="46"/>
      <c r="GF104" s="46"/>
      <c r="GG104" s="46"/>
      <c r="GH104" s="46"/>
    </row>
    <row r="105" spans="1:190" x14ac:dyDescent="0.25">
      <c r="A105" s="5" t="s">
        <v>250</v>
      </c>
      <c r="B105" s="1">
        <v>262</v>
      </c>
      <c r="C105" s="98" t="s">
        <v>251</v>
      </c>
      <c r="D105" s="98" t="s">
        <v>104</v>
      </c>
      <c r="E105" s="1">
        <v>94</v>
      </c>
      <c r="F105" s="22">
        <v>51.99</v>
      </c>
      <c r="G105" s="22">
        <v>0.22900000000000001</v>
      </c>
      <c r="H105" s="22">
        <v>1.1279999999999999</v>
      </c>
      <c r="I105" s="22">
        <v>0</v>
      </c>
      <c r="J105" s="22">
        <v>10.74</v>
      </c>
      <c r="K105" s="22">
        <v>0.42</v>
      </c>
      <c r="L105" s="22">
        <v>13.6</v>
      </c>
      <c r="M105" s="22">
        <v>20.98</v>
      </c>
      <c r="N105" s="22">
        <v>0.29299999999999998</v>
      </c>
      <c r="O105" s="22">
        <v>2.5000000000000001E-2</v>
      </c>
      <c r="P105" s="22">
        <v>0</v>
      </c>
      <c r="Q105" s="22"/>
      <c r="R105" s="22"/>
      <c r="S105" s="22">
        <f t="shared" si="244"/>
        <v>99.405000000000015</v>
      </c>
      <c r="T105" s="3"/>
      <c r="U105" s="22">
        <f t="shared" si="245"/>
        <v>9.3939717165537768</v>
      </c>
      <c r="V105" s="22">
        <f t="shared" si="246"/>
        <v>1.4958412313937886</v>
      </c>
      <c r="W105" s="22">
        <f t="shared" si="247"/>
        <v>99.554812947947553</v>
      </c>
      <c r="X105" s="1"/>
      <c r="Y105" s="1"/>
      <c r="Z105" s="1"/>
      <c r="AA105" s="1" t="s">
        <v>185</v>
      </c>
      <c r="AC105" s="1">
        <v>6</v>
      </c>
      <c r="AD105" s="1">
        <v>4</v>
      </c>
      <c r="AE105" s="1"/>
      <c r="AF105" s="26">
        <f t="shared" si="248"/>
        <v>1.9655164651770973</v>
      </c>
      <c r="AG105" s="26">
        <f t="shared" si="249"/>
        <v>6.5115475899884057E-3</v>
      </c>
      <c r="AH105" s="26">
        <f t="shared" si="250"/>
        <v>5.0256942224005376E-2</v>
      </c>
      <c r="AI105" s="26">
        <f t="shared" si="251"/>
        <v>0</v>
      </c>
      <c r="AJ105" s="26">
        <f t="shared" si="252"/>
        <v>0.3395191709307091</v>
      </c>
      <c r="AK105" s="26">
        <f t="shared" si="253"/>
        <v>1.3447603610226922E-2</v>
      </c>
      <c r="AL105" s="26">
        <f t="shared" si="254"/>
        <v>0.76651499477071794</v>
      </c>
      <c r="AM105" s="26">
        <f t="shared" si="255"/>
        <v>0.84973649642930449</v>
      </c>
      <c r="AN105" s="26">
        <f t="shared" si="256"/>
        <v>2.1474983407249872E-2</v>
      </c>
      <c r="AO105" s="26">
        <f t="shared" si="257"/>
        <v>1.2056073704750504E-3</v>
      </c>
      <c r="AP105" s="26">
        <f t="shared" si="258"/>
        <v>0</v>
      </c>
      <c r="AQ105" s="26">
        <f t="shared" si="259"/>
        <v>0</v>
      </c>
      <c r="AR105" s="26">
        <f t="shared" si="260"/>
        <v>0</v>
      </c>
      <c r="AS105" s="26">
        <f t="shared" si="261"/>
        <v>4.014183811509775</v>
      </c>
      <c r="AT105" s="26">
        <f t="shared" si="262"/>
        <v>2.0157734074011029</v>
      </c>
      <c r="AU105" s="26">
        <f t="shared" si="263"/>
        <v>0.87241708720702937</v>
      </c>
      <c r="AV105" s="47"/>
      <c r="AW105" s="26">
        <f t="shared" si="264"/>
        <v>1.9585714630619737</v>
      </c>
      <c r="AX105" s="26">
        <f t="shared" si="265"/>
        <v>6.4885395345554422E-3</v>
      </c>
      <c r="AY105" s="26">
        <f t="shared" si="266"/>
        <v>5.0079363162100182E-2</v>
      </c>
      <c r="AZ105" s="26">
        <f t="shared" si="267"/>
        <v>0</v>
      </c>
      <c r="BA105" s="26">
        <f t="shared" si="268"/>
        <v>0.29591842361567583</v>
      </c>
      <c r="BB105" s="26">
        <f t="shared" si="269"/>
        <v>4.2401082289573289E-2</v>
      </c>
      <c r="BC105" s="26">
        <f t="shared" si="270"/>
        <v>1.3400087531287358E-2</v>
      </c>
      <c r="BD105" s="26">
        <f t="shared" si="271"/>
        <v>0.76380657265659591</v>
      </c>
      <c r="BE105" s="26">
        <f t="shared" si="272"/>
        <v>0.84673401750350852</v>
      </c>
      <c r="BF105" s="26">
        <f t="shared" si="273"/>
        <v>2.1399103195698373E-2</v>
      </c>
      <c r="BG105" s="26">
        <f t="shared" si="274"/>
        <v>1.2013474490313481E-3</v>
      </c>
      <c r="BH105" s="26">
        <f t="shared" si="275"/>
        <v>0</v>
      </c>
      <c r="BI105" s="26">
        <f t="shared" si="276"/>
        <v>0</v>
      </c>
      <c r="BJ105" s="26">
        <f t="shared" si="277"/>
        <v>0</v>
      </c>
      <c r="BK105" s="25">
        <f t="shared" si="278"/>
        <v>4.0000000000000009</v>
      </c>
      <c r="BL105" s="24">
        <f t="shared" si="279"/>
        <v>6.0000000000000009</v>
      </c>
      <c r="BM105" s="26">
        <f t="shared" si="280"/>
        <v>2.0086508262240739</v>
      </c>
      <c r="BN105" s="26">
        <f t="shared" si="281"/>
        <v>0.86933446814823823</v>
      </c>
      <c r="BO105" s="22"/>
      <c r="BP105" s="23">
        <f t="shared" si="282"/>
        <v>0.69303012378881435</v>
      </c>
      <c r="BQ105" s="26">
        <f t="shared" si="283"/>
        <v>4.1428536938026284E-2</v>
      </c>
      <c r="BR105" s="26">
        <f t="shared" si="284"/>
        <v>8.6508262240738987E-3</v>
      </c>
      <c r="BS105" s="26"/>
      <c r="BT105" s="26">
        <f t="shared" si="285"/>
        <v>8.6508262240738987E-3</v>
      </c>
      <c r="BU105" s="26">
        <f t="shared" si="286"/>
        <v>0</v>
      </c>
      <c r="BV105" s="26">
        <f t="shared" si="287"/>
        <v>8.6508262240738987E-3</v>
      </c>
      <c r="BW105" s="26">
        <f t="shared" si="288"/>
        <v>0</v>
      </c>
      <c r="BX105" s="26">
        <f t="shared" si="289"/>
        <v>0.84108567020523062</v>
      </c>
      <c r="BY105" s="26">
        <f t="shared" si="290"/>
        <v>0.13247424774809818</v>
      </c>
      <c r="BZ105" s="26">
        <f t="shared" si="291"/>
        <v>0.99086157040147671</v>
      </c>
      <c r="CA105" s="22"/>
      <c r="CB105" s="22">
        <f t="shared" si="292"/>
        <v>2.1399103195698373E-2</v>
      </c>
      <c r="CC105" s="22">
        <f t="shared" si="293"/>
        <v>0</v>
      </c>
      <c r="CD105" s="22">
        <f t="shared" si="294"/>
        <v>2.1001979093874915E-2</v>
      </c>
      <c r="CE105" s="22">
        <f t="shared" si="295"/>
        <v>0</v>
      </c>
      <c r="CF105" s="22">
        <f t="shared" si="296"/>
        <v>8.6508262240738987E-3</v>
      </c>
      <c r="CG105" s="22">
        <f t="shared" si="297"/>
        <v>0.41924015769062906</v>
      </c>
      <c r="CH105" s="22">
        <f t="shared" si="298"/>
        <v>0.41858801693957215</v>
      </c>
      <c r="CI105" s="22">
        <f t="shared" si="299"/>
        <v>0.16217182536979879</v>
      </c>
      <c r="CJ105" s="22"/>
      <c r="CK105" s="22">
        <f t="shared" si="300"/>
        <v>0.43150955443203437</v>
      </c>
      <c r="CL105" s="22">
        <f t="shared" si="301"/>
        <v>0.38924836728665069</v>
      </c>
      <c r="CM105" s="22">
        <f t="shared" si="302"/>
        <v>0.17924207828131491</v>
      </c>
      <c r="CN105" s="1"/>
      <c r="CO105" s="26">
        <f t="shared" si="303"/>
        <v>0.86534620505992021</v>
      </c>
      <c r="CP105" s="26">
        <f t="shared" si="304"/>
        <v>2.8668002003004508E-3</v>
      </c>
      <c r="CQ105" s="26">
        <f t="shared" si="305"/>
        <v>2.2126324048646527E-2</v>
      </c>
      <c r="CR105" s="26">
        <f t="shared" si="306"/>
        <v>0</v>
      </c>
      <c r="CS105" s="26">
        <f t="shared" si="307"/>
        <v>0.14947807933194157</v>
      </c>
      <c r="CT105" s="26">
        <f t="shared" si="308"/>
        <v>5.9204961939667324E-3</v>
      </c>
      <c r="CU105" s="26">
        <f t="shared" si="309"/>
        <v>0.33746898263027297</v>
      </c>
      <c r="CV105" s="26">
        <f t="shared" si="310"/>
        <v>0.37410841654778887</v>
      </c>
      <c r="CW105" s="26">
        <f t="shared" si="311"/>
        <v>9.4546627944498227E-3</v>
      </c>
      <c r="CX105" s="26">
        <f t="shared" si="312"/>
        <v>5.3078556263269638E-4</v>
      </c>
      <c r="CY105" s="26">
        <f t="shared" si="313"/>
        <v>0</v>
      </c>
      <c r="CZ105" s="26">
        <f t="shared" si="314"/>
        <v>0</v>
      </c>
      <c r="DA105" s="26">
        <f t="shared" si="315"/>
        <v>0</v>
      </c>
      <c r="DB105" s="26">
        <f t="shared" si="316"/>
        <v>1.76730075236992</v>
      </c>
      <c r="DC105" s="26">
        <f t="shared" si="317"/>
        <v>2.6415841954759225</v>
      </c>
      <c r="DD105" s="26">
        <f t="shared" si="318"/>
        <v>2.2633385939750599</v>
      </c>
      <c r="DE105" s="26">
        <f t="shared" si="319"/>
        <v>5.9787994588552138</v>
      </c>
      <c r="DF105" s="1"/>
      <c r="DG105" s="22"/>
      <c r="DH105" s="14"/>
      <c r="DI105" s="14"/>
      <c r="DJ105" s="14"/>
      <c r="DK105" s="14"/>
      <c r="DL105" s="14"/>
      <c r="DM105" s="96"/>
      <c r="DN105" s="14"/>
      <c r="DO105" s="96"/>
      <c r="DP105" s="22"/>
      <c r="DQ105" s="14"/>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46"/>
      <c r="FR105" s="46"/>
      <c r="FS105" s="46"/>
      <c r="FT105" s="46"/>
      <c r="FU105" s="46"/>
      <c r="FV105" s="46"/>
      <c r="FW105" s="46"/>
      <c r="FX105" s="46"/>
      <c r="FY105" s="46"/>
      <c r="FZ105" s="46"/>
      <c r="GA105" s="46"/>
      <c r="GB105" s="46"/>
      <c r="GC105" s="46"/>
      <c r="GD105" s="46"/>
      <c r="GE105" s="46"/>
      <c r="GF105" s="46"/>
      <c r="GG105" s="46"/>
      <c r="GH105" s="46"/>
    </row>
    <row r="106" spans="1:190" x14ac:dyDescent="0.25">
      <c r="A106" s="5" t="s">
        <v>250</v>
      </c>
      <c r="B106" s="1">
        <v>263</v>
      </c>
      <c r="C106" s="98" t="s">
        <v>251</v>
      </c>
      <c r="D106" s="98" t="s">
        <v>104</v>
      </c>
      <c r="E106" s="1">
        <v>95</v>
      </c>
      <c r="F106" s="22">
        <v>51.4</v>
      </c>
      <c r="G106" s="22">
        <v>0.39400000000000002</v>
      </c>
      <c r="H106" s="22">
        <v>1.038</v>
      </c>
      <c r="I106" s="22">
        <v>0</v>
      </c>
      <c r="J106" s="22">
        <v>10.98</v>
      </c>
      <c r="K106" s="22">
        <v>0.35099999999999998</v>
      </c>
      <c r="L106" s="22">
        <v>13.51</v>
      </c>
      <c r="M106" s="22">
        <v>20.59</v>
      </c>
      <c r="N106" s="22">
        <v>0.26900000000000002</v>
      </c>
      <c r="O106" s="22">
        <v>0</v>
      </c>
      <c r="P106" s="22">
        <v>0</v>
      </c>
      <c r="Q106" s="22"/>
      <c r="R106" s="22"/>
      <c r="S106" s="22">
        <f t="shared" si="244"/>
        <v>98.532000000000011</v>
      </c>
      <c r="T106" s="3"/>
      <c r="U106" s="22">
        <f t="shared" si="245"/>
        <v>9.7543764232091412</v>
      </c>
      <c r="V106" s="22">
        <f t="shared" si="246"/>
        <v>1.3620354808876818</v>
      </c>
      <c r="W106" s="22">
        <f t="shared" si="247"/>
        <v>98.668411904096814</v>
      </c>
      <c r="X106" s="1"/>
      <c r="Y106" s="1"/>
      <c r="Z106" s="1"/>
      <c r="AA106" s="1" t="s">
        <v>185</v>
      </c>
      <c r="AC106" s="1">
        <v>6</v>
      </c>
      <c r="AD106" s="1">
        <v>4</v>
      </c>
      <c r="AE106" s="1"/>
      <c r="AF106" s="26">
        <f t="shared" si="248"/>
        <v>1.9622498420958951</v>
      </c>
      <c r="AG106" s="26">
        <f t="shared" si="249"/>
        <v>1.1313038717163739E-2</v>
      </c>
      <c r="AH106" s="26">
        <f t="shared" si="250"/>
        <v>4.6700188138409357E-2</v>
      </c>
      <c r="AI106" s="26">
        <f t="shared" si="251"/>
        <v>0</v>
      </c>
      <c r="AJ106" s="26">
        <f t="shared" si="252"/>
        <v>0.35050698364623473</v>
      </c>
      <c r="AK106" s="26">
        <f t="shared" si="253"/>
        <v>1.1348462845816325E-2</v>
      </c>
      <c r="AL106" s="26">
        <f t="shared" si="254"/>
        <v>0.76890274383382895</v>
      </c>
      <c r="AM106" s="26">
        <f t="shared" si="255"/>
        <v>0.84211121163248215</v>
      </c>
      <c r="AN106" s="26">
        <f t="shared" si="256"/>
        <v>1.9909108415812341E-2</v>
      </c>
      <c r="AO106" s="26">
        <f t="shared" si="257"/>
        <v>0</v>
      </c>
      <c r="AP106" s="26">
        <f t="shared" si="258"/>
        <v>0</v>
      </c>
      <c r="AQ106" s="26">
        <f t="shared" si="259"/>
        <v>0</v>
      </c>
      <c r="AR106" s="26">
        <f t="shared" si="260"/>
        <v>0</v>
      </c>
      <c r="AS106" s="26">
        <f t="shared" si="261"/>
        <v>4.0130415793256429</v>
      </c>
      <c r="AT106" s="26">
        <f t="shared" si="262"/>
        <v>2.0089500302343044</v>
      </c>
      <c r="AU106" s="26">
        <f t="shared" si="263"/>
        <v>0.86202032004829454</v>
      </c>
      <c r="AV106" s="47"/>
      <c r="AW106" s="26">
        <f t="shared" si="264"/>
        <v>1.9558729241231878</v>
      </c>
      <c r="AX106" s="26">
        <f t="shared" si="265"/>
        <v>1.1276273612958477E-2</v>
      </c>
      <c r="AY106" s="26">
        <f t="shared" si="266"/>
        <v>4.6548421904222502E-2</v>
      </c>
      <c r="AZ106" s="26">
        <f t="shared" si="267"/>
        <v>0</v>
      </c>
      <c r="BA106" s="26">
        <f t="shared" si="268"/>
        <v>0.31037031589553726</v>
      </c>
      <c r="BB106" s="26">
        <f t="shared" si="269"/>
        <v>3.8997590434637797E-2</v>
      </c>
      <c r="BC106" s="26">
        <f t="shared" si="270"/>
        <v>1.1311582620306005E-2</v>
      </c>
      <c r="BD106" s="26">
        <f t="shared" si="271"/>
        <v>0.7664039643098205</v>
      </c>
      <c r="BE106" s="26">
        <f t="shared" si="272"/>
        <v>0.83937451928817708</v>
      </c>
      <c r="BF106" s="26">
        <f t="shared" si="273"/>
        <v>1.9844407811152456E-2</v>
      </c>
      <c r="BG106" s="26">
        <f t="shared" si="274"/>
        <v>0</v>
      </c>
      <c r="BH106" s="26">
        <f t="shared" si="275"/>
        <v>0</v>
      </c>
      <c r="BI106" s="26">
        <f t="shared" si="276"/>
        <v>0</v>
      </c>
      <c r="BJ106" s="26">
        <f t="shared" si="277"/>
        <v>0</v>
      </c>
      <c r="BK106" s="25">
        <f t="shared" si="278"/>
        <v>3.9999999999999996</v>
      </c>
      <c r="BL106" s="24">
        <f t="shared" si="279"/>
        <v>6.0000000000000009</v>
      </c>
      <c r="BM106" s="26">
        <f t="shared" si="280"/>
        <v>2.0024213460274103</v>
      </c>
      <c r="BN106" s="26">
        <f t="shared" si="281"/>
        <v>0.85921892709932957</v>
      </c>
      <c r="BO106" s="22"/>
      <c r="BP106" s="23">
        <f t="shared" si="282"/>
        <v>0.68688231391800447</v>
      </c>
      <c r="BQ106" s="26">
        <f t="shared" si="283"/>
        <v>4.4127075876812194E-2</v>
      </c>
      <c r="BR106" s="26">
        <f t="shared" si="284"/>
        <v>2.421346027410308E-3</v>
      </c>
      <c r="BS106" s="26"/>
      <c r="BT106" s="26">
        <f t="shared" si="285"/>
        <v>2.421346027410308E-3</v>
      </c>
      <c r="BU106" s="26">
        <f t="shared" si="286"/>
        <v>0</v>
      </c>
      <c r="BV106" s="26">
        <f t="shared" si="287"/>
        <v>2.421346027410308E-3</v>
      </c>
      <c r="BW106" s="26">
        <f t="shared" si="288"/>
        <v>0</v>
      </c>
      <c r="BX106" s="26">
        <f t="shared" si="289"/>
        <v>0.83968986560507186</v>
      </c>
      <c r="BY106" s="26">
        <f t="shared" si="290"/>
        <v>0.13985993093749588</v>
      </c>
      <c r="BZ106" s="26">
        <f t="shared" si="291"/>
        <v>0.98439248859738826</v>
      </c>
      <c r="CA106" s="22"/>
      <c r="CB106" s="22">
        <f t="shared" si="292"/>
        <v>1.9844407811152456E-2</v>
      </c>
      <c r="CC106" s="22">
        <f t="shared" si="293"/>
        <v>0</v>
      </c>
      <c r="CD106" s="22">
        <f t="shared" si="294"/>
        <v>1.9153182623485341E-2</v>
      </c>
      <c r="CE106" s="22">
        <f t="shared" si="295"/>
        <v>0</v>
      </c>
      <c r="CF106" s="22">
        <f t="shared" si="296"/>
        <v>2.421346027410308E-3</v>
      </c>
      <c r="CG106" s="22">
        <f t="shared" si="297"/>
        <v>0.41882219922421698</v>
      </c>
      <c r="CH106" s="22">
        <f t="shared" si="298"/>
        <v>0.41365862713444013</v>
      </c>
      <c r="CI106" s="22">
        <f t="shared" si="299"/>
        <v>0.16751917364134297</v>
      </c>
      <c r="CJ106" s="22"/>
      <c r="CK106" s="22">
        <f t="shared" si="300"/>
        <v>0.4268458980592244</v>
      </c>
      <c r="CL106" s="22">
        <f t="shared" si="301"/>
        <v>0.38973828833808266</v>
      </c>
      <c r="CM106" s="22">
        <f t="shared" si="302"/>
        <v>0.18341581360269285</v>
      </c>
      <c r="CN106" s="1"/>
      <c r="CO106" s="26">
        <f t="shared" si="303"/>
        <v>0.85552596537949399</v>
      </c>
      <c r="CP106" s="26">
        <f t="shared" si="304"/>
        <v>4.9323985978968459E-3</v>
      </c>
      <c r="CQ106" s="26">
        <f t="shared" si="305"/>
        <v>2.0360925853275796E-2</v>
      </c>
      <c r="CR106" s="26">
        <f t="shared" si="306"/>
        <v>0</v>
      </c>
      <c r="CS106" s="26">
        <f t="shared" si="307"/>
        <v>0.15281837160751569</v>
      </c>
      <c r="CT106" s="26">
        <f t="shared" si="308"/>
        <v>4.9478432478150544E-3</v>
      </c>
      <c r="CU106" s="26">
        <f t="shared" si="309"/>
        <v>0.33523573200992557</v>
      </c>
      <c r="CV106" s="26">
        <f t="shared" si="310"/>
        <v>0.36715406562054209</v>
      </c>
      <c r="CW106" s="26">
        <f t="shared" si="311"/>
        <v>8.6802194256211697E-3</v>
      </c>
      <c r="CX106" s="26">
        <f t="shared" si="312"/>
        <v>0</v>
      </c>
      <c r="CY106" s="26">
        <f t="shared" si="313"/>
        <v>0</v>
      </c>
      <c r="CZ106" s="26">
        <f t="shared" si="314"/>
        <v>0</v>
      </c>
      <c r="DA106" s="26">
        <f t="shared" si="315"/>
        <v>0</v>
      </c>
      <c r="DB106" s="26">
        <f t="shared" si="316"/>
        <v>1.7496555217420864</v>
      </c>
      <c r="DC106" s="26">
        <f t="shared" si="317"/>
        <v>2.6159542389333046</v>
      </c>
      <c r="DD106" s="26">
        <f t="shared" si="318"/>
        <v>2.2861643050840685</v>
      </c>
      <c r="DE106" s="26">
        <f t="shared" si="319"/>
        <v>5.9805012047826818</v>
      </c>
      <c r="DF106" s="1"/>
      <c r="DG106" s="22">
        <v>33.437673367818086</v>
      </c>
      <c r="DH106" s="14">
        <v>1846.211502956847</v>
      </c>
      <c r="DI106" s="14">
        <v>80093.009693562344</v>
      </c>
      <c r="DJ106" s="14">
        <v>5606.3104780766471</v>
      </c>
      <c r="DK106" s="14">
        <v>241117.96181092635</v>
      </c>
      <c r="DL106" s="14">
        <v>145869.39400662252</v>
      </c>
      <c r="DM106" s="96">
        <v>131.2596735491785</v>
      </c>
      <c r="DN106" s="14">
        <v>1881.5507359287406</v>
      </c>
      <c r="DO106" s="96">
        <v>183.12779482443818</v>
      </c>
      <c r="DP106" s="22">
        <v>54.281186830277633</v>
      </c>
      <c r="DQ106" s="14">
        <v>2978.9823807397734</v>
      </c>
      <c r="DR106" s="22">
        <v>44.843467370211663</v>
      </c>
      <c r="DS106" s="22">
        <v>23.774243479092647</v>
      </c>
      <c r="DT106" s="22">
        <v>1.7344496398470977</v>
      </c>
      <c r="DU106" s="22">
        <v>113.82419868715611</v>
      </c>
      <c r="DV106" s="22">
        <v>0.29415343582130721</v>
      </c>
      <c r="DW106" s="22">
        <v>9.6218397492051526</v>
      </c>
      <c r="DX106" s="22">
        <v>8.9711075164050236</v>
      </c>
      <c r="DY106" s="22">
        <v>99.750454185544811</v>
      </c>
      <c r="DZ106" s="22">
        <v>73.084699910434722</v>
      </c>
      <c r="EA106" s="22">
        <v>7.5840891083974793E-2</v>
      </c>
      <c r="EB106" s="22">
        <v>0.16126861973979095</v>
      </c>
      <c r="EC106" s="22">
        <v>0.46297689763950006</v>
      </c>
      <c r="ED106" s="22">
        <v>10.653013882510026</v>
      </c>
      <c r="EE106" s="22">
        <v>44.691990289002376</v>
      </c>
      <c r="EF106" s="22">
        <v>7.9485857491459999</v>
      </c>
      <c r="EG106" s="22">
        <v>41.955924067113877</v>
      </c>
      <c r="EH106" s="22">
        <v>13.710574165066152</v>
      </c>
      <c r="EI106" s="22">
        <v>1.1556871991527269</v>
      </c>
      <c r="EJ106" s="22">
        <v>16.756557576082695</v>
      </c>
      <c r="EK106" s="22">
        <v>2.7709506264687795</v>
      </c>
      <c r="EL106" s="22">
        <v>18.849033956920909</v>
      </c>
      <c r="EM106" s="22">
        <v>3.8751952268286751</v>
      </c>
      <c r="EN106" s="22">
        <v>11.528541175534171</v>
      </c>
      <c r="EO106" s="22">
        <v>1.6007424888336972</v>
      </c>
      <c r="EP106" s="22">
        <v>10.385934531443793</v>
      </c>
      <c r="EQ106" s="22">
        <v>1.7360724632584568</v>
      </c>
      <c r="ER106" s="22">
        <v>2.9253278514356129</v>
      </c>
      <c r="ES106" s="22">
        <v>3.2962803489883667E-2</v>
      </c>
      <c r="ET106" s="22">
        <v>1.2681028477587983</v>
      </c>
      <c r="EU106" s="22">
        <v>0.14343392084757997</v>
      </c>
      <c r="EV106" s="22">
        <v>7.2164221322722544E-2</v>
      </c>
      <c r="EW106" s="22">
        <f>(EI106/0.05883)/SQRT((EH106/0.1536)*(EJ106/0.2069))</f>
        <v>0.23104527157009255</v>
      </c>
      <c r="EX106" s="22"/>
      <c r="EY106" s="22"/>
      <c r="EZ106" s="22"/>
      <c r="FA106" s="22"/>
      <c r="FB106" s="22"/>
      <c r="FC106" s="22"/>
      <c r="FD106" s="22"/>
      <c r="FE106" s="22"/>
      <c r="FF106" s="22"/>
      <c r="FG106" s="22"/>
      <c r="FH106" s="22"/>
      <c r="FI106" s="22">
        <f>-0.50354-2.23025*BP106+ N("eqn 18 Mg# R2 0.28 best")</f>
        <v>-2.0354592806156293</v>
      </c>
      <c r="FJ106" s="22"/>
      <c r="FK106" s="22">
        <f xml:space="preserve"> -0.03692  +  0.931085 + FX106   + N("488 NN Dy")</f>
        <v>0.81513262569602196</v>
      </c>
      <c r="FL106" s="22">
        <f>-0.48986  +   0    +   (1.071278 + 0) * GD106  +N("eqn 119 LnD Hf  (which has R2 of 0.51 for TS")</f>
        <v>-0.66495074865602388</v>
      </c>
      <c r="FM106" s="22"/>
      <c r="FN106" s="22"/>
      <c r="FO106" s="22">
        <f>3.94011-11.9214*BP106</f>
        <v>-4.2484888171420989</v>
      </c>
      <c r="FP106" s="22">
        <f xml:space="preserve">  -0.49862 +   1.013256 * FQ106 + N("294 NN")</f>
        <v>-1.9884915372492669</v>
      </c>
      <c r="FQ106" s="46">
        <f t="shared" ref="FQ106:FQ107" si="410" xml:space="preserve">  -0.73306   +   1.025016   *  FS106     +N("316 NN Nd")</f>
        <v>-1.4703801776148051</v>
      </c>
      <c r="FR106" s="46">
        <f t="shared" ref="FR106:FR107" si="411" xml:space="preserve">  -0.33671   +   1.013871 *  FS106    +N("340 NN")</f>
        <v>-1.0660132945812553</v>
      </c>
      <c r="FS106" s="46">
        <f t="shared" ref="FS106:FS107" si="412">-0.42496     +   1.017678*FT106                 + N("361 NN")</f>
        <v>-0.71932553015250988</v>
      </c>
      <c r="FT106" s="46">
        <f xml:space="preserve"> 0.68509  -3.34181 * BP106 + 0.03095*(100*CK106) +N("642 cpx Mg# Wo R2 0.59")</f>
        <v>-0.2892521309810272</v>
      </c>
      <c r="FU106" s="46">
        <f t="shared" ref="FU106:FU107" si="413" xml:space="preserve"> -0.06599 + 0.926002 * FT106  + N("409 NN")</f>
        <v>-0.33383805179269316</v>
      </c>
      <c r="FV106" s="46">
        <f t="shared" ref="FV106:FV107" si="414">0.1453     +   0.925549*FT106     +N("424 LnD Sm")</f>
        <v>-0.12241702057735873</v>
      </c>
      <c r="FW106" s="46">
        <f t="shared" ref="FW106:FW107" si="415" xml:space="preserve">  0.053547 + 0.932974 * FV106  +  N("445 NN")</f>
        <v>-6.0664897356140682E-2</v>
      </c>
      <c r="FX106" s="46">
        <f t="shared" ref="FX106:FX107" si="416" xml:space="preserve">  0.027177  +  0.867603 * FV106 + N("464 NN Gd")</f>
        <v>-7.9032374303978165E-2</v>
      </c>
      <c r="FY106" s="46">
        <f t="shared" ref="FY106:FY107" si="417" xml:space="preserve">  -0.06187  +  0.953618 * FX106   + N("505 NN Dy")</f>
        <v>-0.13723669471901104</v>
      </c>
      <c r="FZ106" s="46">
        <f t="shared" ref="FZ106:FZ107" si="418" xml:space="preserve"> -0.05652 + 0.972005*FY106   +N("533 NN")</f>
        <v>-0.1899147534503523</v>
      </c>
      <c r="GA106" s="46">
        <f t="shared" ref="GA106:GA107" si="419" xml:space="preserve">     0.018586 + 0.960264 * FZ106    +N("549 LnD Er")</f>
        <v>-0.16378230080724912</v>
      </c>
      <c r="GB106" s="46">
        <f t="shared" ref="GB106:GB107" si="420" xml:space="preserve"> -0.02011 + 0.936315 * FZ106    +N("574 NN Er")</f>
        <v>-0.1979300323768666</v>
      </c>
      <c r="GC106" s="46">
        <f t="shared" ref="GC106:GC107" si="421" xml:space="preserve">   0.01732 + 1.006083 * GB106  +N("597 NN Yb")</f>
        <v>-0.18181404076381508</v>
      </c>
      <c r="GD106" s="46">
        <f>(-1.72947 +0 ) * (3.46258+0) * BQ106   - (1.87473 + 0) *BP106   + (0.03253+0) * (CK106*100)    +N("eqn625 aliv mg# wo")</f>
        <v>-0.1634410009876277</v>
      </c>
      <c r="GE106" s="46"/>
      <c r="GF106" s="46"/>
      <c r="GG106" s="46"/>
      <c r="GH106" s="46"/>
    </row>
    <row r="107" spans="1:190" x14ac:dyDescent="0.25">
      <c r="A107" s="5" t="s">
        <v>250</v>
      </c>
      <c r="B107" s="1">
        <v>264</v>
      </c>
      <c r="C107" s="98" t="s">
        <v>251</v>
      </c>
      <c r="D107" s="98" t="s">
        <v>104</v>
      </c>
      <c r="E107" s="1">
        <v>96</v>
      </c>
      <c r="F107" s="22">
        <v>51.99</v>
      </c>
      <c r="G107" s="22">
        <v>0.17599999999999999</v>
      </c>
      <c r="H107" s="22">
        <v>0.98799999999999999</v>
      </c>
      <c r="I107" s="22">
        <v>1.2E-2</v>
      </c>
      <c r="J107" s="22">
        <v>10.65</v>
      </c>
      <c r="K107" s="22">
        <v>0.39600000000000002</v>
      </c>
      <c r="L107" s="22">
        <v>13.29</v>
      </c>
      <c r="M107" s="22">
        <v>21.36</v>
      </c>
      <c r="N107" s="22">
        <v>0.313</v>
      </c>
      <c r="O107" s="22">
        <v>0</v>
      </c>
      <c r="P107" s="22">
        <v>0</v>
      </c>
      <c r="Q107" s="22"/>
      <c r="R107" s="22"/>
      <c r="S107" s="22">
        <f t="shared" si="244"/>
        <v>99.175000000000011</v>
      </c>
      <c r="T107" s="3"/>
      <c r="U107" s="22">
        <f t="shared" si="245"/>
        <v>9.4199759888671064</v>
      </c>
      <c r="V107" s="22">
        <f t="shared" si="246"/>
        <v>1.3669256835719841</v>
      </c>
      <c r="W107" s="22">
        <f t="shared" si="247"/>
        <v>99.311901672439092</v>
      </c>
      <c r="X107" s="1"/>
      <c r="Y107" s="1"/>
      <c r="Z107" s="1"/>
      <c r="AA107" s="1" t="s">
        <v>185</v>
      </c>
      <c r="AC107" s="1">
        <v>6</v>
      </c>
      <c r="AD107" s="1">
        <v>4</v>
      </c>
      <c r="AE107" s="1"/>
      <c r="AF107" s="26">
        <f t="shared" si="248"/>
        <v>1.9712320727577419</v>
      </c>
      <c r="AG107" s="26">
        <f t="shared" si="249"/>
        <v>5.0190610102271559E-3</v>
      </c>
      <c r="AH107" s="26">
        <f t="shared" si="250"/>
        <v>4.4147384265552203E-2</v>
      </c>
      <c r="AI107" s="26">
        <f t="shared" si="251"/>
        <v>3.5970302486731644E-4</v>
      </c>
      <c r="AJ107" s="26">
        <f t="shared" si="252"/>
        <v>0.33765306673803269</v>
      </c>
      <c r="AK107" s="26">
        <f t="shared" si="253"/>
        <v>1.2716039404681797E-2</v>
      </c>
      <c r="AL107" s="26">
        <f t="shared" si="254"/>
        <v>0.75122113517572764</v>
      </c>
      <c r="AM107" s="26">
        <f t="shared" si="255"/>
        <v>0.86764307858647027</v>
      </c>
      <c r="AN107" s="26">
        <f t="shared" si="256"/>
        <v>2.3007563247041538E-2</v>
      </c>
      <c r="AO107" s="26">
        <f t="shared" si="257"/>
        <v>0</v>
      </c>
      <c r="AP107" s="26">
        <f t="shared" si="258"/>
        <v>0</v>
      </c>
      <c r="AQ107" s="26">
        <f t="shared" si="259"/>
        <v>0</v>
      </c>
      <c r="AR107" s="26">
        <f t="shared" si="260"/>
        <v>0</v>
      </c>
      <c r="AS107" s="26">
        <f t="shared" si="261"/>
        <v>4.0129991042103423</v>
      </c>
      <c r="AT107" s="26">
        <f t="shared" si="262"/>
        <v>2.0153794570232941</v>
      </c>
      <c r="AU107" s="26">
        <f t="shared" si="263"/>
        <v>0.89065064183351184</v>
      </c>
      <c r="AV107" s="47"/>
      <c r="AW107" s="26">
        <f t="shared" si="264"/>
        <v>1.9648467608074696</v>
      </c>
      <c r="AX107" s="26">
        <f t="shared" si="265"/>
        <v>5.0028030207744404E-3</v>
      </c>
      <c r="AY107" s="26">
        <f t="shared" si="266"/>
        <v>4.4004379885591138E-2</v>
      </c>
      <c r="AZ107" s="26">
        <f t="shared" si="267"/>
        <v>3.5853785712528538E-4</v>
      </c>
      <c r="BA107" s="26">
        <f t="shared" si="268"/>
        <v>0.29768833368904896</v>
      </c>
      <c r="BB107" s="26">
        <f t="shared" si="269"/>
        <v>3.8870990616580947E-2</v>
      </c>
      <c r="BC107" s="26">
        <f t="shared" si="270"/>
        <v>1.267484898398351E-2</v>
      </c>
      <c r="BD107" s="26">
        <f t="shared" si="271"/>
        <v>0.74878774270102832</v>
      </c>
      <c r="BE107" s="26">
        <f t="shared" si="272"/>
        <v>0.86483256642261408</v>
      </c>
      <c r="BF107" s="26">
        <f t="shared" si="273"/>
        <v>2.2933036015784364E-2</v>
      </c>
      <c r="BG107" s="26">
        <f t="shared" si="274"/>
        <v>0</v>
      </c>
      <c r="BH107" s="26">
        <f t="shared" si="275"/>
        <v>0</v>
      </c>
      <c r="BI107" s="26">
        <f t="shared" si="276"/>
        <v>0</v>
      </c>
      <c r="BJ107" s="26">
        <f t="shared" si="277"/>
        <v>0</v>
      </c>
      <c r="BK107" s="25">
        <f t="shared" si="278"/>
        <v>4.0000000000000009</v>
      </c>
      <c r="BL107" s="24">
        <f t="shared" si="279"/>
        <v>6.0000000000000018</v>
      </c>
      <c r="BM107" s="26">
        <f t="shared" si="280"/>
        <v>2.0088511406930607</v>
      </c>
      <c r="BN107" s="26">
        <f t="shared" si="281"/>
        <v>0.88776560243839842</v>
      </c>
      <c r="BO107" s="22"/>
      <c r="BP107" s="23">
        <f t="shared" si="282"/>
        <v>0.68990626635786989</v>
      </c>
      <c r="BQ107" s="26">
        <f t="shared" si="283"/>
        <v>3.5153239192530439E-2</v>
      </c>
      <c r="BR107" s="26">
        <f t="shared" si="284"/>
        <v>8.8511406930606995E-3</v>
      </c>
      <c r="BS107" s="26"/>
      <c r="BT107" s="26">
        <f t="shared" si="285"/>
        <v>8.8511406930606995E-3</v>
      </c>
      <c r="BU107" s="26">
        <f t="shared" si="286"/>
        <v>0</v>
      </c>
      <c r="BV107" s="26">
        <f t="shared" si="287"/>
        <v>8.8511406930606995E-3</v>
      </c>
      <c r="BW107" s="26">
        <f t="shared" si="288"/>
        <v>1.7985151243365822E-4</v>
      </c>
      <c r="BX107" s="26">
        <f t="shared" si="289"/>
        <v>0.85861208638097597</v>
      </c>
      <c r="BY107" s="26">
        <f t="shared" si="290"/>
        <v>0.11513105776639215</v>
      </c>
      <c r="BZ107" s="26">
        <f t="shared" si="291"/>
        <v>0.99162527704592329</v>
      </c>
      <c r="CA107" s="22"/>
      <c r="CB107" s="22">
        <f t="shared" si="292"/>
        <v>2.2933036015784364E-2</v>
      </c>
      <c r="CC107" s="22">
        <f t="shared" si="293"/>
        <v>0</v>
      </c>
      <c r="CD107" s="22">
        <f t="shared" si="294"/>
        <v>1.5937954600796583E-2</v>
      </c>
      <c r="CE107" s="22">
        <f t="shared" si="295"/>
        <v>3.5853785712528538E-4</v>
      </c>
      <c r="CF107" s="22">
        <f t="shared" si="296"/>
        <v>8.8511406930606995E-3</v>
      </c>
      <c r="CG107" s="22">
        <f t="shared" si="297"/>
        <v>0.43130898464370793</v>
      </c>
      <c r="CH107" s="22">
        <f t="shared" si="298"/>
        <v>0.40691695805596678</v>
      </c>
      <c r="CI107" s="22">
        <f t="shared" si="299"/>
        <v>0.16177405730032529</v>
      </c>
      <c r="CJ107" s="22"/>
      <c r="CK107" s="22">
        <f t="shared" si="300"/>
        <v>0.44059943015201769</v>
      </c>
      <c r="CL107" s="22">
        <f t="shared" si="301"/>
        <v>0.38147898859034218</v>
      </c>
      <c r="CM107" s="22">
        <f t="shared" si="302"/>
        <v>0.17792158125764024</v>
      </c>
      <c r="CN107" s="1"/>
      <c r="CO107" s="26">
        <f t="shared" si="303"/>
        <v>0.86534620505992021</v>
      </c>
      <c r="CP107" s="26">
        <f t="shared" si="304"/>
        <v>2.2033049574361543E-3</v>
      </c>
      <c r="CQ107" s="26">
        <f t="shared" si="305"/>
        <v>1.9380149078069831E-2</v>
      </c>
      <c r="CR107" s="26">
        <f t="shared" si="306"/>
        <v>1.5790512533719322E-4</v>
      </c>
      <c r="CS107" s="26">
        <f t="shared" si="307"/>
        <v>0.14822546972860126</v>
      </c>
      <c r="CT107" s="26">
        <f t="shared" si="308"/>
        <v>5.5821821257400622E-3</v>
      </c>
      <c r="CU107" s="26">
        <f t="shared" si="309"/>
        <v>0.32977667493796525</v>
      </c>
      <c r="CV107" s="26">
        <f t="shared" si="310"/>
        <v>0.38088445078459343</v>
      </c>
      <c r="CW107" s="26">
        <f t="shared" si="311"/>
        <v>1.0100032268473702E-2</v>
      </c>
      <c r="CX107" s="26">
        <f t="shared" si="312"/>
        <v>0</v>
      </c>
      <c r="CY107" s="26">
        <f t="shared" si="313"/>
        <v>0</v>
      </c>
      <c r="CZ107" s="26">
        <f t="shared" si="314"/>
        <v>0</v>
      </c>
      <c r="DA107" s="26">
        <f t="shared" si="315"/>
        <v>0</v>
      </c>
      <c r="DB107" s="26">
        <f t="shared" si="316"/>
        <v>1.7616563740661368</v>
      </c>
      <c r="DC107" s="26">
        <f t="shared" si="317"/>
        <v>2.6339248950509599</v>
      </c>
      <c r="DD107" s="26">
        <f t="shared" si="318"/>
        <v>2.2705903710196722</v>
      </c>
      <c r="DE107" s="26">
        <f t="shared" si="319"/>
        <v>5.98056450469171</v>
      </c>
      <c r="DF107" s="1"/>
      <c r="DG107" s="22"/>
      <c r="DH107" s="14"/>
      <c r="DI107" s="14"/>
      <c r="DJ107" s="14"/>
      <c r="DK107" s="14"/>
      <c r="DL107" s="14"/>
      <c r="DM107" s="96"/>
      <c r="DN107" s="14"/>
      <c r="DO107" s="96"/>
      <c r="DP107" s="22"/>
      <c r="DQ107" s="14"/>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46">
        <f t="shared" si="410"/>
        <v>-1.4365181945248997</v>
      </c>
      <c r="FR107" s="46">
        <f t="shared" si="411"/>
        <v>-1.0325194928675792</v>
      </c>
      <c r="FS107" s="46">
        <f t="shared" si="412"/>
        <v>-0.68628996476630566</v>
      </c>
      <c r="FT107" s="46">
        <f xml:space="preserve"> 0.68509  -3.34181 * BP107 + 0.03095*(100*CK107) +N("642 cpx Mg# Wo R2 0.59")</f>
        <v>-0.25679042365689897</v>
      </c>
      <c r="FU107" s="46">
        <f t="shared" si="413"/>
        <v>-0.30377844588713576</v>
      </c>
      <c r="FV107" s="46">
        <f t="shared" si="414"/>
        <v>-9.2372119825219173E-2</v>
      </c>
      <c r="FW107" s="46">
        <f t="shared" si="415"/>
        <v>-3.2633786121814029E-2</v>
      </c>
      <c r="FX107" s="46">
        <f t="shared" si="416"/>
        <v>-5.2965328276719632E-2</v>
      </c>
      <c r="FY107" s="46">
        <f t="shared" si="417"/>
        <v>-0.11237869042058882</v>
      </c>
      <c r="FZ107" s="46">
        <f t="shared" si="418"/>
        <v>-0.16575264898226444</v>
      </c>
      <c r="GA107" s="46">
        <f t="shared" si="419"/>
        <v>-0.14058030172230518</v>
      </c>
      <c r="GB107" s="46">
        <f t="shared" si="420"/>
        <v>-0.17530669153182893</v>
      </c>
      <c r="GC107" s="46">
        <f t="shared" si="421"/>
        <v>-0.15905308213641706</v>
      </c>
      <c r="GD107" s="46">
        <f>(-1.72947 +0 ) * (3.46258+0) * BQ107   - (1.87473 + 0) *BP107   + (0.03253+0) * (CK107*100)    +N("eqn625 aliv mg# wo")</f>
        <v>-7.0630678492466181E-2</v>
      </c>
      <c r="GE107" s="46"/>
      <c r="GF107" s="46"/>
      <c r="GG107" s="46"/>
      <c r="GH107" s="46"/>
    </row>
    <row r="108" spans="1:190" x14ac:dyDescent="0.25">
      <c r="A108" s="5" t="s">
        <v>250</v>
      </c>
      <c r="B108" s="1">
        <v>265</v>
      </c>
      <c r="C108" s="98" t="s">
        <v>251</v>
      </c>
      <c r="D108" s="98" t="s">
        <v>104</v>
      </c>
      <c r="E108" s="1">
        <v>97</v>
      </c>
      <c r="F108" s="22">
        <v>51.86</v>
      </c>
      <c r="G108" s="22">
        <v>0.65600000000000003</v>
      </c>
      <c r="H108" s="22">
        <v>1.93</v>
      </c>
      <c r="I108" s="22">
        <v>0.06</v>
      </c>
      <c r="J108" s="22">
        <v>9.3800000000000008</v>
      </c>
      <c r="K108" s="22">
        <v>0.35499999999999998</v>
      </c>
      <c r="L108" s="22">
        <v>14.55</v>
      </c>
      <c r="M108" s="22">
        <v>20.71</v>
      </c>
      <c r="N108" s="22">
        <v>0.30599999999999999</v>
      </c>
      <c r="O108" s="22">
        <v>0</v>
      </c>
      <c r="P108" s="22">
        <v>0</v>
      </c>
      <c r="Q108" s="22"/>
      <c r="R108" s="22"/>
      <c r="S108" s="22">
        <f t="shared" si="244"/>
        <v>99.807000000000002</v>
      </c>
      <c r="T108" s="3"/>
      <c r="U108" s="22">
        <f t="shared" si="245"/>
        <v>8.3565974202170672</v>
      </c>
      <c r="V108" s="22">
        <f t="shared" si="246"/>
        <v>1.1373072869127741</v>
      </c>
      <c r="W108" s="22">
        <f t="shared" si="247"/>
        <v>99.920904707129836</v>
      </c>
      <c r="X108" s="1"/>
      <c r="Y108" s="1"/>
      <c r="Z108" s="1"/>
      <c r="AA108" s="1" t="s">
        <v>185</v>
      </c>
      <c r="AC108" s="1">
        <v>6</v>
      </c>
      <c r="AD108" s="1">
        <v>4</v>
      </c>
      <c r="AE108" s="1"/>
      <c r="AF108" s="26">
        <f t="shared" si="248"/>
        <v>1.9385829005485062</v>
      </c>
      <c r="AG108" s="26">
        <f t="shared" si="249"/>
        <v>1.8443679739675554E-2</v>
      </c>
      <c r="AH108" s="26">
        <f t="shared" si="250"/>
        <v>8.502355645142394E-2</v>
      </c>
      <c r="AI108" s="26">
        <f t="shared" si="251"/>
        <v>1.7731603863604028E-3</v>
      </c>
      <c r="AJ108" s="26">
        <f t="shared" si="252"/>
        <v>0.29319587450857898</v>
      </c>
      <c r="AK108" s="26">
        <f t="shared" si="253"/>
        <v>1.1238774519386777E-2</v>
      </c>
      <c r="AL108" s="26">
        <f t="shared" si="254"/>
        <v>0.81084853507825716</v>
      </c>
      <c r="AM108" s="26">
        <f t="shared" si="255"/>
        <v>0.82938062023235037</v>
      </c>
      <c r="AN108" s="26">
        <f t="shared" si="256"/>
        <v>2.2175919656774443E-2</v>
      </c>
      <c r="AO108" s="26">
        <f t="shared" si="257"/>
        <v>0</v>
      </c>
      <c r="AP108" s="26">
        <f t="shared" si="258"/>
        <v>0</v>
      </c>
      <c r="AQ108" s="26">
        <f t="shared" si="259"/>
        <v>0</v>
      </c>
      <c r="AR108" s="26">
        <f t="shared" si="260"/>
        <v>0</v>
      </c>
      <c r="AS108" s="26">
        <f t="shared" si="261"/>
        <v>4.0106630211213146</v>
      </c>
      <c r="AT108" s="26">
        <f t="shared" si="262"/>
        <v>2.0236064569999304</v>
      </c>
      <c r="AU108" s="26">
        <f t="shared" si="263"/>
        <v>0.85155653988912483</v>
      </c>
      <c r="AV108" s="47"/>
      <c r="AW108" s="26">
        <f t="shared" si="264"/>
        <v>1.9334288523761449</v>
      </c>
      <c r="AX108" s="26">
        <f t="shared" si="265"/>
        <v>1.8394644119982945E-2</v>
      </c>
      <c r="AY108" s="26">
        <f t="shared" si="266"/>
        <v>8.479750704924871E-2</v>
      </c>
      <c r="AZ108" s="26">
        <f t="shared" si="267"/>
        <v>1.7684461417201358E-3</v>
      </c>
      <c r="BA108" s="26">
        <f t="shared" si="268"/>
        <v>0.26051234897476488</v>
      </c>
      <c r="BB108" s="26">
        <f t="shared" si="269"/>
        <v>3.190401506731444E-2</v>
      </c>
      <c r="BC108" s="26">
        <f t="shared" si="270"/>
        <v>1.1208894350086389E-2</v>
      </c>
      <c r="BD108" s="26">
        <f t="shared" si="271"/>
        <v>0.80869275808822005</v>
      </c>
      <c r="BE108" s="26">
        <f t="shared" si="272"/>
        <v>0.82717557258198116</v>
      </c>
      <c r="BF108" s="26">
        <f t="shared" si="273"/>
        <v>2.2116961250536003E-2</v>
      </c>
      <c r="BG108" s="26">
        <f t="shared" si="274"/>
        <v>0</v>
      </c>
      <c r="BH108" s="26">
        <f t="shared" si="275"/>
        <v>0</v>
      </c>
      <c r="BI108" s="26">
        <f t="shared" si="276"/>
        <v>0</v>
      </c>
      <c r="BJ108" s="26">
        <f t="shared" si="277"/>
        <v>0</v>
      </c>
      <c r="BK108" s="25">
        <f t="shared" si="278"/>
        <v>3.9999999999999996</v>
      </c>
      <c r="BL108" s="24">
        <f t="shared" si="279"/>
        <v>6.0000000000000018</v>
      </c>
      <c r="BM108" s="26">
        <f t="shared" si="280"/>
        <v>2.0182263594253937</v>
      </c>
      <c r="BN108" s="26">
        <f t="shared" si="281"/>
        <v>0.84929253383251713</v>
      </c>
      <c r="BO108" s="22"/>
      <c r="BP108" s="23">
        <f t="shared" si="282"/>
        <v>0.73443470936255106</v>
      </c>
      <c r="BQ108" s="26">
        <f t="shared" si="283"/>
        <v>6.6571147623855076E-2</v>
      </c>
      <c r="BR108" s="26">
        <f t="shared" si="284"/>
        <v>1.8226359425393635E-2</v>
      </c>
      <c r="BS108" s="26"/>
      <c r="BT108" s="26">
        <f t="shared" si="285"/>
        <v>1.8226359425393635E-2</v>
      </c>
      <c r="BU108" s="26">
        <f t="shared" si="286"/>
        <v>0</v>
      </c>
      <c r="BV108" s="26">
        <f t="shared" si="287"/>
        <v>1.8226359425393635E-2</v>
      </c>
      <c r="BW108" s="26">
        <f t="shared" si="288"/>
        <v>8.8658019318020142E-4</v>
      </c>
      <c r="BX108" s="26">
        <f t="shared" si="289"/>
        <v>0.81026768061377652</v>
      </c>
      <c r="BY108" s="26">
        <f t="shared" si="290"/>
        <v>0.14688836448652975</v>
      </c>
      <c r="BZ108" s="26">
        <f t="shared" si="291"/>
        <v>0.99449534414427376</v>
      </c>
      <c r="CA108" s="22"/>
      <c r="CB108" s="22">
        <f t="shared" si="292"/>
        <v>2.2116961250536003E-2</v>
      </c>
      <c r="CC108" s="22">
        <f t="shared" si="293"/>
        <v>0</v>
      </c>
      <c r="CD108" s="22">
        <f t="shared" si="294"/>
        <v>9.787053816778437E-3</v>
      </c>
      <c r="CE108" s="22">
        <f t="shared" si="295"/>
        <v>1.7684461417201358E-3</v>
      </c>
      <c r="CF108" s="22">
        <f t="shared" si="296"/>
        <v>1.8226359425393635E-2</v>
      </c>
      <c r="CG108" s="22">
        <f t="shared" si="297"/>
        <v>0.40975533722431245</v>
      </c>
      <c r="CH108" s="22">
        <f t="shared" si="298"/>
        <v>0.44643126106841879</v>
      </c>
      <c r="CI108" s="22">
        <f t="shared" si="299"/>
        <v>0.14381340170726875</v>
      </c>
      <c r="CJ108" s="22"/>
      <c r="CK108" s="22">
        <f t="shared" si="300"/>
        <v>0.4264904907377769</v>
      </c>
      <c r="CL108" s="22">
        <f t="shared" si="301"/>
        <v>0.41696077916873975</v>
      </c>
      <c r="CM108" s="22">
        <f t="shared" si="302"/>
        <v>0.1565487300934833</v>
      </c>
      <c r="CN108" s="1"/>
      <c r="CO108" s="26">
        <f t="shared" si="303"/>
        <v>0.86318242343541951</v>
      </c>
      <c r="CP108" s="26">
        <f t="shared" si="304"/>
        <v>8.2123184777165761E-3</v>
      </c>
      <c r="CQ108" s="26">
        <f t="shared" si="305"/>
        <v>3.7857983522950181E-2</v>
      </c>
      <c r="CR108" s="26">
        <f t="shared" si="306"/>
        <v>7.8952562668596616E-4</v>
      </c>
      <c r="CS108" s="26">
        <f t="shared" si="307"/>
        <v>0.1305497564370216</v>
      </c>
      <c r="CT108" s="26">
        <f t="shared" si="308"/>
        <v>5.0042289258528331E-3</v>
      </c>
      <c r="CU108" s="26">
        <f t="shared" si="309"/>
        <v>0.36104218362282881</v>
      </c>
      <c r="CV108" s="26">
        <f t="shared" si="310"/>
        <v>0.36929386590584884</v>
      </c>
      <c r="CW108" s="26">
        <f t="shared" si="311"/>
        <v>9.8741529525653432E-3</v>
      </c>
      <c r="CX108" s="26">
        <f t="shared" si="312"/>
        <v>0</v>
      </c>
      <c r="CY108" s="26">
        <f t="shared" si="313"/>
        <v>0</v>
      </c>
      <c r="CZ108" s="26">
        <f t="shared" si="314"/>
        <v>0</v>
      </c>
      <c r="DA108" s="26">
        <f t="shared" si="315"/>
        <v>0</v>
      </c>
      <c r="DB108" s="26">
        <f t="shared" si="316"/>
        <v>1.7858064389068897</v>
      </c>
      <c r="DC108" s="26">
        <f t="shared" si="317"/>
        <v>2.6715878589185609</v>
      </c>
      <c r="DD108" s="26">
        <f t="shared" si="318"/>
        <v>2.239884409000362</v>
      </c>
      <c r="DE108" s="26">
        <f t="shared" si="319"/>
        <v>5.9840479924663432</v>
      </c>
      <c r="DF108" s="1"/>
      <c r="DG108" s="22">
        <v>34.689738719477788</v>
      </c>
      <c r="DH108" s="14">
        <v>2112.1642883832551</v>
      </c>
      <c r="DI108" s="14">
        <v>91371.428576399805</v>
      </c>
      <c r="DJ108" s="14">
        <v>11403.386392186088</v>
      </c>
      <c r="DK108" s="14">
        <v>245863.27939259977</v>
      </c>
      <c r="DL108" s="14">
        <v>142759.62887603664</v>
      </c>
      <c r="DM108" s="96">
        <v>125.6804638968207</v>
      </c>
      <c r="DN108" s="14">
        <v>3764.0425828887983</v>
      </c>
      <c r="DO108" s="96">
        <v>419.87891133650589</v>
      </c>
      <c r="DP108" s="22">
        <v>164.30895061016412</v>
      </c>
      <c r="DQ108" s="14">
        <v>2737.4208756757539</v>
      </c>
      <c r="DR108" s="22">
        <v>45.648274789524841</v>
      </c>
      <c r="DS108" s="22">
        <v>73.130617259197294</v>
      </c>
      <c r="DT108" s="22">
        <v>0.92864314549222582</v>
      </c>
      <c r="DU108" s="22">
        <v>104.2779488314507</v>
      </c>
      <c r="DV108" s="22">
        <v>0</v>
      </c>
      <c r="DW108" s="22">
        <v>11.842008297743259</v>
      </c>
      <c r="DX108" s="22">
        <v>11.878281785416682</v>
      </c>
      <c r="DY108" s="22">
        <v>48.393793070207487</v>
      </c>
      <c r="DZ108" s="22">
        <v>44.629995861447775</v>
      </c>
      <c r="EA108" s="22">
        <v>0.21509031565208242</v>
      </c>
      <c r="EB108" s="22">
        <v>0</v>
      </c>
      <c r="EC108" s="22">
        <v>0.38320215044101474</v>
      </c>
      <c r="ED108" s="22">
        <v>8.1872369014433133</v>
      </c>
      <c r="EE108" s="22">
        <v>27.891401744236383</v>
      </c>
      <c r="EF108" s="22">
        <v>4.4211346914119476</v>
      </c>
      <c r="EG108" s="22">
        <v>20.660302710284633</v>
      </c>
      <c r="EH108" s="22">
        <v>5.8384056021896873</v>
      </c>
      <c r="EI108" s="22">
        <v>1.0139090238281714</v>
      </c>
      <c r="EJ108" s="22">
        <v>7.7816676323897847</v>
      </c>
      <c r="EK108" s="22">
        <v>1.242082827750842</v>
      </c>
      <c r="EL108" s="22">
        <v>8.7288359375991202</v>
      </c>
      <c r="EM108" s="22">
        <v>1.8501482515013459</v>
      </c>
      <c r="EN108" s="22">
        <v>5.9777121904998145</v>
      </c>
      <c r="EO108" s="22">
        <v>0.67545724671225282</v>
      </c>
      <c r="EP108" s="22">
        <v>4.8772464178334332</v>
      </c>
      <c r="EQ108" s="22">
        <v>0.72399564209580658</v>
      </c>
      <c r="ER108" s="22">
        <v>1.8626236183360256</v>
      </c>
      <c r="ES108" s="22">
        <v>3.2126660703501883E-2</v>
      </c>
      <c r="ET108" s="22">
        <v>0.42121951311167688</v>
      </c>
      <c r="EU108" s="22">
        <v>0.43961919199421889</v>
      </c>
      <c r="EV108" s="22">
        <v>0.18229423827444943</v>
      </c>
      <c r="EW108" s="22">
        <f>(EI108/0.05883)/SQRT((EH108/0.1536)*(EJ108/0.2069))</f>
        <v>0.45581910390394759</v>
      </c>
      <c r="EX108" s="22"/>
      <c r="EY108" s="22"/>
      <c r="EZ108" s="22"/>
      <c r="FA108" s="22"/>
      <c r="FB108" s="22"/>
      <c r="FC108" s="22"/>
      <c r="FD108" s="22"/>
      <c r="FE108" s="22"/>
      <c r="FF108" s="22"/>
      <c r="FG108" s="22"/>
      <c r="FH108" s="22"/>
      <c r="FI108" s="22">
        <f>-0.50354-2.23025*BP108+ N("eqn 18 Mg# R2 0.28 best")</f>
        <v>-2.1415130105558293</v>
      </c>
      <c r="FJ108" s="22"/>
      <c r="FK108" s="22">
        <f xml:space="preserve"> -0.03692  +  0.931085 + FX108   + N("488 NN Dy")</f>
        <v>0.8941650000000001</v>
      </c>
      <c r="FL108" s="22">
        <f>-0.48986  +   0    +   (1.071278 + 0) * GD108  +N("eqn 119 LnD Hf  (which has R2 of 0.51 for TS")</f>
        <v>-0.48986000000000002</v>
      </c>
      <c r="FM108" s="22"/>
      <c r="FN108" s="22"/>
      <c r="FO108" s="22">
        <f>3.94011-11.9214*BP108</f>
        <v>-4.8153799441947163</v>
      </c>
      <c r="FP108" s="22">
        <f xml:space="preserve">  -0.49862 +   1.013256 * FQ108 + N("294 NN")</f>
        <v>-0.49862000000000001</v>
      </c>
      <c r="FQ108" s="46"/>
      <c r="FR108" s="46"/>
      <c r="FS108" s="46"/>
      <c r="FT108" s="46"/>
      <c r="FU108" s="46"/>
      <c r="FV108" s="46"/>
      <c r="FW108" s="46"/>
      <c r="FX108" s="46"/>
      <c r="FY108" s="46"/>
      <c r="FZ108" s="46"/>
      <c r="GA108" s="46"/>
      <c r="GB108" s="46"/>
      <c r="GC108" s="46"/>
      <c r="GD108" s="46"/>
      <c r="GE108" s="46"/>
      <c r="GF108" s="46"/>
      <c r="GG108" s="46"/>
      <c r="GH108" s="46"/>
    </row>
    <row r="109" spans="1:190" x14ac:dyDescent="0.25">
      <c r="A109" s="5" t="s">
        <v>250</v>
      </c>
      <c r="B109" s="1">
        <v>266</v>
      </c>
      <c r="C109" s="98" t="s">
        <v>251</v>
      </c>
      <c r="D109" s="98" t="s">
        <v>104</v>
      </c>
      <c r="E109" s="1">
        <v>98</v>
      </c>
      <c r="F109" s="22">
        <v>51.64</v>
      </c>
      <c r="G109" s="22">
        <v>0.61499999999999999</v>
      </c>
      <c r="H109" s="22">
        <v>2.44</v>
      </c>
      <c r="I109" s="22">
        <v>4.1000000000000002E-2</v>
      </c>
      <c r="J109" s="22">
        <v>8.1999999999999993</v>
      </c>
      <c r="K109" s="22">
        <v>0.28599999999999998</v>
      </c>
      <c r="L109" s="22">
        <v>14.64</v>
      </c>
      <c r="M109" s="22">
        <v>21.55</v>
      </c>
      <c r="N109" s="22">
        <v>0.36099999999999999</v>
      </c>
      <c r="O109" s="22">
        <v>0</v>
      </c>
      <c r="P109" s="22">
        <v>0</v>
      </c>
      <c r="Q109" s="22"/>
      <c r="R109" s="22"/>
      <c r="S109" s="22">
        <f t="shared" si="244"/>
        <v>99.772999999999996</v>
      </c>
      <c r="T109" s="3"/>
      <c r="U109" s="22">
        <f t="shared" si="245"/>
        <v>6.6347993982044899</v>
      </c>
      <c r="V109" s="22">
        <f t="shared" si="246"/>
        <v>1.7394074287753489</v>
      </c>
      <c r="W109" s="22">
        <f t="shared" si="247"/>
        <v>99.947206826979837</v>
      </c>
      <c r="X109" s="1"/>
      <c r="Y109" s="1"/>
      <c r="Z109" s="1"/>
      <c r="AA109" s="1" t="s">
        <v>185</v>
      </c>
      <c r="AC109" s="1">
        <v>6</v>
      </c>
      <c r="AD109" s="1">
        <v>4</v>
      </c>
      <c r="AE109" s="1"/>
      <c r="AF109" s="26">
        <f t="shared" si="248"/>
        <v>1.9253257566007425</v>
      </c>
      <c r="AG109" s="26">
        <f t="shared" si="249"/>
        <v>1.724586454764257E-2</v>
      </c>
      <c r="AH109" s="26">
        <f t="shared" si="250"/>
        <v>0.10721064439618533</v>
      </c>
      <c r="AI109" s="26">
        <f t="shared" si="251"/>
        <v>1.2085002610397074E-3</v>
      </c>
      <c r="AJ109" s="26">
        <f t="shared" si="252"/>
        <v>0.25564363907505233</v>
      </c>
      <c r="AK109" s="26">
        <f t="shared" si="253"/>
        <v>9.0307279661224499E-3</v>
      </c>
      <c r="AL109" s="26">
        <f t="shared" si="254"/>
        <v>0.81373677190831684</v>
      </c>
      <c r="AM109" s="26">
        <f t="shared" si="255"/>
        <v>0.86077011570043915</v>
      </c>
      <c r="AN109" s="26">
        <f t="shared" si="256"/>
        <v>2.6093572134924903E-2</v>
      </c>
      <c r="AO109" s="26">
        <f t="shared" si="257"/>
        <v>0</v>
      </c>
      <c r="AP109" s="26">
        <f t="shared" si="258"/>
        <v>0</v>
      </c>
      <c r="AQ109" s="26">
        <f t="shared" si="259"/>
        <v>0</v>
      </c>
      <c r="AR109" s="26">
        <f t="shared" si="260"/>
        <v>0</v>
      </c>
      <c r="AS109" s="26">
        <f t="shared" si="261"/>
        <v>4.0162655925904662</v>
      </c>
      <c r="AT109" s="26">
        <f t="shared" si="262"/>
        <v>2.0325364009969276</v>
      </c>
      <c r="AU109" s="26">
        <f t="shared" si="263"/>
        <v>0.88686368783536407</v>
      </c>
      <c r="AV109" s="47"/>
      <c r="AW109" s="26">
        <f t="shared" si="264"/>
        <v>1.9175283229801741</v>
      </c>
      <c r="AX109" s="26">
        <f t="shared" si="265"/>
        <v>1.717602001168364E-2</v>
      </c>
      <c r="AY109" s="26">
        <f t="shared" si="266"/>
        <v>0.10677644884240353</v>
      </c>
      <c r="AZ109" s="26">
        <f t="shared" si="267"/>
        <v>1.203605920155527E-3</v>
      </c>
      <c r="BA109" s="26">
        <f t="shared" si="268"/>
        <v>0.20600914609358711</v>
      </c>
      <c r="BB109" s="26">
        <f t="shared" si="269"/>
        <v>4.8599154260537514E-2</v>
      </c>
      <c r="BC109" s="26">
        <f t="shared" si="270"/>
        <v>8.994154154329909E-3</v>
      </c>
      <c r="BD109" s="26">
        <f t="shared" si="271"/>
        <v>0.81044119533286341</v>
      </c>
      <c r="BE109" s="26">
        <f t="shared" si="272"/>
        <v>0.85728405739745717</v>
      </c>
      <c r="BF109" s="26">
        <f t="shared" si="273"/>
        <v>2.5987895006808769E-2</v>
      </c>
      <c r="BG109" s="26">
        <f t="shared" si="274"/>
        <v>0</v>
      </c>
      <c r="BH109" s="26">
        <f t="shared" si="275"/>
        <v>0</v>
      </c>
      <c r="BI109" s="26">
        <f t="shared" si="276"/>
        <v>0</v>
      </c>
      <c r="BJ109" s="26">
        <f t="shared" si="277"/>
        <v>0</v>
      </c>
      <c r="BK109" s="25">
        <f t="shared" si="278"/>
        <v>4.0000000000000009</v>
      </c>
      <c r="BL109" s="24">
        <f t="shared" si="279"/>
        <v>6.0000000000000027</v>
      </c>
      <c r="BM109" s="26">
        <f t="shared" si="280"/>
        <v>2.0243047718225777</v>
      </c>
      <c r="BN109" s="26">
        <f t="shared" si="281"/>
        <v>0.88327195240426593</v>
      </c>
      <c r="BO109" s="22"/>
      <c r="BP109" s="23">
        <f t="shared" si="282"/>
        <v>0.76094228354157867</v>
      </c>
      <c r="BQ109" s="26">
        <f t="shared" si="283"/>
        <v>8.247167701982594E-2</v>
      </c>
      <c r="BR109" s="26">
        <f t="shared" si="284"/>
        <v>2.4304771822577592E-2</v>
      </c>
      <c r="BS109" s="26"/>
      <c r="BT109" s="26">
        <f t="shared" si="285"/>
        <v>2.4304771822577592E-2</v>
      </c>
      <c r="BU109" s="26">
        <f t="shared" si="286"/>
        <v>0</v>
      </c>
      <c r="BV109" s="26">
        <f t="shared" si="287"/>
        <v>2.4304771822577592E-2</v>
      </c>
      <c r="BW109" s="26">
        <f t="shared" si="288"/>
        <v>6.0425013051985368E-4</v>
      </c>
      <c r="BX109" s="26">
        <f t="shared" si="289"/>
        <v>0.83586109374734163</v>
      </c>
      <c r="BY109" s="26">
        <f t="shared" si="290"/>
        <v>0.11675965861801374</v>
      </c>
      <c r="BZ109" s="26">
        <f t="shared" si="291"/>
        <v>1.0018345461410303</v>
      </c>
      <c r="CA109" s="22"/>
      <c r="CB109" s="22">
        <f t="shared" si="292"/>
        <v>2.5987895006808769E-2</v>
      </c>
      <c r="CC109" s="22">
        <f t="shared" si="293"/>
        <v>0</v>
      </c>
      <c r="CD109" s="22">
        <f t="shared" si="294"/>
        <v>2.2611259253728744E-2</v>
      </c>
      <c r="CE109" s="22">
        <f t="shared" si="295"/>
        <v>1.203605920155527E-3</v>
      </c>
      <c r="CF109" s="22">
        <f t="shared" si="296"/>
        <v>2.4304771822577592E-2</v>
      </c>
      <c r="CG109" s="22">
        <f t="shared" si="297"/>
        <v>0.41757615770390205</v>
      </c>
      <c r="CH109" s="22">
        <f t="shared" si="298"/>
        <v>0.46438104814682052</v>
      </c>
      <c r="CI109" s="22">
        <f t="shared" si="299"/>
        <v>0.11804279414927735</v>
      </c>
      <c r="CJ109" s="22"/>
      <c r="CK109" s="22">
        <f t="shared" si="300"/>
        <v>0.44388326962031666</v>
      </c>
      <c r="CL109" s="22">
        <f t="shared" si="301"/>
        <v>0.41962904187376548</v>
      </c>
      <c r="CM109" s="22">
        <f t="shared" si="302"/>
        <v>0.13648768850591791</v>
      </c>
      <c r="CN109" s="1"/>
      <c r="CO109" s="26">
        <f t="shared" si="303"/>
        <v>0.85952063914780297</v>
      </c>
      <c r="CP109" s="26">
        <f t="shared" si="304"/>
        <v>7.6990485728592895E-3</v>
      </c>
      <c r="CQ109" s="26">
        <f t="shared" si="305"/>
        <v>4.7861906630051E-2</v>
      </c>
      <c r="CR109" s="26">
        <f t="shared" si="306"/>
        <v>5.3950917823541024E-4</v>
      </c>
      <c r="CS109" s="26">
        <f t="shared" si="307"/>
        <v>0.11412665274878218</v>
      </c>
      <c r="CT109" s="26">
        <f t="shared" si="308"/>
        <v>4.0315759797011561E-3</v>
      </c>
      <c r="CU109" s="26">
        <f t="shared" si="309"/>
        <v>0.36327543424317621</v>
      </c>
      <c r="CV109" s="26">
        <f t="shared" si="310"/>
        <v>0.38427246790299574</v>
      </c>
      <c r="CW109" s="26">
        <f t="shared" si="311"/>
        <v>1.164891900613101E-2</v>
      </c>
      <c r="CX109" s="26">
        <f t="shared" si="312"/>
        <v>0</v>
      </c>
      <c r="CY109" s="26">
        <f t="shared" si="313"/>
        <v>0</v>
      </c>
      <c r="CZ109" s="26">
        <f t="shared" si="314"/>
        <v>0</v>
      </c>
      <c r="DA109" s="26">
        <f t="shared" si="315"/>
        <v>0</v>
      </c>
      <c r="DB109" s="26">
        <f t="shared" si="316"/>
        <v>1.7929761534097348</v>
      </c>
      <c r="DC109" s="26">
        <f t="shared" si="317"/>
        <v>2.6785720895314746</v>
      </c>
      <c r="DD109" s="26">
        <f t="shared" si="318"/>
        <v>2.2309276073712017</v>
      </c>
      <c r="DE109" s="26">
        <f t="shared" si="319"/>
        <v>5.9757004228697328</v>
      </c>
      <c r="DF109" s="1"/>
      <c r="DG109" s="22">
        <v>30.363395936868233</v>
      </c>
      <c r="DH109" s="14">
        <v>1936.0732035654253</v>
      </c>
      <c r="DI109" s="14">
        <v>92660.182895568141</v>
      </c>
      <c r="DJ109" s="14">
        <v>12783.885304913512</v>
      </c>
      <c r="DK109" s="14">
        <v>248794.06568787099</v>
      </c>
      <c r="DL109" s="14">
        <v>142709.93044633095</v>
      </c>
      <c r="DM109" s="96">
        <v>126.87170888994983</v>
      </c>
      <c r="DN109" s="14">
        <v>3984.2824931404839</v>
      </c>
      <c r="DO109" s="96">
        <v>417.84506219103559</v>
      </c>
      <c r="DP109" s="22">
        <v>124.21960012108815</v>
      </c>
      <c r="DQ109" s="14">
        <v>2535.295443447435</v>
      </c>
      <c r="DR109" s="22">
        <v>43.449761931778113</v>
      </c>
      <c r="DS109" s="22">
        <v>29.997067207265474</v>
      </c>
      <c r="DT109" s="22">
        <v>0.70564751803089476</v>
      </c>
      <c r="DU109" s="22">
        <v>90.981962935074179</v>
      </c>
      <c r="DV109" s="22">
        <v>0.22694451171655913</v>
      </c>
      <c r="DW109" s="22">
        <v>15.730905618535573</v>
      </c>
      <c r="DX109" s="22">
        <v>15.197485761544263</v>
      </c>
      <c r="DY109" s="22">
        <v>37.657292169272225</v>
      </c>
      <c r="DZ109" s="22">
        <v>33.142430235715111</v>
      </c>
      <c r="EA109" s="22">
        <v>0.19823222792808484</v>
      </c>
      <c r="EB109" s="22">
        <v>0</v>
      </c>
      <c r="EC109" s="22">
        <v>0.67875264984785422</v>
      </c>
      <c r="ED109" s="22">
        <v>4.4354259119460817</v>
      </c>
      <c r="EE109" s="22">
        <v>15.748132411527953</v>
      </c>
      <c r="EF109" s="22">
        <v>2.4692836092666735</v>
      </c>
      <c r="EG109" s="22">
        <v>12.665916060183957</v>
      </c>
      <c r="EH109" s="22">
        <v>4.5398284981797357</v>
      </c>
      <c r="EI109" s="22">
        <v>0.92392038695005152</v>
      </c>
      <c r="EJ109" s="22">
        <v>5.4059051093179997</v>
      </c>
      <c r="EK109" s="22">
        <v>1.002226841902474</v>
      </c>
      <c r="EL109" s="22">
        <v>7.0842631987828382</v>
      </c>
      <c r="EM109" s="22">
        <v>1.412529178163469</v>
      </c>
      <c r="EN109" s="22">
        <v>4.081506095506974</v>
      </c>
      <c r="EO109" s="22">
        <v>0.59447567975241555</v>
      </c>
      <c r="EP109" s="22">
        <v>4.1570992627080772</v>
      </c>
      <c r="EQ109" s="22">
        <v>0.54530786143220866</v>
      </c>
      <c r="ER109" s="22">
        <v>1.4202015654866076</v>
      </c>
      <c r="ES109" s="22">
        <v>0</v>
      </c>
      <c r="ET109" s="22">
        <v>0.32370815560400651</v>
      </c>
      <c r="EU109" s="22">
        <v>0.62971776296354232</v>
      </c>
      <c r="EV109" s="22">
        <v>0.20160724200288974</v>
      </c>
      <c r="EW109" s="22">
        <f>(EI109/0.05883)/SQRT((EH109/0.1536)*(EJ109/0.2069))</f>
        <v>0.56514204986928729</v>
      </c>
      <c r="EX109" s="22"/>
      <c r="EY109" s="22"/>
      <c r="EZ109" s="22"/>
      <c r="FA109" s="22"/>
      <c r="FB109" s="22"/>
      <c r="FC109" s="22"/>
      <c r="FD109" s="22"/>
      <c r="FE109" s="22"/>
      <c r="FF109" s="22"/>
      <c r="FG109" s="22"/>
      <c r="FH109" s="22"/>
      <c r="FI109" s="22">
        <f>-0.50354-2.23025*BP109+ N("eqn 18 Mg# R2 0.28 best")</f>
        <v>-2.2006315278686057</v>
      </c>
      <c r="FJ109" s="22"/>
      <c r="FK109" s="22">
        <f xml:space="preserve"> -0.03692  +  0.931085 + FX109   + N("488 NN Dy")</f>
        <v>0.8941650000000001</v>
      </c>
      <c r="FL109" s="22">
        <f>-0.48986  +   0    +   (1.071278 + 0) * GD109  +N("eqn 119 LnD Hf  (which has R2 of 0.51 for TS")</f>
        <v>-0.48986000000000002</v>
      </c>
      <c r="FM109" s="22"/>
      <c r="FN109" s="22"/>
      <c r="FO109" s="22">
        <f>3.94011-11.9214*BP109</f>
        <v>-5.1313873390125755</v>
      </c>
      <c r="FP109" s="22">
        <f xml:space="preserve">  -0.49862 +   1.013256 * FQ109 + N("294 NN")</f>
        <v>-0.49862000000000001</v>
      </c>
      <c r="FQ109" s="46"/>
      <c r="FR109" s="46"/>
      <c r="FS109" s="46"/>
      <c r="FT109" s="46"/>
      <c r="FU109" s="46"/>
      <c r="FV109" s="46"/>
      <c r="FW109" s="46"/>
      <c r="FX109" s="46"/>
      <c r="FY109" s="46"/>
      <c r="FZ109" s="46"/>
      <c r="GA109" s="46"/>
      <c r="GB109" s="46"/>
      <c r="GC109" s="46"/>
      <c r="GD109" s="46"/>
      <c r="GE109" s="46"/>
      <c r="GF109" s="46"/>
      <c r="GG109" s="46"/>
      <c r="GH109" s="46"/>
    </row>
    <row r="110" spans="1:190" x14ac:dyDescent="0.25">
      <c r="A110" s="5" t="s">
        <v>250</v>
      </c>
      <c r="B110" s="1">
        <v>267</v>
      </c>
      <c r="C110" s="98" t="s">
        <v>251</v>
      </c>
      <c r="D110" s="98" t="s">
        <v>104</v>
      </c>
      <c r="E110" s="1">
        <v>99</v>
      </c>
      <c r="F110" s="22">
        <v>50.34</v>
      </c>
      <c r="G110" s="22">
        <v>0.53200000000000003</v>
      </c>
      <c r="H110" s="22">
        <v>1.875</v>
      </c>
      <c r="I110" s="22">
        <v>0</v>
      </c>
      <c r="J110" s="22">
        <v>9.73</v>
      </c>
      <c r="K110" s="22">
        <v>0.39600000000000002</v>
      </c>
      <c r="L110" s="22">
        <v>13.48</v>
      </c>
      <c r="M110" s="22">
        <v>20.11</v>
      </c>
      <c r="N110" s="22">
        <v>0.28100000000000003</v>
      </c>
      <c r="O110" s="22">
        <v>1.6E-2</v>
      </c>
      <c r="P110" s="22">
        <v>0</v>
      </c>
      <c r="Q110" s="22"/>
      <c r="R110" s="22"/>
      <c r="S110" s="22">
        <f t="shared" si="244"/>
        <v>96.760000000000019</v>
      </c>
      <c r="T110" s="3"/>
      <c r="U110" s="22">
        <f t="shared" si="245"/>
        <v>9.1292727407212926</v>
      </c>
      <c r="V110" s="22">
        <f t="shared" si="246"/>
        <v>0.66758820323642809</v>
      </c>
      <c r="W110" s="22">
        <f t="shared" si="247"/>
        <v>96.826860943957726</v>
      </c>
      <c r="X110" s="1"/>
      <c r="Y110" s="1"/>
      <c r="Z110" s="1"/>
      <c r="AA110" s="1" t="s">
        <v>185</v>
      </c>
      <c r="AC110" s="1">
        <v>6</v>
      </c>
      <c r="AD110" s="1">
        <v>4</v>
      </c>
      <c r="AE110" s="1"/>
      <c r="AF110" s="26">
        <f t="shared" si="248"/>
        <v>1.9462659462830296</v>
      </c>
      <c r="AG110" s="26">
        <f t="shared" si="249"/>
        <v>1.5470076908178147E-2</v>
      </c>
      <c r="AH110" s="26">
        <f t="shared" si="250"/>
        <v>8.543195359386041E-2</v>
      </c>
      <c r="AI110" s="26">
        <f t="shared" si="251"/>
        <v>0</v>
      </c>
      <c r="AJ110" s="26">
        <f t="shared" si="252"/>
        <v>0.31456106350238544</v>
      </c>
      <c r="AK110" s="26">
        <f t="shared" si="253"/>
        <v>1.2966504003075962E-2</v>
      </c>
      <c r="AL110" s="26">
        <f t="shared" si="254"/>
        <v>0.77696909183812413</v>
      </c>
      <c r="AM110" s="26">
        <f t="shared" si="255"/>
        <v>0.83295772889837105</v>
      </c>
      <c r="AN110" s="26">
        <f t="shared" si="256"/>
        <v>2.1062195536184426E-2</v>
      </c>
      <c r="AO110" s="26">
        <f t="shared" si="257"/>
        <v>7.8907443348835173E-4</v>
      </c>
      <c r="AP110" s="26">
        <f t="shared" si="258"/>
        <v>0</v>
      </c>
      <c r="AQ110" s="26">
        <f t="shared" si="259"/>
        <v>0</v>
      </c>
      <c r="AR110" s="26">
        <f t="shared" si="260"/>
        <v>0</v>
      </c>
      <c r="AS110" s="26">
        <f t="shared" si="261"/>
        <v>4.0064736349966967</v>
      </c>
      <c r="AT110" s="26">
        <f t="shared" si="262"/>
        <v>2.0316978998768902</v>
      </c>
      <c r="AU110" s="26">
        <f t="shared" si="263"/>
        <v>0.85480899886804373</v>
      </c>
      <c r="AV110" s="47"/>
      <c r="AW110" s="26">
        <f t="shared" si="264"/>
        <v>1.9431211819614369</v>
      </c>
      <c r="AX110" s="26">
        <f t="shared" si="265"/>
        <v>1.5445080454838332E-2</v>
      </c>
      <c r="AY110" s="26">
        <f t="shared" si="266"/>
        <v>8.5293913178520961E-2</v>
      </c>
      <c r="AZ110" s="26">
        <f t="shared" si="267"/>
        <v>0</v>
      </c>
      <c r="BA110" s="26">
        <f t="shared" si="268"/>
        <v>0.29466327289338357</v>
      </c>
      <c r="BB110" s="26">
        <f t="shared" si="269"/>
        <v>1.9389524813490322E-2</v>
      </c>
      <c r="BC110" s="26">
        <f t="shared" si="270"/>
        <v>1.2945552807149969E-2</v>
      </c>
      <c r="BD110" s="26">
        <f t="shared" si="271"/>
        <v>0.77571367004766456</v>
      </c>
      <c r="BE110" s="26">
        <f t="shared" si="272"/>
        <v>0.83161184101894881</v>
      </c>
      <c r="BF110" s="26">
        <f t="shared" si="273"/>
        <v>2.1028163372603131E-2</v>
      </c>
      <c r="BG110" s="26">
        <f t="shared" si="274"/>
        <v>7.8779945196270028E-4</v>
      </c>
      <c r="BH110" s="26">
        <f t="shared" si="275"/>
        <v>0</v>
      </c>
      <c r="BI110" s="26">
        <f t="shared" si="276"/>
        <v>0</v>
      </c>
      <c r="BJ110" s="26">
        <f t="shared" si="277"/>
        <v>0</v>
      </c>
      <c r="BK110" s="25">
        <f t="shared" si="278"/>
        <v>3.9999999999999991</v>
      </c>
      <c r="BL110" s="24">
        <f t="shared" si="279"/>
        <v>5.9999999999999964</v>
      </c>
      <c r="BM110" s="26">
        <f t="shared" si="280"/>
        <v>2.028415095139958</v>
      </c>
      <c r="BN110" s="26">
        <f t="shared" si="281"/>
        <v>0.85342780384351469</v>
      </c>
      <c r="BO110" s="22"/>
      <c r="BP110" s="23">
        <f t="shared" si="282"/>
        <v>0.71181642397753442</v>
      </c>
      <c r="BQ110" s="26">
        <f t="shared" si="283"/>
        <v>5.6878818038563095E-2</v>
      </c>
      <c r="BR110" s="26">
        <f t="shared" si="284"/>
        <v>2.8415095139957866E-2</v>
      </c>
      <c r="BS110" s="26"/>
      <c r="BT110" s="26">
        <f t="shared" si="285"/>
        <v>2.1062195536184426E-2</v>
      </c>
      <c r="BU110" s="26">
        <f t="shared" si="286"/>
        <v>7.3869317673547347E-3</v>
      </c>
      <c r="BV110" s="26">
        <f t="shared" si="287"/>
        <v>2.4721629256280499E-2</v>
      </c>
      <c r="BW110" s="26">
        <f t="shared" si="288"/>
        <v>0</v>
      </c>
      <c r="BX110" s="26">
        <f t="shared" si="289"/>
        <v>0.80084916787473581</v>
      </c>
      <c r="BY110" s="26">
        <f t="shared" si="290"/>
        <v>0.14534049373288682</v>
      </c>
      <c r="BZ110" s="26">
        <f t="shared" si="291"/>
        <v>0.99936041816744225</v>
      </c>
      <c r="CA110" s="22"/>
      <c r="CB110" s="22">
        <f t="shared" si="292"/>
        <v>1.9389524813490322E-2</v>
      </c>
      <c r="CC110" s="22">
        <f t="shared" si="293"/>
        <v>1.6386385591128094E-3</v>
      </c>
      <c r="CD110" s="22">
        <f t="shared" si="294"/>
        <v>0</v>
      </c>
      <c r="CE110" s="22">
        <f t="shared" si="295"/>
        <v>0</v>
      </c>
      <c r="CF110" s="22">
        <f t="shared" si="296"/>
        <v>2.6776456580845057E-2</v>
      </c>
      <c r="CG110" s="22">
        <f t="shared" si="297"/>
        <v>0.41211245462579704</v>
      </c>
      <c r="CH110" s="22">
        <f t="shared" si="298"/>
        <v>0.42604842004958271</v>
      </c>
      <c r="CI110" s="22">
        <f t="shared" si="299"/>
        <v>0.16183912532462025</v>
      </c>
      <c r="CJ110" s="22"/>
      <c r="CK110" s="22">
        <f t="shared" si="300"/>
        <v>0.42992378760162492</v>
      </c>
      <c r="CL110" s="22">
        <f t="shared" si="301"/>
        <v>0.40102574623351245</v>
      </c>
      <c r="CM110" s="22">
        <f t="shared" si="302"/>
        <v>0.16905046616486258</v>
      </c>
      <c r="CN110" s="1"/>
      <c r="CO110" s="26">
        <f t="shared" si="303"/>
        <v>0.83788282290279636</v>
      </c>
      <c r="CP110" s="26">
        <f t="shared" si="304"/>
        <v>6.6599899849774666E-3</v>
      </c>
      <c r="CQ110" s="26">
        <f t="shared" si="305"/>
        <v>3.6779129070223619E-2</v>
      </c>
      <c r="CR110" s="26">
        <f t="shared" si="306"/>
        <v>0</v>
      </c>
      <c r="CS110" s="26">
        <f t="shared" si="307"/>
        <v>0.13542101600556716</v>
      </c>
      <c r="CT110" s="26">
        <f t="shared" si="308"/>
        <v>5.5821821257400622E-3</v>
      </c>
      <c r="CU110" s="26">
        <f t="shared" si="309"/>
        <v>0.33449131513647645</v>
      </c>
      <c r="CV110" s="26">
        <f t="shared" si="310"/>
        <v>0.35859486447931527</v>
      </c>
      <c r="CW110" s="26">
        <f t="shared" si="311"/>
        <v>9.0674411100354971E-3</v>
      </c>
      <c r="CX110" s="26">
        <f t="shared" si="312"/>
        <v>3.3970276008492571E-4</v>
      </c>
      <c r="CY110" s="26">
        <f t="shared" si="313"/>
        <v>0</v>
      </c>
      <c r="CZ110" s="26">
        <f t="shared" si="314"/>
        <v>0</v>
      </c>
      <c r="DA110" s="26">
        <f t="shared" si="315"/>
        <v>0</v>
      </c>
      <c r="DB110" s="26">
        <f t="shared" si="316"/>
        <v>1.7248184635752171</v>
      </c>
      <c r="DC110" s="26">
        <f t="shared" si="317"/>
        <v>2.5830472690630426</v>
      </c>
      <c r="DD110" s="26">
        <f t="shared" si="318"/>
        <v>2.3190846367151989</v>
      </c>
      <c r="DE110" s="26">
        <f t="shared" si="319"/>
        <v>5.9903052375932528</v>
      </c>
      <c r="DF110" s="1"/>
      <c r="DG110" s="22"/>
      <c r="DH110" s="14"/>
      <c r="DI110" s="14"/>
      <c r="DJ110" s="14"/>
      <c r="DK110" s="14"/>
      <c r="DL110" s="14"/>
      <c r="DM110" s="96"/>
      <c r="DN110" s="14"/>
      <c r="DO110" s="96"/>
      <c r="DP110" s="22"/>
      <c r="DQ110" s="14"/>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46"/>
      <c r="FR110" s="46"/>
      <c r="FS110" s="46"/>
      <c r="FT110" s="46"/>
      <c r="FU110" s="46"/>
      <c r="FV110" s="46"/>
      <c r="FW110" s="46"/>
      <c r="FX110" s="46"/>
      <c r="FY110" s="46"/>
      <c r="FZ110" s="46"/>
      <c r="GA110" s="46"/>
      <c r="GB110" s="46"/>
      <c r="GC110" s="46"/>
      <c r="GD110" s="46"/>
      <c r="GE110" s="46"/>
      <c r="GF110" s="46"/>
      <c r="GG110" s="46"/>
      <c r="GH110" s="46"/>
    </row>
    <row r="111" spans="1:190" x14ac:dyDescent="0.25">
      <c r="A111" s="5" t="s">
        <v>250</v>
      </c>
      <c r="B111" s="1">
        <v>268</v>
      </c>
      <c r="C111" s="98" t="s">
        <v>251</v>
      </c>
      <c r="D111" s="98" t="s">
        <v>104</v>
      </c>
      <c r="E111" s="1">
        <v>100</v>
      </c>
      <c r="F111" s="22">
        <v>51.27</v>
      </c>
      <c r="G111" s="22">
        <v>0.50600000000000001</v>
      </c>
      <c r="H111" s="22">
        <v>1.98</v>
      </c>
      <c r="I111" s="22">
        <v>3.1E-2</v>
      </c>
      <c r="J111" s="22">
        <v>10.36</v>
      </c>
      <c r="K111" s="22">
        <v>0.36499999999999999</v>
      </c>
      <c r="L111" s="22">
        <v>14.5</v>
      </c>
      <c r="M111" s="22">
        <v>19.670000000000002</v>
      </c>
      <c r="N111" s="22">
        <v>0.33600000000000002</v>
      </c>
      <c r="O111" s="22">
        <v>0.01</v>
      </c>
      <c r="P111" s="22">
        <v>0</v>
      </c>
      <c r="Q111" s="22"/>
      <c r="R111" s="22"/>
      <c r="S111" s="22">
        <f t="shared" si="244"/>
        <v>99.027999999999992</v>
      </c>
      <c r="T111" s="3"/>
      <c r="U111" s="22">
        <f t="shared" si="245"/>
        <v>8.7579424040535532</v>
      </c>
      <c r="V111" s="22">
        <f t="shared" si="246"/>
        <v>1.7803666063752841</v>
      </c>
      <c r="W111" s="22">
        <f t="shared" si="247"/>
        <v>99.206309010428839</v>
      </c>
      <c r="X111" s="1"/>
      <c r="Y111" s="1"/>
      <c r="Z111" s="1"/>
      <c r="AA111" s="1" t="s">
        <v>185</v>
      </c>
      <c r="AC111" s="1">
        <v>6</v>
      </c>
      <c r="AD111" s="1">
        <v>4</v>
      </c>
      <c r="AE111" s="1"/>
      <c r="AF111" s="26">
        <f t="shared" si="248"/>
        <v>1.9367630429972384</v>
      </c>
      <c r="AG111" s="26">
        <f t="shared" si="249"/>
        <v>1.437657904678763E-2</v>
      </c>
      <c r="AH111" s="26">
        <f t="shared" si="250"/>
        <v>8.8147186520856971E-2</v>
      </c>
      <c r="AI111" s="26">
        <f t="shared" si="251"/>
        <v>9.2580552969548054E-4</v>
      </c>
      <c r="AJ111" s="26">
        <f t="shared" si="252"/>
        <v>0.32724730515392519</v>
      </c>
      <c r="AK111" s="26">
        <f t="shared" si="253"/>
        <v>1.1677362877607126E-2</v>
      </c>
      <c r="AL111" s="26">
        <f t="shared" si="254"/>
        <v>0.81659375075923857</v>
      </c>
      <c r="AM111" s="26">
        <f t="shared" si="255"/>
        <v>0.796048358036056</v>
      </c>
      <c r="AN111" s="26">
        <f t="shared" si="256"/>
        <v>2.4607120562318653E-2</v>
      </c>
      <c r="AO111" s="26">
        <f t="shared" si="257"/>
        <v>4.8186145626469452E-4</v>
      </c>
      <c r="AP111" s="26">
        <f t="shared" si="258"/>
        <v>0</v>
      </c>
      <c r="AQ111" s="26">
        <f t="shared" si="259"/>
        <v>0</v>
      </c>
      <c r="AR111" s="26">
        <f t="shared" si="260"/>
        <v>0</v>
      </c>
      <c r="AS111" s="26">
        <f t="shared" si="261"/>
        <v>4.0168683729399888</v>
      </c>
      <c r="AT111" s="26">
        <f t="shared" si="262"/>
        <v>2.0249102295180954</v>
      </c>
      <c r="AU111" s="26">
        <f t="shared" si="263"/>
        <v>0.82113734005463934</v>
      </c>
      <c r="AV111" s="47"/>
      <c r="AW111" s="26">
        <f t="shared" si="264"/>
        <v>1.9286298311833414</v>
      </c>
      <c r="AX111" s="26">
        <f t="shared" si="265"/>
        <v>1.4316206270174851E-2</v>
      </c>
      <c r="AY111" s="26">
        <f t="shared" si="266"/>
        <v>8.777702263252514E-2</v>
      </c>
      <c r="AZ111" s="26">
        <f t="shared" si="267"/>
        <v>9.2191771672903849E-4</v>
      </c>
      <c r="BA111" s="26">
        <f t="shared" si="268"/>
        <v>0.27548045955160999</v>
      </c>
      <c r="BB111" s="26">
        <f t="shared" si="269"/>
        <v>5.0392608491602431E-2</v>
      </c>
      <c r="BC111" s="26">
        <f t="shared" si="270"/>
        <v>1.1628325146298324E-2</v>
      </c>
      <c r="BD111" s="26">
        <f t="shared" si="271"/>
        <v>0.81316455999434689</v>
      </c>
      <c r="BE111" s="26">
        <f t="shared" si="272"/>
        <v>0.79270544526548148</v>
      </c>
      <c r="BF111" s="26">
        <f t="shared" si="273"/>
        <v>2.4503785812935105E-2</v>
      </c>
      <c r="BG111" s="26">
        <f t="shared" si="274"/>
        <v>4.7983793495529948E-4</v>
      </c>
      <c r="BH111" s="26">
        <f t="shared" si="275"/>
        <v>0</v>
      </c>
      <c r="BI111" s="26">
        <f t="shared" si="276"/>
        <v>0</v>
      </c>
      <c r="BJ111" s="26">
        <f t="shared" si="277"/>
        <v>0</v>
      </c>
      <c r="BK111" s="25">
        <f t="shared" si="278"/>
        <v>4</v>
      </c>
      <c r="BL111" s="24">
        <f t="shared" si="279"/>
        <v>5.9999999999999982</v>
      </c>
      <c r="BM111" s="26">
        <f t="shared" si="280"/>
        <v>2.0164068538158664</v>
      </c>
      <c r="BN111" s="26">
        <f t="shared" si="281"/>
        <v>0.81768906901337191</v>
      </c>
      <c r="BO111" s="22"/>
      <c r="BP111" s="23">
        <f t="shared" si="282"/>
        <v>0.71390491409431578</v>
      </c>
      <c r="BQ111" s="26">
        <f t="shared" si="283"/>
        <v>7.1370168816658586E-2</v>
      </c>
      <c r="BR111" s="26">
        <f t="shared" si="284"/>
        <v>1.6406853815866554E-2</v>
      </c>
      <c r="BS111" s="26"/>
      <c r="BT111" s="26">
        <f t="shared" si="285"/>
        <v>1.6406853815866554E-2</v>
      </c>
      <c r="BU111" s="26">
        <f t="shared" si="286"/>
        <v>0</v>
      </c>
      <c r="BV111" s="26">
        <f t="shared" si="287"/>
        <v>1.6406853815866554E-2</v>
      </c>
      <c r="BW111" s="26">
        <f t="shared" si="288"/>
        <v>4.6290276484774027E-4</v>
      </c>
      <c r="BX111" s="26">
        <f t="shared" si="289"/>
        <v>0.77917860145534168</v>
      </c>
      <c r="BY111" s="26">
        <f t="shared" si="290"/>
        <v>0.18233122722891104</v>
      </c>
      <c r="BZ111" s="26">
        <f t="shared" si="291"/>
        <v>0.99478643908083353</v>
      </c>
      <c r="CA111" s="22"/>
      <c r="CB111" s="22">
        <f t="shared" si="292"/>
        <v>2.4503785812935105E-2</v>
      </c>
      <c r="CC111" s="22">
        <f t="shared" si="293"/>
        <v>0</v>
      </c>
      <c r="CD111" s="22">
        <f t="shared" si="294"/>
        <v>2.5888822678667326E-2</v>
      </c>
      <c r="CE111" s="22">
        <f t="shared" si="295"/>
        <v>9.2191771672903849E-4</v>
      </c>
      <c r="CF111" s="22">
        <f t="shared" si="296"/>
        <v>1.6406853815866554E-2</v>
      </c>
      <c r="CG111" s="22">
        <f t="shared" si="297"/>
        <v>0.38699581843357683</v>
      </c>
      <c r="CH111" s="22">
        <f t="shared" si="298"/>
        <v>0.45788412809352153</v>
      </c>
      <c r="CI111" s="22">
        <f t="shared" si="299"/>
        <v>0.15512005347290156</v>
      </c>
      <c r="CJ111" s="22"/>
      <c r="CK111" s="22">
        <f t="shared" si="300"/>
        <v>0.40790218786692001</v>
      </c>
      <c r="CL111" s="22">
        <f t="shared" si="301"/>
        <v>0.41842982800055079</v>
      </c>
      <c r="CM111" s="22">
        <f t="shared" si="302"/>
        <v>0.1736679841325291</v>
      </c>
      <c r="CN111" s="1"/>
      <c r="CO111" s="26">
        <f t="shared" si="303"/>
        <v>0.8533621837549934</v>
      </c>
      <c r="CP111" s="26">
        <f t="shared" si="304"/>
        <v>6.3345017526289437E-3</v>
      </c>
      <c r="CQ111" s="26">
        <f t="shared" si="305"/>
        <v>3.8838760298156139E-2</v>
      </c>
      <c r="CR111" s="26">
        <f t="shared" si="306"/>
        <v>4.0792157378774919E-4</v>
      </c>
      <c r="CS111" s="26">
        <f t="shared" si="307"/>
        <v>0.14418928322894919</v>
      </c>
      <c r="CT111" s="26">
        <f t="shared" si="308"/>
        <v>5.1451931209472793E-3</v>
      </c>
      <c r="CU111" s="26">
        <f t="shared" si="309"/>
        <v>0.35980148883374691</v>
      </c>
      <c r="CV111" s="26">
        <f t="shared" si="310"/>
        <v>0.35074893009985741</v>
      </c>
      <c r="CW111" s="26">
        <f t="shared" si="311"/>
        <v>1.0842207163601163E-2</v>
      </c>
      <c r="CX111" s="26">
        <f t="shared" si="312"/>
        <v>2.1231422505307856E-4</v>
      </c>
      <c r="CY111" s="26">
        <f t="shared" si="313"/>
        <v>0</v>
      </c>
      <c r="CZ111" s="26">
        <f t="shared" si="314"/>
        <v>0</v>
      </c>
      <c r="DA111" s="26">
        <f t="shared" si="315"/>
        <v>0</v>
      </c>
      <c r="DB111" s="26">
        <f t="shared" si="316"/>
        <v>1.7698827840517213</v>
      </c>
      <c r="DC111" s="26">
        <f t="shared" si="317"/>
        <v>2.6436755498009887</v>
      </c>
      <c r="DD111" s="26">
        <f t="shared" si="318"/>
        <v>2.2600366736394606</v>
      </c>
      <c r="DE111" s="26">
        <f t="shared" si="319"/>
        <v>5.9748036957541988</v>
      </c>
      <c r="DF111" s="1"/>
      <c r="DG111" s="22"/>
      <c r="DH111" s="14"/>
      <c r="DI111" s="14"/>
      <c r="DJ111" s="14"/>
      <c r="DK111" s="14"/>
      <c r="DL111" s="14"/>
      <c r="DM111" s="96"/>
      <c r="DN111" s="14"/>
      <c r="DO111" s="96"/>
      <c r="DP111" s="22"/>
      <c r="DQ111" s="14"/>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46"/>
      <c r="FR111" s="46"/>
      <c r="FS111" s="46"/>
      <c r="FT111" s="46"/>
      <c r="FU111" s="46"/>
      <c r="FV111" s="46"/>
      <c r="FW111" s="46"/>
      <c r="FX111" s="46"/>
      <c r="FY111" s="46"/>
      <c r="FZ111" s="46"/>
      <c r="GA111" s="46"/>
      <c r="GB111" s="46"/>
      <c r="GC111" s="46"/>
      <c r="GD111" s="46"/>
      <c r="GE111" s="46"/>
      <c r="GF111" s="46"/>
      <c r="GG111" s="46"/>
      <c r="GH111" s="46"/>
    </row>
    <row r="112" spans="1:190" x14ac:dyDescent="0.25">
      <c r="A112" s="5" t="s">
        <v>250</v>
      </c>
      <c r="B112" s="1">
        <v>269</v>
      </c>
      <c r="C112" s="98" t="s">
        <v>251</v>
      </c>
      <c r="D112" s="98" t="s">
        <v>104</v>
      </c>
      <c r="E112" s="1">
        <v>101</v>
      </c>
      <c r="F112" s="22">
        <v>52.26</v>
      </c>
      <c r="G112" s="22">
        <v>0.161</v>
      </c>
      <c r="H112" s="22">
        <v>0.84099999999999997</v>
      </c>
      <c r="I112" s="22">
        <v>4.8000000000000001E-2</v>
      </c>
      <c r="J112" s="22">
        <v>10.18</v>
      </c>
      <c r="K112" s="22">
        <v>0.41199999999999998</v>
      </c>
      <c r="L112" s="22">
        <v>13.55</v>
      </c>
      <c r="M112" s="22">
        <v>21.6</v>
      </c>
      <c r="N112" s="22">
        <v>0.23499999999999999</v>
      </c>
      <c r="O112" s="22">
        <v>0</v>
      </c>
      <c r="P112" s="22">
        <v>0</v>
      </c>
      <c r="Q112" s="22"/>
      <c r="R112" s="22"/>
      <c r="S112" s="22">
        <f t="shared" si="244"/>
        <v>99.286999999999992</v>
      </c>
      <c r="T112" s="3"/>
      <c r="U112" s="22">
        <f t="shared" si="245"/>
        <v>9.3038198320957246</v>
      </c>
      <c r="V112" s="22">
        <f t="shared" si="246"/>
        <v>0.97369902059202118</v>
      </c>
      <c r="W112" s="22">
        <f t="shared" si="247"/>
        <v>99.384518852687748</v>
      </c>
      <c r="X112" s="1"/>
      <c r="Y112" s="1"/>
      <c r="Z112" s="1"/>
      <c r="AA112" s="1" t="s">
        <v>185</v>
      </c>
      <c r="AC112" s="1">
        <v>6</v>
      </c>
      <c r="AD112" s="1">
        <v>4</v>
      </c>
      <c r="AE112" s="1"/>
      <c r="AF112" s="26">
        <f t="shared" si="248"/>
        <v>1.9753535538191773</v>
      </c>
      <c r="AG112" s="26">
        <f t="shared" si="249"/>
        <v>4.5771292519688556E-3</v>
      </c>
      <c r="AH112" s="26">
        <f t="shared" si="250"/>
        <v>3.7462911065885771E-2</v>
      </c>
      <c r="AI112" s="26">
        <f t="shared" si="251"/>
        <v>1.4343712595564731E-3</v>
      </c>
      <c r="AJ112" s="26">
        <f t="shared" si="252"/>
        <v>0.32175578363388452</v>
      </c>
      <c r="AK112" s="26">
        <f t="shared" si="253"/>
        <v>1.3188985432066303E-2</v>
      </c>
      <c r="AL112" s="26">
        <f t="shared" si="254"/>
        <v>0.76355373471795984</v>
      </c>
      <c r="AM112" s="26">
        <f t="shared" si="255"/>
        <v>0.87468383989831289</v>
      </c>
      <c r="AN112" s="26">
        <f t="shared" si="256"/>
        <v>1.7220733374642784E-2</v>
      </c>
      <c r="AO112" s="26">
        <f t="shared" si="257"/>
        <v>0</v>
      </c>
      <c r="AP112" s="26">
        <f t="shared" si="258"/>
        <v>0</v>
      </c>
      <c r="AQ112" s="26">
        <f t="shared" si="259"/>
        <v>0</v>
      </c>
      <c r="AR112" s="26">
        <f t="shared" si="260"/>
        <v>0</v>
      </c>
      <c r="AS112" s="26">
        <f t="shared" si="261"/>
        <v>4.0092310424534547</v>
      </c>
      <c r="AT112" s="26">
        <f t="shared" si="262"/>
        <v>2.0128164648850633</v>
      </c>
      <c r="AU112" s="26">
        <f t="shared" si="263"/>
        <v>0.89190457327295569</v>
      </c>
      <c r="AV112" s="47"/>
      <c r="AW112" s="26">
        <f t="shared" si="264"/>
        <v>1.9708054067249334</v>
      </c>
      <c r="AX112" s="26">
        <f t="shared" si="265"/>
        <v>4.5665906539203837E-3</v>
      </c>
      <c r="AY112" s="26">
        <f t="shared" si="266"/>
        <v>3.7376654694322921E-2</v>
      </c>
      <c r="AZ112" s="26">
        <f t="shared" si="267"/>
        <v>1.4310686955857827E-3</v>
      </c>
      <c r="BA112" s="26">
        <f t="shared" si="268"/>
        <v>0.2933855925584854</v>
      </c>
      <c r="BB112" s="26">
        <f t="shared" si="269"/>
        <v>2.7629365399123973E-2</v>
      </c>
      <c r="BC112" s="26">
        <f t="shared" si="270"/>
        <v>1.3158618490587448E-2</v>
      </c>
      <c r="BD112" s="26">
        <f t="shared" si="271"/>
        <v>0.76179569262309421</v>
      </c>
      <c r="BE112" s="26">
        <f t="shared" si="272"/>
        <v>0.87266992661320808</v>
      </c>
      <c r="BF112" s="26">
        <f t="shared" si="273"/>
        <v>1.7181083546738713E-2</v>
      </c>
      <c r="BG112" s="26">
        <f t="shared" si="274"/>
        <v>0</v>
      </c>
      <c r="BH112" s="26">
        <f t="shared" si="275"/>
        <v>0</v>
      </c>
      <c r="BI112" s="26">
        <f t="shared" si="276"/>
        <v>0</v>
      </c>
      <c r="BJ112" s="26">
        <f t="shared" si="277"/>
        <v>0</v>
      </c>
      <c r="BK112" s="25">
        <f t="shared" si="278"/>
        <v>4</v>
      </c>
      <c r="BL112" s="24">
        <f t="shared" si="279"/>
        <v>6.0000000000000018</v>
      </c>
      <c r="BM112" s="26">
        <f t="shared" si="280"/>
        <v>2.0081820614192565</v>
      </c>
      <c r="BN112" s="26">
        <f t="shared" si="281"/>
        <v>0.88985101015994683</v>
      </c>
      <c r="BO112" s="22"/>
      <c r="BP112" s="23">
        <f t="shared" si="282"/>
        <v>0.70353546320822447</v>
      </c>
      <c r="BQ112" s="26">
        <f t="shared" si="283"/>
        <v>2.9194593275066572E-2</v>
      </c>
      <c r="BR112" s="26">
        <f t="shared" si="284"/>
        <v>8.1820614192563493E-3</v>
      </c>
      <c r="BS112" s="26"/>
      <c r="BT112" s="26">
        <f t="shared" si="285"/>
        <v>8.1820614192563493E-3</v>
      </c>
      <c r="BU112" s="26">
        <f t="shared" si="286"/>
        <v>0</v>
      </c>
      <c r="BV112" s="26">
        <f t="shared" si="287"/>
        <v>8.1820614192563493E-3</v>
      </c>
      <c r="BW112" s="26">
        <f t="shared" si="288"/>
        <v>7.1718562977823657E-4</v>
      </c>
      <c r="BX112" s="26">
        <f t="shared" si="289"/>
        <v>0.86578459284927833</v>
      </c>
      <c r="BY112" s="26">
        <f t="shared" si="290"/>
        <v>0.10976246275128304</v>
      </c>
      <c r="BZ112" s="26">
        <f t="shared" si="291"/>
        <v>0.99262836406885224</v>
      </c>
      <c r="CA112" s="22"/>
      <c r="CB112" s="22">
        <f t="shared" si="292"/>
        <v>1.7181083546738713E-2</v>
      </c>
      <c r="CC112" s="22">
        <f t="shared" si="293"/>
        <v>0</v>
      </c>
      <c r="CD112" s="22">
        <f t="shared" si="294"/>
        <v>1.044828185238526E-2</v>
      </c>
      <c r="CE112" s="22">
        <f t="shared" si="295"/>
        <v>1.4310686955857827E-3</v>
      </c>
      <c r="CF112" s="22">
        <f t="shared" si="296"/>
        <v>8.1820614192563493E-3</v>
      </c>
      <c r="CG112" s="22">
        <f t="shared" si="297"/>
        <v>0.4348947990963597</v>
      </c>
      <c r="CH112" s="22">
        <f t="shared" si="298"/>
        <v>0.407981750598638</v>
      </c>
      <c r="CI112" s="22">
        <f t="shared" si="299"/>
        <v>0.15712345030500238</v>
      </c>
      <c r="CJ112" s="22"/>
      <c r="CK112" s="22">
        <f t="shared" si="300"/>
        <v>0.44328586392377467</v>
      </c>
      <c r="CL112" s="22">
        <f t="shared" si="301"/>
        <v>0.38696562289984104</v>
      </c>
      <c r="CM112" s="22">
        <f t="shared" si="302"/>
        <v>0.16974851317638434</v>
      </c>
      <c r="CN112" s="1"/>
      <c r="CO112" s="26">
        <f t="shared" si="303"/>
        <v>0.86984021304926762</v>
      </c>
      <c r="CP112" s="26">
        <f t="shared" si="304"/>
        <v>2.0155232849273911E-3</v>
      </c>
      <c r="CQ112" s="26">
        <f t="shared" si="305"/>
        <v>1.64966653589643E-2</v>
      </c>
      <c r="CR112" s="26">
        <f t="shared" si="306"/>
        <v>6.3162050134877288E-4</v>
      </c>
      <c r="CS112" s="26">
        <f t="shared" si="307"/>
        <v>0.14168406402226863</v>
      </c>
      <c r="CT112" s="26">
        <f t="shared" si="308"/>
        <v>5.8077248378911759E-3</v>
      </c>
      <c r="CU112" s="26">
        <f t="shared" si="309"/>
        <v>0.33622828784119113</v>
      </c>
      <c r="CV112" s="26">
        <f t="shared" si="310"/>
        <v>0.38516405135520687</v>
      </c>
      <c r="CW112" s="26">
        <f t="shared" si="311"/>
        <v>7.5830913197805746E-3</v>
      </c>
      <c r="CX112" s="26">
        <f t="shared" si="312"/>
        <v>0</v>
      </c>
      <c r="CY112" s="26">
        <f t="shared" si="313"/>
        <v>0</v>
      </c>
      <c r="CZ112" s="26">
        <f t="shared" si="314"/>
        <v>0</v>
      </c>
      <c r="DA112" s="26">
        <f t="shared" si="315"/>
        <v>0</v>
      </c>
      <c r="DB112" s="26">
        <f t="shared" si="316"/>
        <v>1.7654512415708463</v>
      </c>
      <c r="DC112" s="26">
        <f t="shared" si="317"/>
        <v>2.6420795751753077</v>
      </c>
      <c r="DD112" s="26">
        <f t="shared" si="318"/>
        <v>2.2657096983550327</v>
      </c>
      <c r="DE112" s="26">
        <f t="shared" si="319"/>
        <v>5.9861853173004391</v>
      </c>
      <c r="DF112" s="1"/>
      <c r="DG112" s="22"/>
      <c r="DH112" s="14"/>
      <c r="DI112" s="14"/>
      <c r="DJ112" s="14"/>
      <c r="DK112" s="14"/>
      <c r="DL112" s="14"/>
      <c r="DM112" s="96"/>
      <c r="DN112" s="14"/>
      <c r="DO112" s="96"/>
      <c r="DP112" s="22"/>
      <c r="DQ112" s="14"/>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46">
        <f t="shared" ref="FQ112:FQ113" si="422" xml:space="preserve">  -0.73306   +   1.025016   *  FS112     +N("316 NN Nd")</f>
        <v>-1.475355902478277</v>
      </c>
      <c r="FR112" s="46">
        <f t="shared" ref="FR112:FR113" si="423" xml:space="preserve">  -0.33671   +   1.013871 *  FS112    +N("340 NN")</f>
        <v>-1.0709349183832773</v>
      </c>
      <c r="FS112" s="46">
        <f t="shared" ref="FS112:FS113" si="424">-0.42496     +   1.017678*FT112                 + N("361 NN")</f>
        <v>-0.72417982009868831</v>
      </c>
      <c r="FT112" s="46">
        <f xml:space="preserve"> 0.68509  -3.34181 * BP112 + 0.03095*(100*CK112) +N("642 cpx Mg# Wo R2 0.59")</f>
        <v>-0.29402209745979402</v>
      </c>
      <c r="FU112" s="46">
        <f t="shared" ref="FU112:FU113" si="425" xml:space="preserve"> -0.06599 + 0.926002 * FT112  + N("409 NN")</f>
        <v>-0.33825505029196418</v>
      </c>
      <c r="FV112" s="46">
        <f t="shared" ref="FV112:FV113" si="426">0.1453     +   0.925549*FT112     +N("424 LnD Sm")</f>
        <v>-0.12683185828181484</v>
      </c>
      <c r="FW112" s="46">
        <f t="shared" ref="FW112:FW113" si="427" xml:space="preserve">  0.053547 + 0.932974 * FV112  +  N("445 NN")</f>
        <v>-6.4783826148617912E-2</v>
      </c>
      <c r="FX112" s="46">
        <f t="shared" ref="FX112:FX113" si="428" xml:space="preserve">  0.027177  +  0.867603 * FV112 + N("464 NN Gd")</f>
        <v>-8.2862700740877399E-2</v>
      </c>
      <c r="FY112" s="46">
        <f t="shared" ref="FY112:FY113" si="429" xml:space="preserve">  -0.06187  +  0.953618 * FX112   + N("505 NN Dy")</f>
        <v>-0.14088936295511403</v>
      </c>
      <c r="FZ112" s="46">
        <f t="shared" ref="FZ112:FZ113" si="430" xml:space="preserve"> -0.05652 + 0.972005*FY112   +N("533 NN")</f>
        <v>-0.19346516523918561</v>
      </c>
      <c r="GA112" s="46">
        <f t="shared" ref="GA112:GA113" si="431" xml:space="preserve">     0.018586 + 0.960264 * FZ112    +N("549 LnD Er")</f>
        <v>-0.16719163343324134</v>
      </c>
      <c r="GB112" s="46">
        <f t="shared" ref="GB112:GB113" si="432" xml:space="preserve"> -0.02011 + 0.936315 * FZ112    +N("574 NN Er")</f>
        <v>-0.20125433619092806</v>
      </c>
      <c r="GC112" s="46">
        <f t="shared" ref="GC112:GC113" si="433" xml:space="preserve">   0.01732 + 1.006083 * GB112  +N("597 NN Yb")</f>
        <v>-0.18515856631797747</v>
      </c>
      <c r="GD112" s="46">
        <f>(-1.72947 +0 ) * (3.46258+0) * BQ112   - (1.87473 + 0) *BP112   + (0.03253+0) * (CK112*100)    +N("eqn625 aliv mg# wo")</f>
        <v>-5.1759850203998203E-2</v>
      </c>
      <c r="GE112" s="46"/>
      <c r="GF112" s="46"/>
      <c r="GG112" s="46"/>
      <c r="GH112" s="46"/>
    </row>
    <row r="113" spans="1:190" x14ac:dyDescent="0.25">
      <c r="A113" s="5" t="s">
        <v>250</v>
      </c>
      <c r="B113" s="1">
        <v>270</v>
      </c>
      <c r="C113" s="98" t="s">
        <v>251</v>
      </c>
      <c r="D113" s="98" t="s">
        <v>104</v>
      </c>
      <c r="E113" s="1">
        <v>102</v>
      </c>
      <c r="F113" s="22">
        <v>52.17</v>
      </c>
      <c r="G113" s="22">
        <v>0.125</v>
      </c>
      <c r="H113" s="22">
        <v>0.45700000000000002</v>
      </c>
      <c r="I113" s="22">
        <v>0</v>
      </c>
      <c r="J113" s="22">
        <v>11.32</v>
      </c>
      <c r="K113" s="22">
        <v>0.42099999999999999</v>
      </c>
      <c r="L113" s="22">
        <v>13.13</v>
      </c>
      <c r="M113" s="22">
        <v>21.2</v>
      </c>
      <c r="N113" s="22">
        <v>0.28199999999999997</v>
      </c>
      <c r="O113" s="22">
        <v>0</v>
      </c>
      <c r="P113" s="22">
        <v>0</v>
      </c>
      <c r="Q113" s="22"/>
      <c r="R113" s="22"/>
      <c r="S113" s="22">
        <f t="shared" si="244"/>
        <v>99.105000000000004</v>
      </c>
      <c r="T113" s="3"/>
      <c r="U113" s="22">
        <f t="shared" si="245"/>
        <v>10.198044876270615</v>
      </c>
      <c r="V113" s="22">
        <f t="shared" si="246"/>
        <v>1.2468287290004676</v>
      </c>
      <c r="W113" s="22">
        <f t="shared" si="247"/>
        <v>99.229873605271081</v>
      </c>
      <c r="X113" s="1"/>
      <c r="Y113" s="1"/>
      <c r="Z113" s="1"/>
      <c r="AA113" s="1" t="s">
        <v>185</v>
      </c>
      <c r="AC113" s="1">
        <v>6</v>
      </c>
      <c r="AD113" s="1">
        <v>4</v>
      </c>
      <c r="AE113" s="1"/>
      <c r="AF113" s="26">
        <f t="shared" si="248"/>
        <v>1.9846814111642799</v>
      </c>
      <c r="AG113" s="26">
        <f t="shared" si="249"/>
        <v>3.5766121383157116E-3</v>
      </c>
      <c r="AH113" s="26">
        <f t="shared" si="250"/>
        <v>2.0488787503673157E-2</v>
      </c>
      <c r="AI113" s="26">
        <f t="shared" si="251"/>
        <v>0</v>
      </c>
      <c r="AJ113" s="26">
        <f t="shared" si="252"/>
        <v>0.36009703354544415</v>
      </c>
      <c r="AK113" s="26">
        <f t="shared" si="253"/>
        <v>1.3564094318945072E-2</v>
      </c>
      <c r="AL113" s="26">
        <f t="shared" si="254"/>
        <v>0.74466264615418232</v>
      </c>
      <c r="AM113" s="26">
        <f t="shared" si="255"/>
        <v>0.8640278581032198</v>
      </c>
      <c r="AN113" s="26">
        <f t="shared" si="256"/>
        <v>2.0798280035015639E-2</v>
      </c>
      <c r="AO113" s="26">
        <f t="shared" si="257"/>
        <v>0</v>
      </c>
      <c r="AP113" s="26">
        <f t="shared" si="258"/>
        <v>0</v>
      </c>
      <c r="AQ113" s="26">
        <f t="shared" si="259"/>
        <v>0</v>
      </c>
      <c r="AR113" s="26">
        <f t="shared" si="260"/>
        <v>0</v>
      </c>
      <c r="AS113" s="26">
        <f t="shared" si="261"/>
        <v>4.0118967229630762</v>
      </c>
      <c r="AT113" s="26">
        <f t="shared" si="262"/>
        <v>2.0051701986679529</v>
      </c>
      <c r="AU113" s="26">
        <f t="shared" si="263"/>
        <v>0.88482613813823541</v>
      </c>
      <c r="AV113" s="47"/>
      <c r="AW113" s="26">
        <f t="shared" si="264"/>
        <v>1.9787961138724919</v>
      </c>
      <c r="AX113" s="26">
        <f t="shared" si="265"/>
        <v>3.5660061913798469E-3</v>
      </c>
      <c r="AY113" s="26">
        <f t="shared" si="266"/>
        <v>2.0428030847753933E-2</v>
      </c>
      <c r="AZ113" s="26">
        <f t="shared" si="267"/>
        <v>0</v>
      </c>
      <c r="BA113" s="26">
        <f t="shared" si="268"/>
        <v>0.32344488112008823</v>
      </c>
      <c r="BB113" s="26">
        <f t="shared" si="269"/>
        <v>3.5584334646449722E-2</v>
      </c>
      <c r="BC113" s="26">
        <f t="shared" si="270"/>
        <v>1.3523871879659963E-2</v>
      </c>
      <c r="BD113" s="26">
        <f t="shared" si="271"/>
        <v>0.74245445242089392</v>
      </c>
      <c r="BE113" s="26">
        <f t="shared" si="272"/>
        <v>0.86146570339933648</v>
      </c>
      <c r="BF113" s="26">
        <f t="shared" si="273"/>
        <v>2.0736605621945927E-2</v>
      </c>
      <c r="BG113" s="26">
        <f t="shared" si="274"/>
        <v>0</v>
      </c>
      <c r="BH113" s="26">
        <f t="shared" si="275"/>
        <v>0</v>
      </c>
      <c r="BI113" s="26">
        <f t="shared" si="276"/>
        <v>0</v>
      </c>
      <c r="BJ113" s="26">
        <f t="shared" si="277"/>
        <v>0</v>
      </c>
      <c r="BK113" s="25">
        <f t="shared" si="278"/>
        <v>3.9999999999999996</v>
      </c>
      <c r="BL113" s="24">
        <f t="shared" si="279"/>
        <v>6.0000000000000009</v>
      </c>
      <c r="BM113" s="26">
        <f t="shared" si="280"/>
        <v>1.9992241447202459</v>
      </c>
      <c r="BN113" s="26">
        <f t="shared" si="281"/>
        <v>0.88220230902128238</v>
      </c>
      <c r="BO113" s="22"/>
      <c r="BP113" s="23">
        <f t="shared" si="282"/>
        <v>0.67404944246032672</v>
      </c>
      <c r="BQ113" s="26">
        <f t="shared" si="283"/>
        <v>2.120388612750812E-2</v>
      </c>
      <c r="BR113" s="26">
        <f t="shared" si="284"/>
        <v>0</v>
      </c>
      <c r="BS113" s="26"/>
      <c r="BT113" s="26">
        <f t="shared" si="285"/>
        <v>0</v>
      </c>
      <c r="BU113" s="26">
        <f t="shared" si="286"/>
        <v>0</v>
      </c>
      <c r="BV113" s="26">
        <f t="shared" si="287"/>
        <v>0</v>
      </c>
      <c r="BW113" s="26">
        <f t="shared" si="288"/>
        <v>0</v>
      </c>
      <c r="BX113" s="26">
        <f t="shared" si="289"/>
        <v>0.8640278581032198</v>
      </c>
      <c r="BY113" s="26">
        <f t="shared" si="290"/>
        <v>0.1203659107982033</v>
      </c>
      <c r="BZ113" s="26">
        <f t="shared" si="291"/>
        <v>0.98439376890142305</v>
      </c>
      <c r="CA113" s="22"/>
      <c r="CB113" s="22">
        <f t="shared" si="292"/>
        <v>2.0736605621945927E-2</v>
      </c>
      <c r="CC113" s="22">
        <f t="shared" si="293"/>
        <v>0</v>
      </c>
      <c r="CD113" s="22">
        <f t="shared" si="294"/>
        <v>1.4847729024503795E-2</v>
      </c>
      <c r="CE113" s="22">
        <f t="shared" si="295"/>
        <v>0</v>
      </c>
      <c r="CF113" s="22">
        <f t="shared" si="296"/>
        <v>0</v>
      </c>
      <c r="CG113" s="22">
        <f t="shared" si="297"/>
        <v>0.43367728999838928</v>
      </c>
      <c r="CH113" s="22">
        <f t="shared" si="298"/>
        <v>0.39447329059765868</v>
      </c>
      <c r="CI113" s="22">
        <f t="shared" si="299"/>
        <v>0.17184941940395204</v>
      </c>
      <c r="CJ113" s="22"/>
      <c r="CK113" s="22">
        <f t="shared" si="300"/>
        <v>0.43586003820039515</v>
      </c>
      <c r="CL113" s="22">
        <f t="shared" si="301"/>
        <v>0.37564609330037962</v>
      </c>
      <c r="CM113" s="22">
        <f t="shared" si="302"/>
        <v>0.18849386849922511</v>
      </c>
      <c r="CN113" s="1"/>
      <c r="CO113" s="26">
        <f t="shared" si="303"/>
        <v>0.86834221038615189</v>
      </c>
      <c r="CP113" s="26">
        <f t="shared" si="304"/>
        <v>1.5648472709063597E-3</v>
      </c>
      <c r="CQ113" s="26">
        <f t="shared" si="305"/>
        <v>8.9642997253825043E-3</v>
      </c>
      <c r="CR113" s="26">
        <f t="shared" si="306"/>
        <v>0</v>
      </c>
      <c r="CS113" s="26">
        <f t="shared" si="307"/>
        <v>0.15755045233124568</v>
      </c>
      <c r="CT113" s="26">
        <f t="shared" si="308"/>
        <v>5.9345926134761768E-3</v>
      </c>
      <c r="CU113" s="26">
        <f t="shared" si="309"/>
        <v>0.32580645161290328</v>
      </c>
      <c r="CV113" s="26">
        <f t="shared" si="310"/>
        <v>0.37803138373751782</v>
      </c>
      <c r="CW113" s="26">
        <f t="shared" si="311"/>
        <v>9.0997095837366884E-3</v>
      </c>
      <c r="CX113" s="26">
        <f t="shared" si="312"/>
        <v>0</v>
      </c>
      <c r="CY113" s="26">
        <f t="shared" si="313"/>
        <v>0</v>
      </c>
      <c r="CZ113" s="26">
        <f t="shared" si="314"/>
        <v>0</v>
      </c>
      <c r="DA113" s="26">
        <f t="shared" si="315"/>
        <v>0</v>
      </c>
      <c r="DB113" s="26">
        <f t="shared" si="316"/>
        <v>1.7552939472613203</v>
      </c>
      <c r="DC113" s="26">
        <f t="shared" si="317"/>
        <v>2.6251332999892014</v>
      </c>
      <c r="DD113" s="26">
        <f t="shared" si="318"/>
        <v>2.2788205965393771</v>
      </c>
      <c r="DE113" s="26">
        <f t="shared" si="319"/>
        <v>5.9822078326767754</v>
      </c>
      <c r="DF113" s="1"/>
      <c r="DG113" s="22">
        <v>28.976614788663507</v>
      </c>
      <c r="DH113" s="14">
        <v>1976.8255545566033</v>
      </c>
      <c r="DI113" s="14">
        <v>83814.128133789185</v>
      </c>
      <c r="DJ113" s="14">
        <v>3583.5929207273075</v>
      </c>
      <c r="DK113" s="14">
        <v>241909.90079463331</v>
      </c>
      <c r="DL113" s="14">
        <v>154521.39809899969</v>
      </c>
      <c r="DM113" s="96">
        <v>133.53792853644009</v>
      </c>
      <c r="DN113" s="14">
        <v>1055.2455642211551</v>
      </c>
      <c r="DO113" s="96">
        <v>156.64302787887578</v>
      </c>
      <c r="DP113" s="22">
        <v>53.994073788459879</v>
      </c>
      <c r="DQ113" s="14">
        <v>2813.4822603114371</v>
      </c>
      <c r="DR113" s="22">
        <v>46.009541162975204</v>
      </c>
      <c r="DS113" s="22">
        <v>22.316404331489519</v>
      </c>
      <c r="DT113" s="22">
        <v>1.3332138613977342</v>
      </c>
      <c r="DU113" s="22">
        <v>104.75317726441861</v>
      </c>
      <c r="DV113" s="22">
        <v>0</v>
      </c>
      <c r="DW113" s="22">
        <v>5.1611422239090956</v>
      </c>
      <c r="DX113" s="22">
        <v>6.3079511015663394</v>
      </c>
      <c r="DY113" s="22">
        <v>105.27757909860787</v>
      </c>
      <c r="DZ113" s="22">
        <v>48.694428287537747</v>
      </c>
      <c r="EA113" s="22">
        <v>0</v>
      </c>
      <c r="EB113" s="22">
        <v>0</v>
      </c>
      <c r="EC113" s="22">
        <v>0.64106945060599219</v>
      </c>
      <c r="ED113" s="22">
        <v>16.473414078992441</v>
      </c>
      <c r="EE113" s="22">
        <v>58.354959232301191</v>
      </c>
      <c r="EF113" s="22">
        <v>9.2214736973038338</v>
      </c>
      <c r="EG113" s="22">
        <v>47.211213198594947</v>
      </c>
      <c r="EH113" s="22">
        <v>14.547078217932395</v>
      </c>
      <c r="EI113" s="22">
        <v>0.88851446519651134</v>
      </c>
      <c r="EJ113" s="22">
        <v>17.418437750870993</v>
      </c>
      <c r="EK113" s="22">
        <v>3.0094337267400748</v>
      </c>
      <c r="EL113" s="22">
        <v>20.565801481972798</v>
      </c>
      <c r="EM113" s="22">
        <v>4.222695578754518</v>
      </c>
      <c r="EN113" s="22">
        <v>12.067304303656959</v>
      </c>
      <c r="EO113" s="22">
        <v>1.8432853366309265</v>
      </c>
      <c r="EP113" s="22">
        <v>11.372260243719357</v>
      </c>
      <c r="EQ113" s="22">
        <v>1.6352545136872285</v>
      </c>
      <c r="ER113" s="22">
        <v>2.9097931973823878</v>
      </c>
      <c r="ES113" s="22">
        <v>0</v>
      </c>
      <c r="ET113" s="22">
        <v>0.60542664674060365</v>
      </c>
      <c r="EU113" s="22">
        <v>0.1581328834886655</v>
      </c>
      <c r="EV113" s="22">
        <v>4.436309913758283E-2</v>
      </c>
      <c r="EW113" s="22">
        <f>(EI113/0.05883)/SQRT((EH113/0.1536)*(EJ113/0.2069))</f>
        <v>0.1691410491047281</v>
      </c>
      <c r="EX113" s="22"/>
      <c r="EY113" s="22"/>
      <c r="EZ113" s="22"/>
      <c r="FA113" s="22"/>
      <c r="FB113" s="22"/>
      <c r="FC113" s="22"/>
      <c r="FD113" s="22"/>
      <c r="FE113" s="22"/>
      <c r="FF113" s="22"/>
      <c r="FG113" s="22"/>
      <c r="FH113" s="22"/>
      <c r="FI113" s="22">
        <f>-0.50354-2.23025*BP113+ N("eqn 18 Mg# R2 0.28 best")</f>
        <v>-2.0068387690471434</v>
      </c>
      <c r="FJ113" s="22"/>
      <c r="FK113" s="22">
        <f xml:space="preserve"> -0.03692  +  0.931085 + FX113   + N("488 NN Dy")</f>
        <v>0.87197264592117563</v>
      </c>
      <c r="FL113" s="22">
        <f>-0.48986  +   0    +   (1.071278 + 0) * GD113  +N("eqn 119 LnD Hf  (which has R2 of 0.51 for TS")</f>
        <v>-0.46070619479074842</v>
      </c>
      <c r="FM113" s="22"/>
      <c r="FN113" s="22"/>
      <c r="FO113" s="22">
        <f>3.94011-11.9214*BP113</f>
        <v>-4.0955030233465388</v>
      </c>
      <c r="FP113" s="22">
        <f xml:space="preserve">  -0.49862 +   1.013256 * FQ113 + N("294 NN")</f>
        <v>-1.9136756246848576</v>
      </c>
      <c r="FQ113" s="46">
        <f t="shared" si="422"/>
        <v>-1.3965430500138738</v>
      </c>
      <c r="FR113" s="46">
        <f t="shared" si="423"/>
        <v>-0.992978998143069</v>
      </c>
      <c r="FS113" s="46">
        <f t="shared" si="424"/>
        <v>-0.64729043255312468</v>
      </c>
      <c r="FT113" s="46">
        <f xml:space="preserve"> 0.68509  -3.34181 * BP113 + 0.03095*(100*CK113) +N("642 cpx Mg# Wo R2 0.59")</f>
        <v>-0.21846834907812163</v>
      </c>
      <c r="FU113" s="46">
        <f t="shared" si="425"/>
        <v>-0.26829212818303877</v>
      </c>
      <c r="FV113" s="46">
        <f t="shared" si="426"/>
        <v>-5.6903162020906367E-2</v>
      </c>
      <c r="FW113" s="46">
        <f t="shared" si="427"/>
        <v>4.5782931670690363E-4</v>
      </c>
      <c r="FX113" s="46">
        <f t="shared" si="428"/>
        <v>-2.2192354078824431E-2</v>
      </c>
      <c r="FY113" s="46">
        <f t="shared" si="429"/>
        <v>-8.3033028311940399E-2</v>
      </c>
      <c r="FZ113" s="46">
        <f t="shared" si="430"/>
        <v>-0.13722851868434763</v>
      </c>
      <c r="GA113" s="46">
        <f t="shared" si="431"/>
        <v>-0.11318960626590641</v>
      </c>
      <c r="GB113" s="46">
        <f t="shared" si="432"/>
        <v>-0.14859912047193494</v>
      </c>
      <c r="GC113" s="46">
        <f t="shared" si="433"/>
        <v>-0.13218304892176572</v>
      </c>
      <c r="GD113" s="46">
        <f>(-1.72947 +0 ) * (3.46258+0) * BQ113   - (1.87473 + 0) *BP113   + (0.03253+0) * (CK113*100)    +N("eqn625 aliv mg# wo")</f>
        <v>2.7214042675432148E-2</v>
      </c>
      <c r="GE113" s="46"/>
      <c r="GF113" s="46"/>
      <c r="GG113" s="46"/>
      <c r="GH113" s="46"/>
    </row>
    <row r="114" spans="1:190" x14ac:dyDescent="0.25">
      <c r="A114" s="5" t="s">
        <v>250</v>
      </c>
      <c r="B114" s="1">
        <v>271</v>
      </c>
      <c r="C114" s="98" t="s">
        <v>251</v>
      </c>
      <c r="D114" s="98" t="s">
        <v>104</v>
      </c>
      <c r="E114" s="1">
        <v>103</v>
      </c>
      <c r="F114" s="22">
        <v>51.63</v>
      </c>
      <c r="G114" s="22">
        <v>0.41799999999999998</v>
      </c>
      <c r="H114" s="22">
        <v>1.758</v>
      </c>
      <c r="I114" s="22">
        <v>6.5000000000000002E-2</v>
      </c>
      <c r="J114" s="22">
        <v>10.81</v>
      </c>
      <c r="K114" s="22">
        <v>0.36699999999999999</v>
      </c>
      <c r="L114" s="22">
        <v>13.63</v>
      </c>
      <c r="M114" s="22">
        <v>20.45</v>
      </c>
      <c r="N114" s="22">
        <v>0.33200000000000002</v>
      </c>
      <c r="O114" s="22">
        <v>0</v>
      </c>
      <c r="P114" s="22">
        <v>0</v>
      </c>
      <c r="Q114" s="22"/>
      <c r="R114" s="22"/>
      <c r="S114" s="22">
        <f t="shared" si="244"/>
        <v>99.46</v>
      </c>
      <c r="T114" s="3"/>
      <c r="U114" s="22">
        <f t="shared" si="245"/>
        <v>9.7081104462941124</v>
      </c>
      <c r="V114" s="22">
        <f t="shared" si="246"/>
        <v>1.2245298610333526</v>
      </c>
      <c r="W114" s="22">
        <f t="shared" si="247"/>
        <v>99.582640307327466</v>
      </c>
      <c r="X114" s="1"/>
      <c r="Y114" s="1"/>
      <c r="Z114" s="1"/>
      <c r="AA114" s="1" t="s">
        <v>185</v>
      </c>
      <c r="AC114" s="1">
        <v>6</v>
      </c>
      <c r="AD114" s="1">
        <v>4</v>
      </c>
      <c r="AE114" s="1"/>
      <c r="AF114" s="26">
        <f t="shared" si="248"/>
        <v>1.9486220507923788</v>
      </c>
      <c r="AG114" s="26">
        <f t="shared" si="249"/>
        <v>1.1865707469603437E-2</v>
      </c>
      <c r="AH114" s="26">
        <f t="shared" si="250"/>
        <v>7.819418389410801E-2</v>
      </c>
      <c r="AI114" s="26">
        <f t="shared" si="251"/>
        <v>1.9394730490540004E-3</v>
      </c>
      <c r="AJ114" s="26">
        <f t="shared" si="252"/>
        <v>0.34115703648894674</v>
      </c>
      <c r="AK114" s="26">
        <f t="shared" si="253"/>
        <v>1.1730871885487014E-2</v>
      </c>
      <c r="AL114" s="26">
        <f t="shared" si="254"/>
        <v>0.76691321510431965</v>
      </c>
      <c r="AM114" s="26">
        <f t="shared" si="255"/>
        <v>0.82687663275553103</v>
      </c>
      <c r="AN114" s="26">
        <f t="shared" si="256"/>
        <v>2.4292483654016987E-2</v>
      </c>
      <c r="AO114" s="26">
        <f t="shared" si="257"/>
        <v>0</v>
      </c>
      <c r="AP114" s="26">
        <f t="shared" si="258"/>
        <v>0</v>
      </c>
      <c r="AQ114" s="26">
        <f t="shared" si="259"/>
        <v>0</v>
      </c>
      <c r="AR114" s="26">
        <f t="shared" si="260"/>
        <v>0</v>
      </c>
      <c r="AS114" s="26">
        <f t="shared" si="261"/>
        <v>4.0115916550934454</v>
      </c>
      <c r="AT114" s="26">
        <f t="shared" si="262"/>
        <v>2.0268162346864869</v>
      </c>
      <c r="AU114" s="26">
        <f t="shared" si="263"/>
        <v>0.85116911640954807</v>
      </c>
      <c r="AV114" s="47"/>
      <c r="AW114" s="26">
        <f t="shared" si="264"/>
        <v>1.9429914291682691</v>
      </c>
      <c r="AX114" s="26">
        <f t="shared" si="265"/>
        <v>1.1831421031637417E-2</v>
      </c>
      <c r="AY114" s="26">
        <f t="shared" si="266"/>
        <v>7.7968238661406383E-2</v>
      </c>
      <c r="AZ114" s="26">
        <f t="shared" si="267"/>
        <v>1.9338688638376106E-3</v>
      </c>
      <c r="BA114" s="26">
        <f t="shared" si="268"/>
        <v>0.30549676791714658</v>
      </c>
      <c r="BB114" s="26">
        <f t="shared" si="269"/>
        <v>3.4674481622457787E-2</v>
      </c>
      <c r="BC114" s="26">
        <f t="shared" si="270"/>
        <v>1.1696975060352952E-2</v>
      </c>
      <c r="BD114" s="26">
        <f t="shared" si="271"/>
        <v>0.76469718858905666</v>
      </c>
      <c r="BE114" s="26">
        <f t="shared" si="272"/>
        <v>0.82448733953832076</v>
      </c>
      <c r="BF114" s="26">
        <f t="shared" si="273"/>
        <v>2.4222289547514896E-2</v>
      </c>
      <c r="BG114" s="26">
        <f t="shared" si="274"/>
        <v>0</v>
      </c>
      <c r="BH114" s="26">
        <f t="shared" si="275"/>
        <v>0</v>
      </c>
      <c r="BI114" s="26">
        <f t="shared" si="276"/>
        <v>0</v>
      </c>
      <c r="BJ114" s="26">
        <f t="shared" si="277"/>
        <v>0</v>
      </c>
      <c r="BK114" s="25">
        <f t="shared" si="278"/>
        <v>4</v>
      </c>
      <c r="BL114" s="24">
        <f t="shared" si="279"/>
        <v>6</v>
      </c>
      <c r="BM114" s="26">
        <f t="shared" si="280"/>
        <v>2.0209596678296755</v>
      </c>
      <c r="BN114" s="26">
        <f t="shared" si="281"/>
        <v>0.84870962908583569</v>
      </c>
      <c r="BO114" s="22"/>
      <c r="BP114" s="23">
        <f t="shared" si="282"/>
        <v>0.69211605852751157</v>
      </c>
      <c r="BQ114" s="26">
        <f t="shared" si="283"/>
        <v>5.7008570831730943E-2</v>
      </c>
      <c r="BR114" s="26">
        <f t="shared" si="284"/>
        <v>2.0959667829675441E-2</v>
      </c>
      <c r="BS114" s="26"/>
      <c r="BT114" s="26">
        <f t="shared" si="285"/>
        <v>2.0959667829675441E-2</v>
      </c>
      <c r="BU114" s="26">
        <f t="shared" si="286"/>
        <v>0</v>
      </c>
      <c r="BV114" s="26">
        <f t="shared" si="287"/>
        <v>2.0959667829675441E-2</v>
      </c>
      <c r="BW114" s="26">
        <f t="shared" si="288"/>
        <v>9.6973652452700019E-4</v>
      </c>
      <c r="BX114" s="26">
        <f t="shared" si="289"/>
        <v>0.8049472284013286</v>
      </c>
      <c r="BY114" s="26">
        <f t="shared" si="290"/>
        <v>0.15156151159596887</v>
      </c>
      <c r="BZ114" s="26">
        <f t="shared" si="291"/>
        <v>0.99939781218117529</v>
      </c>
      <c r="CA114" s="22"/>
      <c r="CB114" s="22">
        <f t="shared" si="292"/>
        <v>2.4222289547514896E-2</v>
      </c>
      <c r="CC114" s="22">
        <f t="shared" si="293"/>
        <v>0</v>
      </c>
      <c r="CD114" s="22">
        <f t="shared" si="294"/>
        <v>1.0452192074942891E-2</v>
      </c>
      <c r="CE114" s="22">
        <f t="shared" si="295"/>
        <v>1.9338688638376106E-3</v>
      </c>
      <c r="CF114" s="22">
        <f t="shared" si="296"/>
        <v>2.0959667829675441E-2</v>
      </c>
      <c r="CG114" s="22">
        <f t="shared" si="297"/>
        <v>0.40768195015868985</v>
      </c>
      <c r="CH114" s="22">
        <f t="shared" si="298"/>
        <v>0.42323538150308843</v>
      </c>
      <c r="CI114" s="22">
        <f t="shared" si="299"/>
        <v>0.16908266833822164</v>
      </c>
      <c r="CJ114" s="22"/>
      <c r="CK114" s="22">
        <f t="shared" si="300"/>
        <v>0.42476297379339639</v>
      </c>
      <c r="CL114" s="22">
        <f t="shared" si="301"/>
        <v>0.39396002376266992</v>
      </c>
      <c r="CM114" s="22">
        <f t="shared" si="302"/>
        <v>0.18127700244393372</v>
      </c>
      <c r="CN114" s="1"/>
      <c r="CO114" s="26">
        <f t="shared" si="303"/>
        <v>0.85935419440745675</v>
      </c>
      <c r="CP114" s="26">
        <f t="shared" si="304"/>
        <v>5.2328492739108666E-3</v>
      </c>
      <c r="CQ114" s="26">
        <f t="shared" si="305"/>
        <v>3.4484111416241664E-2</v>
      </c>
      <c r="CR114" s="26">
        <f t="shared" si="306"/>
        <v>8.5531942890979668E-4</v>
      </c>
      <c r="CS114" s="26">
        <f t="shared" si="307"/>
        <v>0.15045233124565069</v>
      </c>
      <c r="CT114" s="26">
        <f t="shared" si="308"/>
        <v>5.173385959966169E-3</v>
      </c>
      <c r="CU114" s="26">
        <f t="shared" si="309"/>
        <v>0.33821339950372215</v>
      </c>
      <c r="CV114" s="26">
        <f t="shared" si="310"/>
        <v>0.36465763195435091</v>
      </c>
      <c r="CW114" s="26">
        <f t="shared" si="311"/>
        <v>1.0713133268796388E-2</v>
      </c>
      <c r="CX114" s="26">
        <f t="shared" si="312"/>
        <v>0</v>
      </c>
      <c r="CY114" s="26">
        <f t="shared" si="313"/>
        <v>0</v>
      </c>
      <c r="CZ114" s="26">
        <f t="shared" si="314"/>
        <v>0</v>
      </c>
      <c r="DA114" s="26">
        <f t="shared" si="315"/>
        <v>0</v>
      </c>
      <c r="DB114" s="26">
        <f t="shared" si="316"/>
        <v>1.7691363564590052</v>
      </c>
      <c r="DC114" s="26">
        <f t="shared" si="317"/>
        <v>2.6460365489285502</v>
      </c>
      <c r="DD114" s="26">
        <f t="shared" si="318"/>
        <v>2.2609902201129111</v>
      </c>
      <c r="DE114" s="26">
        <f t="shared" si="319"/>
        <v>5.98266275918877</v>
      </c>
      <c r="DF114" s="1"/>
      <c r="DG114" s="22">
        <v>18.012882862354591</v>
      </c>
      <c r="DH114" s="14">
        <v>1501.7787478687558</v>
      </c>
      <c r="DI114" s="14">
        <v>82928.900138351979</v>
      </c>
      <c r="DJ114" s="14">
        <v>2294.9522773759272</v>
      </c>
      <c r="DK114" s="14">
        <v>236267.60400957352</v>
      </c>
      <c r="DL114" s="14">
        <v>153928.2029036023</v>
      </c>
      <c r="DM114" s="96">
        <v>168.63479676632542</v>
      </c>
      <c r="DN114" s="14">
        <v>393.30700473199647</v>
      </c>
      <c r="DO114" s="96">
        <v>162.42694532561768</v>
      </c>
      <c r="DP114" s="22">
        <v>64.223080885306501</v>
      </c>
      <c r="DQ114" s="14">
        <v>2338.8456448931374</v>
      </c>
      <c r="DR114" s="22">
        <v>43.587548434408447</v>
      </c>
      <c r="DS114" s="22">
        <v>35.585914302735581</v>
      </c>
      <c r="DT114" s="22">
        <v>0.86348904943953009</v>
      </c>
      <c r="DU114" s="22">
        <v>89.535472819003175</v>
      </c>
      <c r="DV114" s="22">
        <v>0.1967930585260215</v>
      </c>
      <c r="DW114" s="22">
        <v>2.2172921273320214</v>
      </c>
      <c r="DX114" s="22">
        <v>2.4643003162208896</v>
      </c>
      <c r="DY114" s="22">
        <v>121.95228741052645</v>
      </c>
      <c r="DZ114" s="22">
        <v>27.209843240990057</v>
      </c>
      <c r="EA114" s="22">
        <v>0</v>
      </c>
      <c r="EB114" s="22">
        <v>0.12706146376258359</v>
      </c>
      <c r="EC114" s="22">
        <v>0</v>
      </c>
      <c r="ED114" s="22">
        <v>10.606916945251365</v>
      </c>
      <c r="EE114" s="22">
        <v>53.389267760897809</v>
      </c>
      <c r="EF114" s="22">
        <v>9.7812289213855088</v>
      </c>
      <c r="EG114" s="22">
        <v>48.804227274472247</v>
      </c>
      <c r="EH114" s="22">
        <v>16.946147057491611</v>
      </c>
      <c r="EI114" s="22">
        <v>0.89752121561145193</v>
      </c>
      <c r="EJ114" s="22">
        <v>19.392458721250485</v>
      </c>
      <c r="EK114" s="22">
        <v>3.3207004502475503</v>
      </c>
      <c r="EL114" s="22">
        <v>23.780150574825743</v>
      </c>
      <c r="EM114" s="22">
        <v>4.8243645392066465</v>
      </c>
      <c r="EN114" s="22">
        <v>14.028305453538882</v>
      </c>
      <c r="EO114" s="22">
        <v>1.8270310994559673</v>
      </c>
      <c r="EP114" s="22">
        <v>11.149112459240552</v>
      </c>
      <c r="EQ114" s="22">
        <v>1.6554537113561627</v>
      </c>
      <c r="ER114" s="22">
        <v>1.9474031593269983</v>
      </c>
      <c r="ES114" s="22">
        <v>0</v>
      </c>
      <c r="ET114" s="22">
        <v>0.45399512295955108</v>
      </c>
      <c r="EU114" s="22">
        <v>8.3008211877481405E-2</v>
      </c>
      <c r="EV114" s="22">
        <v>4.6290487603579206E-2</v>
      </c>
      <c r="EW114" s="22">
        <f>(EI114/0.05883)/SQRT((EH114/0.1536)*(EJ114/0.2069))</f>
        <v>0.15002713117457195</v>
      </c>
      <c r="EX114" s="22"/>
      <c r="EY114" s="22"/>
      <c r="EZ114" s="22"/>
      <c r="FA114" s="22"/>
      <c r="FB114" s="22"/>
      <c r="FC114" s="22"/>
      <c r="FD114" s="22"/>
      <c r="FE114" s="22"/>
      <c r="FF114" s="22"/>
      <c r="FG114" s="22"/>
      <c r="FH114" s="22"/>
      <c r="FI114" s="22">
        <f>-0.50354-2.23025*BP114+ N("eqn 18 Mg# R2 0.28 best")</f>
        <v>-2.0471318395309828</v>
      </c>
      <c r="FJ114" s="22"/>
      <c r="FK114" s="22">
        <f xml:space="preserve"> -0.03692  +  0.931085 + FX114   + N("488 NN Dy")</f>
        <v>0.8941650000000001</v>
      </c>
      <c r="FL114" s="22">
        <f>-0.48986  +   0    +   (1.071278 + 0) * GD114  +N("eqn 119 LnD Hf  (which has R2 of 0.51 for TS")</f>
        <v>-0.48986000000000002</v>
      </c>
      <c r="FM114" s="22"/>
      <c r="FN114" s="22"/>
      <c r="FO114" s="22">
        <f>3.94011-11.9214*BP114</f>
        <v>-4.3108823801298763</v>
      </c>
      <c r="FP114" s="22">
        <f xml:space="preserve">  -0.49862 +   1.013256 * FQ114 + N("294 NN")</f>
        <v>-0.49862000000000001</v>
      </c>
      <c r="FQ114" s="46"/>
      <c r="FR114" s="46"/>
      <c r="FS114" s="46"/>
      <c r="FT114" s="46"/>
      <c r="FU114" s="46"/>
      <c r="FV114" s="46"/>
      <c r="FW114" s="46"/>
      <c r="FX114" s="46"/>
      <c r="FY114" s="46"/>
      <c r="FZ114" s="46"/>
      <c r="GA114" s="46"/>
      <c r="GB114" s="46"/>
      <c r="GC114" s="46"/>
      <c r="GD114" s="46"/>
      <c r="GE114" s="46"/>
      <c r="GF114" s="46"/>
      <c r="GG114" s="46"/>
      <c r="GH114" s="46"/>
    </row>
    <row r="115" spans="1:190" x14ac:dyDescent="0.25">
      <c r="A115" s="5" t="s">
        <v>250</v>
      </c>
      <c r="B115" s="1">
        <v>288</v>
      </c>
      <c r="C115" s="98" t="s">
        <v>251</v>
      </c>
      <c r="D115" s="98" t="s">
        <v>104</v>
      </c>
      <c r="E115" s="1">
        <v>120</v>
      </c>
      <c r="F115" s="22">
        <v>50.63</v>
      </c>
      <c r="G115" s="22">
        <v>0.52100000000000002</v>
      </c>
      <c r="H115" s="22">
        <v>1.758</v>
      </c>
      <c r="I115" s="22">
        <v>3.5000000000000003E-2</v>
      </c>
      <c r="J115" s="22">
        <v>11.72</v>
      </c>
      <c r="K115" s="22">
        <v>0.40899999999999997</v>
      </c>
      <c r="L115" s="22">
        <v>13.3</v>
      </c>
      <c r="M115" s="22">
        <v>19.84</v>
      </c>
      <c r="N115" s="22">
        <v>0.32900000000000001</v>
      </c>
      <c r="O115" s="22">
        <v>0</v>
      </c>
      <c r="P115" s="22">
        <v>0</v>
      </c>
      <c r="Q115" s="22"/>
      <c r="R115" s="22"/>
      <c r="S115" s="22">
        <f t="shared" si="244"/>
        <v>98.542000000000002</v>
      </c>
      <c r="T115" s="3"/>
      <c r="U115" s="22">
        <f t="shared" si="245"/>
        <v>9.946108187166411</v>
      </c>
      <c r="V115" s="22">
        <f t="shared" si="246"/>
        <v>1.9713259716019671</v>
      </c>
      <c r="W115" s="22">
        <f t="shared" si="247"/>
        <v>98.739434158768375</v>
      </c>
      <c r="X115" s="1"/>
      <c r="Y115" s="1"/>
      <c r="Z115" s="1"/>
      <c r="AA115" s="1" t="s">
        <v>252</v>
      </c>
      <c r="AB115" s="1" t="s">
        <v>253</v>
      </c>
      <c r="AC115" s="1">
        <v>6</v>
      </c>
      <c r="AD115" s="1">
        <v>4</v>
      </c>
      <c r="AE115" s="1"/>
      <c r="AF115" s="26">
        <f t="shared" si="248"/>
        <v>1.9380973719581525</v>
      </c>
      <c r="AG115" s="26">
        <f t="shared" si="249"/>
        <v>1.5000207141117329E-2</v>
      </c>
      <c r="AH115" s="26">
        <f t="shared" si="250"/>
        <v>7.9307932606451026E-2</v>
      </c>
      <c r="AI115" s="26">
        <f t="shared" si="251"/>
        <v>1.0592064440327945E-3</v>
      </c>
      <c r="AJ115" s="26">
        <f t="shared" si="252"/>
        <v>0.37514436597326595</v>
      </c>
      <c r="AK115" s="26">
        <f t="shared" si="253"/>
        <v>1.3259578327414449E-2</v>
      </c>
      <c r="AL115" s="26">
        <f t="shared" si="254"/>
        <v>0.75900420872018481</v>
      </c>
      <c r="AM115" s="26">
        <f t="shared" si="255"/>
        <v>0.8136380534395562</v>
      </c>
      <c r="AN115" s="26">
        <f t="shared" si="256"/>
        <v>2.4415853530627911E-2</v>
      </c>
      <c r="AO115" s="26">
        <f t="shared" si="257"/>
        <v>0</v>
      </c>
      <c r="AP115" s="26">
        <f t="shared" si="258"/>
        <v>0</v>
      </c>
      <c r="AQ115" s="26">
        <f t="shared" si="259"/>
        <v>0</v>
      </c>
      <c r="AR115" s="26">
        <f t="shared" si="260"/>
        <v>0</v>
      </c>
      <c r="AS115" s="26">
        <f t="shared" si="261"/>
        <v>4.0189267781408029</v>
      </c>
      <c r="AT115" s="26">
        <f t="shared" si="262"/>
        <v>2.0174053045646034</v>
      </c>
      <c r="AU115" s="26">
        <f t="shared" si="263"/>
        <v>0.83805390697018411</v>
      </c>
      <c r="AV115" s="47"/>
      <c r="AW115" s="26">
        <f t="shared" si="264"/>
        <v>1.9289700747966716</v>
      </c>
      <c r="AX115" s="26">
        <f t="shared" si="265"/>
        <v>1.4929564999993938E-2</v>
      </c>
      <c r="AY115" s="26">
        <f t="shared" si="266"/>
        <v>7.893443895301791E-2</v>
      </c>
      <c r="AZ115" s="26">
        <f t="shared" si="267"/>
        <v>1.0542182055108698E-3</v>
      </c>
      <c r="BA115" s="26">
        <f t="shared" si="268"/>
        <v>0.31686472446570552</v>
      </c>
      <c r="BB115" s="26">
        <f t="shared" si="269"/>
        <v>5.65129324885838E-2</v>
      </c>
      <c r="BC115" s="26">
        <f t="shared" si="270"/>
        <v>1.3197133522844096E-2</v>
      </c>
      <c r="BD115" s="26">
        <f t="shared" si="271"/>
        <v>0.7554297459196887</v>
      </c>
      <c r="BE115" s="26">
        <f t="shared" si="272"/>
        <v>0.80980629740754184</v>
      </c>
      <c r="BF115" s="26">
        <f t="shared" si="273"/>
        <v>2.4300869240442283E-2</v>
      </c>
      <c r="BG115" s="26">
        <f t="shared" si="274"/>
        <v>0</v>
      </c>
      <c r="BH115" s="26">
        <f t="shared" si="275"/>
        <v>0</v>
      </c>
      <c r="BI115" s="26">
        <f t="shared" si="276"/>
        <v>0</v>
      </c>
      <c r="BJ115" s="26">
        <f t="shared" si="277"/>
        <v>0</v>
      </c>
      <c r="BK115" s="25">
        <f t="shared" si="278"/>
        <v>4</v>
      </c>
      <c r="BL115" s="24">
        <f t="shared" si="279"/>
        <v>6.0000000000000018</v>
      </c>
      <c r="BM115" s="26">
        <f t="shared" si="280"/>
        <v>2.0079045137496894</v>
      </c>
      <c r="BN115" s="26">
        <f t="shared" si="281"/>
        <v>0.83410716664798412</v>
      </c>
      <c r="BO115" s="22"/>
      <c r="BP115" s="23">
        <f t="shared" si="282"/>
        <v>0.6692281995992776</v>
      </c>
      <c r="BQ115" s="26">
        <f t="shared" si="283"/>
        <v>7.1029925203328403E-2</v>
      </c>
      <c r="BR115" s="26">
        <f t="shared" si="284"/>
        <v>7.9045137496895068E-3</v>
      </c>
      <c r="BS115" s="26"/>
      <c r="BT115" s="26">
        <f t="shared" si="285"/>
        <v>7.9045137496895068E-3</v>
      </c>
      <c r="BU115" s="26">
        <f t="shared" si="286"/>
        <v>0</v>
      </c>
      <c r="BV115" s="26">
        <f t="shared" si="287"/>
        <v>7.9045137496895068E-3</v>
      </c>
      <c r="BW115" s="26">
        <f t="shared" si="288"/>
        <v>5.2960322201639726E-4</v>
      </c>
      <c r="BX115" s="26">
        <f t="shared" si="289"/>
        <v>0.80520393646785027</v>
      </c>
      <c r="BY115" s="26">
        <f t="shared" si="290"/>
        <v>0.16447231911280025</v>
      </c>
      <c r="BZ115" s="26">
        <f t="shared" si="291"/>
        <v>0.98601488630204592</v>
      </c>
      <c r="CA115" s="22"/>
      <c r="CB115" s="22">
        <f t="shared" si="292"/>
        <v>2.4300869240442283E-2</v>
      </c>
      <c r="CC115" s="22">
        <f t="shared" si="293"/>
        <v>0</v>
      </c>
      <c r="CD115" s="22">
        <f t="shared" si="294"/>
        <v>3.221206324814152E-2</v>
      </c>
      <c r="CE115" s="22">
        <f t="shared" si="295"/>
        <v>1.0542182055108698E-3</v>
      </c>
      <c r="CF115" s="22">
        <f t="shared" si="296"/>
        <v>7.9045137496895068E-3</v>
      </c>
      <c r="CG115" s="22">
        <f t="shared" si="297"/>
        <v>0.39646818572232112</v>
      </c>
      <c r="CH115" s="22">
        <f t="shared" si="298"/>
        <v>0.42518720156261841</v>
      </c>
      <c r="CI115" s="22">
        <f t="shared" si="299"/>
        <v>0.17834461271506052</v>
      </c>
      <c r="CJ115" s="22"/>
      <c r="CK115" s="22">
        <f t="shared" si="300"/>
        <v>0.4148999910145551</v>
      </c>
      <c r="CL115" s="22">
        <f t="shared" si="301"/>
        <v>0.38704045127531445</v>
      </c>
      <c r="CM115" s="22">
        <f t="shared" si="302"/>
        <v>0.19805955771013053</v>
      </c>
      <c r="CN115" s="1"/>
      <c r="CO115" s="26">
        <f t="shared" si="303"/>
        <v>0.84270972037283631</v>
      </c>
      <c r="CP115" s="26">
        <f t="shared" si="304"/>
        <v>6.5222834251377074E-3</v>
      </c>
      <c r="CQ115" s="26">
        <f t="shared" si="305"/>
        <v>3.4484111416241664E-2</v>
      </c>
      <c r="CR115" s="26">
        <f t="shared" si="306"/>
        <v>4.605566155668136E-4</v>
      </c>
      <c r="CS115" s="26">
        <f t="shared" si="307"/>
        <v>0.16311760612386919</v>
      </c>
      <c r="CT115" s="26">
        <f t="shared" si="308"/>
        <v>5.7654355793628417E-3</v>
      </c>
      <c r="CU115" s="26">
        <f t="shared" si="309"/>
        <v>0.3300248138957817</v>
      </c>
      <c r="CV115" s="26">
        <f t="shared" si="310"/>
        <v>0.35378031383737518</v>
      </c>
      <c r="CW115" s="26">
        <f t="shared" si="311"/>
        <v>1.0616327847692805E-2</v>
      </c>
      <c r="CX115" s="26">
        <f t="shared" si="312"/>
        <v>0</v>
      </c>
      <c r="CY115" s="26">
        <f t="shared" si="313"/>
        <v>0</v>
      </c>
      <c r="CZ115" s="26">
        <f t="shared" si="314"/>
        <v>0</v>
      </c>
      <c r="DA115" s="26">
        <f t="shared" si="315"/>
        <v>0</v>
      </c>
      <c r="DB115" s="26">
        <f t="shared" si="316"/>
        <v>1.7474811691138641</v>
      </c>
      <c r="DC115" s="26">
        <f t="shared" si="317"/>
        <v>2.6088773430038961</v>
      </c>
      <c r="DD115" s="26">
        <f t="shared" si="318"/>
        <v>2.2890089293656728</v>
      </c>
      <c r="DE115" s="26">
        <f t="shared" si="319"/>
        <v>5.971743533755709</v>
      </c>
      <c r="DF115" s="1"/>
      <c r="DG115" s="22"/>
      <c r="DH115" s="14"/>
      <c r="DI115" s="14"/>
      <c r="DJ115" s="14"/>
      <c r="DK115" s="14"/>
      <c r="DL115" s="14"/>
      <c r="DM115" s="96"/>
      <c r="DN115" s="14"/>
      <c r="DO115" s="96"/>
      <c r="DP115" s="22"/>
      <c r="DQ115" s="14"/>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46">
        <f t="shared" ref="FQ115" si="434" xml:space="preserve">  -0.73306   +   1.025016   *  FS115     +N("316 NN Nd")</f>
        <v>-1.4474060268597562</v>
      </c>
      <c r="FR115" s="46">
        <f t="shared" ref="FR115" si="435" xml:space="preserve">  -0.33671   +   1.013871 *  FS115    +N("340 NN")</f>
        <v>-1.0432889417904969</v>
      </c>
      <c r="FS115" s="46">
        <f t="shared" ref="FS115" si="436">-0.42496     +   1.017678*FT115                 + N("361 NN")</f>
        <v>-0.69691207440640568</v>
      </c>
      <c r="FT115" s="46">
        <f xml:space="preserve"> 0.68509  -3.34181 * BP115 + 0.03095*(100*CK115) +N("642 cpx Mg# Wo R2 0.59")</f>
        <v>-0.26722801751281411</v>
      </c>
      <c r="FU115" s="46">
        <f t="shared" ref="FU115" si="437" xml:space="preserve"> -0.06599 + 0.926002 * FT115  + N("409 NN")</f>
        <v>-0.31344367867290091</v>
      </c>
      <c r="FV115" s="46">
        <f t="shared" ref="FV115" si="438">0.1453     +   0.925549*FT115     +N("424 LnD Sm")</f>
        <v>-0.10203262438096755</v>
      </c>
      <c r="FW115" s="46">
        <f t="shared" ref="FW115" si="439" xml:space="preserve">  0.053547 + 0.932974 * FV115  +  N("445 NN")</f>
        <v>-4.1646785699208821E-2</v>
      </c>
      <c r="FX115" s="46">
        <f t="shared" ref="FX115" si="440" xml:space="preserve">  0.027177  +  0.867603 * FV115 + N("464 NN Gd")</f>
        <v>-6.1346811010800591E-2</v>
      </c>
      <c r="FY115" s="46">
        <f t="shared" ref="FY115" si="441" xml:space="preserve">  -0.06187  +  0.953618 * FX115   + N("505 NN Dy")</f>
        <v>-0.12037142322249764</v>
      </c>
      <c r="FZ115" s="46">
        <f t="shared" ref="FZ115" si="442" xml:space="preserve"> -0.05652 + 0.972005*FY115   +N("533 NN")</f>
        <v>-0.1735216252293838</v>
      </c>
      <c r="GA115" s="46">
        <f t="shared" ref="GA115" si="443" xml:space="preserve">     0.018586 + 0.960264 * FZ115    +N("549 LnD Er")</f>
        <v>-0.14804056992926901</v>
      </c>
      <c r="GB115" s="46">
        <f t="shared" ref="GB115" si="444" xml:space="preserve"> -0.02011 + 0.936315 * FZ115    +N("574 NN Er")</f>
        <v>-0.18258090052665049</v>
      </c>
      <c r="GC115" s="46">
        <f t="shared" ref="GC115" si="445" xml:space="preserve">   0.01732 + 1.006083 * GB115  +N("597 NN Yb")</f>
        <v>-0.1663715401445541</v>
      </c>
      <c r="GD115" s="46">
        <f>(-1.72947 +0 ) * (3.46258+0) * BQ115   - (1.87473 + 0) *BP115   + (0.03253+0) * (CK115*100)    +N("eqn625 aliv mg# wo")</f>
        <v>-0.33031012131148385</v>
      </c>
      <c r="GE115" s="46"/>
      <c r="GF115" s="46"/>
      <c r="GG115" s="46"/>
      <c r="GH115" s="46"/>
    </row>
    <row r="116" spans="1:190" x14ac:dyDescent="0.25">
      <c r="A116" s="5" t="s">
        <v>250</v>
      </c>
      <c r="B116" s="1">
        <v>289</v>
      </c>
      <c r="C116" s="98" t="s">
        <v>251</v>
      </c>
      <c r="D116" s="98" t="s">
        <v>104</v>
      </c>
      <c r="E116" s="1">
        <v>121</v>
      </c>
      <c r="F116" s="22">
        <v>50.61</v>
      </c>
      <c r="G116" s="22">
        <v>0.65500000000000003</v>
      </c>
      <c r="H116" s="22">
        <v>1.7629999999999999</v>
      </c>
      <c r="I116" s="22">
        <v>2.1000000000000001E-2</v>
      </c>
      <c r="J116" s="22">
        <v>12.06</v>
      </c>
      <c r="K116" s="22">
        <v>0.40100000000000002</v>
      </c>
      <c r="L116" s="22">
        <v>12.95</v>
      </c>
      <c r="M116" s="22">
        <v>19.78</v>
      </c>
      <c r="N116" s="22">
        <v>0.36099999999999999</v>
      </c>
      <c r="O116" s="22">
        <v>1.2E-2</v>
      </c>
      <c r="P116" s="22">
        <v>0</v>
      </c>
      <c r="Q116" s="22"/>
      <c r="R116" s="22"/>
      <c r="S116" s="22">
        <f t="shared" si="244"/>
        <v>98.613</v>
      </c>
      <c r="T116" s="3"/>
      <c r="U116" s="22">
        <f t="shared" si="245"/>
        <v>10.566707199211825</v>
      </c>
      <c r="V116" s="22">
        <f t="shared" si="246"/>
        <v>1.6594962895158993</v>
      </c>
      <c r="W116" s="22">
        <f t="shared" si="247"/>
        <v>98.779203488727717</v>
      </c>
      <c r="X116" s="1"/>
      <c r="Y116" s="1"/>
      <c r="Z116" s="1"/>
      <c r="AA116" s="1" t="s">
        <v>252</v>
      </c>
      <c r="AB116" s="1" t="s">
        <v>253</v>
      </c>
      <c r="AC116" s="1">
        <v>6</v>
      </c>
      <c r="AD116" s="1">
        <v>4</v>
      </c>
      <c r="AE116" s="1"/>
      <c r="AF116" s="26">
        <f t="shared" si="248"/>
        <v>1.9387673329252555</v>
      </c>
      <c r="AG116" s="26">
        <f t="shared" si="249"/>
        <v>1.8872199722278497E-2</v>
      </c>
      <c r="AH116" s="26">
        <f t="shared" si="250"/>
        <v>7.9592429489095076E-2</v>
      </c>
      <c r="AI116" s="26">
        <f t="shared" si="251"/>
        <v>6.359947865217675E-4</v>
      </c>
      <c r="AJ116" s="26">
        <f t="shared" si="252"/>
        <v>0.38631343808116386</v>
      </c>
      <c r="AK116" s="26">
        <f t="shared" si="253"/>
        <v>1.3009855373750059E-2</v>
      </c>
      <c r="AL116" s="26">
        <f t="shared" si="254"/>
        <v>0.73957803170541925</v>
      </c>
      <c r="AM116" s="26">
        <f t="shared" si="255"/>
        <v>0.81177853304637571</v>
      </c>
      <c r="AN116" s="26">
        <f t="shared" si="256"/>
        <v>2.6810499535059762E-2</v>
      </c>
      <c r="AO116" s="26">
        <f t="shared" si="257"/>
        <v>5.8638063453711519E-4</v>
      </c>
      <c r="AP116" s="26">
        <f t="shared" si="258"/>
        <v>0</v>
      </c>
      <c r="AQ116" s="26">
        <f t="shared" si="259"/>
        <v>0</v>
      </c>
      <c r="AR116" s="26">
        <f t="shared" si="260"/>
        <v>0</v>
      </c>
      <c r="AS116" s="26">
        <f t="shared" si="261"/>
        <v>4.0159446952994564</v>
      </c>
      <c r="AT116" s="26">
        <f t="shared" si="262"/>
        <v>2.0183597624143506</v>
      </c>
      <c r="AU116" s="26">
        <f t="shared" si="263"/>
        <v>0.83917541321597255</v>
      </c>
      <c r="AV116" s="47"/>
      <c r="AW116" s="26">
        <f t="shared" si="264"/>
        <v>1.9310697532209791</v>
      </c>
      <c r="AX116" s="26">
        <f t="shared" si="265"/>
        <v>1.8797270534495005E-2</v>
      </c>
      <c r="AY116" s="26">
        <f t="shared" si="266"/>
        <v>7.9276419899164091E-2</v>
      </c>
      <c r="AZ116" s="26">
        <f t="shared" si="267"/>
        <v>6.3346966631904107E-4</v>
      </c>
      <c r="BA116" s="26">
        <f t="shared" si="268"/>
        <v>0.3371354715905075</v>
      </c>
      <c r="BB116" s="26">
        <f t="shared" si="269"/>
        <v>4.7644167963126982E-2</v>
      </c>
      <c r="BC116" s="26">
        <f t="shared" si="270"/>
        <v>1.2958201729199812E-2</v>
      </c>
      <c r="BD116" s="26">
        <f t="shared" si="271"/>
        <v>0.73664165004171822</v>
      </c>
      <c r="BE116" s="26">
        <f t="shared" si="272"/>
        <v>0.80855549031493212</v>
      </c>
      <c r="BF116" s="26">
        <f t="shared" si="273"/>
        <v>2.6704052539807781E-2</v>
      </c>
      <c r="BG116" s="26">
        <f t="shared" si="274"/>
        <v>5.8405249975026423E-4</v>
      </c>
      <c r="BH116" s="26">
        <f t="shared" si="275"/>
        <v>0</v>
      </c>
      <c r="BI116" s="26">
        <f t="shared" si="276"/>
        <v>0</v>
      </c>
      <c r="BJ116" s="26">
        <f t="shared" si="277"/>
        <v>0</v>
      </c>
      <c r="BK116" s="25">
        <f t="shared" si="278"/>
        <v>4</v>
      </c>
      <c r="BL116" s="24">
        <f t="shared" si="279"/>
        <v>6</v>
      </c>
      <c r="BM116" s="26">
        <f t="shared" si="280"/>
        <v>2.0103461731201433</v>
      </c>
      <c r="BN116" s="26">
        <f t="shared" si="281"/>
        <v>0.83584359535449015</v>
      </c>
      <c r="BO116" s="22"/>
      <c r="BP116" s="23">
        <f t="shared" si="282"/>
        <v>0.65688216986456871</v>
      </c>
      <c r="BQ116" s="26">
        <f t="shared" si="283"/>
        <v>6.8930246779020932E-2</v>
      </c>
      <c r="BR116" s="26">
        <f t="shared" si="284"/>
        <v>1.0346173120143159E-2</v>
      </c>
      <c r="BS116" s="26"/>
      <c r="BT116" s="26">
        <f t="shared" si="285"/>
        <v>1.0346173120143159E-2</v>
      </c>
      <c r="BU116" s="26">
        <f t="shared" si="286"/>
        <v>0</v>
      </c>
      <c r="BV116" s="26">
        <f t="shared" si="287"/>
        <v>1.0346173120143159E-2</v>
      </c>
      <c r="BW116" s="26">
        <f t="shared" si="288"/>
        <v>3.1799739326088375E-4</v>
      </c>
      <c r="BX116" s="26">
        <f t="shared" si="289"/>
        <v>0.80111436253297164</v>
      </c>
      <c r="BY116" s="26">
        <f t="shared" si="290"/>
        <v>0.16238855362680576</v>
      </c>
      <c r="BZ116" s="26">
        <f t="shared" si="291"/>
        <v>0.9845132597933246</v>
      </c>
      <c r="CA116" s="22"/>
      <c r="CB116" s="22">
        <f t="shared" si="292"/>
        <v>2.6704052539807781E-2</v>
      </c>
      <c r="CC116" s="22">
        <f t="shared" si="293"/>
        <v>0</v>
      </c>
      <c r="CD116" s="22">
        <f t="shared" si="294"/>
        <v>2.0940115423319201E-2</v>
      </c>
      <c r="CE116" s="22">
        <f t="shared" si="295"/>
        <v>6.3346966631904107E-4</v>
      </c>
      <c r="CF116" s="22">
        <f t="shared" si="296"/>
        <v>1.0346173120143159E-2</v>
      </c>
      <c r="CG116" s="22">
        <f t="shared" si="297"/>
        <v>0.40166989232247924</v>
      </c>
      <c r="CH116" s="22">
        <f t="shared" si="298"/>
        <v>0.41047147393047984</v>
      </c>
      <c r="CI116" s="22">
        <f t="shared" si="299"/>
        <v>0.1878586337470409</v>
      </c>
      <c r="CJ116" s="22"/>
      <c r="CK116" s="22">
        <f t="shared" si="300"/>
        <v>0.41615159434344945</v>
      </c>
      <c r="CL116" s="22">
        <f t="shared" si="301"/>
        <v>0.37913860062374621</v>
      </c>
      <c r="CM116" s="22">
        <f t="shared" si="302"/>
        <v>0.20470980503280442</v>
      </c>
      <c r="CN116" s="1"/>
      <c r="CO116" s="26">
        <f t="shared" si="303"/>
        <v>0.84237683089214377</v>
      </c>
      <c r="CP116" s="26">
        <f t="shared" si="304"/>
        <v>8.1997996995493254E-3</v>
      </c>
      <c r="CQ116" s="26">
        <f t="shared" si="305"/>
        <v>3.4582189093762261E-2</v>
      </c>
      <c r="CR116" s="26">
        <f t="shared" si="306"/>
        <v>2.7633396934008815E-4</v>
      </c>
      <c r="CS116" s="26">
        <f t="shared" si="307"/>
        <v>0.16784968684759918</v>
      </c>
      <c r="CT116" s="26">
        <f t="shared" si="308"/>
        <v>5.6526642232872853E-3</v>
      </c>
      <c r="CU116" s="26">
        <f t="shared" si="309"/>
        <v>0.32133995037220842</v>
      </c>
      <c r="CV116" s="26">
        <f t="shared" si="310"/>
        <v>0.35271041369472184</v>
      </c>
      <c r="CW116" s="26">
        <f t="shared" si="311"/>
        <v>1.164891900613101E-2</v>
      </c>
      <c r="CX116" s="26">
        <f t="shared" si="312"/>
        <v>2.5477707006369424E-4</v>
      </c>
      <c r="CY116" s="26">
        <f t="shared" si="313"/>
        <v>0</v>
      </c>
      <c r="CZ116" s="26">
        <f t="shared" si="314"/>
        <v>0</v>
      </c>
      <c r="DA116" s="26">
        <f t="shared" si="315"/>
        <v>0</v>
      </c>
      <c r="DB116" s="26">
        <f t="shared" si="316"/>
        <v>1.744891564868807</v>
      </c>
      <c r="DC116" s="26">
        <f t="shared" si="317"/>
        <v>2.6069456089539536</v>
      </c>
      <c r="DD116" s="26">
        <f t="shared" si="318"/>
        <v>2.2924060615197872</v>
      </c>
      <c r="DE116" s="26">
        <f t="shared" si="319"/>
        <v>5.9761779160184361</v>
      </c>
      <c r="DF116" s="1"/>
      <c r="DG116" s="22"/>
      <c r="DH116" s="14"/>
      <c r="DI116" s="14"/>
      <c r="DJ116" s="14"/>
      <c r="DK116" s="14"/>
      <c r="DL116" s="14"/>
      <c r="DM116" s="96"/>
      <c r="DN116" s="14"/>
      <c r="DO116" s="96"/>
      <c r="DP116" s="22"/>
      <c r="DQ116" s="14"/>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46"/>
      <c r="FR116" s="46"/>
      <c r="FS116" s="46"/>
      <c r="FT116" s="46"/>
      <c r="FU116" s="46"/>
      <c r="FV116" s="46"/>
      <c r="FW116" s="46"/>
      <c r="FX116" s="46"/>
      <c r="FY116" s="46"/>
      <c r="FZ116" s="46"/>
      <c r="GA116" s="46"/>
      <c r="GB116" s="46"/>
      <c r="GC116" s="46"/>
      <c r="GD116" s="46"/>
      <c r="GE116" s="46"/>
      <c r="GF116" s="46"/>
      <c r="GG116" s="46"/>
      <c r="GH116" s="46"/>
    </row>
    <row r="117" spans="1:190" x14ac:dyDescent="0.25">
      <c r="A117" s="5" t="s">
        <v>88</v>
      </c>
      <c r="B117" s="1">
        <v>869</v>
      </c>
      <c r="C117" s="98" t="s">
        <v>100</v>
      </c>
      <c r="D117" s="98" t="s">
        <v>104</v>
      </c>
      <c r="E117" s="1">
        <v>27</v>
      </c>
      <c r="F117" s="22">
        <v>53.32</v>
      </c>
      <c r="G117" s="22">
        <v>8.3000000000000004E-2</v>
      </c>
      <c r="H117" s="22">
        <v>0.183</v>
      </c>
      <c r="I117" s="22">
        <v>0</v>
      </c>
      <c r="J117" s="22">
        <v>10.56</v>
      </c>
      <c r="K117" s="22">
        <v>0.48299999999999998</v>
      </c>
      <c r="L117" s="22">
        <v>12.65</v>
      </c>
      <c r="M117" s="22">
        <v>22.66</v>
      </c>
      <c r="N117" s="22">
        <v>0.27</v>
      </c>
      <c r="O117" s="22">
        <v>0</v>
      </c>
      <c r="P117" s="22">
        <v>0</v>
      </c>
      <c r="Q117" s="22"/>
      <c r="R117" s="22"/>
      <c r="S117" s="22">
        <f t="shared" si="244"/>
        <v>100.209</v>
      </c>
      <c r="T117" s="3"/>
      <c r="U117" s="22">
        <f t="shared" si="245"/>
        <v>10.513628397061703</v>
      </c>
      <c r="V117" s="22">
        <f t="shared" si="246"/>
        <v>5.1532762345330115E-2</v>
      </c>
      <c r="W117" s="22">
        <f t="shared" si="247"/>
        <v>100.21416115940704</v>
      </c>
      <c r="X117" s="1"/>
      <c r="Y117" s="1"/>
      <c r="Z117" s="1"/>
      <c r="AA117" s="1" t="s">
        <v>185</v>
      </c>
      <c r="AC117" s="1">
        <v>6</v>
      </c>
      <c r="AD117" s="1">
        <v>4</v>
      </c>
      <c r="AE117" s="1"/>
      <c r="AF117" s="26">
        <f t="shared" si="248"/>
        <v>2.0029502765675771</v>
      </c>
      <c r="AG117" s="26">
        <f t="shared" si="249"/>
        <v>2.3450385553815873E-3</v>
      </c>
      <c r="AH117" s="26">
        <f t="shared" si="250"/>
        <v>8.1014211583352452E-3</v>
      </c>
      <c r="AI117" s="26">
        <f t="shared" si="251"/>
        <v>0</v>
      </c>
      <c r="AJ117" s="26">
        <f t="shared" si="252"/>
        <v>0.3317012414969247</v>
      </c>
      <c r="AK117" s="26">
        <f t="shared" si="253"/>
        <v>1.5366179351509439E-2</v>
      </c>
      <c r="AL117" s="26">
        <f t="shared" si="254"/>
        <v>0.70842753132204161</v>
      </c>
      <c r="AM117" s="26">
        <f t="shared" si="255"/>
        <v>0.91193073242097067</v>
      </c>
      <c r="AN117" s="26">
        <f t="shared" si="256"/>
        <v>1.9663106850265698E-2</v>
      </c>
      <c r="AO117" s="26">
        <f t="shared" si="257"/>
        <v>0</v>
      </c>
      <c r="AP117" s="26">
        <f t="shared" si="258"/>
        <v>0</v>
      </c>
      <c r="AQ117" s="26">
        <f t="shared" si="259"/>
        <v>0</v>
      </c>
      <c r="AR117" s="26">
        <f t="shared" si="260"/>
        <v>0</v>
      </c>
      <c r="AS117" s="26">
        <f t="shared" si="261"/>
        <v>4.000485527723006</v>
      </c>
      <c r="AT117" s="26">
        <f t="shared" si="262"/>
        <v>2.0110516977259123</v>
      </c>
      <c r="AU117" s="26">
        <f t="shared" si="263"/>
        <v>0.9315938392712364</v>
      </c>
      <c r="AV117" s="47"/>
      <c r="AW117" s="26">
        <f t="shared" si="264"/>
        <v>2.002707184102841</v>
      </c>
      <c r="AX117" s="26">
        <f t="shared" si="265"/>
        <v>2.3447539446206519E-3</v>
      </c>
      <c r="AY117" s="26">
        <f t="shared" si="266"/>
        <v>8.1004379115416098E-3</v>
      </c>
      <c r="AZ117" s="26">
        <f t="shared" si="267"/>
        <v>0</v>
      </c>
      <c r="BA117" s="26">
        <f t="shared" si="268"/>
        <v>0.33020457745875126</v>
      </c>
      <c r="BB117" s="26">
        <f t="shared" si="269"/>
        <v>1.4564063875992517E-3</v>
      </c>
      <c r="BC117" s="26">
        <f t="shared" si="270"/>
        <v>1.5364314401362728E-2</v>
      </c>
      <c r="BD117" s="26">
        <f t="shared" si="271"/>
        <v>0.70834155145689426</v>
      </c>
      <c r="BE117" s="26">
        <f t="shared" si="272"/>
        <v>0.91182005394232524</v>
      </c>
      <c r="BF117" s="26">
        <f t="shared" si="273"/>
        <v>1.9660720394064302E-2</v>
      </c>
      <c r="BG117" s="26">
        <f t="shared" si="274"/>
        <v>0</v>
      </c>
      <c r="BH117" s="26">
        <f t="shared" si="275"/>
        <v>0</v>
      </c>
      <c r="BI117" s="26">
        <f t="shared" si="276"/>
        <v>0</v>
      </c>
      <c r="BJ117" s="26">
        <f t="shared" si="277"/>
        <v>0</v>
      </c>
      <c r="BK117" s="25">
        <f t="shared" si="278"/>
        <v>4</v>
      </c>
      <c r="BL117" s="24">
        <f t="shared" si="279"/>
        <v>6</v>
      </c>
      <c r="BM117" s="26">
        <f t="shared" si="280"/>
        <v>2.0108076220143825</v>
      </c>
      <c r="BN117" s="26">
        <f t="shared" si="281"/>
        <v>0.93148077433638954</v>
      </c>
      <c r="BO117" s="22"/>
      <c r="BP117" s="23">
        <f t="shared" si="282"/>
        <v>0.68109598526157</v>
      </c>
      <c r="BQ117" s="26">
        <f t="shared" si="283"/>
        <v>0</v>
      </c>
      <c r="BR117" s="26">
        <f t="shared" si="284"/>
        <v>8.1004379115416098E-3</v>
      </c>
      <c r="BS117" s="26"/>
      <c r="BT117" s="26">
        <f t="shared" si="285"/>
        <v>8.1004379115416098E-3</v>
      </c>
      <c r="BU117" s="26">
        <f t="shared" si="286"/>
        <v>0</v>
      </c>
      <c r="BV117" s="26">
        <f t="shared" si="287"/>
        <v>8.1004379115416098E-3</v>
      </c>
      <c r="BW117" s="26">
        <f t="shared" si="288"/>
        <v>0</v>
      </c>
      <c r="BX117" s="26">
        <f t="shared" si="289"/>
        <v>0.90383029450942909</v>
      </c>
      <c r="BY117" s="26">
        <f t="shared" si="290"/>
        <v>6.8149239154768615E-2</v>
      </c>
      <c r="BZ117" s="26">
        <f t="shared" si="291"/>
        <v>0.98818040948728103</v>
      </c>
      <c r="CA117" s="22"/>
      <c r="CB117" s="22">
        <f t="shared" si="292"/>
        <v>1.4564063875992517E-3</v>
      </c>
      <c r="CC117" s="22">
        <f t="shared" si="293"/>
        <v>8.1004379115416098E-3</v>
      </c>
      <c r="CD117" s="22">
        <f t="shared" si="294"/>
        <v>0</v>
      </c>
      <c r="CE117" s="22">
        <f t="shared" si="295"/>
        <v>0</v>
      </c>
      <c r="CF117" s="22">
        <f t="shared" si="296"/>
        <v>0</v>
      </c>
      <c r="CG117" s="22">
        <f t="shared" si="297"/>
        <v>0.45663823016496224</v>
      </c>
      <c r="CH117" s="22">
        <f t="shared" si="298"/>
        <v>0.37060050423487384</v>
      </c>
      <c r="CI117" s="22">
        <f t="shared" si="299"/>
        <v>0.17276126560016389</v>
      </c>
      <c r="CJ117" s="22"/>
      <c r="CK117" s="22">
        <f t="shared" si="300"/>
        <v>0.4635147032810753</v>
      </c>
      <c r="CL117" s="22">
        <f t="shared" si="301"/>
        <v>0.36007841966806126</v>
      </c>
      <c r="CM117" s="22">
        <f t="shared" si="302"/>
        <v>0.17640687705086344</v>
      </c>
      <c r="CN117" s="1"/>
      <c r="CO117" s="26">
        <f t="shared" si="303"/>
        <v>0.88748335552596536</v>
      </c>
      <c r="CP117" s="26">
        <f t="shared" si="304"/>
        <v>1.0390585878818229E-3</v>
      </c>
      <c r="CQ117" s="26">
        <f t="shared" si="305"/>
        <v>3.5896429972538252E-3</v>
      </c>
      <c r="CR117" s="26">
        <f t="shared" si="306"/>
        <v>0</v>
      </c>
      <c r="CS117" s="26">
        <f t="shared" si="307"/>
        <v>0.14697286012526098</v>
      </c>
      <c r="CT117" s="26">
        <f t="shared" si="308"/>
        <v>6.8085706230617427E-3</v>
      </c>
      <c r="CU117" s="26">
        <f t="shared" si="309"/>
        <v>0.31389578163771714</v>
      </c>
      <c r="CV117" s="26">
        <f t="shared" si="310"/>
        <v>0.40406562054208273</v>
      </c>
      <c r="CW117" s="26">
        <f t="shared" si="311"/>
        <v>8.7124878993223628E-3</v>
      </c>
      <c r="CX117" s="26">
        <f t="shared" si="312"/>
        <v>0</v>
      </c>
      <c r="CY117" s="26">
        <f t="shared" si="313"/>
        <v>0</v>
      </c>
      <c r="CZ117" s="26">
        <f t="shared" si="314"/>
        <v>0</v>
      </c>
      <c r="DA117" s="26">
        <f t="shared" si="315"/>
        <v>0</v>
      </c>
      <c r="DB117" s="26">
        <f t="shared" si="316"/>
        <v>1.7725673779385458</v>
      </c>
      <c r="DC117" s="26">
        <f t="shared" si="317"/>
        <v>2.6585283696013589</v>
      </c>
      <c r="DD117" s="26">
        <f t="shared" si="318"/>
        <v>2.2566137963409356</v>
      </c>
      <c r="DE117" s="26">
        <f t="shared" si="319"/>
        <v>5.9992717968062008</v>
      </c>
      <c r="DF117" s="1"/>
      <c r="DG117" s="22"/>
      <c r="DH117" s="14"/>
      <c r="DI117" s="14"/>
      <c r="DJ117" s="14"/>
      <c r="DK117" s="14"/>
      <c r="DL117" s="14"/>
      <c r="DM117" s="96"/>
      <c r="DN117" s="14"/>
      <c r="DO117" s="96"/>
      <c r="DP117" s="22"/>
      <c r="DQ117" s="14"/>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46">
        <f t="shared" ref="FQ117" si="446" xml:space="preserve">  -0.73306   +   1.025016   *  FS117     +N("316 NN Nd")</f>
        <v>-1.3318237683030392</v>
      </c>
      <c r="FR117" s="46">
        <f t="shared" ref="FR117" si="447" xml:space="preserve">  -0.33671   +   1.013871 *  FS117    +N("340 NN")</f>
        <v>-0.92896340924743659</v>
      </c>
      <c r="FS117" s="46">
        <f t="shared" ref="FS117" si="448">-0.42496     +   1.017678*FT117                 + N("361 NN")</f>
        <v>-0.58415065550492784</v>
      </c>
      <c r="FT117" s="46">
        <f xml:space="preserve"> 0.68509  -3.34181 * BP117 + 0.03095*(100*CK117) +N("642 cpx Mg# Wo R2 0.59")</f>
        <v>-0.15642536785203953</v>
      </c>
      <c r="FU117" s="46">
        <f t="shared" ref="FU117" si="449" xml:space="preserve"> -0.06599 + 0.926002 * FT117  + N("409 NN")</f>
        <v>-0.2108402034817243</v>
      </c>
      <c r="FV117" s="46">
        <f t="shared" ref="FV117" si="450">0.1453     +   0.925549*FT117     +N("424 LnD Sm")</f>
        <v>5.2065720991267828E-4</v>
      </c>
      <c r="FW117" s="46">
        <f t="shared" ref="FW117" si="451" xml:space="preserve">  0.053547 + 0.932974 * FV117  +  N("445 NN")</f>
        <v>5.403275963976107E-2</v>
      </c>
      <c r="FX117" s="46">
        <f t="shared" ref="FX117" si="452" xml:space="preserve">  0.027177  +  0.867603 * FV117 + N("464 NN Gd")</f>
        <v>2.7628723757291869E-2</v>
      </c>
      <c r="FY117" s="46">
        <f t="shared" ref="FY117" si="453" xml:space="preserve">  -0.06187  +  0.953618 * FX117   + N("505 NN Dy")</f>
        <v>-3.5522751708018843E-2</v>
      </c>
      <c r="FZ117" s="46">
        <f t="shared" ref="FZ117" si="454" xml:space="preserve"> -0.05652 + 0.972005*FY117   +N("533 NN")</f>
        <v>-9.1048292273952863E-2</v>
      </c>
      <c r="GA117" s="46">
        <f t="shared" ref="GA117" si="455" xml:space="preserve">     0.018586 + 0.960264 * FZ117    +N("549 LnD Er")</f>
        <v>-6.8844397332155083E-2</v>
      </c>
      <c r="GB117" s="46">
        <f t="shared" ref="GB117" si="456" xml:space="preserve"> -0.02011 + 0.936315 * FZ117    +N("574 NN Er")</f>
        <v>-0.10535988178048618</v>
      </c>
      <c r="GC117" s="46">
        <f t="shared" ref="GC117" si="457" xml:space="preserve">   0.01732 + 1.006083 * GB117  +N("597 NN Yb")</f>
        <v>-8.8680785941356879E-2</v>
      </c>
      <c r="GD117" s="46">
        <f>(-1.72947 +0 ) * (3.46258+0) * BQ117   - (1.87473 + 0) *BP117   + (0.03253+0) * (CK117*100)    +N("eqn625 aliv mg# wo")</f>
        <v>0.23094225332391494</v>
      </c>
      <c r="GE117" s="46"/>
      <c r="GF117" s="46"/>
      <c r="GG117" s="46"/>
      <c r="GH117" s="46"/>
    </row>
    <row r="118" spans="1:190" x14ac:dyDescent="0.25">
      <c r="A118" s="5" t="s">
        <v>88</v>
      </c>
      <c r="B118" s="1">
        <v>881</v>
      </c>
      <c r="C118" s="98" t="s">
        <v>100</v>
      </c>
      <c r="D118" s="98" t="s">
        <v>104</v>
      </c>
      <c r="E118" s="1">
        <v>39</v>
      </c>
      <c r="F118" s="22">
        <v>54.27</v>
      </c>
      <c r="G118" s="22">
        <v>0</v>
      </c>
      <c r="H118" s="22">
        <v>0.253</v>
      </c>
      <c r="I118" s="22">
        <v>2.7E-2</v>
      </c>
      <c r="J118" s="22">
        <v>7.25</v>
      </c>
      <c r="K118" s="22">
        <v>0.34799999999999998</v>
      </c>
      <c r="L118" s="22">
        <v>14.86</v>
      </c>
      <c r="M118" s="22">
        <v>23.38</v>
      </c>
      <c r="N118" s="22">
        <v>0.11899999999999999</v>
      </c>
      <c r="O118" s="22">
        <v>1.2999999999999999E-2</v>
      </c>
      <c r="P118" s="22">
        <v>0</v>
      </c>
      <c r="Q118" s="22"/>
      <c r="R118" s="22"/>
      <c r="S118" s="22">
        <f t="shared" si="244"/>
        <v>100.52000000000001</v>
      </c>
      <c r="T118" s="3"/>
      <c r="U118" s="22">
        <f t="shared" si="245"/>
        <v>7.2499999999999991</v>
      </c>
      <c r="V118" s="22">
        <f t="shared" si="246"/>
        <v>0</v>
      </c>
      <c r="W118" s="22">
        <f t="shared" si="247"/>
        <v>100.52000000000001</v>
      </c>
      <c r="X118" s="1"/>
      <c r="Y118" s="1"/>
      <c r="Z118" s="1"/>
      <c r="AA118" s="1" t="s">
        <v>185</v>
      </c>
      <c r="AC118" s="1">
        <v>6</v>
      </c>
      <c r="AD118" s="1">
        <v>4</v>
      </c>
      <c r="AE118" s="1"/>
      <c r="AF118" s="26">
        <f t="shared" si="248"/>
        <v>2.001337829731169</v>
      </c>
      <c r="AG118" s="26">
        <f t="shared" si="249"/>
        <v>0</v>
      </c>
      <c r="AH118" s="26">
        <f t="shared" si="250"/>
        <v>1.0995404150148849E-2</v>
      </c>
      <c r="AI118" s="26">
        <f t="shared" si="251"/>
        <v>7.8717130061416456E-4</v>
      </c>
      <c r="AJ118" s="26">
        <f t="shared" si="252"/>
        <v>0.22356393292546584</v>
      </c>
      <c r="AK118" s="26">
        <f t="shared" si="253"/>
        <v>1.0868724159477679E-2</v>
      </c>
      <c r="AL118" s="26">
        <f t="shared" si="254"/>
        <v>0.81696654097415433</v>
      </c>
      <c r="AM118" s="26">
        <f t="shared" si="255"/>
        <v>0.92369163120823095</v>
      </c>
      <c r="AN118" s="26">
        <f t="shared" si="256"/>
        <v>8.5077729683776613E-3</v>
      </c>
      <c r="AO118" s="26">
        <f t="shared" si="257"/>
        <v>6.1152321999862749E-4</v>
      </c>
      <c r="AP118" s="26">
        <f t="shared" si="258"/>
        <v>0</v>
      </c>
      <c r="AQ118" s="26">
        <f t="shared" si="259"/>
        <v>0</v>
      </c>
      <c r="AR118" s="26">
        <f t="shared" si="260"/>
        <v>0</v>
      </c>
      <c r="AS118" s="26">
        <f t="shared" si="261"/>
        <v>3.9973305306376363</v>
      </c>
      <c r="AT118" s="26">
        <f t="shared" si="262"/>
        <v>2.0123332338813178</v>
      </c>
      <c r="AU118" s="26">
        <f t="shared" si="263"/>
        <v>0.9328109273966072</v>
      </c>
      <c r="AV118" s="47"/>
      <c r="AW118" s="26">
        <f t="shared" si="264"/>
        <v>2.002674349185654</v>
      </c>
      <c r="AX118" s="26">
        <f t="shared" si="265"/>
        <v>0</v>
      </c>
      <c r="AY118" s="26">
        <f t="shared" si="266"/>
        <v>1.1002747024169559E-2</v>
      </c>
      <c r="AZ118" s="26">
        <f t="shared" si="267"/>
        <v>7.8769698385547143E-4</v>
      </c>
      <c r="BA118" s="26">
        <f t="shared" si="268"/>
        <v>0.22371323183004721</v>
      </c>
      <c r="BB118" s="26">
        <f t="shared" si="269"/>
        <v>0</v>
      </c>
      <c r="BC118" s="26">
        <f t="shared" si="270"/>
        <v>1.0875982434951604E-2</v>
      </c>
      <c r="BD118" s="26">
        <f t="shared" si="271"/>
        <v>0.81751212186482392</v>
      </c>
      <c r="BE118" s="26">
        <f t="shared" si="272"/>
        <v>0.9243084845034194</v>
      </c>
      <c r="BF118" s="26">
        <f t="shared" si="273"/>
        <v>8.5134545699132227E-3</v>
      </c>
      <c r="BG118" s="26">
        <f t="shared" si="274"/>
        <v>6.1193160316525528E-4</v>
      </c>
      <c r="BH118" s="26">
        <f t="shared" si="275"/>
        <v>0</v>
      </c>
      <c r="BI118" s="26">
        <f t="shared" si="276"/>
        <v>0</v>
      </c>
      <c r="BJ118" s="26">
        <f t="shared" si="277"/>
        <v>0</v>
      </c>
      <c r="BK118" s="25">
        <f t="shared" si="278"/>
        <v>3.9999999999999996</v>
      </c>
      <c r="BL118" s="24">
        <f t="shared" si="279"/>
        <v>6.0040068781031266</v>
      </c>
      <c r="BM118" s="26">
        <f t="shared" si="280"/>
        <v>2.0136770962098236</v>
      </c>
      <c r="BN118" s="26">
        <f t="shared" si="281"/>
        <v>0.93343387067649797</v>
      </c>
      <c r="BO118" s="22"/>
      <c r="BP118" s="23">
        <f t="shared" si="282"/>
        <v>0.78514427156793387</v>
      </c>
      <c r="BQ118" s="26">
        <f t="shared" si="283"/>
        <v>0</v>
      </c>
      <c r="BR118" s="26">
        <f t="shared" si="284"/>
        <v>1.1002747024169559E-2</v>
      </c>
      <c r="BS118" s="26"/>
      <c r="BT118" s="26">
        <f t="shared" si="285"/>
        <v>8.5077729683776613E-3</v>
      </c>
      <c r="BU118" s="26">
        <f t="shared" si="286"/>
        <v>2.4892924542563363E-3</v>
      </c>
      <c r="BV118" s="26">
        <f t="shared" si="287"/>
        <v>9.7581007970413899E-3</v>
      </c>
      <c r="BW118" s="26">
        <f t="shared" si="288"/>
        <v>3.9358565030708228E-4</v>
      </c>
      <c r="BX118" s="26">
        <f t="shared" si="289"/>
        <v>0.91105065230662607</v>
      </c>
      <c r="BY118" s="26">
        <f t="shared" si="290"/>
        <v>6.4739910796497047E-2</v>
      </c>
      <c r="BZ118" s="26">
        <f t="shared" si="291"/>
        <v>0.99693931497310562</v>
      </c>
      <c r="CA118" s="22"/>
      <c r="CB118" s="22">
        <f t="shared" si="292"/>
        <v>0</v>
      </c>
      <c r="CC118" s="22">
        <f t="shared" si="293"/>
        <v>8.5134545699132227E-3</v>
      </c>
      <c r="CD118" s="22">
        <f t="shared" si="294"/>
        <v>0</v>
      </c>
      <c r="CE118" s="22">
        <f t="shared" si="295"/>
        <v>7.8769698385547143E-4</v>
      </c>
      <c r="CF118" s="22">
        <f t="shared" si="296"/>
        <v>2.4892924542563363E-3</v>
      </c>
      <c r="CG118" s="22">
        <f t="shared" si="297"/>
        <v>0.46051574753265379</v>
      </c>
      <c r="CH118" s="22">
        <f t="shared" si="298"/>
        <v>0.42357297042584585</v>
      </c>
      <c r="CI118" s="22">
        <f t="shared" si="299"/>
        <v>0.11591128204150034</v>
      </c>
      <c r="CJ118" s="22"/>
      <c r="CK118" s="22">
        <f t="shared" si="300"/>
        <v>0.467670457237088</v>
      </c>
      <c r="CL118" s="22">
        <f t="shared" si="301"/>
        <v>0.41363492193278661</v>
      </c>
      <c r="CM118" s="22">
        <f t="shared" si="302"/>
        <v>0.1186946208301254</v>
      </c>
      <c r="CN118" s="1"/>
      <c r="CO118" s="26">
        <f t="shared" si="303"/>
        <v>0.90329560585885493</v>
      </c>
      <c r="CP118" s="26">
        <f t="shared" si="304"/>
        <v>0</v>
      </c>
      <c r="CQ118" s="26">
        <f t="shared" si="305"/>
        <v>4.962730482542174E-3</v>
      </c>
      <c r="CR118" s="26">
        <f t="shared" si="306"/>
        <v>3.5528653200868473E-4</v>
      </c>
      <c r="CS118" s="26">
        <f t="shared" si="307"/>
        <v>0.10090466249130133</v>
      </c>
      <c r="CT118" s="26">
        <f t="shared" si="308"/>
        <v>4.9055539892867211E-3</v>
      </c>
      <c r="CU118" s="26">
        <f t="shared" si="309"/>
        <v>0.36873449131513647</v>
      </c>
      <c r="CV118" s="26">
        <f t="shared" si="310"/>
        <v>0.41690442225392293</v>
      </c>
      <c r="CW118" s="26">
        <f t="shared" si="311"/>
        <v>3.8399483704420782E-3</v>
      </c>
      <c r="CX118" s="26">
        <f t="shared" si="312"/>
        <v>2.7600849256900208E-4</v>
      </c>
      <c r="CY118" s="26">
        <f t="shared" si="313"/>
        <v>0</v>
      </c>
      <c r="CZ118" s="26">
        <f t="shared" si="314"/>
        <v>0</v>
      </c>
      <c r="DA118" s="26">
        <f t="shared" si="315"/>
        <v>0</v>
      </c>
      <c r="DB118" s="26">
        <f t="shared" si="316"/>
        <v>1.8041787097860644</v>
      </c>
      <c r="DC118" s="26">
        <f t="shared" si="317"/>
        <v>2.7080753457206894</v>
      </c>
      <c r="DD118" s="26">
        <f t="shared" si="318"/>
        <v>2.2170752699295022</v>
      </c>
      <c r="DE118" s="26">
        <f t="shared" si="319"/>
        <v>6.0040068781031275</v>
      </c>
      <c r="DF118" s="1"/>
      <c r="DG118" s="22"/>
      <c r="DH118" s="14"/>
      <c r="DI118" s="14"/>
      <c r="DJ118" s="14"/>
      <c r="DK118" s="14"/>
      <c r="DL118" s="14"/>
      <c r="DM118" s="96"/>
      <c r="DN118" s="14"/>
      <c r="DO118" s="96"/>
      <c r="DP118" s="22"/>
      <c r="DQ118" s="14"/>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46"/>
      <c r="FR118" s="46"/>
      <c r="FS118" s="46"/>
      <c r="FT118" s="46"/>
      <c r="FU118" s="46"/>
      <c r="FV118" s="46"/>
      <c r="FW118" s="46"/>
      <c r="FX118" s="46"/>
      <c r="FY118" s="46"/>
      <c r="FZ118" s="46"/>
      <c r="GA118" s="46"/>
      <c r="GB118" s="46"/>
      <c r="GC118" s="46"/>
      <c r="GD118" s="46"/>
      <c r="GE118" s="46"/>
      <c r="GF118" s="46"/>
      <c r="GG118" s="46"/>
      <c r="GH118" s="46"/>
    </row>
    <row r="119" spans="1:190" x14ac:dyDescent="0.25">
      <c r="A119" s="5" t="s">
        <v>88</v>
      </c>
      <c r="B119" s="1">
        <v>894</v>
      </c>
      <c r="C119" s="98" t="s">
        <v>100</v>
      </c>
      <c r="D119" s="98" t="s">
        <v>104</v>
      </c>
      <c r="E119" s="1">
        <v>52</v>
      </c>
      <c r="F119" s="22">
        <v>53.47</v>
      </c>
      <c r="G119" s="22">
        <v>2.1000000000000001E-2</v>
      </c>
      <c r="H119" s="22">
        <v>0.28100000000000003</v>
      </c>
      <c r="I119" s="22">
        <v>3.6999999999999998E-2</v>
      </c>
      <c r="J119" s="22">
        <v>8.56</v>
      </c>
      <c r="K119" s="22">
        <v>0.434</v>
      </c>
      <c r="L119" s="22">
        <v>13.28</v>
      </c>
      <c r="M119" s="22">
        <v>22.93</v>
      </c>
      <c r="N119" s="22">
        <v>0.48299999999999998</v>
      </c>
      <c r="O119" s="22">
        <v>0</v>
      </c>
      <c r="P119" s="22">
        <v>0</v>
      </c>
      <c r="Q119" s="22"/>
      <c r="R119" s="22"/>
      <c r="S119" s="22">
        <f t="shared" si="244"/>
        <v>99.496000000000009</v>
      </c>
      <c r="T119" s="3"/>
      <c r="U119" s="22">
        <f t="shared" si="245"/>
        <v>8.2300598411934658</v>
      </c>
      <c r="V119" s="22">
        <f t="shared" si="246"/>
        <v>0.36666249848170102</v>
      </c>
      <c r="W119" s="22">
        <f t="shared" si="247"/>
        <v>99.532722339675161</v>
      </c>
      <c r="X119" s="1"/>
      <c r="Y119" s="1"/>
      <c r="Z119" s="1"/>
      <c r="AA119" s="1" t="s">
        <v>185</v>
      </c>
      <c r="AC119" s="1">
        <v>6</v>
      </c>
      <c r="AD119" s="1">
        <v>4</v>
      </c>
      <c r="AE119" s="1"/>
      <c r="AF119" s="26">
        <f t="shared" si="248"/>
        <v>2.0067641478329552</v>
      </c>
      <c r="AG119" s="26">
        <f t="shared" si="249"/>
        <v>5.9278514509137075E-4</v>
      </c>
      <c r="AH119" s="26">
        <f t="shared" si="250"/>
        <v>1.2428610049283129E-2</v>
      </c>
      <c r="AI119" s="26">
        <f t="shared" si="251"/>
        <v>1.0978241447126855E-3</v>
      </c>
      <c r="AJ119" s="26">
        <f t="shared" si="252"/>
        <v>0.26863529075622683</v>
      </c>
      <c r="AK119" s="26">
        <f t="shared" si="253"/>
        <v>1.3794774918587157E-2</v>
      </c>
      <c r="AL119" s="26">
        <f t="shared" si="254"/>
        <v>0.74303471078560157</v>
      </c>
      <c r="AM119" s="26">
        <f t="shared" si="255"/>
        <v>0.92196009319201899</v>
      </c>
      <c r="AN119" s="26">
        <f t="shared" si="256"/>
        <v>3.5143226200957396E-2</v>
      </c>
      <c r="AO119" s="26">
        <f t="shared" si="257"/>
        <v>0</v>
      </c>
      <c r="AP119" s="26">
        <f t="shared" si="258"/>
        <v>0</v>
      </c>
      <c r="AQ119" s="26">
        <f t="shared" si="259"/>
        <v>0</v>
      </c>
      <c r="AR119" s="26">
        <f t="shared" si="260"/>
        <v>0</v>
      </c>
      <c r="AS119" s="26">
        <f t="shared" si="261"/>
        <v>4.0034514630254341</v>
      </c>
      <c r="AT119" s="26">
        <f t="shared" si="262"/>
        <v>2.0191927578822382</v>
      </c>
      <c r="AU119" s="26">
        <f t="shared" si="263"/>
        <v>0.95710331939297644</v>
      </c>
      <c r="AV119" s="47"/>
      <c r="AW119" s="26">
        <f t="shared" si="264"/>
        <v>2.0050340725913838</v>
      </c>
      <c r="AX119" s="26">
        <f t="shared" si="265"/>
        <v>5.922740920589547E-4</v>
      </c>
      <c r="AY119" s="26">
        <f t="shared" si="266"/>
        <v>1.2417895072858705E-2</v>
      </c>
      <c r="AZ119" s="26">
        <f t="shared" si="267"/>
        <v>1.0968776865180753E-3</v>
      </c>
      <c r="BA119" s="26">
        <f t="shared" si="268"/>
        <v>0.25805823206832618</v>
      </c>
      <c r="BB119" s="26">
        <f t="shared" si="269"/>
        <v>1.0345462331123212E-2</v>
      </c>
      <c r="BC119" s="26">
        <f t="shared" si="270"/>
        <v>1.3782882141563275E-2</v>
      </c>
      <c r="BD119" s="26">
        <f t="shared" si="271"/>
        <v>0.74239412431800578</v>
      </c>
      <c r="BE119" s="26">
        <f t="shared" si="272"/>
        <v>0.92116525124077575</v>
      </c>
      <c r="BF119" s="26">
        <f t="shared" si="273"/>
        <v>3.5112928457386047E-2</v>
      </c>
      <c r="BG119" s="26">
        <f t="shared" si="274"/>
        <v>0</v>
      </c>
      <c r="BH119" s="26">
        <f t="shared" si="275"/>
        <v>0</v>
      </c>
      <c r="BI119" s="26">
        <f t="shared" si="276"/>
        <v>0</v>
      </c>
      <c r="BJ119" s="26">
        <f t="shared" si="277"/>
        <v>0</v>
      </c>
      <c r="BK119" s="25">
        <f t="shared" si="278"/>
        <v>3.9999999999999996</v>
      </c>
      <c r="BL119" s="24">
        <f t="shared" si="279"/>
        <v>6</v>
      </c>
      <c r="BM119" s="26">
        <f t="shared" si="280"/>
        <v>2.0174519676642424</v>
      </c>
      <c r="BN119" s="26">
        <f t="shared" si="281"/>
        <v>0.95627817969816176</v>
      </c>
      <c r="BO119" s="22"/>
      <c r="BP119" s="23">
        <f t="shared" si="282"/>
        <v>0.73446352037046148</v>
      </c>
      <c r="BQ119" s="26">
        <f t="shared" si="283"/>
        <v>0</v>
      </c>
      <c r="BR119" s="26">
        <f t="shared" si="284"/>
        <v>1.2417895072858705E-2</v>
      </c>
      <c r="BS119" s="26"/>
      <c r="BT119" s="26">
        <f t="shared" si="285"/>
        <v>1.2417895072858705E-2</v>
      </c>
      <c r="BU119" s="26">
        <f t="shared" si="286"/>
        <v>0</v>
      </c>
      <c r="BV119" s="26">
        <f t="shared" si="287"/>
        <v>1.2417895072858705E-2</v>
      </c>
      <c r="BW119" s="26">
        <f t="shared" si="288"/>
        <v>5.4891207235634274E-4</v>
      </c>
      <c r="BX119" s="26">
        <f t="shared" si="289"/>
        <v>0.90899328604680396</v>
      </c>
      <c r="BY119" s="26">
        <f t="shared" si="290"/>
        <v>5.1338357747512275E-2</v>
      </c>
      <c r="BZ119" s="26">
        <f t="shared" si="291"/>
        <v>0.98571634601239</v>
      </c>
      <c r="CA119" s="22"/>
      <c r="CB119" s="22">
        <f t="shared" si="292"/>
        <v>1.0345462331123212E-2</v>
      </c>
      <c r="CC119" s="22">
        <f t="shared" si="293"/>
        <v>1.2417895072858705E-2</v>
      </c>
      <c r="CD119" s="22">
        <f t="shared" si="294"/>
        <v>0</v>
      </c>
      <c r="CE119" s="22">
        <f t="shared" si="295"/>
        <v>1.0968776865180753E-3</v>
      </c>
      <c r="CF119" s="22">
        <f t="shared" si="296"/>
        <v>0</v>
      </c>
      <c r="CG119" s="22">
        <f t="shared" si="297"/>
        <v>0.46520691794269042</v>
      </c>
      <c r="CH119" s="22">
        <f t="shared" si="298"/>
        <v>0.39684772524234907</v>
      </c>
      <c r="CI119" s="22">
        <f t="shared" si="299"/>
        <v>0.13794535681496053</v>
      </c>
      <c r="CJ119" s="22"/>
      <c r="CK119" s="22">
        <f t="shared" si="300"/>
        <v>0.47342524354049409</v>
      </c>
      <c r="CL119" s="22">
        <f t="shared" si="301"/>
        <v>0.38154730504094581</v>
      </c>
      <c r="CM119" s="22">
        <f t="shared" si="302"/>
        <v>0.14502745141855997</v>
      </c>
      <c r="CN119" s="1"/>
      <c r="CO119" s="26">
        <f t="shared" si="303"/>
        <v>0.88998002663115849</v>
      </c>
      <c r="CP119" s="26">
        <f t="shared" si="304"/>
        <v>2.6289434151226845E-4</v>
      </c>
      <c r="CQ119" s="26">
        <f t="shared" si="305"/>
        <v>5.5119654766575136E-3</v>
      </c>
      <c r="CR119" s="26">
        <f t="shared" si="306"/>
        <v>4.8687413645634578E-4</v>
      </c>
      <c r="CS119" s="26">
        <f t="shared" si="307"/>
        <v>0.11913709116214337</v>
      </c>
      <c r="CT119" s="26">
        <f t="shared" si="308"/>
        <v>6.1178460670989572E-3</v>
      </c>
      <c r="CU119" s="26">
        <f t="shared" si="309"/>
        <v>0.32952853598014892</v>
      </c>
      <c r="CV119" s="26">
        <f t="shared" si="310"/>
        <v>0.40888017118402281</v>
      </c>
      <c r="CW119" s="26">
        <f t="shared" si="311"/>
        <v>1.558567279767667E-2</v>
      </c>
      <c r="CX119" s="26">
        <f t="shared" si="312"/>
        <v>0</v>
      </c>
      <c r="CY119" s="26">
        <f t="shared" si="313"/>
        <v>0</v>
      </c>
      <c r="CZ119" s="26">
        <f t="shared" si="314"/>
        <v>0</v>
      </c>
      <c r="DA119" s="26">
        <f t="shared" si="315"/>
        <v>0</v>
      </c>
      <c r="DB119" s="26">
        <f t="shared" si="316"/>
        <v>1.7754910777768755</v>
      </c>
      <c r="DC119" s="26">
        <f t="shared" si="317"/>
        <v>2.6609405821572647</v>
      </c>
      <c r="DD119" s="26">
        <f t="shared" si="318"/>
        <v>2.2528978320794901</v>
      </c>
      <c r="DE119" s="26">
        <f t="shared" si="319"/>
        <v>5.9948272688344382</v>
      </c>
      <c r="DF119" s="1"/>
      <c r="DG119" s="22">
        <v>2.7424491437218017</v>
      </c>
      <c r="DH119" s="14">
        <v>1410.5309626626874</v>
      </c>
      <c r="DI119" s="14">
        <v>80652.621602476604</v>
      </c>
      <c r="DJ119" s="14">
        <v>1772.3634804881542</v>
      </c>
      <c r="DK119" s="14">
        <v>249697.5456502201</v>
      </c>
      <c r="DL119" s="14">
        <v>164270.30470629584</v>
      </c>
      <c r="DM119" s="96">
        <v>120.83169011569056</v>
      </c>
      <c r="DN119" s="14">
        <v>227.54278802181244</v>
      </c>
      <c r="DO119" s="96">
        <v>191.44335358726494</v>
      </c>
      <c r="DP119" s="22">
        <v>140.5945868779005</v>
      </c>
      <c r="DQ119" s="14">
        <v>2534.8794877729856</v>
      </c>
      <c r="DR119" s="22">
        <v>29.673493010271077</v>
      </c>
      <c r="DS119" s="22">
        <v>45.191111278700681</v>
      </c>
      <c r="DT119" s="22">
        <v>2.8673662620334306</v>
      </c>
      <c r="DU119" s="22">
        <v>43.008141695013236</v>
      </c>
      <c r="DV119" s="22">
        <v>1.9850505654485675</v>
      </c>
      <c r="DW119" s="22">
        <v>6.0905527139483908</v>
      </c>
      <c r="DX119" s="22">
        <v>3.9863246158964767</v>
      </c>
      <c r="DY119" s="22">
        <v>19.451336076276473</v>
      </c>
      <c r="DZ119" s="22">
        <v>7.2106866132661001</v>
      </c>
      <c r="EA119" s="22">
        <v>0</v>
      </c>
      <c r="EB119" s="22">
        <v>9.0164994056094766E-2</v>
      </c>
      <c r="EC119" s="22">
        <v>0.79056136296570878</v>
      </c>
      <c r="ED119" s="22">
        <v>1.7184345371592094</v>
      </c>
      <c r="EE119" s="22">
        <v>5.4415433730566045</v>
      </c>
      <c r="EF119" s="22">
        <v>0.96786680485835563</v>
      </c>
      <c r="EG119" s="22">
        <v>5.1429750080422822</v>
      </c>
      <c r="EH119" s="22">
        <v>2.5169483175895078</v>
      </c>
      <c r="EI119" s="22">
        <v>0.39018246533820966</v>
      </c>
      <c r="EJ119" s="22">
        <v>2.871522569193917</v>
      </c>
      <c r="EK119" s="22">
        <v>0.50507513039218743</v>
      </c>
      <c r="EL119" s="22">
        <v>3.3451461950876222</v>
      </c>
      <c r="EM119" s="22">
        <v>0.78773515057993282</v>
      </c>
      <c r="EN119" s="22">
        <v>2.3093170217691066</v>
      </c>
      <c r="EO119" s="22">
        <v>0.28761373137578844</v>
      </c>
      <c r="EP119" s="22">
        <v>2.5427059305133963</v>
      </c>
      <c r="EQ119" s="22">
        <v>0.45895798622010731</v>
      </c>
      <c r="ER119" s="22">
        <v>0.29591787751846887</v>
      </c>
      <c r="ES119" s="22">
        <v>0</v>
      </c>
      <c r="ET119" s="22">
        <v>0.49410167253122361</v>
      </c>
      <c r="EU119" s="22">
        <v>0.12194882136419496</v>
      </c>
      <c r="EV119" s="22">
        <v>7.3490387227758983E-2</v>
      </c>
      <c r="EW119" s="22">
        <f>(EI119/0.05883)/SQRT((EH119/0.1536)*(EJ119/0.2069))</f>
        <v>0.4397962148683508</v>
      </c>
      <c r="EX119" s="22"/>
      <c r="EY119" s="22"/>
      <c r="EZ119" s="22"/>
      <c r="FA119" s="22"/>
      <c r="FB119" s="22"/>
      <c r="FC119" s="22"/>
      <c r="FD119" s="22"/>
      <c r="FE119" s="22"/>
      <c r="FF119" s="22"/>
      <c r="FG119" s="22"/>
      <c r="FH119" s="22"/>
      <c r="FI119" s="22">
        <f>-0.50354-2.23025*BP119+ N("eqn 18 Mg# R2 0.28 best")</f>
        <v>-2.1415772663062214</v>
      </c>
      <c r="FJ119" s="22"/>
      <c r="FK119" s="22">
        <f xml:space="preserve"> -0.03692  +  0.931085 + FX119   + N("488 NN Dy")</f>
        <v>0.8941650000000001</v>
      </c>
      <c r="FL119" s="22">
        <f>-0.48986  +   0    +   (1.071278 + 0) * GD119  +N("eqn 119 LnD Hf  (which has R2 of 0.51 for TS")</f>
        <v>-0.48986000000000002</v>
      </c>
      <c r="FM119" s="22"/>
      <c r="FN119" s="22"/>
      <c r="FO119" s="22">
        <f>3.94011-11.9214*BP119</f>
        <v>-4.8157234117444192</v>
      </c>
      <c r="FP119" s="22">
        <f xml:space="preserve">  -0.49862 +   1.013256 * FQ119 + N("294 NN")</f>
        <v>-0.49862000000000001</v>
      </c>
      <c r="FQ119" s="46"/>
      <c r="FR119" s="46"/>
      <c r="FS119" s="46"/>
      <c r="FT119" s="46"/>
      <c r="FU119" s="46"/>
      <c r="FV119" s="46"/>
      <c r="FW119" s="46"/>
      <c r="FX119" s="46"/>
      <c r="FY119" s="46"/>
      <c r="FZ119" s="46"/>
      <c r="GA119" s="46"/>
      <c r="GB119" s="46"/>
      <c r="GC119" s="46"/>
      <c r="GD119" s="46"/>
      <c r="GE119" s="46"/>
      <c r="GF119" s="46"/>
      <c r="GG119" s="46"/>
      <c r="GH119" s="46"/>
    </row>
    <row r="120" spans="1:190" x14ac:dyDescent="0.25">
      <c r="A120" s="5" t="s">
        <v>88</v>
      </c>
      <c r="B120" s="1">
        <v>896</v>
      </c>
      <c r="C120" s="98" t="s">
        <v>100</v>
      </c>
      <c r="D120" s="98" t="s">
        <v>104</v>
      </c>
      <c r="E120" s="1">
        <v>54</v>
      </c>
      <c r="F120" s="22">
        <v>53.99</v>
      </c>
      <c r="G120" s="22">
        <v>0</v>
      </c>
      <c r="H120" s="22">
        <v>7.0999999999999994E-2</v>
      </c>
      <c r="I120" s="22">
        <v>0</v>
      </c>
      <c r="J120" s="22">
        <v>10.029999999999999</v>
      </c>
      <c r="K120" s="22">
        <v>0.61699999999999999</v>
      </c>
      <c r="L120" s="22">
        <v>13.43</v>
      </c>
      <c r="M120" s="22">
        <v>22.85</v>
      </c>
      <c r="N120" s="22">
        <v>0.104</v>
      </c>
      <c r="O120" s="22">
        <v>0</v>
      </c>
      <c r="P120" s="22">
        <v>0</v>
      </c>
      <c r="Q120" s="22"/>
      <c r="R120" s="22"/>
      <c r="S120" s="22">
        <f t="shared" si="244"/>
        <v>101.092</v>
      </c>
      <c r="T120" s="3"/>
      <c r="U120" s="22">
        <f t="shared" si="245"/>
        <v>10.029999999999999</v>
      </c>
      <c r="V120" s="22">
        <f t="shared" si="246"/>
        <v>0</v>
      </c>
      <c r="W120" s="22">
        <f t="shared" si="247"/>
        <v>101.09200000000001</v>
      </c>
      <c r="X120" s="1"/>
      <c r="Y120" s="1"/>
      <c r="Z120" s="1"/>
      <c r="AA120" s="1" t="s">
        <v>185</v>
      </c>
      <c r="AC120" s="1">
        <v>6</v>
      </c>
      <c r="AD120" s="1">
        <v>4</v>
      </c>
      <c r="AE120" s="1"/>
      <c r="AF120" s="26">
        <f t="shared" si="248"/>
        <v>2.0043642605280461</v>
      </c>
      <c r="AG120" s="26">
        <f t="shared" si="249"/>
        <v>0</v>
      </c>
      <c r="AH120" s="26">
        <f t="shared" si="250"/>
        <v>3.106359851031389E-3</v>
      </c>
      <c r="AI120" s="26">
        <f t="shared" si="251"/>
        <v>0</v>
      </c>
      <c r="AJ120" s="26">
        <f t="shared" si="252"/>
        <v>0.31136328987659528</v>
      </c>
      <c r="AK120" s="26">
        <f t="shared" si="253"/>
        <v>1.9399352150764777E-2</v>
      </c>
      <c r="AL120" s="26">
        <f t="shared" si="254"/>
        <v>0.74330013787821692</v>
      </c>
      <c r="AM120" s="26">
        <f t="shared" si="255"/>
        <v>0.90880654546510709</v>
      </c>
      <c r="AN120" s="26">
        <f t="shared" si="256"/>
        <v>7.4852275933537582E-3</v>
      </c>
      <c r="AO120" s="26">
        <f t="shared" si="257"/>
        <v>0</v>
      </c>
      <c r="AP120" s="26">
        <f t="shared" si="258"/>
        <v>0</v>
      </c>
      <c r="AQ120" s="26">
        <f t="shared" si="259"/>
        <v>0</v>
      </c>
      <c r="AR120" s="26">
        <f t="shared" si="260"/>
        <v>0</v>
      </c>
      <c r="AS120" s="26">
        <f t="shared" si="261"/>
        <v>3.9978251733431156</v>
      </c>
      <c r="AT120" s="26">
        <f t="shared" si="262"/>
        <v>2.0074706203790775</v>
      </c>
      <c r="AU120" s="26">
        <f t="shared" si="263"/>
        <v>0.91629177305846088</v>
      </c>
      <c r="AV120" s="47"/>
      <c r="AW120" s="26">
        <f t="shared" si="264"/>
        <v>2.0054546395803792</v>
      </c>
      <c r="AX120" s="26">
        <f t="shared" si="265"/>
        <v>0</v>
      </c>
      <c r="AY120" s="26">
        <f t="shared" si="266"/>
        <v>3.1080497183760005E-3</v>
      </c>
      <c r="AZ120" s="26">
        <f t="shared" si="267"/>
        <v>0</v>
      </c>
      <c r="BA120" s="26">
        <f t="shared" si="268"/>
        <v>0.31153267226662928</v>
      </c>
      <c r="BB120" s="26">
        <f t="shared" si="269"/>
        <v>0</v>
      </c>
      <c r="BC120" s="26">
        <f t="shared" si="270"/>
        <v>1.9409905445707511E-2</v>
      </c>
      <c r="BD120" s="26">
        <f t="shared" si="271"/>
        <v>0.74370449496834246</v>
      </c>
      <c r="BE120" s="26">
        <f t="shared" si="272"/>
        <v>0.90930093844512228</v>
      </c>
      <c r="BF120" s="26">
        <f t="shared" si="273"/>
        <v>7.4892995754432751E-3</v>
      </c>
      <c r="BG120" s="26">
        <f t="shared" si="274"/>
        <v>0</v>
      </c>
      <c r="BH120" s="26">
        <f t="shared" si="275"/>
        <v>0</v>
      </c>
      <c r="BI120" s="26">
        <f t="shared" si="276"/>
        <v>0</v>
      </c>
      <c r="BJ120" s="26">
        <f t="shared" si="277"/>
        <v>0</v>
      </c>
      <c r="BK120" s="25">
        <f t="shared" si="278"/>
        <v>4</v>
      </c>
      <c r="BL120" s="24">
        <f t="shared" si="279"/>
        <v>6.0032640146518457</v>
      </c>
      <c r="BM120" s="26">
        <f t="shared" si="280"/>
        <v>2.0085626892987554</v>
      </c>
      <c r="BN120" s="26">
        <f t="shared" si="281"/>
        <v>0.91679023802056558</v>
      </c>
      <c r="BO120" s="22"/>
      <c r="BP120" s="23">
        <f t="shared" si="282"/>
        <v>0.70477473506459642</v>
      </c>
      <c r="BQ120" s="26">
        <f t="shared" si="283"/>
        <v>0</v>
      </c>
      <c r="BR120" s="26">
        <f t="shared" si="284"/>
        <v>3.1080497183760005E-3</v>
      </c>
      <c r="BS120" s="26"/>
      <c r="BT120" s="26">
        <f t="shared" si="285"/>
        <v>3.1080497183760005E-3</v>
      </c>
      <c r="BU120" s="26">
        <f t="shared" si="286"/>
        <v>0</v>
      </c>
      <c r="BV120" s="26">
        <f t="shared" si="287"/>
        <v>3.1080497183760005E-3</v>
      </c>
      <c r="BW120" s="26">
        <f t="shared" si="288"/>
        <v>0</v>
      </c>
      <c r="BX120" s="26">
        <f t="shared" si="289"/>
        <v>0.90569849574673111</v>
      </c>
      <c r="BY120" s="26">
        <f t="shared" si="290"/>
        <v>7.4482466004040515E-2</v>
      </c>
      <c r="BZ120" s="26">
        <f t="shared" si="291"/>
        <v>0.98639706118752368</v>
      </c>
      <c r="CA120" s="22"/>
      <c r="CB120" s="22">
        <f t="shared" si="292"/>
        <v>0</v>
      </c>
      <c r="CC120" s="22">
        <f t="shared" si="293"/>
        <v>3.1080497183760005E-3</v>
      </c>
      <c r="CD120" s="22">
        <f t="shared" si="294"/>
        <v>0</v>
      </c>
      <c r="CE120" s="22">
        <f t="shared" si="295"/>
        <v>0</v>
      </c>
      <c r="CF120" s="22">
        <f t="shared" si="296"/>
        <v>0</v>
      </c>
      <c r="CG120" s="22">
        <f t="shared" si="297"/>
        <v>0.45465046922256114</v>
      </c>
      <c r="CH120" s="22">
        <f t="shared" si="298"/>
        <v>0.38434857107127146</v>
      </c>
      <c r="CI120" s="22">
        <f t="shared" si="299"/>
        <v>0.1610009597061674</v>
      </c>
      <c r="CJ120" s="22"/>
      <c r="CK120" s="22">
        <f t="shared" si="300"/>
        <v>0.45832901535012238</v>
      </c>
      <c r="CL120" s="22">
        <f t="shared" si="301"/>
        <v>0.37486087881220409</v>
      </c>
      <c r="CM120" s="22">
        <f t="shared" si="302"/>
        <v>0.1668101058376735</v>
      </c>
      <c r="CN120" s="1"/>
      <c r="CO120" s="26">
        <f t="shared" si="303"/>
        <v>0.8986351531291612</v>
      </c>
      <c r="CP120" s="26">
        <f t="shared" si="304"/>
        <v>0</v>
      </c>
      <c r="CQ120" s="26">
        <f t="shared" si="305"/>
        <v>1.3927030207924677E-3</v>
      </c>
      <c r="CR120" s="26">
        <f t="shared" si="306"/>
        <v>0</v>
      </c>
      <c r="CS120" s="26">
        <f t="shared" si="307"/>
        <v>0.1395963813500348</v>
      </c>
      <c r="CT120" s="26">
        <f t="shared" si="308"/>
        <v>8.697490837327319E-3</v>
      </c>
      <c r="CU120" s="26">
        <f t="shared" si="309"/>
        <v>0.33325062034739455</v>
      </c>
      <c r="CV120" s="26">
        <f t="shared" si="310"/>
        <v>0.40745363766048504</v>
      </c>
      <c r="CW120" s="26">
        <f t="shared" si="311"/>
        <v>3.355921264924169E-3</v>
      </c>
      <c r="CX120" s="26">
        <f t="shared" si="312"/>
        <v>0</v>
      </c>
      <c r="CY120" s="26">
        <f t="shared" si="313"/>
        <v>0</v>
      </c>
      <c r="CZ120" s="26">
        <f t="shared" si="314"/>
        <v>0</v>
      </c>
      <c r="DA120" s="26">
        <f t="shared" si="315"/>
        <v>0</v>
      </c>
      <c r="DB120" s="26">
        <f t="shared" si="316"/>
        <v>1.7923819076101195</v>
      </c>
      <c r="DC120" s="26">
        <f t="shared" si="317"/>
        <v>2.6900354516172147</v>
      </c>
      <c r="DD120" s="26">
        <f t="shared" si="318"/>
        <v>2.2316672484902607</v>
      </c>
      <c r="DE120" s="26">
        <f t="shared" si="319"/>
        <v>6.0032640146518448</v>
      </c>
      <c r="DF120" s="1"/>
      <c r="DG120" s="22">
        <v>5.0058278086316053</v>
      </c>
      <c r="DH120" s="14">
        <v>3195.0972719446177</v>
      </c>
      <c r="DI120" s="14">
        <v>84112.810647580947</v>
      </c>
      <c r="DJ120" s="14">
        <v>6695.1315852093931</v>
      </c>
      <c r="DK120" s="14">
        <v>262201.49244605028</v>
      </c>
      <c r="DL120" s="14">
        <v>148298.00411621583</v>
      </c>
      <c r="DM120" s="96">
        <v>157.77481886712098</v>
      </c>
      <c r="DN120" s="14">
        <v>1494.4672357495278</v>
      </c>
      <c r="DO120" s="96">
        <v>280.2270711370187</v>
      </c>
      <c r="DP120" s="22">
        <v>143.79692445759795</v>
      </c>
      <c r="DQ120" s="14">
        <v>2332.8112007652776</v>
      </c>
      <c r="DR120" s="22">
        <v>39.03572402741635</v>
      </c>
      <c r="DS120" s="22">
        <v>38.46745089158739</v>
      </c>
      <c r="DT120" s="22">
        <v>4.8688053741678736</v>
      </c>
      <c r="DU120" s="22">
        <v>49.048174838809317</v>
      </c>
      <c r="DV120" s="22">
        <v>11.486978152632579</v>
      </c>
      <c r="DW120" s="22">
        <v>6.1639967329654182</v>
      </c>
      <c r="DX120" s="22">
        <v>7.8138007104148626</v>
      </c>
      <c r="DY120" s="22">
        <v>51.353053560615152</v>
      </c>
      <c r="DZ120" s="22">
        <v>32.850774942937967</v>
      </c>
      <c r="EA120" s="22">
        <v>0.41012600872790433</v>
      </c>
      <c r="EB120" s="22">
        <v>0.57944441850697492</v>
      </c>
      <c r="EC120" s="22">
        <v>4.3153018071816378</v>
      </c>
      <c r="ED120" s="22">
        <v>3.5084125839232554</v>
      </c>
      <c r="EE120" s="22">
        <v>12.971848739079459</v>
      </c>
      <c r="EF120" s="22">
        <v>2.225825233083655</v>
      </c>
      <c r="EG120" s="22">
        <v>13.1895307090263</v>
      </c>
      <c r="EH120" s="22">
        <v>5.0055268505638848</v>
      </c>
      <c r="EI120" s="22">
        <v>0.7495389841639426</v>
      </c>
      <c r="EJ120" s="22">
        <v>7.3234733593442014</v>
      </c>
      <c r="EK120" s="22">
        <v>1.3712366126701927</v>
      </c>
      <c r="EL120" s="22">
        <v>8.6806852458235788</v>
      </c>
      <c r="EM120" s="22">
        <v>1.9004017270362477</v>
      </c>
      <c r="EN120" s="22">
        <v>5.8462130392259688</v>
      </c>
      <c r="EO120" s="22">
        <v>0.87256086986813286</v>
      </c>
      <c r="EP120" s="22">
        <v>6.0288605180490675</v>
      </c>
      <c r="EQ120" s="22">
        <v>0.86211876409854027</v>
      </c>
      <c r="ER120" s="22">
        <v>1.5540657044035722</v>
      </c>
      <c r="ES120" s="22">
        <v>0</v>
      </c>
      <c r="ET120" s="22">
        <v>1.7631372716599529</v>
      </c>
      <c r="EU120" s="22">
        <v>0.49013083577914646</v>
      </c>
      <c r="EV120" s="22">
        <v>0.18714010136592071</v>
      </c>
      <c r="EW120" s="22">
        <f>(EI120/0.05883)/SQRT((EH120/0.1536)*(EJ120/0.2069))</f>
        <v>0.37513516781519618</v>
      </c>
      <c r="EX120" s="22"/>
      <c r="EY120" s="22"/>
      <c r="EZ120" s="22"/>
      <c r="FA120" s="22"/>
      <c r="FB120" s="22"/>
      <c r="FC120" s="22"/>
      <c r="FD120" s="22"/>
      <c r="FE120" s="22"/>
      <c r="FF120" s="22"/>
      <c r="FG120" s="22"/>
      <c r="FH120" s="22"/>
      <c r="FI120" s="22">
        <f>-0.50354-2.23025*BP120+ N("eqn 18 Mg# R2 0.28 best")</f>
        <v>-2.0753638528778162</v>
      </c>
      <c r="FJ120" s="22"/>
      <c r="FK120" s="22">
        <f xml:space="preserve"> -0.03692  +  0.931085 + FX120   + N("488 NN Dy")</f>
        <v>0.8941650000000001</v>
      </c>
      <c r="FL120" s="22">
        <f>-0.48986  +   0    +   (1.071278 + 0) * GD120  +N("eqn 119 LnD Hf  (which has R2 of 0.51 for TS")</f>
        <v>-0.48986000000000002</v>
      </c>
      <c r="FM120" s="22"/>
      <c r="FN120" s="22"/>
      <c r="FO120" s="22">
        <f>3.94011-11.9214*BP120</f>
        <v>-4.4617915265990797</v>
      </c>
      <c r="FP120" s="22">
        <f xml:space="preserve">  -0.49862 +   1.013256 * FQ120 + N("294 NN")</f>
        <v>-0.49862000000000001</v>
      </c>
      <c r="FQ120" s="46"/>
      <c r="FR120" s="46"/>
      <c r="FS120" s="46"/>
      <c r="FT120" s="46"/>
      <c r="FU120" s="46"/>
      <c r="FV120" s="46"/>
      <c r="FW120" s="46"/>
      <c r="FX120" s="46"/>
      <c r="FY120" s="46"/>
      <c r="FZ120" s="46"/>
      <c r="GA120" s="46"/>
      <c r="GB120" s="46"/>
      <c r="GC120" s="46"/>
      <c r="GD120" s="46"/>
      <c r="GE120" s="46"/>
      <c r="GF120" s="46"/>
      <c r="GG120" s="46"/>
      <c r="GH120" s="46"/>
    </row>
    <row r="121" spans="1:190" x14ac:dyDescent="0.25">
      <c r="A121" s="5" t="s">
        <v>88</v>
      </c>
      <c r="B121" s="1">
        <v>897</v>
      </c>
      <c r="C121" s="98" t="s">
        <v>100</v>
      </c>
      <c r="D121" s="98" t="s">
        <v>104</v>
      </c>
      <c r="E121" s="1">
        <v>55</v>
      </c>
      <c r="F121" s="22">
        <v>54.18</v>
      </c>
      <c r="G121" s="22">
        <v>4.2999999999999997E-2</v>
      </c>
      <c r="H121" s="22">
        <v>0.27400000000000002</v>
      </c>
      <c r="I121" s="22">
        <v>0</v>
      </c>
      <c r="J121" s="22">
        <v>8.8800000000000008</v>
      </c>
      <c r="K121" s="22">
        <v>0.30499999999999999</v>
      </c>
      <c r="L121" s="22">
        <v>13.12</v>
      </c>
      <c r="M121" s="22">
        <v>24.23</v>
      </c>
      <c r="N121" s="22">
        <v>0.24199999999999999</v>
      </c>
      <c r="O121" s="22">
        <v>0</v>
      </c>
      <c r="P121" s="22">
        <v>0</v>
      </c>
      <c r="Q121" s="22"/>
      <c r="R121" s="22"/>
      <c r="S121" s="22">
        <f t="shared" si="244"/>
        <v>101.27400000000002</v>
      </c>
      <c r="T121" s="3"/>
      <c r="U121" s="22">
        <f t="shared" si="245"/>
        <v>8.8800000000000008</v>
      </c>
      <c r="V121" s="22">
        <f t="shared" si="246"/>
        <v>0</v>
      </c>
      <c r="W121" s="22">
        <f t="shared" si="247"/>
        <v>101.274</v>
      </c>
      <c r="X121" s="1"/>
      <c r="Y121" s="1"/>
      <c r="Z121" s="1"/>
      <c r="AA121" s="1" t="s">
        <v>185</v>
      </c>
      <c r="AC121" s="1">
        <v>6</v>
      </c>
      <c r="AD121" s="1">
        <v>4</v>
      </c>
      <c r="AE121" s="1"/>
      <c r="AF121" s="26">
        <f t="shared" si="248"/>
        <v>2.0024015279096536</v>
      </c>
      <c r="AG121" s="26">
        <f t="shared" si="249"/>
        <v>1.195287810652606E-3</v>
      </c>
      <c r="AH121" s="26">
        <f t="shared" si="250"/>
        <v>1.1934186569421143E-2</v>
      </c>
      <c r="AI121" s="26">
        <f t="shared" si="251"/>
        <v>0</v>
      </c>
      <c r="AJ121" s="26">
        <f t="shared" si="252"/>
        <v>0.27442791409641532</v>
      </c>
      <c r="AK121" s="26">
        <f t="shared" si="253"/>
        <v>9.5466444116068267E-3</v>
      </c>
      <c r="AL121" s="26">
        <f t="shared" si="254"/>
        <v>0.72288777478901478</v>
      </c>
      <c r="AM121" s="26">
        <f t="shared" si="255"/>
        <v>0.95937301916313822</v>
      </c>
      <c r="AN121" s="26">
        <f t="shared" si="256"/>
        <v>1.7339472490160442E-2</v>
      </c>
      <c r="AO121" s="26">
        <f t="shared" si="257"/>
        <v>0</v>
      </c>
      <c r="AP121" s="26">
        <f t="shared" si="258"/>
        <v>0</v>
      </c>
      <c r="AQ121" s="26">
        <f t="shared" si="259"/>
        <v>0</v>
      </c>
      <c r="AR121" s="26">
        <f t="shared" si="260"/>
        <v>0</v>
      </c>
      <c r="AS121" s="26">
        <f t="shared" si="261"/>
        <v>3.9991058272400632</v>
      </c>
      <c r="AT121" s="26">
        <f t="shared" si="262"/>
        <v>2.014335714479075</v>
      </c>
      <c r="AU121" s="26">
        <f t="shared" si="263"/>
        <v>0.97671249165329865</v>
      </c>
      <c r="AV121" s="47"/>
      <c r="AW121" s="26">
        <f t="shared" si="264"/>
        <v>2.0028492512203293</v>
      </c>
      <c r="AX121" s="26">
        <f t="shared" si="265"/>
        <v>1.1955550688464978E-3</v>
      </c>
      <c r="AY121" s="26">
        <f t="shared" si="266"/>
        <v>1.1936854972059978E-2</v>
      </c>
      <c r="AZ121" s="26">
        <f t="shared" si="267"/>
        <v>0</v>
      </c>
      <c r="BA121" s="26">
        <f t="shared" si="268"/>
        <v>0.27448927430440978</v>
      </c>
      <c r="BB121" s="26">
        <f t="shared" si="269"/>
        <v>0</v>
      </c>
      <c r="BC121" s="26">
        <f t="shared" si="270"/>
        <v>9.5487789761196026E-3</v>
      </c>
      <c r="BD121" s="26">
        <f t="shared" si="271"/>
        <v>0.72304940756009695</v>
      </c>
      <c r="BE121" s="26">
        <f t="shared" si="272"/>
        <v>0.95958752842031037</v>
      </c>
      <c r="BF121" s="26">
        <f t="shared" si="273"/>
        <v>1.7343349477827726E-2</v>
      </c>
      <c r="BG121" s="26">
        <f t="shared" si="274"/>
        <v>0</v>
      </c>
      <c r="BH121" s="26">
        <f t="shared" si="275"/>
        <v>0</v>
      </c>
      <c r="BI121" s="26">
        <f t="shared" si="276"/>
        <v>0</v>
      </c>
      <c r="BJ121" s="26">
        <f t="shared" si="277"/>
        <v>0</v>
      </c>
      <c r="BK121" s="25">
        <f t="shared" si="278"/>
        <v>4</v>
      </c>
      <c r="BL121" s="24">
        <f t="shared" si="279"/>
        <v>6.001341559036292</v>
      </c>
      <c r="BM121" s="26">
        <f t="shared" si="280"/>
        <v>2.0147861061923891</v>
      </c>
      <c r="BN121" s="26">
        <f t="shared" si="281"/>
        <v>0.97693087789813804</v>
      </c>
      <c r="BO121" s="22"/>
      <c r="BP121" s="23">
        <f t="shared" si="282"/>
        <v>0.72483345328387683</v>
      </c>
      <c r="BQ121" s="26">
        <f t="shared" si="283"/>
        <v>0</v>
      </c>
      <c r="BR121" s="26">
        <f t="shared" si="284"/>
        <v>1.1936854972059978E-2</v>
      </c>
      <c r="BS121" s="26"/>
      <c r="BT121" s="26">
        <f t="shared" si="285"/>
        <v>1.1936854972059978E-2</v>
      </c>
      <c r="BU121" s="26">
        <f t="shared" si="286"/>
        <v>0</v>
      </c>
      <c r="BV121" s="26">
        <f t="shared" si="287"/>
        <v>1.1936854972059978E-2</v>
      </c>
      <c r="BW121" s="26">
        <f t="shared" si="288"/>
        <v>0</v>
      </c>
      <c r="BX121" s="26">
        <f t="shared" si="289"/>
        <v>0.94743616419107823</v>
      </c>
      <c r="BY121" s="26">
        <f t="shared" si="290"/>
        <v>2.4939762347175931E-2</v>
      </c>
      <c r="BZ121" s="26">
        <f t="shared" si="291"/>
        <v>0.99624963648237408</v>
      </c>
      <c r="CA121" s="22"/>
      <c r="CB121" s="22">
        <f t="shared" si="292"/>
        <v>0</v>
      </c>
      <c r="CC121" s="22">
        <f t="shared" si="293"/>
        <v>1.1936854972059978E-2</v>
      </c>
      <c r="CD121" s="22">
        <f t="shared" si="294"/>
        <v>0</v>
      </c>
      <c r="CE121" s="22">
        <f t="shared" si="295"/>
        <v>0</v>
      </c>
      <c r="CF121" s="22">
        <f t="shared" si="296"/>
        <v>0</v>
      </c>
      <c r="CG121" s="22">
        <f t="shared" si="297"/>
        <v>0.47979376421015518</v>
      </c>
      <c r="CH121" s="22">
        <f t="shared" si="298"/>
        <v>0.37706288230735985</v>
      </c>
      <c r="CI121" s="22">
        <f t="shared" si="299"/>
        <v>0.14314335348248494</v>
      </c>
      <c r="CJ121" s="22"/>
      <c r="CK121" s="22">
        <f t="shared" si="300"/>
        <v>0.48792379709924361</v>
      </c>
      <c r="CL121" s="22">
        <f t="shared" si="301"/>
        <v>0.36765068529793732</v>
      </c>
      <c r="CM121" s="22">
        <f t="shared" si="302"/>
        <v>0.14442551760281905</v>
      </c>
      <c r="CN121" s="1"/>
      <c r="CO121" s="26">
        <f t="shared" si="303"/>
        <v>0.90179760319573898</v>
      </c>
      <c r="CP121" s="26">
        <f t="shared" si="304"/>
        <v>5.3830746119178769E-4</v>
      </c>
      <c r="CQ121" s="26">
        <f t="shared" si="305"/>
        <v>5.3746567281286782E-3</v>
      </c>
      <c r="CR121" s="26">
        <f t="shared" si="306"/>
        <v>0</v>
      </c>
      <c r="CS121" s="26">
        <f t="shared" si="307"/>
        <v>0.1235908141962422</v>
      </c>
      <c r="CT121" s="26">
        <f t="shared" si="308"/>
        <v>4.2994079503806031E-3</v>
      </c>
      <c r="CU121" s="26">
        <f t="shared" si="309"/>
        <v>0.32555831265508683</v>
      </c>
      <c r="CV121" s="26">
        <f t="shared" si="310"/>
        <v>0.43206134094151216</v>
      </c>
      <c r="CW121" s="26">
        <f t="shared" si="311"/>
        <v>7.8089706356889322E-3</v>
      </c>
      <c r="CX121" s="26">
        <f t="shared" si="312"/>
        <v>0</v>
      </c>
      <c r="CY121" s="26">
        <f t="shared" si="313"/>
        <v>0</v>
      </c>
      <c r="CZ121" s="26">
        <f t="shared" si="314"/>
        <v>0</v>
      </c>
      <c r="DA121" s="26">
        <f t="shared" si="315"/>
        <v>0</v>
      </c>
      <c r="DB121" s="26">
        <f t="shared" si="316"/>
        <v>1.8010294137639702</v>
      </c>
      <c r="DC121" s="26">
        <f t="shared" si="317"/>
        <v>2.7021481674671208</v>
      </c>
      <c r="DD121" s="26">
        <f t="shared" si="318"/>
        <v>2.2209520674292613</v>
      </c>
      <c r="DE121" s="26">
        <f t="shared" si="319"/>
        <v>6.001341559036292</v>
      </c>
      <c r="DF121" s="1"/>
      <c r="DG121" s="22"/>
      <c r="DH121" s="14"/>
      <c r="DI121" s="14"/>
      <c r="DJ121" s="14"/>
      <c r="DK121" s="14"/>
      <c r="DL121" s="14"/>
      <c r="DM121" s="96"/>
      <c r="DN121" s="14"/>
      <c r="DO121" s="96"/>
      <c r="DP121" s="22"/>
      <c r="DQ121" s="14"/>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46">
        <f t="shared" ref="FQ121:FQ123" si="458" xml:space="preserve">  -0.73306   +   1.025016   *  FS121     +N("316 NN Nd")</f>
        <v>-1.4054860461820942</v>
      </c>
      <c r="FR121" s="46">
        <f t="shared" ref="FR121:FR123" si="459" xml:space="preserve">  -0.33671   +   1.013871 *  FS121    +N("340 NN")</f>
        <v>-1.0018247571049486</v>
      </c>
      <c r="FS121" s="46">
        <f t="shared" ref="FS121:FS123" si="460">-0.42496     +   1.017678*FT121                 + N("361 NN")</f>
        <v>-0.65601517067254966</v>
      </c>
      <c r="FT121" s="46">
        <f xml:space="preserve"> 0.68509  -3.34181 * BP121 + 0.03095*(100*CK121) +N("642 cpx Mg# Wo R2 0.59")</f>
        <v>-0.22704153049643372</v>
      </c>
      <c r="FU121" s="46">
        <f t="shared" ref="FU121:FU123" si="461" xml:space="preserve"> -0.06599 + 0.926002 * FT121  + N("409 NN")</f>
        <v>-0.27623091132275862</v>
      </c>
      <c r="FV121" s="46">
        <f t="shared" ref="FV121:FV123" si="462">0.1453     +   0.925549*FT121     +N("424 LnD Sm")</f>
        <v>-6.4838061509443712E-2</v>
      </c>
      <c r="FW121" s="46">
        <f t="shared" ref="FW121:FW123" si="463" xml:space="preserve">  0.053547 + 0.932974 * FV121  +  N("445 NN")</f>
        <v>-6.9452255987117392E-3</v>
      </c>
      <c r="FX121" s="46">
        <f t="shared" ref="FX121:FX123" si="464" xml:space="preserve">  0.027177  +  0.867603 * FV121 + N("464 NN Gd")</f>
        <v>-2.9076696679777893E-2</v>
      </c>
      <c r="FY121" s="46">
        <f t="shared" ref="FY121:FY123" si="465" xml:space="preserve">  -0.06187  +  0.953618 * FX121   + N("505 NN Dy")</f>
        <v>-8.9598061334376436E-2</v>
      </c>
      <c r="FZ121" s="46">
        <f t="shared" ref="FZ121:FZ123" si="466" xml:space="preserve"> -0.05652 + 0.972005*FY121   +N("533 NN")</f>
        <v>-0.14360976360732058</v>
      </c>
      <c r="GA121" s="46">
        <f t="shared" ref="GA121:GA123" si="467" xml:space="preserve">     0.018586 + 0.960264 * FZ121    +N("549 LnD Er")</f>
        <v>-0.11931728604062011</v>
      </c>
      <c r="GB121" s="46">
        <f t="shared" ref="GB121:GB123" si="468" xml:space="preserve"> -0.02011 + 0.936315 * FZ121    +N("574 NN Er")</f>
        <v>-0.15457397581198837</v>
      </c>
      <c r="GC121" s="46">
        <f t="shared" ref="GC121:GC123" si="469" xml:space="preserve">   0.01732 + 1.006083 * GB121  +N("597 NN Yb")</f>
        <v>-0.1381942493068527</v>
      </c>
      <c r="GD121" s="46">
        <f>(-1.72947 +0 ) * (3.46258+0) * BQ121   - (1.87473 + 0) *BP121   + (0.03253+0) * (CK121*100)    +N("eqn625 aliv mg# wo")</f>
        <v>0.22834909208895726</v>
      </c>
      <c r="GE121" s="46"/>
      <c r="GF121" s="46"/>
      <c r="GG121" s="46"/>
      <c r="GH121" s="46"/>
    </row>
    <row r="122" spans="1:190" x14ac:dyDescent="0.25">
      <c r="A122" s="5" t="s">
        <v>83</v>
      </c>
      <c r="B122" s="1">
        <v>71</v>
      </c>
      <c r="C122" s="98" t="s">
        <v>96</v>
      </c>
      <c r="D122" s="98" t="s">
        <v>103</v>
      </c>
      <c r="E122" s="1">
        <v>102</v>
      </c>
      <c r="F122" s="22">
        <v>47.72</v>
      </c>
      <c r="G122" s="22">
        <v>1.82</v>
      </c>
      <c r="H122" s="22">
        <v>5.1100000000000003</v>
      </c>
      <c r="I122" s="22">
        <v>0.02</v>
      </c>
      <c r="J122" s="22">
        <v>12.09</v>
      </c>
      <c r="K122" s="22">
        <v>0.26300000000000001</v>
      </c>
      <c r="L122" s="22">
        <v>12.72</v>
      </c>
      <c r="M122" s="22">
        <v>19.190000000000001</v>
      </c>
      <c r="N122" s="22">
        <v>0.38200000000000001</v>
      </c>
      <c r="O122" s="22">
        <v>7.0000000000000001E-3</v>
      </c>
      <c r="P122" s="22">
        <v>0</v>
      </c>
      <c r="Q122" s="22"/>
      <c r="R122" s="22"/>
      <c r="S122" s="22">
        <f t="shared" si="244"/>
        <v>99.322000000000017</v>
      </c>
      <c r="T122" s="3"/>
      <c r="U122" s="22">
        <f t="shared" si="245"/>
        <v>9.3820495431379243</v>
      </c>
      <c r="V122" s="22">
        <f t="shared" si="246"/>
        <v>3.0093453427108248</v>
      </c>
      <c r="W122" s="22">
        <f t="shared" si="247"/>
        <v>99.623394885848754</v>
      </c>
      <c r="X122" s="1"/>
      <c r="Y122" s="1"/>
      <c r="Z122" s="1"/>
      <c r="AA122" s="1" t="s">
        <v>187</v>
      </c>
      <c r="AC122" s="1">
        <v>6</v>
      </c>
      <c r="AD122" s="1">
        <v>4</v>
      </c>
      <c r="AE122" s="1"/>
      <c r="AF122" s="26">
        <f t="shared" si="248"/>
        <v>1.8183245469487364</v>
      </c>
      <c r="AG122" s="26">
        <f t="shared" si="249"/>
        <v>5.2159596420206011E-2</v>
      </c>
      <c r="AH122" s="26">
        <f t="shared" si="250"/>
        <v>0.22946790976051096</v>
      </c>
      <c r="AI122" s="26">
        <f t="shared" si="251"/>
        <v>6.0248448416517499E-4</v>
      </c>
      <c r="AJ122" s="26">
        <f t="shared" si="252"/>
        <v>0.38521254227088497</v>
      </c>
      <c r="AK122" s="26">
        <f t="shared" si="253"/>
        <v>8.4872199058336917E-3</v>
      </c>
      <c r="AL122" s="26">
        <f t="shared" si="254"/>
        <v>0.72257504034611064</v>
      </c>
      <c r="AM122" s="26">
        <f t="shared" si="255"/>
        <v>0.78337166788480939</v>
      </c>
      <c r="AN122" s="26">
        <f t="shared" si="256"/>
        <v>2.8219068730104237E-2</v>
      </c>
      <c r="AO122" s="26">
        <f t="shared" si="257"/>
        <v>3.402342448183942E-4</v>
      </c>
      <c r="AP122" s="26">
        <f t="shared" si="258"/>
        <v>0</v>
      </c>
      <c r="AQ122" s="26">
        <f t="shared" si="259"/>
        <v>0</v>
      </c>
      <c r="AR122" s="26">
        <f t="shared" si="260"/>
        <v>0</v>
      </c>
      <c r="AS122" s="26">
        <f t="shared" si="261"/>
        <v>4.02876031099618</v>
      </c>
      <c r="AT122" s="26">
        <f t="shared" si="262"/>
        <v>2.0477924567092471</v>
      </c>
      <c r="AU122" s="26">
        <f t="shared" si="263"/>
        <v>0.81193097085973209</v>
      </c>
      <c r="AV122" s="47"/>
      <c r="AW122" s="26">
        <f t="shared" si="264"/>
        <v>1.8053439833447178</v>
      </c>
      <c r="AX122" s="26">
        <f t="shared" si="265"/>
        <v>5.1787242122933515E-2</v>
      </c>
      <c r="AY122" s="26">
        <f t="shared" si="266"/>
        <v>0.22782979581505175</v>
      </c>
      <c r="AZ122" s="26">
        <f t="shared" si="267"/>
        <v>5.9818349830417241E-4</v>
      </c>
      <c r="BA122" s="26">
        <f t="shared" si="268"/>
        <v>0.2967976113807867</v>
      </c>
      <c r="BB122" s="26">
        <f t="shared" si="269"/>
        <v>8.5664995014017364E-2</v>
      </c>
      <c r="BC122" s="26">
        <f t="shared" si="270"/>
        <v>8.4266317682573522E-3</v>
      </c>
      <c r="BD122" s="26">
        <f t="shared" si="271"/>
        <v>0.71741675807706895</v>
      </c>
      <c r="BE122" s="26">
        <f t="shared" si="272"/>
        <v>0.77777937371618677</v>
      </c>
      <c r="BF122" s="26">
        <f t="shared" si="273"/>
        <v>2.8017619864932196E-2</v>
      </c>
      <c r="BG122" s="26">
        <f t="shared" si="274"/>
        <v>3.3780539774456379E-4</v>
      </c>
      <c r="BH122" s="26">
        <f t="shared" si="275"/>
        <v>0</v>
      </c>
      <c r="BI122" s="26">
        <f t="shared" si="276"/>
        <v>0</v>
      </c>
      <c r="BJ122" s="26">
        <f t="shared" si="277"/>
        <v>0</v>
      </c>
      <c r="BK122" s="25">
        <f t="shared" si="278"/>
        <v>4.0000000000000009</v>
      </c>
      <c r="BL122" s="24">
        <f t="shared" si="279"/>
        <v>6</v>
      </c>
      <c r="BM122" s="26">
        <f t="shared" si="280"/>
        <v>2.0331737791597697</v>
      </c>
      <c r="BN122" s="26">
        <f t="shared" si="281"/>
        <v>0.80613479897886353</v>
      </c>
      <c r="BO122" s="22"/>
      <c r="BP122" s="23">
        <f t="shared" si="282"/>
        <v>0.65226858622040751</v>
      </c>
      <c r="BQ122" s="26">
        <f t="shared" si="283"/>
        <v>0.1946560166552822</v>
      </c>
      <c r="BR122" s="26">
        <f t="shared" si="284"/>
        <v>3.3173779159769545E-2</v>
      </c>
      <c r="BS122" s="26"/>
      <c r="BT122" s="26">
        <f t="shared" si="285"/>
        <v>2.8219068730104237E-2</v>
      </c>
      <c r="BU122" s="26">
        <f t="shared" si="286"/>
        <v>5.1561592948373494E-3</v>
      </c>
      <c r="BV122" s="26">
        <f t="shared" si="287"/>
        <v>3.0595699512350871E-2</v>
      </c>
      <c r="BW122" s="26">
        <f t="shared" si="288"/>
        <v>3.012422420825875E-4</v>
      </c>
      <c r="BX122" s="26">
        <f t="shared" si="289"/>
        <v>0.74731856683553854</v>
      </c>
      <c r="BY122" s="26">
        <f t="shared" si="290"/>
        <v>0.18023450789072853</v>
      </c>
      <c r="BZ122" s="26">
        <f t="shared" si="291"/>
        <v>0.99182524450564213</v>
      </c>
      <c r="CA122" s="22"/>
      <c r="CB122" s="22">
        <f t="shared" si="292"/>
        <v>2.8017619864932196E-2</v>
      </c>
      <c r="CC122" s="22">
        <f t="shared" si="293"/>
        <v>0</v>
      </c>
      <c r="CD122" s="22">
        <f t="shared" si="294"/>
        <v>5.7647375149085169E-2</v>
      </c>
      <c r="CE122" s="22">
        <f t="shared" si="295"/>
        <v>5.9818349830417241E-4</v>
      </c>
      <c r="CF122" s="22">
        <f t="shared" si="296"/>
        <v>3.3173779159769545E-2</v>
      </c>
      <c r="CG122" s="22">
        <f t="shared" si="297"/>
        <v>0.35718882788698003</v>
      </c>
      <c r="CH122" s="22">
        <f t="shared" si="298"/>
        <v>0.45470023008997273</v>
      </c>
      <c r="CI122" s="22">
        <f t="shared" si="299"/>
        <v>0.18811094202304726</v>
      </c>
      <c r="CJ122" s="22"/>
      <c r="CK122" s="22">
        <f t="shared" si="300"/>
        <v>0.41237760819607044</v>
      </c>
      <c r="CL122" s="22">
        <f t="shared" si="301"/>
        <v>0.38037342821533299</v>
      </c>
      <c r="CM122" s="22">
        <f t="shared" si="302"/>
        <v>0.20724896358859654</v>
      </c>
      <c r="CN122" s="1"/>
      <c r="CO122" s="26">
        <f t="shared" si="303"/>
        <v>0.7942743009320905</v>
      </c>
      <c r="CP122" s="26">
        <f t="shared" si="304"/>
        <v>2.2784176264396598E-2</v>
      </c>
      <c r="CQ122" s="26">
        <f t="shared" si="305"/>
        <v>0.10023538642604944</v>
      </c>
      <c r="CR122" s="26">
        <f t="shared" si="306"/>
        <v>2.6317520889532203E-4</v>
      </c>
      <c r="CS122" s="26">
        <f t="shared" si="307"/>
        <v>0.16826722338204594</v>
      </c>
      <c r="CT122" s="26">
        <f t="shared" si="308"/>
        <v>3.7073583309839304E-3</v>
      </c>
      <c r="CU122" s="26">
        <f t="shared" si="309"/>
        <v>0.31563275434243182</v>
      </c>
      <c r="CV122" s="26">
        <f t="shared" si="310"/>
        <v>0.34218972895863053</v>
      </c>
      <c r="CW122" s="26">
        <f t="shared" si="311"/>
        <v>1.2326556953856083E-2</v>
      </c>
      <c r="CX122" s="26">
        <f t="shared" si="312"/>
        <v>1.4861995753715499E-4</v>
      </c>
      <c r="CY122" s="26">
        <f t="shared" si="313"/>
        <v>0</v>
      </c>
      <c r="CZ122" s="26">
        <f t="shared" si="314"/>
        <v>0</v>
      </c>
      <c r="DA122" s="26">
        <f t="shared" si="315"/>
        <v>0</v>
      </c>
      <c r="DB122" s="26">
        <f t="shared" si="316"/>
        <v>1.7598292807569169</v>
      </c>
      <c r="DC122" s="26">
        <f t="shared" si="317"/>
        <v>2.6208994503151803</v>
      </c>
      <c r="DD122" s="26">
        <f t="shared" si="318"/>
        <v>2.2729477476812794</v>
      </c>
      <c r="DE122" s="26">
        <f t="shared" si="319"/>
        <v>5.9571675024929922</v>
      </c>
      <c r="DF122" s="1"/>
      <c r="DG122" s="22"/>
      <c r="DH122" s="14"/>
      <c r="DI122" s="14"/>
      <c r="DJ122" s="14"/>
      <c r="DK122" s="14"/>
      <c r="DL122" s="14"/>
      <c r="DM122" s="96"/>
      <c r="DN122" s="14"/>
      <c r="DO122" s="96"/>
      <c r="DP122" s="22"/>
      <c r="DQ122" s="14"/>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46">
        <f t="shared" si="458"/>
        <v>-1.3964289702073001</v>
      </c>
      <c r="FR122" s="46">
        <f t="shared" si="459"/>
        <v>-0.9928661587263472</v>
      </c>
      <c r="FS122" s="46">
        <f t="shared" si="460"/>
        <v>-0.64717913691815543</v>
      </c>
      <c r="FT122" s="46">
        <f xml:space="preserve"> 0.68509  -3.34181 * BP122 + 0.03095*(100*CK122) +N("642 cpx Mg# Wo R2 0.59")</f>
        <v>-0.21835898675038212</v>
      </c>
      <c r="FU122" s="46">
        <f t="shared" si="461"/>
        <v>-0.26819085844882734</v>
      </c>
      <c r="FV122" s="46">
        <f t="shared" si="462"/>
        <v>-5.6801941827829411E-2</v>
      </c>
      <c r="FW122" s="46">
        <f t="shared" si="463"/>
        <v>5.5226512512267928E-4</v>
      </c>
      <c r="FX122" s="46">
        <f t="shared" si="464"/>
        <v>-2.2104535135650284E-2</v>
      </c>
      <c r="FY122" s="46">
        <f t="shared" si="465"/>
        <v>-8.2949282586988554E-2</v>
      </c>
      <c r="FZ122" s="46">
        <f t="shared" si="466"/>
        <v>-0.1371471174209658</v>
      </c>
      <c r="GA122" s="46">
        <f t="shared" si="467"/>
        <v>-0.1131114395631263</v>
      </c>
      <c r="GB122" s="46">
        <f t="shared" si="468"/>
        <v>-0.1485229032480116</v>
      </c>
      <c r="GC122" s="46">
        <f t="shared" si="469"/>
        <v>-0.13210636806846926</v>
      </c>
      <c r="GD122" s="46">
        <f>(-1.72947 +0 ) * (3.46258+0) * BQ122   - (1.87473 + 0) *BP122   + (0.03253+0) * (CK122*100)    +N("eqn625 aliv mg# wo")</f>
        <v>-1.047046712967115</v>
      </c>
      <c r="GE122" s="46"/>
      <c r="GF122" s="46"/>
      <c r="GG122" s="46"/>
      <c r="GH122" s="46"/>
    </row>
    <row r="123" spans="1:190" x14ac:dyDescent="0.25">
      <c r="A123" s="5" t="s">
        <v>83</v>
      </c>
      <c r="B123" s="1">
        <v>73</v>
      </c>
      <c r="C123" s="98" t="s">
        <v>96</v>
      </c>
      <c r="D123" s="98" t="s">
        <v>103</v>
      </c>
      <c r="E123" s="1">
        <v>104</v>
      </c>
      <c r="F123" s="22">
        <v>51.98</v>
      </c>
      <c r="G123" s="22">
        <v>0.59199999999999997</v>
      </c>
      <c r="H123" s="22">
        <v>2.79</v>
      </c>
      <c r="I123" s="22">
        <v>5.1999999999999998E-2</v>
      </c>
      <c r="J123" s="22">
        <v>7.18</v>
      </c>
      <c r="K123" s="22">
        <v>0.22</v>
      </c>
      <c r="L123" s="22">
        <v>15.44</v>
      </c>
      <c r="M123" s="22">
        <v>22.02</v>
      </c>
      <c r="N123" s="22">
        <v>0.29499999999999998</v>
      </c>
      <c r="O123" s="22">
        <v>0</v>
      </c>
      <c r="P123" s="22">
        <v>0</v>
      </c>
      <c r="Q123" s="22"/>
      <c r="R123" s="22"/>
      <c r="S123" s="22">
        <f t="shared" si="244"/>
        <v>100.56899999999999</v>
      </c>
      <c r="T123" s="3"/>
      <c r="U123" s="22">
        <f t="shared" si="245"/>
        <v>5.3651373594512579</v>
      </c>
      <c r="V123" s="22">
        <f t="shared" si="246"/>
        <v>2.0168568524418169</v>
      </c>
      <c r="W123" s="22">
        <f t="shared" si="247"/>
        <v>100.77099421189307</v>
      </c>
      <c r="X123" s="1"/>
      <c r="Y123" s="1"/>
      <c r="Z123" s="1"/>
      <c r="AA123" s="1" t="s">
        <v>185</v>
      </c>
      <c r="AC123" s="1">
        <v>6</v>
      </c>
      <c r="AD123" s="1">
        <v>4</v>
      </c>
      <c r="AE123" s="1"/>
      <c r="AF123" s="26">
        <f t="shared" si="248"/>
        <v>1.9142060744730274</v>
      </c>
      <c r="AG123" s="26">
        <f t="shared" si="249"/>
        <v>1.6397060135453511E-2</v>
      </c>
      <c r="AH123" s="26">
        <f t="shared" si="250"/>
        <v>0.12108398651630323</v>
      </c>
      <c r="AI123" s="26">
        <f t="shared" si="251"/>
        <v>1.5139121107772329E-3</v>
      </c>
      <c r="AJ123" s="26">
        <f t="shared" si="252"/>
        <v>0.2210955546180996</v>
      </c>
      <c r="AK123" s="26">
        <f t="shared" si="253"/>
        <v>6.8614173377484454E-3</v>
      </c>
      <c r="AL123" s="26">
        <f t="shared" si="254"/>
        <v>0.84766565816734318</v>
      </c>
      <c r="AM123" s="26">
        <f t="shared" si="255"/>
        <v>0.86874366080891263</v>
      </c>
      <c r="AN123" s="26">
        <f t="shared" si="256"/>
        <v>2.1061183820625867E-2</v>
      </c>
      <c r="AO123" s="26">
        <f t="shared" si="257"/>
        <v>0</v>
      </c>
      <c r="AP123" s="26">
        <f t="shared" si="258"/>
        <v>0</v>
      </c>
      <c r="AQ123" s="26">
        <f t="shared" si="259"/>
        <v>0</v>
      </c>
      <c r="AR123" s="26">
        <f t="shared" si="260"/>
        <v>0</v>
      </c>
      <c r="AS123" s="26">
        <f t="shared" si="261"/>
        <v>4.0186285079882911</v>
      </c>
      <c r="AT123" s="26">
        <f t="shared" si="262"/>
        <v>2.0352900609893307</v>
      </c>
      <c r="AU123" s="26">
        <f t="shared" si="263"/>
        <v>0.88980484462953846</v>
      </c>
      <c r="AV123" s="47"/>
      <c r="AW123" s="26">
        <f t="shared" si="264"/>
        <v>1.9053326981261791</v>
      </c>
      <c r="AX123" s="26">
        <f t="shared" si="265"/>
        <v>1.632105092855355E-2</v>
      </c>
      <c r="AY123" s="26">
        <f t="shared" si="266"/>
        <v>0.12052269701029659</v>
      </c>
      <c r="AZ123" s="26">
        <f t="shared" si="267"/>
        <v>1.5068943125923244E-3</v>
      </c>
      <c r="BA123" s="26">
        <f t="shared" si="268"/>
        <v>0.16444419316174061</v>
      </c>
      <c r="BB123" s="26">
        <f t="shared" si="269"/>
        <v>5.562646445550623E-2</v>
      </c>
      <c r="BC123" s="26">
        <f t="shared" si="270"/>
        <v>6.829610972110726E-3</v>
      </c>
      <c r="BD123" s="26">
        <f t="shared" si="271"/>
        <v>0.84373627120032701</v>
      </c>
      <c r="BE123" s="26">
        <f t="shared" si="272"/>
        <v>0.86471656594483515</v>
      </c>
      <c r="BF123" s="26">
        <f t="shared" si="273"/>
        <v>2.0963553887860132E-2</v>
      </c>
      <c r="BG123" s="26">
        <f t="shared" si="274"/>
        <v>0</v>
      </c>
      <c r="BH123" s="26">
        <f t="shared" si="275"/>
        <v>0</v>
      </c>
      <c r="BI123" s="26">
        <f t="shared" si="276"/>
        <v>0</v>
      </c>
      <c r="BJ123" s="26">
        <f t="shared" si="277"/>
        <v>0</v>
      </c>
      <c r="BK123" s="25">
        <f t="shared" si="278"/>
        <v>4.0000000000000018</v>
      </c>
      <c r="BL123" s="24">
        <f t="shared" si="279"/>
        <v>6.0000000000000018</v>
      </c>
      <c r="BM123" s="26">
        <f t="shared" si="280"/>
        <v>2.0258553951364755</v>
      </c>
      <c r="BN123" s="26">
        <f t="shared" si="281"/>
        <v>0.88568011983269523</v>
      </c>
      <c r="BO123" s="22"/>
      <c r="BP123" s="23">
        <f t="shared" si="282"/>
        <v>0.79312913682386288</v>
      </c>
      <c r="BQ123" s="26">
        <f t="shared" si="283"/>
        <v>9.4667301873820886E-2</v>
      </c>
      <c r="BR123" s="26">
        <f t="shared" si="284"/>
        <v>2.5855395136475709E-2</v>
      </c>
      <c r="BS123" s="26"/>
      <c r="BT123" s="26">
        <f t="shared" si="285"/>
        <v>2.1061183820625867E-2</v>
      </c>
      <c r="BU123" s="26">
        <f t="shared" si="286"/>
        <v>4.891841248615577E-3</v>
      </c>
      <c r="BV123" s="26">
        <f t="shared" si="287"/>
        <v>2.3409474512167919E-2</v>
      </c>
      <c r="BW123" s="26">
        <f t="shared" si="288"/>
        <v>7.5695605538861647E-4</v>
      </c>
      <c r="BX123" s="26">
        <f t="shared" si="289"/>
        <v>0.83968538899274059</v>
      </c>
      <c r="BY123" s="26">
        <f t="shared" si="290"/>
        <v>0.11453791189635115</v>
      </c>
      <c r="BZ123" s="26">
        <f t="shared" si="291"/>
        <v>1.0043427565258898</v>
      </c>
      <c r="CA123" s="22"/>
      <c r="CB123" s="22">
        <f t="shared" si="292"/>
        <v>2.0963553887860132E-2</v>
      </c>
      <c r="CC123" s="22">
        <f t="shared" si="293"/>
        <v>0</v>
      </c>
      <c r="CD123" s="22">
        <f t="shared" si="294"/>
        <v>3.4662910567646102E-2</v>
      </c>
      <c r="CE123" s="22">
        <f t="shared" si="295"/>
        <v>1.5068943125923244E-3</v>
      </c>
      <c r="CF123" s="22">
        <f t="shared" si="296"/>
        <v>2.5855395136475709E-2</v>
      </c>
      <c r="CG123" s="22">
        <f t="shared" si="297"/>
        <v>0.41182745990799052</v>
      </c>
      <c r="CH123" s="22">
        <f t="shared" si="298"/>
        <v>0.49223578847430854</v>
      </c>
      <c r="CI123" s="22">
        <f t="shared" si="299"/>
        <v>9.5936751617700891E-2</v>
      </c>
      <c r="CJ123" s="22"/>
      <c r="CK123" s="22">
        <f t="shared" si="300"/>
        <v>0.44680041248423835</v>
      </c>
      <c r="CL123" s="22">
        <f t="shared" si="301"/>
        <v>0.4359598611231752</v>
      </c>
      <c r="CM123" s="22">
        <f t="shared" si="302"/>
        <v>0.11723972639258648</v>
      </c>
      <c r="CN123" s="1"/>
      <c r="CO123" s="26">
        <f t="shared" si="303"/>
        <v>0.86517976031957389</v>
      </c>
      <c r="CP123" s="26">
        <f t="shared" si="304"/>
        <v>7.4111166750125187E-3</v>
      </c>
      <c r="CQ123" s="26">
        <f t="shared" si="305"/>
        <v>5.4727344056492745E-2</v>
      </c>
      <c r="CR123" s="26">
        <f t="shared" si="306"/>
        <v>6.8425554312783723E-4</v>
      </c>
      <c r="CS123" s="26">
        <f t="shared" si="307"/>
        <v>9.9930410577592207E-2</v>
      </c>
      <c r="CT123" s="26">
        <f t="shared" si="308"/>
        <v>3.1012122920778123E-3</v>
      </c>
      <c r="CU123" s="26">
        <f t="shared" si="309"/>
        <v>0.38312655086848635</v>
      </c>
      <c r="CV123" s="26">
        <f t="shared" si="310"/>
        <v>0.39265335235378029</v>
      </c>
      <c r="CW123" s="26">
        <f t="shared" si="311"/>
        <v>9.5191997418522106E-3</v>
      </c>
      <c r="CX123" s="26">
        <f t="shared" si="312"/>
        <v>0</v>
      </c>
      <c r="CY123" s="26">
        <f t="shared" si="313"/>
        <v>0</v>
      </c>
      <c r="CZ123" s="26">
        <f t="shared" si="314"/>
        <v>0</v>
      </c>
      <c r="DA123" s="26">
        <f t="shared" si="315"/>
        <v>0</v>
      </c>
      <c r="DB123" s="26">
        <f t="shared" si="316"/>
        <v>1.8163332024279955</v>
      </c>
      <c r="DC123" s="26">
        <f t="shared" si="317"/>
        <v>2.7118702793514666</v>
      </c>
      <c r="DD123" s="26">
        <f t="shared" si="318"/>
        <v>2.2022391016433405</v>
      </c>
      <c r="DE123" s="26">
        <f t="shared" si="319"/>
        <v>5.9721867677722482</v>
      </c>
      <c r="DF123" s="1"/>
      <c r="DG123" s="22"/>
      <c r="DH123" s="14"/>
      <c r="DI123" s="14"/>
      <c r="DJ123" s="14"/>
      <c r="DK123" s="14"/>
      <c r="DL123" s="14"/>
      <c r="DM123" s="96"/>
      <c r="DN123" s="14"/>
      <c r="DO123" s="96"/>
      <c r="DP123" s="22"/>
      <c r="DQ123" s="14"/>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46">
        <f t="shared" si="458"/>
        <v>-1.7763293988181994</v>
      </c>
      <c r="FR123" s="46">
        <f t="shared" si="459"/>
        <v>-1.3686359295944714</v>
      </c>
      <c r="FS123" s="46">
        <f t="shared" si="460"/>
        <v>-1.0178079159917499</v>
      </c>
      <c r="FT123" s="46">
        <f xml:space="preserve"> 0.68509  -3.34181 * BP123 + 0.03095*(100*CK123) +N("642 cpx Mg# Wo R2 0.59")</f>
        <v>-0.58254960409063572</v>
      </c>
      <c r="FU123" s="46">
        <f t="shared" si="461"/>
        <v>-0.60543209848713686</v>
      </c>
      <c r="FV123" s="46">
        <f t="shared" si="462"/>
        <v>-0.39387820351648384</v>
      </c>
      <c r="FW123" s="46">
        <f t="shared" si="463"/>
        <v>-0.31393112304758797</v>
      </c>
      <c r="FX123" s="46">
        <f t="shared" si="464"/>
        <v>-0.31455291100551191</v>
      </c>
      <c r="FY123" s="46">
        <f t="shared" si="465"/>
        <v>-0.36183331788725426</v>
      </c>
      <c r="FZ123" s="46">
        <f t="shared" si="466"/>
        <v>-0.40822379415300059</v>
      </c>
      <c r="GA123" s="46">
        <f t="shared" si="467"/>
        <v>-0.37341661346853694</v>
      </c>
      <c r="GB123" s="46">
        <f t="shared" si="468"/>
        <v>-0.40233606182236675</v>
      </c>
      <c r="GC123" s="46">
        <f t="shared" si="469"/>
        <v>-0.38746347208643223</v>
      </c>
      <c r="GD123" s="46">
        <f>(-1.72947 +0 ) * (3.46258+0) * BQ123   - (1.87473 + 0) *BP123   + (0.03253+0) * (CK123*100)    +N("eqn625 aliv mg# wo")</f>
        <v>-0.60036958811182894</v>
      </c>
      <c r="GE123" s="46"/>
      <c r="GF123" s="46"/>
      <c r="GG123" s="46"/>
      <c r="GH123" s="46"/>
    </row>
    <row r="124" spans="1:190" x14ac:dyDescent="0.25">
      <c r="A124" s="5" t="s">
        <v>83</v>
      </c>
      <c r="B124" s="1">
        <v>74</v>
      </c>
      <c r="C124" s="98" t="s">
        <v>96</v>
      </c>
      <c r="D124" s="98" t="s">
        <v>103</v>
      </c>
      <c r="E124" s="1">
        <v>105</v>
      </c>
      <c r="F124" s="22">
        <v>51.21</v>
      </c>
      <c r="G124" s="22">
        <v>0.64100000000000001</v>
      </c>
      <c r="H124" s="22">
        <v>3.34</v>
      </c>
      <c r="I124" s="22">
        <v>3.1E-2</v>
      </c>
      <c r="J124" s="22">
        <v>8.0500000000000007</v>
      </c>
      <c r="K124" s="22">
        <v>0.193</v>
      </c>
      <c r="L124" s="22">
        <v>14.6</v>
      </c>
      <c r="M124" s="22">
        <v>22.12</v>
      </c>
      <c r="N124" s="22">
        <v>0.26300000000000001</v>
      </c>
      <c r="O124" s="22">
        <v>0.01</v>
      </c>
      <c r="P124" s="22">
        <v>0</v>
      </c>
      <c r="Q124" s="22"/>
      <c r="R124" s="22"/>
      <c r="S124" s="22">
        <f t="shared" si="244"/>
        <v>100.45800000000001</v>
      </c>
      <c r="T124" s="3"/>
      <c r="U124" s="22">
        <f t="shared" si="245"/>
        <v>6.0030818603542722</v>
      </c>
      <c r="V124" s="22">
        <f t="shared" si="246"/>
        <v>2.2747401285882982</v>
      </c>
      <c r="W124" s="22">
        <f t="shared" si="247"/>
        <v>100.68582198894256</v>
      </c>
      <c r="X124" s="1"/>
      <c r="Y124" s="1"/>
      <c r="Z124" s="1"/>
      <c r="AA124" s="1" t="s">
        <v>185</v>
      </c>
      <c r="AC124" s="1">
        <v>6</v>
      </c>
      <c r="AD124" s="1">
        <v>4</v>
      </c>
      <c r="AE124" s="1"/>
      <c r="AF124" s="26">
        <f t="shared" si="248"/>
        <v>1.8973101748296877</v>
      </c>
      <c r="AG124" s="26">
        <f t="shared" si="249"/>
        <v>1.7862138694693833E-2</v>
      </c>
      <c r="AH124" s="26">
        <f t="shared" si="250"/>
        <v>0.14583444714587407</v>
      </c>
      <c r="AI124" s="26">
        <f t="shared" si="251"/>
        <v>9.0800901091584742E-4</v>
      </c>
      <c r="AJ124" s="26">
        <f t="shared" si="252"/>
        <v>0.24939204234432227</v>
      </c>
      <c r="AK124" s="26">
        <f t="shared" si="253"/>
        <v>6.055912740170301E-3</v>
      </c>
      <c r="AL124" s="26">
        <f t="shared" si="254"/>
        <v>0.80642000628706278</v>
      </c>
      <c r="AM124" s="26">
        <f t="shared" si="255"/>
        <v>0.87799208655506089</v>
      </c>
      <c r="AN124" s="26">
        <f t="shared" si="256"/>
        <v>1.8890682819990432E-2</v>
      </c>
      <c r="AO124" s="26">
        <f t="shared" si="257"/>
        <v>4.7259875888329449E-4</v>
      </c>
      <c r="AP124" s="26">
        <f t="shared" si="258"/>
        <v>0</v>
      </c>
      <c r="AQ124" s="26">
        <f t="shared" si="259"/>
        <v>0</v>
      </c>
      <c r="AR124" s="26">
        <f t="shared" si="260"/>
        <v>0</v>
      </c>
      <c r="AS124" s="26">
        <f t="shared" si="261"/>
        <v>4.0211380991866621</v>
      </c>
      <c r="AT124" s="26">
        <f t="shared" si="262"/>
        <v>2.0431446219755616</v>
      </c>
      <c r="AU124" s="26">
        <f t="shared" si="263"/>
        <v>0.89735536813393457</v>
      </c>
      <c r="AV124" s="47"/>
      <c r="AW124" s="26">
        <f t="shared" si="264"/>
        <v>1.8873364983047445</v>
      </c>
      <c r="AX124" s="26">
        <f t="shared" si="265"/>
        <v>1.7768241979360749E-2</v>
      </c>
      <c r="AY124" s="26">
        <f t="shared" si="266"/>
        <v>0.14506783258736761</v>
      </c>
      <c r="AZ124" s="26">
        <f t="shared" si="267"/>
        <v>9.0323583872884794E-4</v>
      </c>
      <c r="BA124" s="26">
        <f t="shared" si="268"/>
        <v>0.18500010713081749</v>
      </c>
      <c r="BB124" s="26">
        <f t="shared" si="269"/>
        <v>6.3080944743293177E-2</v>
      </c>
      <c r="BC124" s="26">
        <f t="shared" si="270"/>
        <v>6.0240783487592276E-3</v>
      </c>
      <c r="BD124" s="26">
        <f t="shared" si="271"/>
        <v>0.80218086163235613</v>
      </c>
      <c r="BE124" s="26">
        <f t="shared" si="272"/>
        <v>0.87337670569697534</v>
      </c>
      <c r="BF124" s="26">
        <f t="shared" si="273"/>
        <v>1.8791379310062858E-2</v>
      </c>
      <c r="BG124" s="26">
        <f t="shared" si="274"/>
        <v>4.7011442753372239E-4</v>
      </c>
      <c r="BH124" s="26">
        <f t="shared" si="275"/>
        <v>0</v>
      </c>
      <c r="BI124" s="26">
        <f t="shared" si="276"/>
        <v>0</v>
      </c>
      <c r="BJ124" s="26">
        <f t="shared" si="277"/>
        <v>0</v>
      </c>
      <c r="BK124" s="25">
        <f t="shared" si="278"/>
        <v>3.9999999999999991</v>
      </c>
      <c r="BL124" s="24">
        <f t="shared" si="279"/>
        <v>6.0000000000000018</v>
      </c>
      <c r="BM124" s="26">
        <f t="shared" si="280"/>
        <v>2.032404330892112</v>
      </c>
      <c r="BN124" s="26">
        <f t="shared" si="281"/>
        <v>0.8926381994345719</v>
      </c>
      <c r="BO124" s="22"/>
      <c r="BP124" s="23">
        <f t="shared" si="282"/>
        <v>0.7637912517975135</v>
      </c>
      <c r="BQ124" s="26">
        <f t="shared" si="283"/>
        <v>0.11266350169525552</v>
      </c>
      <c r="BR124" s="26">
        <f t="shared" si="284"/>
        <v>3.2404330892112088E-2</v>
      </c>
      <c r="BS124" s="26"/>
      <c r="BT124" s="26">
        <f t="shared" si="285"/>
        <v>1.8890682819990432E-2</v>
      </c>
      <c r="BU124" s="26">
        <f t="shared" si="286"/>
        <v>1.361295158204923E-2</v>
      </c>
      <c r="BV124" s="26">
        <f t="shared" si="287"/>
        <v>2.5597855101087474E-2</v>
      </c>
      <c r="BW124" s="26">
        <f t="shared" si="288"/>
        <v>4.5400450545792371E-4</v>
      </c>
      <c r="BX124" s="26">
        <f t="shared" si="289"/>
        <v>0.83832727536646623</v>
      </c>
      <c r="BY124" s="26">
        <f t="shared" si="290"/>
        <v>0.10874238663245944</v>
      </c>
      <c r="BZ124" s="26">
        <f t="shared" si="291"/>
        <v>1.0056251560075107</v>
      </c>
      <c r="CA124" s="22"/>
      <c r="CB124" s="22">
        <f t="shared" si="292"/>
        <v>1.8791379310062858E-2</v>
      </c>
      <c r="CC124" s="22">
        <f t="shared" si="293"/>
        <v>0</v>
      </c>
      <c r="CD124" s="22">
        <f t="shared" si="294"/>
        <v>4.4289565433230316E-2</v>
      </c>
      <c r="CE124" s="22">
        <f t="shared" si="295"/>
        <v>9.0323583872884794E-4</v>
      </c>
      <c r="CF124" s="22">
        <f t="shared" si="296"/>
        <v>3.2404330892112088E-2</v>
      </c>
      <c r="CG124" s="22">
        <f t="shared" si="297"/>
        <v>0.40728547642148344</v>
      </c>
      <c r="CH124" s="22">
        <f t="shared" si="298"/>
        <v>0.48163838472486853</v>
      </c>
      <c r="CI124" s="22">
        <f t="shared" si="299"/>
        <v>0.11107613885364798</v>
      </c>
      <c r="CJ124" s="22"/>
      <c r="CK124" s="22">
        <f t="shared" si="300"/>
        <v>0.45260589159176023</v>
      </c>
      <c r="CL124" s="22">
        <f t="shared" si="301"/>
        <v>0.41571040506194756</v>
      </c>
      <c r="CM124" s="22">
        <f t="shared" si="302"/>
        <v>0.13168370334629212</v>
      </c>
      <c r="CN124" s="1"/>
      <c r="CO124" s="26">
        <f t="shared" si="303"/>
        <v>0.8523635153129161</v>
      </c>
      <c r="CP124" s="26">
        <f t="shared" si="304"/>
        <v>8.0245368052078124E-3</v>
      </c>
      <c r="CQ124" s="26">
        <f t="shared" si="305"/>
        <v>6.5515888583758342E-2</v>
      </c>
      <c r="CR124" s="26">
        <f t="shared" si="306"/>
        <v>4.0792157378774919E-4</v>
      </c>
      <c r="CS124" s="26">
        <f t="shared" si="307"/>
        <v>0.11203897007654838</v>
      </c>
      <c r="CT124" s="26">
        <f t="shared" si="308"/>
        <v>2.720608965322808E-3</v>
      </c>
      <c r="CU124" s="26">
        <f t="shared" si="309"/>
        <v>0.3622828784119107</v>
      </c>
      <c r="CV124" s="26">
        <f t="shared" si="310"/>
        <v>0.39443651925820261</v>
      </c>
      <c r="CW124" s="26">
        <f t="shared" si="311"/>
        <v>8.486608583414006E-3</v>
      </c>
      <c r="CX124" s="26">
        <f t="shared" si="312"/>
        <v>2.1231422505307856E-4</v>
      </c>
      <c r="CY124" s="26">
        <f t="shared" si="313"/>
        <v>0</v>
      </c>
      <c r="CZ124" s="26">
        <f t="shared" si="314"/>
        <v>0</v>
      </c>
      <c r="DA124" s="26">
        <f t="shared" si="315"/>
        <v>0</v>
      </c>
      <c r="DB124" s="26">
        <f t="shared" si="316"/>
        <v>1.8064897617961218</v>
      </c>
      <c r="DC124" s="26">
        <f t="shared" si="317"/>
        <v>2.6954902575887845</v>
      </c>
      <c r="DD124" s="26">
        <f t="shared" si="318"/>
        <v>2.2142389536838323</v>
      </c>
      <c r="DE124" s="26">
        <f t="shared" si="319"/>
        <v>5.9684595276283536</v>
      </c>
      <c r="DF124" s="1"/>
      <c r="DG124" s="22">
        <v>0.93488002763346134</v>
      </c>
      <c r="DH124" s="14">
        <v>2021.5006706336342</v>
      </c>
      <c r="DI124" s="14">
        <v>87335.348690363375</v>
      </c>
      <c r="DJ124" s="14">
        <v>17701.525441273989</v>
      </c>
      <c r="DK124" s="14">
        <v>239815.10071488764</v>
      </c>
      <c r="DL124" s="14">
        <v>157438.2050819842</v>
      </c>
      <c r="DM124" s="96">
        <v>107.78121863835557</v>
      </c>
      <c r="DN124" s="14">
        <v>3742.1943969390736</v>
      </c>
      <c r="DO124" s="96">
        <v>388.91752571384097</v>
      </c>
      <c r="DP124" s="22">
        <v>352.7832164343364</v>
      </c>
      <c r="DQ124" s="14">
        <v>1535.0364151451367</v>
      </c>
      <c r="DR124" s="22">
        <v>43.883610609772418</v>
      </c>
      <c r="DS124" s="22">
        <v>64.380594098003201</v>
      </c>
      <c r="DT124" s="22">
        <v>1.5091286164052771</v>
      </c>
      <c r="DU124" s="22">
        <v>39.995703432251666</v>
      </c>
      <c r="DV124" s="22">
        <v>0</v>
      </c>
      <c r="DW124" s="22">
        <v>18.358751628597386</v>
      </c>
      <c r="DX124" s="22">
        <v>18.882215658419579</v>
      </c>
      <c r="DY124" s="22">
        <v>16.595630362550256</v>
      </c>
      <c r="DZ124" s="22">
        <v>17.087164118116636</v>
      </c>
      <c r="EA124" s="22">
        <v>0</v>
      </c>
      <c r="EB124" s="22">
        <v>0</v>
      </c>
      <c r="EC124" s="22">
        <v>4.3510671825676563E-2</v>
      </c>
      <c r="ED124" s="22">
        <v>0.73505929916699364</v>
      </c>
      <c r="EE124" s="22">
        <v>3.0304866799596657</v>
      </c>
      <c r="EF124" s="22">
        <v>0.6626691963464072</v>
      </c>
      <c r="EG124" s="22">
        <v>4.3990613211976015</v>
      </c>
      <c r="EH124" s="22">
        <v>1.9875429604607537</v>
      </c>
      <c r="EI124" s="22">
        <v>0.59961294810360821</v>
      </c>
      <c r="EJ124" s="22">
        <v>2.7895994356902931</v>
      </c>
      <c r="EK124" s="22">
        <v>0.43845068640567481</v>
      </c>
      <c r="EL124" s="22">
        <v>3.1856135986614893</v>
      </c>
      <c r="EM124" s="22">
        <v>0.68760480555927839</v>
      </c>
      <c r="EN124" s="22">
        <v>1.6164143562114053</v>
      </c>
      <c r="EO124" s="22">
        <v>0.22805147456890845</v>
      </c>
      <c r="EP124" s="22">
        <v>1.5817711624683604</v>
      </c>
      <c r="EQ124" s="22">
        <v>0.29726233769445498</v>
      </c>
      <c r="ER124" s="22">
        <v>0.83354180726909166</v>
      </c>
      <c r="ES124" s="22">
        <v>1.8670318942149385E-2</v>
      </c>
      <c r="ET124" s="22">
        <v>4.0949824957630429E-2</v>
      </c>
      <c r="EU124" s="22">
        <v>2.6399443255550673E-2</v>
      </c>
      <c r="EV124" s="22">
        <v>0</v>
      </c>
      <c r="EW124" s="22">
        <f>(EI124/0.05883)/SQRT((EH124/0.1536)*(EJ124/0.2069))</f>
        <v>0.77164726582499954</v>
      </c>
      <c r="EX124" s="22"/>
      <c r="EY124" s="22"/>
      <c r="EZ124" s="22"/>
      <c r="FA124" s="22"/>
      <c r="FB124" s="22"/>
      <c r="FC124" s="22"/>
      <c r="FD124" s="22"/>
      <c r="FE124" s="22"/>
      <c r="FF124" s="22"/>
      <c r="FG124" s="22"/>
      <c r="FH124" s="22"/>
      <c r="FI124" s="22">
        <f>-0.50354-2.23025*BP124+ N("eqn 18 Mg# R2 0.28 best")</f>
        <v>-2.2069854393214046</v>
      </c>
      <c r="FJ124" s="22"/>
      <c r="FK124" s="22">
        <f xml:space="preserve"> -0.03692  +  0.931085 + FX124   + N("488 NN Dy")</f>
        <v>0.8941650000000001</v>
      </c>
      <c r="FL124" s="22">
        <f>-0.48986  +   0    +   (1.071278 + 0) * GD124  +N("eqn 119 LnD Hf  (which has R2 of 0.51 for TS")</f>
        <v>-0.48986000000000002</v>
      </c>
      <c r="FM124" s="22"/>
      <c r="FN124" s="22"/>
      <c r="FO124" s="22">
        <f>3.94011-11.9214*BP124</f>
        <v>-5.1653510291788782</v>
      </c>
      <c r="FP124" s="22">
        <f xml:space="preserve">  -0.49862 +   1.013256 * FQ124 + N("294 NN")</f>
        <v>-0.49862000000000001</v>
      </c>
      <c r="FQ124" s="46"/>
      <c r="FR124" s="46"/>
      <c r="FS124" s="46"/>
      <c r="FT124" s="46"/>
      <c r="FU124" s="46"/>
      <c r="FV124" s="46"/>
      <c r="FW124" s="46"/>
      <c r="FX124" s="46"/>
      <c r="FY124" s="46"/>
      <c r="FZ124" s="46"/>
      <c r="GA124" s="46"/>
      <c r="GB124" s="46"/>
      <c r="GC124" s="46"/>
      <c r="GD124" s="46"/>
      <c r="GE124" s="46"/>
      <c r="GF124" s="46"/>
      <c r="GG124" s="46"/>
      <c r="GH124" s="46"/>
    </row>
    <row r="125" spans="1:190" x14ac:dyDescent="0.25">
      <c r="A125" s="5" t="s">
        <v>83</v>
      </c>
      <c r="B125" s="1">
        <v>75</v>
      </c>
      <c r="C125" s="98" t="s">
        <v>96</v>
      </c>
      <c r="D125" s="98" t="s">
        <v>103</v>
      </c>
      <c r="E125" s="1">
        <v>106</v>
      </c>
      <c r="F125" s="22">
        <v>52.23</v>
      </c>
      <c r="G125" s="22">
        <v>0.58799999999999997</v>
      </c>
      <c r="H125" s="22">
        <v>2.7</v>
      </c>
      <c r="I125" s="22">
        <v>3.4000000000000002E-2</v>
      </c>
      <c r="J125" s="22">
        <v>7.39</v>
      </c>
      <c r="K125" s="22">
        <v>0.23499999999999999</v>
      </c>
      <c r="L125" s="22">
        <v>15.3</v>
      </c>
      <c r="M125" s="22">
        <v>21.51</v>
      </c>
      <c r="N125" s="22">
        <v>0.311</v>
      </c>
      <c r="O125" s="22">
        <v>0</v>
      </c>
      <c r="P125" s="22">
        <v>0</v>
      </c>
      <c r="Q125" s="22"/>
      <c r="R125" s="22"/>
      <c r="S125" s="22">
        <f t="shared" si="244"/>
        <v>100.29800000000002</v>
      </c>
      <c r="T125" s="3"/>
      <c r="U125" s="22">
        <f t="shared" si="245"/>
        <v>6.4741494788822056</v>
      </c>
      <c r="V125" s="22">
        <f t="shared" si="246"/>
        <v>1.0177846841182043</v>
      </c>
      <c r="W125" s="22">
        <f t="shared" si="247"/>
        <v>100.39993416300041</v>
      </c>
      <c r="X125" s="1"/>
      <c r="Y125" s="1"/>
      <c r="Z125" s="1"/>
      <c r="AA125" s="1" t="s">
        <v>185</v>
      </c>
      <c r="AC125" s="1">
        <v>6</v>
      </c>
      <c r="AD125" s="1">
        <v>4</v>
      </c>
      <c r="AE125" s="1"/>
      <c r="AF125" s="26">
        <f t="shared" si="248"/>
        <v>1.9262231908136382</v>
      </c>
      <c r="AG125" s="26">
        <f t="shared" si="249"/>
        <v>1.6310068134654843E-2</v>
      </c>
      <c r="AH125" s="26">
        <f t="shared" si="250"/>
        <v>0.1173492824653732</v>
      </c>
      <c r="AI125" s="26">
        <f t="shared" si="251"/>
        <v>9.9131209062428872E-4</v>
      </c>
      <c r="AJ125" s="26">
        <f t="shared" si="252"/>
        <v>0.22789467174115888</v>
      </c>
      <c r="AK125" s="26">
        <f t="shared" si="253"/>
        <v>7.3399513867739574E-3</v>
      </c>
      <c r="AL125" s="26">
        <f t="shared" si="254"/>
        <v>0.8412070235024014</v>
      </c>
      <c r="AM125" s="26">
        <f t="shared" si="255"/>
        <v>0.84986297812663425</v>
      </c>
      <c r="AN125" s="26">
        <f t="shared" si="256"/>
        <v>2.2235931024898705E-2</v>
      </c>
      <c r="AO125" s="26">
        <f t="shared" si="257"/>
        <v>0</v>
      </c>
      <c r="AP125" s="26">
        <f t="shared" si="258"/>
        <v>0</v>
      </c>
      <c r="AQ125" s="26">
        <f t="shared" si="259"/>
        <v>0</v>
      </c>
      <c r="AR125" s="26">
        <f t="shared" si="260"/>
        <v>0</v>
      </c>
      <c r="AS125" s="26">
        <f t="shared" si="261"/>
        <v>4.0094144092861574</v>
      </c>
      <c r="AT125" s="26">
        <f t="shared" si="262"/>
        <v>2.0435724732790113</v>
      </c>
      <c r="AU125" s="26">
        <f t="shared" si="263"/>
        <v>0.87209890915153299</v>
      </c>
      <c r="AV125" s="47"/>
      <c r="AW125" s="26">
        <f t="shared" si="264"/>
        <v>1.9217002725907661</v>
      </c>
      <c r="AX125" s="26">
        <f t="shared" si="265"/>
        <v>1.6271770856990275E-2</v>
      </c>
      <c r="AY125" s="26">
        <f t="shared" si="266"/>
        <v>0.11707373744513107</v>
      </c>
      <c r="AZ125" s="26">
        <f t="shared" si="267"/>
        <v>9.889844146100963E-4</v>
      </c>
      <c r="BA125" s="26">
        <f t="shared" si="268"/>
        <v>0.1991826471419631</v>
      </c>
      <c r="BB125" s="26">
        <f t="shared" si="269"/>
        <v>2.8176910616231954E-2</v>
      </c>
      <c r="BC125" s="26">
        <f t="shared" si="270"/>
        <v>7.3227166239279067E-3</v>
      </c>
      <c r="BD125" s="26">
        <f t="shared" si="271"/>
        <v>0.83923180557648702</v>
      </c>
      <c r="BE125" s="26">
        <f t="shared" si="272"/>
        <v>0.84786743536240772</v>
      </c>
      <c r="BF125" s="26">
        <f t="shared" si="273"/>
        <v>2.2183719371485604E-2</v>
      </c>
      <c r="BG125" s="26">
        <f t="shared" si="274"/>
        <v>0</v>
      </c>
      <c r="BH125" s="26">
        <f t="shared" si="275"/>
        <v>0</v>
      </c>
      <c r="BI125" s="26">
        <f t="shared" si="276"/>
        <v>0</v>
      </c>
      <c r="BJ125" s="26">
        <f t="shared" si="277"/>
        <v>0</v>
      </c>
      <c r="BK125" s="25">
        <f t="shared" si="278"/>
        <v>4.0000000000000018</v>
      </c>
      <c r="BL125" s="24">
        <f t="shared" si="279"/>
        <v>6.0000000000000009</v>
      </c>
      <c r="BM125" s="26">
        <f t="shared" si="280"/>
        <v>2.0387740100358971</v>
      </c>
      <c r="BN125" s="26">
        <f t="shared" si="281"/>
        <v>0.87005115473389327</v>
      </c>
      <c r="BO125" s="22"/>
      <c r="BP125" s="23">
        <f t="shared" si="282"/>
        <v>0.78683536584492975</v>
      </c>
      <c r="BQ125" s="26">
        <f t="shared" si="283"/>
        <v>7.8299727409233855E-2</v>
      </c>
      <c r="BR125" s="26">
        <f t="shared" si="284"/>
        <v>3.8774010035897213E-2</v>
      </c>
      <c r="BS125" s="26"/>
      <c r="BT125" s="26">
        <f t="shared" si="285"/>
        <v>2.2235931024898705E-2</v>
      </c>
      <c r="BU125" s="26">
        <f t="shared" si="286"/>
        <v>1.659029066441161E-2</v>
      </c>
      <c r="BV125" s="26">
        <f t="shared" si="287"/>
        <v>3.0478864703691409E-2</v>
      </c>
      <c r="BW125" s="26">
        <f t="shared" si="288"/>
        <v>4.9565604531214436E-4</v>
      </c>
      <c r="BX125" s="26">
        <f t="shared" si="289"/>
        <v>0.80229816671321907</v>
      </c>
      <c r="BY125" s="26">
        <f t="shared" si="290"/>
        <v>0.13340176426517064</v>
      </c>
      <c r="BZ125" s="26">
        <f t="shared" si="291"/>
        <v>1.0055006734167036</v>
      </c>
      <c r="CA125" s="22"/>
      <c r="CB125" s="22">
        <f t="shared" si="292"/>
        <v>2.2183719371485604E-2</v>
      </c>
      <c r="CC125" s="22">
        <f t="shared" si="293"/>
        <v>0</v>
      </c>
      <c r="CD125" s="22">
        <f t="shared" si="294"/>
        <v>5.9931912447463501E-3</v>
      </c>
      <c r="CE125" s="22">
        <f t="shared" si="295"/>
        <v>9.889844146100963E-4</v>
      </c>
      <c r="CF125" s="22">
        <f t="shared" si="296"/>
        <v>3.8774010035897213E-2</v>
      </c>
      <c r="CG125" s="22">
        <f t="shared" si="297"/>
        <v>0.41214748451931982</v>
      </c>
      <c r="CH125" s="22">
        <f t="shared" si="298"/>
        <v>0.47509405005680688</v>
      </c>
      <c r="CI125" s="22">
        <f t="shared" si="299"/>
        <v>0.11275846542387333</v>
      </c>
      <c r="CJ125" s="22"/>
      <c r="CK125" s="22">
        <f t="shared" si="300"/>
        <v>0.441188256106615</v>
      </c>
      <c r="CL125" s="22">
        <f t="shared" si="301"/>
        <v>0.43669470170562047</v>
      </c>
      <c r="CM125" s="22">
        <f t="shared" si="302"/>
        <v>0.12211704218776465</v>
      </c>
      <c r="CN125" s="1"/>
      <c r="CO125" s="26">
        <f t="shared" si="303"/>
        <v>0.86934087882822897</v>
      </c>
      <c r="CP125" s="26">
        <f t="shared" si="304"/>
        <v>7.3610415623435151E-3</v>
      </c>
      <c r="CQ125" s="26">
        <f t="shared" si="305"/>
        <v>5.2961945861122017E-2</v>
      </c>
      <c r="CR125" s="26">
        <f t="shared" si="306"/>
        <v>4.4739785512204748E-4</v>
      </c>
      <c r="CS125" s="26">
        <f t="shared" si="307"/>
        <v>0.10285316631871956</v>
      </c>
      <c r="CT125" s="26">
        <f t="shared" si="308"/>
        <v>3.3126585847194812E-3</v>
      </c>
      <c r="CU125" s="26">
        <f t="shared" si="309"/>
        <v>0.3796526054590571</v>
      </c>
      <c r="CV125" s="26">
        <f t="shared" si="310"/>
        <v>0.38355920114122688</v>
      </c>
      <c r="CW125" s="26">
        <f t="shared" si="311"/>
        <v>1.0035495321071314E-2</v>
      </c>
      <c r="CX125" s="26">
        <f t="shared" si="312"/>
        <v>0</v>
      </c>
      <c r="CY125" s="26">
        <f t="shared" si="313"/>
        <v>0</v>
      </c>
      <c r="CZ125" s="26">
        <f t="shared" si="314"/>
        <v>0</v>
      </c>
      <c r="DA125" s="26">
        <f t="shared" si="315"/>
        <v>0</v>
      </c>
      <c r="DB125" s="26">
        <f t="shared" si="316"/>
        <v>1.8095243909316105</v>
      </c>
      <c r="DC125" s="26">
        <f t="shared" si="317"/>
        <v>2.7079132355197695</v>
      </c>
      <c r="DD125" s="26">
        <f t="shared" si="318"/>
        <v>2.2105256055380669</v>
      </c>
      <c r="DE125" s="26">
        <f t="shared" si="319"/>
        <v>5.9859115446918842</v>
      </c>
      <c r="DF125" s="1"/>
      <c r="DG125" s="22"/>
      <c r="DH125" s="14"/>
      <c r="DI125" s="14"/>
      <c r="DJ125" s="14"/>
      <c r="DK125" s="14"/>
      <c r="DL125" s="14"/>
      <c r="DM125" s="96"/>
      <c r="DN125" s="14"/>
      <c r="DO125" s="96"/>
      <c r="DP125" s="22"/>
      <c r="DQ125" s="14"/>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46"/>
      <c r="FR125" s="46"/>
      <c r="FS125" s="46"/>
      <c r="FT125" s="46"/>
      <c r="FU125" s="46"/>
      <c r="FV125" s="46"/>
      <c r="FW125" s="46"/>
      <c r="FX125" s="46"/>
      <c r="FY125" s="46"/>
      <c r="FZ125" s="46"/>
      <c r="GA125" s="46"/>
      <c r="GB125" s="46"/>
      <c r="GC125" s="46"/>
      <c r="GD125" s="46"/>
      <c r="GE125" s="46"/>
      <c r="GF125" s="46"/>
      <c r="GG125" s="46"/>
      <c r="GH125" s="46"/>
    </row>
    <row r="126" spans="1:190" x14ac:dyDescent="0.25">
      <c r="A126" s="5" t="s">
        <v>83</v>
      </c>
      <c r="B126" s="1">
        <v>93</v>
      </c>
      <c r="C126" s="98" t="s">
        <v>96</v>
      </c>
      <c r="D126" s="98" t="s">
        <v>103</v>
      </c>
      <c r="E126" s="1">
        <v>124</v>
      </c>
      <c r="F126" s="22">
        <v>51.71</v>
      </c>
      <c r="G126" s="22">
        <v>0.57899999999999996</v>
      </c>
      <c r="H126" s="22">
        <v>3.21</v>
      </c>
      <c r="I126" s="22">
        <v>0</v>
      </c>
      <c r="J126" s="22">
        <v>7.92</v>
      </c>
      <c r="K126" s="22">
        <v>0.22700000000000001</v>
      </c>
      <c r="L126" s="22">
        <v>14.85</v>
      </c>
      <c r="M126" s="22">
        <v>22.02</v>
      </c>
      <c r="N126" s="22">
        <v>0.33700000000000002</v>
      </c>
      <c r="O126" s="22">
        <v>7.0000000000000001E-3</v>
      </c>
      <c r="P126" s="22">
        <v>0</v>
      </c>
      <c r="Q126" s="22"/>
      <c r="R126" s="22"/>
      <c r="S126" s="22">
        <f t="shared" si="244"/>
        <v>100.86</v>
      </c>
      <c r="T126" s="3"/>
      <c r="U126" s="22">
        <f t="shared" si="245"/>
        <v>5.8592483554301396</v>
      </c>
      <c r="V126" s="22">
        <f t="shared" si="246"/>
        <v>2.2901133026104863</v>
      </c>
      <c r="W126" s="22">
        <f t="shared" si="247"/>
        <v>101.08936165804062</v>
      </c>
      <c r="X126" s="1"/>
      <c r="Y126" s="1"/>
      <c r="Z126" s="1"/>
      <c r="AA126" s="1" t="s">
        <v>185</v>
      </c>
      <c r="AC126" s="1">
        <v>6</v>
      </c>
      <c r="AD126" s="1">
        <v>4</v>
      </c>
      <c r="AE126" s="1"/>
      <c r="AF126" s="26">
        <f t="shared" si="248"/>
        <v>1.9052976066696683</v>
      </c>
      <c r="AG126" s="26">
        <f t="shared" si="249"/>
        <v>1.6045701757249394E-2</v>
      </c>
      <c r="AH126" s="26">
        <f t="shared" si="250"/>
        <v>0.13938736539117416</v>
      </c>
      <c r="AI126" s="26">
        <f t="shared" si="251"/>
        <v>0</v>
      </c>
      <c r="AJ126" s="26">
        <f t="shared" si="252"/>
        <v>0.24401505243107768</v>
      </c>
      <c r="AK126" s="26">
        <f t="shared" si="253"/>
        <v>7.0835812743986516E-3</v>
      </c>
      <c r="AL126" s="26">
        <f t="shared" si="254"/>
        <v>0.81571719217616001</v>
      </c>
      <c r="AM126" s="26">
        <f t="shared" si="255"/>
        <v>0.86921561146447512</v>
      </c>
      <c r="AN126" s="26">
        <f t="shared" si="256"/>
        <v>2.4072795848478649E-2</v>
      </c>
      <c r="AO126" s="26">
        <f t="shared" si="257"/>
        <v>3.2899957810646408E-4</v>
      </c>
      <c r="AP126" s="26">
        <f t="shared" si="258"/>
        <v>0</v>
      </c>
      <c r="AQ126" s="26">
        <f t="shared" si="259"/>
        <v>0</v>
      </c>
      <c r="AR126" s="26">
        <f t="shared" si="260"/>
        <v>0</v>
      </c>
      <c r="AS126" s="26">
        <f t="shared" si="261"/>
        <v>4.0211639065907887</v>
      </c>
      <c r="AT126" s="26">
        <f t="shared" si="262"/>
        <v>2.0446849720608427</v>
      </c>
      <c r="AU126" s="26">
        <f t="shared" si="263"/>
        <v>0.89361740689106028</v>
      </c>
      <c r="AV126" s="47"/>
      <c r="AW126" s="26">
        <f t="shared" si="264"/>
        <v>1.8952697785303783</v>
      </c>
      <c r="AX126" s="26">
        <f t="shared" si="265"/>
        <v>1.5961251150145947E-2</v>
      </c>
      <c r="AY126" s="26">
        <f t="shared" si="266"/>
        <v>0.13865375162918855</v>
      </c>
      <c r="AZ126" s="26">
        <f t="shared" si="267"/>
        <v>0</v>
      </c>
      <c r="BA126" s="26">
        <f t="shared" si="268"/>
        <v>0.17957321497174364</v>
      </c>
      <c r="BB126" s="26">
        <f t="shared" si="269"/>
        <v>6.3157554625716372E-2</v>
      </c>
      <c r="BC126" s="26">
        <f t="shared" si="270"/>
        <v>7.0462994684583587E-3</v>
      </c>
      <c r="BD126" s="26">
        <f t="shared" si="271"/>
        <v>0.81142396691582674</v>
      </c>
      <c r="BE126" s="26">
        <f t="shared" si="272"/>
        <v>0.86464081709259266</v>
      </c>
      <c r="BF126" s="26">
        <f t="shared" si="273"/>
        <v>2.3946097605245818E-2</v>
      </c>
      <c r="BG126" s="26">
        <f t="shared" si="274"/>
        <v>3.2726801070428948E-4</v>
      </c>
      <c r="BH126" s="26">
        <f t="shared" si="275"/>
        <v>0</v>
      </c>
      <c r="BI126" s="26">
        <f t="shared" si="276"/>
        <v>0</v>
      </c>
      <c r="BJ126" s="26">
        <f t="shared" si="277"/>
        <v>0</v>
      </c>
      <c r="BK126" s="25">
        <f t="shared" si="278"/>
        <v>4.0000000000000009</v>
      </c>
      <c r="BL126" s="24">
        <f t="shared" si="279"/>
        <v>6.0000000000000027</v>
      </c>
      <c r="BM126" s="26">
        <f t="shared" si="280"/>
        <v>2.0339235301595666</v>
      </c>
      <c r="BN126" s="26">
        <f t="shared" si="281"/>
        <v>0.88891418270854272</v>
      </c>
      <c r="BO126" s="22"/>
      <c r="BP126" s="23">
        <f t="shared" si="282"/>
        <v>0.76973895654037072</v>
      </c>
      <c r="BQ126" s="26">
        <f t="shared" si="283"/>
        <v>0.10473022146962174</v>
      </c>
      <c r="BR126" s="26">
        <f t="shared" si="284"/>
        <v>3.3923530159566812E-2</v>
      </c>
      <c r="BS126" s="26"/>
      <c r="BT126" s="26">
        <f t="shared" si="285"/>
        <v>2.4072795848478649E-2</v>
      </c>
      <c r="BU126" s="26">
        <f t="shared" si="286"/>
        <v>9.9774325543209932E-3</v>
      </c>
      <c r="BV126" s="26">
        <f t="shared" si="287"/>
        <v>2.8934813882406315E-2</v>
      </c>
      <c r="BW126" s="26">
        <f t="shared" si="288"/>
        <v>0</v>
      </c>
      <c r="BX126" s="26">
        <f t="shared" si="289"/>
        <v>0.83030336502774782</v>
      </c>
      <c r="BY126" s="26">
        <f t="shared" si="290"/>
        <v>0.11471443978974494</v>
      </c>
      <c r="BZ126" s="26">
        <f t="shared" si="291"/>
        <v>1.0080028471026987</v>
      </c>
      <c r="CA126" s="22"/>
      <c r="CB126" s="22">
        <f t="shared" si="292"/>
        <v>2.3946097605245818E-2</v>
      </c>
      <c r="CC126" s="22">
        <f t="shared" si="293"/>
        <v>0</v>
      </c>
      <c r="CD126" s="22">
        <f t="shared" si="294"/>
        <v>3.9211457020470554E-2</v>
      </c>
      <c r="CE126" s="22">
        <f t="shared" si="295"/>
        <v>0</v>
      </c>
      <c r="CF126" s="22">
        <f t="shared" si="296"/>
        <v>3.3923530159566812E-2</v>
      </c>
      <c r="CG126" s="22">
        <f t="shared" si="297"/>
        <v>0.40772596375890058</v>
      </c>
      <c r="CH126" s="22">
        <f t="shared" si="298"/>
        <v>0.48495127612030275</v>
      </c>
      <c r="CI126" s="22">
        <f t="shared" si="299"/>
        <v>0.10732276012079668</v>
      </c>
      <c r="CJ126" s="22"/>
      <c r="CK126" s="22">
        <f t="shared" si="300"/>
        <v>0.44896771544990272</v>
      </c>
      <c r="CL126" s="22">
        <f t="shared" si="301"/>
        <v>0.42133468312598027</v>
      </c>
      <c r="CM126" s="22">
        <f t="shared" si="302"/>
        <v>0.12969760142411701</v>
      </c>
      <c r="CN126" s="1"/>
      <c r="CO126" s="26">
        <f t="shared" si="303"/>
        <v>0.86068575233022637</v>
      </c>
      <c r="CP126" s="26">
        <f t="shared" si="304"/>
        <v>7.2483725588382572E-3</v>
      </c>
      <c r="CQ126" s="26">
        <f t="shared" si="305"/>
        <v>6.296586896822283E-2</v>
      </c>
      <c r="CR126" s="26">
        <f t="shared" si="306"/>
        <v>0</v>
      </c>
      <c r="CS126" s="26">
        <f t="shared" si="307"/>
        <v>0.11022964509394573</v>
      </c>
      <c r="CT126" s="26">
        <f t="shared" si="308"/>
        <v>3.1998872286439248E-3</v>
      </c>
      <c r="CU126" s="26">
        <f t="shared" si="309"/>
        <v>0.36848635235732013</v>
      </c>
      <c r="CV126" s="26">
        <f t="shared" si="310"/>
        <v>0.39265335235378029</v>
      </c>
      <c r="CW126" s="26">
        <f t="shared" si="311"/>
        <v>1.0874475637302356E-2</v>
      </c>
      <c r="CX126" s="26">
        <f t="shared" si="312"/>
        <v>1.4861995753715499E-4</v>
      </c>
      <c r="CY126" s="26">
        <f t="shared" si="313"/>
        <v>0</v>
      </c>
      <c r="CZ126" s="26">
        <f t="shared" si="314"/>
        <v>0</v>
      </c>
      <c r="DA126" s="26">
        <f t="shared" si="315"/>
        <v>0</v>
      </c>
      <c r="DB126" s="26">
        <f t="shared" si="316"/>
        <v>1.8164923264858168</v>
      </c>
      <c r="DC126" s="26">
        <f t="shared" si="317"/>
        <v>2.710397838061573</v>
      </c>
      <c r="DD126" s="26">
        <f t="shared" si="318"/>
        <v>2.2020461863102905</v>
      </c>
      <c r="DE126" s="26">
        <f t="shared" si="319"/>
        <v>5.9684212226871427</v>
      </c>
      <c r="DF126" s="1"/>
      <c r="DG126" s="22">
        <v>0.74635317990850825</v>
      </c>
      <c r="DH126" s="14">
        <v>1904.4800828523526</v>
      </c>
      <c r="DI126" s="14">
        <v>92426.263918666402</v>
      </c>
      <c r="DJ126" s="14">
        <v>17628.191869545673</v>
      </c>
      <c r="DK126" s="14">
        <v>243201.39470451139</v>
      </c>
      <c r="DL126" s="14">
        <v>155119.76590059261</v>
      </c>
      <c r="DM126" s="96">
        <v>118.00920554970904</v>
      </c>
      <c r="DN126" s="14">
        <v>3596.3021233058375</v>
      </c>
      <c r="DO126" s="96">
        <v>398.14427477541989</v>
      </c>
      <c r="DP126" s="22">
        <v>183.17566136278131</v>
      </c>
      <c r="DQ126" s="14">
        <v>1477.425634634784</v>
      </c>
      <c r="DR126" s="22">
        <v>43.090777960090932</v>
      </c>
      <c r="DS126" s="22">
        <v>76.232965333318944</v>
      </c>
      <c r="DT126" s="22">
        <v>1.1263877842761771</v>
      </c>
      <c r="DU126" s="22">
        <v>39.763559936448232</v>
      </c>
      <c r="DV126" s="22">
        <v>0</v>
      </c>
      <c r="DW126" s="22">
        <v>14.924385978180686</v>
      </c>
      <c r="DX126" s="22">
        <v>15.628707251481373</v>
      </c>
      <c r="DY126" s="22">
        <v>14.098700210125125</v>
      </c>
      <c r="DZ126" s="22">
        <v>13.802264242991351</v>
      </c>
      <c r="EA126" s="22">
        <v>0</v>
      </c>
      <c r="EB126" s="22">
        <v>0</v>
      </c>
      <c r="EC126" s="22">
        <v>0</v>
      </c>
      <c r="ED126" s="22">
        <v>0.62187183712485228</v>
      </c>
      <c r="EE126" s="22">
        <v>2.5214161966930391</v>
      </c>
      <c r="EF126" s="22">
        <v>0.54640226325479901</v>
      </c>
      <c r="EG126" s="22">
        <v>3.365630346089362</v>
      </c>
      <c r="EH126" s="22">
        <v>1.5000437690973492</v>
      </c>
      <c r="EI126" s="22">
        <v>0.45945087076054958</v>
      </c>
      <c r="EJ126" s="22">
        <v>2.2148599151803006</v>
      </c>
      <c r="EK126" s="22">
        <v>0.4533131902344375</v>
      </c>
      <c r="EL126" s="22">
        <v>2.3986287662537928</v>
      </c>
      <c r="EM126" s="22">
        <v>0.59089987511340225</v>
      </c>
      <c r="EN126" s="22">
        <v>1.5542822077402634</v>
      </c>
      <c r="EO126" s="22">
        <v>0.25813833091222854</v>
      </c>
      <c r="EP126" s="22">
        <v>1.2846475622228186</v>
      </c>
      <c r="EQ126" s="22">
        <v>0.20914620244067231</v>
      </c>
      <c r="ER126" s="22">
        <v>0.60087481671179577</v>
      </c>
      <c r="ES126" s="22">
        <v>0</v>
      </c>
      <c r="ET126" s="22">
        <v>4.0900305575987922E-2</v>
      </c>
      <c r="EU126" s="22">
        <v>2.0839188044640959E-2</v>
      </c>
      <c r="EV126" s="22">
        <v>1.0897670755991637E-2</v>
      </c>
      <c r="EW126" s="22">
        <f>(EI126/0.05883)/SQRT((EH126/0.1536)*(EJ126/0.2069))</f>
        <v>0.76381993070458776</v>
      </c>
      <c r="EX126" s="22"/>
      <c r="EY126" s="22"/>
      <c r="EZ126" s="22"/>
      <c r="FA126" s="22"/>
      <c r="FB126" s="22"/>
      <c r="FC126" s="22"/>
      <c r="FD126" s="22"/>
      <c r="FE126" s="22"/>
      <c r="FF126" s="22"/>
      <c r="FG126" s="22"/>
      <c r="FH126" s="22"/>
      <c r="FI126" s="22">
        <f>-0.50354-2.23025*BP126+ N("eqn 18 Mg# R2 0.28 best")</f>
        <v>-2.2202503078241618</v>
      </c>
      <c r="FJ126" s="22"/>
      <c r="FK126" s="22">
        <f xml:space="preserve"> -0.03692  +  0.931085 + FX126   + N("488 NN Dy")</f>
        <v>0.64776615327695652</v>
      </c>
      <c r="FL126" s="22">
        <f>-0.48986  +   0    +   (1.071278 + 0) * GD126  +N("eqn 119 LnD Hf  (which has R2 of 0.51 for TS")</f>
        <v>-1.1430504963725199</v>
      </c>
      <c r="FM126" s="22"/>
      <c r="FN126" s="22"/>
      <c r="FO126" s="22">
        <f>3.94011-11.9214*BP126</f>
        <v>-5.2362559965003763</v>
      </c>
      <c r="FP126" s="22">
        <f xml:space="preserve">  -0.49862 +   1.013256 * FQ126 + N("294 NN")</f>
        <v>-2.2087883513094622</v>
      </c>
      <c r="FQ126" s="46">
        <f t="shared" ref="FQ126:FQ129" si="470" xml:space="preserve">  -0.73306   +   1.025016   *  FS126     +N("316 NN Nd")</f>
        <v>-1.6877949415640887</v>
      </c>
      <c r="FR126" s="46">
        <f t="shared" ref="FR126:FR129" si="471" xml:space="preserve">  -0.33671   +   1.013871 *  FS126    +N("340 NN")</f>
        <v>-1.2810641075832221</v>
      </c>
      <c r="FS126" s="46">
        <f t="shared" ref="FS126:FS129" si="472">-0.42496     +   1.017678*FT126                 + N("361 NN")</f>
        <v>-0.93143418401672617</v>
      </c>
      <c r="FT126" s="46">
        <f xml:space="preserve"> 0.68509  -3.34181 * BP126 + 0.03095*(100*CK126) +N("642 cpx Mg# Wo R2 0.59")</f>
        <v>-0.49767626303872747</v>
      </c>
      <c r="FU126" s="46">
        <f t="shared" ref="FU126:FU129" si="473" xml:space="preserve"> -0.06599 + 0.926002 * FT126  + N("409 NN")</f>
        <v>-0.52683921492638763</v>
      </c>
      <c r="FV126" s="46">
        <f t="shared" ref="FV126:FV129" si="474">0.1453     +   0.925549*FT126     +N("424 LnD Sm")</f>
        <v>-0.31532376757923108</v>
      </c>
      <c r="FW126" s="46">
        <f t="shared" ref="FW126:FW129" si="475" xml:space="preserve">  0.053547 + 0.932974 * FV126  +  N("445 NN")</f>
        <v>-0.24064187673346554</v>
      </c>
      <c r="FX126" s="46">
        <f t="shared" ref="FX126:FX129" si="476" xml:space="preserve">  0.027177  +  0.867603 * FV126 + N("464 NN Gd")</f>
        <v>-0.24639884672304363</v>
      </c>
      <c r="FY126" s="46">
        <f t="shared" ref="FY126:FY129" si="477" xml:space="preserve">  -0.06187  +  0.953618 * FX126   + N("505 NN Dy")</f>
        <v>-0.29684037541433539</v>
      </c>
      <c r="FZ126" s="46">
        <f t="shared" ref="FZ126:FZ129" si="478" xml:space="preserve"> -0.05652 + 0.972005*FY126   +N("533 NN")</f>
        <v>-0.34505032910461109</v>
      </c>
      <c r="GA126" s="46">
        <f t="shared" ref="GA126:GA129" si="479" xml:space="preserve">     0.018586 + 0.960264 * FZ126    +N("549 LnD Er")</f>
        <v>-0.31275340922731026</v>
      </c>
      <c r="GB126" s="46">
        <f t="shared" ref="GB126:GB129" si="480" xml:space="preserve"> -0.02011 + 0.936315 * FZ126    +N("574 NN Er")</f>
        <v>-0.34318579889558393</v>
      </c>
      <c r="GC126" s="46">
        <f t="shared" ref="GC126:GC129" si="481" xml:space="preserve">   0.01732 + 1.006083 * GB126  +N("597 NN Yb")</f>
        <v>-0.3279533981102658</v>
      </c>
      <c r="GD126" s="46">
        <f>(-1.72947 +0 ) * (3.46258+0) * BQ126   - (1.87473 + 0) *BP126   + (0.03253+0) * (CK126*100)    +N("eqn625 aliv mg# wo")</f>
        <v>-0.60973015069152914</v>
      </c>
      <c r="GE126" s="46"/>
      <c r="GF126" s="46"/>
      <c r="GG126" s="46"/>
      <c r="GH126" s="46"/>
    </row>
    <row r="127" spans="1:190" x14ac:dyDescent="0.25">
      <c r="A127" s="5" t="s">
        <v>83</v>
      </c>
      <c r="B127" s="1">
        <v>94</v>
      </c>
      <c r="C127" s="98" t="s">
        <v>96</v>
      </c>
      <c r="D127" s="98" t="s">
        <v>103</v>
      </c>
      <c r="E127" s="1">
        <v>125</v>
      </c>
      <c r="F127" s="22">
        <v>50.39</v>
      </c>
      <c r="G127" s="22">
        <v>0.49399999999999999</v>
      </c>
      <c r="H127" s="22">
        <v>2.89</v>
      </c>
      <c r="I127" s="22">
        <v>4.1000000000000002E-2</v>
      </c>
      <c r="J127" s="22">
        <v>7.02</v>
      </c>
      <c r="K127" s="22">
        <v>0.129</v>
      </c>
      <c r="L127" s="22">
        <v>14.96</v>
      </c>
      <c r="M127" s="22">
        <v>22.01</v>
      </c>
      <c r="N127" s="22">
        <v>0.26100000000000001</v>
      </c>
      <c r="O127" s="22">
        <v>0</v>
      </c>
      <c r="P127" s="22">
        <v>0</v>
      </c>
      <c r="Q127" s="22"/>
      <c r="R127" s="22"/>
      <c r="S127" s="22">
        <f t="shared" si="244"/>
        <v>98.194999999999993</v>
      </c>
      <c r="T127" s="3"/>
      <c r="U127" s="22">
        <f t="shared" si="245"/>
        <v>4.4939175315503155</v>
      </c>
      <c r="V127" s="22">
        <f t="shared" si="246"/>
        <v>2.807235447188134</v>
      </c>
      <c r="W127" s="22">
        <f t="shared" si="247"/>
        <v>98.476152978738455</v>
      </c>
      <c r="X127" s="1"/>
      <c r="Y127" s="1"/>
      <c r="Z127" s="1"/>
      <c r="AA127" s="1" t="s">
        <v>185</v>
      </c>
      <c r="AC127" s="1">
        <v>6</v>
      </c>
      <c r="AD127" s="1">
        <v>4</v>
      </c>
      <c r="AE127" s="1"/>
      <c r="AF127" s="26">
        <f t="shared" si="248"/>
        <v>1.9039599506228173</v>
      </c>
      <c r="AG127" s="26">
        <f t="shared" si="249"/>
        <v>1.4038873708883657E-2</v>
      </c>
      <c r="AH127" s="26">
        <f t="shared" si="250"/>
        <v>0.12868898814378507</v>
      </c>
      <c r="AI127" s="26">
        <f t="shared" si="251"/>
        <v>1.2247352333932763E-3</v>
      </c>
      <c r="AJ127" s="26">
        <f t="shared" si="252"/>
        <v>0.22179600234678909</v>
      </c>
      <c r="AK127" s="26">
        <f t="shared" si="253"/>
        <v>4.1280210256562202E-3</v>
      </c>
      <c r="AL127" s="26">
        <f t="shared" si="254"/>
        <v>0.8426940390748423</v>
      </c>
      <c r="AM127" s="26">
        <f t="shared" si="255"/>
        <v>0.89095426694378332</v>
      </c>
      <c r="AN127" s="26">
        <f t="shared" si="256"/>
        <v>1.9118873759520739E-2</v>
      </c>
      <c r="AO127" s="26">
        <f t="shared" si="257"/>
        <v>0</v>
      </c>
      <c r="AP127" s="26">
        <f t="shared" si="258"/>
        <v>0</v>
      </c>
      <c r="AQ127" s="26">
        <f t="shared" si="259"/>
        <v>0</v>
      </c>
      <c r="AR127" s="26">
        <f t="shared" si="260"/>
        <v>0</v>
      </c>
      <c r="AS127" s="26">
        <f t="shared" si="261"/>
        <v>4.0266037508594703</v>
      </c>
      <c r="AT127" s="26">
        <f t="shared" si="262"/>
        <v>2.0326489387666022</v>
      </c>
      <c r="AU127" s="26">
        <f t="shared" si="263"/>
        <v>0.91007314070330403</v>
      </c>
      <c r="AV127" s="47"/>
      <c r="AW127" s="26">
        <f t="shared" si="264"/>
        <v>1.8913804967438579</v>
      </c>
      <c r="AX127" s="26">
        <f t="shared" si="265"/>
        <v>1.3946118940446606E-2</v>
      </c>
      <c r="AY127" s="26">
        <f t="shared" si="266"/>
        <v>0.12783874064222647</v>
      </c>
      <c r="AZ127" s="26">
        <f t="shared" si="267"/>
        <v>1.2166434138267106E-3</v>
      </c>
      <c r="BA127" s="26">
        <f t="shared" si="268"/>
        <v>0.14104665723620921</v>
      </c>
      <c r="BB127" s="26">
        <f t="shared" si="269"/>
        <v>7.9283940031472877E-2</v>
      </c>
      <c r="BC127" s="26">
        <f t="shared" si="270"/>
        <v>4.1007472113689866E-3</v>
      </c>
      <c r="BD127" s="26">
        <f t="shared" si="271"/>
        <v>0.83712636376993455</v>
      </c>
      <c r="BE127" s="26">
        <f t="shared" si="272"/>
        <v>0.88506773655452009</v>
      </c>
      <c r="BF127" s="26">
        <f t="shared" si="273"/>
        <v>1.8992555456135804E-2</v>
      </c>
      <c r="BG127" s="26">
        <f t="shared" si="274"/>
        <v>0</v>
      </c>
      <c r="BH127" s="26">
        <f t="shared" si="275"/>
        <v>0</v>
      </c>
      <c r="BI127" s="26">
        <f t="shared" si="276"/>
        <v>0</v>
      </c>
      <c r="BJ127" s="26">
        <f t="shared" si="277"/>
        <v>0</v>
      </c>
      <c r="BK127" s="25">
        <f t="shared" si="278"/>
        <v>3.9999999999999987</v>
      </c>
      <c r="BL127" s="24">
        <f t="shared" si="279"/>
        <v>5.9999999999999973</v>
      </c>
      <c r="BM127" s="26">
        <f t="shared" si="280"/>
        <v>2.0192192373860842</v>
      </c>
      <c r="BN127" s="26">
        <f t="shared" si="281"/>
        <v>0.90406029201065585</v>
      </c>
      <c r="BO127" s="22"/>
      <c r="BP127" s="23">
        <f t="shared" si="282"/>
        <v>0.79164107345656376</v>
      </c>
      <c r="BQ127" s="26">
        <f t="shared" si="283"/>
        <v>0.10861950325614211</v>
      </c>
      <c r="BR127" s="26">
        <f t="shared" si="284"/>
        <v>1.9219237386084359E-2</v>
      </c>
      <c r="BS127" s="26"/>
      <c r="BT127" s="26">
        <f t="shared" si="285"/>
        <v>1.9118873759520739E-2</v>
      </c>
      <c r="BU127" s="26">
        <f t="shared" si="286"/>
        <v>2.2668192994855507E-4</v>
      </c>
      <c r="BV127" s="26">
        <f t="shared" si="287"/>
        <v>1.9105896421110082E-2</v>
      </c>
      <c r="BW127" s="26">
        <f t="shared" si="288"/>
        <v>6.1236761669663815E-4</v>
      </c>
      <c r="BX127" s="26">
        <f t="shared" si="289"/>
        <v>0.87100932097602812</v>
      </c>
      <c r="BY127" s="26">
        <f t="shared" si="290"/>
        <v>9.6740360222801636E-2</v>
      </c>
      <c r="BZ127" s="26">
        <f t="shared" si="291"/>
        <v>1.0068135009261057</v>
      </c>
      <c r="CA127" s="22"/>
      <c r="CB127" s="22">
        <f t="shared" si="292"/>
        <v>1.8992555456135804E-2</v>
      </c>
      <c r="CC127" s="22">
        <f t="shared" si="293"/>
        <v>0</v>
      </c>
      <c r="CD127" s="22">
        <f t="shared" si="294"/>
        <v>6.0291384575337073E-2</v>
      </c>
      <c r="CE127" s="22">
        <f t="shared" si="295"/>
        <v>1.2166434138267106E-3</v>
      </c>
      <c r="CF127" s="22">
        <f t="shared" si="296"/>
        <v>1.9219237386084359E-2</v>
      </c>
      <c r="CG127" s="22">
        <f t="shared" si="297"/>
        <v>0.41166651331770387</v>
      </c>
      <c r="CH127" s="22">
        <f t="shared" si="298"/>
        <v>0.5034993419506143</v>
      </c>
      <c r="CI127" s="22">
        <f t="shared" si="299"/>
        <v>8.4834144731681854E-2</v>
      </c>
      <c r="CJ127" s="22"/>
      <c r="CK127" s="22">
        <f t="shared" si="300"/>
        <v>0.45466771171475145</v>
      </c>
      <c r="CL127" s="22">
        <f t="shared" si="301"/>
        <v>0.43003977267667687</v>
      </c>
      <c r="CM127" s="22">
        <f t="shared" si="302"/>
        <v>0.11529251560857175</v>
      </c>
      <c r="CN127" s="1"/>
      <c r="CO127" s="26">
        <f t="shared" si="303"/>
        <v>0.83871504660452734</v>
      </c>
      <c r="CP127" s="26">
        <f t="shared" si="304"/>
        <v>6.184276414621933E-3</v>
      </c>
      <c r="CQ127" s="26">
        <f t="shared" si="305"/>
        <v>5.6688897606904674E-2</v>
      </c>
      <c r="CR127" s="26">
        <f t="shared" si="306"/>
        <v>5.3950917823541024E-4</v>
      </c>
      <c r="CS127" s="26">
        <f t="shared" si="307"/>
        <v>9.7703549060542794E-2</v>
      </c>
      <c r="CT127" s="26">
        <f t="shared" si="308"/>
        <v>1.8184381167183536E-3</v>
      </c>
      <c r="CU127" s="26">
        <f t="shared" si="309"/>
        <v>0.37121588089330032</v>
      </c>
      <c r="CV127" s="26">
        <f t="shared" si="310"/>
        <v>0.39247503566333813</v>
      </c>
      <c r="CW127" s="26">
        <f t="shared" si="311"/>
        <v>8.4220716360116181E-3</v>
      </c>
      <c r="CX127" s="26">
        <f t="shared" si="312"/>
        <v>0</v>
      </c>
      <c r="CY127" s="26">
        <f t="shared" si="313"/>
        <v>0</v>
      </c>
      <c r="CZ127" s="26">
        <f t="shared" si="314"/>
        <v>0</v>
      </c>
      <c r="DA127" s="26">
        <f t="shared" si="315"/>
        <v>0</v>
      </c>
      <c r="DB127" s="26">
        <f t="shared" si="316"/>
        <v>1.7737627051742009</v>
      </c>
      <c r="DC127" s="26">
        <f t="shared" si="317"/>
        <v>2.6430651957679139</v>
      </c>
      <c r="DD127" s="26">
        <f t="shared" si="318"/>
        <v>2.2550930788722163</v>
      </c>
      <c r="DE127" s="26">
        <f t="shared" si="319"/>
        <v>5.9603580299842625</v>
      </c>
      <c r="DF127" s="1"/>
      <c r="DG127" s="22">
        <v>0.8225220050604265</v>
      </c>
      <c r="DH127" s="14">
        <v>1800.5948953858963</v>
      </c>
      <c r="DI127" s="14">
        <v>88710.041215992766</v>
      </c>
      <c r="DJ127" s="14">
        <v>17486.087662206362</v>
      </c>
      <c r="DK127" s="14">
        <v>237486.47602061374</v>
      </c>
      <c r="DL127" s="14">
        <v>154351.72276779808</v>
      </c>
      <c r="DM127" s="96">
        <v>109.61834019519608</v>
      </c>
      <c r="DN127" s="14">
        <v>3676.7367359826662</v>
      </c>
      <c r="DO127" s="96">
        <v>371.1152065390387</v>
      </c>
      <c r="DP127" s="22">
        <v>124.95713979299084</v>
      </c>
      <c r="DQ127" s="14">
        <v>1415.632245968935</v>
      </c>
      <c r="DR127" s="22">
        <v>41.409905904929481</v>
      </c>
      <c r="DS127" s="22">
        <v>79.496146231677415</v>
      </c>
      <c r="DT127" s="22">
        <v>1.2297608327906207</v>
      </c>
      <c r="DU127" s="22">
        <v>34.849378544698766</v>
      </c>
      <c r="DV127" s="22">
        <v>0</v>
      </c>
      <c r="DW127" s="22">
        <v>14.65355898416165</v>
      </c>
      <c r="DX127" s="22">
        <v>15.797343370094433</v>
      </c>
      <c r="DY127" s="22">
        <v>14.541618209033597</v>
      </c>
      <c r="DZ127" s="22">
        <v>17.157207004659625</v>
      </c>
      <c r="EA127" s="22">
        <v>0</v>
      </c>
      <c r="EB127" s="22">
        <v>0</v>
      </c>
      <c r="EC127" s="22">
        <v>3.1371446729947863E-2</v>
      </c>
      <c r="ED127" s="22">
        <v>0.65732347321239071</v>
      </c>
      <c r="EE127" s="22">
        <v>2.7101658452349446</v>
      </c>
      <c r="EF127" s="22">
        <v>0.53825317045734578</v>
      </c>
      <c r="EG127" s="22">
        <v>3.7058091302303389</v>
      </c>
      <c r="EH127" s="22">
        <v>1.6181757993948021</v>
      </c>
      <c r="EI127" s="22">
        <v>0.4805478094296361</v>
      </c>
      <c r="EJ127" s="22">
        <v>2.1483714183622342</v>
      </c>
      <c r="EK127" s="22">
        <v>0.36132400636881634</v>
      </c>
      <c r="EL127" s="22">
        <v>2.7016156631950166</v>
      </c>
      <c r="EM127" s="22">
        <v>0.5659973891345782</v>
      </c>
      <c r="EN127" s="22">
        <v>1.8048583683477035</v>
      </c>
      <c r="EO127" s="22">
        <v>0.18485244271587517</v>
      </c>
      <c r="EP127" s="22">
        <v>1.4642076052053474</v>
      </c>
      <c r="EQ127" s="22">
        <v>0.19841287125406762</v>
      </c>
      <c r="ER127" s="22">
        <v>1.051565685085355</v>
      </c>
      <c r="ES127" s="22">
        <v>0</v>
      </c>
      <c r="ET127" s="22">
        <v>6.2716405524405994E-2</v>
      </c>
      <c r="EU127" s="22">
        <v>1.2545927253225045E-2</v>
      </c>
      <c r="EV127" s="22">
        <v>4.3979456173791733E-3</v>
      </c>
      <c r="EW127" s="22">
        <f>(EI127/0.05883)/SQRT((EH127/0.1536)*(EJ127/0.2069))</f>
        <v>0.78099107842548787</v>
      </c>
      <c r="EX127" s="22"/>
      <c r="EY127" s="22"/>
      <c r="EZ127" s="22"/>
      <c r="FA127" s="22"/>
      <c r="FB127" s="22"/>
      <c r="FC127" s="22"/>
      <c r="FD127" s="22"/>
      <c r="FE127" s="22"/>
      <c r="FF127" s="22"/>
      <c r="FG127" s="22"/>
      <c r="FH127" s="22"/>
      <c r="FI127" s="22">
        <f>-0.50354-2.23025*BP127+ N("eqn 18 Mg# R2 0.28 best")</f>
        <v>-2.2690975040765013</v>
      </c>
      <c r="FJ127" s="22"/>
      <c r="FK127" s="22">
        <f xml:space="preserve"> -0.03692  +  0.931085 + FX127   + N("488 NN Dy")</f>
        <v>0.60315801478098918</v>
      </c>
      <c r="FL127" s="22">
        <f>-0.48986  +   0    +   (1.071278 + 0) * GD127  +N("eqn 119 LnD Hf  (which has R2 of 0.51 for TS")</f>
        <v>-1.1921248338069037</v>
      </c>
      <c r="FM127" s="22"/>
      <c r="FN127" s="22"/>
      <c r="FO127" s="22">
        <f>3.94011-11.9214*BP127</f>
        <v>-5.49735989310508</v>
      </c>
      <c r="FP127" s="22">
        <f xml:space="preserve">  -0.49862 +   1.013256 * FQ127 + N("294 NN")</f>
        <v>-2.267503998773261</v>
      </c>
      <c r="FQ127" s="46">
        <f t="shared" si="470"/>
        <v>-1.7457424370280177</v>
      </c>
      <c r="FR127" s="46">
        <f t="shared" si="471"/>
        <v>-1.3383815398706298</v>
      </c>
      <c r="FS127" s="46">
        <f t="shared" si="472"/>
        <v>-0.98796744346236332</v>
      </c>
      <c r="FT127" s="46">
        <f xml:space="preserve"> 0.68509  -3.34181 * BP127 + 0.03095*(100*CK127) +N("642 cpx Mg# Wo R2 0.59")</f>
        <v>-0.55322748793072396</v>
      </c>
      <c r="FU127" s="46">
        <f t="shared" si="473"/>
        <v>-0.57827976027882622</v>
      </c>
      <c r="FV127" s="46">
        <f t="shared" si="474"/>
        <v>-0.36673914822679365</v>
      </c>
      <c r="FW127" s="46">
        <f t="shared" si="475"/>
        <v>-0.28861109007774455</v>
      </c>
      <c r="FX127" s="46">
        <f t="shared" si="476"/>
        <v>-0.29100698521901086</v>
      </c>
      <c r="FY127" s="46">
        <f t="shared" si="477"/>
        <v>-0.33937949923058269</v>
      </c>
      <c r="FZ127" s="46">
        <f t="shared" si="478"/>
        <v>-0.38639857014962253</v>
      </c>
      <c r="GA127" s="46">
        <f t="shared" si="479"/>
        <v>-0.35245863656615717</v>
      </c>
      <c r="GB127" s="46">
        <f t="shared" si="480"/>
        <v>-0.38190077720964383</v>
      </c>
      <c r="GC127" s="46">
        <f t="shared" si="481"/>
        <v>-0.36690387963741011</v>
      </c>
      <c r="GD127" s="46">
        <f>(-1.72947 +0 ) * (3.46258+0) * BQ127   - (1.87473 + 0) *BP127   + (0.03253+0) * (CK127*100)    +N("eqn625 aliv mg# wo")</f>
        <v>-0.65553930334320665</v>
      </c>
      <c r="GE127" s="46"/>
      <c r="GF127" s="46"/>
      <c r="GG127" s="46"/>
      <c r="GH127" s="46"/>
    </row>
    <row r="128" spans="1:190" x14ac:dyDescent="0.25">
      <c r="A128" s="5" t="s">
        <v>83</v>
      </c>
      <c r="B128" s="1">
        <v>96</v>
      </c>
      <c r="C128" s="98" t="s">
        <v>96</v>
      </c>
      <c r="D128" s="98" t="s">
        <v>103</v>
      </c>
      <c r="E128" s="1">
        <v>127</v>
      </c>
      <c r="F128" s="22">
        <v>51.07</v>
      </c>
      <c r="G128" s="22">
        <v>0.83299999999999996</v>
      </c>
      <c r="H128" s="22">
        <v>3.44</v>
      </c>
      <c r="I128" s="22">
        <v>0.191</v>
      </c>
      <c r="J128" s="22">
        <v>7.57</v>
      </c>
      <c r="K128" s="22">
        <v>0.24299999999999999</v>
      </c>
      <c r="L128" s="22">
        <v>14.94</v>
      </c>
      <c r="M128" s="22">
        <v>21.73</v>
      </c>
      <c r="N128" s="22">
        <v>0.25600000000000001</v>
      </c>
      <c r="O128" s="22">
        <v>0</v>
      </c>
      <c r="P128" s="22">
        <v>0</v>
      </c>
      <c r="Q128" s="22"/>
      <c r="R128" s="22"/>
      <c r="S128" s="22">
        <f t="shared" si="244"/>
        <v>100.27300000000001</v>
      </c>
      <c r="T128" s="3"/>
      <c r="U128" s="22">
        <f t="shared" si="245"/>
        <v>5.9141726234345491</v>
      </c>
      <c r="V128" s="22">
        <f t="shared" si="246"/>
        <v>1.8401209635771851</v>
      </c>
      <c r="W128" s="22">
        <f t="shared" si="247"/>
        <v>100.45729358701173</v>
      </c>
      <c r="X128" s="1"/>
      <c r="Y128" s="1"/>
      <c r="Z128" s="1"/>
      <c r="AA128" s="1" t="s">
        <v>185</v>
      </c>
      <c r="AC128" s="1">
        <v>6</v>
      </c>
      <c r="AD128" s="1">
        <v>4</v>
      </c>
      <c r="AE128" s="1"/>
      <c r="AF128" s="26">
        <f t="shared" si="248"/>
        <v>1.8910465442205153</v>
      </c>
      <c r="AG128" s="26">
        <f t="shared" si="249"/>
        <v>2.3199211785626405E-2</v>
      </c>
      <c r="AH128" s="26">
        <f t="shared" si="250"/>
        <v>0.1501152783305385</v>
      </c>
      <c r="AI128" s="26">
        <f t="shared" si="251"/>
        <v>5.5913236559877438E-3</v>
      </c>
      <c r="AJ128" s="26">
        <f t="shared" si="252"/>
        <v>0.2343880097907938</v>
      </c>
      <c r="AK128" s="26">
        <f t="shared" si="253"/>
        <v>7.6204632644753722E-3</v>
      </c>
      <c r="AL128" s="26">
        <f t="shared" si="254"/>
        <v>0.82473008198688136</v>
      </c>
      <c r="AM128" s="26">
        <f t="shared" si="255"/>
        <v>0.86202131716054631</v>
      </c>
      <c r="AN128" s="26">
        <f t="shared" si="256"/>
        <v>1.8377425610460036E-2</v>
      </c>
      <c r="AO128" s="26">
        <f t="shared" si="257"/>
        <v>0</v>
      </c>
      <c r="AP128" s="26">
        <f t="shared" si="258"/>
        <v>0</v>
      </c>
      <c r="AQ128" s="26">
        <f t="shared" si="259"/>
        <v>0</v>
      </c>
      <c r="AR128" s="26">
        <f t="shared" si="260"/>
        <v>0</v>
      </c>
      <c r="AS128" s="26">
        <f t="shared" si="261"/>
        <v>4.0170896558058251</v>
      </c>
      <c r="AT128" s="26">
        <f t="shared" si="262"/>
        <v>2.0411618225510537</v>
      </c>
      <c r="AU128" s="26">
        <f t="shared" si="263"/>
        <v>0.88039874277100638</v>
      </c>
      <c r="AV128" s="47"/>
      <c r="AW128" s="26">
        <f t="shared" si="264"/>
        <v>1.8830015819910029</v>
      </c>
      <c r="AX128" s="26">
        <f t="shared" si="265"/>
        <v>2.3100516815298872E-2</v>
      </c>
      <c r="AY128" s="26">
        <f t="shared" si="266"/>
        <v>0.14947665219627818</v>
      </c>
      <c r="AZ128" s="26">
        <f t="shared" si="267"/>
        <v>5.567536833943159E-3</v>
      </c>
      <c r="BA128" s="26">
        <f t="shared" si="268"/>
        <v>0.18234001036910896</v>
      </c>
      <c r="BB128" s="26">
        <f t="shared" si="269"/>
        <v>5.1050857023693386E-2</v>
      </c>
      <c r="BC128" s="26">
        <f t="shared" si="270"/>
        <v>7.5880439994279528E-3</v>
      </c>
      <c r="BD128" s="26">
        <f t="shared" si="271"/>
        <v>0.82122148386199378</v>
      </c>
      <c r="BE128" s="26">
        <f t="shared" si="272"/>
        <v>0.85835407324273483</v>
      </c>
      <c r="BF128" s="26">
        <f t="shared" si="273"/>
        <v>1.8299243666518108E-2</v>
      </c>
      <c r="BG128" s="26">
        <f t="shared" si="274"/>
        <v>0</v>
      </c>
      <c r="BH128" s="26">
        <f t="shared" si="275"/>
        <v>0</v>
      </c>
      <c r="BI128" s="26">
        <f t="shared" si="276"/>
        <v>0</v>
      </c>
      <c r="BJ128" s="26">
        <f t="shared" si="277"/>
        <v>0</v>
      </c>
      <c r="BK128" s="25">
        <f t="shared" si="278"/>
        <v>4</v>
      </c>
      <c r="BL128" s="24">
        <f t="shared" si="279"/>
        <v>6.0000000000000009</v>
      </c>
      <c r="BM128" s="26">
        <f t="shared" si="280"/>
        <v>2.0324782341872809</v>
      </c>
      <c r="BN128" s="26">
        <f t="shared" si="281"/>
        <v>0.87665331690925297</v>
      </c>
      <c r="BO128" s="22"/>
      <c r="BP128" s="23">
        <f t="shared" si="282"/>
        <v>0.77869511283922488</v>
      </c>
      <c r="BQ128" s="26">
        <f t="shared" si="283"/>
        <v>0.11699841800899713</v>
      </c>
      <c r="BR128" s="26">
        <f t="shared" si="284"/>
        <v>3.2478234187281046E-2</v>
      </c>
      <c r="BS128" s="26"/>
      <c r="BT128" s="26">
        <f t="shared" si="285"/>
        <v>1.8377425610460036E-2</v>
      </c>
      <c r="BU128" s="26">
        <f t="shared" si="286"/>
        <v>1.4178990520762939E-2</v>
      </c>
      <c r="BV128" s="26">
        <f t="shared" si="287"/>
        <v>2.5388738926899579E-2</v>
      </c>
      <c r="BW128" s="26">
        <f t="shared" si="288"/>
        <v>2.7956618279938719E-3</v>
      </c>
      <c r="BX128" s="26">
        <f t="shared" si="289"/>
        <v>0.81965792588488995</v>
      </c>
      <c r="BY128" s="26">
        <f t="shared" si="290"/>
        <v>0.11973008294639265</v>
      </c>
      <c r="BZ128" s="26">
        <f t="shared" si="291"/>
        <v>1.000128825717399</v>
      </c>
      <c r="CA128" s="22"/>
      <c r="CB128" s="22">
        <f t="shared" si="292"/>
        <v>1.8299243666518108E-2</v>
      </c>
      <c r="CC128" s="22">
        <f t="shared" si="293"/>
        <v>0</v>
      </c>
      <c r="CD128" s="22">
        <f t="shared" si="294"/>
        <v>3.2751613357175274E-2</v>
      </c>
      <c r="CE128" s="22">
        <f t="shared" si="295"/>
        <v>5.567536833943159E-3</v>
      </c>
      <c r="CF128" s="22">
        <f t="shared" si="296"/>
        <v>3.2478234187281046E-2</v>
      </c>
      <c r="CG128" s="22">
        <f t="shared" si="297"/>
        <v>0.40292796626542676</v>
      </c>
      <c r="CH128" s="22">
        <f t="shared" si="298"/>
        <v>0.48858827718542425</v>
      </c>
      <c r="CI128" s="22">
        <f t="shared" si="299"/>
        <v>0.10848375654914892</v>
      </c>
      <c r="CJ128" s="22"/>
      <c r="CK128" s="22">
        <f t="shared" si="300"/>
        <v>0.44693034606536802</v>
      </c>
      <c r="CL128" s="22">
        <f t="shared" si="301"/>
        <v>0.42759603923375744</v>
      </c>
      <c r="CM128" s="22">
        <f t="shared" si="302"/>
        <v>0.12547361470087454</v>
      </c>
      <c r="CN128" s="1"/>
      <c r="CO128" s="26">
        <f t="shared" si="303"/>
        <v>0.85003328894806929</v>
      </c>
      <c r="CP128" s="26">
        <f t="shared" si="304"/>
        <v>1.0428142213319979E-2</v>
      </c>
      <c r="CQ128" s="26">
        <f t="shared" si="305"/>
        <v>6.7477442134170271E-2</v>
      </c>
      <c r="CR128" s="26">
        <f t="shared" si="306"/>
        <v>2.5133232449503257E-3</v>
      </c>
      <c r="CS128" s="26">
        <f t="shared" si="307"/>
        <v>0.10535838552540015</v>
      </c>
      <c r="CT128" s="26">
        <f t="shared" si="308"/>
        <v>3.425429940795038E-3</v>
      </c>
      <c r="CU128" s="26">
        <f t="shared" si="309"/>
        <v>0.37071960297766748</v>
      </c>
      <c r="CV128" s="26">
        <f t="shared" si="310"/>
        <v>0.38748216833095578</v>
      </c>
      <c r="CW128" s="26">
        <f t="shared" si="311"/>
        <v>8.2607292675056475E-3</v>
      </c>
      <c r="CX128" s="26">
        <f t="shared" si="312"/>
        <v>0</v>
      </c>
      <c r="CY128" s="26">
        <f t="shared" si="313"/>
        <v>0</v>
      </c>
      <c r="CZ128" s="26">
        <f t="shared" si="314"/>
        <v>0</v>
      </c>
      <c r="DA128" s="26">
        <f t="shared" si="315"/>
        <v>0</v>
      </c>
      <c r="DB128" s="26">
        <f t="shared" si="316"/>
        <v>1.8056985125828338</v>
      </c>
      <c r="DC128" s="26">
        <f t="shared" si="317"/>
        <v>2.6970249618000306</v>
      </c>
      <c r="DD128" s="26">
        <f t="shared" si="318"/>
        <v>2.2152092235367036</v>
      </c>
      <c r="DE128" s="26">
        <f t="shared" si="319"/>
        <v>5.9744745714881535</v>
      </c>
      <c r="DF128" s="1"/>
      <c r="DG128" s="22"/>
      <c r="DH128" s="14"/>
      <c r="DI128" s="14"/>
      <c r="DJ128" s="14"/>
      <c r="DK128" s="14"/>
      <c r="DL128" s="14"/>
      <c r="DM128" s="96"/>
      <c r="DN128" s="14"/>
      <c r="DO128" s="96"/>
      <c r="DP128" s="22"/>
      <c r="DQ128" s="14"/>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46">
        <f t="shared" si="470"/>
        <v>-1.725593432476078</v>
      </c>
      <c r="FR128" s="46">
        <f t="shared" si="471"/>
        <v>-1.3184516154654693</v>
      </c>
      <c r="FS128" s="46">
        <f t="shared" si="472"/>
        <v>-0.96831018489084841</v>
      </c>
      <c r="FT128" s="46">
        <f xml:space="preserve"> 0.68509  -3.34181 * BP128 + 0.03095*(100*CK128) +N("642 cpx Mg# Wo R2 0.59")</f>
        <v>-0.53391169396493621</v>
      </c>
      <c r="FU128" s="46">
        <f t="shared" si="473"/>
        <v>-0.56039329643491886</v>
      </c>
      <c r="FV128" s="46">
        <f t="shared" si="474"/>
        <v>-0.34886143443755269</v>
      </c>
      <c r="FW128" s="46">
        <f t="shared" si="475"/>
        <v>-0.27193164793294128</v>
      </c>
      <c r="FX128" s="46">
        <f t="shared" si="476"/>
        <v>-0.27549622710232402</v>
      </c>
      <c r="FY128" s="46">
        <f t="shared" si="477"/>
        <v>-0.324588161096864</v>
      </c>
      <c r="FZ128" s="46">
        <f t="shared" si="478"/>
        <v>-0.37202131552695733</v>
      </c>
      <c r="GA128" s="46">
        <f t="shared" si="479"/>
        <v>-0.33865267653317815</v>
      </c>
      <c r="GB128" s="46">
        <f t="shared" si="480"/>
        <v>-0.36843913804762307</v>
      </c>
      <c r="GC128" s="46">
        <f t="shared" si="481"/>
        <v>-0.35336035332436677</v>
      </c>
      <c r="GD128" s="46">
        <f>(-1.72947 +0 ) * (3.46258+0) * BQ128   - (1.87473 + 0) *BP128   + (0.03253+0) * (CK128*100)    +N("eqn625 aliv mg# wo")</f>
        <v>-0.70661530271705231</v>
      </c>
      <c r="GE128" s="46"/>
      <c r="GF128" s="46"/>
      <c r="GG128" s="46"/>
      <c r="GH128" s="46"/>
    </row>
    <row r="129" spans="1:190" x14ac:dyDescent="0.25">
      <c r="A129" s="5" t="s">
        <v>83</v>
      </c>
      <c r="B129" s="1">
        <v>100</v>
      </c>
      <c r="C129" s="98" t="s">
        <v>96</v>
      </c>
      <c r="D129" s="98" t="s">
        <v>103</v>
      </c>
      <c r="E129" s="1">
        <v>131</v>
      </c>
      <c r="F129" s="22">
        <v>52.1</v>
      </c>
      <c r="G129" s="22">
        <v>0.753</v>
      </c>
      <c r="H129" s="22">
        <v>3.13</v>
      </c>
      <c r="I129" s="22">
        <v>1.7000000000000001E-2</v>
      </c>
      <c r="J129" s="22">
        <v>7.64</v>
      </c>
      <c r="K129" s="22">
        <v>0.19500000000000001</v>
      </c>
      <c r="L129" s="22">
        <v>14.94</v>
      </c>
      <c r="M129" s="22">
        <v>21.63</v>
      </c>
      <c r="N129" s="22">
        <v>0.32700000000000001</v>
      </c>
      <c r="O129" s="22">
        <v>2.3E-2</v>
      </c>
      <c r="P129" s="22">
        <v>0</v>
      </c>
      <c r="Q129" s="22"/>
      <c r="R129" s="22"/>
      <c r="S129" s="22">
        <f t="shared" si="244"/>
        <v>100.755</v>
      </c>
      <c r="T129" s="3"/>
      <c r="U129" s="22">
        <f t="shared" si="245"/>
        <v>6.8513360522317344</v>
      </c>
      <c r="V129" s="22">
        <f t="shared" si="246"/>
        <v>0.87644224515487312</v>
      </c>
      <c r="W129" s="22">
        <f t="shared" si="247"/>
        <v>100.84277829738662</v>
      </c>
      <c r="X129" s="1"/>
      <c r="Y129" s="1"/>
      <c r="Z129" s="1"/>
      <c r="AA129" s="1" t="s">
        <v>185</v>
      </c>
      <c r="AC129" s="1">
        <v>6</v>
      </c>
      <c r="AD129" s="1">
        <v>4</v>
      </c>
      <c r="AE129" s="1"/>
      <c r="AF129" s="26">
        <f t="shared" si="248"/>
        <v>1.9152438267069749</v>
      </c>
      <c r="AG129" s="26">
        <f t="shared" si="249"/>
        <v>2.0819638858177374E-2</v>
      </c>
      <c r="AH129" s="26">
        <f t="shared" si="250"/>
        <v>0.13560033994354692</v>
      </c>
      <c r="AI129" s="26">
        <f t="shared" si="251"/>
        <v>4.9406054591818549E-4</v>
      </c>
      <c r="AJ129" s="26">
        <f t="shared" si="252"/>
        <v>0.2348458326325934</v>
      </c>
      <c r="AK129" s="26">
        <f t="shared" si="253"/>
        <v>6.0709925384129426E-3</v>
      </c>
      <c r="AL129" s="26">
        <f t="shared" si="254"/>
        <v>0.81876981453008979</v>
      </c>
      <c r="AM129" s="26">
        <f t="shared" si="255"/>
        <v>0.85185325331034012</v>
      </c>
      <c r="AN129" s="26">
        <f t="shared" si="256"/>
        <v>2.3304642670626523E-2</v>
      </c>
      <c r="AO129" s="26">
        <f t="shared" si="257"/>
        <v>1.0785075774974494E-3</v>
      </c>
      <c r="AP129" s="26">
        <f t="shared" si="258"/>
        <v>0</v>
      </c>
      <c r="AQ129" s="26">
        <f t="shared" si="259"/>
        <v>0</v>
      </c>
      <c r="AR129" s="26">
        <f t="shared" si="260"/>
        <v>0</v>
      </c>
      <c r="AS129" s="26">
        <f t="shared" si="261"/>
        <v>4.0080809093141774</v>
      </c>
      <c r="AT129" s="26">
        <f t="shared" si="262"/>
        <v>2.0508441666505219</v>
      </c>
      <c r="AU129" s="26">
        <f t="shared" si="263"/>
        <v>0.87623640355846411</v>
      </c>
      <c r="AV129" s="47"/>
      <c r="AW129" s="26">
        <f t="shared" si="264"/>
        <v>1.9113823997477057</v>
      </c>
      <c r="AX129" s="26">
        <f t="shared" si="265"/>
        <v>2.0777663255046236E-2</v>
      </c>
      <c r="AY129" s="26">
        <f t="shared" si="266"/>
        <v>0.13532694874340695</v>
      </c>
      <c r="AZ129" s="26">
        <f t="shared" si="267"/>
        <v>4.9306444365438144E-4</v>
      </c>
      <c r="BA129" s="26">
        <f t="shared" si="268"/>
        <v>0.21017849634786681</v>
      </c>
      <c r="BB129" s="26">
        <f t="shared" si="269"/>
        <v>2.419385086383441E-2</v>
      </c>
      <c r="BC129" s="26">
        <f t="shared" si="270"/>
        <v>6.0587524810737908E-3</v>
      </c>
      <c r="BD129" s="26">
        <f t="shared" si="271"/>
        <v>0.81711904829804394</v>
      </c>
      <c r="BE129" s="26">
        <f t="shared" si="272"/>
        <v>0.85013578576296811</v>
      </c>
      <c r="BF129" s="26">
        <f t="shared" si="273"/>
        <v>2.325765691652585E-2</v>
      </c>
      <c r="BG129" s="26">
        <f t="shared" si="274"/>
        <v>1.0763331398736587E-3</v>
      </c>
      <c r="BH129" s="26">
        <f t="shared" si="275"/>
        <v>0</v>
      </c>
      <c r="BI129" s="26">
        <f t="shared" si="276"/>
        <v>0</v>
      </c>
      <c r="BJ129" s="26">
        <f t="shared" si="277"/>
        <v>0</v>
      </c>
      <c r="BK129" s="25">
        <f t="shared" si="278"/>
        <v>4</v>
      </c>
      <c r="BL129" s="24">
        <f t="shared" si="279"/>
        <v>6</v>
      </c>
      <c r="BM129" s="26">
        <f t="shared" si="280"/>
        <v>2.0467093484911127</v>
      </c>
      <c r="BN129" s="26">
        <f t="shared" si="281"/>
        <v>0.87446977581936758</v>
      </c>
      <c r="BO129" s="22"/>
      <c r="BP129" s="23">
        <f t="shared" si="282"/>
        <v>0.77710483584311074</v>
      </c>
      <c r="BQ129" s="26">
        <f t="shared" si="283"/>
        <v>8.861760025229426E-2</v>
      </c>
      <c r="BR129" s="26">
        <f t="shared" si="284"/>
        <v>4.670934849111269E-2</v>
      </c>
      <c r="BS129" s="26"/>
      <c r="BT129" s="26">
        <f t="shared" si="285"/>
        <v>2.3304642670626523E-2</v>
      </c>
      <c r="BU129" s="26">
        <f t="shared" si="286"/>
        <v>2.345169157458684E-2</v>
      </c>
      <c r="BV129" s="26">
        <f t="shared" si="287"/>
        <v>3.4983502703819266E-2</v>
      </c>
      <c r="BW129" s="26">
        <f t="shared" si="288"/>
        <v>2.4703027295909275E-4</v>
      </c>
      <c r="BX129" s="26">
        <f t="shared" si="289"/>
        <v>0.79317102875897494</v>
      </c>
      <c r="BY129" s="26">
        <f t="shared" si="290"/>
        <v>0.13022230920185413</v>
      </c>
      <c r="BZ129" s="26">
        <f t="shared" si="291"/>
        <v>1.0053802051828209</v>
      </c>
      <c r="CA129" s="22"/>
      <c r="CB129" s="22">
        <f t="shared" si="292"/>
        <v>2.325765691652585E-2</v>
      </c>
      <c r="CC129" s="22">
        <f t="shared" si="293"/>
        <v>0</v>
      </c>
      <c r="CD129" s="22">
        <f t="shared" si="294"/>
        <v>9.3619394730855982E-4</v>
      </c>
      <c r="CE129" s="22">
        <f t="shared" si="295"/>
        <v>4.9306444365438144E-4</v>
      </c>
      <c r="CF129" s="22">
        <f t="shared" si="296"/>
        <v>4.670934849111269E-2</v>
      </c>
      <c r="CG129" s="22">
        <f t="shared" si="297"/>
        <v>0.41262741789870916</v>
      </c>
      <c r="CH129" s="22">
        <f t="shared" si="298"/>
        <v>0.46719991475147726</v>
      </c>
      <c r="CI129" s="22">
        <f t="shared" si="299"/>
        <v>0.12017266734981354</v>
      </c>
      <c r="CJ129" s="22"/>
      <c r="CK129" s="22">
        <f t="shared" si="300"/>
        <v>0.44563718310285017</v>
      </c>
      <c r="CL129" s="22">
        <f t="shared" si="301"/>
        <v>0.42832996450845789</v>
      </c>
      <c r="CM129" s="22">
        <f t="shared" si="302"/>
        <v>0.12603285238869194</v>
      </c>
      <c r="CN129" s="1"/>
      <c r="CO129" s="26">
        <f t="shared" si="303"/>
        <v>0.86717709720372838</v>
      </c>
      <c r="CP129" s="26">
        <f t="shared" si="304"/>
        <v>9.4266399599399111E-3</v>
      </c>
      <c r="CQ129" s="26">
        <f t="shared" si="305"/>
        <v>6.1396626127893296E-2</v>
      </c>
      <c r="CR129" s="26">
        <f t="shared" si="306"/>
        <v>2.2369892756102374E-4</v>
      </c>
      <c r="CS129" s="26">
        <f t="shared" si="307"/>
        <v>0.10633263743910926</v>
      </c>
      <c r="CT129" s="26">
        <f t="shared" si="308"/>
        <v>2.7488018043416973E-3</v>
      </c>
      <c r="CU129" s="26">
        <f t="shared" si="309"/>
        <v>0.37071960297766748</v>
      </c>
      <c r="CV129" s="26">
        <f t="shared" si="310"/>
        <v>0.38569900142653352</v>
      </c>
      <c r="CW129" s="26">
        <f t="shared" si="311"/>
        <v>1.0551790900290417E-2</v>
      </c>
      <c r="CX129" s="26">
        <f t="shared" si="312"/>
        <v>4.883227176220807E-4</v>
      </c>
      <c r="CY129" s="26">
        <f t="shared" si="313"/>
        <v>0</v>
      </c>
      <c r="CZ129" s="26">
        <f t="shared" si="314"/>
        <v>0</v>
      </c>
      <c r="DA129" s="26">
        <f t="shared" si="315"/>
        <v>0</v>
      </c>
      <c r="DB129" s="26">
        <f t="shared" si="316"/>
        <v>1.8147642194846869</v>
      </c>
      <c r="DC129" s="26">
        <f t="shared" si="317"/>
        <v>2.7166580623671259</v>
      </c>
      <c r="DD129" s="26">
        <f t="shared" si="318"/>
        <v>2.204143082089101</v>
      </c>
      <c r="DE129" s="26">
        <f t="shared" si="319"/>
        <v>5.9879030745680826</v>
      </c>
      <c r="DF129" s="1"/>
      <c r="DG129" s="22">
        <v>1.0754940375967621</v>
      </c>
      <c r="DH129" s="14">
        <v>1880.0999507382594</v>
      </c>
      <c r="DI129" s="14">
        <v>93140.376398189866</v>
      </c>
      <c r="DJ129" s="14">
        <v>17405.333408037302</v>
      </c>
      <c r="DK129" s="14">
        <v>241951.91162975665</v>
      </c>
      <c r="DL129" s="14">
        <v>157030.06763981175</v>
      </c>
      <c r="DM129" s="96">
        <v>115.27880452169673</v>
      </c>
      <c r="DN129" s="14">
        <v>3688.8094483787263</v>
      </c>
      <c r="DO129" s="96">
        <v>402.28829889520949</v>
      </c>
      <c r="DP129" s="22">
        <v>126.93613050465825</v>
      </c>
      <c r="DQ129" s="14">
        <v>1486.1982598657926</v>
      </c>
      <c r="DR129" s="22">
        <v>43.855572721623084</v>
      </c>
      <c r="DS129" s="22">
        <v>56.192778400653282</v>
      </c>
      <c r="DT129" s="22">
        <v>1.5884889960950006</v>
      </c>
      <c r="DU129" s="22">
        <v>42.449865066447117</v>
      </c>
      <c r="DV129" s="22">
        <v>0</v>
      </c>
      <c r="DW129" s="22">
        <v>15.82376447904716</v>
      </c>
      <c r="DX129" s="22">
        <v>16.263683847261461</v>
      </c>
      <c r="DY129" s="22">
        <v>14.634599965638861</v>
      </c>
      <c r="DZ129" s="22">
        <v>14.060076627074272</v>
      </c>
      <c r="EA129" s="22">
        <v>0</v>
      </c>
      <c r="EB129" s="22">
        <v>0</v>
      </c>
      <c r="EC129" s="22">
        <v>0.47098547185283562</v>
      </c>
      <c r="ED129" s="22">
        <v>0.60678788069954381</v>
      </c>
      <c r="EE129" s="22">
        <v>2.5970786521682503</v>
      </c>
      <c r="EF129" s="22">
        <v>0.55350785407403835</v>
      </c>
      <c r="EG129" s="22">
        <v>3.7325773717792123</v>
      </c>
      <c r="EH129" s="22">
        <v>1.5040172003833201</v>
      </c>
      <c r="EI129" s="22">
        <v>0.43892675976290929</v>
      </c>
      <c r="EJ129" s="22">
        <v>2.388483463922507</v>
      </c>
      <c r="EK129" s="22">
        <v>0.43080468206591821</v>
      </c>
      <c r="EL129" s="22">
        <v>2.9910784769047578</v>
      </c>
      <c r="EM129" s="22">
        <v>0.51636098467050462</v>
      </c>
      <c r="EN129" s="22">
        <v>1.6938387992349315</v>
      </c>
      <c r="EO129" s="22">
        <v>0.22086081884822467</v>
      </c>
      <c r="EP129" s="22">
        <v>1.4518211052085097</v>
      </c>
      <c r="EQ129" s="22">
        <v>0.18299350648355961</v>
      </c>
      <c r="ER129" s="22">
        <v>0.60570626501052482</v>
      </c>
      <c r="ES129" s="22">
        <v>0</v>
      </c>
      <c r="ET129" s="22">
        <v>6.7230550352675014E-2</v>
      </c>
      <c r="EU129" s="22">
        <v>1.7121261636190387E-2</v>
      </c>
      <c r="EV129" s="22">
        <v>4.8671141966689646E-3</v>
      </c>
      <c r="EW129" s="22">
        <f>(EI129/0.05883)/SQRT((EH129/0.1536)*(EJ129/0.2069))</f>
        <v>0.70174858054734723</v>
      </c>
      <c r="EX129" s="22"/>
      <c r="EY129" s="22"/>
      <c r="EZ129" s="22"/>
      <c r="FA129" s="22"/>
      <c r="FB129" s="22"/>
      <c r="FC129" s="22"/>
      <c r="FD129" s="22"/>
      <c r="FE129" s="22"/>
      <c r="FF129" s="22"/>
      <c r="FG129" s="22"/>
      <c r="FH129" s="22"/>
      <c r="FI129" s="22">
        <f>-0.50354-2.23025*BP129+ N("eqn 18 Mg# R2 0.28 best")</f>
        <v>-2.2366780601390976</v>
      </c>
      <c r="FJ129" s="22"/>
      <c r="FK129" s="22">
        <f xml:space="preserve"> -0.03692  +  0.931085 + FX129   + N("488 NN Dy")</f>
        <v>0.61972237237520067</v>
      </c>
      <c r="FL129" s="22">
        <f>-0.48986  +   0    +   (1.071278 + 0) * GD129  +N("eqn 119 LnD Hf  (which has R2 of 0.51 for TS")</f>
        <v>-1.066083436649357</v>
      </c>
      <c r="FM129" s="22"/>
      <c r="FN129" s="22"/>
      <c r="FO129" s="22">
        <f>3.94011-11.9214*BP129</f>
        <v>-5.3240675900200616</v>
      </c>
      <c r="FP129" s="22">
        <f xml:space="preserve">  -0.49862 +   1.013256 * FQ129 + N("294 NN")</f>
        <v>-2.2457010943311948</v>
      </c>
      <c r="FQ129" s="46">
        <f t="shared" si="470"/>
        <v>-1.7242247707698697</v>
      </c>
      <c r="FR129" s="46">
        <f t="shared" si="471"/>
        <v>-1.317097835219371</v>
      </c>
      <c r="FS129" s="46">
        <f t="shared" si="472"/>
        <v>-0.96697492602054003</v>
      </c>
      <c r="FT129" s="46">
        <f xml:space="preserve"> 0.68509  -3.34181 * BP129 + 0.03095*(100*CK129) +N("642 cpx Mg# Wo R2 0.59")</f>
        <v>-0.53259962976554465</v>
      </c>
      <c r="FU129" s="46">
        <f t="shared" si="473"/>
        <v>-0.55917832236215381</v>
      </c>
      <c r="FV129" s="46">
        <f t="shared" si="474"/>
        <v>-0.34764705472987001</v>
      </c>
      <c r="FW129" s="46">
        <f t="shared" si="475"/>
        <v>-0.27079866323954571</v>
      </c>
      <c r="FX129" s="46">
        <f t="shared" si="476"/>
        <v>-0.27444262762479943</v>
      </c>
      <c r="FY129" s="46">
        <f t="shared" si="477"/>
        <v>-0.32358342967030596</v>
      </c>
      <c r="FZ129" s="46">
        <f t="shared" si="478"/>
        <v>-0.37104471155668578</v>
      </c>
      <c r="GA129" s="46">
        <f t="shared" si="479"/>
        <v>-0.33771487889826934</v>
      </c>
      <c r="GB129" s="46">
        <f t="shared" si="480"/>
        <v>-0.36752472910119827</v>
      </c>
      <c r="GC129" s="46">
        <f t="shared" si="481"/>
        <v>-0.3524403820283209</v>
      </c>
      <c r="GD129" s="46">
        <f>(-1.72947 +0 ) * (3.46258+0) * BQ129   - (1.87473 + 0) *BP129   + (0.03253+0) * (CK129*100)    +N("eqn625 aliv mg# wo")</f>
        <v>-0.53788413152268322</v>
      </c>
      <c r="GE129" s="46"/>
      <c r="GF129" s="46"/>
      <c r="GG129" s="46"/>
      <c r="GH129" s="46"/>
    </row>
    <row r="130" spans="1:190" x14ac:dyDescent="0.25">
      <c r="A130" s="5" t="s">
        <v>83</v>
      </c>
      <c r="B130" s="1">
        <v>101</v>
      </c>
      <c r="C130" s="98" t="s">
        <v>96</v>
      </c>
      <c r="D130" s="98" t="s">
        <v>103</v>
      </c>
      <c r="E130" s="1">
        <v>132</v>
      </c>
      <c r="F130" s="22">
        <v>51.57</v>
      </c>
      <c r="G130" s="22">
        <v>0.41799999999999998</v>
      </c>
      <c r="H130" s="22">
        <v>3.13</v>
      </c>
      <c r="I130" s="22">
        <v>0.10100000000000001</v>
      </c>
      <c r="J130" s="22">
        <v>7.11</v>
      </c>
      <c r="K130" s="22">
        <v>0.191</v>
      </c>
      <c r="L130" s="22">
        <v>14.88</v>
      </c>
      <c r="M130" s="22">
        <v>21.65</v>
      </c>
      <c r="N130" s="22">
        <v>0.29099999999999998</v>
      </c>
      <c r="O130" s="22">
        <v>0</v>
      </c>
      <c r="P130" s="22">
        <v>0</v>
      </c>
      <c r="Q130" s="22"/>
      <c r="R130" s="22"/>
      <c r="S130" s="22">
        <f t="shared" ref="S130:S193" si="482">SUM(F130:R130)</f>
        <v>99.341000000000008</v>
      </c>
      <c r="T130" s="3"/>
      <c r="U130" s="22">
        <f t="shared" ref="U130:U193" si="483">J130*BA130/(BA130+BB130)</f>
        <v>6.2386854479036025</v>
      </c>
      <c r="V130" s="22">
        <f t="shared" ref="V130:V193" si="484">1.1113*J130*BB130/(BA130+BB130)</f>
        <v>0.96829186174472692</v>
      </c>
      <c r="W130" s="22">
        <f t="shared" ref="W130:W193" si="485">SUM(F130:I130)+SUM(K130:R130)+SUM(U130:V130)</f>
        <v>99.437977309648318</v>
      </c>
      <c r="X130" s="1"/>
      <c r="Y130" s="1"/>
      <c r="Z130" s="1"/>
      <c r="AA130" s="1" t="s">
        <v>185</v>
      </c>
      <c r="AC130" s="1">
        <v>6</v>
      </c>
      <c r="AD130" s="1">
        <v>4</v>
      </c>
      <c r="AE130" s="1"/>
      <c r="AF130" s="26">
        <f t="shared" ref="AF130:AF193" si="486">CO130*($AC130/$DC130)</f>
        <v>1.919617656051279</v>
      </c>
      <c r="AG130" s="26">
        <f t="shared" ref="AG130:AG193" si="487">CP130*($AC130/$DC130)</f>
        <v>1.1702691430053853E-2</v>
      </c>
      <c r="AH130" s="26">
        <f t="shared" ref="AH130:AH193" si="488">CQ130*($AC130/$DC130)</f>
        <v>0.1373067965101408</v>
      </c>
      <c r="AI130" s="26">
        <f t="shared" ref="AI130:AI193" si="489">CR130*($AC130/$DC130)</f>
        <v>2.9722400565481322E-3</v>
      </c>
      <c r="AJ130" s="26">
        <f t="shared" ref="AJ130:AJ193" si="490">CS130*($AC130/$DC130)</f>
        <v>0.22130455691137871</v>
      </c>
      <c r="AK130" s="26">
        <f t="shared" ref="AK130:AK193" si="491">CT130*($AC130/$DC130)</f>
        <v>6.0212923166975138E-3</v>
      </c>
      <c r="AL130" s="26">
        <f t="shared" ref="AL130:AL193" si="492">CU130*($AC130/$DC130)</f>
        <v>0.82574397476572847</v>
      </c>
      <c r="AM130" s="26">
        <f t="shared" ref="AM130:AM193" si="493">CV130*($AC130/$DC130)</f>
        <v>0.86337093474283111</v>
      </c>
      <c r="AN130" s="26">
        <f t="shared" ref="AN130:AN193" si="494">CW130*($AC130/$DC130)</f>
        <v>2.0999982901330743E-2</v>
      </c>
      <c r="AO130" s="26">
        <f t="shared" ref="AO130:AO193" si="495">CX130*($AC130/$DC130)</f>
        <v>0</v>
      </c>
      <c r="AP130" s="26">
        <f t="shared" ref="AP130:AP193" si="496">CY130*($AC130/$DC130)</f>
        <v>0</v>
      </c>
      <c r="AQ130" s="26">
        <f t="shared" ref="AQ130:AQ193" si="497">CZ130*($AC130/$DC130)</f>
        <v>0</v>
      </c>
      <c r="AR130" s="26">
        <f t="shared" ref="AR130:AR193" si="498">DA130*($AC130/$DC130)</f>
        <v>0</v>
      </c>
      <c r="AS130" s="26">
        <f t="shared" ref="AS130:AS193" si="499">SUM(AF130:AQ130)</f>
        <v>4.0090401256859884</v>
      </c>
      <c r="AT130" s="26">
        <f t="shared" ref="AT130:AT193" si="500">AF130+AH130</f>
        <v>2.0569244525614199</v>
      </c>
      <c r="AU130" s="26">
        <f t="shared" ref="AU130:AU193" si="501">SUM(AM130:AO130)</f>
        <v>0.88437091764416187</v>
      </c>
      <c r="AV130" s="47"/>
      <c r="AW130" s="26">
        <f t="shared" ref="AW130:AW193" si="502">IF($AD130&gt;0,CO130*$DD130,"")</f>
        <v>1.9152890426336775</v>
      </c>
      <c r="AX130" s="26">
        <f t="shared" ref="AX130:AX193" si="503">IF($AD130&gt;0,CP130*$DD130,"")</f>
        <v>1.1676302619247443E-2</v>
      </c>
      <c r="AY130" s="26">
        <f t="shared" ref="AY130:AY193" si="504">IF($AD130&gt;0,CQ130*$DD130,"")</f>
        <v>0.13699717858188926</v>
      </c>
      <c r="AZ130" s="26">
        <f t="shared" ref="AZ130:AZ193" si="505">IF($AD130&gt;0,CR130*$DD130,"")</f>
        <v>2.965537847830396E-3</v>
      </c>
      <c r="BA130" s="26">
        <f t="shared" ref="BA130:BA193" si="506">IF($AD130&gt;0 +N("so a blank cell if no ideal cations set"),                         CS130*DD130-BB130,"")</f>
        <v>0.19374630711154275</v>
      </c>
      <c r="BB130" s="26">
        <f t="shared" ref="BB130:BB193" si="507">IF($AD130&gt;0 +N("so a blank cell if no ideal cations set"),                                                                     IF(AS130&gt;AD130,                          IF(  2*AC130*(1-(AD130/AS130))   &lt;   CS130*DD130,    2*AC130*(1-(AD130/AS130)),    CS130*DD130),0),"")</f>
        <v>2.7059222365178215E-2</v>
      </c>
      <c r="BC130" s="26">
        <f t="shared" ref="BC130:BC193" si="508">IF($AD130&gt;0,CT130*$DD130,"")</f>
        <v>6.0077146927205753E-3</v>
      </c>
      <c r="BD130" s="26">
        <f t="shared" ref="BD130:BD193" si="509">IF($AD130&gt;0,CU130*$DD130,"")</f>
        <v>0.82388197561323728</v>
      </c>
      <c r="BE130" s="26">
        <f t="shared" ref="BE130:BE193" si="510">IF($AD130&gt;0,CV130*$DD130,"")</f>
        <v>0.86142408923392777</v>
      </c>
      <c r="BF130" s="26">
        <f t="shared" ref="BF130:BF193" si="511">IF($AD130&gt;0,CW130*$DD130,"")</f>
        <v>2.0952629300748069E-2</v>
      </c>
      <c r="BG130" s="26">
        <f t="shared" ref="BG130:BG193" si="512">IF($AD130&gt;0,CX130*$DD130,"")</f>
        <v>0</v>
      </c>
      <c r="BH130" s="26">
        <f t="shared" ref="BH130:BH193" si="513">IF($AD130&gt;0,CY130*$DD130,"")</f>
        <v>0</v>
      </c>
      <c r="BI130" s="26">
        <f t="shared" ref="BI130:BI193" si="514">IF($AD130&gt;0,CZ130*$DD130,"")</f>
        <v>0</v>
      </c>
      <c r="BJ130" s="26">
        <f t="shared" ref="BJ130:BJ193" si="515">IF($AD130&gt;0,DA130*$DD130,"")</f>
        <v>0</v>
      </c>
      <c r="BK130" s="25">
        <f t="shared" ref="BK130:BK193" si="516">IF(AD130&gt;0,SUM(AW130:BI130),"")</f>
        <v>3.9999999999999996</v>
      </c>
      <c r="BL130" s="24">
        <f t="shared" ref="BL130:BL193" si="517">(AW130+AX130)*2+(AY130+AZ130+BB130)*1.5+BA130+BC130+BD130+BE130+(BF130+BG130)*0.5+BH130*2.5+BI130*3  -(0.5*(BJ130))</f>
        <v>5.9999999999999982</v>
      </c>
      <c r="BM130" s="26">
        <f t="shared" ref="BM130:BM193" si="518">IF(AD130&gt;0,AW130+AY130,"")</f>
        <v>2.0522862212155668</v>
      </c>
      <c r="BN130" s="26">
        <f t="shared" ref="BN130:BN193" si="519">IF(AD130&gt;0,SUM(BE130:BG130),"")</f>
        <v>0.88237671853467581</v>
      </c>
      <c r="BO130" s="22"/>
      <c r="BP130" s="23">
        <f t="shared" ref="BP130:BP193" si="520">AL130/(AL130+AJ130)</f>
        <v>0.78863963778555257</v>
      </c>
      <c r="BQ130" s="26">
        <f t="shared" ref="BQ130:BQ193" si="521">IF(2-AW130&gt;0,2-AW130,0)</f>
        <v>8.4710957366322504E-2</v>
      </c>
      <c r="BR130" s="26">
        <f t="shared" ref="BR130:BR193" si="522">IF(AY130-BQ130&gt;0,AY130-BQ130,0)</f>
        <v>5.2286221215566753E-2</v>
      </c>
      <c r="BS130" s="26"/>
      <c r="BT130" s="26">
        <f t="shared" ref="BT130:BT193" si="523">IF(AN130&lt;BR130,AN130,BR130)</f>
        <v>2.0999982901330743E-2</v>
      </c>
      <c r="BU130" s="26">
        <f t="shared" ref="BU130:BU193" si="524">IF(AN130&lt;BR130,BR130-BF130,0)</f>
        <v>3.1333591914818687E-2</v>
      </c>
      <c r="BV130" s="26">
        <f t="shared" ref="BV130:BV193" si="525">IF(BR130&gt;BU130,BR130-BU130/2,0)</f>
        <v>3.6619425258157409E-2</v>
      </c>
      <c r="BW130" s="26">
        <f t="shared" ref="BW130:BW193" si="526">AI130/2</f>
        <v>1.4861200282740661E-3</v>
      </c>
      <c r="BX130" s="26">
        <f t="shared" ref="BX130:BX193" si="527">IF(AM130-BU130-BV130-BW130&gt;0,AM130-BU130-BV130-BW130,0)</f>
        <v>0.79393179754158094</v>
      </c>
      <c r="BY130" s="26">
        <f t="shared" ref="BY130:BY193" si="528">((AJ130+AL130)-BX130)/2</f>
        <v>0.12655836706776313</v>
      </c>
      <c r="BZ130" s="26">
        <f t="shared" ref="BZ130:BZ193" si="529">SUM(BT130:BY130)</f>
        <v>1.0109292847119251</v>
      </c>
      <c r="CA130" s="22"/>
      <c r="CB130" s="22">
        <f t="shared" ref="CB130:CB193" si="530">IF($BB130&gt;0,IF($BB130&lt;$BF130,$BB130,$BF130),0)</f>
        <v>2.0952629300748069E-2</v>
      </c>
      <c r="CC130" s="22">
        <f t="shared" ref="CC130:CC193" si="531">IF(BR130&lt;(BF130-CB130),BR130,(BF130-CB130))</f>
        <v>0</v>
      </c>
      <c r="CD130" s="22">
        <f t="shared" ref="CD130:CD193" si="532">IF($BB130&gt;0,$BB130-$CB130,0)</f>
        <v>6.1065930644301457E-3</v>
      </c>
      <c r="CE130" s="22">
        <f t="shared" ref="CE130:CE193" si="533">AZ130</f>
        <v>2.965537847830396E-3</v>
      </c>
      <c r="CF130" s="22">
        <f t="shared" ref="CF130:CF193" si="534">BR130-CC130</f>
        <v>5.2286221215566753E-2</v>
      </c>
      <c r="CG130" s="22">
        <f t="shared" ref="CG130:CG193" si="535">(BE130+CB130-SUM(CD130:CF130))/2</f>
        <v>0.41050918320342428</v>
      </c>
      <c r="CH130" s="22">
        <f t="shared" ref="CH130:CH193" si="536">(1-CG130)*(1-(BA130/(BA130+BD130)))</f>
        <v>0.47725762637787711</v>
      </c>
      <c r="CI130" s="22">
        <f t="shared" ref="CI130:CI193" si="537">(1-CG130)*(BA130/(BA130+BD130))</f>
        <v>0.11223319041869867</v>
      </c>
      <c r="CJ130" s="22"/>
      <c r="CK130" s="22">
        <f t="shared" ref="CK130:CK193" si="538">BE130/(BE130+BD130+BA130+BB130+BC130)</f>
        <v>0.45050749980499583</v>
      </c>
      <c r="CL130" s="22">
        <f t="shared" ref="CL130:CL193" si="539">BD130/(BE130+BD130+BA130+BB130+BC130)</f>
        <v>0.4308737282910215</v>
      </c>
      <c r="CM130" s="22">
        <f t="shared" ref="CM130:CM193" si="540">(BA130+BB130+BC130)/(BE130+BD130+BA130+BB130+BC130)</f>
        <v>0.11861877190398251</v>
      </c>
      <c r="CN130" s="1"/>
      <c r="CO130" s="26">
        <f t="shared" ref="CO130:CO193" si="541">F130/60.08</f>
        <v>0.85835552596537956</v>
      </c>
      <c r="CP130" s="26">
        <f t="shared" ref="CP130:CP193" si="542">G130/79.88</f>
        <v>5.2328492739108666E-3</v>
      </c>
      <c r="CQ130" s="26">
        <f t="shared" ref="CQ130:CQ193" si="543">H130/101.96*2</f>
        <v>6.1396626127893296E-2</v>
      </c>
      <c r="CR130" s="26">
        <f t="shared" ref="CR130:CR193" si="544">I130/151.99*2</f>
        <v>1.3290348049213765E-3</v>
      </c>
      <c r="CS130" s="26">
        <f t="shared" ref="CS130:CS193" si="545">J130/71.85</f>
        <v>9.8956158663883104E-2</v>
      </c>
      <c r="CT130" s="26">
        <f t="shared" ref="CT130:CT193" si="546">K130/70.94</f>
        <v>2.6924161263039191E-3</v>
      </c>
      <c r="CU130" s="26">
        <f t="shared" ref="CU130:CU193" si="547">L130/40.3</f>
        <v>0.36923076923076925</v>
      </c>
      <c r="CV130" s="26">
        <f t="shared" ref="CV130:CV193" si="548">M130/56.08</f>
        <v>0.38605563480741795</v>
      </c>
      <c r="CW130" s="26">
        <f t="shared" ref="CW130:CW193" si="549">N130/61.98*2</f>
        <v>9.3901258470474348E-3</v>
      </c>
      <c r="CX130" s="26">
        <f t="shared" ref="CX130:CX193" si="550">O130/94.2*2</f>
        <v>0</v>
      </c>
      <c r="CY130" s="26">
        <f t="shared" ref="CY130:CY193" si="551">P130/141.94*2</f>
        <v>0</v>
      </c>
      <c r="CZ130" s="26">
        <f t="shared" ref="CZ130:CZ193" si="552">Q130/80.06</f>
        <v>0</v>
      </c>
      <c r="DA130" s="26">
        <f t="shared" ref="DA130:DA193" si="553">R130/35.45</f>
        <v>0</v>
      </c>
      <c r="DB130" s="26">
        <f t="shared" ref="DB130:DB193" si="554">SUM(CO130:CZ130)</f>
        <v>1.7926391408475271</v>
      </c>
      <c r="DC130" s="26">
        <f t="shared" ref="DC130:DC193" si="555">(CO130+CP130)*2+(CQ130+CR130)*1.5+CS130+CT130+CU130+CV130+(CW130+CX130)*0.5+CY130*2.5+CZ130*3+     -(0.5*(DA130))</f>
        <v>2.6828952836297009</v>
      </c>
      <c r="DD130" s="26">
        <f t="shared" ref="DD130:DD193" si="556">AD130/DB130</f>
        <v>2.2313470172858509</v>
      </c>
      <c r="DE130" s="26">
        <f t="shared" ref="DE130:DE193" si="557">DC130*DD130</f>
        <v>5.98647038881741</v>
      </c>
      <c r="DF130" s="1"/>
      <c r="DG130" s="22"/>
      <c r="DH130" s="14"/>
      <c r="DI130" s="14"/>
      <c r="DJ130" s="14"/>
      <c r="DK130" s="14"/>
      <c r="DL130" s="14"/>
      <c r="DM130" s="96"/>
      <c r="DN130" s="14"/>
      <c r="DO130" s="96"/>
      <c r="DP130" s="22"/>
      <c r="DQ130" s="14"/>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46"/>
      <c r="FR130" s="46"/>
      <c r="FS130" s="46"/>
      <c r="FT130" s="46"/>
      <c r="FU130" s="46"/>
      <c r="FV130" s="46"/>
      <c r="FW130" s="46"/>
      <c r="FX130" s="46"/>
      <c r="FY130" s="46"/>
      <c r="FZ130" s="46"/>
      <c r="GA130" s="46"/>
      <c r="GB130" s="46"/>
      <c r="GC130" s="46"/>
      <c r="GD130" s="46"/>
      <c r="GE130" s="46"/>
      <c r="GF130" s="46"/>
      <c r="GG130" s="46"/>
      <c r="GH130" s="46"/>
    </row>
    <row r="131" spans="1:190" x14ac:dyDescent="0.25">
      <c r="A131" s="5" t="s">
        <v>83</v>
      </c>
      <c r="B131" s="1">
        <v>103</v>
      </c>
      <c r="C131" s="98" t="s">
        <v>96</v>
      </c>
      <c r="D131" s="98" t="s">
        <v>103</v>
      </c>
      <c r="E131" s="1">
        <v>134</v>
      </c>
      <c r="F131" s="22">
        <v>45</v>
      </c>
      <c r="G131" s="22">
        <v>2.0099999999999998</v>
      </c>
      <c r="H131" s="22">
        <v>3.66</v>
      </c>
      <c r="I131" s="22">
        <v>2.3E-2</v>
      </c>
      <c r="J131" s="22">
        <v>17.45</v>
      </c>
      <c r="K131" s="22">
        <v>0.29399999999999998</v>
      </c>
      <c r="L131" s="22">
        <v>13.91</v>
      </c>
      <c r="M131" s="22">
        <v>17.86</v>
      </c>
      <c r="N131" s="22">
        <v>0.26700000000000002</v>
      </c>
      <c r="O131" s="22">
        <v>0</v>
      </c>
      <c r="P131" s="22">
        <v>0</v>
      </c>
      <c r="Q131" s="22"/>
      <c r="R131" s="22"/>
      <c r="S131" s="22">
        <f t="shared" si="482"/>
        <v>100.47399999999999</v>
      </c>
      <c r="T131" s="3"/>
      <c r="U131" s="22">
        <f t="shared" si="483"/>
        <v>6.4056763833337369</v>
      </c>
      <c r="V131" s="22">
        <f t="shared" si="484"/>
        <v>12.273556835201216</v>
      </c>
      <c r="W131" s="22">
        <f t="shared" si="485"/>
        <v>101.70323321853496</v>
      </c>
      <c r="X131" s="1"/>
      <c r="Y131" s="1"/>
      <c r="Z131" s="1"/>
      <c r="AA131" s="1" t="s">
        <v>187</v>
      </c>
      <c r="AC131" s="1">
        <v>6</v>
      </c>
      <c r="AD131" s="1">
        <v>4</v>
      </c>
      <c r="AE131" s="1"/>
      <c r="AF131" s="26">
        <f t="shared" si="486"/>
        <v>1.7476717994662554</v>
      </c>
      <c r="AG131" s="26">
        <f t="shared" si="487"/>
        <v>5.8713137662322522E-2</v>
      </c>
      <c r="AH131" s="26">
        <f t="shared" si="488"/>
        <v>0.167516867384017</v>
      </c>
      <c r="AI131" s="26">
        <f t="shared" si="489"/>
        <v>7.0618762912017603E-4</v>
      </c>
      <c r="AJ131" s="26">
        <f t="shared" si="490"/>
        <v>0.56669052002574016</v>
      </c>
      <c r="AK131" s="26">
        <f t="shared" si="491"/>
        <v>9.6701549927350784E-3</v>
      </c>
      <c r="AL131" s="26">
        <f t="shared" si="492"/>
        <v>0.80537727764708189</v>
      </c>
      <c r="AM131" s="26">
        <f t="shared" si="493"/>
        <v>0.74310594934819962</v>
      </c>
      <c r="AN131" s="26">
        <f t="shared" si="494"/>
        <v>2.0103282418763052E-2</v>
      </c>
      <c r="AO131" s="26">
        <f t="shared" si="495"/>
        <v>0</v>
      </c>
      <c r="AP131" s="26">
        <f t="shared" si="496"/>
        <v>0</v>
      </c>
      <c r="AQ131" s="26">
        <f t="shared" si="497"/>
        <v>0</v>
      </c>
      <c r="AR131" s="26">
        <f t="shared" si="498"/>
        <v>0</v>
      </c>
      <c r="AS131" s="26">
        <f t="shared" si="499"/>
        <v>4.1195551765742344</v>
      </c>
      <c r="AT131" s="26">
        <f t="shared" si="500"/>
        <v>1.9151886668502724</v>
      </c>
      <c r="AU131" s="26">
        <f t="shared" si="501"/>
        <v>0.76320923176696265</v>
      </c>
      <c r="AV131" s="47"/>
      <c r="AW131" s="26">
        <f t="shared" si="502"/>
        <v>1.6969519519042782</v>
      </c>
      <c r="AX131" s="26">
        <f t="shared" si="503"/>
        <v>5.7009201378045438E-2</v>
      </c>
      <c r="AY131" s="26">
        <f t="shared" si="504"/>
        <v>0.16265529670445797</v>
      </c>
      <c r="AZ131" s="26">
        <f t="shared" si="505"/>
        <v>6.856930895217982E-4</v>
      </c>
      <c r="BA131" s="26">
        <f t="shared" si="506"/>
        <v>0.20198781799158017</v>
      </c>
      <c r="BB131" s="26">
        <f t="shared" si="507"/>
        <v>0.34825656106003589</v>
      </c>
      <c r="BC131" s="26">
        <f t="shared" si="508"/>
        <v>9.3895137491777879E-3</v>
      </c>
      <c r="BD131" s="26">
        <f t="shared" si="509"/>
        <v>0.78200411755797616</v>
      </c>
      <c r="BE131" s="26">
        <f t="shared" si="510"/>
        <v>0.72153998914626138</v>
      </c>
      <c r="BF131" s="26">
        <f t="shared" si="511"/>
        <v>1.9519857418664955E-2</v>
      </c>
      <c r="BG131" s="26">
        <f t="shared" si="512"/>
        <v>0</v>
      </c>
      <c r="BH131" s="26">
        <f t="shared" si="513"/>
        <v>0</v>
      </c>
      <c r="BI131" s="26">
        <f t="shared" si="514"/>
        <v>0</v>
      </c>
      <c r="BJ131" s="26">
        <f t="shared" si="515"/>
        <v>0</v>
      </c>
      <c r="BK131" s="25">
        <f t="shared" si="516"/>
        <v>3.9999999999999996</v>
      </c>
      <c r="BL131" s="24">
        <f t="shared" si="517"/>
        <v>5.9999999999999991</v>
      </c>
      <c r="BM131" s="26">
        <f t="shared" si="518"/>
        <v>1.8596072486087361</v>
      </c>
      <c r="BN131" s="26">
        <f t="shared" si="519"/>
        <v>0.74105984656492629</v>
      </c>
      <c r="BO131" s="22"/>
      <c r="BP131" s="23">
        <f t="shared" si="520"/>
        <v>0.58698067181016156</v>
      </c>
      <c r="BQ131" s="26">
        <f t="shared" si="521"/>
        <v>0.30304804809572183</v>
      </c>
      <c r="BR131" s="26">
        <f t="shared" si="522"/>
        <v>0</v>
      </c>
      <c r="BS131" s="26"/>
      <c r="BT131" s="26">
        <f t="shared" si="523"/>
        <v>0</v>
      </c>
      <c r="BU131" s="26">
        <f t="shared" si="524"/>
        <v>0</v>
      </c>
      <c r="BV131" s="26">
        <f t="shared" si="525"/>
        <v>0</v>
      </c>
      <c r="BW131" s="26">
        <f t="shared" si="526"/>
        <v>3.5309381456008802E-4</v>
      </c>
      <c r="BX131" s="26">
        <f t="shared" si="527"/>
        <v>0.74275285553363957</v>
      </c>
      <c r="BY131" s="26">
        <f t="shared" si="528"/>
        <v>0.31465747106959119</v>
      </c>
      <c r="BZ131" s="26">
        <f t="shared" si="529"/>
        <v>1.0577634204177908</v>
      </c>
      <c r="CA131" s="22"/>
      <c r="CB131" s="22">
        <f t="shared" si="530"/>
        <v>1.9519857418664955E-2</v>
      </c>
      <c r="CC131" s="22">
        <f t="shared" si="531"/>
        <v>0</v>
      </c>
      <c r="CD131" s="22">
        <f t="shared" si="532"/>
        <v>0.32873670364137092</v>
      </c>
      <c r="CE131" s="22">
        <f t="shared" si="533"/>
        <v>6.856930895217982E-4</v>
      </c>
      <c r="CF131" s="22">
        <f t="shared" si="534"/>
        <v>0</v>
      </c>
      <c r="CG131" s="22">
        <f t="shared" si="535"/>
        <v>0.20581872491701678</v>
      </c>
      <c r="CH131" s="22">
        <f t="shared" si="536"/>
        <v>0.63115662310329856</v>
      </c>
      <c r="CI131" s="22">
        <f t="shared" si="537"/>
        <v>0.1630246519796846</v>
      </c>
      <c r="CJ131" s="22"/>
      <c r="CK131" s="22">
        <f t="shared" si="538"/>
        <v>0.34972260722020254</v>
      </c>
      <c r="CL131" s="22">
        <f t="shared" si="539"/>
        <v>0.37902891449287629</v>
      </c>
      <c r="CM131" s="22">
        <f t="shared" si="540"/>
        <v>0.27124847828692106</v>
      </c>
      <c r="CN131" s="1"/>
      <c r="CO131" s="26">
        <f t="shared" si="541"/>
        <v>0.74900133155792281</v>
      </c>
      <c r="CP131" s="26">
        <f t="shared" si="542"/>
        <v>2.5162744116174258E-2</v>
      </c>
      <c r="CQ131" s="26">
        <f t="shared" si="543"/>
        <v>7.1792859945076504E-2</v>
      </c>
      <c r="CR131" s="26">
        <f t="shared" si="544"/>
        <v>3.0265149022962033E-4</v>
      </c>
      <c r="CS131" s="26">
        <f t="shared" si="545"/>
        <v>0.24286708420320113</v>
      </c>
      <c r="CT131" s="26">
        <f t="shared" si="546"/>
        <v>4.1443473357767125E-3</v>
      </c>
      <c r="CU131" s="26">
        <f t="shared" si="547"/>
        <v>0.34516129032258069</v>
      </c>
      <c r="CV131" s="26">
        <f t="shared" si="548"/>
        <v>0.31847360912981454</v>
      </c>
      <c r="CW131" s="26">
        <f t="shared" si="549"/>
        <v>8.6156824782187818E-3</v>
      </c>
      <c r="CX131" s="26">
        <f t="shared" si="550"/>
        <v>0</v>
      </c>
      <c r="CY131" s="26">
        <f t="shared" si="551"/>
        <v>0</v>
      </c>
      <c r="CZ131" s="26">
        <f t="shared" si="552"/>
        <v>0</v>
      </c>
      <c r="DA131" s="26">
        <f t="shared" si="553"/>
        <v>0</v>
      </c>
      <c r="DB131" s="26">
        <f t="shared" si="554"/>
        <v>1.7655216005789953</v>
      </c>
      <c r="DC131" s="26">
        <f t="shared" si="555"/>
        <v>2.5714255907316357</v>
      </c>
      <c r="DD131" s="26">
        <f t="shared" si="556"/>
        <v>2.2656194060090895</v>
      </c>
      <c r="DE131" s="26">
        <f t="shared" si="557"/>
        <v>5.8258717194699807</v>
      </c>
      <c r="DF131" s="1"/>
      <c r="DG131" s="22"/>
      <c r="DH131" s="14"/>
      <c r="DI131" s="14"/>
      <c r="DJ131" s="14"/>
      <c r="DK131" s="14"/>
      <c r="DL131" s="14"/>
      <c r="DM131" s="96"/>
      <c r="DN131" s="14"/>
      <c r="DO131" s="96"/>
      <c r="DP131" s="22"/>
      <c r="DQ131" s="14"/>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46"/>
      <c r="FR131" s="46"/>
      <c r="FS131" s="46"/>
      <c r="FT131" s="46"/>
      <c r="FU131" s="46"/>
      <c r="FV131" s="46"/>
      <c r="FW131" s="46"/>
      <c r="FX131" s="46"/>
      <c r="FY131" s="46"/>
      <c r="FZ131" s="46"/>
      <c r="GA131" s="46"/>
      <c r="GB131" s="46"/>
      <c r="GC131" s="46"/>
      <c r="GD131" s="46"/>
      <c r="GE131" s="46"/>
      <c r="GF131" s="46"/>
      <c r="GG131" s="46"/>
      <c r="GH131" s="46"/>
    </row>
    <row r="132" spans="1:190" x14ac:dyDescent="0.25">
      <c r="A132" s="5" t="s">
        <v>86</v>
      </c>
      <c r="B132" s="1">
        <v>524</v>
      </c>
      <c r="C132" s="98" t="s">
        <v>96</v>
      </c>
      <c r="D132" s="98" t="s">
        <v>105</v>
      </c>
      <c r="E132" s="1">
        <v>35</v>
      </c>
      <c r="F132" s="22">
        <v>50.68</v>
      </c>
      <c r="G132" s="22">
        <v>0.86799999999999999</v>
      </c>
      <c r="H132" s="22">
        <v>2.4900000000000002</v>
      </c>
      <c r="I132" s="22">
        <v>0</v>
      </c>
      <c r="J132" s="22">
        <v>10.88</v>
      </c>
      <c r="K132" s="22">
        <v>0.50700000000000001</v>
      </c>
      <c r="L132" s="22">
        <v>13.95</v>
      </c>
      <c r="M132" s="22">
        <v>19.46</v>
      </c>
      <c r="N132" s="22">
        <v>0.30499999999999999</v>
      </c>
      <c r="O132" s="22">
        <v>0</v>
      </c>
      <c r="P132" s="22"/>
      <c r="Q132" s="22"/>
      <c r="R132" s="22"/>
      <c r="S132" s="22">
        <f t="shared" si="482"/>
        <v>99.140000000000015</v>
      </c>
      <c r="T132" s="3"/>
      <c r="U132" s="22">
        <f t="shared" si="483"/>
        <v>9.6580384970441493</v>
      </c>
      <c r="V132" s="22">
        <f t="shared" si="484"/>
        <v>1.3579658182348373</v>
      </c>
      <c r="W132" s="22">
        <f t="shared" si="485"/>
        <v>99.276004315278996</v>
      </c>
      <c r="X132" s="1"/>
      <c r="Y132" s="1"/>
      <c r="Z132" s="1"/>
      <c r="AA132" s="1" t="s">
        <v>185</v>
      </c>
      <c r="AC132" s="1">
        <v>6</v>
      </c>
      <c r="AD132" s="1">
        <v>4</v>
      </c>
      <c r="AE132" s="1"/>
      <c r="AF132" s="26">
        <f t="shared" si="486"/>
        <v>1.9180612712164216</v>
      </c>
      <c r="AG132" s="26">
        <f t="shared" si="487"/>
        <v>2.4707992627167E-2</v>
      </c>
      <c r="AH132" s="26">
        <f t="shared" si="488"/>
        <v>0.11105939672589299</v>
      </c>
      <c r="AI132" s="26">
        <f t="shared" si="489"/>
        <v>0</v>
      </c>
      <c r="AJ132" s="26">
        <f t="shared" si="490"/>
        <v>0.34431656496849444</v>
      </c>
      <c r="AK132" s="26">
        <f t="shared" si="491"/>
        <v>1.6250718571260595E-2</v>
      </c>
      <c r="AL132" s="26">
        <f t="shared" si="492"/>
        <v>0.78709101646237589</v>
      </c>
      <c r="AM132" s="26">
        <f t="shared" si="493"/>
        <v>0.78902474775975528</v>
      </c>
      <c r="AN132" s="26">
        <f t="shared" si="494"/>
        <v>2.2378658924192895E-2</v>
      </c>
      <c r="AO132" s="26">
        <f t="shared" si="495"/>
        <v>0</v>
      </c>
      <c r="AP132" s="26">
        <f t="shared" si="496"/>
        <v>0</v>
      </c>
      <c r="AQ132" s="26">
        <f t="shared" si="497"/>
        <v>0</v>
      </c>
      <c r="AR132" s="26">
        <f t="shared" si="498"/>
        <v>0</v>
      </c>
      <c r="AS132" s="26">
        <f t="shared" si="499"/>
        <v>4.0128903672555607</v>
      </c>
      <c r="AT132" s="26">
        <f t="shared" si="500"/>
        <v>2.0291206679423146</v>
      </c>
      <c r="AU132" s="26">
        <f t="shared" si="501"/>
        <v>0.81140340668394817</v>
      </c>
      <c r="AV132" s="47"/>
      <c r="AW132" s="26">
        <f t="shared" si="502"/>
        <v>1.9118999979341029</v>
      </c>
      <c r="AX132" s="26">
        <f t="shared" si="503"/>
        <v>2.4628624623069327E-2</v>
      </c>
      <c r="AY132" s="26">
        <f t="shared" si="504"/>
        <v>0.11070264728098932</v>
      </c>
      <c r="AZ132" s="26">
        <f t="shared" si="505"/>
        <v>0</v>
      </c>
      <c r="BA132" s="26">
        <f t="shared" si="506"/>
        <v>0.30466365659607636</v>
      </c>
      <c r="BB132" s="26">
        <f t="shared" si="507"/>
        <v>3.8546880903830072E-2</v>
      </c>
      <c r="BC132" s="26">
        <f t="shared" si="508"/>
        <v>1.6198517361813259E-2</v>
      </c>
      <c r="BD132" s="26">
        <f t="shared" si="509"/>
        <v>0.78456269115637178</v>
      </c>
      <c r="BE132" s="26">
        <f t="shared" si="510"/>
        <v>0.78649021084458293</v>
      </c>
      <c r="BF132" s="26">
        <f t="shared" si="511"/>
        <v>2.2306773299164709E-2</v>
      </c>
      <c r="BG132" s="26">
        <f t="shared" si="512"/>
        <v>0</v>
      </c>
      <c r="BH132" s="26">
        <f t="shared" si="513"/>
        <v>0</v>
      </c>
      <c r="BI132" s="26">
        <f t="shared" si="514"/>
        <v>0</v>
      </c>
      <c r="BJ132" s="26">
        <f t="shared" si="515"/>
        <v>0</v>
      </c>
      <c r="BK132" s="25">
        <f t="shared" si="516"/>
        <v>4.0000000000000009</v>
      </c>
      <c r="BL132" s="24">
        <f t="shared" si="517"/>
        <v>6.0000000000000009</v>
      </c>
      <c r="BM132" s="26">
        <f t="shared" si="518"/>
        <v>2.022602645215092</v>
      </c>
      <c r="BN132" s="26">
        <f t="shared" si="519"/>
        <v>0.80879698414374768</v>
      </c>
      <c r="BO132" s="22"/>
      <c r="BP132" s="23">
        <f t="shared" si="520"/>
        <v>0.69567415790775977</v>
      </c>
      <c r="BQ132" s="26">
        <f t="shared" si="521"/>
        <v>8.8100002065897076E-2</v>
      </c>
      <c r="BR132" s="26">
        <f t="shared" si="522"/>
        <v>2.260264521509224E-2</v>
      </c>
      <c r="BS132" s="26"/>
      <c r="BT132" s="26">
        <f t="shared" si="523"/>
        <v>2.2378658924192895E-2</v>
      </c>
      <c r="BU132" s="26">
        <f t="shared" si="524"/>
        <v>2.9587191592753137E-4</v>
      </c>
      <c r="BV132" s="26">
        <f t="shared" si="525"/>
        <v>2.2454709257128475E-2</v>
      </c>
      <c r="BW132" s="26">
        <f t="shared" si="526"/>
        <v>0</v>
      </c>
      <c r="BX132" s="26">
        <f t="shared" si="527"/>
        <v>0.76627416658669933</v>
      </c>
      <c r="BY132" s="26">
        <f t="shared" si="528"/>
        <v>0.18256670742208553</v>
      </c>
      <c r="BZ132" s="26">
        <f t="shared" si="529"/>
        <v>0.99397011410603375</v>
      </c>
      <c r="CA132" s="22"/>
      <c r="CB132" s="22">
        <f t="shared" si="530"/>
        <v>2.2306773299164709E-2</v>
      </c>
      <c r="CC132" s="22">
        <f t="shared" si="531"/>
        <v>0</v>
      </c>
      <c r="CD132" s="22">
        <f t="shared" si="532"/>
        <v>1.6240107604665363E-2</v>
      </c>
      <c r="CE132" s="22">
        <f t="shared" si="533"/>
        <v>0</v>
      </c>
      <c r="CF132" s="22">
        <f t="shared" si="534"/>
        <v>2.260264521509224E-2</v>
      </c>
      <c r="CG132" s="22">
        <f t="shared" si="535"/>
        <v>0.38497711566199505</v>
      </c>
      <c r="CH132" s="22">
        <f t="shared" si="536"/>
        <v>0.44299700448363</v>
      </c>
      <c r="CI132" s="22">
        <f t="shared" si="537"/>
        <v>0.17202587985437501</v>
      </c>
      <c r="CJ132" s="22"/>
      <c r="CK132" s="22">
        <f t="shared" si="538"/>
        <v>0.40741036519712714</v>
      </c>
      <c r="CL132" s="22">
        <f t="shared" si="539"/>
        <v>0.40641188932384775</v>
      </c>
      <c r="CM132" s="22">
        <f t="shared" si="540"/>
        <v>0.18617774547902508</v>
      </c>
      <c r="CN132" s="1"/>
      <c r="CO132" s="26">
        <f t="shared" si="541"/>
        <v>0.84354194407456728</v>
      </c>
      <c r="CP132" s="26">
        <f t="shared" si="542"/>
        <v>1.0866299449173762E-2</v>
      </c>
      <c r="CQ132" s="26">
        <f t="shared" si="543"/>
        <v>4.8842683405256972E-2</v>
      </c>
      <c r="CR132" s="26">
        <f t="shared" si="544"/>
        <v>0</v>
      </c>
      <c r="CS132" s="26">
        <f t="shared" si="545"/>
        <v>0.15142658315935981</v>
      </c>
      <c r="CT132" s="26">
        <f t="shared" si="546"/>
        <v>7.1468846912884128E-3</v>
      </c>
      <c r="CU132" s="26">
        <f t="shared" si="547"/>
        <v>0.34615384615384615</v>
      </c>
      <c r="CV132" s="26">
        <f t="shared" si="548"/>
        <v>0.34700427960057062</v>
      </c>
      <c r="CW132" s="26">
        <f t="shared" si="549"/>
        <v>9.8418844788641501E-3</v>
      </c>
      <c r="CX132" s="26">
        <f t="shared" si="550"/>
        <v>0</v>
      </c>
      <c r="CY132" s="26">
        <f t="shared" si="551"/>
        <v>0</v>
      </c>
      <c r="CZ132" s="26">
        <f t="shared" si="552"/>
        <v>0</v>
      </c>
      <c r="DA132" s="26">
        <f t="shared" si="553"/>
        <v>0</v>
      </c>
      <c r="DB132" s="26">
        <f t="shared" si="554"/>
        <v>1.7648244050129269</v>
      </c>
      <c r="DC132" s="26">
        <f t="shared" si="555"/>
        <v>2.6387330479998647</v>
      </c>
      <c r="DD132" s="26">
        <f t="shared" si="556"/>
        <v>2.2665144411184075</v>
      </c>
      <c r="DE132" s="26">
        <f t="shared" si="557"/>
        <v>5.980726559548085</v>
      </c>
      <c r="DF132" s="1"/>
      <c r="DG132" s="22">
        <v>37.793703001747602</v>
      </c>
      <c r="DH132" s="14">
        <v>2294.791365706586</v>
      </c>
      <c r="DI132" s="14">
        <v>86252.814444446252</v>
      </c>
      <c r="DJ132" s="14">
        <v>15255.268783540478</v>
      </c>
      <c r="DK132" s="14">
        <v>239654.39843208689</v>
      </c>
      <c r="DL132" s="14">
        <v>134885.15642801579</v>
      </c>
      <c r="DM132" s="96">
        <v>174.05882102236848</v>
      </c>
      <c r="DN132" s="14">
        <v>5992.2121945442577</v>
      </c>
      <c r="DO132" s="96">
        <v>175.44676334103437</v>
      </c>
      <c r="DP132" s="22">
        <v>0</v>
      </c>
      <c r="DQ132" s="14">
        <v>4210.6191518050555</v>
      </c>
      <c r="DR132" s="22">
        <v>29.36839060358917</v>
      </c>
      <c r="DS132" s="22">
        <v>0</v>
      </c>
      <c r="DT132" s="22">
        <v>1.4181675020780495</v>
      </c>
      <c r="DU132" s="22">
        <v>105.88393689359722</v>
      </c>
      <c r="DV132" s="22">
        <v>0</v>
      </c>
      <c r="DW132" s="22">
        <v>11.885647257698919</v>
      </c>
      <c r="DX132" s="22">
        <v>13.113964614486964</v>
      </c>
      <c r="DY132" s="22">
        <v>72.543659340873646</v>
      </c>
      <c r="DZ132" s="22">
        <v>66.158119653219174</v>
      </c>
      <c r="EA132" s="22">
        <v>0.15114541393431716</v>
      </c>
      <c r="EB132" s="22">
        <v>8.9817976606962932E-2</v>
      </c>
      <c r="EC132" s="22">
        <v>0.49974249695975559</v>
      </c>
      <c r="ED132" s="22">
        <v>3.3812172073494073</v>
      </c>
      <c r="EE132" s="22">
        <v>13.897946375632602</v>
      </c>
      <c r="EF132" s="22">
        <v>2.8704505530132347</v>
      </c>
      <c r="EG132" s="22">
        <v>18.346679784824712</v>
      </c>
      <c r="EH132" s="22">
        <v>7.9768468325042239</v>
      </c>
      <c r="EI132" s="22">
        <v>1.9610962224816739</v>
      </c>
      <c r="EJ132" s="22">
        <v>11.348333838354947</v>
      </c>
      <c r="EK132" s="22">
        <v>2.042639533079158</v>
      </c>
      <c r="EL132" s="22">
        <v>13.828220263318428</v>
      </c>
      <c r="EM132" s="22">
        <v>2.8023217520523795</v>
      </c>
      <c r="EN132" s="22">
        <v>8.4166833069011968</v>
      </c>
      <c r="EO132" s="22">
        <v>1.1875640522594235</v>
      </c>
      <c r="EP132" s="22">
        <v>7.4605306949987744</v>
      </c>
      <c r="EQ132" s="22">
        <v>1.1171702431555091</v>
      </c>
      <c r="ER132" s="22">
        <v>3.6523515656662409</v>
      </c>
      <c r="ES132" s="22">
        <v>0</v>
      </c>
      <c r="ET132" s="22">
        <v>0.37320774322238925</v>
      </c>
      <c r="EU132" s="22">
        <v>0.11902160472572852</v>
      </c>
      <c r="EV132" s="22">
        <v>5.1211392150212545E-2</v>
      </c>
      <c r="EW132" s="22">
        <f>(EI132/0.05883)/SQRT((EH132/0.1536)*(EJ132/0.2069))</f>
        <v>0.62458885403836184</v>
      </c>
      <c r="EX132" s="22"/>
      <c r="EY132" s="22"/>
      <c r="EZ132" s="22"/>
      <c r="FA132" s="22"/>
      <c r="FB132" s="22"/>
      <c r="FC132" s="22"/>
      <c r="FD132" s="22"/>
      <c r="FE132" s="22"/>
      <c r="FF132" s="22"/>
      <c r="FG132" s="22"/>
      <c r="FH132" s="22"/>
      <c r="FI132" s="22">
        <f>-0.50354-2.23025*BP132+ N("eqn 18 Mg# R2 0.28 best")</f>
        <v>-2.0550672906737812</v>
      </c>
      <c r="FJ132" s="22"/>
      <c r="FK132" s="22">
        <f xml:space="preserve"> -0.03692  +  0.931085 + FX132   + N("488 NN Dy")</f>
        <v>0.8941650000000001</v>
      </c>
      <c r="FL132" s="22">
        <f>-0.48986  +   0    +   (1.071278 + 0) * GD132  +N("eqn 119 LnD Hf  (which has R2 of 0.51 for TS")</f>
        <v>-0.48986000000000002</v>
      </c>
      <c r="FM132" s="22"/>
      <c r="FN132" s="22"/>
      <c r="FO132" s="22">
        <f>3.94011-11.9214*BP132</f>
        <v>-4.3532999060815678</v>
      </c>
      <c r="FP132" s="22">
        <f xml:space="preserve">  -0.49862 +   1.013256 * FQ132 + N("294 NN")</f>
        <v>-0.49862000000000001</v>
      </c>
      <c r="FQ132" s="46"/>
      <c r="FR132" s="46"/>
      <c r="FS132" s="46"/>
      <c r="FT132" s="46"/>
      <c r="FU132" s="46"/>
      <c r="FV132" s="46"/>
      <c r="FW132" s="46"/>
      <c r="FX132" s="46"/>
      <c r="FY132" s="46"/>
      <c r="FZ132" s="46"/>
      <c r="GA132" s="46"/>
      <c r="GB132" s="46"/>
      <c r="GC132" s="46"/>
      <c r="GD132" s="46"/>
      <c r="GE132" s="46"/>
      <c r="GF132" s="46"/>
      <c r="GG132" s="46"/>
      <c r="GH132" s="46"/>
    </row>
    <row r="133" spans="1:190" x14ac:dyDescent="0.25">
      <c r="A133" s="5" t="s">
        <v>86</v>
      </c>
      <c r="B133" s="1">
        <v>526</v>
      </c>
      <c r="C133" s="98" t="s">
        <v>96</v>
      </c>
      <c r="D133" s="98" t="s">
        <v>105</v>
      </c>
      <c r="E133" s="1">
        <v>37</v>
      </c>
      <c r="F133" s="22">
        <v>50.61</v>
      </c>
      <c r="G133" s="22">
        <v>0.84399999999999997</v>
      </c>
      <c r="H133" s="22">
        <v>2.39</v>
      </c>
      <c r="I133" s="22">
        <v>0</v>
      </c>
      <c r="J133" s="22">
        <v>11.17</v>
      </c>
      <c r="K133" s="22">
        <v>0.47699999999999998</v>
      </c>
      <c r="L133" s="22">
        <v>13.18</v>
      </c>
      <c r="M133" s="22">
        <v>19.3</v>
      </c>
      <c r="N133" s="22">
        <v>0.30599999999999999</v>
      </c>
      <c r="O133" s="22">
        <v>0</v>
      </c>
      <c r="P133" s="22"/>
      <c r="Q133" s="22"/>
      <c r="R133" s="22"/>
      <c r="S133" s="22">
        <f t="shared" si="482"/>
        <v>98.276999999999987</v>
      </c>
      <c r="T133" s="3"/>
      <c r="U133" s="22">
        <f t="shared" si="483"/>
        <v>11.156294830900617</v>
      </c>
      <c r="V133" s="22">
        <f t="shared" si="484"/>
        <v>1.5230554420144293E-2</v>
      </c>
      <c r="W133" s="22">
        <f t="shared" si="485"/>
        <v>98.278525385320762</v>
      </c>
      <c r="X133" s="1">
        <v>2</v>
      </c>
      <c r="Y133" s="1"/>
      <c r="Z133" s="1"/>
      <c r="AA133" s="1" t="s">
        <v>185</v>
      </c>
      <c r="AC133" s="1">
        <v>6</v>
      </c>
      <c r="AD133" s="1">
        <v>4</v>
      </c>
      <c r="AE133" s="1"/>
      <c r="AF133" s="26">
        <f t="shared" si="486"/>
        <v>1.9331437897744359</v>
      </c>
      <c r="AG133" s="26">
        <f t="shared" si="487"/>
        <v>2.4247230206815611E-2</v>
      </c>
      <c r="AH133" s="26">
        <f t="shared" si="488"/>
        <v>0.10758601342408765</v>
      </c>
      <c r="AI133" s="26">
        <f t="shared" si="489"/>
        <v>0</v>
      </c>
      <c r="AJ133" s="26">
        <f t="shared" si="490"/>
        <v>0.35676656418620306</v>
      </c>
      <c r="AK133" s="26">
        <f t="shared" si="491"/>
        <v>1.5430675566479741E-2</v>
      </c>
      <c r="AL133" s="26">
        <f t="shared" si="492"/>
        <v>0.75053009157536721</v>
      </c>
      <c r="AM133" s="26">
        <f t="shared" si="493"/>
        <v>0.78978166883641843</v>
      </c>
      <c r="AN133" s="26">
        <f t="shared" si="494"/>
        <v>2.2659879473796465E-2</v>
      </c>
      <c r="AO133" s="26">
        <f t="shared" si="495"/>
        <v>0</v>
      </c>
      <c r="AP133" s="26">
        <f t="shared" si="496"/>
        <v>0</v>
      </c>
      <c r="AQ133" s="26">
        <f t="shared" si="497"/>
        <v>0</v>
      </c>
      <c r="AR133" s="26">
        <f t="shared" si="498"/>
        <v>0</v>
      </c>
      <c r="AS133" s="26">
        <f t="shared" si="499"/>
        <v>4.0001459130436041</v>
      </c>
      <c r="AT133" s="26">
        <f t="shared" si="500"/>
        <v>2.0407298031985235</v>
      </c>
      <c r="AU133" s="26">
        <f t="shared" si="501"/>
        <v>0.81244154831021487</v>
      </c>
      <c r="AV133" s="47"/>
      <c r="AW133" s="26">
        <f t="shared" si="502"/>
        <v>1.9330732746231831</v>
      </c>
      <c r="AX133" s="26">
        <f t="shared" si="503"/>
        <v>2.4246345742289725E-2</v>
      </c>
      <c r="AY133" s="26">
        <f t="shared" si="504"/>
        <v>0.10758208901657622</v>
      </c>
      <c r="AZ133" s="26">
        <f t="shared" si="505"/>
        <v>0</v>
      </c>
      <c r="BA133" s="26">
        <f t="shared" si="506"/>
        <v>0.35631582727367989</v>
      </c>
      <c r="BB133" s="26">
        <f t="shared" si="507"/>
        <v>4.3772316343293483E-4</v>
      </c>
      <c r="BC133" s="26">
        <f t="shared" si="508"/>
        <v>1.5430112702802834E-2</v>
      </c>
      <c r="BD133" s="26">
        <f t="shared" si="509"/>
        <v>0.75050271454153916</v>
      </c>
      <c r="BE133" s="26">
        <f t="shared" si="510"/>
        <v>0.78975286002554301</v>
      </c>
      <c r="BF133" s="26">
        <f t="shared" si="511"/>
        <v>2.2659052910952604E-2</v>
      </c>
      <c r="BG133" s="26">
        <f t="shared" si="512"/>
        <v>0</v>
      </c>
      <c r="BH133" s="26">
        <f t="shared" si="513"/>
        <v>0</v>
      </c>
      <c r="BI133" s="26">
        <f t="shared" si="514"/>
        <v>0</v>
      </c>
      <c r="BJ133" s="26">
        <f t="shared" si="515"/>
        <v>0</v>
      </c>
      <c r="BK133" s="25">
        <f t="shared" si="516"/>
        <v>3.9999999999999996</v>
      </c>
      <c r="BL133" s="24">
        <f t="shared" si="517"/>
        <v>6.0000000000000009</v>
      </c>
      <c r="BM133" s="26">
        <f t="shared" si="518"/>
        <v>2.0406553636397593</v>
      </c>
      <c r="BN133" s="26">
        <f t="shared" si="519"/>
        <v>0.81241191293649562</v>
      </c>
      <c r="BO133" s="22"/>
      <c r="BP133" s="23">
        <f t="shared" si="520"/>
        <v>0.67780399016844484</v>
      </c>
      <c r="BQ133" s="26">
        <f t="shared" si="521"/>
        <v>6.6926725376816876E-2</v>
      </c>
      <c r="BR133" s="26">
        <f t="shared" si="522"/>
        <v>4.0655363639759343E-2</v>
      </c>
      <c r="BS133" s="26"/>
      <c r="BT133" s="26">
        <f t="shared" si="523"/>
        <v>2.2659879473796465E-2</v>
      </c>
      <c r="BU133" s="26">
        <f t="shared" si="524"/>
        <v>1.7996310728806739E-2</v>
      </c>
      <c r="BV133" s="26">
        <f t="shared" si="525"/>
        <v>3.1657208275355973E-2</v>
      </c>
      <c r="BW133" s="26">
        <f t="shared" si="526"/>
        <v>0</v>
      </c>
      <c r="BX133" s="26">
        <f t="shared" si="527"/>
        <v>0.74012814983225572</v>
      </c>
      <c r="BY133" s="26">
        <f t="shared" si="528"/>
        <v>0.18358425296465725</v>
      </c>
      <c r="BZ133" s="26">
        <f t="shared" si="529"/>
        <v>0.99602580127487217</v>
      </c>
      <c r="CA133" s="22"/>
      <c r="CB133" s="22">
        <f t="shared" si="530"/>
        <v>4.3772316343293483E-4</v>
      </c>
      <c r="CC133" s="22">
        <f t="shared" si="531"/>
        <v>2.2221329747519669E-2</v>
      </c>
      <c r="CD133" s="22">
        <f t="shared" si="532"/>
        <v>0</v>
      </c>
      <c r="CE133" s="22">
        <f t="shared" si="533"/>
        <v>0</v>
      </c>
      <c r="CF133" s="22">
        <f t="shared" si="534"/>
        <v>1.8434033892239673E-2</v>
      </c>
      <c r="CG133" s="22">
        <f t="shared" si="535"/>
        <v>0.38587827464836816</v>
      </c>
      <c r="CH133" s="22">
        <f t="shared" si="536"/>
        <v>0.41641877554693102</v>
      </c>
      <c r="CI133" s="22">
        <f t="shared" si="537"/>
        <v>0.19770294980470077</v>
      </c>
      <c r="CJ133" s="22"/>
      <c r="CK133" s="22">
        <f t="shared" si="538"/>
        <v>0.41295579198241694</v>
      </c>
      <c r="CL133" s="22">
        <f t="shared" si="539"/>
        <v>0.39243218803719326</v>
      </c>
      <c r="CM133" s="22">
        <f t="shared" si="540"/>
        <v>0.19461201998038977</v>
      </c>
      <c r="CN133" s="1"/>
      <c r="CO133" s="26">
        <f t="shared" si="541"/>
        <v>0.84237683089214377</v>
      </c>
      <c r="CP133" s="26">
        <f t="shared" si="542"/>
        <v>1.056584877315974E-2</v>
      </c>
      <c r="CQ133" s="26">
        <f t="shared" si="543"/>
        <v>4.6881129854845043E-2</v>
      </c>
      <c r="CR133" s="26">
        <f t="shared" si="544"/>
        <v>0</v>
      </c>
      <c r="CS133" s="26">
        <f t="shared" si="545"/>
        <v>0.15546276965901185</v>
      </c>
      <c r="CT133" s="26">
        <f t="shared" si="546"/>
        <v>6.7239921060050743E-3</v>
      </c>
      <c r="CU133" s="26">
        <f t="shared" si="547"/>
        <v>0.32704714640198512</v>
      </c>
      <c r="CV133" s="26">
        <f t="shared" si="548"/>
        <v>0.34415121255349501</v>
      </c>
      <c r="CW133" s="26">
        <f t="shared" si="549"/>
        <v>9.8741529525653432E-3</v>
      </c>
      <c r="CX133" s="26">
        <f t="shared" si="550"/>
        <v>0</v>
      </c>
      <c r="CY133" s="26">
        <f t="shared" si="551"/>
        <v>0</v>
      </c>
      <c r="CZ133" s="26">
        <f t="shared" si="552"/>
        <v>0</v>
      </c>
      <c r="DA133" s="26">
        <f t="shared" si="553"/>
        <v>0</v>
      </c>
      <c r="DB133" s="26">
        <f t="shared" si="554"/>
        <v>1.7430830831932111</v>
      </c>
      <c r="DC133" s="26">
        <f t="shared" si="555"/>
        <v>2.6145292513096541</v>
      </c>
      <c r="DD133" s="26">
        <f t="shared" si="556"/>
        <v>2.2947844761778473</v>
      </c>
      <c r="DE133" s="26">
        <f t="shared" si="557"/>
        <v>5.9997811384182835</v>
      </c>
      <c r="DF133" s="1"/>
      <c r="DG133" s="22">
        <v>32.241090048705672</v>
      </c>
      <c r="DH133" s="14">
        <v>2120.0280731732646</v>
      </c>
      <c r="DI133" s="14">
        <v>82069.890381769117</v>
      </c>
      <c r="DJ133" s="14">
        <v>13441.028016730654</v>
      </c>
      <c r="DK133" s="14">
        <v>235781.59190555019</v>
      </c>
      <c r="DL133" s="14">
        <v>139162.39179220051</v>
      </c>
      <c r="DM133" s="96">
        <v>183.1542271033988</v>
      </c>
      <c r="DN133" s="14">
        <v>5074.7133010588277</v>
      </c>
      <c r="DO133" s="96">
        <v>140.71520271908102</v>
      </c>
      <c r="DP133" s="22">
        <v>0</v>
      </c>
      <c r="DQ133" s="14">
        <v>3845.0418421404215</v>
      </c>
      <c r="DR133" s="22">
        <v>25.386326477929288</v>
      </c>
      <c r="DS133" s="22">
        <v>0</v>
      </c>
      <c r="DT133" s="22">
        <v>0.59029325149998102</v>
      </c>
      <c r="DU133" s="22">
        <v>106.2160900016661</v>
      </c>
      <c r="DV133" s="22">
        <v>0</v>
      </c>
      <c r="DW133" s="22">
        <v>14.228297772292027</v>
      </c>
      <c r="DX133" s="22">
        <v>15.182824766069833</v>
      </c>
      <c r="DY133" s="22">
        <v>75.612196828900338</v>
      </c>
      <c r="DZ133" s="22">
        <v>62.771615450206824</v>
      </c>
      <c r="EA133" s="22">
        <v>0.10773437847614874</v>
      </c>
      <c r="EB133" s="22">
        <v>7.2176951885722887E-2</v>
      </c>
      <c r="EC133" s="22">
        <v>0</v>
      </c>
      <c r="ED133" s="22">
        <v>3.8850418965084179</v>
      </c>
      <c r="EE133" s="22">
        <v>17.153743393180779</v>
      </c>
      <c r="EF133" s="22">
        <v>3.3701706036968977</v>
      </c>
      <c r="EG133" s="22">
        <v>21.477100551716671</v>
      </c>
      <c r="EH133" s="22">
        <v>9.1588777847006249</v>
      </c>
      <c r="EI133" s="22">
        <v>1.9611942051573119</v>
      </c>
      <c r="EJ133" s="22">
        <v>12.65905589416076</v>
      </c>
      <c r="EK133" s="22">
        <v>2.1232215072150482</v>
      </c>
      <c r="EL133" s="22">
        <v>14.414294257645722</v>
      </c>
      <c r="EM133" s="22">
        <v>3.2166457231240226</v>
      </c>
      <c r="EN133" s="22">
        <v>8.9765553092673294</v>
      </c>
      <c r="EO133" s="22">
        <v>1.2182970389010199</v>
      </c>
      <c r="EP133" s="22">
        <v>7.6104385552857838</v>
      </c>
      <c r="EQ133" s="22">
        <v>1.0851330006273607</v>
      </c>
      <c r="ER133" s="22">
        <v>3.515666038067971</v>
      </c>
      <c r="ES133" s="22">
        <v>0</v>
      </c>
      <c r="ET133" s="22">
        <v>0.1764017511988209</v>
      </c>
      <c r="EU133" s="22">
        <v>0.1333535442389028</v>
      </c>
      <c r="EV133" s="22">
        <v>3.818343509087585E-2</v>
      </c>
      <c r="EW133" s="22">
        <f>(EI133/0.05883)/SQRT((EH133/0.1536)*(EJ133/0.2069))</f>
        <v>0.55191959784019762</v>
      </c>
      <c r="EX133" s="22"/>
      <c r="EY133" s="22"/>
      <c r="EZ133" s="22"/>
      <c r="FA133" s="22"/>
      <c r="FB133" s="22"/>
      <c r="FC133" s="22"/>
      <c r="FD133" s="22"/>
      <c r="FE133" s="22"/>
      <c r="FF133" s="22"/>
      <c r="FG133" s="22"/>
      <c r="FH133" s="22"/>
      <c r="FI133" s="22">
        <f>-0.50354-2.23025*BP133+ N("eqn 18 Mg# R2 0.28 best")</f>
        <v>-2.0152123490731739</v>
      </c>
      <c r="FJ133" s="22"/>
      <c r="FK133" s="22">
        <f xml:space="preserve"> -0.03692  +  0.931085 + FX133   + N("488 NN Dy")</f>
        <v>0.8941650000000001</v>
      </c>
      <c r="FL133" s="22">
        <f>-0.48986  +   0    +   (1.071278 + 0) * GD133  +N("eqn 119 LnD Hf  (which has R2 of 0.51 for TS")</f>
        <v>-0.48986000000000002</v>
      </c>
      <c r="FM133" s="22"/>
      <c r="FN133" s="22"/>
      <c r="FO133" s="22">
        <f>3.94011-11.9214*BP133</f>
        <v>-4.1402624883940993</v>
      </c>
      <c r="FP133" s="22">
        <f xml:space="preserve">  -0.49862 +   1.013256 * FQ133 + N("294 NN")</f>
        <v>-0.49862000000000001</v>
      </c>
      <c r="FQ133" s="46"/>
      <c r="FR133" s="46"/>
      <c r="FS133" s="46"/>
      <c r="FT133" s="46"/>
      <c r="FU133" s="46"/>
      <c r="FV133" s="46"/>
      <c r="FW133" s="46"/>
      <c r="FX133" s="46"/>
      <c r="FY133" s="46"/>
      <c r="FZ133" s="46"/>
      <c r="GA133" s="46"/>
      <c r="GB133" s="46"/>
      <c r="GC133" s="46"/>
      <c r="GD133" s="46"/>
      <c r="GE133" s="46"/>
      <c r="GF133" s="46"/>
      <c r="GG133" s="46"/>
      <c r="GH133" s="46"/>
    </row>
    <row r="134" spans="1:190" x14ac:dyDescent="0.25">
      <c r="A134" s="5" t="s">
        <v>86</v>
      </c>
      <c r="B134" s="1">
        <v>529</v>
      </c>
      <c r="C134" s="98" t="s">
        <v>96</v>
      </c>
      <c r="D134" s="98" t="s">
        <v>105</v>
      </c>
      <c r="E134" s="1">
        <v>40</v>
      </c>
      <c r="F134" s="22">
        <v>51.96</v>
      </c>
      <c r="G134" s="22">
        <v>0.46</v>
      </c>
      <c r="H134" s="22">
        <v>1.93</v>
      </c>
      <c r="I134" s="22">
        <v>0</v>
      </c>
      <c r="J134" s="22">
        <v>9.06</v>
      </c>
      <c r="K134" s="22">
        <v>0.502</v>
      </c>
      <c r="L134" s="22">
        <v>13.64</v>
      </c>
      <c r="M134" s="22">
        <v>21.81</v>
      </c>
      <c r="N134" s="22">
        <v>0.127</v>
      </c>
      <c r="O134" s="22">
        <v>8.0000000000000002E-3</v>
      </c>
      <c r="P134" s="22"/>
      <c r="Q134" s="22"/>
      <c r="R134" s="22"/>
      <c r="S134" s="22">
        <f t="shared" si="482"/>
        <v>99.497</v>
      </c>
      <c r="T134" s="3"/>
      <c r="U134" s="22">
        <f t="shared" si="483"/>
        <v>9.06</v>
      </c>
      <c r="V134" s="22">
        <f t="shared" si="484"/>
        <v>0</v>
      </c>
      <c r="W134" s="22">
        <f t="shared" si="485"/>
        <v>99.497000000000014</v>
      </c>
      <c r="X134" s="1"/>
      <c r="Y134" s="1"/>
      <c r="Z134" s="1"/>
      <c r="AA134" s="1" t="s">
        <v>185</v>
      </c>
      <c r="AC134" s="1">
        <v>6</v>
      </c>
      <c r="AD134" s="1">
        <v>4</v>
      </c>
      <c r="AE134" s="1"/>
      <c r="AF134" s="26">
        <f t="shared" si="486"/>
        <v>1.9502877733531427</v>
      </c>
      <c r="AG134" s="26">
        <f t="shared" si="487"/>
        <v>1.2986115319680381E-2</v>
      </c>
      <c r="AH134" s="26">
        <f t="shared" si="488"/>
        <v>8.5372295233024573E-2</v>
      </c>
      <c r="AI134" s="26">
        <f t="shared" si="489"/>
        <v>0</v>
      </c>
      <c r="AJ134" s="26">
        <f t="shared" si="490"/>
        <v>0.28435502342224994</v>
      </c>
      <c r="AK134" s="26">
        <f t="shared" si="491"/>
        <v>1.5957763071410822E-2</v>
      </c>
      <c r="AL134" s="26">
        <f t="shared" si="492"/>
        <v>0.76325349893623784</v>
      </c>
      <c r="AM134" s="26">
        <f t="shared" si="493"/>
        <v>0.87701524021443189</v>
      </c>
      <c r="AN134" s="26">
        <f t="shared" si="494"/>
        <v>9.2414820524489467E-3</v>
      </c>
      <c r="AO134" s="26">
        <f t="shared" si="495"/>
        <v>3.8302626852619544E-4</v>
      </c>
      <c r="AP134" s="26">
        <f t="shared" si="496"/>
        <v>0</v>
      </c>
      <c r="AQ134" s="26">
        <f t="shared" si="497"/>
        <v>0</v>
      </c>
      <c r="AR134" s="26">
        <f t="shared" si="498"/>
        <v>0</v>
      </c>
      <c r="AS134" s="26">
        <f t="shared" si="499"/>
        <v>3.9988522178711534</v>
      </c>
      <c r="AT134" s="26">
        <f t="shared" si="500"/>
        <v>2.0356600685861674</v>
      </c>
      <c r="AU134" s="26">
        <f t="shared" si="501"/>
        <v>0.88663974853540695</v>
      </c>
      <c r="AV134" s="47"/>
      <c r="AW134" s="26">
        <f t="shared" si="502"/>
        <v>1.9508475603446094</v>
      </c>
      <c r="AX134" s="26">
        <f t="shared" si="503"/>
        <v>1.2989842697006418E-2</v>
      </c>
      <c r="AY134" s="26">
        <f t="shared" si="504"/>
        <v>8.5396799463095682E-2</v>
      </c>
      <c r="AZ134" s="26">
        <f t="shared" si="505"/>
        <v>0</v>
      </c>
      <c r="BA134" s="26">
        <f t="shared" si="506"/>
        <v>0.28443664124565265</v>
      </c>
      <c r="BB134" s="26">
        <f t="shared" si="507"/>
        <v>0</v>
      </c>
      <c r="BC134" s="26">
        <f t="shared" si="508"/>
        <v>1.5962343394531509E-2</v>
      </c>
      <c r="BD134" s="26">
        <f t="shared" si="509"/>
        <v>0.76347257398030755</v>
      </c>
      <c r="BE134" s="26">
        <f t="shared" si="510"/>
        <v>0.87726696805147109</v>
      </c>
      <c r="BF134" s="26">
        <f t="shared" si="511"/>
        <v>9.2441346155760495E-3</v>
      </c>
      <c r="BG134" s="26">
        <f t="shared" si="512"/>
        <v>3.8313620774923753E-4</v>
      </c>
      <c r="BH134" s="26">
        <f t="shared" si="513"/>
        <v>0</v>
      </c>
      <c r="BI134" s="26">
        <f t="shared" si="514"/>
        <v>0</v>
      </c>
      <c r="BJ134" s="26">
        <f t="shared" si="515"/>
        <v>0</v>
      </c>
      <c r="BK134" s="25">
        <f t="shared" si="516"/>
        <v>3.9999999999999991</v>
      </c>
      <c r="BL134" s="24">
        <f t="shared" si="517"/>
        <v>6.0017221673615007</v>
      </c>
      <c r="BM134" s="26">
        <f t="shared" si="518"/>
        <v>2.0362443598077049</v>
      </c>
      <c r="BN134" s="26">
        <f t="shared" si="519"/>
        <v>0.88689423887479635</v>
      </c>
      <c r="BO134" s="22"/>
      <c r="BP134" s="23">
        <f t="shared" si="520"/>
        <v>0.7285674778761061</v>
      </c>
      <c r="BQ134" s="26">
        <f t="shared" si="521"/>
        <v>4.9152439655390623E-2</v>
      </c>
      <c r="BR134" s="26">
        <f t="shared" si="522"/>
        <v>3.6244359807705059E-2</v>
      </c>
      <c r="BS134" s="26"/>
      <c r="BT134" s="26">
        <f t="shared" si="523"/>
        <v>9.2414820524489467E-3</v>
      </c>
      <c r="BU134" s="26">
        <f t="shared" si="524"/>
        <v>2.700022519212901E-2</v>
      </c>
      <c r="BV134" s="26">
        <f t="shared" si="525"/>
        <v>2.2744247211640554E-2</v>
      </c>
      <c r="BW134" s="26">
        <f t="shared" si="526"/>
        <v>0</v>
      </c>
      <c r="BX134" s="26">
        <f t="shared" si="527"/>
        <v>0.82727076781066233</v>
      </c>
      <c r="BY134" s="26">
        <f t="shared" si="528"/>
        <v>0.11016887727391278</v>
      </c>
      <c r="BZ134" s="26">
        <f t="shared" si="529"/>
        <v>0.99642559954079357</v>
      </c>
      <c r="CA134" s="22"/>
      <c r="CB134" s="22">
        <f t="shared" si="530"/>
        <v>0</v>
      </c>
      <c r="CC134" s="22">
        <f t="shared" si="531"/>
        <v>9.2441346155760495E-3</v>
      </c>
      <c r="CD134" s="22">
        <f t="shared" si="532"/>
        <v>0</v>
      </c>
      <c r="CE134" s="22">
        <f t="shared" si="533"/>
        <v>0</v>
      </c>
      <c r="CF134" s="22">
        <f t="shared" si="534"/>
        <v>2.700022519212901E-2</v>
      </c>
      <c r="CG134" s="22">
        <f t="shared" si="535"/>
        <v>0.42513337142967106</v>
      </c>
      <c r="CH134" s="22">
        <f t="shared" si="536"/>
        <v>0.41882912969262492</v>
      </c>
      <c r="CI134" s="22">
        <f t="shared" si="537"/>
        <v>0.1560374988777041</v>
      </c>
      <c r="CJ134" s="22"/>
      <c r="CK134" s="22">
        <f t="shared" si="538"/>
        <v>0.45193424168213542</v>
      </c>
      <c r="CL134" s="22">
        <f t="shared" si="539"/>
        <v>0.39331174127446933</v>
      </c>
      <c r="CM134" s="22">
        <f t="shared" si="540"/>
        <v>0.15475401704339531</v>
      </c>
      <c r="CN134" s="1"/>
      <c r="CO134" s="26">
        <f t="shared" si="541"/>
        <v>0.86484687083888157</v>
      </c>
      <c r="CP134" s="26">
        <f t="shared" si="542"/>
        <v>5.7586379569354038E-3</v>
      </c>
      <c r="CQ134" s="26">
        <f t="shared" si="543"/>
        <v>3.7857983522950181E-2</v>
      </c>
      <c r="CR134" s="26">
        <f t="shared" si="544"/>
        <v>0</v>
      </c>
      <c r="CS134" s="26">
        <f t="shared" si="545"/>
        <v>0.12609603340292277</v>
      </c>
      <c r="CT134" s="26">
        <f t="shared" si="546"/>
        <v>7.0764025937411898E-3</v>
      </c>
      <c r="CU134" s="26">
        <f t="shared" si="547"/>
        <v>0.33846153846153848</v>
      </c>
      <c r="CV134" s="26">
        <f t="shared" si="548"/>
        <v>0.38890870185449355</v>
      </c>
      <c r="CW134" s="26">
        <f t="shared" si="549"/>
        <v>4.0980961600516298E-3</v>
      </c>
      <c r="CX134" s="26">
        <f t="shared" si="550"/>
        <v>1.6985138004246286E-4</v>
      </c>
      <c r="CY134" s="26">
        <f t="shared" si="551"/>
        <v>0</v>
      </c>
      <c r="CZ134" s="26">
        <f t="shared" si="552"/>
        <v>0</v>
      </c>
      <c r="DA134" s="26">
        <f t="shared" si="553"/>
        <v>0</v>
      </c>
      <c r="DB134" s="26">
        <f t="shared" si="554"/>
        <v>1.7732741161715573</v>
      </c>
      <c r="DC134" s="26">
        <f t="shared" si="555"/>
        <v>2.660674642958802</v>
      </c>
      <c r="DD134" s="26">
        <f t="shared" si="556"/>
        <v>2.2557144231236359</v>
      </c>
      <c r="DE134" s="26">
        <f t="shared" si="557"/>
        <v>6.0017221673614998</v>
      </c>
      <c r="DF134" s="1"/>
      <c r="DG134" s="22"/>
      <c r="DH134" s="14"/>
      <c r="DI134" s="14"/>
      <c r="DJ134" s="14"/>
      <c r="DK134" s="14"/>
      <c r="DL134" s="14"/>
      <c r="DM134" s="96"/>
      <c r="DN134" s="14"/>
      <c r="DO134" s="96"/>
      <c r="DP134" s="22"/>
      <c r="DQ134" s="14"/>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46"/>
      <c r="FR134" s="46"/>
      <c r="FS134" s="46"/>
      <c r="FT134" s="46"/>
      <c r="FU134" s="46"/>
      <c r="FV134" s="46"/>
      <c r="FW134" s="46"/>
      <c r="FX134" s="46"/>
      <c r="FY134" s="46"/>
      <c r="FZ134" s="46"/>
      <c r="GA134" s="46"/>
      <c r="GB134" s="46"/>
      <c r="GC134" s="46"/>
      <c r="GD134" s="46"/>
      <c r="GE134" s="46"/>
      <c r="GF134" s="46"/>
      <c r="GG134" s="46"/>
      <c r="GH134" s="46"/>
    </row>
    <row r="135" spans="1:190" x14ac:dyDescent="0.25">
      <c r="A135" s="5" t="s">
        <v>86</v>
      </c>
      <c r="B135" s="1">
        <v>535</v>
      </c>
      <c r="C135" s="98" t="s">
        <v>96</v>
      </c>
      <c r="D135" s="98" t="s">
        <v>105</v>
      </c>
      <c r="E135" s="1">
        <v>46</v>
      </c>
      <c r="F135" s="22">
        <v>50.84</v>
      </c>
      <c r="G135" s="22">
        <v>1.028</v>
      </c>
      <c r="H135" s="22">
        <v>2.68</v>
      </c>
      <c r="I135" s="22">
        <v>0</v>
      </c>
      <c r="J135" s="22">
        <v>10.94</v>
      </c>
      <c r="K135" s="22">
        <v>0.53700000000000003</v>
      </c>
      <c r="L135" s="22">
        <v>14.18</v>
      </c>
      <c r="M135" s="22">
        <v>19.420000000000002</v>
      </c>
      <c r="N135" s="22">
        <v>0.33800000000000002</v>
      </c>
      <c r="O135" s="22">
        <v>0</v>
      </c>
      <c r="P135" s="22"/>
      <c r="Q135" s="22"/>
      <c r="R135" s="22"/>
      <c r="S135" s="22">
        <f t="shared" si="482"/>
        <v>99.963000000000008</v>
      </c>
      <c r="T135" s="3"/>
      <c r="U135" s="22">
        <f t="shared" si="483"/>
        <v>9.4510802650593977</v>
      </c>
      <c r="V135" s="22">
        <f t="shared" si="484"/>
        <v>1.6546365014394908</v>
      </c>
      <c r="W135" s="22">
        <f t="shared" si="485"/>
        <v>100.12871676649888</v>
      </c>
      <c r="X135" s="1"/>
      <c r="Y135" s="1"/>
      <c r="Z135" s="1"/>
      <c r="AA135" s="1" t="s">
        <v>185</v>
      </c>
      <c r="AC135" s="1">
        <v>6</v>
      </c>
      <c r="AD135" s="1">
        <v>4</v>
      </c>
      <c r="AE135" s="1"/>
      <c r="AF135" s="26">
        <f t="shared" si="486"/>
        <v>1.9084175103209848</v>
      </c>
      <c r="AG135" s="26">
        <f t="shared" si="487"/>
        <v>2.9023703802322075E-2</v>
      </c>
      <c r="AH135" s="26">
        <f t="shared" si="488"/>
        <v>0.11855851138836444</v>
      </c>
      <c r="AI135" s="26">
        <f t="shared" si="489"/>
        <v>0</v>
      </c>
      <c r="AJ135" s="26">
        <f t="shared" si="490"/>
        <v>0.34339053813257447</v>
      </c>
      <c r="AK135" s="26">
        <f t="shared" si="491"/>
        <v>1.7071861405796078E-2</v>
      </c>
      <c r="AL135" s="26">
        <f t="shared" si="492"/>
        <v>0.79354024917602728</v>
      </c>
      <c r="AM135" s="26">
        <f t="shared" si="493"/>
        <v>0.78097835131209592</v>
      </c>
      <c r="AN135" s="26">
        <f t="shared" si="494"/>
        <v>2.4597609288692562E-2</v>
      </c>
      <c r="AO135" s="26">
        <f t="shared" si="495"/>
        <v>0</v>
      </c>
      <c r="AP135" s="26">
        <f t="shared" si="496"/>
        <v>0</v>
      </c>
      <c r="AQ135" s="26">
        <f t="shared" si="497"/>
        <v>0</v>
      </c>
      <c r="AR135" s="26">
        <f t="shared" si="498"/>
        <v>0</v>
      </c>
      <c r="AS135" s="26">
        <f t="shared" si="499"/>
        <v>4.0155783348268574</v>
      </c>
      <c r="AT135" s="26">
        <f t="shared" si="500"/>
        <v>2.0269760217093493</v>
      </c>
      <c r="AU135" s="26">
        <f t="shared" si="501"/>
        <v>0.80557596060078851</v>
      </c>
      <c r="AV135" s="47"/>
      <c r="AW135" s="26">
        <f t="shared" si="502"/>
        <v>1.9010138527438503</v>
      </c>
      <c r="AX135" s="26">
        <f t="shared" si="503"/>
        <v>2.8911107075761739E-2</v>
      </c>
      <c r="AY135" s="26">
        <f t="shared" si="504"/>
        <v>0.1180985666349616</v>
      </c>
      <c r="AZ135" s="26">
        <f t="shared" si="505"/>
        <v>0</v>
      </c>
      <c r="BA135" s="26">
        <f t="shared" si="506"/>
        <v>0.29550466599456143</v>
      </c>
      <c r="BB135" s="26">
        <f t="shared" si="507"/>
        <v>4.6553697209931411E-2</v>
      </c>
      <c r="BC135" s="26">
        <f t="shared" si="508"/>
        <v>1.7005631550238133E-2</v>
      </c>
      <c r="BD135" s="26">
        <f t="shared" si="509"/>
        <v>0.79046172980235774</v>
      </c>
      <c r="BE135" s="26">
        <f t="shared" si="510"/>
        <v>0.77794856550422142</v>
      </c>
      <c r="BF135" s="26">
        <f t="shared" si="511"/>
        <v>2.4502183484116393E-2</v>
      </c>
      <c r="BG135" s="26">
        <f t="shared" si="512"/>
        <v>0</v>
      </c>
      <c r="BH135" s="26">
        <f t="shared" si="513"/>
        <v>0</v>
      </c>
      <c r="BI135" s="26">
        <f t="shared" si="514"/>
        <v>0</v>
      </c>
      <c r="BJ135" s="26">
        <f t="shared" si="515"/>
        <v>0</v>
      </c>
      <c r="BK135" s="25">
        <f t="shared" si="516"/>
        <v>4</v>
      </c>
      <c r="BL135" s="24">
        <f t="shared" si="517"/>
        <v>6</v>
      </c>
      <c r="BM135" s="26">
        <f t="shared" si="518"/>
        <v>2.0191124193788119</v>
      </c>
      <c r="BN135" s="26">
        <f t="shared" si="519"/>
        <v>0.80245074898833779</v>
      </c>
      <c r="BO135" s="22"/>
      <c r="BP135" s="23">
        <f t="shared" si="520"/>
        <v>0.69796706891413729</v>
      </c>
      <c r="BQ135" s="26">
        <f t="shared" si="521"/>
        <v>9.8986147256149737E-2</v>
      </c>
      <c r="BR135" s="26">
        <f t="shared" si="522"/>
        <v>1.9112419378811862E-2</v>
      </c>
      <c r="BS135" s="26"/>
      <c r="BT135" s="26">
        <f t="shared" si="523"/>
        <v>1.9112419378811862E-2</v>
      </c>
      <c r="BU135" s="26">
        <f t="shared" si="524"/>
        <v>0</v>
      </c>
      <c r="BV135" s="26">
        <f t="shared" si="525"/>
        <v>1.9112419378811862E-2</v>
      </c>
      <c r="BW135" s="26">
        <f t="shared" si="526"/>
        <v>0</v>
      </c>
      <c r="BX135" s="26">
        <f t="shared" si="527"/>
        <v>0.76186593193328411</v>
      </c>
      <c r="BY135" s="26">
        <f t="shared" si="528"/>
        <v>0.18753242768765888</v>
      </c>
      <c r="BZ135" s="26">
        <f t="shared" si="529"/>
        <v>0.98762319837856671</v>
      </c>
      <c r="CA135" s="22"/>
      <c r="CB135" s="22">
        <f t="shared" si="530"/>
        <v>2.4502183484116393E-2</v>
      </c>
      <c r="CC135" s="22">
        <f t="shared" si="531"/>
        <v>0</v>
      </c>
      <c r="CD135" s="22">
        <f t="shared" si="532"/>
        <v>2.2051513725815017E-2</v>
      </c>
      <c r="CE135" s="22">
        <f t="shared" si="533"/>
        <v>0</v>
      </c>
      <c r="CF135" s="22">
        <f t="shared" si="534"/>
        <v>1.9112419378811862E-2</v>
      </c>
      <c r="CG135" s="22">
        <f t="shared" si="535"/>
        <v>0.38064340794185547</v>
      </c>
      <c r="CH135" s="22">
        <f t="shared" si="536"/>
        <v>0.45082212950383727</v>
      </c>
      <c r="CI135" s="22">
        <f t="shared" si="537"/>
        <v>0.16853446255430721</v>
      </c>
      <c r="CJ135" s="22"/>
      <c r="CK135" s="22">
        <f t="shared" si="538"/>
        <v>0.40361034620050679</v>
      </c>
      <c r="CL135" s="22">
        <f t="shared" si="539"/>
        <v>0.41010234682674512</v>
      </c>
      <c r="CM135" s="22">
        <f t="shared" si="540"/>
        <v>0.18628730697274809</v>
      </c>
      <c r="CN135" s="1"/>
      <c r="CO135" s="26">
        <f t="shared" si="541"/>
        <v>0.84620505992010664</v>
      </c>
      <c r="CP135" s="26">
        <f t="shared" si="542"/>
        <v>1.2869303955933902E-2</v>
      </c>
      <c r="CQ135" s="26">
        <f t="shared" si="543"/>
        <v>5.2569635151039629E-2</v>
      </c>
      <c r="CR135" s="26">
        <f t="shared" si="544"/>
        <v>0</v>
      </c>
      <c r="CS135" s="26">
        <f t="shared" si="545"/>
        <v>0.1522616562282533</v>
      </c>
      <c r="CT135" s="26">
        <f t="shared" si="546"/>
        <v>7.5697772765717514E-3</v>
      </c>
      <c r="CU135" s="26">
        <f t="shared" si="547"/>
        <v>0.35186104218362285</v>
      </c>
      <c r="CV135" s="26">
        <f t="shared" si="548"/>
        <v>0.34629101283880176</v>
      </c>
      <c r="CW135" s="26">
        <f t="shared" si="549"/>
        <v>1.0906744111003551E-2</v>
      </c>
      <c r="CX135" s="26">
        <f t="shared" si="550"/>
        <v>0</v>
      </c>
      <c r="CY135" s="26">
        <f t="shared" si="551"/>
        <v>0</v>
      </c>
      <c r="CZ135" s="26">
        <f t="shared" si="552"/>
        <v>0</v>
      </c>
      <c r="DA135" s="26">
        <f t="shared" si="553"/>
        <v>0</v>
      </c>
      <c r="DB135" s="26">
        <f t="shared" si="554"/>
        <v>1.7805342316653332</v>
      </c>
      <c r="DC135" s="26">
        <f t="shared" si="555"/>
        <v>2.660440041061392</v>
      </c>
      <c r="DD135" s="26">
        <f t="shared" si="556"/>
        <v>2.2465167638247543</v>
      </c>
      <c r="DE135" s="26">
        <f t="shared" si="557"/>
        <v>5.976723151395035</v>
      </c>
      <c r="DF135" s="1"/>
      <c r="DG135" s="22"/>
      <c r="DH135" s="14"/>
      <c r="DI135" s="14"/>
      <c r="DJ135" s="14"/>
      <c r="DK135" s="14"/>
      <c r="DL135" s="14"/>
      <c r="DM135" s="96"/>
      <c r="DN135" s="14"/>
      <c r="DO135" s="96"/>
      <c r="DP135" s="22"/>
      <c r="DQ135" s="14"/>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46">
        <f t="shared" ref="FQ135:FQ140" si="558" xml:space="preserve">  -0.73306   +   1.025016   *  FS135     +N("316 NN Nd")</f>
        <v>-1.5840373579159881</v>
      </c>
      <c r="FR135" s="46">
        <f t="shared" ref="FR135:FR140" si="559" xml:space="preserve">  -0.33671   +   1.013871 *  FS135    +N("340 NN")</f>
        <v>-1.1784346802465921</v>
      </c>
      <c r="FS135" s="46">
        <f t="shared" ref="FS135:FS140" si="560">-0.42496     +   1.017678*FT135                 + N("361 NN")</f>
        <v>-0.83020885324325489</v>
      </c>
      <c r="FT135" s="46">
        <f t="shared" ref="FT135:FT140" si="561" xml:space="preserve"> 0.68509  -3.34181 * BP135 + 0.03095*(100*CK135) +N("642 cpx Mg# Wo R2 0.59")</f>
        <v>-0.39820930907738483</v>
      </c>
      <c r="FU135" s="46">
        <f t="shared" ref="FU135:FU140" si="562" xml:space="preserve"> -0.06599 + 0.926002 * FT135  + N("409 NN")</f>
        <v>-0.43473261662427648</v>
      </c>
      <c r="FV135" s="46">
        <f t="shared" ref="FV135:FV140" si="563">0.1453     +   0.925549*FT135     +N("424 LnD Sm")</f>
        <v>-0.22326222780726443</v>
      </c>
      <c r="FW135" s="46">
        <f t="shared" ref="FW135:FW140" si="564" xml:space="preserve">  0.053547 + 0.932974 * FV135  +  N("445 NN")</f>
        <v>-0.15475085372625474</v>
      </c>
      <c r="FX135" s="46">
        <f t="shared" ref="FX135:FX140" si="565" xml:space="preserve">  0.027177  +  0.867603 * FV135 + N("464 NN Gd")</f>
        <v>-0.16652597863226604</v>
      </c>
      <c r="FY135" s="46">
        <f t="shared" ref="FY135:FY140" si="566" xml:space="preserve">  -0.06187  +  0.953618 * FX135   + N("505 NN Dy")</f>
        <v>-0.22067217069134429</v>
      </c>
      <c r="FZ135" s="46">
        <f t="shared" ref="FZ135:FZ140" si="567" xml:space="preserve"> -0.05652 + 0.972005*FY135   +N("533 NN")</f>
        <v>-0.27101445327284013</v>
      </c>
      <c r="GA135" s="46">
        <f t="shared" ref="GA135:GA140" si="568" xml:space="preserve">     0.018586 + 0.960264 * FZ135    +N("549 LnD Er")</f>
        <v>-0.24165942295759058</v>
      </c>
      <c r="GB135" s="46">
        <f t="shared" ref="GB135:GB140" si="569" xml:space="preserve"> -0.02011 + 0.936315 * FZ135    +N("574 NN Er")</f>
        <v>-0.2738648978161593</v>
      </c>
      <c r="GC135" s="46">
        <f t="shared" ref="GC135:GC140" si="570" xml:space="preserve">   0.01732 + 1.006083 * GB135  +N("597 NN Yb")</f>
        <v>-0.25821081798957501</v>
      </c>
      <c r="GD135" s="46">
        <f t="shared" ref="GD135:GD140" si="571">(-1.72947 +0 ) * (3.46258+0) * BQ135   - (1.87473 + 0) *BP135   + (0.03253+0) * (CK135*100)    +N("eqn625 aliv mg# wo")</f>
        <v>-0.58832678578018016</v>
      </c>
      <c r="GE135" s="46"/>
      <c r="GF135" s="46"/>
      <c r="GG135" s="46"/>
      <c r="GH135" s="46"/>
    </row>
    <row r="136" spans="1:190" x14ac:dyDescent="0.25">
      <c r="A136" s="5" t="s">
        <v>86</v>
      </c>
      <c r="B136" s="1">
        <v>545</v>
      </c>
      <c r="C136" s="98" t="s">
        <v>96</v>
      </c>
      <c r="D136" s="98" t="s">
        <v>105</v>
      </c>
      <c r="E136" s="1">
        <v>56</v>
      </c>
      <c r="F136" s="22">
        <v>51.99</v>
      </c>
      <c r="G136" s="22">
        <v>0.59899999999999998</v>
      </c>
      <c r="H136" s="22">
        <v>1.91</v>
      </c>
      <c r="I136" s="22">
        <v>0</v>
      </c>
      <c r="J136" s="22">
        <v>10.51</v>
      </c>
      <c r="K136" s="22">
        <v>0.55100000000000005</v>
      </c>
      <c r="L136" s="22">
        <v>13.86</v>
      </c>
      <c r="M136" s="22">
        <v>20.47</v>
      </c>
      <c r="N136" s="22">
        <v>0.30199999999999999</v>
      </c>
      <c r="O136" s="22">
        <v>1.4E-2</v>
      </c>
      <c r="P136" s="22"/>
      <c r="Q136" s="22"/>
      <c r="R136" s="22"/>
      <c r="S136" s="22">
        <f t="shared" si="482"/>
        <v>100.206</v>
      </c>
      <c r="T136" s="3"/>
      <c r="U136" s="22">
        <f t="shared" si="483"/>
        <v>9.7757908106130014</v>
      </c>
      <c r="V136" s="22">
        <f t="shared" si="484"/>
        <v>0.81592667216577086</v>
      </c>
      <c r="W136" s="22">
        <f t="shared" si="485"/>
        <v>100.28771748277877</v>
      </c>
      <c r="X136" s="1"/>
      <c r="Y136" s="1"/>
      <c r="Z136" s="1"/>
      <c r="AA136" s="1" t="s">
        <v>185</v>
      </c>
      <c r="AC136" s="1">
        <v>6</v>
      </c>
      <c r="AD136" s="1">
        <v>4</v>
      </c>
      <c r="AE136" s="1"/>
      <c r="AF136" s="26">
        <f t="shared" si="486"/>
        <v>1.9446794028979657</v>
      </c>
      <c r="AG136" s="26">
        <f t="shared" si="487"/>
        <v>1.6851822929898733E-2</v>
      </c>
      <c r="AH136" s="26">
        <f t="shared" si="488"/>
        <v>8.4196038312611826E-2</v>
      </c>
      <c r="AI136" s="26">
        <f t="shared" si="489"/>
        <v>0</v>
      </c>
      <c r="AJ136" s="26">
        <f t="shared" si="490"/>
        <v>0.32872600705141058</v>
      </c>
      <c r="AK136" s="26">
        <f t="shared" si="491"/>
        <v>1.7454947048242967E-2</v>
      </c>
      <c r="AL136" s="26">
        <f t="shared" si="492"/>
        <v>0.77288753848534608</v>
      </c>
      <c r="AM136" s="26">
        <f t="shared" si="493"/>
        <v>0.8202910227268092</v>
      </c>
      <c r="AN136" s="26">
        <f t="shared" si="494"/>
        <v>2.1899968373845287E-2</v>
      </c>
      <c r="AO136" s="26">
        <f t="shared" si="495"/>
        <v>6.679827532428198E-4</v>
      </c>
      <c r="AP136" s="26">
        <f t="shared" si="496"/>
        <v>0</v>
      </c>
      <c r="AQ136" s="26">
        <f t="shared" si="497"/>
        <v>0</v>
      </c>
      <c r="AR136" s="26">
        <f t="shared" si="498"/>
        <v>0</v>
      </c>
      <c r="AS136" s="26">
        <f t="shared" si="499"/>
        <v>4.0076547305793735</v>
      </c>
      <c r="AT136" s="26">
        <f t="shared" si="500"/>
        <v>2.0288754412105776</v>
      </c>
      <c r="AU136" s="26">
        <f t="shared" si="501"/>
        <v>0.84285897385389741</v>
      </c>
      <c r="AV136" s="47"/>
      <c r="AW136" s="26">
        <f t="shared" si="502"/>
        <v>1.9409650118405584</v>
      </c>
      <c r="AX136" s="26">
        <f t="shared" si="503"/>
        <v>1.6819635485377772E-2</v>
      </c>
      <c r="AY136" s="26">
        <f t="shared" si="504"/>
        <v>8.4035221567542451E-2</v>
      </c>
      <c r="AZ136" s="26">
        <f t="shared" si="505"/>
        <v>0</v>
      </c>
      <c r="BA136" s="26">
        <f t="shared" si="506"/>
        <v>0.30517780185029825</v>
      </c>
      <c r="BB136" s="26">
        <f t="shared" si="507"/>
        <v>2.2920329501339154E-2</v>
      </c>
      <c r="BC136" s="26">
        <f t="shared" si="508"/>
        <v>1.742160762009512E-2</v>
      </c>
      <c r="BD136" s="26">
        <f t="shared" si="509"/>
        <v>0.77141130206454911</v>
      </c>
      <c r="BE136" s="26">
        <f t="shared" si="510"/>
        <v>0.8187242443494851</v>
      </c>
      <c r="BF136" s="26">
        <f t="shared" si="511"/>
        <v>2.1858138832912166E-2</v>
      </c>
      <c r="BG136" s="26">
        <f t="shared" si="512"/>
        <v>6.6670688784235832E-4</v>
      </c>
      <c r="BH136" s="26">
        <f t="shared" si="513"/>
        <v>0</v>
      </c>
      <c r="BI136" s="26">
        <f t="shared" si="514"/>
        <v>0</v>
      </c>
      <c r="BJ136" s="26">
        <f t="shared" si="515"/>
        <v>0</v>
      </c>
      <c r="BK136" s="25">
        <f t="shared" si="516"/>
        <v>4</v>
      </c>
      <c r="BL136" s="24">
        <f t="shared" si="517"/>
        <v>6</v>
      </c>
      <c r="BM136" s="26">
        <f t="shared" si="518"/>
        <v>2.0250002334081008</v>
      </c>
      <c r="BN136" s="26">
        <f t="shared" si="519"/>
        <v>0.84124909007023962</v>
      </c>
      <c r="BO136" s="22"/>
      <c r="BP136" s="23">
        <f t="shared" si="520"/>
        <v>0.7015958923315162</v>
      </c>
      <c r="BQ136" s="26">
        <f t="shared" si="521"/>
        <v>5.9034988159441637E-2</v>
      </c>
      <c r="BR136" s="26">
        <f t="shared" si="522"/>
        <v>2.5000233408100814E-2</v>
      </c>
      <c r="BS136" s="26"/>
      <c r="BT136" s="26">
        <f t="shared" si="523"/>
        <v>2.1899968373845287E-2</v>
      </c>
      <c r="BU136" s="26">
        <f t="shared" si="524"/>
        <v>3.1420945751886482E-3</v>
      </c>
      <c r="BV136" s="26">
        <f t="shared" si="525"/>
        <v>2.3429186120506491E-2</v>
      </c>
      <c r="BW136" s="26">
        <f t="shared" si="526"/>
        <v>0</v>
      </c>
      <c r="BX136" s="26">
        <f t="shared" si="527"/>
        <v>0.79371974203111406</v>
      </c>
      <c r="BY136" s="26">
        <f t="shared" si="528"/>
        <v>0.15394690175282127</v>
      </c>
      <c r="BZ136" s="26">
        <f t="shared" si="529"/>
        <v>0.99613789285347565</v>
      </c>
      <c r="CA136" s="22"/>
      <c r="CB136" s="22">
        <f t="shared" si="530"/>
        <v>2.1858138832912166E-2</v>
      </c>
      <c r="CC136" s="22">
        <f t="shared" si="531"/>
        <v>0</v>
      </c>
      <c r="CD136" s="22">
        <f t="shared" si="532"/>
        <v>1.0621906684269884E-3</v>
      </c>
      <c r="CE136" s="22">
        <f t="shared" si="533"/>
        <v>0</v>
      </c>
      <c r="CF136" s="22">
        <f t="shared" si="534"/>
        <v>2.5000233408100814E-2</v>
      </c>
      <c r="CG136" s="22">
        <f t="shared" si="535"/>
        <v>0.40725997955293475</v>
      </c>
      <c r="CH136" s="22">
        <f t="shared" si="536"/>
        <v>0.42471760980687379</v>
      </c>
      <c r="CI136" s="22">
        <f t="shared" si="537"/>
        <v>0.16802241064019141</v>
      </c>
      <c r="CJ136" s="22"/>
      <c r="CK136" s="22">
        <f t="shared" si="538"/>
        <v>0.42297006627722838</v>
      </c>
      <c r="CL136" s="22">
        <f t="shared" si="539"/>
        <v>0.39852721085656045</v>
      </c>
      <c r="CM136" s="22">
        <f t="shared" si="540"/>
        <v>0.17850272286621124</v>
      </c>
      <c r="CN136" s="1"/>
      <c r="CO136" s="26">
        <f t="shared" si="541"/>
        <v>0.86534620505992021</v>
      </c>
      <c r="CP136" s="26">
        <f t="shared" si="542"/>
        <v>7.4987481221832752E-3</v>
      </c>
      <c r="CQ136" s="26">
        <f t="shared" si="543"/>
        <v>3.7465672812867792E-2</v>
      </c>
      <c r="CR136" s="26">
        <f t="shared" si="544"/>
        <v>0</v>
      </c>
      <c r="CS136" s="26">
        <f t="shared" si="545"/>
        <v>0.14627696590118303</v>
      </c>
      <c r="CT136" s="26">
        <f t="shared" si="546"/>
        <v>7.7671271497039762E-3</v>
      </c>
      <c r="CU136" s="26">
        <f t="shared" si="547"/>
        <v>0.3439205955334988</v>
      </c>
      <c r="CV136" s="26">
        <f t="shared" si="548"/>
        <v>0.36501426533523534</v>
      </c>
      <c r="CW136" s="26">
        <f t="shared" si="549"/>
        <v>9.7450790577605674E-3</v>
      </c>
      <c r="CX136" s="26">
        <f t="shared" si="550"/>
        <v>2.9723991507430998E-4</v>
      </c>
      <c r="CY136" s="26">
        <f t="shared" si="551"/>
        <v>0</v>
      </c>
      <c r="CZ136" s="26">
        <f t="shared" si="552"/>
        <v>0</v>
      </c>
      <c r="DA136" s="26">
        <f t="shared" si="553"/>
        <v>0</v>
      </c>
      <c r="DB136" s="26">
        <f t="shared" si="554"/>
        <v>1.7833318988874274</v>
      </c>
      <c r="DC136" s="26">
        <f t="shared" si="555"/>
        <v>2.6698885289895475</v>
      </c>
      <c r="DD136" s="26">
        <f t="shared" si="556"/>
        <v>2.242992458383934</v>
      </c>
      <c r="DE136" s="26">
        <f t="shared" si="557"/>
        <v>5.9885398352493304</v>
      </c>
      <c r="DF136" s="1"/>
      <c r="DG136" s="22">
        <v>27.027942107321234</v>
      </c>
      <c r="DH136" s="14">
        <v>2337.4807223525868</v>
      </c>
      <c r="DI136" s="14">
        <v>83996.158518490935</v>
      </c>
      <c r="DJ136" s="14">
        <v>16456.992492727895</v>
      </c>
      <c r="DK136" s="14">
        <v>246020.21544758329</v>
      </c>
      <c r="DL136" s="14">
        <v>141733.52995606762</v>
      </c>
      <c r="DM136" s="96">
        <v>186.08137541753371</v>
      </c>
      <c r="DN136" s="14">
        <v>5784.2111569620693</v>
      </c>
      <c r="DO136" s="96">
        <v>205.38347081102452</v>
      </c>
      <c r="DP136" s="22">
        <v>0</v>
      </c>
      <c r="DQ136" s="14">
        <v>3812.9383079930108</v>
      </c>
      <c r="DR136" s="22">
        <v>27.75228103394473</v>
      </c>
      <c r="DS136" s="22">
        <v>0</v>
      </c>
      <c r="DT136" s="22">
        <v>2.3707204921796978</v>
      </c>
      <c r="DU136" s="22">
        <v>102.60557798220323</v>
      </c>
      <c r="DV136" s="22">
        <v>0.29233867046051032</v>
      </c>
      <c r="DW136" s="22">
        <v>17.227192342602283</v>
      </c>
      <c r="DX136" s="22">
        <v>14.999925156858204</v>
      </c>
      <c r="DY136" s="22">
        <v>83.528590993690315</v>
      </c>
      <c r="DZ136" s="22">
        <v>68.800631694182897</v>
      </c>
      <c r="EA136" s="22">
        <v>0</v>
      </c>
      <c r="EB136" s="22">
        <v>7.7154227921798324E-2</v>
      </c>
      <c r="EC136" s="22">
        <v>1.0016180554541634</v>
      </c>
      <c r="ED136" s="22">
        <v>3.3715174268310677</v>
      </c>
      <c r="EE136" s="22">
        <v>15.022241590515101</v>
      </c>
      <c r="EF136" s="22">
        <v>3.3030100375723062</v>
      </c>
      <c r="EG136" s="22">
        <v>21.653519522420591</v>
      </c>
      <c r="EH136" s="22">
        <v>8.8582567333728068</v>
      </c>
      <c r="EI136" s="22">
        <v>2.1977110073807116</v>
      </c>
      <c r="EJ136" s="22">
        <v>13.437558462914145</v>
      </c>
      <c r="EK136" s="22">
        <v>2.3120496739061207</v>
      </c>
      <c r="EL136" s="22">
        <v>16.191701860214472</v>
      </c>
      <c r="EM136" s="22">
        <v>3.2313784630026277</v>
      </c>
      <c r="EN136" s="22">
        <v>9.6888092191262274</v>
      </c>
      <c r="EO136" s="22">
        <v>1.2185461250826595</v>
      </c>
      <c r="EP136" s="22">
        <v>8.4883276599328248</v>
      </c>
      <c r="EQ136" s="22">
        <v>1.0997397141079164</v>
      </c>
      <c r="ER136" s="22">
        <v>3.5990759011824358</v>
      </c>
      <c r="ES136" s="22">
        <v>0</v>
      </c>
      <c r="ET136" s="22">
        <v>0.17579228957537879</v>
      </c>
      <c r="EU136" s="22">
        <v>0.14147813373439919</v>
      </c>
      <c r="EV136" s="22">
        <v>6.2901839376574009E-2</v>
      </c>
      <c r="EW136" s="22">
        <f>(EI136/0.05883)/SQRT((EH136/0.1536)*(EJ136/0.2069))</f>
        <v>0.61039824079442018</v>
      </c>
      <c r="EX136" s="22"/>
      <c r="EY136" s="22"/>
      <c r="EZ136" s="22"/>
      <c r="FA136" s="22"/>
      <c r="FB136" s="22"/>
      <c r="FC136" s="22"/>
      <c r="FD136" s="22"/>
      <c r="FE136" s="22"/>
      <c r="FF136" s="22"/>
      <c r="FG136" s="22"/>
      <c r="FH136" s="22"/>
      <c r="FI136" s="22">
        <f>-0.50354-2.23025*BP136+ N("eqn 18 Mg# R2 0.28 best")</f>
        <v>-2.0682742388723638</v>
      </c>
      <c r="FJ136" s="22"/>
      <c r="FK136" s="22">
        <f xml:space="preserve"> -0.03692  +  0.931085 + FX136   + N("488 NN Dy")</f>
        <v>0.76601602643505751</v>
      </c>
      <c r="FL136" s="22">
        <f>-0.48986  +   0    +   (1.071278 + 0) * GD136  +N("eqn 119 LnD Hf  (which has R2 of 0.51 for TS")</f>
        <v>-0.80364593010074492</v>
      </c>
      <c r="FM136" s="22"/>
      <c r="FN136" s="22"/>
      <c r="FO136" s="22">
        <f>3.94011-11.9214*BP136</f>
        <v>-4.423895270840938</v>
      </c>
      <c r="FP136" s="22">
        <f xml:space="preserve">  -0.49862 +   1.013256 * FQ136 + N("294 NN")</f>
        <v>-2.0531414649096242</v>
      </c>
      <c r="FQ136" s="46">
        <f t="shared" si="558"/>
        <v>-1.5341843175955774</v>
      </c>
      <c r="FR136" s="46">
        <f t="shared" si="559"/>
        <v>-1.1291236920837777</v>
      </c>
      <c r="FS136" s="46">
        <f t="shared" si="560"/>
        <v>-0.78157249993714961</v>
      </c>
      <c r="FT136" s="46">
        <f t="shared" si="561"/>
        <v>-0.35041781382436255</v>
      </c>
      <c r="FU136" s="46">
        <f t="shared" si="562"/>
        <v>-0.39047759643698737</v>
      </c>
      <c r="FV136" s="46">
        <f t="shared" si="563"/>
        <v>-0.17902885716732489</v>
      </c>
      <c r="FW136" s="46">
        <f t="shared" si="564"/>
        <v>-0.11348226898682777</v>
      </c>
      <c r="FX136" s="46">
        <f t="shared" si="565"/>
        <v>-0.12814897356494256</v>
      </c>
      <c r="FY136" s="46">
        <f t="shared" si="566"/>
        <v>-0.18407516787305339</v>
      </c>
      <c r="FZ136" s="46">
        <f t="shared" si="567"/>
        <v>-0.23544198354844725</v>
      </c>
      <c r="GA136" s="46">
        <f t="shared" si="568"/>
        <v>-0.20750046089016616</v>
      </c>
      <c r="GB136" s="46">
        <f t="shared" si="569"/>
        <v>-0.24055786082616437</v>
      </c>
      <c r="GC136" s="46">
        <f t="shared" si="570"/>
        <v>-0.22470117429356995</v>
      </c>
      <c r="GD136" s="46">
        <f t="shared" si="571"/>
        <v>-0.29290803143604638</v>
      </c>
      <c r="GE136" s="46"/>
      <c r="GF136" s="46"/>
      <c r="GG136" s="46"/>
      <c r="GH136" s="46"/>
    </row>
    <row r="137" spans="1:190" x14ac:dyDescent="0.25">
      <c r="A137" s="5" t="s">
        <v>254</v>
      </c>
      <c r="B137" s="1">
        <v>699</v>
      </c>
      <c r="C137" s="98" t="s">
        <v>95</v>
      </c>
      <c r="D137" s="98" t="s">
        <v>106</v>
      </c>
      <c r="E137" s="1">
        <v>210</v>
      </c>
      <c r="F137" s="22">
        <v>52.67</v>
      </c>
      <c r="G137" s="22">
        <v>0.24299999999999999</v>
      </c>
      <c r="H137" s="22">
        <v>0.73099999999999998</v>
      </c>
      <c r="I137" s="22">
        <v>0</v>
      </c>
      <c r="J137" s="22">
        <v>9.06</v>
      </c>
      <c r="K137" s="22">
        <v>0.57999999999999996</v>
      </c>
      <c r="L137" s="22">
        <v>13.93</v>
      </c>
      <c r="M137" s="22">
        <v>20.52</v>
      </c>
      <c r="N137" s="22">
        <v>0.54800000000000004</v>
      </c>
      <c r="O137" s="22">
        <v>0.01</v>
      </c>
      <c r="P137" s="22">
        <v>0</v>
      </c>
      <c r="Q137" s="22"/>
      <c r="R137" s="22"/>
      <c r="S137" s="22">
        <f t="shared" si="482"/>
        <v>98.292000000000002</v>
      </c>
      <c r="T137" s="3"/>
      <c r="U137" s="22">
        <f t="shared" si="483"/>
        <v>8.9220667620058709</v>
      </c>
      <c r="V137" s="22">
        <f t="shared" si="484"/>
        <v>0.15328520738287613</v>
      </c>
      <c r="W137" s="22">
        <f t="shared" si="485"/>
        <v>98.307351969388748</v>
      </c>
      <c r="X137" s="1"/>
      <c r="Y137" s="1"/>
      <c r="Z137" s="1"/>
      <c r="AA137" s="1" t="s">
        <v>185</v>
      </c>
      <c r="AC137" s="1">
        <v>6</v>
      </c>
      <c r="AD137" s="1">
        <v>4</v>
      </c>
      <c r="AE137" s="1"/>
      <c r="AF137" s="26">
        <f t="shared" si="486"/>
        <v>1.9956662774509928</v>
      </c>
      <c r="AG137" s="26">
        <f t="shared" si="487"/>
        <v>6.9250472627654987E-3</v>
      </c>
      <c r="AH137" s="26">
        <f t="shared" si="488"/>
        <v>3.2641647477396653E-2</v>
      </c>
      <c r="AI137" s="26">
        <f t="shared" si="489"/>
        <v>0</v>
      </c>
      <c r="AJ137" s="26">
        <f t="shared" si="490"/>
        <v>0.28704894139129333</v>
      </c>
      <c r="AK137" s="26">
        <f t="shared" si="491"/>
        <v>1.8611926713865343E-2</v>
      </c>
      <c r="AL137" s="26">
        <f t="shared" si="492"/>
        <v>0.78686566396281321</v>
      </c>
      <c r="AM137" s="26">
        <f t="shared" si="493"/>
        <v>0.83295948103062711</v>
      </c>
      <c r="AN137" s="26">
        <f t="shared" si="494"/>
        <v>4.0254413794923893E-2</v>
      </c>
      <c r="AO137" s="26">
        <f t="shared" si="495"/>
        <v>4.8331872065363778E-4</v>
      </c>
      <c r="AP137" s="26">
        <f t="shared" si="496"/>
        <v>0</v>
      </c>
      <c r="AQ137" s="26">
        <f t="shared" si="497"/>
        <v>0</v>
      </c>
      <c r="AR137" s="26">
        <f t="shared" si="498"/>
        <v>0</v>
      </c>
      <c r="AS137" s="26">
        <f t="shared" si="499"/>
        <v>4.0014567178053309</v>
      </c>
      <c r="AT137" s="26">
        <f t="shared" si="500"/>
        <v>2.0283079249283893</v>
      </c>
      <c r="AU137" s="26">
        <f t="shared" si="501"/>
        <v>0.87369721354620467</v>
      </c>
      <c r="AV137" s="47"/>
      <c r="AW137" s="26">
        <f t="shared" si="502"/>
        <v>1.9949397613832498</v>
      </c>
      <c r="AX137" s="26">
        <f t="shared" si="503"/>
        <v>6.9225262209645097E-3</v>
      </c>
      <c r="AY137" s="26">
        <f t="shared" si="504"/>
        <v>3.2629764387704818E-2</v>
      </c>
      <c r="AZ137" s="26">
        <f t="shared" si="505"/>
        <v>0</v>
      </c>
      <c r="BA137" s="26">
        <f t="shared" si="506"/>
        <v>0.28257587964649167</v>
      </c>
      <c r="BB137" s="26">
        <f t="shared" si="507"/>
        <v>4.3685624753067032E-3</v>
      </c>
      <c r="BC137" s="26">
        <f t="shared" si="508"/>
        <v>1.8605151100145725E-2</v>
      </c>
      <c r="BD137" s="26">
        <f t="shared" si="509"/>
        <v>0.78657920797842162</v>
      </c>
      <c r="BE137" s="26">
        <f t="shared" si="510"/>
        <v>0.83265624473627009</v>
      </c>
      <c r="BF137" s="26">
        <f t="shared" si="511"/>
        <v>4.0239759301459718E-2</v>
      </c>
      <c r="BG137" s="26">
        <f t="shared" si="512"/>
        <v>4.8314276998474924E-4</v>
      </c>
      <c r="BH137" s="26">
        <f t="shared" si="513"/>
        <v>0</v>
      </c>
      <c r="BI137" s="26">
        <f t="shared" si="514"/>
        <v>0</v>
      </c>
      <c r="BJ137" s="26">
        <f t="shared" si="515"/>
        <v>0</v>
      </c>
      <c r="BK137" s="25">
        <f t="shared" si="516"/>
        <v>3.9999999999999991</v>
      </c>
      <c r="BL137" s="24">
        <f t="shared" si="517"/>
        <v>5.9999999999999973</v>
      </c>
      <c r="BM137" s="26">
        <f t="shared" si="518"/>
        <v>2.0275695257709545</v>
      </c>
      <c r="BN137" s="26">
        <f t="shared" si="519"/>
        <v>0.87337914680771456</v>
      </c>
      <c r="BO137" s="22"/>
      <c r="BP137" s="23">
        <f t="shared" si="520"/>
        <v>0.73270785222569579</v>
      </c>
      <c r="BQ137" s="26">
        <f t="shared" si="521"/>
        <v>5.0602386167502011E-3</v>
      </c>
      <c r="BR137" s="26">
        <f t="shared" si="522"/>
        <v>2.7569525770954617E-2</v>
      </c>
      <c r="BS137" s="26"/>
      <c r="BT137" s="26">
        <f t="shared" si="523"/>
        <v>2.7569525770954617E-2</v>
      </c>
      <c r="BU137" s="26">
        <f t="shared" si="524"/>
        <v>0</v>
      </c>
      <c r="BV137" s="26">
        <f t="shared" si="525"/>
        <v>2.7569525770954617E-2</v>
      </c>
      <c r="BW137" s="26">
        <f t="shared" si="526"/>
        <v>0</v>
      </c>
      <c r="BX137" s="26">
        <f t="shared" si="527"/>
        <v>0.8053899552596725</v>
      </c>
      <c r="BY137" s="26">
        <f t="shared" si="528"/>
        <v>0.13426232504721708</v>
      </c>
      <c r="BZ137" s="26">
        <f t="shared" si="529"/>
        <v>0.99479133184879887</v>
      </c>
      <c r="CA137" s="22"/>
      <c r="CB137" s="22">
        <f t="shared" si="530"/>
        <v>4.3685624753067032E-3</v>
      </c>
      <c r="CC137" s="22">
        <f t="shared" si="531"/>
        <v>2.7569525770954617E-2</v>
      </c>
      <c r="CD137" s="22">
        <f t="shared" si="532"/>
        <v>0</v>
      </c>
      <c r="CE137" s="22">
        <f t="shared" si="533"/>
        <v>0</v>
      </c>
      <c r="CF137" s="22">
        <f t="shared" si="534"/>
        <v>0</v>
      </c>
      <c r="CG137" s="22">
        <f t="shared" si="535"/>
        <v>0.4185124036057884</v>
      </c>
      <c r="CH137" s="22">
        <f t="shared" si="536"/>
        <v>0.42780140908939651</v>
      </c>
      <c r="CI137" s="22">
        <f t="shared" si="537"/>
        <v>0.15368618730481512</v>
      </c>
      <c r="CJ137" s="22"/>
      <c r="CK137" s="22">
        <f t="shared" si="538"/>
        <v>0.43259700427020109</v>
      </c>
      <c r="CL137" s="22">
        <f t="shared" si="539"/>
        <v>0.40865820816664633</v>
      </c>
      <c r="CM137" s="22">
        <f t="shared" si="540"/>
        <v>0.15874478756315255</v>
      </c>
      <c r="CN137" s="1"/>
      <c r="CO137" s="26">
        <f t="shared" si="541"/>
        <v>0.87666444740346205</v>
      </c>
      <c r="CP137" s="26">
        <f t="shared" si="542"/>
        <v>3.0420630946419629E-3</v>
      </c>
      <c r="CQ137" s="26">
        <f t="shared" si="543"/>
        <v>1.4338956453511182E-2</v>
      </c>
      <c r="CR137" s="26">
        <f t="shared" si="544"/>
        <v>0</v>
      </c>
      <c r="CS137" s="26">
        <f t="shared" si="545"/>
        <v>0.12609603340292277</v>
      </c>
      <c r="CT137" s="26">
        <f t="shared" si="546"/>
        <v>8.1759233154778677E-3</v>
      </c>
      <c r="CU137" s="26">
        <f t="shared" si="547"/>
        <v>0.34565756823821342</v>
      </c>
      <c r="CV137" s="26">
        <f t="shared" si="548"/>
        <v>0.36590584878744653</v>
      </c>
      <c r="CW137" s="26">
        <f t="shared" si="549"/>
        <v>1.7683123588254277E-2</v>
      </c>
      <c r="CX137" s="26">
        <f t="shared" si="550"/>
        <v>2.1231422505307856E-4</v>
      </c>
      <c r="CY137" s="26">
        <f t="shared" si="551"/>
        <v>0</v>
      </c>
      <c r="CZ137" s="26">
        <f t="shared" si="552"/>
        <v>0</v>
      </c>
      <c r="DA137" s="26">
        <f t="shared" si="553"/>
        <v>0</v>
      </c>
      <c r="DB137" s="26">
        <f t="shared" si="554"/>
        <v>1.7577762785089832</v>
      </c>
      <c r="DC137" s="26">
        <f t="shared" si="555"/>
        <v>2.6357045483271895</v>
      </c>
      <c r="DD137" s="26">
        <f t="shared" si="556"/>
        <v>2.2756024466281688</v>
      </c>
      <c r="DE137" s="26">
        <f t="shared" si="557"/>
        <v>5.9978157187623449</v>
      </c>
      <c r="DF137" s="1"/>
      <c r="DG137" s="22">
        <v>4.7099983239890859</v>
      </c>
      <c r="DH137" s="14">
        <v>2835.335643281589</v>
      </c>
      <c r="DI137" s="14">
        <v>94400.041962575444</v>
      </c>
      <c r="DJ137" s="14">
        <v>2349.3331304377007</v>
      </c>
      <c r="DK137" s="14">
        <v>245769.88468518882</v>
      </c>
      <c r="DL137" s="14">
        <v>147333.5210702144</v>
      </c>
      <c r="DM137" s="96">
        <v>235.41684372239365</v>
      </c>
      <c r="DN137" s="14">
        <v>778.17870143878156</v>
      </c>
      <c r="DO137" s="96">
        <v>311.26708377773099</v>
      </c>
      <c r="DP137" s="22">
        <v>0</v>
      </c>
      <c r="DQ137" s="14">
        <v>4066.1046163171036</v>
      </c>
      <c r="DR137" s="22">
        <v>5.0406926690926532</v>
      </c>
      <c r="DS137" s="22">
        <v>0</v>
      </c>
      <c r="DT137" s="22">
        <v>1.7392477312120704</v>
      </c>
      <c r="DU137" s="22">
        <v>35.867765603979883</v>
      </c>
      <c r="DV137" s="22">
        <v>0</v>
      </c>
      <c r="DW137" s="22">
        <v>3.2966727718060409</v>
      </c>
      <c r="DX137" s="22">
        <v>3.6260861925827563</v>
      </c>
      <c r="DY137" s="22">
        <v>379.4430289993112</v>
      </c>
      <c r="DZ137" s="22">
        <v>21.342300566524283</v>
      </c>
      <c r="EA137" s="22">
        <v>0.12166172518828779</v>
      </c>
      <c r="EB137" s="22">
        <v>0</v>
      </c>
      <c r="EC137" s="22">
        <v>0.54258071764416738</v>
      </c>
      <c r="ED137" s="22">
        <v>17.922196713610052</v>
      </c>
      <c r="EE137" s="22">
        <v>84.535303699583551</v>
      </c>
      <c r="EF137" s="22">
        <v>16.555632937564877</v>
      </c>
      <c r="EG137" s="22">
        <v>92.694119186434932</v>
      </c>
      <c r="EH137" s="22">
        <v>37.377558103559295</v>
      </c>
      <c r="EI137" s="22">
        <v>1.9290703644310618</v>
      </c>
      <c r="EJ137" s="22">
        <v>52.403362505844264</v>
      </c>
      <c r="EK137" s="22">
        <v>9.6165915815478513</v>
      </c>
      <c r="EL137" s="22">
        <v>67.697729915526224</v>
      </c>
      <c r="EM137" s="22">
        <v>15.002708760638223</v>
      </c>
      <c r="EN137" s="22">
        <v>44.802744173550181</v>
      </c>
      <c r="EO137" s="22">
        <v>6.6043650065662476</v>
      </c>
      <c r="EP137" s="22">
        <v>42.073063596838402</v>
      </c>
      <c r="EQ137" s="22">
        <v>6.7277437216539733</v>
      </c>
      <c r="ER137" s="22">
        <v>2.259627112884933</v>
      </c>
      <c r="ES137" s="22">
        <v>0</v>
      </c>
      <c r="ET137" s="22">
        <v>0.11878652564062898</v>
      </c>
      <c r="EU137" s="22">
        <v>9.8057642826241381E-2</v>
      </c>
      <c r="EV137" s="22">
        <v>5.4381503772739495E-2</v>
      </c>
      <c r="EW137" s="22">
        <f>(EI137/0.05883)/SQRT((EH137/0.1536)*(EJ137/0.2069))</f>
        <v>0.1320809043839431</v>
      </c>
      <c r="EX137" s="22"/>
      <c r="EY137" s="22"/>
      <c r="EZ137" s="22"/>
      <c r="FA137" s="22"/>
      <c r="FB137" s="22"/>
      <c r="FC137" s="22"/>
      <c r="FD137" s="22"/>
      <c r="FE137" s="22"/>
      <c r="FF137" s="22"/>
      <c r="FG137" s="22"/>
      <c r="FH137" s="22"/>
      <c r="FI137" s="22">
        <f>-0.50354-2.23025*BP137+ N("eqn 18 Mg# R2 0.28 best")</f>
        <v>-2.1376616874263581</v>
      </c>
      <c r="FJ137" s="22"/>
      <c r="FK137" s="22">
        <f xml:space="preserve"> -0.03692  +  0.931085 + FX137   + N("488 NN Dy")</f>
        <v>0.70645291911464458</v>
      </c>
      <c r="FL137" s="22">
        <f>-0.48986  +   0    +   (1.071278 + 0) * GD137  +N("eqn 119 LnD Hf  (which has R2 of 0.51 for TS")</f>
        <v>-0.48631858280178009</v>
      </c>
      <c r="FM137" s="22"/>
      <c r="FN137" s="22"/>
      <c r="FO137" s="22">
        <f>3.94011-11.9214*BP137</f>
        <v>-4.7947933895234103</v>
      </c>
      <c r="FP137" s="22">
        <f xml:space="preserve">  -0.49862 +   1.013256 * FQ137 + N("294 NN")</f>
        <v>-2.131541652166709</v>
      </c>
      <c r="FQ137" s="46">
        <f t="shared" si="558"/>
        <v>-1.6115588283382571</v>
      </c>
      <c r="FR137" s="46">
        <f t="shared" si="559"/>
        <v>-1.2056569096932508</v>
      </c>
      <c r="FS137" s="46">
        <f t="shared" si="560"/>
        <v>-0.85705864917060537</v>
      </c>
      <c r="FT137" s="46">
        <f t="shared" si="561"/>
        <v>-0.42459269943008038</v>
      </c>
      <c r="FU137" s="46">
        <f t="shared" si="562"/>
        <v>-0.4591636888576533</v>
      </c>
      <c r="FV137" s="46">
        <f t="shared" si="563"/>
        <v>-0.24768134836481145</v>
      </c>
      <c r="FW137" s="46">
        <f t="shared" si="564"/>
        <v>-0.1775332583093116</v>
      </c>
      <c r="FX137" s="46">
        <f t="shared" si="565"/>
        <v>-0.18771208088535551</v>
      </c>
      <c r="FY137" s="46">
        <f t="shared" si="566"/>
        <v>-0.24087561914973096</v>
      </c>
      <c r="FZ137" s="46">
        <f t="shared" si="567"/>
        <v>-0.29065230619163424</v>
      </c>
      <c r="GA137" s="46">
        <f t="shared" si="568"/>
        <v>-0.26051694615280346</v>
      </c>
      <c r="GB137" s="46">
        <f t="shared" si="569"/>
        <v>-0.29225211407182</v>
      </c>
      <c r="GC137" s="46">
        <f t="shared" si="570"/>
        <v>-0.27670988368171889</v>
      </c>
      <c r="GD137" s="46">
        <f t="shared" si="571"/>
        <v>3.3057872916459896E-3</v>
      </c>
      <c r="GE137" s="46"/>
      <c r="GF137" s="46"/>
      <c r="GG137" s="46"/>
      <c r="GH137" s="46"/>
    </row>
    <row r="138" spans="1:190" x14ac:dyDescent="0.25">
      <c r="A138" s="5" t="s">
        <v>254</v>
      </c>
      <c r="B138" s="1">
        <v>702</v>
      </c>
      <c r="C138" s="98" t="s">
        <v>95</v>
      </c>
      <c r="D138" s="98" t="s">
        <v>106</v>
      </c>
      <c r="E138" s="1">
        <v>213</v>
      </c>
      <c r="F138" s="22">
        <v>53.99</v>
      </c>
      <c r="G138" s="22">
        <v>0.17100000000000001</v>
      </c>
      <c r="H138" s="22">
        <v>0.36399999999999999</v>
      </c>
      <c r="I138" s="22">
        <v>0</v>
      </c>
      <c r="J138" s="22">
        <v>8.6199999999999992</v>
      </c>
      <c r="K138" s="22">
        <v>0.375</v>
      </c>
      <c r="L138" s="22">
        <v>14.7</v>
      </c>
      <c r="M138" s="22">
        <v>21.2</v>
      </c>
      <c r="N138" s="22">
        <v>0.41799999999999998</v>
      </c>
      <c r="O138" s="22">
        <v>0</v>
      </c>
      <c r="P138" s="22">
        <v>0</v>
      </c>
      <c r="Q138" s="22"/>
      <c r="R138" s="22"/>
      <c r="S138" s="22">
        <f t="shared" si="482"/>
        <v>99.838000000000008</v>
      </c>
      <c r="T138" s="3"/>
      <c r="U138" s="22">
        <f t="shared" si="483"/>
        <v>8.6199999999999992</v>
      </c>
      <c r="V138" s="22">
        <f t="shared" si="484"/>
        <v>0</v>
      </c>
      <c r="W138" s="22">
        <f t="shared" si="485"/>
        <v>99.837999999999994</v>
      </c>
      <c r="X138" s="1"/>
      <c r="Y138" s="1"/>
      <c r="Z138" s="1"/>
      <c r="AA138" s="1" t="s">
        <v>185</v>
      </c>
      <c r="AC138" s="1">
        <v>6</v>
      </c>
      <c r="AD138" s="1">
        <v>4</v>
      </c>
      <c r="AE138" s="1"/>
      <c r="AF138" s="26">
        <f t="shared" si="486"/>
        <v>2.0065838237165985</v>
      </c>
      <c r="AG138" s="26">
        <f t="shared" si="487"/>
        <v>4.7800446961516422E-3</v>
      </c>
      <c r="AH138" s="26">
        <f t="shared" si="488"/>
        <v>1.5943198594060268E-2</v>
      </c>
      <c r="AI138" s="26">
        <f t="shared" si="489"/>
        <v>0</v>
      </c>
      <c r="AJ138" s="26">
        <f t="shared" si="490"/>
        <v>0.26788870121984742</v>
      </c>
      <c r="AK138" s="26">
        <f t="shared" si="491"/>
        <v>1.1803586497874195E-2</v>
      </c>
      <c r="AL138" s="26">
        <f t="shared" si="492"/>
        <v>0.81449081651217026</v>
      </c>
      <c r="AM138" s="26">
        <f t="shared" si="493"/>
        <v>0.84411527506300243</v>
      </c>
      <c r="AN138" s="26">
        <f t="shared" si="494"/>
        <v>3.0118171981029895E-2</v>
      </c>
      <c r="AO138" s="26">
        <f t="shared" si="495"/>
        <v>0</v>
      </c>
      <c r="AP138" s="26">
        <f t="shared" si="496"/>
        <v>0</v>
      </c>
      <c r="AQ138" s="26">
        <f t="shared" si="497"/>
        <v>0</v>
      </c>
      <c r="AR138" s="26">
        <f t="shared" si="498"/>
        <v>0</v>
      </c>
      <c r="AS138" s="26">
        <f t="shared" si="499"/>
        <v>3.995723618280735</v>
      </c>
      <c r="AT138" s="26">
        <f t="shared" si="500"/>
        <v>2.0225270223106588</v>
      </c>
      <c r="AU138" s="26">
        <f t="shared" si="501"/>
        <v>0.87423344704403227</v>
      </c>
      <c r="AV138" s="47"/>
      <c r="AW138" s="26">
        <f t="shared" si="502"/>
        <v>2.0087313492217804</v>
      </c>
      <c r="AX138" s="26">
        <f t="shared" si="503"/>
        <v>4.7851604893617561E-3</v>
      </c>
      <c r="AY138" s="26">
        <f t="shared" si="504"/>
        <v>1.596026163683488E-2</v>
      </c>
      <c r="AZ138" s="26">
        <f t="shared" si="505"/>
        <v>0</v>
      </c>
      <c r="BA138" s="26">
        <f t="shared" si="506"/>
        <v>0.26817540632113446</v>
      </c>
      <c r="BB138" s="26">
        <f t="shared" si="507"/>
        <v>0</v>
      </c>
      <c r="BC138" s="26">
        <f t="shared" si="508"/>
        <v>1.18162191637799E-2</v>
      </c>
      <c r="BD138" s="26">
        <f t="shared" si="509"/>
        <v>0.81536251685258088</v>
      </c>
      <c r="BE138" s="26">
        <f t="shared" si="510"/>
        <v>0.84501868067261898</v>
      </c>
      <c r="BF138" s="26">
        <f t="shared" si="511"/>
        <v>3.0150405641908767E-2</v>
      </c>
      <c r="BG138" s="26">
        <f t="shared" si="512"/>
        <v>0</v>
      </c>
      <c r="BH138" s="26">
        <f t="shared" si="513"/>
        <v>0</v>
      </c>
      <c r="BI138" s="26">
        <f t="shared" si="514"/>
        <v>0</v>
      </c>
      <c r="BJ138" s="26">
        <f t="shared" si="515"/>
        <v>0</v>
      </c>
      <c r="BK138" s="25">
        <f t="shared" si="516"/>
        <v>4</v>
      </c>
      <c r="BL138" s="24">
        <f t="shared" si="517"/>
        <v>6.0064214377086049</v>
      </c>
      <c r="BM138" s="26">
        <f t="shared" si="518"/>
        <v>2.0246916108586155</v>
      </c>
      <c r="BN138" s="26">
        <f t="shared" si="519"/>
        <v>0.87516908631452772</v>
      </c>
      <c r="BO138" s="22"/>
      <c r="BP138" s="23">
        <f t="shared" si="520"/>
        <v>0.75250021195784211</v>
      </c>
      <c r="BQ138" s="26">
        <f t="shared" si="521"/>
        <v>0</v>
      </c>
      <c r="BR138" s="26">
        <f t="shared" si="522"/>
        <v>1.596026163683488E-2</v>
      </c>
      <c r="BS138" s="26"/>
      <c r="BT138" s="26">
        <f t="shared" si="523"/>
        <v>1.596026163683488E-2</v>
      </c>
      <c r="BU138" s="26">
        <f t="shared" si="524"/>
        <v>0</v>
      </c>
      <c r="BV138" s="26">
        <f t="shared" si="525"/>
        <v>1.596026163683488E-2</v>
      </c>
      <c r="BW138" s="26">
        <f t="shared" si="526"/>
        <v>0</v>
      </c>
      <c r="BX138" s="26">
        <f t="shared" si="527"/>
        <v>0.8281550134261676</v>
      </c>
      <c r="BY138" s="26">
        <f t="shared" si="528"/>
        <v>0.12711225215292504</v>
      </c>
      <c r="BZ138" s="26">
        <f t="shared" si="529"/>
        <v>0.98718778885276248</v>
      </c>
      <c r="CA138" s="22"/>
      <c r="CB138" s="22">
        <f t="shared" si="530"/>
        <v>0</v>
      </c>
      <c r="CC138" s="22">
        <f t="shared" si="531"/>
        <v>1.596026163683488E-2</v>
      </c>
      <c r="CD138" s="22">
        <f t="shared" si="532"/>
        <v>0</v>
      </c>
      <c r="CE138" s="22">
        <f t="shared" si="533"/>
        <v>0</v>
      </c>
      <c r="CF138" s="22">
        <f t="shared" si="534"/>
        <v>0</v>
      </c>
      <c r="CG138" s="22">
        <f t="shared" si="535"/>
        <v>0.42250934033630949</v>
      </c>
      <c r="CH138" s="22">
        <f t="shared" si="536"/>
        <v>0.43456184380060114</v>
      </c>
      <c r="CI138" s="22">
        <f t="shared" si="537"/>
        <v>0.14292881586308931</v>
      </c>
      <c r="CJ138" s="22"/>
      <c r="CK138" s="22">
        <f t="shared" si="538"/>
        <v>0.43549294787675674</v>
      </c>
      <c r="CL138" s="22">
        <f t="shared" si="539"/>
        <v>0.4202092026766811</v>
      </c>
      <c r="CM138" s="22">
        <f t="shared" si="540"/>
        <v>0.14429784944656221</v>
      </c>
      <c r="CN138" s="1"/>
      <c r="CO138" s="26">
        <f t="shared" si="541"/>
        <v>0.8986351531291612</v>
      </c>
      <c r="CP138" s="26">
        <f t="shared" si="542"/>
        <v>2.1407110665999001E-3</v>
      </c>
      <c r="CQ138" s="26">
        <f t="shared" si="543"/>
        <v>7.1400549234994122E-3</v>
      </c>
      <c r="CR138" s="26">
        <f t="shared" si="544"/>
        <v>0</v>
      </c>
      <c r="CS138" s="26">
        <f t="shared" si="545"/>
        <v>0.11997216423103688</v>
      </c>
      <c r="CT138" s="26">
        <f t="shared" si="546"/>
        <v>5.2861573160417254E-3</v>
      </c>
      <c r="CU138" s="26">
        <f t="shared" si="547"/>
        <v>0.36476426799007444</v>
      </c>
      <c r="CV138" s="26">
        <f t="shared" si="548"/>
        <v>0.37803138373751782</v>
      </c>
      <c r="CW138" s="26">
        <f t="shared" si="549"/>
        <v>1.3488222007099064E-2</v>
      </c>
      <c r="CX138" s="26">
        <f t="shared" si="550"/>
        <v>0</v>
      </c>
      <c r="CY138" s="26">
        <f t="shared" si="551"/>
        <v>0</v>
      </c>
      <c r="CZ138" s="26">
        <f t="shared" si="552"/>
        <v>0</v>
      </c>
      <c r="DA138" s="26">
        <f t="shared" si="553"/>
        <v>0</v>
      </c>
      <c r="DB138" s="26">
        <f t="shared" si="554"/>
        <v>1.7894581144010304</v>
      </c>
      <c r="DC138" s="26">
        <f t="shared" si="555"/>
        <v>2.6870598950549915</v>
      </c>
      <c r="DD138" s="26">
        <f t="shared" si="556"/>
        <v>2.2353135666094563</v>
      </c>
      <c r="DE138" s="26">
        <f t="shared" si="557"/>
        <v>6.0064214377086049</v>
      </c>
      <c r="DF138" s="1"/>
      <c r="DG138" s="22"/>
      <c r="DH138" s="14"/>
      <c r="DI138" s="14"/>
      <c r="DJ138" s="14"/>
      <c r="DK138" s="14"/>
      <c r="DL138" s="14"/>
      <c r="DM138" s="96"/>
      <c r="DN138" s="14"/>
      <c r="DO138" s="96"/>
      <c r="DP138" s="22"/>
      <c r="DQ138" s="14"/>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46">
        <f t="shared" si="558"/>
        <v>-1.6712046907487506</v>
      </c>
      <c r="FR138" s="46">
        <f t="shared" si="559"/>
        <v>-1.2646542425817027</v>
      </c>
      <c r="FS138" s="46">
        <f t="shared" si="560"/>
        <v>-0.91524882611466607</v>
      </c>
      <c r="FT138" s="46">
        <f t="shared" si="561"/>
        <v>-0.4817720596442745</v>
      </c>
      <c r="FU138" s="46">
        <f t="shared" si="562"/>
        <v>-0.51211189077471753</v>
      </c>
      <c r="FV138" s="46">
        <f t="shared" si="563"/>
        <v>-0.30060364803169859</v>
      </c>
      <c r="FW138" s="46">
        <f t="shared" si="564"/>
        <v>-0.22690838791872592</v>
      </c>
      <c r="FX138" s="46">
        <f t="shared" si="565"/>
        <v>-0.23362762684324578</v>
      </c>
      <c r="FY138" s="46">
        <f t="shared" si="566"/>
        <v>-0.28466151025500236</v>
      </c>
      <c r="FZ138" s="46">
        <f t="shared" si="567"/>
        <v>-0.33321241127541357</v>
      </c>
      <c r="GA138" s="46">
        <f t="shared" si="568"/>
        <v>-0.30138588290097373</v>
      </c>
      <c r="GB138" s="46">
        <f t="shared" si="569"/>
        <v>-0.33210177886333886</v>
      </c>
      <c r="GC138" s="46">
        <f t="shared" si="570"/>
        <v>-0.31680195398416455</v>
      </c>
      <c r="GD138" s="46">
        <f t="shared" si="571"/>
        <v>5.9238370793643913E-3</v>
      </c>
      <c r="GE138" s="46"/>
      <c r="GF138" s="46"/>
      <c r="GG138" s="46"/>
      <c r="GH138" s="46"/>
    </row>
    <row r="139" spans="1:190" x14ac:dyDescent="0.25">
      <c r="A139" s="5" t="s">
        <v>254</v>
      </c>
      <c r="B139" s="1">
        <v>703</v>
      </c>
      <c r="C139" s="98" t="s">
        <v>95</v>
      </c>
      <c r="D139" s="98" t="s">
        <v>106</v>
      </c>
      <c r="E139" s="1">
        <v>214</v>
      </c>
      <c r="F139" s="22">
        <v>53.49</v>
      </c>
      <c r="G139" s="22">
        <v>0.13300000000000001</v>
      </c>
      <c r="H139" s="22">
        <v>0.55800000000000005</v>
      </c>
      <c r="I139" s="22">
        <v>0</v>
      </c>
      <c r="J139" s="22">
        <v>8.66</v>
      </c>
      <c r="K139" s="22">
        <v>0.39600000000000002</v>
      </c>
      <c r="L139" s="22">
        <v>14.3</v>
      </c>
      <c r="M139" s="22">
        <v>21.18</v>
      </c>
      <c r="N139" s="22">
        <v>0.51800000000000002</v>
      </c>
      <c r="O139" s="22">
        <v>0</v>
      </c>
      <c r="P139" s="22">
        <v>0</v>
      </c>
      <c r="Q139" s="22"/>
      <c r="R139" s="22"/>
      <c r="S139" s="22">
        <f t="shared" si="482"/>
        <v>99.235000000000014</v>
      </c>
      <c r="T139" s="3"/>
      <c r="U139" s="22">
        <f t="shared" si="483"/>
        <v>8.654485734054175</v>
      </c>
      <c r="V139" s="22">
        <f t="shared" si="484"/>
        <v>6.128003745595724E-3</v>
      </c>
      <c r="W139" s="22">
        <f t="shared" si="485"/>
        <v>99.235613737799781</v>
      </c>
      <c r="X139" s="1"/>
      <c r="Y139" s="1"/>
      <c r="Z139" s="1"/>
      <c r="AA139" s="1" t="s">
        <v>185</v>
      </c>
      <c r="AC139" s="1">
        <v>6</v>
      </c>
      <c r="AD139" s="1">
        <v>4</v>
      </c>
      <c r="AE139" s="1"/>
      <c r="AF139" s="26">
        <f t="shared" si="486"/>
        <v>2.002686301586293</v>
      </c>
      <c r="AG139" s="26">
        <f t="shared" si="487"/>
        <v>3.7452760906426701E-3</v>
      </c>
      <c r="AH139" s="26">
        <f t="shared" si="488"/>
        <v>2.4620939510298801E-2</v>
      </c>
      <c r="AI139" s="26">
        <f t="shared" si="489"/>
        <v>0</v>
      </c>
      <c r="AJ139" s="26">
        <f t="shared" si="490"/>
        <v>0.27111988579840479</v>
      </c>
      <c r="AK139" s="26">
        <f t="shared" si="491"/>
        <v>1.2556663476254681E-2</v>
      </c>
      <c r="AL139" s="26">
        <f t="shared" si="492"/>
        <v>0.79818074104436121</v>
      </c>
      <c r="AM139" s="26">
        <f t="shared" si="493"/>
        <v>0.8495485523195867</v>
      </c>
      <c r="AN139" s="26">
        <f t="shared" si="494"/>
        <v>3.7599185484145481E-2</v>
      </c>
      <c r="AO139" s="26">
        <f t="shared" si="495"/>
        <v>0</v>
      </c>
      <c r="AP139" s="26">
        <f t="shared" si="496"/>
        <v>0</v>
      </c>
      <c r="AQ139" s="26">
        <f t="shared" si="497"/>
        <v>0</v>
      </c>
      <c r="AR139" s="26">
        <f t="shared" si="498"/>
        <v>0</v>
      </c>
      <c r="AS139" s="26">
        <f t="shared" si="499"/>
        <v>4.0000575453099882</v>
      </c>
      <c r="AT139" s="26">
        <f t="shared" si="500"/>
        <v>2.027307241096592</v>
      </c>
      <c r="AU139" s="26">
        <f t="shared" si="501"/>
        <v>0.88714773780373224</v>
      </c>
      <c r="AV139" s="47"/>
      <c r="AW139" s="26">
        <f t="shared" si="502"/>
        <v>2.0026574906997676</v>
      </c>
      <c r="AX139" s="26">
        <f t="shared" si="503"/>
        <v>3.7452222106493993E-3</v>
      </c>
      <c r="AY139" s="26">
        <f t="shared" si="504"/>
        <v>2.4620585310495362E-2</v>
      </c>
      <c r="AZ139" s="26">
        <f t="shared" si="505"/>
        <v>0</v>
      </c>
      <c r="BA139" s="26">
        <f t="shared" si="506"/>
        <v>0.27094335198864528</v>
      </c>
      <c r="BB139" s="26">
        <f t="shared" si="507"/>
        <v>1.7263344640339184E-4</v>
      </c>
      <c r="BC139" s="26">
        <f t="shared" si="508"/>
        <v>1.2556482834580414E-2</v>
      </c>
      <c r="BD139" s="26">
        <f t="shared" si="509"/>
        <v>0.79816925832001306</v>
      </c>
      <c r="BE139" s="26">
        <f t="shared" si="510"/>
        <v>0.84953633061171407</v>
      </c>
      <c r="BF139" s="26">
        <f t="shared" si="511"/>
        <v>3.7598644577731148E-2</v>
      </c>
      <c r="BG139" s="26">
        <f t="shared" si="512"/>
        <v>0</v>
      </c>
      <c r="BH139" s="26">
        <f t="shared" si="513"/>
        <v>0</v>
      </c>
      <c r="BI139" s="26">
        <f t="shared" si="514"/>
        <v>0</v>
      </c>
      <c r="BJ139" s="26">
        <f t="shared" si="515"/>
        <v>0</v>
      </c>
      <c r="BK139" s="25">
        <f t="shared" si="516"/>
        <v>3.9999999999999996</v>
      </c>
      <c r="BL139" s="24">
        <f t="shared" si="517"/>
        <v>6</v>
      </c>
      <c r="BM139" s="26">
        <f t="shared" si="518"/>
        <v>2.0272780760102629</v>
      </c>
      <c r="BN139" s="26">
        <f t="shared" si="519"/>
        <v>0.88713497518944517</v>
      </c>
      <c r="BO139" s="22"/>
      <c r="BP139" s="23">
        <f t="shared" si="520"/>
        <v>0.74645120465428161</v>
      </c>
      <c r="BQ139" s="26">
        <f t="shared" si="521"/>
        <v>0</v>
      </c>
      <c r="BR139" s="26">
        <f t="shared" si="522"/>
        <v>2.4620585310495362E-2</v>
      </c>
      <c r="BS139" s="26"/>
      <c r="BT139" s="26">
        <f t="shared" si="523"/>
        <v>2.4620585310495362E-2</v>
      </c>
      <c r="BU139" s="26">
        <f t="shared" si="524"/>
        <v>0</v>
      </c>
      <c r="BV139" s="26">
        <f t="shared" si="525"/>
        <v>2.4620585310495362E-2</v>
      </c>
      <c r="BW139" s="26">
        <f t="shared" si="526"/>
        <v>0</v>
      </c>
      <c r="BX139" s="26">
        <f t="shared" si="527"/>
        <v>0.82492796700909132</v>
      </c>
      <c r="BY139" s="26">
        <f t="shared" si="528"/>
        <v>0.12218632991683737</v>
      </c>
      <c r="BZ139" s="26">
        <f t="shared" si="529"/>
        <v>0.9963554675469195</v>
      </c>
      <c r="CA139" s="22"/>
      <c r="CB139" s="22">
        <f t="shared" si="530"/>
        <v>1.7263344640339184E-4</v>
      </c>
      <c r="CC139" s="22">
        <f t="shared" si="531"/>
        <v>2.4620585310495362E-2</v>
      </c>
      <c r="CD139" s="22">
        <f t="shared" si="532"/>
        <v>0</v>
      </c>
      <c r="CE139" s="22">
        <f t="shared" si="533"/>
        <v>0</v>
      </c>
      <c r="CF139" s="22">
        <f t="shared" si="534"/>
        <v>0</v>
      </c>
      <c r="CG139" s="22">
        <f t="shared" si="535"/>
        <v>0.42485448202905873</v>
      </c>
      <c r="CH139" s="22">
        <f t="shared" si="536"/>
        <v>0.4293873882681189</v>
      </c>
      <c r="CI139" s="22">
        <f t="shared" si="537"/>
        <v>0.1457581297028224</v>
      </c>
      <c r="CJ139" s="22"/>
      <c r="CK139" s="22">
        <f t="shared" si="538"/>
        <v>0.43986019590733372</v>
      </c>
      <c r="CL139" s="22">
        <f t="shared" si="539"/>
        <v>0.41326412265270951</v>
      </c>
      <c r="CM139" s="22">
        <f t="shared" si="540"/>
        <v>0.14687568143995683</v>
      </c>
      <c r="CN139" s="1"/>
      <c r="CO139" s="26">
        <f t="shared" si="541"/>
        <v>0.89031291611185093</v>
      </c>
      <c r="CP139" s="26">
        <f t="shared" si="542"/>
        <v>1.6649974962443667E-3</v>
      </c>
      <c r="CQ139" s="26">
        <f t="shared" si="543"/>
        <v>1.0945468811298551E-2</v>
      </c>
      <c r="CR139" s="26">
        <f t="shared" si="544"/>
        <v>0</v>
      </c>
      <c r="CS139" s="26">
        <f t="shared" si="545"/>
        <v>0.12052887961029925</v>
      </c>
      <c r="CT139" s="26">
        <f t="shared" si="546"/>
        <v>5.5821821257400622E-3</v>
      </c>
      <c r="CU139" s="26">
        <f t="shared" si="547"/>
        <v>0.35483870967741937</v>
      </c>
      <c r="CV139" s="26">
        <f t="shared" si="548"/>
        <v>0.37767475035663339</v>
      </c>
      <c r="CW139" s="26">
        <f t="shared" si="549"/>
        <v>1.671506937721846E-2</v>
      </c>
      <c r="CX139" s="26">
        <f t="shared" si="550"/>
        <v>0</v>
      </c>
      <c r="CY139" s="26">
        <f t="shared" si="551"/>
        <v>0</v>
      </c>
      <c r="CZ139" s="26">
        <f t="shared" si="552"/>
        <v>0</v>
      </c>
      <c r="DA139" s="26">
        <f t="shared" si="553"/>
        <v>0</v>
      </c>
      <c r="DB139" s="26">
        <f t="shared" si="554"/>
        <v>1.7782629735667044</v>
      </c>
      <c r="DC139" s="26">
        <f t="shared" si="555"/>
        <v>2.6673560868918398</v>
      </c>
      <c r="DD139" s="26">
        <f t="shared" si="556"/>
        <v>2.2493860916291277</v>
      </c>
      <c r="DE139" s="26">
        <f t="shared" si="557"/>
        <v>5.9999136832767999</v>
      </c>
      <c r="DF139" s="1"/>
      <c r="DG139" s="22">
        <v>3.6960078062945736</v>
      </c>
      <c r="DH139" s="14">
        <v>3715.2147975301941</v>
      </c>
      <c r="DI139" s="14">
        <v>93726.101921451467</v>
      </c>
      <c r="DJ139" s="14">
        <v>3796.8184109270519</v>
      </c>
      <c r="DK139" s="14">
        <v>253187.28500081625</v>
      </c>
      <c r="DL139" s="14">
        <v>148428.9307649041</v>
      </c>
      <c r="DM139" s="96">
        <v>196.85961784663434</v>
      </c>
      <c r="DN139" s="14">
        <v>1126.7680893703878</v>
      </c>
      <c r="DO139" s="96">
        <v>421.10995075439308</v>
      </c>
      <c r="DP139" s="22">
        <v>1.0320675535085753</v>
      </c>
      <c r="DQ139" s="14">
        <v>3021.90465639377</v>
      </c>
      <c r="DR139" s="22">
        <v>5.4439892323703791</v>
      </c>
      <c r="DS139" s="22">
        <v>7.1948067625708028</v>
      </c>
      <c r="DT139" s="22">
        <v>1.2843947190612119</v>
      </c>
      <c r="DU139" s="22">
        <v>37.79733865347643</v>
      </c>
      <c r="DV139" s="22">
        <v>1.8980446196586047</v>
      </c>
      <c r="DW139" s="22">
        <v>5.0623702498303507</v>
      </c>
      <c r="DX139" s="22">
        <v>4.7516047127194003</v>
      </c>
      <c r="DY139" s="22">
        <v>465.50249236544772</v>
      </c>
      <c r="DZ139" s="22">
        <v>24.001861937283195</v>
      </c>
      <c r="EA139" s="22">
        <v>0.5708068283991784</v>
      </c>
      <c r="EB139" s="22">
        <v>4.5657219088045944E-2</v>
      </c>
      <c r="EC139" s="22">
        <v>1.8714412300880632</v>
      </c>
      <c r="ED139" s="22">
        <v>23.615894903999717</v>
      </c>
      <c r="EE139" s="22">
        <v>108.85453895581979</v>
      </c>
      <c r="EF139" s="22">
        <v>20.925191509415772</v>
      </c>
      <c r="EG139" s="22">
        <v>114.80159683960909</v>
      </c>
      <c r="EH139" s="22">
        <v>44.177949147884235</v>
      </c>
      <c r="EI139" s="22">
        <v>2.0836199747487076</v>
      </c>
      <c r="EJ139" s="22">
        <v>62.497710488290423</v>
      </c>
      <c r="EK139" s="22">
        <v>11.842863079595364</v>
      </c>
      <c r="EL139" s="22">
        <v>85.096654910533601</v>
      </c>
      <c r="EM139" s="22">
        <v>18.1376583490656</v>
      </c>
      <c r="EN139" s="22">
        <v>54.288080040436235</v>
      </c>
      <c r="EO139" s="22">
        <v>7.7412558955368542</v>
      </c>
      <c r="EP139" s="22">
        <v>51.525543921389122</v>
      </c>
      <c r="EQ139" s="22">
        <v>7.1902733440394675</v>
      </c>
      <c r="ER139" s="22">
        <v>1.9272164409506505</v>
      </c>
      <c r="ES139" s="22">
        <v>5.013884731777845E-2</v>
      </c>
      <c r="ET139" s="22">
        <v>0.57430805392399487</v>
      </c>
      <c r="EU139" s="22">
        <v>0.39837047751961702</v>
      </c>
      <c r="EV139" s="22">
        <v>0.15632686899965337</v>
      </c>
      <c r="EW139" s="22">
        <f>(EI139/0.05883)/SQRT((EH139/0.1536)*(EJ139/0.2069))</f>
        <v>0.12016021245572822</v>
      </c>
      <c r="EX139" s="22"/>
      <c r="EY139" s="22"/>
      <c r="EZ139" s="22"/>
      <c r="FA139" s="22"/>
      <c r="FB139" s="22"/>
      <c r="FC139" s="22"/>
      <c r="FD139" s="22"/>
      <c r="FE139" s="22"/>
      <c r="FF139" s="22"/>
      <c r="FG139" s="22"/>
      <c r="FH139" s="22"/>
      <c r="FI139" s="22">
        <f>-0.50354-2.23025*BP139+ N("eqn 18 Mg# R2 0.28 best")</f>
        <v>-2.1683127991802116</v>
      </c>
      <c r="FJ139" s="22"/>
      <c r="FK139" s="22">
        <f xml:space="preserve"> -0.03692  +  0.931085 + FX139   + N("488 NN Dy")</f>
        <v>0.68762388614046688</v>
      </c>
      <c r="FL139" s="22">
        <f>-0.48986  +   0    +   (1.071278 + 0) * GD139  +N("eqn 119 LnD Hf  (which has R2 of 0.51 for TS")</f>
        <v>-0.45614607746902036</v>
      </c>
      <c r="FM139" s="22"/>
      <c r="FN139" s="22"/>
      <c r="FO139" s="22">
        <f>3.94011-11.9214*BP139</f>
        <v>-4.9586333911655531</v>
      </c>
      <c r="FP139" s="22">
        <f xml:space="preserve">  -0.49862 +   1.013256 * FQ139 + N("294 NN")</f>
        <v>-2.1563254449783282</v>
      </c>
      <c r="FQ139" s="46">
        <f t="shared" si="558"/>
        <v>-1.6360183852632784</v>
      </c>
      <c r="FR139" s="46">
        <f t="shared" si="559"/>
        <v>-1.2298505178312</v>
      </c>
      <c r="FS139" s="46">
        <f t="shared" si="560"/>
        <v>-0.88092125904695961</v>
      </c>
      <c r="FT139" s="46">
        <f t="shared" si="561"/>
        <v>-0.44804079389252749</v>
      </c>
      <c r="FU139" s="46">
        <f t="shared" si="562"/>
        <v>-0.48087667122606825</v>
      </c>
      <c r="FV139" s="46">
        <f t="shared" si="563"/>
        <v>-0.26938370874643491</v>
      </c>
      <c r="FW139" s="46">
        <f t="shared" si="564"/>
        <v>-0.19778099628399637</v>
      </c>
      <c r="FX139" s="46">
        <f t="shared" si="565"/>
        <v>-0.20654111385953317</v>
      </c>
      <c r="FY139" s="46">
        <f t="shared" si="566"/>
        <v>-0.25883132391650027</v>
      </c>
      <c r="FZ139" s="46">
        <f t="shared" si="567"/>
        <v>-0.30810534100345788</v>
      </c>
      <c r="GA139" s="46">
        <f t="shared" si="568"/>
        <v>-0.27727646717334448</v>
      </c>
      <c r="GB139" s="46">
        <f t="shared" si="569"/>
        <v>-0.3085936523616527</v>
      </c>
      <c r="GC139" s="46">
        <f t="shared" si="570"/>
        <v>-0.29315082754896865</v>
      </c>
      <c r="GD139" s="46">
        <f t="shared" si="571"/>
        <v>3.1470750385035107E-2</v>
      </c>
      <c r="GE139" s="46"/>
      <c r="GF139" s="46"/>
      <c r="GG139" s="46"/>
      <c r="GH139" s="46"/>
    </row>
    <row r="140" spans="1:190" x14ac:dyDescent="0.25">
      <c r="A140" s="5" t="s">
        <v>254</v>
      </c>
      <c r="B140" s="1">
        <v>704</v>
      </c>
      <c r="C140" s="98" t="s">
        <v>95</v>
      </c>
      <c r="D140" s="98" t="s">
        <v>106</v>
      </c>
      <c r="E140" s="1">
        <v>215</v>
      </c>
      <c r="F140" s="22">
        <v>53.93</v>
      </c>
      <c r="G140" s="22">
        <v>0.14599999999999999</v>
      </c>
      <c r="H140" s="22">
        <v>0.54400000000000004</v>
      </c>
      <c r="I140" s="22">
        <v>0</v>
      </c>
      <c r="J140" s="22">
        <v>9.1199999999999992</v>
      </c>
      <c r="K140" s="22">
        <v>0.34399999999999997</v>
      </c>
      <c r="L140" s="22">
        <v>14.4</v>
      </c>
      <c r="M140" s="22">
        <v>20.99</v>
      </c>
      <c r="N140" s="22">
        <v>0.55500000000000005</v>
      </c>
      <c r="O140" s="22">
        <v>0</v>
      </c>
      <c r="P140" s="22">
        <v>0</v>
      </c>
      <c r="Q140" s="22"/>
      <c r="R140" s="22"/>
      <c r="S140" s="22">
        <f t="shared" si="482"/>
        <v>100.029</v>
      </c>
      <c r="T140" s="3"/>
      <c r="U140" s="22">
        <f t="shared" si="483"/>
        <v>9.1199999999999992</v>
      </c>
      <c r="V140" s="22">
        <f t="shared" si="484"/>
        <v>0</v>
      </c>
      <c r="W140" s="22">
        <f t="shared" si="485"/>
        <v>100.029</v>
      </c>
      <c r="X140" s="1"/>
      <c r="Y140" s="1"/>
      <c r="Z140" s="1"/>
      <c r="AA140" s="1" t="s">
        <v>185</v>
      </c>
      <c r="AC140" s="1">
        <v>6</v>
      </c>
      <c r="AD140" s="1">
        <v>4</v>
      </c>
      <c r="AE140" s="1"/>
      <c r="AF140" s="26">
        <f t="shared" si="486"/>
        <v>2.0041924350552569</v>
      </c>
      <c r="AG140" s="26">
        <f t="shared" si="487"/>
        <v>4.0808790365980769E-3</v>
      </c>
      <c r="AH140" s="26">
        <f t="shared" si="488"/>
        <v>2.3825278767558487E-2</v>
      </c>
      <c r="AI140" s="26">
        <f t="shared" si="489"/>
        <v>0</v>
      </c>
      <c r="AJ140" s="26">
        <f t="shared" si="490"/>
        <v>0.28340466068810638</v>
      </c>
      <c r="AK140" s="26">
        <f t="shared" si="491"/>
        <v>1.0826951234165503E-2</v>
      </c>
      <c r="AL140" s="26">
        <f t="shared" si="492"/>
        <v>0.79780429164583166</v>
      </c>
      <c r="AM140" s="26">
        <f t="shared" si="493"/>
        <v>0.83568644110884982</v>
      </c>
      <c r="AN140" s="26">
        <f t="shared" si="494"/>
        <v>3.998621797599694E-2</v>
      </c>
      <c r="AO140" s="26">
        <f t="shared" si="495"/>
        <v>0</v>
      </c>
      <c r="AP140" s="26">
        <f t="shared" si="496"/>
        <v>0</v>
      </c>
      <c r="AQ140" s="26">
        <f t="shared" si="497"/>
        <v>0</v>
      </c>
      <c r="AR140" s="26">
        <f t="shared" si="498"/>
        <v>0</v>
      </c>
      <c r="AS140" s="26">
        <f t="shared" si="499"/>
        <v>3.999807155512364</v>
      </c>
      <c r="AT140" s="26">
        <f t="shared" si="500"/>
        <v>2.0280177138228153</v>
      </c>
      <c r="AU140" s="26">
        <f t="shared" si="501"/>
        <v>0.87567265908484671</v>
      </c>
      <c r="AV140" s="47"/>
      <c r="AW140" s="26">
        <f t="shared" si="502"/>
        <v>2.004289064079666</v>
      </c>
      <c r="AX140" s="26">
        <f t="shared" si="503"/>
        <v>4.0810757898405003E-3</v>
      </c>
      <c r="AY140" s="26">
        <f t="shared" si="504"/>
        <v>2.3826427466357721E-2</v>
      </c>
      <c r="AZ140" s="26">
        <f t="shared" si="505"/>
        <v>0</v>
      </c>
      <c r="BA140" s="26">
        <f t="shared" si="506"/>
        <v>0.28341832460350502</v>
      </c>
      <c r="BB140" s="26">
        <f t="shared" si="507"/>
        <v>0</v>
      </c>
      <c r="BC140" s="26">
        <f t="shared" si="508"/>
        <v>1.0827473238797783E-2</v>
      </c>
      <c r="BD140" s="26">
        <f t="shared" si="509"/>
        <v>0.79784275654023129</v>
      </c>
      <c r="BE140" s="26">
        <f t="shared" si="510"/>
        <v>0.83572673243222961</v>
      </c>
      <c r="BF140" s="26">
        <f t="shared" si="511"/>
        <v>3.9988145849371395E-2</v>
      </c>
      <c r="BG140" s="26">
        <f t="shared" si="512"/>
        <v>0</v>
      </c>
      <c r="BH140" s="26">
        <f t="shared" si="513"/>
        <v>0</v>
      </c>
      <c r="BI140" s="26">
        <f t="shared" si="514"/>
        <v>0</v>
      </c>
      <c r="BJ140" s="26">
        <f t="shared" si="515"/>
        <v>0</v>
      </c>
      <c r="BK140" s="25">
        <f t="shared" si="516"/>
        <v>3.9999999999999996</v>
      </c>
      <c r="BL140" s="24">
        <f t="shared" si="517"/>
        <v>6.0002892806779986</v>
      </c>
      <c r="BM140" s="26">
        <f t="shared" si="518"/>
        <v>2.0281154915460236</v>
      </c>
      <c r="BN140" s="26">
        <f t="shared" si="519"/>
        <v>0.87571487828160099</v>
      </c>
      <c r="BO140" s="22"/>
      <c r="BP140" s="23">
        <f t="shared" si="520"/>
        <v>0.73788169245515534</v>
      </c>
      <c r="BQ140" s="26">
        <f t="shared" si="521"/>
        <v>0</v>
      </c>
      <c r="BR140" s="26">
        <f t="shared" si="522"/>
        <v>2.3826427466357721E-2</v>
      </c>
      <c r="BS140" s="26"/>
      <c r="BT140" s="26">
        <f t="shared" si="523"/>
        <v>2.3826427466357721E-2</v>
      </c>
      <c r="BU140" s="26">
        <f t="shared" si="524"/>
        <v>0</v>
      </c>
      <c r="BV140" s="26">
        <f t="shared" si="525"/>
        <v>2.3826427466357721E-2</v>
      </c>
      <c r="BW140" s="26">
        <f t="shared" si="526"/>
        <v>0</v>
      </c>
      <c r="BX140" s="26">
        <f t="shared" si="527"/>
        <v>0.81186001364249205</v>
      </c>
      <c r="BY140" s="26">
        <f t="shared" si="528"/>
        <v>0.13467446934572302</v>
      </c>
      <c r="BZ140" s="26">
        <f t="shared" si="529"/>
        <v>0.9941873379209305</v>
      </c>
      <c r="CA140" s="22"/>
      <c r="CB140" s="22">
        <f t="shared" si="530"/>
        <v>0</v>
      </c>
      <c r="CC140" s="22">
        <f t="shared" si="531"/>
        <v>2.3826427466357721E-2</v>
      </c>
      <c r="CD140" s="22">
        <f t="shared" si="532"/>
        <v>0</v>
      </c>
      <c r="CE140" s="22">
        <f t="shared" si="533"/>
        <v>0</v>
      </c>
      <c r="CF140" s="22">
        <f t="shared" si="534"/>
        <v>0</v>
      </c>
      <c r="CG140" s="22">
        <f t="shared" si="535"/>
        <v>0.41786336621611481</v>
      </c>
      <c r="CH140" s="22">
        <f t="shared" si="536"/>
        <v>0.42954796457660016</v>
      </c>
      <c r="CI140" s="22">
        <f t="shared" si="537"/>
        <v>0.15258866920728498</v>
      </c>
      <c r="CJ140" s="22"/>
      <c r="CK140" s="22">
        <f t="shared" si="538"/>
        <v>0.43350975487545834</v>
      </c>
      <c r="CL140" s="22">
        <f t="shared" si="539"/>
        <v>0.41385850708678029</v>
      </c>
      <c r="CM140" s="22">
        <f t="shared" si="540"/>
        <v>0.15263173803776137</v>
      </c>
      <c r="CN140" s="1"/>
      <c r="CO140" s="26">
        <f t="shared" si="541"/>
        <v>0.8976364846870839</v>
      </c>
      <c r="CP140" s="26">
        <f t="shared" si="542"/>
        <v>1.8277416124186279E-3</v>
      </c>
      <c r="CQ140" s="26">
        <f t="shared" si="543"/>
        <v>1.067085131424088E-2</v>
      </c>
      <c r="CR140" s="26">
        <f t="shared" si="544"/>
        <v>0</v>
      </c>
      <c r="CS140" s="26">
        <f t="shared" si="545"/>
        <v>0.1269311064718163</v>
      </c>
      <c r="CT140" s="26">
        <f t="shared" si="546"/>
        <v>4.8491683112489425E-3</v>
      </c>
      <c r="CU140" s="26">
        <f t="shared" si="547"/>
        <v>0.35732009925558317</v>
      </c>
      <c r="CV140" s="26">
        <f t="shared" si="548"/>
        <v>0.37428673323823108</v>
      </c>
      <c r="CW140" s="26">
        <f t="shared" si="549"/>
        <v>1.7909002904162634E-2</v>
      </c>
      <c r="CX140" s="26">
        <f t="shared" si="550"/>
        <v>0</v>
      </c>
      <c r="CY140" s="26">
        <f t="shared" si="551"/>
        <v>0</v>
      </c>
      <c r="CZ140" s="26">
        <f t="shared" si="552"/>
        <v>0</v>
      </c>
      <c r="DA140" s="26">
        <f t="shared" si="553"/>
        <v>0</v>
      </c>
      <c r="DB140" s="26">
        <f t="shared" si="554"/>
        <v>1.7914311877947857</v>
      </c>
      <c r="DC140" s="26">
        <f t="shared" si="555"/>
        <v>2.6872763382993274</v>
      </c>
      <c r="DD140" s="26">
        <f t="shared" si="556"/>
        <v>2.2328516033730081</v>
      </c>
      <c r="DE140" s="26">
        <f t="shared" si="557"/>
        <v>6.0002892806779995</v>
      </c>
      <c r="DF140" s="1"/>
      <c r="DG140" s="22"/>
      <c r="DH140" s="14"/>
      <c r="DI140" s="14"/>
      <c r="DJ140" s="14"/>
      <c r="DK140" s="14"/>
      <c r="DL140" s="14"/>
      <c r="DM140" s="96"/>
      <c r="DN140" s="14"/>
      <c r="DO140" s="96"/>
      <c r="DP140" s="22"/>
      <c r="DQ140" s="14"/>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46">
        <f t="shared" si="558"/>
        <v>-1.6266478230435819</v>
      </c>
      <c r="FR140" s="46">
        <f t="shared" si="559"/>
        <v>-1.2205818417439527</v>
      </c>
      <c r="FS140" s="46">
        <f t="shared" si="560"/>
        <v>-0.87177938982765335</v>
      </c>
      <c r="FT140" s="46">
        <f t="shared" si="561"/>
        <v>-0.43905772732401926</v>
      </c>
      <c r="FU140" s="46">
        <f t="shared" si="562"/>
        <v>-0.4725583336174965</v>
      </c>
      <c r="FV140" s="46">
        <f t="shared" si="563"/>
        <v>-0.26106944046701863</v>
      </c>
      <c r="FW140" s="46">
        <f t="shared" si="564"/>
        <v>-0.19002400015027626</v>
      </c>
      <c r="FX140" s="46">
        <f t="shared" si="565"/>
        <v>-0.19932762975750676</v>
      </c>
      <c r="FY140" s="46">
        <f t="shared" si="566"/>
        <v>-0.25195241563409404</v>
      </c>
      <c r="FZ140" s="46">
        <f t="shared" si="567"/>
        <v>-0.30141900775841757</v>
      </c>
      <c r="GA140" s="46">
        <f t="shared" si="568"/>
        <v>-0.27085582206612907</v>
      </c>
      <c r="GB140" s="46">
        <f t="shared" si="569"/>
        <v>-0.30233313824932279</v>
      </c>
      <c r="GC140" s="46">
        <f t="shared" si="570"/>
        <v>-0.28685223072929344</v>
      </c>
      <c r="GD140" s="46">
        <f t="shared" si="571"/>
        <v>2.6878287313412574E-2</v>
      </c>
      <c r="GE140" s="46"/>
      <c r="GF140" s="46"/>
      <c r="GG140" s="46"/>
      <c r="GH140" s="46"/>
    </row>
    <row r="141" spans="1:190" x14ac:dyDescent="0.25">
      <c r="A141" s="5" t="s">
        <v>254</v>
      </c>
      <c r="B141" s="1">
        <v>708</v>
      </c>
      <c r="C141" s="98" t="s">
        <v>95</v>
      </c>
      <c r="D141" s="98" t="s">
        <v>106</v>
      </c>
      <c r="E141" s="1">
        <v>219</v>
      </c>
      <c r="F141" s="22">
        <v>53.42</v>
      </c>
      <c r="G141" s="22">
        <v>7.1999999999999995E-2</v>
      </c>
      <c r="H141" s="22">
        <v>0.57399999999999995</v>
      </c>
      <c r="I141" s="22">
        <v>0</v>
      </c>
      <c r="J141" s="22">
        <v>9.1199999999999992</v>
      </c>
      <c r="K141" s="22">
        <v>0.42399999999999999</v>
      </c>
      <c r="L141" s="22">
        <v>14.59</v>
      </c>
      <c r="M141" s="22">
        <v>21.16</v>
      </c>
      <c r="N141" s="22">
        <v>0.54100000000000004</v>
      </c>
      <c r="O141" s="22">
        <v>0</v>
      </c>
      <c r="P141" s="22">
        <v>0</v>
      </c>
      <c r="Q141" s="22"/>
      <c r="R141" s="22"/>
      <c r="S141" s="22">
        <f t="shared" si="482"/>
        <v>99.900999999999996</v>
      </c>
      <c r="T141" s="3"/>
      <c r="U141" s="22">
        <f t="shared" si="483"/>
        <v>7.8894840847703174</v>
      </c>
      <c r="V141" s="22">
        <f t="shared" si="484"/>
        <v>1.3674723365947457</v>
      </c>
      <c r="W141" s="22">
        <f t="shared" si="485"/>
        <v>100.03795642136507</v>
      </c>
      <c r="X141" s="1"/>
      <c r="Y141" s="1"/>
      <c r="Z141" s="1"/>
      <c r="AA141" s="1" t="s">
        <v>185</v>
      </c>
      <c r="AC141" s="1">
        <v>6</v>
      </c>
      <c r="AD141" s="1">
        <v>4</v>
      </c>
      <c r="AE141" s="1"/>
      <c r="AF141" s="26">
        <f t="shared" si="486"/>
        <v>1.9921333565766333</v>
      </c>
      <c r="AG141" s="26">
        <f t="shared" si="487"/>
        <v>2.0194768914287135E-3</v>
      </c>
      <c r="AH141" s="26">
        <f t="shared" si="488"/>
        <v>2.5226471515552101E-2</v>
      </c>
      <c r="AI141" s="26">
        <f t="shared" si="489"/>
        <v>0</v>
      </c>
      <c r="AJ141" s="26">
        <f t="shared" si="490"/>
        <v>0.28438881629869522</v>
      </c>
      <c r="AK141" s="26">
        <f t="shared" si="491"/>
        <v>1.3391188401197036E-2</v>
      </c>
      <c r="AL141" s="26">
        <f t="shared" si="492"/>
        <v>0.81113789892958421</v>
      </c>
      <c r="AM141" s="26">
        <f t="shared" si="493"/>
        <v>0.84538026680332934</v>
      </c>
      <c r="AN141" s="26">
        <f t="shared" si="494"/>
        <v>3.9112910715483125E-2</v>
      </c>
      <c r="AO141" s="26">
        <f t="shared" si="495"/>
        <v>0</v>
      </c>
      <c r="AP141" s="26">
        <f t="shared" si="496"/>
        <v>0</v>
      </c>
      <c r="AQ141" s="26">
        <f t="shared" si="497"/>
        <v>0</v>
      </c>
      <c r="AR141" s="26">
        <f t="shared" si="498"/>
        <v>0</v>
      </c>
      <c r="AS141" s="26">
        <f t="shared" si="499"/>
        <v>4.0127903861319032</v>
      </c>
      <c r="AT141" s="26">
        <f t="shared" si="500"/>
        <v>2.0173598280921854</v>
      </c>
      <c r="AU141" s="26">
        <f t="shared" si="501"/>
        <v>0.88449317751881251</v>
      </c>
      <c r="AV141" s="47"/>
      <c r="AW141" s="26">
        <f t="shared" si="502"/>
        <v>1.9857836217524776</v>
      </c>
      <c r="AX141" s="26">
        <f t="shared" si="503"/>
        <v>2.0130400016985408E-3</v>
      </c>
      <c r="AY141" s="26">
        <f t="shared" si="504"/>
        <v>2.5146064546739462E-2</v>
      </c>
      <c r="AZ141" s="26">
        <f t="shared" si="505"/>
        <v>0</v>
      </c>
      <c r="BA141" s="26">
        <f t="shared" si="506"/>
        <v>0.24523350011325362</v>
      </c>
      <c r="BB141" s="26">
        <f t="shared" si="507"/>
        <v>3.824885399279232E-2</v>
      </c>
      <c r="BC141" s="26">
        <f t="shared" si="508"/>
        <v>1.3348505267034757E-2</v>
      </c>
      <c r="BD141" s="26">
        <f t="shared" si="509"/>
        <v>0.80855247434090272</v>
      </c>
      <c r="BE141" s="26">
        <f t="shared" si="510"/>
        <v>0.84268569793721704</v>
      </c>
      <c r="BF141" s="26">
        <f t="shared" si="511"/>
        <v>3.8988242047883995E-2</v>
      </c>
      <c r="BG141" s="26">
        <f t="shared" si="512"/>
        <v>0</v>
      </c>
      <c r="BH141" s="26">
        <f t="shared" si="513"/>
        <v>0</v>
      </c>
      <c r="BI141" s="26">
        <f t="shared" si="514"/>
        <v>0</v>
      </c>
      <c r="BJ141" s="26">
        <f t="shared" si="515"/>
        <v>0</v>
      </c>
      <c r="BK141" s="25">
        <f t="shared" si="516"/>
        <v>4</v>
      </c>
      <c r="BL141" s="24">
        <f t="shared" si="517"/>
        <v>5.9999999999999991</v>
      </c>
      <c r="BM141" s="26">
        <f t="shared" si="518"/>
        <v>2.010929686299217</v>
      </c>
      <c r="BN141" s="26">
        <f t="shared" si="519"/>
        <v>0.88167393998510102</v>
      </c>
      <c r="BO141" s="22"/>
      <c r="BP141" s="23">
        <f t="shared" si="520"/>
        <v>0.74040905406908675</v>
      </c>
      <c r="BQ141" s="26">
        <f t="shared" si="521"/>
        <v>1.4216378247522421E-2</v>
      </c>
      <c r="BR141" s="26">
        <f t="shared" si="522"/>
        <v>1.0929686299217041E-2</v>
      </c>
      <c r="BS141" s="26"/>
      <c r="BT141" s="26">
        <f t="shared" si="523"/>
        <v>1.0929686299217041E-2</v>
      </c>
      <c r="BU141" s="26">
        <f t="shared" si="524"/>
        <v>0</v>
      </c>
      <c r="BV141" s="26">
        <f t="shared" si="525"/>
        <v>1.0929686299217041E-2</v>
      </c>
      <c r="BW141" s="26">
        <f t="shared" si="526"/>
        <v>0</v>
      </c>
      <c r="BX141" s="26">
        <f t="shared" si="527"/>
        <v>0.83445058050411225</v>
      </c>
      <c r="BY141" s="26">
        <f t="shared" si="528"/>
        <v>0.13053806736208362</v>
      </c>
      <c r="BZ141" s="26">
        <f t="shared" si="529"/>
        <v>0.98684802046462994</v>
      </c>
      <c r="CA141" s="22"/>
      <c r="CB141" s="22">
        <f t="shared" si="530"/>
        <v>3.824885399279232E-2</v>
      </c>
      <c r="CC141" s="22">
        <f t="shared" si="531"/>
        <v>7.3938805509167482E-4</v>
      </c>
      <c r="CD141" s="22">
        <f t="shared" si="532"/>
        <v>0</v>
      </c>
      <c r="CE141" s="22">
        <f t="shared" si="533"/>
        <v>0</v>
      </c>
      <c r="CF141" s="22">
        <f t="shared" si="534"/>
        <v>1.0190298244125366E-2</v>
      </c>
      <c r="CG141" s="22">
        <f t="shared" si="535"/>
        <v>0.43537212684294202</v>
      </c>
      <c r="CH141" s="22">
        <f t="shared" si="536"/>
        <v>0.4332295883511415</v>
      </c>
      <c r="CI141" s="22">
        <f t="shared" si="537"/>
        <v>0.13139828480591653</v>
      </c>
      <c r="CJ141" s="22"/>
      <c r="CK141" s="22">
        <f t="shared" si="538"/>
        <v>0.4325748647741447</v>
      </c>
      <c r="CL141" s="22">
        <f t="shared" si="539"/>
        <v>0.41505329698484378</v>
      </c>
      <c r="CM141" s="22">
        <f t="shared" si="540"/>
        <v>0.15237183824101153</v>
      </c>
      <c r="CN141" s="1"/>
      <c r="CO141" s="26">
        <f t="shared" si="541"/>
        <v>0.88914780292942752</v>
      </c>
      <c r="CP141" s="26">
        <f t="shared" si="542"/>
        <v>9.0135202804206304E-4</v>
      </c>
      <c r="CQ141" s="26">
        <f t="shared" si="543"/>
        <v>1.1259317379364456E-2</v>
      </c>
      <c r="CR141" s="26">
        <f t="shared" si="544"/>
        <v>0</v>
      </c>
      <c r="CS141" s="26">
        <f t="shared" si="545"/>
        <v>0.1269311064718163</v>
      </c>
      <c r="CT141" s="26">
        <f t="shared" si="546"/>
        <v>5.976881872004511E-3</v>
      </c>
      <c r="CU141" s="26">
        <f t="shared" si="547"/>
        <v>0.36203473945409431</v>
      </c>
      <c r="CV141" s="26">
        <f t="shared" si="548"/>
        <v>0.37731811697574896</v>
      </c>
      <c r="CW141" s="26">
        <f t="shared" si="549"/>
        <v>1.745724427234592E-2</v>
      </c>
      <c r="CX141" s="26">
        <f t="shared" si="550"/>
        <v>0</v>
      </c>
      <c r="CY141" s="26">
        <f t="shared" si="551"/>
        <v>0</v>
      </c>
      <c r="CZ141" s="26">
        <f t="shared" si="552"/>
        <v>0</v>
      </c>
      <c r="DA141" s="26">
        <f t="shared" si="553"/>
        <v>0</v>
      </c>
      <c r="DB141" s="26">
        <f t="shared" si="554"/>
        <v>1.7910265613828442</v>
      </c>
      <c r="DC141" s="26">
        <f t="shared" si="555"/>
        <v>2.677976752893823</v>
      </c>
      <c r="DD141" s="26">
        <f t="shared" si="556"/>
        <v>2.2333560463288813</v>
      </c>
      <c r="DE141" s="26">
        <f t="shared" si="557"/>
        <v>5.9808755730036038</v>
      </c>
      <c r="DF141" s="1"/>
      <c r="DG141" s="22"/>
      <c r="DH141" s="14"/>
      <c r="DI141" s="14"/>
      <c r="DJ141" s="14"/>
      <c r="DK141" s="14"/>
      <c r="DL141" s="14"/>
      <c r="DM141" s="96"/>
      <c r="DN141" s="14"/>
      <c r="DO141" s="96"/>
      <c r="DP141" s="22"/>
      <c r="DQ141" s="14"/>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46"/>
      <c r="FR141" s="46"/>
      <c r="FS141" s="46"/>
      <c r="FT141" s="46"/>
      <c r="FU141" s="46"/>
      <c r="FV141" s="46"/>
      <c r="FW141" s="46"/>
      <c r="FX141" s="46"/>
      <c r="FY141" s="46"/>
      <c r="FZ141" s="46"/>
      <c r="GA141" s="46"/>
      <c r="GB141" s="46"/>
      <c r="GC141" s="46"/>
      <c r="GD141" s="46"/>
      <c r="GE141" s="46"/>
      <c r="GF141" s="46"/>
      <c r="GG141" s="46"/>
      <c r="GH141" s="46"/>
    </row>
    <row r="142" spans="1:190" x14ac:dyDescent="0.25">
      <c r="A142" s="5" t="s">
        <v>254</v>
      </c>
      <c r="B142" s="1">
        <v>709</v>
      </c>
      <c r="C142" s="98" t="s">
        <v>95</v>
      </c>
      <c r="D142" s="98" t="s">
        <v>106</v>
      </c>
      <c r="E142" s="1">
        <v>220</v>
      </c>
      <c r="F142" s="22">
        <v>53.65</v>
      </c>
      <c r="G142" s="22">
        <v>0.17399999999999999</v>
      </c>
      <c r="H142" s="22">
        <v>0.61299999999999999</v>
      </c>
      <c r="I142" s="22">
        <v>2.7E-2</v>
      </c>
      <c r="J142" s="22">
        <v>8.5299999999999994</v>
      </c>
      <c r="K142" s="22">
        <v>0.33700000000000002</v>
      </c>
      <c r="L142" s="22">
        <v>14.76</v>
      </c>
      <c r="M142" s="22">
        <v>21.42</v>
      </c>
      <c r="N142" s="22">
        <v>0.54700000000000004</v>
      </c>
      <c r="O142" s="22">
        <v>0</v>
      </c>
      <c r="P142" s="22">
        <v>0</v>
      </c>
      <c r="Q142" s="22"/>
      <c r="R142" s="22"/>
      <c r="S142" s="22">
        <f t="shared" si="482"/>
        <v>100.05800000000001</v>
      </c>
      <c r="T142" s="3"/>
      <c r="U142" s="22">
        <f t="shared" si="483"/>
        <v>7.6803801060512145</v>
      </c>
      <c r="V142" s="22">
        <f t="shared" si="484"/>
        <v>0.94418258814528466</v>
      </c>
      <c r="W142" s="22">
        <f t="shared" si="485"/>
        <v>100.15256269419649</v>
      </c>
      <c r="X142" s="1"/>
      <c r="Y142" s="1"/>
      <c r="Z142" s="1"/>
      <c r="AA142" s="1" t="s">
        <v>185</v>
      </c>
      <c r="AC142" s="1">
        <v>6</v>
      </c>
      <c r="AD142" s="1">
        <v>4</v>
      </c>
      <c r="AE142" s="1"/>
      <c r="AF142" s="26">
        <f t="shared" si="486"/>
        <v>1.992226578540127</v>
      </c>
      <c r="AG142" s="26">
        <f t="shared" si="487"/>
        <v>4.8597073788530431E-3</v>
      </c>
      <c r="AH142" s="26">
        <f t="shared" si="488"/>
        <v>2.6826225495705416E-2</v>
      </c>
      <c r="AI142" s="26">
        <f t="shared" si="489"/>
        <v>7.9264307969558541E-4</v>
      </c>
      <c r="AJ142" s="26">
        <f t="shared" si="490"/>
        <v>0.26486293434248576</v>
      </c>
      <c r="AK142" s="26">
        <f t="shared" si="491"/>
        <v>1.0598335031990548E-2</v>
      </c>
      <c r="AL142" s="26">
        <f t="shared" si="492"/>
        <v>0.81710946054594114</v>
      </c>
      <c r="AM142" s="26">
        <f t="shared" si="493"/>
        <v>0.8521388956412812</v>
      </c>
      <c r="AN142" s="26">
        <f t="shared" si="494"/>
        <v>3.9378999474480321E-2</v>
      </c>
      <c r="AO142" s="26">
        <f t="shared" si="495"/>
        <v>0</v>
      </c>
      <c r="AP142" s="26">
        <f t="shared" si="496"/>
        <v>0</v>
      </c>
      <c r="AQ142" s="26">
        <f t="shared" si="497"/>
        <v>0</v>
      </c>
      <c r="AR142" s="26">
        <f t="shared" si="498"/>
        <v>0</v>
      </c>
      <c r="AS142" s="26">
        <f t="shared" si="499"/>
        <v>4.0087937795305599</v>
      </c>
      <c r="AT142" s="26">
        <f t="shared" si="500"/>
        <v>2.0190528040358324</v>
      </c>
      <c r="AU142" s="26">
        <f t="shared" si="501"/>
        <v>0.89151789511576152</v>
      </c>
      <c r="AV142" s="47"/>
      <c r="AW142" s="26">
        <f t="shared" si="502"/>
        <v>1.9878563858412508</v>
      </c>
      <c r="AX142" s="26">
        <f t="shared" si="503"/>
        <v>4.8490470162544765E-3</v>
      </c>
      <c r="AY142" s="26">
        <f t="shared" si="504"/>
        <v>2.6767378888566156E-2</v>
      </c>
      <c r="AZ142" s="26">
        <f t="shared" si="505"/>
        <v>7.9090432014031502E-4</v>
      </c>
      <c r="BA142" s="26">
        <f t="shared" si="506"/>
        <v>0.23795845719829761</v>
      </c>
      <c r="BB142" s="26">
        <f t="shared" si="507"/>
        <v>2.6323467898385022E-2</v>
      </c>
      <c r="BC142" s="26">
        <f t="shared" si="508"/>
        <v>1.0575086287657968E-2</v>
      </c>
      <c r="BD142" s="26">
        <f t="shared" si="509"/>
        <v>0.81531703099142872</v>
      </c>
      <c r="BE142" s="26">
        <f t="shared" si="510"/>
        <v>0.85026962473591616</v>
      </c>
      <c r="BF142" s="26">
        <f t="shared" si="511"/>
        <v>3.9292616822102229E-2</v>
      </c>
      <c r="BG142" s="26">
        <f t="shared" si="512"/>
        <v>0</v>
      </c>
      <c r="BH142" s="26">
        <f t="shared" si="513"/>
        <v>0</v>
      </c>
      <c r="BI142" s="26">
        <f t="shared" si="514"/>
        <v>0</v>
      </c>
      <c r="BJ142" s="26">
        <f t="shared" si="515"/>
        <v>0</v>
      </c>
      <c r="BK142" s="25">
        <f t="shared" si="516"/>
        <v>4</v>
      </c>
      <c r="BL142" s="24">
        <f t="shared" si="517"/>
        <v>6</v>
      </c>
      <c r="BM142" s="26">
        <f t="shared" si="518"/>
        <v>2.0146237647298171</v>
      </c>
      <c r="BN142" s="26">
        <f t="shared" si="519"/>
        <v>0.88956224155801844</v>
      </c>
      <c r="BO142" s="22"/>
      <c r="BP142" s="23">
        <f t="shared" si="520"/>
        <v>0.75520361185388807</v>
      </c>
      <c r="BQ142" s="26">
        <f t="shared" si="521"/>
        <v>1.2143614158749205E-2</v>
      </c>
      <c r="BR142" s="26">
        <f t="shared" si="522"/>
        <v>1.4623764729816951E-2</v>
      </c>
      <c r="BS142" s="26"/>
      <c r="BT142" s="26">
        <f t="shared" si="523"/>
        <v>1.4623764729816951E-2</v>
      </c>
      <c r="BU142" s="26">
        <f t="shared" si="524"/>
        <v>0</v>
      </c>
      <c r="BV142" s="26">
        <f t="shared" si="525"/>
        <v>1.4623764729816951E-2</v>
      </c>
      <c r="BW142" s="26">
        <f t="shared" si="526"/>
        <v>3.9632153984779271E-4</v>
      </c>
      <c r="BX142" s="26">
        <f t="shared" si="527"/>
        <v>0.83711880937161642</v>
      </c>
      <c r="BY142" s="26">
        <f t="shared" si="528"/>
        <v>0.12242679275840518</v>
      </c>
      <c r="BZ142" s="26">
        <f t="shared" si="529"/>
        <v>0.98918945312950335</v>
      </c>
      <c r="CA142" s="22"/>
      <c r="CB142" s="22">
        <f t="shared" si="530"/>
        <v>2.6323467898385022E-2</v>
      </c>
      <c r="CC142" s="22">
        <f t="shared" si="531"/>
        <v>1.2969148923717207E-2</v>
      </c>
      <c r="CD142" s="22">
        <f t="shared" si="532"/>
        <v>0</v>
      </c>
      <c r="CE142" s="22">
        <f t="shared" si="533"/>
        <v>7.9090432014031502E-4</v>
      </c>
      <c r="CF142" s="22">
        <f t="shared" si="534"/>
        <v>1.6546158060997442E-3</v>
      </c>
      <c r="CG142" s="22">
        <f t="shared" si="535"/>
        <v>0.43707378625403054</v>
      </c>
      <c r="CH142" s="22">
        <f t="shared" si="536"/>
        <v>0.4357486093666097</v>
      </c>
      <c r="CI142" s="22">
        <f t="shared" si="537"/>
        <v>0.12717760437935971</v>
      </c>
      <c r="CJ142" s="22"/>
      <c r="CK142" s="22">
        <f t="shared" si="538"/>
        <v>0.43818310170350205</v>
      </c>
      <c r="CL142" s="22">
        <f t="shared" si="539"/>
        <v>0.42017042020344403</v>
      </c>
      <c r="CM142" s="22">
        <f t="shared" si="540"/>
        <v>0.14164647809305395</v>
      </c>
      <c r="CN142" s="1"/>
      <c r="CO142" s="26">
        <f t="shared" si="541"/>
        <v>0.89297603195739017</v>
      </c>
      <c r="CP142" s="26">
        <f t="shared" si="542"/>
        <v>2.1782674011016525E-3</v>
      </c>
      <c r="CQ142" s="26">
        <f t="shared" si="543"/>
        <v>1.2024323264025109E-2</v>
      </c>
      <c r="CR142" s="26">
        <f t="shared" si="544"/>
        <v>3.5528653200868473E-4</v>
      </c>
      <c r="CS142" s="26">
        <f t="shared" si="545"/>
        <v>0.11871955462769659</v>
      </c>
      <c r="CT142" s="26">
        <f t="shared" si="546"/>
        <v>4.7504933746828314E-3</v>
      </c>
      <c r="CU142" s="26">
        <f t="shared" si="547"/>
        <v>0.36625310173697273</v>
      </c>
      <c r="CV142" s="26">
        <f t="shared" si="548"/>
        <v>0.38195435092724683</v>
      </c>
      <c r="CW142" s="26">
        <f t="shared" si="549"/>
        <v>1.7650855114553082E-2</v>
      </c>
      <c r="CX142" s="26">
        <f t="shared" si="550"/>
        <v>0</v>
      </c>
      <c r="CY142" s="26">
        <f t="shared" si="551"/>
        <v>0</v>
      </c>
      <c r="CZ142" s="26">
        <f t="shared" si="552"/>
        <v>0</v>
      </c>
      <c r="DA142" s="26">
        <f t="shared" si="553"/>
        <v>0</v>
      </c>
      <c r="DB142" s="26">
        <f t="shared" si="554"/>
        <v>1.7968622649356778</v>
      </c>
      <c r="DC142" s="26">
        <f t="shared" si="555"/>
        <v>2.6893809416349099</v>
      </c>
      <c r="DD142" s="26">
        <f t="shared" si="556"/>
        <v>2.2261027336690091</v>
      </c>
      <c r="DE142" s="26">
        <f t="shared" si="557"/>
        <v>5.9868382660508068</v>
      </c>
      <c r="DF142" s="1"/>
      <c r="DG142" s="22">
        <v>3.6225167257183117</v>
      </c>
      <c r="DH142" s="14">
        <v>3301.5370418280468</v>
      </c>
      <c r="DI142" s="14">
        <v>92191.403594253978</v>
      </c>
      <c r="DJ142" s="14">
        <v>3337.7532703769957</v>
      </c>
      <c r="DK142" s="14">
        <v>250801.70626095025</v>
      </c>
      <c r="DL142" s="14">
        <v>153076.75097668316</v>
      </c>
      <c r="DM142" s="96">
        <v>246.72513829850047</v>
      </c>
      <c r="DN142" s="14">
        <v>974.87472110418855</v>
      </c>
      <c r="DO142" s="96">
        <v>446.99187124271765</v>
      </c>
      <c r="DP142" s="22"/>
      <c r="DQ142" s="14">
        <v>2679.6333748806087</v>
      </c>
      <c r="DR142" s="22">
        <v>5.926714428710163</v>
      </c>
      <c r="DS142" s="22"/>
      <c r="DT142" s="22">
        <v>0.67878215856641844</v>
      </c>
      <c r="DU142" s="22">
        <v>39.370113476029161</v>
      </c>
      <c r="DV142" s="22">
        <v>0.4504750343161113</v>
      </c>
      <c r="DW142" s="22">
        <v>5.296754124090949</v>
      </c>
      <c r="DX142" s="22">
        <v>4.3466994023587633</v>
      </c>
      <c r="DY142" s="22">
        <v>544.43724695408434</v>
      </c>
      <c r="DZ142" s="22">
        <v>23.147119918086435</v>
      </c>
      <c r="EA142" s="22">
        <v>0.34847576027592542</v>
      </c>
      <c r="EB142" s="22">
        <v>2.6294413814662985E-2</v>
      </c>
      <c r="EC142" s="22">
        <v>0.19622320856793626</v>
      </c>
      <c r="ED142" s="22">
        <v>27.010867923191498</v>
      </c>
      <c r="EE142" s="22">
        <v>125.72752301312626</v>
      </c>
      <c r="EF142" s="22">
        <v>24.896210568301399</v>
      </c>
      <c r="EG142" s="22">
        <v>133.50166845280802</v>
      </c>
      <c r="EH142" s="22">
        <v>55.894220770688548</v>
      </c>
      <c r="EI142" s="22">
        <v>2.2956385161908655</v>
      </c>
      <c r="EJ142" s="22">
        <v>72.503792091168151</v>
      </c>
      <c r="EK142" s="22">
        <v>14.082027455369706</v>
      </c>
      <c r="EL142" s="22">
        <v>97.777800798574845</v>
      </c>
      <c r="EM142" s="22">
        <v>20.739027848984513</v>
      </c>
      <c r="EN142" s="22">
        <v>62.191845213153471</v>
      </c>
      <c r="EO142" s="22">
        <v>8.620572213387133</v>
      </c>
      <c r="EP142" s="22">
        <v>57.32191778622289</v>
      </c>
      <c r="EQ142" s="22">
        <v>8.1064576887651025</v>
      </c>
      <c r="ER142" s="22">
        <v>2.2886637481856944</v>
      </c>
      <c r="ES142" s="22">
        <v>4.5498262483906919E-2</v>
      </c>
      <c r="ET142" s="22">
        <v>0.18123381542017999</v>
      </c>
      <c r="EU142" s="22">
        <v>0.24923778928498044</v>
      </c>
      <c r="EV142" s="22">
        <v>0.12375210018830746</v>
      </c>
      <c r="EW142" s="22">
        <f>(EI142/0.05883)/SQRT((EH142/0.1536)*(EJ142/0.2069))</f>
        <v>0.10927396298846143</v>
      </c>
      <c r="EX142" s="22"/>
      <c r="EY142" s="22"/>
      <c r="EZ142" s="22"/>
      <c r="FA142" s="22"/>
      <c r="FB142" s="22"/>
      <c r="FC142" s="22"/>
      <c r="FD142" s="22"/>
      <c r="FE142" s="22"/>
      <c r="FF142" s="22"/>
      <c r="FG142" s="22"/>
      <c r="FH142" s="22"/>
      <c r="FI142" s="22">
        <f>-0.50354-2.23025*BP142+ N("eqn 18 Mg# R2 0.28 best")</f>
        <v>-2.1878328553371338</v>
      </c>
      <c r="FJ142" s="22"/>
      <c r="FK142" s="22">
        <f xml:space="preserve"> -0.03692  +  0.931085 + FX142   + N("488 NN Dy")</f>
        <v>0.8941650000000001</v>
      </c>
      <c r="FL142" s="22">
        <f>-0.48986  +   0    +   (1.071278 + 0) * GD142  +N("eqn 119 LnD Hf  (which has R2 of 0.51 for TS")</f>
        <v>-0.48986000000000002</v>
      </c>
      <c r="FM142" s="22"/>
      <c r="FN142" s="22"/>
      <c r="FO142" s="22">
        <f>3.94011-11.9214*BP142</f>
        <v>-5.0629743383549419</v>
      </c>
      <c r="FP142" s="22">
        <f xml:space="preserve">  -0.49862 +   1.013256 * FQ142 + N("294 NN")</f>
        <v>-0.49862000000000001</v>
      </c>
      <c r="FQ142" s="46"/>
      <c r="FR142" s="46"/>
      <c r="FS142" s="46"/>
      <c r="FT142" s="46"/>
      <c r="FU142" s="46"/>
      <c r="FV142" s="46"/>
      <c r="FW142" s="46"/>
      <c r="FX142" s="46"/>
      <c r="FY142" s="46"/>
      <c r="FZ142" s="46"/>
      <c r="GA142" s="46"/>
      <c r="GB142" s="46"/>
      <c r="GC142" s="46"/>
      <c r="GD142" s="46"/>
      <c r="GE142" s="46"/>
      <c r="GF142" s="46"/>
      <c r="GG142" s="46"/>
      <c r="GH142" s="46"/>
    </row>
    <row r="143" spans="1:190" x14ac:dyDescent="0.25">
      <c r="A143" s="5" t="s">
        <v>254</v>
      </c>
      <c r="B143" s="1">
        <v>714</v>
      </c>
      <c r="C143" s="98" t="s">
        <v>95</v>
      </c>
      <c r="D143" s="98" t="s">
        <v>106</v>
      </c>
      <c r="E143" s="1">
        <v>225</v>
      </c>
      <c r="F143" s="22">
        <v>54.02</v>
      </c>
      <c r="G143" s="22">
        <v>7.0999999999999994E-2</v>
      </c>
      <c r="H143" s="22">
        <v>0.245</v>
      </c>
      <c r="I143" s="22">
        <v>2.4E-2</v>
      </c>
      <c r="J143" s="22">
        <v>8.92</v>
      </c>
      <c r="K143" s="22">
        <v>0.502</v>
      </c>
      <c r="L143" s="22">
        <v>14.78</v>
      </c>
      <c r="M143" s="22">
        <v>21.07</v>
      </c>
      <c r="N143" s="22">
        <v>0.311</v>
      </c>
      <c r="O143" s="22">
        <v>1.2999999999999999E-2</v>
      </c>
      <c r="P143" s="22">
        <v>0</v>
      </c>
      <c r="Q143" s="22"/>
      <c r="R143" s="22"/>
      <c r="S143" s="22">
        <f t="shared" si="482"/>
        <v>99.956000000000017</v>
      </c>
      <c r="T143" s="3"/>
      <c r="U143" s="22">
        <f t="shared" si="483"/>
        <v>8.92</v>
      </c>
      <c r="V143" s="22">
        <f t="shared" si="484"/>
        <v>0</v>
      </c>
      <c r="W143" s="22">
        <f t="shared" si="485"/>
        <v>99.956000000000003</v>
      </c>
      <c r="X143" s="1"/>
      <c r="Y143" s="1"/>
      <c r="Z143" s="1"/>
      <c r="AA143" s="1" t="s">
        <v>185</v>
      </c>
      <c r="AC143" s="1">
        <v>6</v>
      </c>
      <c r="AD143" s="1">
        <v>4</v>
      </c>
      <c r="AE143" s="1"/>
      <c r="AF143" s="26">
        <f t="shared" si="486"/>
        <v>2.0080638584188706</v>
      </c>
      <c r="AG143" s="26">
        <f t="shared" si="487"/>
        <v>1.9850577976322603E-3</v>
      </c>
      <c r="AH143" s="26">
        <f t="shared" si="488"/>
        <v>1.0732950268910184E-2</v>
      </c>
      <c r="AI143" s="26">
        <f t="shared" si="489"/>
        <v>7.053084487576108E-4</v>
      </c>
      <c r="AJ143" s="26">
        <f t="shared" si="490"/>
        <v>0.27726237927681802</v>
      </c>
      <c r="AK143" s="26">
        <f t="shared" si="491"/>
        <v>1.580394089652875E-2</v>
      </c>
      <c r="AL143" s="26">
        <f t="shared" si="492"/>
        <v>0.81907232426187548</v>
      </c>
      <c r="AM143" s="26">
        <f t="shared" si="493"/>
        <v>0.8390916406023099</v>
      </c>
      <c r="AN143" s="26">
        <f t="shared" si="494"/>
        <v>2.2412570910235928E-2</v>
      </c>
      <c r="AO143" s="26">
        <f t="shared" si="495"/>
        <v>6.1641799568590782E-4</v>
      </c>
      <c r="AP143" s="26">
        <f t="shared" si="496"/>
        <v>0</v>
      </c>
      <c r="AQ143" s="26">
        <f t="shared" si="497"/>
        <v>0</v>
      </c>
      <c r="AR143" s="26">
        <f t="shared" si="498"/>
        <v>0</v>
      </c>
      <c r="AS143" s="26">
        <f t="shared" si="499"/>
        <v>3.9957464488776249</v>
      </c>
      <c r="AT143" s="26">
        <f t="shared" si="500"/>
        <v>2.0187968086877808</v>
      </c>
      <c r="AU143" s="26">
        <f t="shared" si="501"/>
        <v>0.86212062950823176</v>
      </c>
      <c r="AV143" s="47"/>
      <c r="AW143" s="26">
        <f t="shared" si="502"/>
        <v>2.0102014821114795</v>
      </c>
      <c r="AX143" s="26">
        <f t="shared" si="503"/>
        <v>1.9871709309181502E-3</v>
      </c>
      <c r="AY143" s="26">
        <f t="shared" si="504"/>
        <v>1.0744375706746849E-2</v>
      </c>
      <c r="AZ143" s="26">
        <f t="shared" si="505"/>
        <v>7.0605926355084595E-4</v>
      </c>
      <c r="BA143" s="26">
        <f t="shared" si="506"/>
        <v>0.27755753056323079</v>
      </c>
      <c r="BB143" s="26">
        <f t="shared" si="507"/>
        <v>0</v>
      </c>
      <c r="BC143" s="26">
        <f t="shared" si="508"/>
        <v>1.5820764504182152E-2</v>
      </c>
      <c r="BD143" s="26">
        <f t="shared" si="509"/>
        <v>0.81994424295059753</v>
      </c>
      <c r="BE143" s="26">
        <f t="shared" si="510"/>
        <v>0.83998487024921675</v>
      </c>
      <c r="BF143" s="26">
        <f t="shared" si="511"/>
        <v>2.2436429535243864E-2</v>
      </c>
      <c r="BG143" s="26">
        <f t="shared" si="512"/>
        <v>6.1707418483378013E-4</v>
      </c>
      <c r="BH143" s="26">
        <f t="shared" si="513"/>
        <v>0</v>
      </c>
      <c r="BI143" s="26">
        <f t="shared" si="514"/>
        <v>0</v>
      </c>
      <c r="BJ143" s="26">
        <f t="shared" si="515"/>
        <v>0</v>
      </c>
      <c r="BK143" s="25">
        <f t="shared" si="516"/>
        <v>4</v>
      </c>
      <c r="BL143" s="24">
        <f t="shared" si="517"/>
        <v>6.0063871186675089</v>
      </c>
      <c r="BM143" s="26">
        <f t="shared" si="518"/>
        <v>2.0209458578182264</v>
      </c>
      <c r="BN143" s="26">
        <f t="shared" si="519"/>
        <v>0.86303837396929439</v>
      </c>
      <c r="BO143" s="22"/>
      <c r="BP143" s="23">
        <f t="shared" si="520"/>
        <v>0.74710060861716354</v>
      </c>
      <c r="BQ143" s="26">
        <f t="shared" si="521"/>
        <v>0</v>
      </c>
      <c r="BR143" s="26">
        <f t="shared" si="522"/>
        <v>1.0744375706746849E-2</v>
      </c>
      <c r="BS143" s="26"/>
      <c r="BT143" s="26">
        <f t="shared" si="523"/>
        <v>1.0744375706746849E-2</v>
      </c>
      <c r="BU143" s="26">
        <f t="shared" si="524"/>
        <v>0</v>
      </c>
      <c r="BV143" s="26">
        <f t="shared" si="525"/>
        <v>1.0744375706746849E-2</v>
      </c>
      <c r="BW143" s="26">
        <f t="shared" si="526"/>
        <v>3.526542243788054E-4</v>
      </c>
      <c r="BX143" s="26">
        <f t="shared" si="527"/>
        <v>0.82799461067118429</v>
      </c>
      <c r="BY143" s="26">
        <f t="shared" si="528"/>
        <v>0.13417004643375458</v>
      </c>
      <c r="BZ143" s="26">
        <f t="shared" si="529"/>
        <v>0.98400606274281133</v>
      </c>
      <c r="CA143" s="22"/>
      <c r="CB143" s="22">
        <f t="shared" si="530"/>
        <v>0</v>
      </c>
      <c r="CC143" s="22">
        <f t="shared" si="531"/>
        <v>1.0744375706746849E-2</v>
      </c>
      <c r="CD143" s="22">
        <f t="shared" si="532"/>
        <v>0</v>
      </c>
      <c r="CE143" s="22">
        <f t="shared" si="533"/>
        <v>7.0605926355084595E-4</v>
      </c>
      <c r="CF143" s="22">
        <f t="shared" si="534"/>
        <v>0</v>
      </c>
      <c r="CG143" s="22">
        <f t="shared" si="535"/>
        <v>0.41963940549283296</v>
      </c>
      <c r="CH143" s="22">
        <f t="shared" si="536"/>
        <v>0.43358775337372335</v>
      </c>
      <c r="CI143" s="22">
        <f t="shared" si="537"/>
        <v>0.14677284113344369</v>
      </c>
      <c r="CJ143" s="22"/>
      <c r="CK143" s="22">
        <f t="shared" si="538"/>
        <v>0.43003209156635752</v>
      </c>
      <c r="CL143" s="22">
        <f t="shared" si="539"/>
        <v>0.41977224858731654</v>
      </c>
      <c r="CM143" s="22">
        <f t="shared" si="540"/>
        <v>0.15019565984632591</v>
      </c>
      <c r="CN143" s="1"/>
      <c r="CO143" s="26">
        <f t="shared" si="541"/>
        <v>0.89913448735019985</v>
      </c>
      <c r="CP143" s="26">
        <f t="shared" si="542"/>
        <v>8.8883324987481215E-4</v>
      </c>
      <c r="CQ143" s="26">
        <f t="shared" si="543"/>
        <v>4.8058061985092196E-3</v>
      </c>
      <c r="CR143" s="26">
        <f t="shared" si="544"/>
        <v>3.1581025067438644E-4</v>
      </c>
      <c r="CS143" s="26">
        <f t="shared" si="545"/>
        <v>0.12414752957550453</v>
      </c>
      <c r="CT143" s="26">
        <f t="shared" si="546"/>
        <v>7.0764025937411898E-3</v>
      </c>
      <c r="CU143" s="26">
        <f t="shared" si="547"/>
        <v>0.36674937965260546</v>
      </c>
      <c r="CV143" s="26">
        <f t="shared" si="548"/>
        <v>0.37571326676176892</v>
      </c>
      <c r="CW143" s="26">
        <f t="shared" si="549"/>
        <v>1.0035495321071314E-2</v>
      </c>
      <c r="CX143" s="26">
        <f t="shared" si="550"/>
        <v>2.7600849256900208E-4</v>
      </c>
      <c r="CY143" s="26">
        <f t="shared" si="551"/>
        <v>0</v>
      </c>
      <c r="CZ143" s="26">
        <f t="shared" si="552"/>
        <v>0</v>
      </c>
      <c r="DA143" s="26">
        <f t="shared" si="553"/>
        <v>0</v>
      </c>
      <c r="DB143" s="26">
        <f t="shared" si="554"/>
        <v>1.7891430194465183</v>
      </c>
      <c r="DC143" s="26">
        <f t="shared" si="555"/>
        <v>2.6865713963643647</v>
      </c>
      <c r="DD143" s="26">
        <f t="shared" si="556"/>
        <v>2.2357072388977728</v>
      </c>
      <c r="DE143" s="26">
        <f t="shared" si="557"/>
        <v>6.006387118667508</v>
      </c>
      <c r="DF143" s="1"/>
      <c r="DG143" s="22"/>
      <c r="DH143" s="14"/>
      <c r="DI143" s="14"/>
      <c r="DJ143" s="14"/>
      <c r="DK143" s="14"/>
      <c r="DL143" s="14"/>
      <c r="DM143" s="96"/>
      <c r="DN143" s="14"/>
      <c r="DO143" s="96"/>
      <c r="DP143" s="22"/>
      <c r="DQ143" s="14"/>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46"/>
      <c r="FR143" s="46"/>
      <c r="FS143" s="46"/>
      <c r="FT143" s="46"/>
      <c r="FU143" s="46"/>
      <c r="FV143" s="46"/>
      <c r="FW143" s="46"/>
      <c r="FX143" s="46"/>
      <c r="FY143" s="46"/>
      <c r="FZ143" s="46"/>
      <c r="GA143" s="46"/>
      <c r="GB143" s="46"/>
      <c r="GC143" s="46"/>
      <c r="GD143" s="46"/>
      <c r="GE143" s="46"/>
      <c r="GF143" s="46"/>
      <c r="GG143" s="46"/>
      <c r="GH143" s="46"/>
    </row>
    <row r="144" spans="1:190" x14ac:dyDescent="0.25">
      <c r="A144" s="5" t="s">
        <v>254</v>
      </c>
      <c r="B144" s="1">
        <v>716</v>
      </c>
      <c r="C144" s="98" t="s">
        <v>95</v>
      </c>
      <c r="D144" s="98" t="s">
        <v>106</v>
      </c>
      <c r="E144" s="1">
        <v>227</v>
      </c>
      <c r="F144" s="22">
        <v>53.67</v>
      </c>
      <c r="G144" s="22">
        <v>6.2E-2</v>
      </c>
      <c r="H144" s="22">
        <v>0.34699999999999998</v>
      </c>
      <c r="I144" s="22">
        <v>0</v>
      </c>
      <c r="J144" s="22">
        <v>8.17</v>
      </c>
      <c r="K144" s="22">
        <v>0.33200000000000002</v>
      </c>
      <c r="L144" s="22">
        <v>14.58</v>
      </c>
      <c r="M144" s="22">
        <v>21.68</v>
      </c>
      <c r="N144" s="22">
        <v>0.311</v>
      </c>
      <c r="O144" s="22">
        <v>0</v>
      </c>
      <c r="P144" s="22">
        <v>0</v>
      </c>
      <c r="Q144" s="22"/>
      <c r="R144" s="22"/>
      <c r="S144" s="22">
        <f t="shared" si="482"/>
        <v>99.152000000000015</v>
      </c>
      <c r="T144" s="3"/>
      <c r="U144" s="22">
        <f t="shared" si="483"/>
        <v>8.17</v>
      </c>
      <c r="V144" s="22">
        <f t="shared" si="484"/>
        <v>0</v>
      </c>
      <c r="W144" s="22">
        <f t="shared" si="485"/>
        <v>99.152000000000001</v>
      </c>
      <c r="X144" s="1"/>
      <c r="Y144" s="1"/>
      <c r="Z144" s="1"/>
      <c r="AA144" s="1" t="s">
        <v>185</v>
      </c>
      <c r="AC144" s="1">
        <v>6</v>
      </c>
      <c r="AD144" s="1">
        <v>4</v>
      </c>
      <c r="AE144" s="1"/>
      <c r="AF144" s="26">
        <f t="shared" si="486"/>
        <v>2.0073123941125179</v>
      </c>
      <c r="AG144" s="26">
        <f t="shared" si="487"/>
        <v>1.7440821133818684E-3</v>
      </c>
      <c r="AH144" s="26">
        <f t="shared" si="488"/>
        <v>1.5294769577025602E-2</v>
      </c>
      <c r="AI144" s="26">
        <f t="shared" si="489"/>
        <v>0</v>
      </c>
      <c r="AJ144" s="26">
        <f t="shared" si="490"/>
        <v>0.25551039827652355</v>
      </c>
      <c r="AK144" s="26">
        <f t="shared" si="491"/>
        <v>1.0516232868308814E-2</v>
      </c>
      <c r="AL144" s="26">
        <f t="shared" si="492"/>
        <v>0.8129536264240127</v>
      </c>
      <c r="AM144" s="26">
        <f t="shared" si="493"/>
        <v>0.86868949122892924</v>
      </c>
      <c r="AN144" s="26">
        <f t="shared" si="494"/>
        <v>2.2550288769774576E-2</v>
      </c>
      <c r="AO144" s="26">
        <f t="shared" si="495"/>
        <v>0</v>
      </c>
      <c r="AP144" s="26">
        <f t="shared" si="496"/>
        <v>0</v>
      </c>
      <c r="AQ144" s="26">
        <f t="shared" si="497"/>
        <v>0</v>
      </c>
      <c r="AR144" s="26">
        <f t="shared" si="498"/>
        <v>0</v>
      </c>
      <c r="AS144" s="26">
        <f t="shared" si="499"/>
        <v>3.9945712833704738</v>
      </c>
      <c r="AT144" s="26">
        <f t="shared" si="500"/>
        <v>2.0226071636895435</v>
      </c>
      <c r="AU144" s="26">
        <f t="shared" si="501"/>
        <v>0.89123977999870385</v>
      </c>
      <c r="AV144" s="47"/>
      <c r="AW144" s="26">
        <f t="shared" si="502"/>
        <v>2.0100403790204191</v>
      </c>
      <c r="AX144" s="26">
        <f t="shared" si="503"/>
        <v>1.7464523621271064E-3</v>
      </c>
      <c r="AY144" s="26">
        <f t="shared" si="504"/>
        <v>1.5315555529774327E-2</v>
      </c>
      <c r="AZ144" s="26">
        <f t="shared" si="505"/>
        <v>0</v>
      </c>
      <c r="BA144" s="26">
        <f t="shared" si="506"/>
        <v>0.25585764293677404</v>
      </c>
      <c r="BB144" s="26">
        <f t="shared" si="507"/>
        <v>0</v>
      </c>
      <c r="BC144" s="26">
        <f t="shared" si="508"/>
        <v>1.0530524676916614E-2</v>
      </c>
      <c r="BD144" s="26">
        <f t="shared" si="509"/>
        <v>0.8140584495846791</v>
      </c>
      <c r="BE144" s="26">
        <f t="shared" si="510"/>
        <v>0.86987006074500239</v>
      </c>
      <c r="BF144" s="26">
        <f t="shared" si="511"/>
        <v>2.2580935144306605E-2</v>
      </c>
      <c r="BG144" s="26">
        <f t="shared" si="512"/>
        <v>0</v>
      </c>
      <c r="BH144" s="26">
        <f t="shared" si="513"/>
        <v>0</v>
      </c>
      <c r="BI144" s="26">
        <f t="shared" si="514"/>
        <v>0</v>
      </c>
      <c r="BJ144" s="26">
        <f t="shared" si="515"/>
        <v>0</v>
      </c>
      <c r="BK144" s="25">
        <f t="shared" si="516"/>
        <v>3.9999999999999996</v>
      </c>
      <c r="BL144" s="24">
        <f t="shared" si="517"/>
        <v>6.0081541415752788</v>
      </c>
      <c r="BM144" s="26">
        <f t="shared" si="518"/>
        <v>2.0253559345501935</v>
      </c>
      <c r="BN144" s="26">
        <f t="shared" si="519"/>
        <v>0.89245099588930898</v>
      </c>
      <c r="BO144" s="22"/>
      <c r="BP144" s="23">
        <f t="shared" si="520"/>
        <v>0.76086195475964968</v>
      </c>
      <c r="BQ144" s="26">
        <f t="shared" si="521"/>
        <v>0</v>
      </c>
      <c r="BR144" s="26">
        <f t="shared" si="522"/>
        <v>1.5315555529774327E-2</v>
      </c>
      <c r="BS144" s="26"/>
      <c r="BT144" s="26">
        <f t="shared" si="523"/>
        <v>1.5315555529774327E-2</v>
      </c>
      <c r="BU144" s="26">
        <f t="shared" si="524"/>
        <v>0</v>
      </c>
      <c r="BV144" s="26">
        <f t="shared" si="525"/>
        <v>1.5315555529774327E-2</v>
      </c>
      <c r="BW144" s="26">
        <f t="shared" si="526"/>
        <v>0</v>
      </c>
      <c r="BX144" s="26">
        <f t="shared" si="527"/>
        <v>0.85337393569915487</v>
      </c>
      <c r="BY144" s="26">
        <f t="shared" si="528"/>
        <v>0.10754504450069075</v>
      </c>
      <c r="BZ144" s="26">
        <f t="shared" si="529"/>
        <v>0.9915500912593942</v>
      </c>
      <c r="CA144" s="22"/>
      <c r="CB144" s="22">
        <f t="shared" si="530"/>
        <v>0</v>
      </c>
      <c r="CC144" s="22">
        <f t="shared" si="531"/>
        <v>1.5315555529774327E-2</v>
      </c>
      <c r="CD144" s="22">
        <f t="shared" si="532"/>
        <v>0</v>
      </c>
      <c r="CE144" s="22">
        <f t="shared" si="533"/>
        <v>0</v>
      </c>
      <c r="CF144" s="22">
        <f t="shared" si="534"/>
        <v>0</v>
      </c>
      <c r="CG144" s="22">
        <f t="shared" si="535"/>
        <v>0.4349350303725012</v>
      </c>
      <c r="CH144" s="22">
        <f t="shared" si="536"/>
        <v>0.42993643735698084</v>
      </c>
      <c r="CI144" s="22">
        <f t="shared" si="537"/>
        <v>0.13512853227051794</v>
      </c>
      <c r="CJ144" s="22"/>
      <c r="CK144" s="22">
        <f t="shared" si="538"/>
        <v>0.44601477830886871</v>
      </c>
      <c r="CL144" s="22">
        <f t="shared" si="539"/>
        <v>0.4173980865728491</v>
      </c>
      <c r="CM144" s="22">
        <f t="shared" si="540"/>
        <v>0.13658713511828222</v>
      </c>
      <c r="CN144" s="1"/>
      <c r="CO144" s="26">
        <f t="shared" si="541"/>
        <v>0.8933089214380826</v>
      </c>
      <c r="CP144" s="26">
        <f t="shared" si="542"/>
        <v>7.761642463695544E-4</v>
      </c>
      <c r="CQ144" s="26">
        <f t="shared" si="543"/>
        <v>6.8065908199293843E-3</v>
      </c>
      <c r="CR144" s="26">
        <f t="shared" si="544"/>
        <v>0</v>
      </c>
      <c r="CS144" s="26">
        <f t="shared" si="545"/>
        <v>0.11370911621433542</v>
      </c>
      <c r="CT144" s="26">
        <f t="shared" si="546"/>
        <v>4.6800112771356083E-3</v>
      </c>
      <c r="CU144" s="26">
        <f t="shared" si="547"/>
        <v>0.36178660049627792</v>
      </c>
      <c r="CV144" s="26">
        <f t="shared" si="548"/>
        <v>0.38659058487874465</v>
      </c>
      <c r="CW144" s="26">
        <f t="shared" si="549"/>
        <v>1.0035495321071314E-2</v>
      </c>
      <c r="CX144" s="26">
        <f t="shared" si="550"/>
        <v>0</v>
      </c>
      <c r="CY144" s="26">
        <f t="shared" si="551"/>
        <v>0</v>
      </c>
      <c r="CZ144" s="26">
        <f t="shared" si="552"/>
        <v>0</v>
      </c>
      <c r="DA144" s="26">
        <f t="shared" si="553"/>
        <v>0</v>
      </c>
      <c r="DB144" s="26">
        <f t="shared" si="554"/>
        <v>1.7776934846919465</v>
      </c>
      <c r="DC144" s="26">
        <f t="shared" si="555"/>
        <v>2.6701641181258275</v>
      </c>
      <c r="DD144" s="26">
        <f t="shared" si="556"/>
        <v>2.2501066884953751</v>
      </c>
      <c r="DE144" s="26">
        <f t="shared" si="557"/>
        <v>6.0081541415752797</v>
      </c>
      <c r="DF144" s="1"/>
      <c r="DG144" s="22"/>
      <c r="DH144" s="14"/>
      <c r="DI144" s="14"/>
      <c r="DJ144" s="14"/>
      <c r="DK144" s="14"/>
      <c r="DL144" s="14"/>
      <c r="DM144" s="96"/>
      <c r="DN144" s="14"/>
      <c r="DO144" s="96"/>
      <c r="DP144" s="22"/>
      <c r="DQ144" s="14"/>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46"/>
      <c r="FR144" s="46"/>
      <c r="FS144" s="46"/>
      <c r="FT144" s="46"/>
      <c r="FU144" s="46"/>
      <c r="FV144" s="46"/>
      <c r="FW144" s="46"/>
      <c r="FX144" s="46"/>
      <c r="FY144" s="46"/>
      <c r="FZ144" s="46"/>
      <c r="GA144" s="46"/>
      <c r="GB144" s="46"/>
      <c r="GC144" s="46"/>
      <c r="GD144" s="46"/>
      <c r="GE144" s="46"/>
      <c r="GF144" s="46"/>
      <c r="GG144" s="46"/>
      <c r="GH144" s="46"/>
    </row>
    <row r="145" spans="1:190" x14ac:dyDescent="0.25">
      <c r="A145" s="5" t="s">
        <v>254</v>
      </c>
      <c r="B145" s="1">
        <v>720</v>
      </c>
      <c r="C145" s="98" t="s">
        <v>95</v>
      </c>
      <c r="D145" s="98" t="s">
        <v>106</v>
      </c>
      <c r="E145" s="1">
        <v>231</v>
      </c>
      <c r="F145" s="22">
        <v>53.37</v>
      </c>
      <c r="G145" s="22">
        <v>5.1999999999999998E-2</v>
      </c>
      <c r="H145" s="22">
        <v>0.59899999999999998</v>
      </c>
      <c r="I145" s="22">
        <v>2.1999999999999999E-2</v>
      </c>
      <c r="J145" s="22">
        <v>8.36</v>
      </c>
      <c r="K145" s="22">
        <v>0.38800000000000001</v>
      </c>
      <c r="L145" s="22">
        <v>14.41</v>
      </c>
      <c r="M145" s="22">
        <v>21.49</v>
      </c>
      <c r="N145" s="22">
        <v>0.58899999999999997</v>
      </c>
      <c r="O145" s="22">
        <v>0</v>
      </c>
      <c r="P145" s="22">
        <v>0</v>
      </c>
      <c r="Q145" s="22"/>
      <c r="R145" s="22"/>
      <c r="S145" s="22">
        <f t="shared" si="482"/>
        <v>99.279999999999987</v>
      </c>
      <c r="T145" s="3"/>
      <c r="U145" s="22">
        <f t="shared" si="483"/>
        <v>7.5237064273472329</v>
      </c>
      <c r="V145" s="22">
        <f t="shared" si="484"/>
        <v>0.92937304728901859</v>
      </c>
      <c r="W145" s="22">
        <f t="shared" si="485"/>
        <v>99.373079474636242</v>
      </c>
      <c r="X145" s="1"/>
      <c r="Y145" s="1"/>
      <c r="Z145" s="1"/>
      <c r="AA145" s="1" t="s">
        <v>185</v>
      </c>
      <c r="AC145" s="1">
        <v>6</v>
      </c>
      <c r="AD145" s="1">
        <v>4</v>
      </c>
      <c r="AE145" s="1"/>
      <c r="AF145" s="26">
        <f t="shared" si="486"/>
        <v>1.9976447799846992</v>
      </c>
      <c r="AG145" s="26">
        <f t="shared" si="487"/>
        <v>1.4639163907555631E-3</v>
      </c>
      <c r="AH145" s="26">
        <f t="shared" si="488"/>
        <v>2.6422747659277799E-2</v>
      </c>
      <c r="AI145" s="26">
        <f t="shared" si="489"/>
        <v>6.5101148062832984E-4</v>
      </c>
      <c r="AJ145" s="26">
        <f t="shared" si="490"/>
        <v>0.26165587527812073</v>
      </c>
      <c r="AK145" s="26">
        <f t="shared" si="491"/>
        <v>1.2299615282117907E-2</v>
      </c>
      <c r="AL145" s="26">
        <f t="shared" si="492"/>
        <v>0.80409973804166779</v>
      </c>
      <c r="AM145" s="26">
        <f t="shared" si="493"/>
        <v>0.86174623868322853</v>
      </c>
      <c r="AN145" s="26">
        <f t="shared" si="494"/>
        <v>4.2741002508193418E-2</v>
      </c>
      <c r="AO145" s="26">
        <f t="shared" si="495"/>
        <v>0</v>
      </c>
      <c r="AP145" s="26">
        <f t="shared" si="496"/>
        <v>0</v>
      </c>
      <c r="AQ145" s="26">
        <f t="shared" si="497"/>
        <v>0</v>
      </c>
      <c r="AR145" s="26">
        <f t="shared" si="498"/>
        <v>0</v>
      </c>
      <c r="AS145" s="26">
        <f t="shared" si="499"/>
        <v>4.0087249253086892</v>
      </c>
      <c r="AT145" s="26">
        <f t="shared" si="500"/>
        <v>2.024067527643977</v>
      </c>
      <c r="AU145" s="26">
        <f t="shared" si="501"/>
        <v>0.90448724119142199</v>
      </c>
      <c r="AV145" s="47"/>
      <c r="AW145" s="26">
        <f t="shared" si="502"/>
        <v>1.9932969382586132</v>
      </c>
      <c r="AX145" s="26">
        <f t="shared" si="503"/>
        <v>1.4607302002821612E-3</v>
      </c>
      <c r="AY145" s="26">
        <f t="shared" si="504"/>
        <v>2.6365238974079157E-2</v>
      </c>
      <c r="AZ145" s="26">
        <f t="shared" si="505"/>
        <v>6.4959456461403291E-4</v>
      </c>
      <c r="BA145" s="26">
        <f t="shared" si="506"/>
        <v>0.23496857852766734</v>
      </c>
      <c r="BB145" s="26">
        <f t="shared" si="507"/>
        <v>2.6117806947357103E-2</v>
      </c>
      <c r="BC145" s="26">
        <f t="shared" si="508"/>
        <v>1.2272845367329149E-2</v>
      </c>
      <c r="BD145" s="26">
        <f t="shared" si="509"/>
        <v>0.80234962789795183</v>
      </c>
      <c r="BE145" s="26">
        <f t="shared" si="510"/>
        <v>0.85987066185826699</v>
      </c>
      <c r="BF145" s="26">
        <f t="shared" si="511"/>
        <v>4.2647977403839632E-2</v>
      </c>
      <c r="BG145" s="26">
        <f t="shared" si="512"/>
        <v>0</v>
      </c>
      <c r="BH145" s="26">
        <f t="shared" si="513"/>
        <v>0</v>
      </c>
      <c r="BI145" s="26">
        <f t="shared" si="514"/>
        <v>0</v>
      </c>
      <c r="BJ145" s="26">
        <f t="shared" si="515"/>
        <v>0</v>
      </c>
      <c r="BK145" s="25">
        <f t="shared" si="516"/>
        <v>4.0000000000000009</v>
      </c>
      <c r="BL145" s="24">
        <f t="shared" si="517"/>
        <v>6.0000000000000009</v>
      </c>
      <c r="BM145" s="26">
        <f t="shared" si="518"/>
        <v>2.0196621772326924</v>
      </c>
      <c r="BN145" s="26">
        <f t="shared" si="519"/>
        <v>0.90251863926210663</v>
      </c>
      <c r="BO145" s="22"/>
      <c r="BP145" s="23">
        <f t="shared" si="520"/>
        <v>0.75448792198891401</v>
      </c>
      <c r="BQ145" s="26">
        <f t="shared" si="521"/>
        <v>6.7030617413867954E-3</v>
      </c>
      <c r="BR145" s="26">
        <f t="shared" si="522"/>
        <v>1.9662177232692361E-2</v>
      </c>
      <c r="BS145" s="26"/>
      <c r="BT145" s="26">
        <f t="shared" si="523"/>
        <v>1.9662177232692361E-2</v>
      </c>
      <c r="BU145" s="26">
        <f t="shared" si="524"/>
        <v>0</v>
      </c>
      <c r="BV145" s="26">
        <f t="shared" si="525"/>
        <v>1.9662177232692361E-2</v>
      </c>
      <c r="BW145" s="26">
        <f t="shared" si="526"/>
        <v>3.2550574031416492E-4</v>
      </c>
      <c r="BX145" s="26">
        <f t="shared" si="527"/>
        <v>0.84175855571022196</v>
      </c>
      <c r="BY145" s="26">
        <f t="shared" si="528"/>
        <v>0.11199852880478328</v>
      </c>
      <c r="BZ145" s="26">
        <f t="shared" si="529"/>
        <v>0.99340694472070412</v>
      </c>
      <c r="CA145" s="22"/>
      <c r="CB145" s="22">
        <f t="shared" si="530"/>
        <v>2.6117806947357103E-2</v>
      </c>
      <c r="CC145" s="22">
        <f t="shared" si="531"/>
        <v>1.6530170456482529E-2</v>
      </c>
      <c r="CD145" s="22">
        <f t="shared" si="532"/>
        <v>0</v>
      </c>
      <c r="CE145" s="22">
        <f t="shared" si="533"/>
        <v>6.4959456461403291E-4</v>
      </c>
      <c r="CF145" s="22">
        <f t="shared" si="534"/>
        <v>3.1320067762098322E-3</v>
      </c>
      <c r="CG145" s="22">
        <f t="shared" si="535"/>
        <v>0.44110343373240013</v>
      </c>
      <c r="CH145" s="22">
        <f t="shared" si="536"/>
        <v>0.4322978707984399</v>
      </c>
      <c r="CI145" s="22">
        <f t="shared" si="537"/>
        <v>0.12659869546915994</v>
      </c>
      <c r="CJ145" s="22"/>
      <c r="CK145" s="22">
        <f t="shared" si="538"/>
        <v>0.44424455451582506</v>
      </c>
      <c r="CL145" s="22">
        <f t="shared" si="539"/>
        <v>0.41452682225622406</v>
      </c>
      <c r="CM145" s="22">
        <f t="shared" si="540"/>
        <v>0.14122862322795088</v>
      </c>
      <c r="CN145" s="1"/>
      <c r="CO145" s="26">
        <f t="shared" si="541"/>
        <v>0.88831557922769644</v>
      </c>
      <c r="CP145" s="26">
        <f t="shared" si="542"/>
        <v>6.5097646469704554E-4</v>
      </c>
      <c r="CQ145" s="26">
        <f t="shared" si="543"/>
        <v>1.1749705766967438E-2</v>
      </c>
      <c r="CR145" s="26">
        <f t="shared" si="544"/>
        <v>2.8949272978485421E-4</v>
      </c>
      <c r="CS145" s="26">
        <f t="shared" si="545"/>
        <v>0.1163535142658316</v>
      </c>
      <c r="CT145" s="26">
        <f t="shared" si="546"/>
        <v>5.4694107696645058E-3</v>
      </c>
      <c r="CU145" s="26">
        <f t="shared" si="547"/>
        <v>0.35756823821339956</v>
      </c>
      <c r="CV145" s="26">
        <f t="shared" si="548"/>
        <v>0.38320256776034234</v>
      </c>
      <c r="CW145" s="26">
        <f t="shared" si="549"/>
        <v>1.9006131010003226E-2</v>
      </c>
      <c r="CX145" s="26">
        <f t="shared" si="550"/>
        <v>0</v>
      </c>
      <c r="CY145" s="26">
        <f t="shared" si="551"/>
        <v>0</v>
      </c>
      <c r="CZ145" s="26">
        <f t="shared" si="552"/>
        <v>0</v>
      </c>
      <c r="DA145" s="26">
        <f t="shared" si="553"/>
        <v>0</v>
      </c>
      <c r="DB145" s="26">
        <f t="shared" si="554"/>
        <v>1.7826056162083868</v>
      </c>
      <c r="DC145" s="26">
        <f t="shared" si="555"/>
        <v>2.6680887056441551</v>
      </c>
      <c r="DD145" s="26">
        <f t="shared" si="556"/>
        <v>2.24390631535652</v>
      </c>
      <c r="DE145" s="26">
        <f t="shared" si="557"/>
        <v>5.9869410965263228</v>
      </c>
      <c r="DF145" s="1"/>
      <c r="DG145" s="22">
        <v>4.2664654853014055</v>
      </c>
      <c r="DH145" s="14">
        <v>3462.6530065442007</v>
      </c>
      <c r="DI145" s="14">
        <v>107641.95364733208</v>
      </c>
      <c r="DJ145" s="14">
        <v>4144.018850783692</v>
      </c>
      <c r="DK145" s="14">
        <v>264311.98027241678</v>
      </c>
      <c r="DL145" s="14">
        <v>130920.39151032447</v>
      </c>
      <c r="DM145" s="96">
        <v>289.73190252617792</v>
      </c>
      <c r="DN145" s="14">
        <v>1167.3238451084824</v>
      </c>
      <c r="DO145" s="96">
        <v>381.94492131542484</v>
      </c>
      <c r="DP145" s="22">
        <v>0.60798737592861429</v>
      </c>
      <c r="DQ145" s="14">
        <v>3857.1179430417387</v>
      </c>
      <c r="DR145" s="22">
        <v>7.2263257486382013</v>
      </c>
      <c r="DS145" s="22">
        <v>0</v>
      </c>
      <c r="DT145" s="22">
        <v>1.9827120323363587</v>
      </c>
      <c r="DU145" s="22">
        <v>58.949715932197741</v>
      </c>
      <c r="DV145" s="22">
        <v>1.6495523839245902</v>
      </c>
      <c r="DW145" s="22">
        <v>5.430506609326784</v>
      </c>
      <c r="DX145" s="22">
        <v>5.0577089140784688</v>
      </c>
      <c r="DY145" s="22">
        <v>442.83276329623027</v>
      </c>
      <c r="DZ145" s="22">
        <v>24.192436921095148</v>
      </c>
      <c r="EA145" s="22">
        <v>0.77134911712362431</v>
      </c>
      <c r="EB145" s="22">
        <v>3.6666552490914349E-2</v>
      </c>
      <c r="EC145" s="22">
        <v>3.8205607627099791</v>
      </c>
      <c r="ED145" s="22">
        <v>26.251289573492695</v>
      </c>
      <c r="EE145" s="22">
        <v>106.55403704277126</v>
      </c>
      <c r="EF145" s="22">
        <v>20.212007095566776</v>
      </c>
      <c r="EG145" s="22">
        <v>108.31112485183181</v>
      </c>
      <c r="EH145" s="22">
        <v>42.081096466430594</v>
      </c>
      <c r="EI145" s="22">
        <v>1.8329899413857835</v>
      </c>
      <c r="EJ145" s="22">
        <v>56.95166754950138</v>
      </c>
      <c r="EK145" s="22">
        <v>11.057735910862807</v>
      </c>
      <c r="EL145" s="22">
        <v>79.743834099992753</v>
      </c>
      <c r="EM145" s="22">
        <v>16.436437830294008</v>
      </c>
      <c r="EN145" s="22">
        <v>51.331885388247024</v>
      </c>
      <c r="EO145" s="22">
        <v>7.054524661262481</v>
      </c>
      <c r="EP145" s="22">
        <v>48.064601588692746</v>
      </c>
      <c r="EQ145" s="22">
        <v>6.9350093196823366</v>
      </c>
      <c r="ER145" s="22">
        <v>1.9254808450020464</v>
      </c>
      <c r="ES145" s="22">
        <v>0</v>
      </c>
      <c r="ET145" s="22">
        <v>0.49788965410293762</v>
      </c>
      <c r="EU145" s="22">
        <v>3.768391499472262</v>
      </c>
      <c r="EV145" s="22">
        <v>0.26107669838275988</v>
      </c>
      <c r="EW145" s="22">
        <f>(EI145/0.05883)/SQRT((EH145/0.1536)*(EJ145/0.2069))</f>
        <v>0.11345936288587681</v>
      </c>
      <c r="EX145" s="22"/>
      <c r="EY145" s="22"/>
      <c r="EZ145" s="22"/>
      <c r="FA145" s="22"/>
      <c r="FB145" s="22"/>
      <c r="FC145" s="22"/>
      <c r="FD145" s="22"/>
      <c r="FE145" s="22"/>
      <c r="FF145" s="22"/>
      <c r="FG145" s="22"/>
      <c r="FH145" s="22"/>
      <c r="FI145" s="22">
        <f>-0.50354-2.23025*BP145+ N("eqn 18 Mg# R2 0.28 best")</f>
        <v>-2.1862366880157755</v>
      </c>
      <c r="FJ145" s="22"/>
      <c r="FK145" s="22">
        <f xml:space="preserve"> -0.03692  +  0.931085 + FX145   + N("488 NN Dy")</f>
        <v>0.8941650000000001</v>
      </c>
      <c r="FL145" s="22">
        <f>-0.48986  +   0    +   (1.071278 + 0) * GD145  +N("eqn 119 LnD Hf  (which has R2 of 0.51 for TS")</f>
        <v>-0.48986000000000002</v>
      </c>
      <c r="FM145" s="22"/>
      <c r="FN145" s="22"/>
      <c r="FO145" s="22">
        <f>3.94011-11.9214*BP145</f>
        <v>-5.0544423131986393</v>
      </c>
      <c r="FP145" s="22">
        <f xml:space="preserve">  -0.49862 +   1.013256 * FQ145 + N("294 NN")</f>
        <v>-0.49862000000000001</v>
      </c>
      <c r="FQ145" s="46"/>
      <c r="FR145" s="46"/>
      <c r="FS145" s="46"/>
      <c r="FT145" s="46"/>
      <c r="FU145" s="46"/>
      <c r="FV145" s="46"/>
      <c r="FW145" s="46"/>
      <c r="FX145" s="46"/>
      <c r="FY145" s="46"/>
      <c r="FZ145" s="46"/>
      <c r="GA145" s="46"/>
      <c r="GB145" s="46"/>
      <c r="GC145" s="46"/>
      <c r="GD145" s="46"/>
      <c r="GE145" s="46"/>
      <c r="GF145" s="46"/>
      <c r="GG145" s="46"/>
      <c r="GH145" s="46"/>
    </row>
    <row r="146" spans="1:190" x14ac:dyDescent="0.25">
      <c r="A146" s="5" t="s">
        <v>254</v>
      </c>
      <c r="B146" s="1">
        <v>721</v>
      </c>
      <c r="C146" s="98" t="s">
        <v>95</v>
      </c>
      <c r="D146" s="98" t="s">
        <v>106</v>
      </c>
      <c r="E146" s="1">
        <v>232</v>
      </c>
      <c r="F146" s="22">
        <v>53.78</v>
      </c>
      <c r="G146" s="22">
        <v>8.8999999999999996E-2</v>
      </c>
      <c r="H146" s="22">
        <v>0.51600000000000001</v>
      </c>
      <c r="I146" s="22">
        <v>0</v>
      </c>
      <c r="J146" s="22">
        <v>9.16</v>
      </c>
      <c r="K146" s="22">
        <v>0.29799999999999999</v>
      </c>
      <c r="L146" s="22">
        <v>14.63</v>
      </c>
      <c r="M146" s="22">
        <v>21.5</v>
      </c>
      <c r="N146" s="22">
        <v>0.54</v>
      </c>
      <c r="O146" s="22">
        <v>0</v>
      </c>
      <c r="P146" s="22">
        <v>0</v>
      </c>
      <c r="Q146" s="22"/>
      <c r="R146" s="22"/>
      <c r="S146" s="22">
        <f t="shared" si="482"/>
        <v>100.51300000000001</v>
      </c>
      <c r="T146" s="3"/>
      <c r="U146" s="22">
        <f t="shared" si="483"/>
        <v>7.9606294073163006</v>
      </c>
      <c r="V146" s="22">
        <f t="shared" si="484"/>
        <v>1.3328605396493949</v>
      </c>
      <c r="W146" s="22">
        <f t="shared" si="485"/>
        <v>100.64648994696569</v>
      </c>
      <c r="X146" s="1"/>
      <c r="Y146" s="1"/>
      <c r="Z146" s="1"/>
      <c r="AA146" s="1" t="s">
        <v>185</v>
      </c>
      <c r="AC146" s="1">
        <v>6</v>
      </c>
      <c r="AD146" s="1">
        <v>4</v>
      </c>
      <c r="AE146" s="1"/>
      <c r="AF146" s="26">
        <f t="shared" si="486"/>
        <v>1.9932602136171838</v>
      </c>
      <c r="AG146" s="26">
        <f t="shared" si="487"/>
        <v>2.4809903478862573E-3</v>
      </c>
      <c r="AH146" s="26">
        <f t="shared" si="488"/>
        <v>2.2538395457659888E-2</v>
      </c>
      <c r="AI146" s="26">
        <f t="shared" si="489"/>
        <v>0</v>
      </c>
      <c r="AJ146" s="26">
        <f t="shared" si="490"/>
        <v>0.2838845945189577</v>
      </c>
      <c r="AK146" s="26">
        <f t="shared" si="491"/>
        <v>9.3540180622282421E-3</v>
      </c>
      <c r="AL146" s="26">
        <f t="shared" si="492"/>
        <v>0.80837412566184141</v>
      </c>
      <c r="AM146" s="26">
        <f t="shared" si="493"/>
        <v>0.8536966539107087</v>
      </c>
      <c r="AN146" s="26">
        <f t="shared" si="494"/>
        <v>3.880121345926859E-2</v>
      </c>
      <c r="AO146" s="26">
        <f t="shared" si="495"/>
        <v>0</v>
      </c>
      <c r="AP146" s="26">
        <f t="shared" si="496"/>
        <v>0</v>
      </c>
      <c r="AQ146" s="26">
        <f t="shared" si="497"/>
        <v>0</v>
      </c>
      <c r="AR146" s="26">
        <f t="shared" si="498"/>
        <v>0</v>
      </c>
      <c r="AS146" s="26">
        <f t="shared" si="499"/>
        <v>4.0123902050357341</v>
      </c>
      <c r="AT146" s="26">
        <f t="shared" si="500"/>
        <v>2.0157986090748437</v>
      </c>
      <c r="AU146" s="26">
        <f t="shared" si="501"/>
        <v>0.89249786736997727</v>
      </c>
      <c r="AV146" s="47"/>
      <c r="AW146" s="26">
        <f t="shared" si="502"/>
        <v>1.9871050538559787</v>
      </c>
      <c r="AX146" s="26">
        <f t="shared" si="503"/>
        <v>2.4733290842675272E-3</v>
      </c>
      <c r="AY146" s="26">
        <f t="shared" si="504"/>
        <v>2.2468797206585903E-2</v>
      </c>
      <c r="AZ146" s="26">
        <f t="shared" si="505"/>
        <v>0</v>
      </c>
      <c r="BA146" s="26">
        <f t="shared" si="506"/>
        <v>0.24595213008158373</v>
      </c>
      <c r="BB146" s="26">
        <f t="shared" si="507"/>
        <v>3.705583276576796E-2</v>
      </c>
      <c r="BC146" s="26">
        <f t="shared" si="508"/>
        <v>9.3251329848114163E-3</v>
      </c>
      <c r="BD146" s="26">
        <f t="shared" si="509"/>
        <v>0.80587787762744978</v>
      </c>
      <c r="BE146" s="26">
        <f t="shared" si="510"/>
        <v>0.85106045054070767</v>
      </c>
      <c r="BF146" s="26">
        <f t="shared" si="511"/>
        <v>3.8681395852847293E-2</v>
      </c>
      <c r="BG146" s="26">
        <f t="shared" si="512"/>
        <v>0</v>
      </c>
      <c r="BH146" s="26">
        <f t="shared" si="513"/>
        <v>0</v>
      </c>
      <c r="BI146" s="26">
        <f t="shared" si="514"/>
        <v>0</v>
      </c>
      <c r="BJ146" s="26">
        <f t="shared" si="515"/>
        <v>0</v>
      </c>
      <c r="BK146" s="25">
        <f t="shared" si="516"/>
        <v>4</v>
      </c>
      <c r="BL146" s="24">
        <f t="shared" si="517"/>
        <v>5.9999999999999991</v>
      </c>
      <c r="BM146" s="26">
        <f t="shared" si="518"/>
        <v>2.0095738510625645</v>
      </c>
      <c r="BN146" s="26">
        <f t="shared" si="519"/>
        <v>0.88974184639355491</v>
      </c>
      <c r="BO146" s="22"/>
      <c r="BP146" s="23">
        <f t="shared" si="520"/>
        <v>0.74009400037386108</v>
      </c>
      <c r="BQ146" s="26">
        <f t="shared" si="521"/>
        <v>1.2894946144021313E-2</v>
      </c>
      <c r="BR146" s="26">
        <f t="shared" si="522"/>
        <v>9.5738510625645902E-3</v>
      </c>
      <c r="BS146" s="26"/>
      <c r="BT146" s="26">
        <f t="shared" si="523"/>
        <v>9.5738510625645902E-3</v>
      </c>
      <c r="BU146" s="26">
        <f t="shared" si="524"/>
        <v>0</v>
      </c>
      <c r="BV146" s="26">
        <f t="shared" si="525"/>
        <v>9.5738510625645902E-3</v>
      </c>
      <c r="BW146" s="26">
        <f t="shared" si="526"/>
        <v>0</v>
      </c>
      <c r="BX146" s="26">
        <f t="shared" si="527"/>
        <v>0.84412280284814412</v>
      </c>
      <c r="BY146" s="26">
        <f t="shared" si="528"/>
        <v>0.12406795866632753</v>
      </c>
      <c r="BZ146" s="26">
        <f t="shared" si="529"/>
        <v>0.98733846363960076</v>
      </c>
      <c r="CA146" s="22"/>
      <c r="CB146" s="22">
        <f t="shared" si="530"/>
        <v>3.705583276576796E-2</v>
      </c>
      <c r="CC146" s="22">
        <f t="shared" si="531"/>
        <v>1.6255630870793333E-3</v>
      </c>
      <c r="CD146" s="22">
        <f t="shared" si="532"/>
        <v>0</v>
      </c>
      <c r="CE146" s="22">
        <f t="shared" si="533"/>
        <v>0</v>
      </c>
      <c r="CF146" s="22">
        <f t="shared" si="534"/>
        <v>7.9482879754852569E-3</v>
      </c>
      <c r="CG146" s="22">
        <f t="shared" si="535"/>
        <v>0.44008399766549516</v>
      </c>
      <c r="CH146" s="22">
        <f t="shared" si="536"/>
        <v>0.42898939591367752</v>
      </c>
      <c r="CI146" s="22">
        <f t="shared" si="537"/>
        <v>0.13092660642082743</v>
      </c>
      <c r="CJ146" s="22"/>
      <c r="CK146" s="22">
        <f t="shared" si="538"/>
        <v>0.43660438462394852</v>
      </c>
      <c r="CL146" s="22">
        <f t="shared" si="539"/>
        <v>0.41342517399327416</v>
      </c>
      <c r="CM146" s="22">
        <f t="shared" si="540"/>
        <v>0.1499704413827774</v>
      </c>
      <c r="CN146" s="1"/>
      <c r="CO146" s="26">
        <f t="shared" si="541"/>
        <v>0.89513981358189088</v>
      </c>
      <c r="CP146" s="26">
        <f t="shared" si="542"/>
        <v>1.1141712568853281E-3</v>
      </c>
      <c r="CQ146" s="26">
        <f t="shared" si="543"/>
        <v>1.0121616320125541E-2</v>
      </c>
      <c r="CR146" s="26">
        <f t="shared" si="544"/>
        <v>0</v>
      </c>
      <c r="CS146" s="26">
        <f t="shared" si="545"/>
        <v>0.12748782185107865</v>
      </c>
      <c r="CT146" s="26">
        <f t="shared" si="546"/>
        <v>4.2007330138144911E-3</v>
      </c>
      <c r="CU146" s="26">
        <f t="shared" si="547"/>
        <v>0.36302729528535982</v>
      </c>
      <c r="CV146" s="26">
        <f t="shared" si="548"/>
        <v>0.38338088445078461</v>
      </c>
      <c r="CW146" s="26">
        <f t="shared" si="549"/>
        <v>1.7424975798644726E-2</v>
      </c>
      <c r="CX146" s="26">
        <f t="shared" si="550"/>
        <v>0</v>
      </c>
      <c r="CY146" s="26">
        <f t="shared" si="551"/>
        <v>0</v>
      </c>
      <c r="CZ146" s="26">
        <f t="shared" si="552"/>
        <v>0</v>
      </c>
      <c r="DA146" s="26">
        <f t="shared" si="553"/>
        <v>0</v>
      </c>
      <c r="DB146" s="26">
        <f t="shared" si="554"/>
        <v>1.8018973115585839</v>
      </c>
      <c r="DC146" s="26">
        <f t="shared" si="555"/>
        <v>2.6944996166581006</v>
      </c>
      <c r="DD146" s="26">
        <f t="shared" si="556"/>
        <v>2.2198823286661806</v>
      </c>
      <c r="DE146" s="26">
        <f t="shared" si="557"/>
        <v>5.9814720836171151</v>
      </c>
      <c r="DF146" s="1"/>
      <c r="DG146" s="22">
        <v>7.0943649173797967</v>
      </c>
      <c r="DH146" s="14">
        <v>3708.0931734298583</v>
      </c>
      <c r="DI146" s="14">
        <v>89956.333504775233</v>
      </c>
      <c r="DJ146" s="14">
        <v>4124.9996225143741</v>
      </c>
      <c r="DK146" s="14">
        <v>253953.97188717482</v>
      </c>
      <c r="DL146" s="14">
        <v>149758.19278084309</v>
      </c>
      <c r="DM146" s="96">
        <v>286.3118229202833</v>
      </c>
      <c r="DN146" s="14">
        <v>828.0176650282375</v>
      </c>
      <c r="DO146" s="96">
        <v>420.68788976087626</v>
      </c>
      <c r="DP146" s="22">
        <v>0</v>
      </c>
      <c r="DQ146" s="14">
        <v>2346.6222024573153</v>
      </c>
      <c r="DR146" s="22">
        <v>5.8133752834140848</v>
      </c>
      <c r="DS146" s="22">
        <v>0</v>
      </c>
      <c r="DT146" s="22">
        <v>3.0979535901168176</v>
      </c>
      <c r="DU146" s="22">
        <v>43.132039383320162</v>
      </c>
      <c r="DV146" s="22">
        <v>1.9006773644536568</v>
      </c>
      <c r="DW146" s="22">
        <v>8.2817059317399551</v>
      </c>
      <c r="DX146" s="22">
        <v>9.0561696408897454</v>
      </c>
      <c r="DY146" s="22">
        <v>409.79449951573065</v>
      </c>
      <c r="DZ146" s="22">
        <v>22.920217414011006</v>
      </c>
      <c r="EA146" s="22">
        <v>0.15560557564080343</v>
      </c>
      <c r="EB146" s="22">
        <v>6.9053044717025419E-2</v>
      </c>
      <c r="EC146" s="22">
        <v>9.5659562597743246</v>
      </c>
      <c r="ED146" s="22">
        <v>26.586490605215506</v>
      </c>
      <c r="EE146" s="22">
        <v>120.22206015658151</v>
      </c>
      <c r="EF146" s="22">
        <v>22.739050975444712</v>
      </c>
      <c r="EG146" s="22">
        <v>118.28560037267854</v>
      </c>
      <c r="EH146" s="22">
        <v>44.455419141423377</v>
      </c>
      <c r="EI146" s="22">
        <v>1.811456547890655</v>
      </c>
      <c r="EJ146" s="22">
        <v>55.581885899725982</v>
      </c>
      <c r="EK146" s="22">
        <v>10.312483640237556</v>
      </c>
      <c r="EL146" s="22">
        <v>73.441331873511075</v>
      </c>
      <c r="EM146" s="22">
        <v>15.710431466214176</v>
      </c>
      <c r="EN146" s="22">
        <v>45.23375032117179</v>
      </c>
      <c r="EO146" s="22">
        <v>6.4949052106237586</v>
      </c>
      <c r="EP146" s="22">
        <v>42.753535284611772</v>
      </c>
      <c r="EQ146" s="22">
        <v>5.9608990507984707</v>
      </c>
      <c r="ER146" s="22">
        <v>1.930420984378624</v>
      </c>
      <c r="ES146" s="22">
        <v>3.2605771541206904E-2</v>
      </c>
      <c r="ET146" s="22">
        <v>0.88955188326010814</v>
      </c>
      <c r="EU146" s="22">
        <v>0.63702205387239597</v>
      </c>
      <c r="EV146" s="22">
        <v>0.2280997837361648</v>
      </c>
      <c r="EW146" s="22">
        <f>(EI146/0.05883)/SQRT((EH146/0.1536)*(EJ146/0.2069))</f>
        <v>0.11042716734617529</v>
      </c>
      <c r="EX146" s="22"/>
      <c r="EY146" s="22"/>
      <c r="EZ146" s="22"/>
      <c r="FA146" s="22"/>
      <c r="FB146" s="22"/>
      <c r="FC146" s="22"/>
      <c r="FD146" s="22"/>
      <c r="FE146" s="22"/>
      <c r="FF146" s="22"/>
      <c r="FG146" s="22"/>
      <c r="FH146" s="22"/>
      <c r="FI146" s="22">
        <f>-0.50354-2.23025*BP146+ N("eqn 18 Mg# R2 0.28 best")</f>
        <v>-2.1541346443338036</v>
      </c>
      <c r="FJ146" s="22"/>
      <c r="FK146" s="22">
        <f xml:space="preserve"> -0.03692  +  0.931085 + FX146   + N("488 NN Dy")</f>
        <v>0.8941650000000001</v>
      </c>
      <c r="FL146" s="22">
        <f>-0.48986  +   0    +   (1.071278 + 0) * GD146  +N("eqn 119 LnD Hf  (which has R2 of 0.51 for TS")</f>
        <v>-0.48986000000000002</v>
      </c>
      <c r="FM146" s="22"/>
      <c r="FN146" s="22"/>
      <c r="FO146" s="22">
        <f>3.94011-11.9214*BP146</f>
        <v>-4.8828466160569475</v>
      </c>
      <c r="FP146" s="22">
        <f xml:space="preserve">  -0.49862 +   1.013256 * FQ146 + N("294 NN")</f>
        <v>-0.49862000000000001</v>
      </c>
      <c r="FQ146" s="46"/>
      <c r="FR146" s="46"/>
      <c r="FS146" s="46"/>
      <c r="FT146" s="46"/>
      <c r="FU146" s="46"/>
      <c r="FV146" s="46"/>
      <c r="FW146" s="46"/>
      <c r="FX146" s="46"/>
      <c r="FY146" s="46"/>
      <c r="FZ146" s="46"/>
      <c r="GA146" s="46"/>
      <c r="GB146" s="46"/>
      <c r="GC146" s="46"/>
      <c r="GD146" s="46"/>
      <c r="GE146" s="46"/>
      <c r="GF146" s="46"/>
      <c r="GG146" s="46"/>
      <c r="GH146" s="46"/>
    </row>
    <row r="147" spans="1:190" x14ac:dyDescent="0.25">
      <c r="A147" s="5" t="s">
        <v>254</v>
      </c>
      <c r="B147" s="1">
        <v>771</v>
      </c>
      <c r="C147" s="98" t="s">
        <v>95</v>
      </c>
      <c r="D147" s="98" t="s">
        <v>106</v>
      </c>
      <c r="E147" s="1">
        <v>282</v>
      </c>
      <c r="F147" s="22">
        <v>53.96</v>
      </c>
      <c r="G147" s="22">
        <v>7.6999999999999999E-2</v>
      </c>
      <c r="H147" s="22">
        <v>0.39600000000000002</v>
      </c>
      <c r="I147" s="22">
        <v>4.2000000000000003E-2</v>
      </c>
      <c r="J147" s="22">
        <v>8.1300000000000008</v>
      </c>
      <c r="K147" s="22">
        <v>0.35699999999999998</v>
      </c>
      <c r="L147" s="22">
        <v>14.71</v>
      </c>
      <c r="M147" s="22">
        <v>21.59</v>
      </c>
      <c r="N147" s="22">
        <v>0.442</v>
      </c>
      <c r="O147" s="22">
        <v>1.2E-2</v>
      </c>
      <c r="P147" s="22"/>
      <c r="Q147" s="22"/>
      <c r="R147" s="22"/>
      <c r="S147" s="22">
        <f t="shared" si="482"/>
        <v>99.715999999999994</v>
      </c>
      <c r="T147" s="3"/>
      <c r="U147" s="22">
        <f t="shared" si="483"/>
        <v>8.1300000000000008</v>
      </c>
      <c r="V147" s="22">
        <f t="shared" si="484"/>
        <v>0</v>
      </c>
      <c r="W147" s="22">
        <f t="shared" si="485"/>
        <v>99.715999999999994</v>
      </c>
      <c r="X147" s="1">
        <v>1</v>
      </c>
      <c r="Y147" s="1"/>
      <c r="Z147" s="1"/>
      <c r="AA147" s="1" t="s">
        <v>185</v>
      </c>
      <c r="AC147" s="1">
        <v>6</v>
      </c>
      <c r="AD147" s="1">
        <v>4</v>
      </c>
      <c r="AE147" s="1"/>
      <c r="AF147" s="26">
        <f t="shared" si="486"/>
        <v>2.0061692001444071</v>
      </c>
      <c r="AG147" s="26">
        <f t="shared" si="487"/>
        <v>2.1531694564966542E-3</v>
      </c>
      <c r="AH147" s="26">
        <f t="shared" si="488"/>
        <v>1.7350855637107827E-2</v>
      </c>
      <c r="AI147" s="26">
        <f t="shared" si="489"/>
        <v>1.2344963569489815E-3</v>
      </c>
      <c r="AJ147" s="26">
        <f t="shared" si="490"/>
        <v>0.25274892360232198</v>
      </c>
      <c r="AK147" s="26">
        <f t="shared" si="491"/>
        <v>1.1240938546572763E-2</v>
      </c>
      <c r="AL147" s="26">
        <f t="shared" si="492"/>
        <v>0.81532952263241765</v>
      </c>
      <c r="AM147" s="26">
        <f t="shared" si="493"/>
        <v>0.85994401639428142</v>
      </c>
      <c r="AN147" s="26">
        <f t="shared" si="494"/>
        <v>3.1858566807788487E-2</v>
      </c>
      <c r="AO147" s="26">
        <f t="shared" si="495"/>
        <v>5.6909645524014468E-4</v>
      </c>
      <c r="AP147" s="26">
        <f t="shared" si="496"/>
        <v>0</v>
      </c>
      <c r="AQ147" s="26">
        <f t="shared" si="497"/>
        <v>0</v>
      </c>
      <c r="AR147" s="26">
        <f t="shared" si="498"/>
        <v>0</v>
      </c>
      <c r="AS147" s="26">
        <f t="shared" si="499"/>
        <v>3.9985987860335834</v>
      </c>
      <c r="AT147" s="26">
        <f t="shared" si="500"/>
        <v>2.0235200557815149</v>
      </c>
      <c r="AU147" s="26">
        <f t="shared" si="501"/>
        <v>0.89237167965731012</v>
      </c>
      <c r="AV147" s="47"/>
      <c r="AW147" s="26">
        <f t="shared" si="502"/>
        <v>2.0068722144883466</v>
      </c>
      <c r="AX147" s="26">
        <f t="shared" si="503"/>
        <v>2.1539239835887563E-3</v>
      </c>
      <c r="AY147" s="26">
        <f t="shared" si="504"/>
        <v>1.7356935832333449E-2</v>
      </c>
      <c r="AZ147" s="26">
        <f t="shared" si="505"/>
        <v>1.2349289568744581E-3</v>
      </c>
      <c r="BA147" s="26">
        <f t="shared" si="506"/>
        <v>0.25283749345908918</v>
      </c>
      <c r="BB147" s="26">
        <f t="shared" si="507"/>
        <v>0</v>
      </c>
      <c r="BC147" s="26">
        <f t="shared" si="508"/>
        <v>1.1244877666481997E-2</v>
      </c>
      <c r="BD147" s="26">
        <f t="shared" si="509"/>
        <v>0.81561523549721815</v>
      </c>
      <c r="BE147" s="26">
        <f t="shared" si="510"/>
        <v>0.86024536334869894</v>
      </c>
      <c r="BF147" s="26">
        <f t="shared" si="511"/>
        <v>3.1869730885794277E-2</v>
      </c>
      <c r="BG147" s="26">
        <f t="shared" si="512"/>
        <v>5.6929588157521652E-4</v>
      </c>
      <c r="BH147" s="26">
        <f t="shared" si="513"/>
        <v>0</v>
      </c>
      <c r="BI147" s="26">
        <f t="shared" si="514"/>
        <v>0</v>
      </c>
      <c r="BJ147" s="26">
        <f t="shared" si="515"/>
        <v>0</v>
      </c>
      <c r="BK147" s="25">
        <f t="shared" si="516"/>
        <v>4.0000000000000009</v>
      </c>
      <c r="BL147" s="24">
        <f t="shared" si="517"/>
        <v>6.0021025574828553</v>
      </c>
      <c r="BM147" s="26">
        <f t="shared" si="518"/>
        <v>2.02422915032068</v>
      </c>
      <c r="BN147" s="26">
        <f t="shared" si="519"/>
        <v>0.89268439011606837</v>
      </c>
      <c r="BO147" s="22"/>
      <c r="BP147" s="23">
        <f t="shared" si="520"/>
        <v>0.76336108598265495</v>
      </c>
      <c r="BQ147" s="26">
        <f t="shared" si="521"/>
        <v>0</v>
      </c>
      <c r="BR147" s="26">
        <f t="shared" si="522"/>
        <v>1.7356935832333449E-2</v>
      </c>
      <c r="BS147" s="26"/>
      <c r="BT147" s="26">
        <f t="shared" si="523"/>
        <v>1.7356935832333449E-2</v>
      </c>
      <c r="BU147" s="26">
        <f t="shared" si="524"/>
        <v>0</v>
      </c>
      <c r="BV147" s="26">
        <f t="shared" si="525"/>
        <v>1.7356935832333449E-2</v>
      </c>
      <c r="BW147" s="26">
        <f t="shared" si="526"/>
        <v>6.1724817847449076E-4</v>
      </c>
      <c r="BX147" s="26">
        <f t="shared" si="527"/>
        <v>0.84196983238347345</v>
      </c>
      <c r="BY147" s="26">
        <f t="shared" si="528"/>
        <v>0.11305430692563312</v>
      </c>
      <c r="BZ147" s="26">
        <f t="shared" si="529"/>
        <v>0.99035525915224798</v>
      </c>
      <c r="CA147" s="22"/>
      <c r="CB147" s="22">
        <f t="shared" si="530"/>
        <v>0</v>
      </c>
      <c r="CC147" s="22">
        <f t="shared" si="531"/>
        <v>1.7356935832333449E-2</v>
      </c>
      <c r="CD147" s="22">
        <f t="shared" si="532"/>
        <v>0</v>
      </c>
      <c r="CE147" s="22">
        <f t="shared" si="533"/>
        <v>1.2349289568744581E-3</v>
      </c>
      <c r="CF147" s="22">
        <f t="shared" si="534"/>
        <v>0</v>
      </c>
      <c r="CG147" s="22">
        <f t="shared" si="535"/>
        <v>0.42950521719591223</v>
      </c>
      <c r="CH147" s="22">
        <f t="shared" si="536"/>
        <v>0.43549351694876742</v>
      </c>
      <c r="CI147" s="22">
        <f t="shared" si="537"/>
        <v>0.13500126585532043</v>
      </c>
      <c r="CJ147" s="22"/>
      <c r="CK147" s="22">
        <f t="shared" si="538"/>
        <v>0.44343848075149456</v>
      </c>
      <c r="CL147" s="22">
        <f t="shared" si="539"/>
        <v>0.4204325839069411</v>
      </c>
      <c r="CM147" s="22">
        <f t="shared" si="540"/>
        <v>0.13612893534156445</v>
      </c>
      <c r="CN147" s="1"/>
      <c r="CO147" s="26">
        <f t="shared" si="541"/>
        <v>0.89813581890812255</v>
      </c>
      <c r="CP147" s="26">
        <f t="shared" si="542"/>
        <v>9.6394591887831753E-4</v>
      </c>
      <c r="CQ147" s="26">
        <f t="shared" si="543"/>
        <v>7.7677520596312289E-3</v>
      </c>
      <c r="CR147" s="26">
        <f t="shared" si="544"/>
        <v>5.526679386801763E-4</v>
      </c>
      <c r="CS147" s="26">
        <f t="shared" si="545"/>
        <v>0.11315240083507309</v>
      </c>
      <c r="CT147" s="26">
        <f t="shared" si="546"/>
        <v>5.0324217648717228E-3</v>
      </c>
      <c r="CU147" s="26">
        <f t="shared" si="547"/>
        <v>0.36501240694789089</v>
      </c>
      <c r="CV147" s="26">
        <f t="shared" si="548"/>
        <v>0.38498573466476466</v>
      </c>
      <c r="CW147" s="26">
        <f t="shared" si="549"/>
        <v>1.426266537592772E-2</v>
      </c>
      <c r="CX147" s="26">
        <f t="shared" si="550"/>
        <v>2.5477707006369424E-4</v>
      </c>
      <c r="CY147" s="26">
        <f t="shared" si="551"/>
        <v>0</v>
      </c>
      <c r="CZ147" s="26">
        <f t="shared" si="552"/>
        <v>0</v>
      </c>
      <c r="DA147" s="26">
        <f t="shared" si="553"/>
        <v>0</v>
      </c>
      <c r="DB147" s="26">
        <f t="shared" si="554"/>
        <v>1.7901205914839038</v>
      </c>
      <c r="DC147" s="26">
        <f t="shared" si="555"/>
        <v>2.6861218450870648</v>
      </c>
      <c r="DD147" s="26">
        <f t="shared" si="556"/>
        <v>2.2344863351827251</v>
      </c>
      <c r="DE147" s="26">
        <f t="shared" si="557"/>
        <v>6.0021025574828553</v>
      </c>
      <c r="DF147" s="1"/>
      <c r="DG147" s="22"/>
      <c r="DH147" s="14"/>
      <c r="DI147" s="14"/>
      <c r="DJ147" s="14"/>
      <c r="DK147" s="14"/>
      <c r="DL147" s="14"/>
      <c r="DM147" s="96"/>
      <c r="DN147" s="14"/>
      <c r="DO147" s="96"/>
      <c r="DP147" s="22"/>
      <c r="DQ147" s="14"/>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46"/>
      <c r="FR147" s="46"/>
      <c r="FS147" s="46"/>
      <c r="FT147" s="46"/>
      <c r="FU147" s="46"/>
      <c r="FV147" s="46"/>
      <c r="FW147" s="46"/>
      <c r="FX147" s="46"/>
      <c r="FY147" s="46"/>
      <c r="FZ147" s="46"/>
      <c r="GA147" s="46"/>
      <c r="GB147" s="46"/>
      <c r="GC147" s="46"/>
      <c r="GD147" s="46"/>
      <c r="GE147" s="46"/>
      <c r="GF147" s="46"/>
      <c r="GG147" s="46"/>
      <c r="GH147" s="46"/>
    </row>
    <row r="148" spans="1:190" x14ac:dyDescent="0.25">
      <c r="A148" s="5" t="s">
        <v>254</v>
      </c>
      <c r="B148" s="1">
        <v>773</v>
      </c>
      <c r="C148" s="98" t="s">
        <v>95</v>
      </c>
      <c r="D148" s="98" t="s">
        <v>106</v>
      </c>
      <c r="E148" s="1">
        <v>284</v>
      </c>
      <c r="F148" s="22">
        <v>53.29</v>
      </c>
      <c r="G148" s="22">
        <v>4.7E-2</v>
      </c>
      <c r="H148" s="22">
        <v>0.41499999999999998</v>
      </c>
      <c r="I148" s="22">
        <v>1.4999999999999999E-2</v>
      </c>
      <c r="J148" s="22">
        <v>9.89</v>
      </c>
      <c r="K148" s="22">
        <v>0.371</v>
      </c>
      <c r="L148" s="22">
        <v>14.13</v>
      </c>
      <c r="M148" s="22">
        <v>20.92</v>
      </c>
      <c r="N148" s="22">
        <v>0.436</v>
      </c>
      <c r="O148" s="22">
        <v>0.01</v>
      </c>
      <c r="P148" s="22"/>
      <c r="Q148" s="22"/>
      <c r="R148" s="22"/>
      <c r="S148" s="22">
        <f t="shared" si="482"/>
        <v>99.524000000000001</v>
      </c>
      <c r="T148" s="3"/>
      <c r="U148" s="22">
        <f t="shared" si="483"/>
        <v>9.3491960718576586</v>
      </c>
      <c r="V148" s="22">
        <f t="shared" si="484"/>
        <v>0.60099540534458429</v>
      </c>
      <c r="W148" s="22">
        <f t="shared" si="485"/>
        <v>99.584191477202239</v>
      </c>
      <c r="X148" s="1">
        <v>1</v>
      </c>
      <c r="Y148" s="1"/>
      <c r="Z148" s="1"/>
      <c r="AA148" s="1" t="s">
        <v>185</v>
      </c>
      <c r="AC148" s="1">
        <v>6</v>
      </c>
      <c r="AD148" s="1">
        <v>4</v>
      </c>
      <c r="AE148" s="1"/>
      <c r="AF148" s="26">
        <f t="shared" si="486"/>
        <v>1.9997169202458924</v>
      </c>
      <c r="AG148" s="26">
        <f t="shared" si="487"/>
        <v>1.3265161043107027E-3</v>
      </c>
      <c r="AH148" s="26">
        <f t="shared" si="488"/>
        <v>1.835274332075184E-2</v>
      </c>
      <c r="AI148" s="26">
        <f t="shared" si="489"/>
        <v>4.4499892803280273E-4</v>
      </c>
      <c r="AJ148" s="26">
        <f t="shared" si="490"/>
        <v>0.31032891586136369</v>
      </c>
      <c r="AK148" s="26">
        <f t="shared" si="491"/>
        <v>1.1790587634434175E-2</v>
      </c>
      <c r="AL148" s="26">
        <f t="shared" si="492"/>
        <v>0.79047809704152328</v>
      </c>
      <c r="AM148" s="26">
        <f t="shared" si="493"/>
        <v>0.84102014832387262</v>
      </c>
      <c r="AN148" s="26">
        <f t="shared" si="494"/>
        <v>3.1718864970704183E-2</v>
      </c>
      <c r="AO148" s="26">
        <f t="shared" si="495"/>
        <v>4.7866515974314007E-4</v>
      </c>
      <c r="AP148" s="26">
        <f t="shared" si="496"/>
        <v>0</v>
      </c>
      <c r="AQ148" s="26">
        <f t="shared" si="497"/>
        <v>0</v>
      </c>
      <c r="AR148" s="26">
        <f t="shared" si="498"/>
        <v>0</v>
      </c>
      <c r="AS148" s="26">
        <f t="shared" si="499"/>
        <v>4.0056564575906295</v>
      </c>
      <c r="AT148" s="26">
        <f t="shared" si="500"/>
        <v>2.0180696635666444</v>
      </c>
      <c r="AU148" s="26">
        <f t="shared" si="501"/>
        <v>0.87321767845431997</v>
      </c>
      <c r="AV148" s="47"/>
      <c r="AW148" s="26">
        <f t="shared" si="502"/>
        <v>1.9968930849838347</v>
      </c>
      <c r="AX148" s="26">
        <f t="shared" si="503"/>
        <v>1.3246429077031652E-3</v>
      </c>
      <c r="AY148" s="26">
        <f t="shared" si="504"/>
        <v>1.8326827090699507E-2</v>
      </c>
      <c r="AZ148" s="26">
        <f t="shared" si="505"/>
        <v>4.443705372581713E-4</v>
      </c>
      <c r="BA148" s="26">
        <f t="shared" si="506"/>
        <v>0.29294528494430944</v>
      </c>
      <c r="BB148" s="26">
        <f t="shared" si="507"/>
        <v>1.6945410023600171E-2</v>
      </c>
      <c r="BC148" s="26">
        <f t="shared" si="508"/>
        <v>1.1773937939277121E-2</v>
      </c>
      <c r="BD148" s="26">
        <f t="shared" si="509"/>
        <v>0.78936184908576978</v>
      </c>
      <c r="BE148" s="26">
        <f t="shared" si="510"/>
        <v>0.83983252905291805</v>
      </c>
      <c r="BF148" s="26">
        <f t="shared" si="511"/>
        <v>3.1674074206336542E-2</v>
      </c>
      <c r="BG148" s="26">
        <f t="shared" si="512"/>
        <v>4.7798922829348525E-4</v>
      </c>
      <c r="BH148" s="26">
        <f t="shared" si="513"/>
        <v>0</v>
      </c>
      <c r="BI148" s="26">
        <f t="shared" si="514"/>
        <v>0</v>
      </c>
      <c r="BJ148" s="26">
        <f t="shared" si="515"/>
        <v>0</v>
      </c>
      <c r="BK148" s="25">
        <f t="shared" si="516"/>
        <v>4</v>
      </c>
      <c r="BL148" s="24">
        <f t="shared" si="517"/>
        <v>6.0000000000000027</v>
      </c>
      <c r="BM148" s="26">
        <f t="shared" si="518"/>
        <v>2.0152199120745342</v>
      </c>
      <c r="BN148" s="26">
        <f t="shared" si="519"/>
        <v>0.871984592487548</v>
      </c>
      <c r="BO148" s="22"/>
      <c r="BP148" s="23">
        <f t="shared" si="520"/>
        <v>0.71808962677026411</v>
      </c>
      <c r="BQ148" s="26">
        <f t="shared" si="521"/>
        <v>3.1069150161653347E-3</v>
      </c>
      <c r="BR148" s="26">
        <f t="shared" si="522"/>
        <v>1.5219912074534173E-2</v>
      </c>
      <c r="BS148" s="26"/>
      <c r="BT148" s="26">
        <f t="shared" si="523"/>
        <v>1.5219912074534173E-2</v>
      </c>
      <c r="BU148" s="26">
        <f t="shared" si="524"/>
        <v>0</v>
      </c>
      <c r="BV148" s="26">
        <f t="shared" si="525"/>
        <v>1.5219912074534173E-2</v>
      </c>
      <c r="BW148" s="26">
        <f t="shared" si="526"/>
        <v>2.2249946401640136E-4</v>
      </c>
      <c r="BX148" s="26">
        <f t="shared" si="527"/>
        <v>0.82557773678532198</v>
      </c>
      <c r="BY148" s="26">
        <f t="shared" si="528"/>
        <v>0.13761463805878243</v>
      </c>
      <c r="BZ148" s="26">
        <f t="shared" si="529"/>
        <v>0.99385469845718921</v>
      </c>
      <c r="CA148" s="22"/>
      <c r="CB148" s="22">
        <f t="shared" si="530"/>
        <v>1.6945410023600171E-2</v>
      </c>
      <c r="CC148" s="22">
        <f t="shared" si="531"/>
        <v>1.472866418273637E-2</v>
      </c>
      <c r="CD148" s="22">
        <f t="shared" si="532"/>
        <v>0</v>
      </c>
      <c r="CE148" s="22">
        <f t="shared" si="533"/>
        <v>4.443705372581713E-4</v>
      </c>
      <c r="CF148" s="22">
        <f t="shared" si="534"/>
        <v>4.9124789179780248E-4</v>
      </c>
      <c r="CG148" s="22">
        <f t="shared" si="535"/>
        <v>0.42792116032373112</v>
      </c>
      <c r="CH148" s="22">
        <f t="shared" si="536"/>
        <v>0.41723573328784053</v>
      </c>
      <c r="CI148" s="22">
        <f t="shared" si="537"/>
        <v>0.15484310638842833</v>
      </c>
      <c r="CJ148" s="22"/>
      <c r="CK148" s="22">
        <f t="shared" si="538"/>
        <v>0.43049370779627766</v>
      </c>
      <c r="CL148" s="22">
        <f t="shared" si="539"/>
        <v>0.40462270446831783</v>
      </c>
      <c r="CM148" s="22">
        <f t="shared" si="540"/>
        <v>0.16488358773540437</v>
      </c>
      <c r="CN148" s="1"/>
      <c r="CO148" s="26">
        <f t="shared" si="541"/>
        <v>0.88698402130492682</v>
      </c>
      <c r="CP148" s="26">
        <f t="shared" si="542"/>
        <v>5.8838257386079128E-4</v>
      </c>
      <c r="CQ148" s="26">
        <f t="shared" si="543"/>
        <v>8.1404472342094941E-3</v>
      </c>
      <c r="CR148" s="26">
        <f t="shared" si="544"/>
        <v>1.9738140667149154E-4</v>
      </c>
      <c r="CS148" s="26">
        <f t="shared" si="545"/>
        <v>0.13764787752261659</v>
      </c>
      <c r="CT148" s="26">
        <f t="shared" si="546"/>
        <v>5.2297716380039468E-3</v>
      </c>
      <c r="CU148" s="26">
        <f t="shared" si="547"/>
        <v>0.35062034739454101</v>
      </c>
      <c r="CV148" s="26">
        <f t="shared" si="548"/>
        <v>0.37303851640513558</v>
      </c>
      <c r="CW148" s="26">
        <f t="shared" si="549"/>
        <v>1.4069054533720555E-2</v>
      </c>
      <c r="CX148" s="26">
        <f t="shared" si="550"/>
        <v>2.1231422505307856E-4</v>
      </c>
      <c r="CY148" s="26">
        <f t="shared" si="551"/>
        <v>0</v>
      </c>
      <c r="CZ148" s="26">
        <f t="shared" si="552"/>
        <v>0</v>
      </c>
      <c r="DA148" s="26">
        <f t="shared" si="553"/>
        <v>0</v>
      </c>
      <c r="DB148" s="26">
        <f t="shared" si="554"/>
        <v>1.7767281142387392</v>
      </c>
      <c r="DC148" s="26">
        <f t="shared" si="555"/>
        <v>2.6613287480585806</v>
      </c>
      <c r="DD148" s="26">
        <f t="shared" si="556"/>
        <v>2.2513292652623154</v>
      </c>
      <c r="DE148" s="26">
        <f t="shared" si="557"/>
        <v>5.9915272949882015</v>
      </c>
      <c r="DF148" s="1"/>
      <c r="DG148" s="22"/>
      <c r="DH148" s="14"/>
      <c r="DI148" s="14"/>
      <c r="DJ148" s="14"/>
      <c r="DK148" s="14"/>
      <c r="DL148" s="14"/>
      <c r="DM148" s="96"/>
      <c r="DN148" s="14"/>
      <c r="DO148" s="96"/>
      <c r="DP148" s="22"/>
      <c r="DQ148" s="14"/>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46"/>
      <c r="FR148" s="46"/>
      <c r="FS148" s="46"/>
      <c r="FT148" s="46"/>
      <c r="FU148" s="46"/>
      <c r="FV148" s="46"/>
      <c r="FW148" s="46"/>
      <c r="FX148" s="46"/>
      <c r="FY148" s="46"/>
      <c r="FZ148" s="46"/>
      <c r="GA148" s="46"/>
      <c r="GB148" s="46"/>
      <c r="GC148" s="46"/>
      <c r="GD148" s="46"/>
      <c r="GE148" s="46"/>
      <c r="GF148" s="46"/>
      <c r="GG148" s="46"/>
      <c r="GH148" s="46"/>
    </row>
    <row r="149" spans="1:190" x14ac:dyDescent="0.25">
      <c r="A149" s="5" t="s">
        <v>249</v>
      </c>
      <c r="B149" s="1">
        <v>125</v>
      </c>
      <c r="C149" s="98" t="s">
        <v>95</v>
      </c>
      <c r="D149" s="98" t="s">
        <v>104</v>
      </c>
      <c r="E149" s="1">
        <v>156</v>
      </c>
      <c r="F149" s="22">
        <v>52.37</v>
      </c>
      <c r="G149" s="22">
        <v>0.50800000000000001</v>
      </c>
      <c r="H149" s="22">
        <v>2.08</v>
      </c>
      <c r="I149" s="22">
        <v>0</v>
      </c>
      <c r="J149" s="22">
        <v>9.32</v>
      </c>
      <c r="K149" s="22">
        <v>0.45700000000000002</v>
      </c>
      <c r="L149" s="22">
        <v>14.72</v>
      </c>
      <c r="M149" s="22">
        <v>20.41</v>
      </c>
      <c r="N149" s="22">
        <v>0.35499999999999998</v>
      </c>
      <c r="O149" s="22">
        <v>0</v>
      </c>
      <c r="P149" s="22">
        <v>0</v>
      </c>
      <c r="Q149" s="22"/>
      <c r="R149" s="22"/>
      <c r="S149" s="22">
        <f t="shared" si="482"/>
        <v>100.21999999999998</v>
      </c>
      <c r="T149" s="3"/>
      <c r="U149" s="22">
        <f t="shared" si="483"/>
        <v>8.5841388839222788</v>
      </c>
      <c r="V149" s="22">
        <f t="shared" si="484"/>
        <v>0.81776245829717187</v>
      </c>
      <c r="W149" s="22">
        <f t="shared" si="485"/>
        <v>100.30190134221945</v>
      </c>
      <c r="X149" s="1"/>
      <c r="Y149" s="1"/>
      <c r="Z149" s="1"/>
      <c r="AA149" s="1" t="s">
        <v>185</v>
      </c>
      <c r="AC149" s="1">
        <v>6</v>
      </c>
      <c r="AD149" s="1">
        <v>4</v>
      </c>
      <c r="AE149" s="1"/>
      <c r="AF149" s="26">
        <f t="shared" si="486"/>
        <v>1.9454403428000071</v>
      </c>
      <c r="AG149" s="26">
        <f t="shared" si="487"/>
        <v>1.4193546464454084E-2</v>
      </c>
      <c r="AH149" s="26">
        <f t="shared" si="488"/>
        <v>9.1060236007621947E-2</v>
      </c>
      <c r="AI149" s="26">
        <f t="shared" si="489"/>
        <v>0</v>
      </c>
      <c r="AJ149" s="26">
        <f t="shared" si="490"/>
        <v>0.28950389266601789</v>
      </c>
      <c r="AK149" s="26">
        <f t="shared" si="491"/>
        <v>1.437772867423537E-2</v>
      </c>
      <c r="AL149" s="26">
        <f t="shared" si="492"/>
        <v>0.8152072466377327</v>
      </c>
      <c r="AM149" s="26">
        <f t="shared" si="493"/>
        <v>0.81226972692132327</v>
      </c>
      <c r="AN149" s="26">
        <f t="shared" si="494"/>
        <v>2.5566545120670765E-2</v>
      </c>
      <c r="AO149" s="26">
        <f t="shared" si="495"/>
        <v>0</v>
      </c>
      <c r="AP149" s="26">
        <f t="shared" si="496"/>
        <v>0</v>
      </c>
      <c r="AQ149" s="26">
        <f t="shared" si="497"/>
        <v>0</v>
      </c>
      <c r="AR149" s="26">
        <f t="shared" si="498"/>
        <v>0</v>
      </c>
      <c r="AS149" s="26">
        <f t="shared" si="499"/>
        <v>4.0076192652920621</v>
      </c>
      <c r="AT149" s="26">
        <f t="shared" si="500"/>
        <v>2.0365005788076291</v>
      </c>
      <c r="AU149" s="26">
        <f t="shared" si="501"/>
        <v>0.83783627204199407</v>
      </c>
      <c r="AV149" s="47"/>
      <c r="AW149" s="26">
        <f t="shared" si="502"/>
        <v>1.9417416815499104</v>
      </c>
      <c r="AX149" s="26">
        <f t="shared" si="503"/>
        <v>1.4166561766360507E-2</v>
      </c>
      <c r="AY149" s="26">
        <f t="shared" si="504"/>
        <v>9.0887112751700708E-2</v>
      </c>
      <c r="AZ149" s="26">
        <f t="shared" si="505"/>
        <v>0</v>
      </c>
      <c r="BA149" s="26">
        <f t="shared" si="506"/>
        <v>0.26613915059159066</v>
      </c>
      <c r="BB149" s="26">
        <f t="shared" si="507"/>
        <v>2.2814338751334429E-2</v>
      </c>
      <c r="BC149" s="26">
        <f t="shared" si="508"/>
        <v>1.4350393809864633E-2</v>
      </c>
      <c r="BD149" s="26">
        <f t="shared" si="509"/>
        <v>0.81365737878128774</v>
      </c>
      <c r="BE149" s="26">
        <f t="shared" si="510"/>
        <v>0.81072544386236989</v>
      </c>
      <c r="BF149" s="26">
        <f t="shared" si="511"/>
        <v>2.5517938135580401E-2</v>
      </c>
      <c r="BG149" s="26">
        <f t="shared" si="512"/>
        <v>0</v>
      </c>
      <c r="BH149" s="26">
        <f t="shared" si="513"/>
        <v>0</v>
      </c>
      <c r="BI149" s="26">
        <f t="shared" si="514"/>
        <v>0</v>
      </c>
      <c r="BJ149" s="26">
        <f t="shared" si="515"/>
        <v>0</v>
      </c>
      <c r="BK149" s="25">
        <f t="shared" si="516"/>
        <v>3.9999999999999991</v>
      </c>
      <c r="BL149" s="24">
        <f t="shared" si="517"/>
        <v>5.9999999999999982</v>
      </c>
      <c r="BM149" s="26">
        <f t="shared" si="518"/>
        <v>2.032628794301611</v>
      </c>
      <c r="BN149" s="26">
        <f t="shared" si="519"/>
        <v>0.83624338199795034</v>
      </c>
      <c r="BO149" s="22"/>
      <c r="BP149" s="23">
        <f t="shared" si="520"/>
        <v>0.73793702048801735</v>
      </c>
      <c r="BQ149" s="26">
        <f t="shared" si="521"/>
        <v>5.8258318450089552E-2</v>
      </c>
      <c r="BR149" s="26">
        <f t="shared" si="522"/>
        <v>3.2628794301611155E-2</v>
      </c>
      <c r="BS149" s="26"/>
      <c r="BT149" s="26">
        <f t="shared" si="523"/>
        <v>2.5566545120670765E-2</v>
      </c>
      <c r="BU149" s="26">
        <f t="shared" si="524"/>
        <v>7.1108561660307538E-3</v>
      </c>
      <c r="BV149" s="26">
        <f t="shared" si="525"/>
        <v>2.9073366218595777E-2</v>
      </c>
      <c r="BW149" s="26">
        <f t="shared" si="526"/>
        <v>0</v>
      </c>
      <c r="BX149" s="26">
        <f t="shared" si="527"/>
        <v>0.77608550453669667</v>
      </c>
      <c r="BY149" s="26">
        <f t="shared" si="528"/>
        <v>0.16431281738352693</v>
      </c>
      <c r="BZ149" s="26">
        <f t="shared" si="529"/>
        <v>1.0021490894255209</v>
      </c>
      <c r="CA149" s="22"/>
      <c r="CB149" s="22">
        <f t="shared" si="530"/>
        <v>2.2814338751334429E-2</v>
      </c>
      <c r="CC149" s="22">
        <f t="shared" si="531"/>
        <v>2.7035993842459728E-3</v>
      </c>
      <c r="CD149" s="22">
        <f t="shared" si="532"/>
        <v>0</v>
      </c>
      <c r="CE149" s="22">
        <f t="shared" si="533"/>
        <v>0</v>
      </c>
      <c r="CF149" s="22">
        <f t="shared" si="534"/>
        <v>2.9925194917365183E-2</v>
      </c>
      <c r="CG149" s="22">
        <f t="shared" si="535"/>
        <v>0.40180729384816954</v>
      </c>
      <c r="CH149" s="22">
        <f t="shared" si="536"/>
        <v>0.45075520809115932</v>
      </c>
      <c r="CI149" s="22">
        <f t="shared" si="537"/>
        <v>0.14743749806067111</v>
      </c>
      <c r="CJ149" s="22"/>
      <c r="CK149" s="22">
        <f t="shared" si="538"/>
        <v>0.42056909010399007</v>
      </c>
      <c r="CL149" s="22">
        <f t="shared" si="539"/>
        <v>0.42209005038768233</v>
      </c>
      <c r="CM149" s="22">
        <f t="shared" si="540"/>
        <v>0.15734085950832763</v>
      </c>
      <c r="CN149" s="1"/>
      <c r="CO149" s="26">
        <f t="shared" si="541"/>
        <v>0.87167110519307589</v>
      </c>
      <c r="CP149" s="26">
        <f t="shared" si="542"/>
        <v>6.359539308963446E-3</v>
      </c>
      <c r="CQ149" s="26">
        <f t="shared" si="543"/>
        <v>4.0800313848568068E-2</v>
      </c>
      <c r="CR149" s="26">
        <f t="shared" si="544"/>
        <v>0</v>
      </c>
      <c r="CS149" s="26">
        <f t="shared" si="545"/>
        <v>0.12971468336812805</v>
      </c>
      <c r="CT149" s="26">
        <f t="shared" si="546"/>
        <v>6.4420637158161828E-3</v>
      </c>
      <c r="CU149" s="26">
        <f t="shared" si="547"/>
        <v>0.36526054590570722</v>
      </c>
      <c r="CV149" s="26">
        <f t="shared" si="548"/>
        <v>0.36394436519258205</v>
      </c>
      <c r="CW149" s="26">
        <f t="shared" si="549"/>
        <v>1.1455308163923846E-2</v>
      </c>
      <c r="CX149" s="26">
        <f t="shared" si="550"/>
        <v>0</v>
      </c>
      <c r="CY149" s="26">
        <f t="shared" si="551"/>
        <v>0</v>
      </c>
      <c r="CZ149" s="26">
        <f t="shared" si="552"/>
        <v>0</v>
      </c>
      <c r="DA149" s="26">
        <f t="shared" si="553"/>
        <v>0</v>
      </c>
      <c r="DB149" s="26">
        <f t="shared" si="554"/>
        <v>1.7956479246967649</v>
      </c>
      <c r="DC149" s="26">
        <f t="shared" si="555"/>
        <v>2.6883510720411263</v>
      </c>
      <c r="DD149" s="26">
        <f t="shared" si="556"/>
        <v>2.2276081769623568</v>
      </c>
      <c r="DE149" s="26">
        <f t="shared" si="557"/>
        <v>5.9885928306243308</v>
      </c>
      <c r="DF149" s="1"/>
      <c r="DG149" s="22">
        <v>3.8475313993029241</v>
      </c>
      <c r="DH149" s="14">
        <v>2442.4028856028172</v>
      </c>
      <c r="DI149" s="14">
        <v>83765.104344465173</v>
      </c>
      <c r="DJ149" s="14">
        <v>10750.126864371061</v>
      </c>
      <c r="DK149" s="14">
        <v>247229.69003137288</v>
      </c>
      <c r="DL149" s="14">
        <v>142171.41729909027</v>
      </c>
      <c r="DM149" s="96">
        <v>143.38838903487027</v>
      </c>
      <c r="DN149" s="14">
        <v>3044.1493846769995</v>
      </c>
      <c r="DO149" s="96">
        <v>194.37160072336545</v>
      </c>
      <c r="DP149" s="22">
        <v>0</v>
      </c>
      <c r="DQ149" s="14">
        <v>3453.3090602373309</v>
      </c>
      <c r="DR149" s="22">
        <v>34.702930303240109</v>
      </c>
      <c r="DS149" s="22">
        <v>0</v>
      </c>
      <c r="DT149" s="22">
        <v>0</v>
      </c>
      <c r="DU149" s="22">
        <v>95.573674204392745</v>
      </c>
      <c r="DV149" s="22">
        <v>0</v>
      </c>
      <c r="DW149" s="22">
        <v>13.093409639894613</v>
      </c>
      <c r="DX149" s="22">
        <v>15.927153259040633</v>
      </c>
      <c r="DY149" s="22">
        <v>53.5431944620086</v>
      </c>
      <c r="DZ149" s="22">
        <v>38.135532652227099</v>
      </c>
      <c r="EA149" s="22">
        <v>0</v>
      </c>
      <c r="EB149" s="22">
        <v>3.7929270756557776E-2</v>
      </c>
      <c r="EC149" s="22">
        <v>0.32339808724886221</v>
      </c>
      <c r="ED149" s="22">
        <v>2.7723523182452259</v>
      </c>
      <c r="EE149" s="22">
        <v>11.371096568351708</v>
      </c>
      <c r="EF149" s="22">
        <v>2.3187510914004279</v>
      </c>
      <c r="EG149" s="22">
        <v>14.689250064083387</v>
      </c>
      <c r="EH149" s="22">
        <v>5.4540644322419833</v>
      </c>
      <c r="EI149" s="22">
        <v>1.3405884802932924</v>
      </c>
      <c r="EJ149" s="22">
        <v>8.4836235130761519</v>
      </c>
      <c r="EK149" s="22">
        <v>1.4314387201623247</v>
      </c>
      <c r="EL149" s="22">
        <v>10.422391321211361</v>
      </c>
      <c r="EM149" s="22">
        <v>2.0095927341815387</v>
      </c>
      <c r="EN149" s="22">
        <v>5.7839979509439123</v>
      </c>
      <c r="EO149" s="22">
        <v>0.88388696455436278</v>
      </c>
      <c r="EP149" s="22">
        <v>5.0301137594039291</v>
      </c>
      <c r="EQ149" s="22">
        <v>0.79370948597527202</v>
      </c>
      <c r="ER149" s="22">
        <v>1.61265837741676</v>
      </c>
      <c r="ES149" s="22">
        <v>5.3999980196537622E-2</v>
      </c>
      <c r="ET149" s="22">
        <v>0</v>
      </c>
      <c r="EU149" s="22">
        <v>5.4822873466557093E-2</v>
      </c>
      <c r="EV149" s="22">
        <v>1.9224908846467988E-2</v>
      </c>
      <c r="EW149" s="22">
        <f>(EI149/0.05883)/SQRT((EH149/0.1536)*(EJ149/0.2069))</f>
        <v>0.59720256215459844</v>
      </c>
      <c r="EX149" s="22"/>
      <c r="EY149" s="22"/>
      <c r="EZ149" s="22"/>
      <c r="FA149" s="22"/>
      <c r="FB149" s="22"/>
      <c r="FC149" s="22"/>
      <c r="FD149" s="22"/>
      <c r="FE149" s="22"/>
      <c r="FF149" s="22"/>
      <c r="FG149" s="22"/>
      <c r="FH149" s="22"/>
      <c r="FI149" s="22">
        <f>-0.50354-2.23025*BP149+ N("eqn 18 Mg# R2 0.28 best")</f>
        <v>-2.1493240399434006</v>
      </c>
      <c r="FJ149" s="22"/>
      <c r="FK149" s="22">
        <f xml:space="preserve"> -0.03692  +  0.931085 + FX149   + N("488 NN Dy")</f>
        <v>0.8941650000000001</v>
      </c>
      <c r="FL149" s="22">
        <f>-0.48986  +   0    +   (1.071278 + 0) * GD149  +N("eqn 119 LnD Hf  (which has R2 of 0.51 for TS")</f>
        <v>-0.48986000000000002</v>
      </c>
      <c r="FM149" s="22"/>
      <c r="FN149" s="22"/>
      <c r="FO149" s="22">
        <f>3.94011-11.9214*BP149</f>
        <v>-4.8571323960458512</v>
      </c>
      <c r="FP149" s="22">
        <f xml:space="preserve">  -0.49862 +   1.013256 * FQ149 + N("294 NN")</f>
        <v>-0.49862000000000001</v>
      </c>
      <c r="FQ149" s="46"/>
      <c r="FR149" s="46"/>
      <c r="FS149" s="46"/>
      <c r="FT149" s="46"/>
      <c r="FU149" s="46"/>
      <c r="FV149" s="46"/>
      <c r="FW149" s="46"/>
      <c r="FX149" s="46"/>
      <c r="FY149" s="46"/>
      <c r="FZ149" s="46"/>
      <c r="GA149" s="46"/>
      <c r="GB149" s="46"/>
      <c r="GC149" s="46"/>
      <c r="GD149" s="46"/>
      <c r="GE149" s="46"/>
      <c r="GF149" s="46"/>
      <c r="GG149" s="46"/>
      <c r="GH149" s="46"/>
    </row>
    <row r="150" spans="1:190" x14ac:dyDescent="0.25">
      <c r="A150" s="5" t="s">
        <v>249</v>
      </c>
      <c r="B150" s="1">
        <v>137</v>
      </c>
      <c r="C150" s="98" t="s">
        <v>95</v>
      </c>
      <c r="D150" s="98" t="s">
        <v>104</v>
      </c>
      <c r="E150" s="1">
        <v>168</v>
      </c>
      <c r="F150" s="22">
        <v>52.42</v>
      </c>
      <c r="G150" s="22">
        <v>0.57899999999999996</v>
      </c>
      <c r="H150" s="22">
        <v>2.16</v>
      </c>
      <c r="I150" s="22">
        <v>0</v>
      </c>
      <c r="J150" s="22">
        <v>9.5500000000000007</v>
      </c>
      <c r="K150" s="22">
        <v>0.436</v>
      </c>
      <c r="L150" s="22">
        <v>14.57</v>
      </c>
      <c r="M150" s="22">
        <v>20.440000000000001</v>
      </c>
      <c r="N150" s="22">
        <v>0.36499999999999999</v>
      </c>
      <c r="O150" s="22">
        <v>0</v>
      </c>
      <c r="P150" s="22">
        <v>0</v>
      </c>
      <c r="Q150" s="22"/>
      <c r="R150" s="22"/>
      <c r="S150" s="22">
        <f t="shared" si="482"/>
        <v>100.52</v>
      </c>
      <c r="T150" s="3"/>
      <c r="U150" s="22">
        <f t="shared" si="483"/>
        <v>8.9116920109250159</v>
      </c>
      <c r="V150" s="22">
        <f t="shared" si="484"/>
        <v>0.70935166825903129</v>
      </c>
      <c r="W150" s="22">
        <f t="shared" si="485"/>
        <v>100.59104367918405</v>
      </c>
      <c r="X150" s="1"/>
      <c r="Y150" s="1"/>
      <c r="Z150" s="1"/>
      <c r="AA150" s="1" t="s">
        <v>185</v>
      </c>
      <c r="AC150" s="1">
        <v>6</v>
      </c>
      <c r="AD150" s="1">
        <v>4</v>
      </c>
      <c r="AE150" s="1"/>
      <c r="AF150" s="26">
        <f t="shared" si="486"/>
        <v>1.9431955368200846</v>
      </c>
      <c r="AG150" s="26">
        <f t="shared" si="487"/>
        <v>1.614321084984861E-2</v>
      </c>
      <c r="AH150" s="26">
        <f t="shared" si="488"/>
        <v>9.4363345936113646E-2</v>
      </c>
      <c r="AI150" s="26">
        <f t="shared" si="489"/>
        <v>0</v>
      </c>
      <c r="AJ150" s="26">
        <f t="shared" si="490"/>
        <v>0.29602337843185617</v>
      </c>
      <c r="AK150" s="26">
        <f t="shared" si="491"/>
        <v>1.3688148773734582E-2</v>
      </c>
      <c r="AL150" s="26">
        <f t="shared" si="492"/>
        <v>0.80520028014132639</v>
      </c>
      <c r="AM150" s="26">
        <f t="shared" si="493"/>
        <v>0.8117500016661352</v>
      </c>
      <c r="AN150" s="26">
        <f t="shared" si="494"/>
        <v>2.6231353485823106E-2</v>
      </c>
      <c r="AO150" s="26">
        <f t="shared" si="495"/>
        <v>0</v>
      </c>
      <c r="AP150" s="26">
        <f t="shared" si="496"/>
        <v>0</v>
      </c>
      <c r="AQ150" s="26">
        <f t="shared" si="497"/>
        <v>0</v>
      </c>
      <c r="AR150" s="26">
        <f t="shared" si="498"/>
        <v>0</v>
      </c>
      <c r="AS150" s="26">
        <f t="shared" si="499"/>
        <v>4.0065952561049221</v>
      </c>
      <c r="AT150" s="26">
        <f t="shared" si="500"/>
        <v>2.0375588827561981</v>
      </c>
      <c r="AU150" s="26">
        <f t="shared" si="501"/>
        <v>0.83798135515195826</v>
      </c>
      <c r="AV150" s="47"/>
      <c r="AW150" s="26">
        <f t="shared" si="502"/>
        <v>1.9399968428148084</v>
      </c>
      <c r="AX150" s="26">
        <f t="shared" si="503"/>
        <v>1.6116637511863374E-2</v>
      </c>
      <c r="AY150" s="26">
        <f t="shared" si="504"/>
        <v>9.4208014440520779E-2</v>
      </c>
      <c r="AZ150" s="26">
        <f t="shared" si="505"/>
        <v>0</v>
      </c>
      <c r="BA150" s="26">
        <f t="shared" si="506"/>
        <v>0.27578289541094148</v>
      </c>
      <c r="BB150" s="26">
        <f t="shared" si="507"/>
        <v>1.9753198963253116E-2</v>
      </c>
      <c r="BC150" s="26">
        <f t="shared" si="508"/>
        <v>1.3665616713220733E-2</v>
      </c>
      <c r="BD150" s="26">
        <f t="shared" si="509"/>
        <v>0.8038748400297514</v>
      </c>
      <c r="BE150" s="26">
        <f t="shared" si="510"/>
        <v>0.81041378005852405</v>
      </c>
      <c r="BF150" s="26">
        <f t="shared" si="511"/>
        <v>2.6188174057116365E-2</v>
      </c>
      <c r="BG150" s="26">
        <f t="shared" si="512"/>
        <v>0</v>
      </c>
      <c r="BH150" s="26">
        <f t="shared" si="513"/>
        <v>0</v>
      </c>
      <c r="BI150" s="26">
        <f t="shared" si="514"/>
        <v>0</v>
      </c>
      <c r="BJ150" s="26">
        <f t="shared" si="515"/>
        <v>0</v>
      </c>
      <c r="BK150" s="25">
        <f t="shared" si="516"/>
        <v>3.9999999999999991</v>
      </c>
      <c r="BL150" s="24">
        <f t="shared" si="517"/>
        <v>6</v>
      </c>
      <c r="BM150" s="26">
        <f t="shared" si="518"/>
        <v>2.0342048572553293</v>
      </c>
      <c r="BN150" s="26">
        <f t="shared" si="519"/>
        <v>0.83660195411564042</v>
      </c>
      <c r="BO150" s="22"/>
      <c r="BP150" s="23">
        <f t="shared" si="520"/>
        <v>0.731186870053806</v>
      </c>
      <c r="BQ150" s="26">
        <f t="shared" si="521"/>
        <v>6.0003157185191558E-2</v>
      </c>
      <c r="BR150" s="26">
        <f t="shared" si="522"/>
        <v>3.4204857255329221E-2</v>
      </c>
      <c r="BS150" s="26"/>
      <c r="BT150" s="26">
        <f t="shared" si="523"/>
        <v>2.6231353485823106E-2</v>
      </c>
      <c r="BU150" s="26">
        <f t="shared" si="524"/>
        <v>8.016683198212856E-3</v>
      </c>
      <c r="BV150" s="26">
        <f t="shared" si="525"/>
        <v>3.0196515656222792E-2</v>
      </c>
      <c r="BW150" s="26">
        <f t="shared" si="526"/>
        <v>0</v>
      </c>
      <c r="BX150" s="26">
        <f t="shared" si="527"/>
        <v>0.77353680281169956</v>
      </c>
      <c r="BY150" s="26">
        <f t="shared" si="528"/>
        <v>0.16384342788074147</v>
      </c>
      <c r="BZ150" s="26">
        <f t="shared" si="529"/>
        <v>1.0018247830326998</v>
      </c>
      <c r="CA150" s="22"/>
      <c r="CB150" s="22">
        <f t="shared" si="530"/>
        <v>1.9753198963253116E-2</v>
      </c>
      <c r="CC150" s="22">
        <f t="shared" si="531"/>
        <v>6.4349750938632495E-3</v>
      </c>
      <c r="CD150" s="22">
        <f t="shared" si="532"/>
        <v>0</v>
      </c>
      <c r="CE150" s="22">
        <f t="shared" si="533"/>
        <v>0</v>
      </c>
      <c r="CF150" s="22">
        <f t="shared" si="534"/>
        <v>2.7769882161465972E-2</v>
      </c>
      <c r="CG150" s="22">
        <f t="shared" si="535"/>
        <v>0.40119854843015562</v>
      </c>
      <c r="CH150" s="22">
        <f t="shared" si="536"/>
        <v>0.44584631340950864</v>
      </c>
      <c r="CI150" s="22">
        <f t="shared" si="537"/>
        <v>0.15295513816033568</v>
      </c>
      <c r="CJ150" s="22"/>
      <c r="CK150" s="22">
        <f t="shared" si="538"/>
        <v>0.4213245925510718</v>
      </c>
      <c r="CL150" s="22">
        <f t="shared" si="539"/>
        <v>0.41792507453801481</v>
      </c>
      <c r="CM150" s="22">
        <f t="shared" si="540"/>
        <v>0.1607503329109134</v>
      </c>
      <c r="CN150" s="1"/>
      <c r="CO150" s="26">
        <f t="shared" si="541"/>
        <v>0.87250332889480697</v>
      </c>
      <c r="CP150" s="26">
        <f t="shared" si="542"/>
        <v>7.2483725588382572E-3</v>
      </c>
      <c r="CQ150" s="26">
        <f t="shared" si="543"/>
        <v>4.2369556688897615E-2</v>
      </c>
      <c r="CR150" s="26">
        <f t="shared" si="544"/>
        <v>0</v>
      </c>
      <c r="CS150" s="26">
        <f t="shared" si="545"/>
        <v>0.1329157967988866</v>
      </c>
      <c r="CT150" s="26">
        <f t="shared" si="546"/>
        <v>6.1460389061178461E-3</v>
      </c>
      <c r="CU150" s="26">
        <f t="shared" si="547"/>
        <v>0.36153846153846159</v>
      </c>
      <c r="CV150" s="26">
        <f t="shared" si="548"/>
        <v>0.36447931526390875</v>
      </c>
      <c r="CW150" s="26">
        <f t="shared" si="549"/>
        <v>1.1777992900935785E-2</v>
      </c>
      <c r="CX150" s="26">
        <f t="shared" si="550"/>
        <v>0</v>
      </c>
      <c r="CY150" s="26">
        <f t="shared" si="551"/>
        <v>0</v>
      </c>
      <c r="CZ150" s="26">
        <f t="shared" si="552"/>
        <v>0</v>
      </c>
      <c r="DA150" s="26">
        <f t="shared" si="553"/>
        <v>0</v>
      </c>
      <c r="DB150" s="26">
        <f t="shared" si="554"/>
        <v>1.7989788635508535</v>
      </c>
      <c r="DC150" s="26">
        <f t="shared" si="555"/>
        <v>2.6940263468984793</v>
      </c>
      <c r="DD150" s="26">
        <f t="shared" si="556"/>
        <v>2.2234836000822908</v>
      </c>
      <c r="DE150" s="26">
        <f t="shared" si="557"/>
        <v>5.9901234005183737</v>
      </c>
      <c r="DF150" s="1"/>
      <c r="DG150" s="22"/>
      <c r="DH150" s="14"/>
      <c r="DI150" s="14"/>
      <c r="DJ150" s="14"/>
      <c r="DK150" s="14"/>
      <c r="DL150" s="14"/>
      <c r="DM150" s="96"/>
      <c r="DN150" s="14"/>
      <c r="DO150" s="96"/>
      <c r="DP150" s="22"/>
      <c r="DQ150" s="14"/>
      <c r="DR150" s="22"/>
      <c r="DS150" s="22"/>
      <c r="DT150" s="22"/>
      <c r="DU150" s="22"/>
      <c r="DV150" s="22"/>
      <c r="DW150" s="22"/>
      <c r="DX150" s="22"/>
      <c r="DY150" s="22"/>
      <c r="DZ150" s="22"/>
      <c r="EA150" s="22"/>
      <c r="EB150" s="22"/>
      <c r="EC150" s="22"/>
      <c r="ED150" s="22"/>
      <c r="EE150" s="22"/>
      <c r="EF150" s="22"/>
      <c r="EG150" s="22"/>
      <c r="EH150" s="22"/>
      <c r="EI150" s="22"/>
      <c r="EJ150" s="22"/>
      <c r="EK150" s="22"/>
      <c r="EL150" s="22"/>
      <c r="EM150" s="22"/>
      <c r="EN150" s="22"/>
      <c r="EO150" s="22"/>
      <c r="EP150" s="22"/>
      <c r="EQ150" s="22"/>
      <c r="ER150" s="22"/>
      <c r="ES150" s="22"/>
      <c r="ET150" s="22"/>
      <c r="EU150" s="22"/>
      <c r="EV150" s="22"/>
      <c r="EW150" s="22"/>
      <c r="EX150" s="22"/>
      <c r="EY150" s="22"/>
      <c r="EZ150" s="22"/>
      <c r="FA150" s="22"/>
      <c r="FB150" s="22"/>
      <c r="FC150" s="22"/>
      <c r="FD150" s="22"/>
      <c r="FE150" s="22"/>
      <c r="FF150" s="22"/>
      <c r="FG150" s="22"/>
      <c r="FH150" s="22"/>
      <c r="FI150" s="22"/>
      <c r="FJ150" s="22"/>
      <c r="FK150" s="22"/>
      <c r="FL150" s="22"/>
      <c r="FM150" s="22"/>
      <c r="FN150" s="22"/>
      <c r="FO150" s="22"/>
      <c r="FP150" s="22"/>
      <c r="FQ150" s="46">
        <f t="shared" ref="FQ150" si="572" xml:space="preserve">  -0.73306   +   1.025016   *  FS150     +N("316 NN Nd")</f>
        <v>-1.6426497967114848</v>
      </c>
      <c r="FR150" s="46">
        <f t="shared" ref="FR150" si="573" xml:space="preserve">  -0.33671   +   1.013871 *  FS150    +N("340 NN")</f>
        <v>-1.2364098259360534</v>
      </c>
      <c r="FS150" s="46">
        <f t="shared" ref="FS150" si="574">-0.42496     +   1.017678*FT150                 + N("361 NN")</f>
        <v>-0.88739082776413702</v>
      </c>
      <c r="FT150" s="46">
        <f xml:space="preserve"> 0.68509  -3.34181 * BP150 + 0.03095*(100*CK150) +N("642 cpx Mg# Wo R2 0.59")</f>
        <v>-0.45439798026894263</v>
      </c>
      <c r="FU150" s="46">
        <f t="shared" ref="FU150" si="575" xml:space="preserve"> -0.06599 + 0.926002 * FT150  + N("409 NN")</f>
        <v>-0.48676343852500142</v>
      </c>
      <c r="FV150" s="46">
        <f t="shared" ref="FV150" si="576">0.1453     +   0.925549*FT150     +N("424 LnD Sm")</f>
        <v>-0.27526759623993957</v>
      </c>
      <c r="FW150" s="46">
        <f t="shared" ref="FW150" si="577" xml:space="preserve">  0.053547 + 0.932974 * FV150  +  N("445 NN")</f>
        <v>-0.20327051033436139</v>
      </c>
      <c r="FX150" s="46">
        <f t="shared" ref="FX150" si="578" xml:space="preserve">  0.027177  +  0.867603 * FV150 + N("464 NN Gd")</f>
        <v>-0.21164599230056028</v>
      </c>
      <c r="FY150" s="46">
        <f t="shared" ref="FY150" si="579" xml:space="preserve">  -0.06187  +  0.953618 * FX150   + N("505 NN Dy")</f>
        <v>-0.26369942788567569</v>
      </c>
      <c r="FZ150" s="46">
        <f t="shared" ref="FZ150" si="580" xml:space="preserve"> -0.05652 + 0.972005*FY150   +N("533 NN")</f>
        <v>-0.3128371624020162</v>
      </c>
      <c r="GA150" s="46">
        <f t="shared" ref="GA150" si="581" xml:space="preserve">     0.018586 + 0.960264 * FZ150    +N("549 LnD Er")</f>
        <v>-0.28182026491680967</v>
      </c>
      <c r="GB150" s="46">
        <f t="shared" ref="GB150" si="582" xml:space="preserve"> -0.02011 + 0.936315 * FZ150    +N("574 NN Er")</f>
        <v>-0.31302412771444382</v>
      </c>
      <c r="GC150" s="46">
        <f t="shared" ref="GC150" si="583" xml:space="preserve">   0.01732 + 1.006083 * GB150  +N("597 NN Yb")</f>
        <v>-0.29760825348333081</v>
      </c>
      <c r="GD150" s="46">
        <f>(-1.72947 +0 ) * (3.46258+0) * BQ150   - (1.87473 + 0) *BP150   + (0.03253+0) * (CK150*100)    +N("eqn625 aliv mg# wo")</f>
        <v>-0.3595336618602718</v>
      </c>
      <c r="GE150" s="46"/>
      <c r="GF150" s="46"/>
      <c r="GG150" s="46"/>
      <c r="GH150" s="46"/>
    </row>
    <row r="151" spans="1:190" x14ac:dyDescent="0.25">
      <c r="A151" s="5" t="s">
        <v>249</v>
      </c>
      <c r="B151" s="1">
        <v>148</v>
      </c>
      <c r="C151" s="98" t="s">
        <v>95</v>
      </c>
      <c r="D151" s="98" t="s">
        <v>104</v>
      </c>
      <c r="E151" s="1">
        <v>179</v>
      </c>
      <c r="F151" s="22">
        <v>52.44</v>
      </c>
      <c r="G151" s="22">
        <v>0.753</v>
      </c>
      <c r="H151" s="22">
        <v>2.04</v>
      </c>
      <c r="I151" s="22">
        <v>3.1E-2</v>
      </c>
      <c r="J151" s="22">
        <v>9.64</v>
      </c>
      <c r="K151" s="22">
        <v>0.441</v>
      </c>
      <c r="L151" s="22">
        <v>14.68</v>
      </c>
      <c r="M151" s="22">
        <v>20.190000000000001</v>
      </c>
      <c r="N151" s="22">
        <v>0.38</v>
      </c>
      <c r="O151" s="22">
        <v>0</v>
      </c>
      <c r="P151" s="22">
        <v>0</v>
      </c>
      <c r="Q151" s="22"/>
      <c r="R151" s="22"/>
      <c r="S151" s="22">
        <f t="shared" si="482"/>
        <v>100.595</v>
      </c>
      <c r="T151" s="3"/>
      <c r="U151" s="22">
        <f t="shared" si="483"/>
        <v>9.1416845290070157</v>
      </c>
      <c r="V151" s="22">
        <f t="shared" si="484"/>
        <v>0.5537779829145042</v>
      </c>
      <c r="W151" s="22">
        <f t="shared" si="485"/>
        <v>100.65046251192152</v>
      </c>
      <c r="X151" s="1"/>
      <c r="Y151" s="1"/>
      <c r="Z151" s="1"/>
      <c r="AA151" s="1" t="s">
        <v>185</v>
      </c>
      <c r="AC151" s="1">
        <v>6</v>
      </c>
      <c r="AD151" s="1">
        <v>4</v>
      </c>
      <c r="AE151" s="1"/>
      <c r="AF151" s="26">
        <f t="shared" si="486"/>
        <v>1.94253800327822</v>
      </c>
      <c r="AG151" s="26">
        <f t="shared" si="487"/>
        <v>2.0979430023522001E-2</v>
      </c>
      <c r="AH151" s="26">
        <f t="shared" si="488"/>
        <v>8.9056803135803386E-2</v>
      </c>
      <c r="AI151" s="26">
        <f t="shared" si="489"/>
        <v>9.0784862355341317E-4</v>
      </c>
      <c r="AJ151" s="26">
        <f t="shared" si="490"/>
        <v>0.29859809067120907</v>
      </c>
      <c r="AK151" s="26">
        <f t="shared" si="491"/>
        <v>1.3835159499077486E-2</v>
      </c>
      <c r="AL151" s="26">
        <f t="shared" si="492"/>
        <v>0.81069552248227272</v>
      </c>
      <c r="AM151" s="26">
        <f t="shared" si="493"/>
        <v>0.80124453235398263</v>
      </c>
      <c r="AN151" s="26">
        <f t="shared" si="494"/>
        <v>2.7289701501876592E-2</v>
      </c>
      <c r="AO151" s="26">
        <f t="shared" si="495"/>
        <v>0</v>
      </c>
      <c r="AP151" s="26">
        <f t="shared" si="496"/>
        <v>0</v>
      </c>
      <c r="AQ151" s="26">
        <f t="shared" si="497"/>
        <v>0</v>
      </c>
      <c r="AR151" s="26">
        <f t="shared" si="498"/>
        <v>0</v>
      </c>
      <c r="AS151" s="26">
        <f t="shared" si="499"/>
        <v>4.005145091569517</v>
      </c>
      <c r="AT151" s="26">
        <f t="shared" si="500"/>
        <v>2.0315948064140232</v>
      </c>
      <c r="AU151" s="26">
        <f t="shared" si="501"/>
        <v>0.82853423385585923</v>
      </c>
      <c r="AV151" s="47"/>
      <c r="AW151" s="26">
        <f t="shared" si="502"/>
        <v>1.9400425790986642</v>
      </c>
      <c r="AX151" s="26">
        <f t="shared" si="503"/>
        <v>2.0952479417219498E-2</v>
      </c>
      <c r="AY151" s="26">
        <f t="shared" si="504"/>
        <v>8.8942398939064887E-2</v>
      </c>
      <c r="AZ151" s="26">
        <f t="shared" si="505"/>
        <v>9.0668238258269937E-4</v>
      </c>
      <c r="BA151" s="26">
        <f t="shared" si="506"/>
        <v>0.28279905919882048</v>
      </c>
      <c r="BB151" s="26">
        <f t="shared" si="507"/>
        <v>1.5415446237931008E-2</v>
      </c>
      <c r="BC151" s="26">
        <f t="shared" si="508"/>
        <v>1.3817386569289885E-2</v>
      </c>
      <c r="BD151" s="26">
        <f t="shared" si="509"/>
        <v>0.80965408637875969</v>
      </c>
      <c r="BE151" s="26">
        <f t="shared" si="510"/>
        <v>0.80021523718632115</v>
      </c>
      <c r="BF151" s="26">
        <f t="shared" si="511"/>
        <v>2.7254644591347316E-2</v>
      </c>
      <c r="BG151" s="26">
        <f t="shared" si="512"/>
        <v>0</v>
      </c>
      <c r="BH151" s="26">
        <f t="shared" si="513"/>
        <v>0</v>
      </c>
      <c r="BI151" s="26">
        <f t="shared" si="514"/>
        <v>0</v>
      </c>
      <c r="BJ151" s="26">
        <f t="shared" si="515"/>
        <v>0</v>
      </c>
      <c r="BK151" s="25">
        <f t="shared" si="516"/>
        <v>4.0000000000000009</v>
      </c>
      <c r="BL151" s="24">
        <f t="shared" si="517"/>
        <v>6</v>
      </c>
      <c r="BM151" s="26">
        <f t="shared" si="518"/>
        <v>2.0289849780377289</v>
      </c>
      <c r="BN151" s="26">
        <f t="shared" si="519"/>
        <v>0.82746988177766845</v>
      </c>
      <c r="BO151" s="22"/>
      <c r="BP151" s="23">
        <f t="shared" si="520"/>
        <v>0.73082141001212531</v>
      </c>
      <c r="BQ151" s="26">
        <f t="shared" si="521"/>
        <v>5.9957420901335823E-2</v>
      </c>
      <c r="BR151" s="26">
        <f t="shared" si="522"/>
        <v>2.8984978037729064E-2</v>
      </c>
      <c r="BS151" s="26"/>
      <c r="BT151" s="26">
        <f t="shared" si="523"/>
        <v>2.7289701501876592E-2</v>
      </c>
      <c r="BU151" s="26">
        <f t="shared" si="524"/>
        <v>1.7303334463817481E-3</v>
      </c>
      <c r="BV151" s="26">
        <f t="shared" si="525"/>
        <v>2.8119811314538189E-2</v>
      </c>
      <c r="BW151" s="26">
        <f t="shared" si="526"/>
        <v>4.5392431177670658E-4</v>
      </c>
      <c r="BX151" s="26">
        <f t="shared" si="527"/>
        <v>0.77094046328128596</v>
      </c>
      <c r="BY151" s="26">
        <f t="shared" si="528"/>
        <v>0.16917657493609795</v>
      </c>
      <c r="BZ151" s="26">
        <f t="shared" si="529"/>
        <v>0.99771080879195717</v>
      </c>
      <c r="CA151" s="22"/>
      <c r="CB151" s="22">
        <f t="shared" si="530"/>
        <v>1.5415446237931008E-2</v>
      </c>
      <c r="CC151" s="22">
        <f t="shared" si="531"/>
        <v>1.1839198353416309E-2</v>
      </c>
      <c r="CD151" s="22">
        <f t="shared" si="532"/>
        <v>0</v>
      </c>
      <c r="CE151" s="22">
        <f t="shared" si="533"/>
        <v>9.0668238258269937E-4</v>
      </c>
      <c r="CF151" s="22">
        <f t="shared" si="534"/>
        <v>1.7145779684312756E-2</v>
      </c>
      <c r="CG151" s="22">
        <f t="shared" si="535"/>
        <v>0.39878911067867834</v>
      </c>
      <c r="CH151" s="22">
        <f t="shared" si="536"/>
        <v>0.4455777854500656</v>
      </c>
      <c r="CI151" s="22">
        <f t="shared" si="537"/>
        <v>0.15563310387125609</v>
      </c>
      <c r="CJ151" s="22"/>
      <c r="CK151" s="22">
        <f t="shared" si="538"/>
        <v>0.41636647643647234</v>
      </c>
      <c r="CL151" s="22">
        <f t="shared" si="539"/>
        <v>0.42127768056911225</v>
      </c>
      <c r="CM151" s="22">
        <f t="shared" si="540"/>
        <v>0.16235584299441547</v>
      </c>
      <c r="CN151" s="1"/>
      <c r="CO151" s="26">
        <f t="shared" si="541"/>
        <v>0.8728362183754993</v>
      </c>
      <c r="CP151" s="26">
        <f t="shared" si="542"/>
        <v>9.4266399599399111E-3</v>
      </c>
      <c r="CQ151" s="26">
        <f t="shared" si="543"/>
        <v>4.0015692428403297E-2</v>
      </c>
      <c r="CR151" s="26">
        <f t="shared" si="544"/>
        <v>4.0792157378774919E-4</v>
      </c>
      <c r="CS151" s="26">
        <f t="shared" si="545"/>
        <v>0.13416840640222688</v>
      </c>
      <c r="CT151" s="26">
        <f t="shared" si="546"/>
        <v>6.2165210036650691E-3</v>
      </c>
      <c r="CU151" s="26">
        <f t="shared" si="547"/>
        <v>0.36426799007444172</v>
      </c>
      <c r="CV151" s="26">
        <f t="shared" si="548"/>
        <v>0.3600213980028531</v>
      </c>
      <c r="CW151" s="26">
        <f t="shared" si="549"/>
        <v>1.2262020006453695E-2</v>
      </c>
      <c r="CX151" s="26">
        <f t="shared" si="550"/>
        <v>0</v>
      </c>
      <c r="CY151" s="26">
        <f t="shared" si="551"/>
        <v>0</v>
      </c>
      <c r="CZ151" s="26">
        <f t="shared" si="552"/>
        <v>0</v>
      </c>
      <c r="DA151" s="26">
        <f t="shared" si="553"/>
        <v>0</v>
      </c>
      <c r="DB151" s="26">
        <f t="shared" si="554"/>
        <v>1.7996228078272705</v>
      </c>
      <c r="DC151" s="26">
        <f t="shared" si="555"/>
        <v>2.6959664631605786</v>
      </c>
      <c r="DD151" s="26">
        <f t="shared" si="556"/>
        <v>2.222687989173298</v>
      </c>
      <c r="DE151" s="26">
        <f t="shared" si="557"/>
        <v>5.9922922768810345</v>
      </c>
      <c r="DF151" s="1"/>
      <c r="DG151" s="22"/>
      <c r="DH151" s="14"/>
      <c r="DI151" s="14"/>
      <c r="DJ151" s="14"/>
      <c r="DK151" s="14"/>
      <c r="DL151" s="14"/>
      <c r="DM151" s="96"/>
      <c r="DN151" s="14"/>
      <c r="DO151" s="96"/>
      <c r="DP151" s="22"/>
      <c r="DQ151" s="14"/>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2"/>
      <c r="FP151" s="22"/>
      <c r="FQ151" s="46"/>
      <c r="FR151" s="46"/>
      <c r="FS151" s="46"/>
      <c r="FT151" s="46"/>
      <c r="FU151" s="46"/>
      <c r="FV151" s="46"/>
      <c r="FW151" s="46"/>
      <c r="FX151" s="46"/>
      <c r="FY151" s="46"/>
      <c r="FZ151" s="46"/>
      <c r="GA151" s="46"/>
      <c r="GB151" s="46"/>
      <c r="GC151" s="46"/>
      <c r="GD151" s="46"/>
      <c r="GE151" s="46"/>
      <c r="GF151" s="46"/>
      <c r="GG151" s="46"/>
      <c r="GH151" s="46"/>
    </row>
    <row r="152" spans="1:190" x14ac:dyDescent="0.25">
      <c r="A152" s="5" t="s">
        <v>249</v>
      </c>
      <c r="B152" s="1">
        <v>149</v>
      </c>
      <c r="C152" s="98" t="s">
        <v>95</v>
      </c>
      <c r="D152" s="98" t="s">
        <v>104</v>
      </c>
      <c r="E152" s="1">
        <v>180</v>
      </c>
      <c r="F152" s="22">
        <v>52.32</v>
      </c>
      <c r="G152" s="22">
        <v>0.55100000000000005</v>
      </c>
      <c r="H152" s="22">
        <v>2.2200000000000002</v>
      </c>
      <c r="I152" s="22">
        <v>1.2999999999999999E-2</v>
      </c>
      <c r="J152" s="22">
        <v>11.18</v>
      </c>
      <c r="K152" s="22">
        <v>0.49099999999999999</v>
      </c>
      <c r="L152" s="22">
        <v>14.5</v>
      </c>
      <c r="M152" s="22">
        <v>19</v>
      </c>
      <c r="N152" s="22">
        <v>0.39500000000000002</v>
      </c>
      <c r="O152" s="22">
        <v>0</v>
      </c>
      <c r="P152" s="22">
        <v>0</v>
      </c>
      <c r="Q152" s="22"/>
      <c r="R152" s="22"/>
      <c r="S152" s="22">
        <f t="shared" si="482"/>
        <v>100.66999999999999</v>
      </c>
      <c r="T152" s="3"/>
      <c r="U152" s="22">
        <f t="shared" si="483"/>
        <v>10.541838565972434</v>
      </c>
      <c r="V152" s="22">
        <f t="shared" si="484"/>
        <v>0.70918880163483355</v>
      </c>
      <c r="W152" s="22">
        <f t="shared" si="485"/>
        <v>100.74102736760727</v>
      </c>
      <c r="X152" s="1"/>
      <c r="Y152" s="1"/>
      <c r="Z152" s="1"/>
      <c r="AA152" s="1" t="s">
        <v>185</v>
      </c>
      <c r="AC152" s="1">
        <v>6</v>
      </c>
      <c r="AD152" s="1">
        <v>4</v>
      </c>
      <c r="AE152" s="1"/>
      <c r="AF152" s="26">
        <f t="shared" si="486"/>
        <v>1.9434396417346806</v>
      </c>
      <c r="AG152" s="26">
        <f t="shared" si="487"/>
        <v>1.5393833624853425E-2</v>
      </c>
      <c r="AH152" s="26">
        <f t="shared" si="488"/>
        <v>9.7182124533243069E-2</v>
      </c>
      <c r="AI152" s="26">
        <f t="shared" si="489"/>
        <v>3.8176101683527953E-4</v>
      </c>
      <c r="AJ152" s="26">
        <f t="shared" si="490"/>
        <v>0.34725481542075831</v>
      </c>
      <c r="AK152" s="26">
        <f t="shared" si="491"/>
        <v>1.5446267572736401E-2</v>
      </c>
      <c r="AL152" s="26">
        <f t="shared" si="492"/>
        <v>0.80296423530971095</v>
      </c>
      <c r="AM152" s="26">
        <f t="shared" si="493"/>
        <v>0.75609931007015319</v>
      </c>
      <c r="AN152" s="26">
        <f t="shared" si="494"/>
        <v>2.8445185164908893E-2</v>
      </c>
      <c r="AO152" s="26">
        <f t="shared" si="495"/>
        <v>0</v>
      </c>
      <c r="AP152" s="26">
        <f t="shared" si="496"/>
        <v>0</v>
      </c>
      <c r="AQ152" s="26">
        <f t="shared" si="497"/>
        <v>0</v>
      </c>
      <c r="AR152" s="26">
        <f t="shared" si="498"/>
        <v>0</v>
      </c>
      <c r="AS152" s="26">
        <f t="shared" si="499"/>
        <v>4.0066071744478799</v>
      </c>
      <c r="AT152" s="26">
        <f t="shared" si="500"/>
        <v>2.0406217662679236</v>
      </c>
      <c r="AU152" s="26">
        <f t="shared" si="501"/>
        <v>0.78454449523506209</v>
      </c>
      <c r="AV152" s="47"/>
      <c r="AW152" s="26">
        <f t="shared" si="502"/>
        <v>1.9402347743287223</v>
      </c>
      <c r="AX152" s="26">
        <f t="shared" si="503"/>
        <v>1.5368448120422217E-2</v>
      </c>
      <c r="AY152" s="26">
        <f t="shared" si="504"/>
        <v>9.7021864437344035E-2</v>
      </c>
      <c r="AZ152" s="26">
        <f t="shared" si="505"/>
        <v>3.8113146631390144E-4</v>
      </c>
      <c r="BA152" s="26">
        <f t="shared" si="506"/>
        <v>0.32689333175992225</v>
      </c>
      <c r="BB152" s="26">
        <f t="shared" si="507"/>
        <v>1.9788836270299814E-2</v>
      </c>
      <c r="BC152" s="26">
        <f t="shared" si="508"/>
        <v>1.5420795601071055E-2</v>
      </c>
      <c r="BD152" s="26">
        <f t="shared" si="509"/>
        <v>0.80164009132775671</v>
      </c>
      <c r="BE152" s="26">
        <f t="shared" si="510"/>
        <v>0.7548524496158977</v>
      </c>
      <c r="BF152" s="26">
        <f t="shared" si="511"/>
        <v>2.8398277072249994E-2</v>
      </c>
      <c r="BG152" s="26">
        <f t="shared" si="512"/>
        <v>0</v>
      </c>
      <c r="BH152" s="26">
        <f t="shared" si="513"/>
        <v>0</v>
      </c>
      <c r="BI152" s="26">
        <f t="shared" si="514"/>
        <v>0</v>
      </c>
      <c r="BJ152" s="26">
        <f t="shared" si="515"/>
        <v>0</v>
      </c>
      <c r="BK152" s="25">
        <f t="shared" si="516"/>
        <v>4</v>
      </c>
      <c r="BL152" s="24">
        <f t="shared" si="517"/>
        <v>5.9999999999999982</v>
      </c>
      <c r="BM152" s="26">
        <f t="shared" si="518"/>
        <v>2.0372566387660664</v>
      </c>
      <c r="BN152" s="26">
        <f t="shared" si="519"/>
        <v>0.78325072668814766</v>
      </c>
      <c r="BO152" s="22"/>
      <c r="BP152" s="23">
        <f t="shared" si="520"/>
        <v>0.69809679712727124</v>
      </c>
      <c r="BQ152" s="26">
        <f t="shared" si="521"/>
        <v>5.9765225671277733E-2</v>
      </c>
      <c r="BR152" s="26">
        <f t="shared" si="522"/>
        <v>3.7256638766066302E-2</v>
      </c>
      <c r="BS152" s="26"/>
      <c r="BT152" s="26">
        <f t="shared" si="523"/>
        <v>2.8445185164908893E-2</v>
      </c>
      <c r="BU152" s="26">
        <f t="shared" si="524"/>
        <v>8.8583616938163086E-3</v>
      </c>
      <c r="BV152" s="26">
        <f t="shared" si="525"/>
        <v>3.282745791915815E-2</v>
      </c>
      <c r="BW152" s="26">
        <f t="shared" si="526"/>
        <v>1.9088050841763976E-4</v>
      </c>
      <c r="BX152" s="26">
        <f t="shared" si="527"/>
        <v>0.71422260994876108</v>
      </c>
      <c r="BY152" s="26">
        <f t="shared" si="528"/>
        <v>0.21799822039085409</v>
      </c>
      <c r="BZ152" s="26">
        <f t="shared" si="529"/>
        <v>1.0025427156259161</v>
      </c>
      <c r="CA152" s="22"/>
      <c r="CB152" s="22">
        <f t="shared" si="530"/>
        <v>1.9788836270299814E-2</v>
      </c>
      <c r="CC152" s="22">
        <f t="shared" si="531"/>
        <v>8.6094408019501793E-3</v>
      </c>
      <c r="CD152" s="22">
        <f t="shared" si="532"/>
        <v>0</v>
      </c>
      <c r="CE152" s="22">
        <f t="shared" si="533"/>
        <v>3.8113146631390144E-4</v>
      </c>
      <c r="CF152" s="22">
        <f t="shared" si="534"/>
        <v>2.8647197964116123E-2</v>
      </c>
      <c r="CG152" s="22">
        <f t="shared" si="535"/>
        <v>0.37280647822788376</v>
      </c>
      <c r="CH152" s="22">
        <f t="shared" si="536"/>
        <v>0.44551934553959061</v>
      </c>
      <c r="CI152" s="22">
        <f t="shared" si="537"/>
        <v>0.18167417623252569</v>
      </c>
      <c r="CJ152" s="22"/>
      <c r="CK152" s="22">
        <f t="shared" si="538"/>
        <v>0.39344012211846102</v>
      </c>
      <c r="CL152" s="22">
        <f t="shared" si="539"/>
        <v>0.41782652435921086</v>
      </c>
      <c r="CM152" s="22">
        <f t="shared" si="540"/>
        <v>0.18873335352232817</v>
      </c>
      <c r="CN152" s="1"/>
      <c r="CO152" s="26">
        <f t="shared" si="541"/>
        <v>0.87083888149134492</v>
      </c>
      <c r="CP152" s="26">
        <f t="shared" si="542"/>
        <v>6.8978467701552339E-3</v>
      </c>
      <c r="CQ152" s="26">
        <f t="shared" si="543"/>
        <v>4.3546488819144767E-2</v>
      </c>
      <c r="CR152" s="26">
        <f t="shared" si="544"/>
        <v>1.7106388578195931E-4</v>
      </c>
      <c r="CS152" s="26">
        <f t="shared" si="545"/>
        <v>0.15560194850382741</v>
      </c>
      <c r="CT152" s="26">
        <f t="shared" si="546"/>
        <v>6.9213419791372991E-3</v>
      </c>
      <c r="CU152" s="26">
        <f t="shared" si="547"/>
        <v>0.35980148883374691</v>
      </c>
      <c r="CV152" s="26">
        <f t="shared" si="548"/>
        <v>0.33880171184022828</v>
      </c>
      <c r="CW152" s="26">
        <f t="shared" si="549"/>
        <v>1.2746047111971606E-2</v>
      </c>
      <c r="CX152" s="26">
        <f t="shared" si="550"/>
        <v>0</v>
      </c>
      <c r="CY152" s="26">
        <f t="shared" si="551"/>
        <v>0</v>
      </c>
      <c r="CZ152" s="26">
        <f t="shared" si="552"/>
        <v>0</v>
      </c>
      <c r="DA152" s="26">
        <f t="shared" si="553"/>
        <v>0</v>
      </c>
      <c r="DB152" s="26">
        <f t="shared" si="554"/>
        <v>1.7953268192353384</v>
      </c>
      <c r="DC152" s="26">
        <f t="shared" si="555"/>
        <v>2.6885493002933165</v>
      </c>
      <c r="DD152" s="26">
        <f t="shared" si="556"/>
        <v>2.2280065986557651</v>
      </c>
      <c r="DE152" s="26">
        <f t="shared" si="557"/>
        <v>5.9901055818648494</v>
      </c>
      <c r="DF152" s="1"/>
      <c r="DG152" s="22"/>
      <c r="DH152" s="14"/>
      <c r="DI152" s="14"/>
      <c r="DJ152" s="14"/>
      <c r="DK152" s="14"/>
      <c r="DL152" s="14"/>
      <c r="DM152" s="96"/>
      <c r="DN152" s="14"/>
      <c r="DO152" s="96"/>
      <c r="DP152" s="22"/>
      <c r="DQ152" s="14"/>
      <c r="DR152" s="22"/>
      <c r="DS152" s="22"/>
      <c r="DT152" s="22"/>
      <c r="DU152" s="22"/>
      <c r="DV152" s="22"/>
      <c r="DW152" s="22"/>
      <c r="DX152" s="22"/>
      <c r="DY152" s="22"/>
      <c r="DZ152" s="22"/>
      <c r="EA152" s="22"/>
      <c r="EB152" s="22"/>
      <c r="EC152" s="22"/>
      <c r="ED152" s="22"/>
      <c r="EE152" s="22"/>
      <c r="EF152" s="22"/>
      <c r="EG152" s="22"/>
      <c r="EH152" s="22"/>
      <c r="EI152" s="22"/>
      <c r="EJ152" s="22"/>
      <c r="EK152" s="22"/>
      <c r="EL152" s="22"/>
      <c r="EM152" s="22"/>
      <c r="EN152" s="22"/>
      <c r="EO152" s="22"/>
      <c r="EP152" s="22"/>
      <c r="EQ152" s="22"/>
      <c r="ER152" s="22"/>
      <c r="ES152" s="22"/>
      <c r="ET152" s="22"/>
      <c r="EU152" s="22"/>
      <c r="EV152" s="22"/>
      <c r="EW152" s="22"/>
      <c r="EX152" s="22"/>
      <c r="EY152" s="22"/>
      <c r="EZ152" s="22"/>
      <c r="FA152" s="22"/>
      <c r="FB152" s="22"/>
      <c r="FC152" s="22"/>
      <c r="FD152" s="22"/>
      <c r="FE152" s="22"/>
      <c r="FF152" s="22"/>
      <c r="FG152" s="22"/>
      <c r="FH152" s="22"/>
      <c r="FI152" s="22"/>
      <c r="FJ152" s="22"/>
      <c r="FK152" s="22"/>
      <c r="FL152" s="22"/>
      <c r="FM152" s="22"/>
      <c r="FN152" s="22"/>
      <c r="FO152" s="22"/>
      <c r="FP152" s="22"/>
      <c r="FQ152" s="46"/>
      <c r="FR152" s="46"/>
      <c r="FS152" s="46"/>
      <c r="FT152" s="46"/>
      <c r="FU152" s="46"/>
      <c r="FV152" s="46"/>
      <c r="FW152" s="46"/>
      <c r="FX152" s="46"/>
      <c r="FY152" s="46"/>
      <c r="FZ152" s="46"/>
      <c r="GA152" s="46"/>
      <c r="GB152" s="46"/>
      <c r="GC152" s="46"/>
      <c r="GD152" s="46"/>
      <c r="GE152" s="46"/>
      <c r="GF152" s="46"/>
      <c r="GG152" s="46"/>
      <c r="GH152" s="46"/>
    </row>
    <row r="153" spans="1:190" x14ac:dyDescent="0.25">
      <c r="A153" s="5" t="s">
        <v>249</v>
      </c>
      <c r="B153" s="1">
        <v>150</v>
      </c>
      <c r="C153" s="98" t="s">
        <v>95</v>
      </c>
      <c r="D153" s="98" t="s">
        <v>104</v>
      </c>
      <c r="E153" s="1">
        <v>181</v>
      </c>
      <c r="F153" s="22">
        <v>52.84</v>
      </c>
      <c r="G153" s="22">
        <v>0.53200000000000003</v>
      </c>
      <c r="H153" s="22">
        <v>2.69</v>
      </c>
      <c r="I153" s="22">
        <v>1.4999999999999999E-2</v>
      </c>
      <c r="J153" s="22">
        <v>9.1999999999999993</v>
      </c>
      <c r="K153" s="22">
        <v>0.41899999999999998</v>
      </c>
      <c r="L153" s="22">
        <v>15.04</v>
      </c>
      <c r="M153" s="22">
        <v>20.440000000000001</v>
      </c>
      <c r="N153" s="22">
        <v>0.39400000000000002</v>
      </c>
      <c r="O153" s="22">
        <v>0</v>
      </c>
      <c r="P153" s="22">
        <v>0</v>
      </c>
      <c r="Q153" s="22"/>
      <c r="R153" s="22"/>
      <c r="S153" s="22">
        <f t="shared" si="482"/>
        <v>101.57</v>
      </c>
      <c r="T153" s="3"/>
      <c r="U153" s="22">
        <f t="shared" si="483"/>
        <v>8.4164898234926806</v>
      </c>
      <c r="V153" s="22">
        <f t="shared" si="484"/>
        <v>0.87071485915258384</v>
      </c>
      <c r="W153" s="22">
        <f t="shared" si="485"/>
        <v>101.65720468264527</v>
      </c>
      <c r="X153" s="1"/>
      <c r="Y153" s="1"/>
      <c r="Z153" s="1"/>
      <c r="AA153" s="1" t="s">
        <v>185</v>
      </c>
      <c r="AC153" s="1">
        <v>6</v>
      </c>
      <c r="AD153" s="1">
        <v>4</v>
      </c>
      <c r="AE153" s="1"/>
      <c r="AF153" s="26">
        <f t="shared" si="486"/>
        <v>1.9331373432578356</v>
      </c>
      <c r="AG153" s="26">
        <f t="shared" si="487"/>
        <v>1.4638730029686648E-2</v>
      </c>
      <c r="AH153" s="26">
        <f t="shared" si="488"/>
        <v>0.11597977831255452</v>
      </c>
      <c r="AI153" s="26">
        <f t="shared" si="489"/>
        <v>4.3384646698587065E-4</v>
      </c>
      <c r="AJ153" s="26">
        <f t="shared" si="490"/>
        <v>0.28144327792070462</v>
      </c>
      <c r="AK153" s="26">
        <f t="shared" si="491"/>
        <v>1.2982330595197567E-2</v>
      </c>
      <c r="AL153" s="26">
        <f t="shared" si="492"/>
        <v>0.82029981864220403</v>
      </c>
      <c r="AM153" s="26">
        <f t="shared" si="493"/>
        <v>0.8011294776100869</v>
      </c>
      <c r="AN153" s="26">
        <f t="shared" si="494"/>
        <v>2.7945022974905778E-2</v>
      </c>
      <c r="AO153" s="26">
        <f t="shared" si="495"/>
        <v>0</v>
      </c>
      <c r="AP153" s="26">
        <f t="shared" si="496"/>
        <v>0</v>
      </c>
      <c r="AQ153" s="26">
        <f t="shared" si="497"/>
        <v>0</v>
      </c>
      <c r="AR153" s="26">
        <f t="shared" si="498"/>
        <v>0</v>
      </c>
      <c r="AS153" s="26">
        <f t="shared" si="499"/>
        <v>4.0079896258101613</v>
      </c>
      <c r="AT153" s="26">
        <f t="shared" si="500"/>
        <v>2.0491171215703901</v>
      </c>
      <c r="AU153" s="26">
        <f t="shared" si="501"/>
        <v>0.82907450058499266</v>
      </c>
      <c r="AV153" s="47"/>
      <c r="AW153" s="26">
        <f t="shared" si="502"/>
        <v>1.9292837793881039</v>
      </c>
      <c r="AX153" s="26">
        <f t="shared" si="503"/>
        <v>1.4609548822599681E-2</v>
      </c>
      <c r="AY153" s="26">
        <f t="shared" si="504"/>
        <v>0.11574858134929503</v>
      </c>
      <c r="AZ153" s="26">
        <f t="shared" si="505"/>
        <v>4.3298162669088677E-4</v>
      </c>
      <c r="BA153" s="26">
        <f t="shared" si="506"/>
        <v>0.25696114464186109</v>
      </c>
      <c r="BB153" s="26">
        <f t="shared" si="507"/>
        <v>2.392109727643188E-2</v>
      </c>
      <c r="BC153" s="26">
        <f t="shared" si="508"/>
        <v>1.2956451295777353E-2</v>
      </c>
      <c r="BD153" s="26">
        <f t="shared" si="509"/>
        <v>0.81866461266240553</v>
      </c>
      <c r="BE153" s="26">
        <f t="shared" si="510"/>
        <v>0.79953248626300943</v>
      </c>
      <c r="BF153" s="26">
        <f t="shared" si="511"/>
        <v>2.7889316673824535E-2</v>
      </c>
      <c r="BG153" s="26">
        <f t="shared" si="512"/>
        <v>0</v>
      </c>
      <c r="BH153" s="26">
        <f t="shared" si="513"/>
        <v>0</v>
      </c>
      <c r="BI153" s="26">
        <f t="shared" si="514"/>
        <v>0</v>
      </c>
      <c r="BJ153" s="26">
        <f t="shared" si="515"/>
        <v>0</v>
      </c>
      <c r="BK153" s="25">
        <f t="shared" si="516"/>
        <v>3.9999999999999996</v>
      </c>
      <c r="BL153" s="24">
        <f t="shared" si="517"/>
        <v>5.9999999999999991</v>
      </c>
      <c r="BM153" s="26">
        <f t="shared" si="518"/>
        <v>2.045032360737399</v>
      </c>
      <c r="BN153" s="26">
        <f t="shared" si="519"/>
        <v>0.82742180293683398</v>
      </c>
      <c r="BO153" s="22"/>
      <c r="BP153" s="23">
        <f t="shared" si="520"/>
        <v>0.74454727349895</v>
      </c>
      <c r="BQ153" s="26">
        <f t="shared" si="521"/>
        <v>7.0716220611896086E-2</v>
      </c>
      <c r="BR153" s="26">
        <f t="shared" si="522"/>
        <v>4.5032360737398941E-2</v>
      </c>
      <c r="BS153" s="26"/>
      <c r="BT153" s="26">
        <f t="shared" si="523"/>
        <v>2.7945022974905778E-2</v>
      </c>
      <c r="BU153" s="26">
        <f t="shared" si="524"/>
        <v>1.7143044063574406E-2</v>
      </c>
      <c r="BV153" s="26">
        <f t="shared" si="525"/>
        <v>3.6460838705611738E-2</v>
      </c>
      <c r="BW153" s="26">
        <f t="shared" si="526"/>
        <v>2.1692323349293532E-4</v>
      </c>
      <c r="BX153" s="26">
        <f t="shared" si="527"/>
        <v>0.74730867160740777</v>
      </c>
      <c r="BY153" s="26">
        <f t="shared" si="528"/>
        <v>0.17721721247775046</v>
      </c>
      <c r="BZ153" s="26">
        <f t="shared" si="529"/>
        <v>1.0062917130627431</v>
      </c>
      <c r="CA153" s="22"/>
      <c r="CB153" s="22">
        <f t="shared" si="530"/>
        <v>2.392109727643188E-2</v>
      </c>
      <c r="CC153" s="22">
        <f t="shared" si="531"/>
        <v>3.9682193973926555E-3</v>
      </c>
      <c r="CD153" s="22">
        <f t="shared" si="532"/>
        <v>0</v>
      </c>
      <c r="CE153" s="22">
        <f t="shared" si="533"/>
        <v>4.3298162669088677E-4</v>
      </c>
      <c r="CF153" s="22">
        <f t="shared" si="534"/>
        <v>4.1064141340006285E-2</v>
      </c>
      <c r="CG153" s="22">
        <f t="shared" si="535"/>
        <v>0.39097823028637207</v>
      </c>
      <c r="CH153" s="22">
        <f t="shared" si="536"/>
        <v>0.4635297805206271</v>
      </c>
      <c r="CI153" s="22">
        <f t="shared" si="537"/>
        <v>0.14549198919300091</v>
      </c>
      <c r="CJ153" s="22"/>
      <c r="CK153" s="22">
        <f t="shared" si="538"/>
        <v>0.41815769848553264</v>
      </c>
      <c r="CL153" s="22">
        <f t="shared" si="539"/>
        <v>0.42816385343202978</v>
      </c>
      <c r="CM153" s="22">
        <f t="shared" si="540"/>
        <v>0.15367844808243758</v>
      </c>
      <c r="CN153" s="1"/>
      <c r="CO153" s="26">
        <f t="shared" si="541"/>
        <v>0.87949400798934763</v>
      </c>
      <c r="CP153" s="26">
        <f t="shared" si="542"/>
        <v>6.6599899849774666E-3</v>
      </c>
      <c r="CQ153" s="26">
        <f t="shared" si="543"/>
        <v>5.2765790506080816E-2</v>
      </c>
      <c r="CR153" s="26">
        <f t="shared" si="544"/>
        <v>1.9738140667149154E-4</v>
      </c>
      <c r="CS153" s="26">
        <f t="shared" si="545"/>
        <v>0.12804453723034098</v>
      </c>
      <c r="CT153" s="26">
        <f t="shared" si="546"/>
        <v>5.9063997744572879E-3</v>
      </c>
      <c r="CU153" s="26">
        <f t="shared" si="547"/>
        <v>0.37320099255583128</v>
      </c>
      <c r="CV153" s="26">
        <f t="shared" si="548"/>
        <v>0.36447931526390875</v>
      </c>
      <c r="CW153" s="26">
        <f t="shared" si="549"/>
        <v>1.2713778638270411E-2</v>
      </c>
      <c r="CX153" s="26">
        <f t="shared" si="550"/>
        <v>0</v>
      </c>
      <c r="CY153" s="26">
        <f t="shared" si="551"/>
        <v>0</v>
      </c>
      <c r="CZ153" s="26">
        <f t="shared" si="552"/>
        <v>0</v>
      </c>
      <c r="DA153" s="26">
        <f t="shared" si="553"/>
        <v>0</v>
      </c>
      <c r="DB153" s="26">
        <f t="shared" si="554"/>
        <v>1.8234621933498862</v>
      </c>
      <c r="DC153" s="26">
        <f t="shared" si="555"/>
        <v>2.7297408879614515</v>
      </c>
      <c r="DD153" s="26">
        <f t="shared" si="556"/>
        <v>2.1936292480249295</v>
      </c>
      <c r="DE153" s="26">
        <f t="shared" si="557"/>
        <v>5.9880394513617823</v>
      </c>
      <c r="DF153" s="1"/>
      <c r="DG153" s="22">
        <v>2.8692326249213611</v>
      </c>
      <c r="DH153" s="14">
        <v>2445.2779210054009</v>
      </c>
      <c r="DI153" s="14">
        <v>86369.627599409985</v>
      </c>
      <c r="DJ153" s="14">
        <v>12155.342868692964</v>
      </c>
      <c r="DK153" s="14">
        <v>248314.50340046315</v>
      </c>
      <c r="DL153" s="14">
        <v>144086.34528711351</v>
      </c>
      <c r="DM153" s="96">
        <v>144.78785714069045</v>
      </c>
      <c r="DN153" s="14">
        <v>3143.8529371951945</v>
      </c>
      <c r="DO153" s="96">
        <v>190.21650543854665</v>
      </c>
      <c r="DP153" s="22">
        <v>1.1699781725975753</v>
      </c>
      <c r="DQ153" s="14">
        <v>3237.3171469237923</v>
      </c>
      <c r="DR153" s="22">
        <v>31.853459477157774</v>
      </c>
      <c r="DS153" s="22">
        <v>0</v>
      </c>
      <c r="DT153" s="22">
        <v>1.1885729079187364</v>
      </c>
      <c r="DU153" s="22">
        <v>81.873358700485568</v>
      </c>
      <c r="DV153" s="22">
        <v>0</v>
      </c>
      <c r="DW153" s="22">
        <v>15.391190749533727</v>
      </c>
      <c r="DX153" s="22">
        <v>16.734481953519481</v>
      </c>
      <c r="DY153" s="22">
        <v>42.312133523593616</v>
      </c>
      <c r="DZ153" s="22">
        <v>27.112388458792619</v>
      </c>
      <c r="EA153" s="22">
        <v>0</v>
      </c>
      <c r="EB153" s="22">
        <v>0</v>
      </c>
      <c r="EC153" s="22">
        <v>0.26030085781970658</v>
      </c>
      <c r="ED153" s="22">
        <v>2.100399811089015</v>
      </c>
      <c r="EE153" s="22">
        <v>9.3883304210609939</v>
      </c>
      <c r="EF153" s="22">
        <v>1.8174685233169456</v>
      </c>
      <c r="EG153" s="52">
        <v>11.537577705494559</v>
      </c>
      <c r="EH153" s="22">
        <v>4.6790225637066376</v>
      </c>
      <c r="EI153" s="22">
        <v>1.3472993181048893</v>
      </c>
      <c r="EJ153" s="22">
        <v>6.3968634349499371</v>
      </c>
      <c r="EK153" s="22">
        <v>1.1453173371442449</v>
      </c>
      <c r="EL153" s="22">
        <v>8.1028748493362102</v>
      </c>
      <c r="EM153" s="22">
        <v>1.6757880470054309</v>
      </c>
      <c r="EN153" s="22">
        <v>4.8916968933535312</v>
      </c>
      <c r="EO153" s="22">
        <v>0.679405135497406</v>
      </c>
      <c r="EP153" s="22">
        <v>4.5426251995061442</v>
      </c>
      <c r="EQ153" s="22">
        <v>0.63502752332255508</v>
      </c>
      <c r="ER153" s="22">
        <v>1.1448564572078714</v>
      </c>
      <c r="ES153" s="22">
        <v>0</v>
      </c>
      <c r="ET153" s="22">
        <v>0.10693395304565004</v>
      </c>
      <c r="EU153" s="22">
        <v>7.9302328644453898E-2</v>
      </c>
      <c r="EV153" s="22">
        <v>1.3773496973554953E-2</v>
      </c>
      <c r="EW153" s="22">
        <f>(EI153/0.05883)/SQRT((EH153/0.1536)*(EJ153/0.2069))</f>
        <v>0.74624251046022616</v>
      </c>
      <c r="EX153" s="22"/>
      <c r="EY153" s="22"/>
      <c r="EZ153" s="22"/>
      <c r="FA153" s="22"/>
      <c r="FB153" s="22"/>
      <c r="FC153" s="22"/>
      <c r="FD153" s="22"/>
      <c r="FE153" s="22"/>
      <c r="FF153" s="22"/>
      <c r="FG153" s="22"/>
      <c r="FH153" s="22"/>
      <c r="FI153" s="22">
        <f>-0.50354-2.23025*BP153+ N("eqn 18 Mg# R2 0.28 best")</f>
        <v>-2.1640665567210333</v>
      </c>
      <c r="FJ153" s="22"/>
      <c r="FK153" s="22">
        <f xml:space="preserve"> -0.03692  +  0.931085 + FX153   + N("488 NN Dy")</f>
        <v>0.6387955908288776</v>
      </c>
      <c r="FL153" s="22">
        <f>-0.48986  +   0    +   (1.071278 + 0) * GD153  +N("eqn 119 LnD Hf  (which has R2 of 0.51 for TS")</f>
        <v>-0.98161637736119733</v>
      </c>
      <c r="FM153" s="22"/>
      <c r="FN153" s="22"/>
      <c r="FO153" s="22">
        <f>3.94011-11.9214*BP153</f>
        <v>-4.9359358662903832</v>
      </c>
      <c r="FP153" s="22">
        <f xml:space="preserve">  -0.49862 +   1.013256 * FQ153 + N("294 NN")</f>
        <v>-2.2205958913685704</v>
      </c>
      <c r="FQ153" s="46">
        <f t="shared" ref="FQ153:FQ159" si="584" xml:space="preserve">  -0.73306   +   1.025016   *  FS153     +N("316 NN Nd")</f>
        <v>-1.6994480085670063</v>
      </c>
      <c r="FR153" s="46">
        <f t="shared" ref="FR153:FR159" si="585" xml:space="preserve">  -0.33671   +   1.013871 *  FS153    +N("340 NN")</f>
        <v>-1.2925904707768847</v>
      </c>
      <c r="FS153" s="46">
        <f t="shared" ref="FS153:FS159" si="586">-0.42496     +   1.017678*FT153                 + N("361 NN")</f>
        <v>-0.94280285241109052</v>
      </c>
      <c r="FT153" s="46">
        <f t="shared" ref="FT153:FT159" si="587" xml:space="preserve"> 0.68509  -3.34181 * BP153 + 0.03095*(100*CK153) +N("642 cpx Mg# Wo R2 0.59")</f>
        <v>-0.50884744723880293</v>
      </c>
      <c r="FU153" s="46">
        <f t="shared" ref="FU153:FU159" si="588" xml:space="preserve"> -0.06599 + 0.926002 * FT153  + N("409 NN")</f>
        <v>-0.53718375383802597</v>
      </c>
      <c r="FV153" s="46">
        <f t="shared" ref="FV153:FV159" si="589">0.1453     +   0.925549*FT153     +N("424 LnD Sm")</f>
        <v>-0.32566324594442675</v>
      </c>
      <c r="FW153" s="46">
        <f t="shared" ref="FW153:FW159" si="590" xml:space="preserve">  0.053547 + 0.932974 * FV153  +  N("445 NN")</f>
        <v>-0.25028834122175558</v>
      </c>
      <c r="FX153" s="46">
        <f t="shared" ref="FX153:FX159" si="591" xml:space="preserve">  0.027177  +  0.867603 * FV153 + N("464 NN Gd")</f>
        <v>-0.2553694091711225</v>
      </c>
      <c r="FY153" s="46">
        <f t="shared" ref="FY153:FY159" si="592" xml:space="preserve">  -0.06187  +  0.953618 * FX153   + N("505 NN Dy")</f>
        <v>-0.30539486523494747</v>
      </c>
      <c r="FZ153" s="46">
        <f t="shared" ref="FZ153:FZ159" si="593" xml:space="preserve"> -0.05652 + 0.972005*FY153   +N("533 NN")</f>
        <v>-0.35336533598269515</v>
      </c>
      <c r="GA153" s="46">
        <f t="shared" ref="GA153:GA159" si="594" xml:space="preserve">     0.018586 + 0.960264 * FZ153    +N("549 LnD Er")</f>
        <v>-0.32073801099208676</v>
      </c>
      <c r="GB153" s="46">
        <f t="shared" ref="GB153:GB159" si="595" xml:space="preserve"> -0.02011 + 0.936315 * FZ153    +N("574 NN Er")</f>
        <v>-0.35097126456063721</v>
      </c>
      <c r="GC153" s="46">
        <f t="shared" ref="GC153:GC159" si="596" xml:space="preserve">   0.01732 + 1.006083 * GB153  +N("597 NN Yb")</f>
        <v>-0.33578622276295961</v>
      </c>
      <c r="GD153" s="46">
        <f t="shared" ref="GD153:GD159" si="597">(-1.72947 +0 ) * (3.46258+0) * BQ153   - (1.87473 + 0) *BP153   + (0.03253+0) * (CK153*100)    +N("eqn625 aliv mg# wo")</f>
        <v>-0.45903712888829729</v>
      </c>
      <c r="GE153" s="46"/>
      <c r="GF153" s="46"/>
      <c r="GG153" s="46"/>
      <c r="GH153" s="46"/>
    </row>
    <row r="154" spans="1:190" x14ac:dyDescent="0.25">
      <c r="A154" s="5" t="s">
        <v>249</v>
      </c>
      <c r="B154" s="1">
        <v>151</v>
      </c>
      <c r="C154" s="98" t="s">
        <v>95</v>
      </c>
      <c r="D154" s="98" t="s">
        <v>104</v>
      </c>
      <c r="E154" s="1">
        <v>182</v>
      </c>
      <c r="F154" s="22">
        <v>52.4</v>
      </c>
      <c r="G154" s="22">
        <v>0.49</v>
      </c>
      <c r="H154" s="22">
        <v>2.2799999999999998</v>
      </c>
      <c r="I154" s="22">
        <v>0</v>
      </c>
      <c r="J154" s="22">
        <v>9.2899999999999991</v>
      </c>
      <c r="K154" s="22">
        <v>0.46400000000000002</v>
      </c>
      <c r="L154" s="22">
        <v>14.74</v>
      </c>
      <c r="M154" s="22">
        <v>20.27</v>
      </c>
      <c r="N154" s="22">
        <v>0.36499999999999999</v>
      </c>
      <c r="O154" s="22">
        <v>0</v>
      </c>
      <c r="P154" s="22">
        <v>0</v>
      </c>
      <c r="Q154" s="22"/>
      <c r="R154" s="22"/>
      <c r="S154" s="22">
        <f t="shared" si="482"/>
        <v>100.29899999999999</v>
      </c>
      <c r="T154" s="3"/>
      <c r="U154" s="22">
        <f t="shared" si="483"/>
        <v>8.6940771116768172</v>
      </c>
      <c r="V154" s="22">
        <f t="shared" si="484"/>
        <v>0.6622491057935519</v>
      </c>
      <c r="W154" s="22">
        <f t="shared" si="485"/>
        <v>100.36532621747038</v>
      </c>
      <c r="X154" s="1"/>
      <c r="Y154" s="1"/>
      <c r="Z154" s="1"/>
      <c r="AA154" s="1" t="s">
        <v>185</v>
      </c>
      <c r="AC154" s="1">
        <v>6</v>
      </c>
      <c r="AD154" s="1">
        <v>4</v>
      </c>
      <c r="AE154" s="1"/>
      <c r="AF154" s="26">
        <f t="shared" si="486"/>
        <v>1.9434643129192259</v>
      </c>
      <c r="AG154" s="26">
        <f t="shared" si="487"/>
        <v>1.3668889450801124E-2</v>
      </c>
      <c r="AH154" s="26">
        <f t="shared" si="488"/>
        <v>9.9657553889575978E-2</v>
      </c>
      <c r="AI154" s="26">
        <f t="shared" si="489"/>
        <v>0</v>
      </c>
      <c r="AJ154" s="26">
        <f t="shared" si="490"/>
        <v>0.28811385857371918</v>
      </c>
      <c r="AK154" s="26">
        <f t="shared" si="491"/>
        <v>1.457477985561576E-2</v>
      </c>
      <c r="AL154" s="26">
        <f t="shared" si="492"/>
        <v>0.81501883368228656</v>
      </c>
      <c r="AM154" s="26">
        <f t="shared" si="493"/>
        <v>0.80541729478001456</v>
      </c>
      <c r="AN154" s="26">
        <f t="shared" si="494"/>
        <v>2.624499506789206E-2</v>
      </c>
      <c r="AO154" s="26">
        <f t="shared" si="495"/>
        <v>0</v>
      </c>
      <c r="AP154" s="26">
        <f t="shared" si="496"/>
        <v>0</v>
      </c>
      <c r="AQ154" s="26">
        <f t="shared" si="497"/>
        <v>0</v>
      </c>
      <c r="AR154" s="26">
        <f t="shared" si="498"/>
        <v>0</v>
      </c>
      <c r="AS154" s="26">
        <f t="shared" si="499"/>
        <v>4.0061605182191311</v>
      </c>
      <c r="AT154" s="26">
        <f t="shared" si="500"/>
        <v>2.0431218668088018</v>
      </c>
      <c r="AU154" s="26">
        <f t="shared" si="501"/>
        <v>0.83166228984790658</v>
      </c>
      <c r="AV154" s="47"/>
      <c r="AW154" s="26">
        <f t="shared" si="502"/>
        <v>1.9404757288988101</v>
      </c>
      <c r="AX154" s="26">
        <f t="shared" si="503"/>
        <v>1.364786996291141E-2</v>
      </c>
      <c r="AY154" s="26">
        <f t="shared" si="504"/>
        <v>9.9504304369588265E-2</v>
      </c>
      <c r="AZ154" s="26">
        <f t="shared" si="505"/>
        <v>0</v>
      </c>
      <c r="BA154" s="26">
        <f t="shared" si="506"/>
        <v>0.26921767382020506</v>
      </c>
      <c r="BB154" s="26">
        <f t="shared" si="507"/>
        <v>1.8453134439664787E-2</v>
      </c>
      <c r="BC154" s="26">
        <f t="shared" si="508"/>
        <v>1.4552367324607076E-2</v>
      </c>
      <c r="BD154" s="26">
        <f t="shared" si="509"/>
        <v>0.81376552933988655</v>
      </c>
      <c r="BE154" s="26">
        <f t="shared" si="510"/>
        <v>0.80417875531163052</v>
      </c>
      <c r="BF154" s="26">
        <f t="shared" si="511"/>
        <v>2.6204636532695714E-2</v>
      </c>
      <c r="BG154" s="26">
        <f t="shared" si="512"/>
        <v>0</v>
      </c>
      <c r="BH154" s="26">
        <f t="shared" si="513"/>
        <v>0</v>
      </c>
      <c r="BI154" s="26">
        <f t="shared" si="514"/>
        <v>0</v>
      </c>
      <c r="BJ154" s="26">
        <f t="shared" si="515"/>
        <v>0</v>
      </c>
      <c r="BK154" s="25">
        <f t="shared" si="516"/>
        <v>4</v>
      </c>
      <c r="BL154" s="24">
        <f t="shared" si="517"/>
        <v>6</v>
      </c>
      <c r="BM154" s="26">
        <f t="shared" si="518"/>
        <v>2.0399800332683986</v>
      </c>
      <c r="BN154" s="26">
        <f t="shared" si="519"/>
        <v>0.83038339184432619</v>
      </c>
      <c r="BO154" s="22"/>
      <c r="BP154" s="23">
        <f t="shared" si="520"/>
        <v>0.73882211940931564</v>
      </c>
      <c r="BQ154" s="26">
        <f t="shared" si="521"/>
        <v>5.9524271101189852E-2</v>
      </c>
      <c r="BR154" s="26">
        <f t="shared" si="522"/>
        <v>3.9980033268398413E-2</v>
      </c>
      <c r="BS154" s="26"/>
      <c r="BT154" s="26">
        <f t="shared" si="523"/>
        <v>2.624499506789206E-2</v>
      </c>
      <c r="BU154" s="26">
        <f t="shared" si="524"/>
        <v>1.3775396735702699E-2</v>
      </c>
      <c r="BV154" s="26">
        <f t="shared" si="525"/>
        <v>3.3092334900547062E-2</v>
      </c>
      <c r="BW154" s="26">
        <f t="shared" si="526"/>
        <v>0</v>
      </c>
      <c r="BX154" s="26">
        <f t="shared" si="527"/>
        <v>0.75854956314376476</v>
      </c>
      <c r="BY154" s="26">
        <f t="shared" si="528"/>
        <v>0.17229156455612055</v>
      </c>
      <c r="BZ154" s="26">
        <f t="shared" si="529"/>
        <v>1.0039538544040272</v>
      </c>
      <c r="CA154" s="22"/>
      <c r="CB154" s="22">
        <f t="shared" si="530"/>
        <v>1.8453134439664787E-2</v>
      </c>
      <c r="CC154" s="22">
        <f t="shared" si="531"/>
        <v>7.7515020930309271E-3</v>
      </c>
      <c r="CD154" s="22">
        <f t="shared" si="532"/>
        <v>0</v>
      </c>
      <c r="CE154" s="22">
        <f t="shared" si="533"/>
        <v>0</v>
      </c>
      <c r="CF154" s="22">
        <f t="shared" si="534"/>
        <v>3.2228531175367489E-2</v>
      </c>
      <c r="CG154" s="22">
        <f t="shared" si="535"/>
        <v>0.3952016792879639</v>
      </c>
      <c r="CH154" s="22">
        <f t="shared" si="536"/>
        <v>0.45445213200167295</v>
      </c>
      <c r="CI154" s="22">
        <f t="shared" si="537"/>
        <v>0.15034618871036315</v>
      </c>
      <c r="CJ154" s="22"/>
      <c r="CK154" s="22">
        <f t="shared" si="538"/>
        <v>0.41880657388746434</v>
      </c>
      <c r="CL154" s="22">
        <f t="shared" si="539"/>
        <v>0.42379924990493928</v>
      </c>
      <c r="CM154" s="22">
        <f t="shared" si="540"/>
        <v>0.15739417620759641</v>
      </c>
      <c r="CN154" s="1"/>
      <c r="CO154" s="26">
        <f t="shared" si="541"/>
        <v>0.87217043941411454</v>
      </c>
      <c r="CP154" s="26">
        <f t="shared" si="542"/>
        <v>6.1342013019529294E-3</v>
      </c>
      <c r="CQ154" s="26">
        <f t="shared" si="543"/>
        <v>4.4723420949391919E-2</v>
      </c>
      <c r="CR154" s="26">
        <f t="shared" si="544"/>
        <v>0</v>
      </c>
      <c r="CS154" s="26">
        <f t="shared" si="545"/>
        <v>0.12929714683368129</v>
      </c>
      <c r="CT154" s="26">
        <f t="shared" si="546"/>
        <v>6.5407386523822957E-3</v>
      </c>
      <c r="CU154" s="26">
        <f t="shared" si="547"/>
        <v>0.36575682382134</v>
      </c>
      <c r="CV154" s="26">
        <f t="shared" si="548"/>
        <v>0.36144793152639088</v>
      </c>
      <c r="CW154" s="26">
        <f t="shared" si="549"/>
        <v>1.1777992900935785E-2</v>
      </c>
      <c r="CX154" s="26">
        <f t="shared" si="550"/>
        <v>0</v>
      </c>
      <c r="CY154" s="26">
        <f t="shared" si="551"/>
        <v>0</v>
      </c>
      <c r="CZ154" s="26">
        <f t="shared" si="552"/>
        <v>0</v>
      </c>
      <c r="DA154" s="26">
        <f t="shared" si="553"/>
        <v>0</v>
      </c>
      <c r="DB154" s="26">
        <f t="shared" si="554"/>
        <v>1.7978486954001898</v>
      </c>
      <c r="DC154" s="26">
        <f t="shared" si="555"/>
        <v>2.6926260501404853</v>
      </c>
      <c r="DD154" s="26">
        <f t="shared" si="556"/>
        <v>2.2248813319129868</v>
      </c>
      <c r="DE154" s="26">
        <f t="shared" si="557"/>
        <v>5.9907734327801672</v>
      </c>
      <c r="DF154" s="1"/>
      <c r="DG154" s="22">
        <v>3.1295647949190952</v>
      </c>
      <c r="DH154" s="14">
        <v>2420.0223535136856</v>
      </c>
      <c r="DI154" s="14">
        <v>85526.741969672992</v>
      </c>
      <c r="DJ154" s="14">
        <v>11571.059726772519</v>
      </c>
      <c r="DK154" s="14">
        <v>249733.49327233434</v>
      </c>
      <c r="DL154" s="14">
        <v>137557.25499701424</v>
      </c>
      <c r="DM154" s="96">
        <v>144.67570701385111</v>
      </c>
      <c r="DN154" s="14">
        <v>3383.0186103164096</v>
      </c>
      <c r="DO154" s="96">
        <v>200.69113554294537</v>
      </c>
      <c r="DP154" s="22">
        <v>0</v>
      </c>
      <c r="DQ154" s="14">
        <v>3619.0070909999426</v>
      </c>
      <c r="DR154" s="22">
        <v>37.9937813477598</v>
      </c>
      <c r="DS154" s="22">
        <v>0</v>
      </c>
      <c r="DT154" s="22">
        <v>2.2561507776097915</v>
      </c>
      <c r="DU154" s="22">
        <v>107.21829648321918</v>
      </c>
      <c r="DV154" s="22">
        <v>0</v>
      </c>
      <c r="DW154" s="22">
        <v>14.342276888748136</v>
      </c>
      <c r="DX154" s="22">
        <v>16.22508726433313</v>
      </c>
      <c r="DY154" s="22">
        <v>54.203501308191086</v>
      </c>
      <c r="DZ154" s="22">
        <v>48.51138072432741</v>
      </c>
      <c r="EA154" s="22">
        <v>0.11862086604379354</v>
      </c>
      <c r="EB154" s="22">
        <v>0</v>
      </c>
      <c r="EC154" s="22">
        <v>1.1912448284960682</v>
      </c>
      <c r="ED154" s="22">
        <v>2.7063903851301148</v>
      </c>
      <c r="EE154" s="22">
        <v>12.382635988517027</v>
      </c>
      <c r="EF154" s="22">
        <v>2.4166448156823779</v>
      </c>
      <c r="EG154" s="52">
        <v>14.839108096958723</v>
      </c>
      <c r="EH154" s="22">
        <v>4.9105432661179744</v>
      </c>
      <c r="EI154" s="22">
        <v>1.3020836524187547</v>
      </c>
      <c r="EJ154" s="22">
        <v>7.2424701877948552</v>
      </c>
      <c r="EK154" s="22">
        <v>1.2213350547701147</v>
      </c>
      <c r="EL154" s="22">
        <v>9.9417047919422039</v>
      </c>
      <c r="EM154" s="22">
        <v>1.9040990474629693</v>
      </c>
      <c r="EN154" s="22">
        <v>5.9081533293609212</v>
      </c>
      <c r="EO154" s="22">
        <v>0.82455644889913693</v>
      </c>
      <c r="EP154" s="22">
        <v>5.3016618184414268</v>
      </c>
      <c r="EQ154" s="22">
        <v>0.72988232550240917</v>
      </c>
      <c r="ER154" s="22">
        <v>2.0959545138294979</v>
      </c>
      <c r="ES154" s="22">
        <v>0</v>
      </c>
      <c r="ET154" s="22">
        <v>0.23824422665834891</v>
      </c>
      <c r="EU154" s="22">
        <v>0.12097999691918684</v>
      </c>
      <c r="EV154" s="22">
        <v>2.7470183007440814E-2</v>
      </c>
      <c r="EW154" s="22">
        <f>(EI154/0.05883)/SQRT((EH154/0.1536)*(EJ154/0.2069))</f>
        <v>0.66161868555448256</v>
      </c>
      <c r="EX154" s="22"/>
      <c r="EY154" s="22"/>
      <c r="EZ154" s="22"/>
      <c r="FA154" s="22"/>
      <c r="FB154" s="22"/>
      <c r="FC154" s="22"/>
      <c r="FD154" s="22"/>
      <c r="FE154" s="22"/>
      <c r="FF154" s="22"/>
      <c r="FG154" s="22"/>
      <c r="FH154" s="22"/>
      <c r="FI154" s="22">
        <f>-0.50354-2.23025*BP154+ N("eqn 18 Mg# R2 0.28 best")</f>
        <v>-2.151298031812626</v>
      </c>
      <c r="FJ154" s="22"/>
      <c r="FK154" s="22">
        <f xml:space="preserve"> -0.03692  +  0.931085 + FX154   + N("488 NN Dy")</f>
        <v>0.65577172216268731</v>
      </c>
      <c r="FL154" s="22">
        <f>-0.48986  +   0    +   (1.071278 + 0) * GD154  +N("eqn 119 LnD Hf  (which has R2 of 0.51 for TS")</f>
        <v>-0.89605758551694725</v>
      </c>
      <c r="FM154" s="22"/>
      <c r="FN154" s="22"/>
      <c r="FO154" s="22">
        <f>3.94011-11.9214*BP154</f>
        <v>-4.8676840143262163</v>
      </c>
      <c r="FP154" s="22">
        <f xml:space="preserve">  -0.49862 +   1.013256 * FQ154 + N("294 NN")</f>
        <v>-2.1982509880324845</v>
      </c>
      <c r="FQ154" s="46">
        <f t="shared" si="584"/>
        <v>-1.6773954341572956</v>
      </c>
      <c r="FR154" s="46">
        <f t="shared" si="585"/>
        <v>-1.2707776740309336</v>
      </c>
      <c r="FS154" s="46">
        <f t="shared" si="586"/>
        <v>-0.92128848150399167</v>
      </c>
      <c r="FT154" s="46">
        <f t="shared" si="587"/>
        <v>-0.48770680068154326</v>
      </c>
      <c r="FU154" s="46">
        <f t="shared" si="588"/>
        <v>-0.51760747284471043</v>
      </c>
      <c r="FV154" s="46">
        <f t="shared" si="589"/>
        <v>-0.30609654166400169</v>
      </c>
      <c r="FW154" s="46">
        <f t="shared" si="590"/>
        <v>-0.23203311486243028</v>
      </c>
      <c r="FX154" s="46">
        <f t="shared" si="591"/>
        <v>-0.23839327783731284</v>
      </c>
      <c r="FY154" s="46">
        <f t="shared" si="592"/>
        <v>-0.28920612082466257</v>
      </c>
      <c r="FZ154" s="46">
        <f t="shared" si="593"/>
        <v>-0.33762979547217614</v>
      </c>
      <c r="GA154" s="46">
        <f t="shared" si="594"/>
        <v>-0.30562773791929376</v>
      </c>
      <c r="GB154" s="46">
        <f t="shared" si="595"/>
        <v>-0.33623784194753065</v>
      </c>
      <c r="GC154" s="46">
        <f t="shared" si="596"/>
        <v>-0.3209631767400975</v>
      </c>
      <c r="GD154" s="46">
        <f t="shared" si="597"/>
        <v>-0.37917103265160601</v>
      </c>
      <c r="GE154" s="46"/>
      <c r="GF154" s="46"/>
      <c r="GG154" s="46"/>
      <c r="GH154" s="46"/>
    </row>
    <row r="155" spans="1:190" x14ac:dyDescent="0.25">
      <c r="A155" s="5" t="s">
        <v>249</v>
      </c>
      <c r="B155" s="1">
        <v>168</v>
      </c>
      <c r="C155" s="98" t="s">
        <v>95</v>
      </c>
      <c r="D155" s="98" t="s">
        <v>104</v>
      </c>
      <c r="E155" s="1">
        <v>199</v>
      </c>
      <c r="F155" s="22">
        <v>52.37</v>
      </c>
      <c r="G155" s="22">
        <v>0.51100000000000001</v>
      </c>
      <c r="H155" s="22">
        <v>2.11</v>
      </c>
      <c r="I155" s="22">
        <v>3.5999999999999997E-2</v>
      </c>
      <c r="J155" s="22">
        <v>9.1999999999999993</v>
      </c>
      <c r="K155" s="22">
        <v>0.39200000000000002</v>
      </c>
      <c r="L155" s="22">
        <v>14.89</v>
      </c>
      <c r="M155" s="22">
        <v>20.45</v>
      </c>
      <c r="N155" s="22">
        <v>0.4</v>
      </c>
      <c r="O155" s="22">
        <v>0</v>
      </c>
      <c r="P155" s="22">
        <v>0</v>
      </c>
      <c r="Q155" s="22"/>
      <c r="R155" s="22"/>
      <c r="S155" s="22">
        <f t="shared" si="482"/>
        <v>100.35900000000001</v>
      </c>
      <c r="T155" s="3"/>
      <c r="U155" s="22">
        <f t="shared" si="483"/>
        <v>8.0896694777233602</v>
      </c>
      <c r="V155" s="22">
        <f t="shared" si="484"/>
        <v>1.2339103094060293</v>
      </c>
      <c r="W155" s="22">
        <f t="shared" si="485"/>
        <v>100.48257978712938</v>
      </c>
      <c r="X155" s="1"/>
      <c r="Y155" s="1"/>
      <c r="Z155" s="1"/>
      <c r="AA155" s="1" t="s">
        <v>185</v>
      </c>
      <c r="AC155" s="1">
        <v>6</v>
      </c>
      <c r="AD155" s="1">
        <v>4</v>
      </c>
      <c r="AE155" s="1"/>
      <c r="AF155" s="26">
        <f t="shared" si="486"/>
        <v>1.9420165112093408</v>
      </c>
      <c r="AG155" s="26">
        <f t="shared" si="487"/>
        <v>1.4252239507977028E-2</v>
      </c>
      <c r="AH155" s="26">
        <f t="shared" si="488"/>
        <v>9.221103406128732E-2</v>
      </c>
      <c r="AI155" s="26">
        <f t="shared" si="489"/>
        <v>1.0554016031361466E-3</v>
      </c>
      <c r="AJ155" s="26">
        <f t="shared" si="490"/>
        <v>0.28527342938183309</v>
      </c>
      <c r="AK155" s="26">
        <f t="shared" si="491"/>
        <v>1.2311051582514932E-2</v>
      </c>
      <c r="AL155" s="26">
        <f t="shared" si="492"/>
        <v>0.82317073030302979</v>
      </c>
      <c r="AM155" s="26">
        <f t="shared" si="493"/>
        <v>0.81242929583743384</v>
      </c>
      <c r="AN155" s="26">
        <f t="shared" si="494"/>
        <v>2.8756675927837465E-2</v>
      </c>
      <c r="AO155" s="26">
        <f t="shared" si="495"/>
        <v>0</v>
      </c>
      <c r="AP155" s="26">
        <f t="shared" si="496"/>
        <v>0</v>
      </c>
      <c r="AQ155" s="26">
        <f t="shared" si="497"/>
        <v>0</v>
      </c>
      <c r="AR155" s="26">
        <f t="shared" si="498"/>
        <v>0</v>
      </c>
      <c r="AS155" s="26">
        <f t="shared" si="499"/>
        <v>4.0114763694143907</v>
      </c>
      <c r="AT155" s="26">
        <f t="shared" si="500"/>
        <v>2.0342275452706282</v>
      </c>
      <c r="AU155" s="26">
        <f t="shared" si="501"/>
        <v>0.84118597176527132</v>
      </c>
      <c r="AV155" s="47"/>
      <c r="AW155" s="26">
        <f t="shared" si="502"/>
        <v>1.9364606268318545</v>
      </c>
      <c r="AX155" s="26">
        <f t="shared" si="503"/>
        <v>1.4211465500974765E-2</v>
      </c>
      <c r="AY155" s="26">
        <f t="shared" si="504"/>
        <v>9.1947228969715813E-2</v>
      </c>
      <c r="AZ155" s="26">
        <f t="shared" si="505"/>
        <v>1.052382221351804E-3</v>
      </c>
      <c r="BA155" s="26">
        <f t="shared" si="506"/>
        <v>0.25012668458050086</v>
      </c>
      <c r="BB155" s="26">
        <f t="shared" si="507"/>
        <v>3.4330610550945551E-2</v>
      </c>
      <c r="BC155" s="26">
        <f t="shared" si="508"/>
        <v>1.2275831089402271E-2</v>
      </c>
      <c r="BD155" s="26">
        <f t="shared" si="509"/>
        <v>0.82081573415644893</v>
      </c>
      <c r="BE155" s="26">
        <f t="shared" si="510"/>
        <v>0.81010502969113596</v>
      </c>
      <c r="BF155" s="26">
        <f t="shared" si="511"/>
        <v>2.8674406407669269E-2</v>
      </c>
      <c r="BG155" s="26">
        <f t="shared" si="512"/>
        <v>0</v>
      </c>
      <c r="BH155" s="26">
        <f t="shared" si="513"/>
        <v>0</v>
      </c>
      <c r="BI155" s="26">
        <f t="shared" si="514"/>
        <v>0</v>
      </c>
      <c r="BJ155" s="26">
        <f t="shared" si="515"/>
        <v>0</v>
      </c>
      <c r="BK155" s="25">
        <f t="shared" si="516"/>
        <v>4</v>
      </c>
      <c r="BL155" s="24">
        <f t="shared" si="517"/>
        <v>6.0000000000000009</v>
      </c>
      <c r="BM155" s="26">
        <f t="shared" si="518"/>
        <v>2.0284078558015701</v>
      </c>
      <c r="BN155" s="26">
        <f t="shared" si="519"/>
        <v>0.83877943609880523</v>
      </c>
      <c r="BO155" s="22"/>
      <c r="BP155" s="23">
        <f t="shared" si="520"/>
        <v>0.74263617441681684</v>
      </c>
      <c r="BQ155" s="26">
        <f t="shared" si="521"/>
        <v>6.3539373168145508E-2</v>
      </c>
      <c r="BR155" s="26">
        <f t="shared" si="522"/>
        <v>2.8407855801570306E-2</v>
      </c>
      <c r="BS155" s="26"/>
      <c r="BT155" s="26">
        <f t="shared" si="523"/>
        <v>2.8407855801570306E-2</v>
      </c>
      <c r="BU155" s="26">
        <f t="shared" si="524"/>
        <v>0</v>
      </c>
      <c r="BV155" s="26">
        <f t="shared" si="525"/>
        <v>2.8407855801570306E-2</v>
      </c>
      <c r="BW155" s="26">
        <f t="shared" si="526"/>
        <v>5.2770080156807329E-4</v>
      </c>
      <c r="BX155" s="26">
        <f t="shared" si="527"/>
        <v>0.78349373923429544</v>
      </c>
      <c r="BY155" s="26">
        <f t="shared" si="528"/>
        <v>0.16247521022528372</v>
      </c>
      <c r="BZ155" s="26">
        <f t="shared" si="529"/>
        <v>1.0033123618642878</v>
      </c>
      <c r="CA155" s="22"/>
      <c r="CB155" s="22">
        <f t="shared" si="530"/>
        <v>2.8674406407669269E-2</v>
      </c>
      <c r="CC155" s="22">
        <f t="shared" si="531"/>
        <v>0</v>
      </c>
      <c r="CD155" s="22">
        <f t="shared" si="532"/>
        <v>5.6562041432762812E-3</v>
      </c>
      <c r="CE155" s="22">
        <f t="shared" si="533"/>
        <v>1.052382221351804E-3</v>
      </c>
      <c r="CF155" s="22">
        <f t="shared" si="534"/>
        <v>2.8407855801570306E-2</v>
      </c>
      <c r="CG155" s="22">
        <f t="shared" si="535"/>
        <v>0.40183149696630344</v>
      </c>
      <c r="CH155" s="22">
        <f t="shared" si="536"/>
        <v>0.45846173461494583</v>
      </c>
      <c r="CI155" s="22">
        <f t="shared" si="537"/>
        <v>0.13970676841875068</v>
      </c>
      <c r="CJ155" s="22"/>
      <c r="CK155" s="22">
        <f t="shared" si="538"/>
        <v>0.42025440036975542</v>
      </c>
      <c r="CL155" s="22">
        <f t="shared" si="539"/>
        <v>0.42581074247063577</v>
      </c>
      <c r="CM155" s="22">
        <f t="shared" si="540"/>
        <v>0.15393485715960886</v>
      </c>
      <c r="CN155" s="1"/>
      <c r="CO155" s="26">
        <f t="shared" si="541"/>
        <v>0.87167110519307589</v>
      </c>
      <c r="CP155" s="26">
        <f t="shared" si="542"/>
        <v>6.397095643465198E-3</v>
      </c>
      <c r="CQ155" s="26">
        <f t="shared" si="543"/>
        <v>4.1388779913691644E-2</v>
      </c>
      <c r="CR155" s="26">
        <f t="shared" si="544"/>
        <v>4.7371537601157966E-4</v>
      </c>
      <c r="CS155" s="26">
        <f t="shared" si="545"/>
        <v>0.12804453723034098</v>
      </c>
      <c r="CT155" s="26">
        <f t="shared" si="546"/>
        <v>5.5257964477022836E-3</v>
      </c>
      <c r="CU155" s="26">
        <f t="shared" si="547"/>
        <v>0.36947890818858564</v>
      </c>
      <c r="CV155" s="26">
        <f t="shared" si="548"/>
        <v>0.36465763195435091</v>
      </c>
      <c r="CW155" s="26">
        <f t="shared" si="549"/>
        <v>1.2907389480477574E-2</v>
      </c>
      <c r="CX155" s="26">
        <f t="shared" si="550"/>
        <v>0</v>
      </c>
      <c r="CY155" s="26">
        <f t="shared" si="551"/>
        <v>0</v>
      </c>
      <c r="CZ155" s="26">
        <f t="shared" si="552"/>
        <v>0</v>
      </c>
      <c r="DA155" s="26">
        <f t="shared" si="553"/>
        <v>0</v>
      </c>
      <c r="DB155" s="26">
        <f t="shared" si="554"/>
        <v>1.8005449594277017</v>
      </c>
      <c r="DC155" s="26">
        <f t="shared" si="555"/>
        <v>2.6930907131688553</v>
      </c>
      <c r="DD155" s="26">
        <f t="shared" si="556"/>
        <v>2.2215496364341765</v>
      </c>
      <c r="DE155" s="26">
        <f t="shared" si="557"/>
        <v>5.9828346947245272</v>
      </c>
      <c r="DF155" s="1"/>
      <c r="DG155" s="22"/>
      <c r="DH155" s="14"/>
      <c r="DI155" s="14"/>
      <c r="DJ155" s="14"/>
      <c r="DK155" s="14"/>
      <c r="DL155" s="14"/>
      <c r="DM155" s="96"/>
      <c r="DN155" s="14"/>
      <c r="DO155" s="96"/>
      <c r="DP155" s="22"/>
      <c r="DQ155" s="14"/>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46">
        <f t="shared" si="584"/>
        <v>-1.6860167717404444</v>
      </c>
      <c r="FR155" s="46">
        <f t="shared" si="585"/>
        <v>-1.2793052718018607</v>
      </c>
      <c r="FS155" s="46">
        <f t="shared" si="586"/>
        <v>-0.92969941126816003</v>
      </c>
      <c r="FT155" s="46">
        <f t="shared" si="587"/>
        <v>-0.49597162488347002</v>
      </c>
      <c r="FU155" s="46">
        <f t="shared" si="588"/>
        <v>-0.52526071658534301</v>
      </c>
      <c r="FV155" s="46">
        <f t="shared" si="589"/>
        <v>-0.31374604143927076</v>
      </c>
      <c r="FW155" s="46">
        <f t="shared" si="590"/>
        <v>-0.23916989926576215</v>
      </c>
      <c r="FX155" s="46">
        <f t="shared" si="591"/>
        <v>-0.24503000679083564</v>
      </c>
      <c r="FY155" s="46">
        <f t="shared" si="592"/>
        <v>-0.2955350250158631</v>
      </c>
      <c r="FZ155" s="46">
        <f t="shared" si="593"/>
        <v>-0.34378152199054401</v>
      </c>
      <c r="GA155" s="46">
        <f t="shared" si="594"/>
        <v>-0.31153501943272777</v>
      </c>
      <c r="GB155" s="46">
        <f t="shared" si="595"/>
        <v>-0.34199779576257622</v>
      </c>
      <c r="GC155" s="46">
        <f t="shared" si="596"/>
        <v>-0.32675816835419996</v>
      </c>
      <c r="GD155" s="46">
        <f t="shared" si="597"/>
        <v>-0.40565572702345398</v>
      </c>
      <c r="GE155" s="46"/>
      <c r="GF155" s="46"/>
      <c r="GG155" s="46"/>
      <c r="GH155" s="46"/>
    </row>
    <row r="156" spans="1:190" x14ac:dyDescent="0.25">
      <c r="A156" s="5" t="s">
        <v>249</v>
      </c>
      <c r="B156" s="1">
        <v>169</v>
      </c>
      <c r="C156" s="98" t="s">
        <v>95</v>
      </c>
      <c r="D156" s="98" t="s">
        <v>104</v>
      </c>
      <c r="E156" s="1">
        <v>200</v>
      </c>
      <c r="F156" s="22">
        <v>52</v>
      </c>
      <c r="G156" s="22">
        <v>0.68</v>
      </c>
      <c r="H156" s="22">
        <v>2.58</v>
      </c>
      <c r="I156" s="22">
        <v>0</v>
      </c>
      <c r="J156" s="22">
        <v>8.85</v>
      </c>
      <c r="K156" s="22">
        <v>0.40500000000000003</v>
      </c>
      <c r="L156" s="22">
        <v>14.54</v>
      </c>
      <c r="M156" s="22">
        <v>20.66</v>
      </c>
      <c r="N156" s="22">
        <v>0.33800000000000002</v>
      </c>
      <c r="O156" s="22">
        <v>8.0000000000000002E-3</v>
      </c>
      <c r="P156" s="22">
        <v>0</v>
      </c>
      <c r="Q156" s="22"/>
      <c r="R156" s="22"/>
      <c r="S156" s="22">
        <f t="shared" si="482"/>
        <v>100.06099999999999</v>
      </c>
      <c r="T156" s="3"/>
      <c r="U156" s="22">
        <f t="shared" si="483"/>
        <v>8.4040682408960734</v>
      </c>
      <c r="V156" s="22">
        <f t="shared" si="484"/>
        <v>0.49556396389219332</v>
      </c>
      <c r="W156" s="22">
        <f t="shared" si="485"/>
        <v>100.11063220478826</v>
      </c>
      <c r="X156" s="1"/>
      <c r="Y156" s="1"/>
      <c r="Z156" s="1"/>
      <c r="AA156" s="1" t="s">
        <v>185</v>
      </c>
      <c r="AC156" s="1">
        <v>6</v>
      </c>
      <c r="AD156" s="1">
        <v>4</v>
      </c>
      <c r="AE156" s="1"/>
      <c r="AF156" s="26">
        <f t="shared" si="486"/>
        <v>1.9322498557873655</v>
      </c>
      <c r="AG156" s="26">
        <f t="shared" si="487"/>
        <v>1.900468696031532E-2</v>
      </c>
      <c r="AH156" s="26">
        <f t="shared" si="488"/>
        <v>0.11298212498344701</v>
      </c>
      <c r="AI156" s="26">
        <f t="shared" si="489"/>
        <v>0</v>
      </c>
      <c r="AJ156" s="26">
        <f t="shared" si="490"/>
        <v>0.27498332699560746</v>
      </c>
      <c r="AK156" s="26">
        <f t="shared" si="491"/>
        <v>1.2745406841903367E-2</v>
      </c>
      <c r="AL156" s="26">
        <f t="shared" si="492"/>
        <v>0.80546973049300896</v>
      </c>
      <c r="AM156" s="26">
        <f t="shared" si="493"/>
        <v>0.82245505863727075</v>
      </c>
      <c r="AN156" s="26">
        <f t="shared" si="494"/>
        <v>2.4349216317588965E-2</v>
      </c>
      <c r="AO156" s="26">
        <f t="shared" si="495"/>
        <v>3.7919180576745034E-4</v>
      </c>
      <c r="AP156" s="26">
        <f t="shared" si="496"/>
        <v>0</v>
      </c>
      <c r="AQ156" s="26">
        <f t="shared" si="497"/>
        <v>0</v>
      </c>
      <c r="AR156" s="26">
        <f t="shared" si="498"/>
        <v>0</v>
      </c>
      <c r="AS156" s="26">
        <f t="shared" si="499"/>
        <v>4.0046185988222751</v>
      </c>
      <c r="AT156" s="26">
        <f t="shared" si="500"/>
        <v>2.0452319807708124</v>
      </c>
      <c r="AU156" s="26">
        <f t="shared" si="501"/>
        <v>0.84718346676062717</v>
      </c>
      <c r="AV156" s="47"/>
      <c r="AW156" s="26">
        <f t="shared" si="502"/>
        <v>1.930021357195538</v>
      </c>
      <c r="AX156" s="26">
        <f t="shared" si="503"/>
        <v>1.8982768512241777E-2</v>
      </c>
      <c r="AY156" s="26">
        <f t="shared" si="504"/>
        <v>0.11285182066194679</v>
      </c>
      <c r="AZ156" s="26">
        <f t="shared" si="505"/>
        <v>0</v>
      </c>
      <c r="BA156" s="26">
        <f t="shared" si="506"/>
        <v>0.26082636744041277</v>
      </c>
      <c r="BB156" s="26">
        <f t="shared" si="507"/>
        <v>1.383981632697795E-2</v>
      </c>
      <c r="BC156" s="26">
        <f t="shared" si="508"/>
        <v>1.2730707334427988E-2</v>
      </c>
      <c r="BD156" s="26">
        <f t="shared" si="509"/>
        <v>0.80454076773242855</v>
      </c>
      <c r="BE156" s="26">
        <f t="shared" si="510"/>
        <v>0.82150650639154288</v>
      </c>
      <c r="BF156" s="26">
        <f t="shared" si="511"/>
        <v>2.4321133927460523E-2</v>
      </c>
      <c r="BG156" s="26">
        <f t="shared" si="512"/>
        <v>3.7875447702207394E-4</v>
      </c>
      <c r="BH156" s="26">
        <f t="shared" si="513"/>
        <v>0</v>
      </c>
      <c r="BI156" s="26">
        <f t="shared" si="514"/>
        <v>0</v>
      </c>
      <c r="BJ156" s="26">
        <f t="shared" si="515"/>
        <v>0</v>
      </c>
      <c r="BK156" s="25">
        <f t="shared" si="516"/>
        <v>3.9999999999999991</v>
      </c>
      <c r="BL156" s="24">
        <f t="shared" si="517"/>
        <v>6.0000000000000009</v>
      </c>
      <c r="BM156" s="26">
        <f t="shared" si="518"/>
        <v>2.0428731778574849</v>
      </c>
      <c r="BN156" s="26">
        <f t="shared" si="519"/>
        <v>0.84620639479602544</v>
      </c>
      <c r="BO156" s="22"/>
      <c r="BP156" s="23">
        <f t="shared" si="520"/>
        <v>0.74549257361095056</v>
      </c>
      <c r="BQ156" s="26">
        <f t="shared" si="521"/>
        <v>6.9978642804461977E-2</v>
      </c>
      <c r="BR156" s="26">
        <f t="shared" si="522"/>
        <v>4.2873177857484818E-2</v>
      </c>
      <c r="BS156" s="26"/>
      <c r="BT156" s="26">
        <f t="shared" si="523"/>
        <v>2.4349216317588965E-2</v>
      </c>
      <c r="BU156" s="26">
        <f t="shared" si="524"/>
        <v>1.8552043930024294E-2</v>
      </c>
      <c r="BV156" s="26">
        <f t="shared" si="525"/>
        <v>3.3597155892472669E-2</v>
      </c>
      <c r="BW156" s="26">
        <f t="shared" si="526"/>
        <v>0</v>
      </c>
      <c r="BX156" s="26">
        <f t="shared" si="527"/>
        <v>0.77030585881477376</v>
      </c>
      <c r="BY156" s="26">
        <f t="shared" si="528"/>
        <v>0.15507359933692133</v>
      </c>
      <c r="BZ156" s="26">
        <f t="shared" si="529"/>
        <v>1.0018778742917811</v>
      </c>
      <c r="CA156" s="22"/>
      <c r="CB156" s="22">
        <f t="shared" si="530"/>
        <v>1.383981632697795E-2</v>
      </c>
      <c r="CC156" s="22">
        <f t="shared" si="531"/>
        <v>1.0481317600482574E-2</v>
      </c>
      <c r="CD156" s="22">
        <f t="shared" si="532"/>
        <v>0</v>
      </c>
      <c r="CE156" s="22">
        <f t="shared" si="533"/>
        <v>0</v>
      </c>
      <c r="CF156" s="22">
        <f t="shared" si="534"/>
        <v>3.2391860257002247E-2</v>
      </c>
      <c r="CG156" s="22">
        <f t="shared" si="535"/>
        <v>0.40147723123075929</v>
      </c>
      <c r="CH156" s="22">
        <f t="shared" si="536"/>
        <v>0.45199063495873759</v>
      </c>
      <c r="CI156" s="22">
        <f t="shared" si="537"/>
        <v>0.14653213381050317</v>
      </c>
      <c r="CJ156" s="22"/>
      <c r="CK156" s="22">
        <f t="shared" si="538"/>
        <v>0.42933393161989836</v>
      </c>
      <c r="CL156" s="22">
        <f t="shared" si="539"/>
        <v>0.4204673344296363</v>
      </c>
      <c r="CM156" s="22">
        <f t="shared" si="540"/>
        <v>0.15019873395046535</v>
      </c>
      <c r="CN156" s="1"/>
      <c r="CO156" s="26">
        <f t="shared" si="541"/>
        <v>0.86551264980026632</v>
      </c>
      <c r="CP156" s="26">
        <f t="shared" si="542"/>
        <v>8.5127691537305976E-3</v>
      </c>
      <c r="CQ156" s="26">
        <f t="shared" si="543"/>
        <v>5.06080816006277E-2</v>
      </c>
      <c r="CR156" s="26">
        <f t="shared" si="544"/>
        <v>0</v>
      </c>
      <c r="CS156" s="26">
        <f t="shared" si="545"/>
        <v>0.12317327766179541</v>
      </c>
      <c r="CT156" s="26">
        <f t="shared" si="546"/>
        <v>5.709049901325064E-3</v>
      </c>
      <c r="CU156" s="26">
        <f t="shared" si="547"/>
        <v>0.36079404466501241</v>
      </c>
      <c r="CV156" s="26">
        <f t="shared" si="548"/>
        <v>0.36840228245363765</v>
      </c>
      <c r="CW156" s="26">
        <f t="shared" si="549"/>
        <v>1.0906744111003551E-2</v>
      </c>
      <c r="CX156" s="26">
        <f t="shared" si="550"/>
        <v>1.6985138004246286E-4</v>
      </c>
      <c r="CY156" s="26">
        <f t="shared" si="551"/>
        <v>0</v>
      </c>
      <c r="CZ156" s="26">
        <f t="shared" si="552"/>
        <v>0</v>
      </c>
      <c r="DA156" s="26">
        <f t="shared" si="553"/>
        <v>0</v>
      </c>
      <c r="DB156" s="26">
        <f t="shared" si="554"/>
        <v>1.7937887507274413</v>
      </c>
      <c r="DC156" s="26">
        <f t="shared" si="555"/>
        <v>2.6875799127362288</v>
      </c>
      <c r="DD156" s="26">
        <f t="shared" si="556"/>
        <v>2.2299169834674601</v>
      </c>
      <c r="DE156" s="26">
        <f t="shared" si="557"/>
        <v>5.9930800918365108</v>
      </c>
      <c r="DF156" s="1"/>
      <c r="DG156" s="22"/>
      <c r="DH156" s="14"/>
      <c r="DI156" s="14"/>
      <c r="DJ156" s="14"/>
      <c r="DK156" s="14"/>
      <c r="DL156" s="14"/>
      <c r="DM156" s="96"/>
      <c r="DN156" s="14"/>
      <c r="DO156" s="96"/>
      <c r="DP156" s="22"/>
      <c r="DQ156" s="14"/>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46">
        <f t="shared" si="584"/>
        <v>-1.6666607469785568</v>
      </c>
      <c r="FR156" s="46">
        <f t="shared" si="585"/>
        <v>-1.2601597051166971</v>
      </c>
      <c r="FS156" s="46">
        <f t="shared" si="586"/>
        <v>-0.91081577944008374</v>
      </c>
      <c r="FT156" s="46">
        <f t="shared" si="587"/>
        <v>-0.47741601905522546</v>
      </c>
      <c r="FU156" s="46">
        <f t="shared" si="588"/>
        <v>-0.5080781884771769</v>
      </c>
      <c r="FV156" s="46">
        <f t="shared" si="589"/>
        <v>-0.29657191902054481</v>
      </c>
      <c r="FW156" s="46">
        <f t="shared" si="590"/>
        <v>-0.22314688957627377</v>
      </c>
      <c r="FX156" s="46">
        <f t="shared" si="591"/>
        <v>-0.23012968665798172</v>
      </c>
      <c r="FY156" s="46">
        <f t="shared" si="592"/>
        <v>-0.28132581153141123</v>
      </c>
      <c r="FZ156" s="46">
        <f t="shared" si="593"/>
        <v>-0.32997009543758937</v>
      </c>
      <c r="GA156" s="46">
        <f t="shared" si="594"/>
        <v>-0.29827240372528135</v>
      </c>
      <c r="GB156" s="46">
        <f t="shared" si="595"/>
        <v>-0.32906594990964649</v>
      </c>
      <c r="GC156" s="46">
        <f t="shared" si="596"/>
        <v>-0.31374765808294691</v>
      </c>
      <c r="GD156" s="46">
        <f t="shared" si="597"/>
        <v>-0.42003609321539903</v>
      </c>
      <c r="GE156" s="46"/>
      <c r="GF156" s="46"/>
      <c r="GG156" s="46"/>
      <c r="GH156" s="46"/>
    </row>
    <row r="157" spans="1:190" x14ac:dyDescent="0.25">
      <c r="A157" s="5" t="s">
        <v>249</v>
      </c>
      <c r="B157" s="1">
        <v>170</v>
      </c>
      <c r="C157" s="98" t="s">
        <v>95</v>
      </c>
      <c r="D157" s="98" t="s">
        <v>104</v>
      </c>
      <c r="E157" s="1">
        <v>201</v>
      </c>
      <c r="F157" s="22">
        <v>51.36</v>
      </c>
      <c r="G157" s="22">
        <v>0.68200000000000005</v>
      </c>
      <c r="H157" s="22">
        <v>2.67</v>
      </c>
      <c r="I157" s="22">
        <v>0</v>
      </c>
      <c r="J157" s="22">
        <v>10.31</v>
      </c>
      <c r="K157" s="22">
        <v>0.41899999999999998</v>
      </c>
      <c r="L157" s="22">
        <v>13.96</v>
      </c>
      <c r="M157" s="22">
        <v>20.21</v>
      </c>
      <c r="N157" s="22">
        <v>0.46500000000000002</v>
      </c>
      <c r="O157" s="22">
        <v>0</v>
      </c>
      <c r="P157" s="22">
        <v>0</v>
      </c>
      <c r="Q157" s="22"/>
      <c r="R157" s="22"/>
      <c r="S157" s="22">
        <f t="shared" si="482"/>
        <v>100.07600000000002</v>
      </c>
      <c r="T157" s="3"/>
      <c r="U157" s="22">
        <f t="shared" si="483"/>
        <v>8.6724312503194447</v>
      </c>
      <c r="V157" s="22">
        <f t="shared" si="484"/>
        <v>1.8198301515200008</v>
      </c>
      <c r="W157" s="22">
        <f t="shared" si="485"/>
        <v>100.25826140183945</v>
      </c>
      <c r="X157" s="1"/>
      <c r="Y157" s="1"/>
      <c r="Z157" s="1"/>
      <c r="AA157" s="1" t="s">
        <v>185</v>
      </c>
      <c r="AC157" s="1">
        <v>6</v>
      </c>
      <c r="AD157" s="1">
        <v>4</v>
      </c>
      <c r="AE157" s="1"/>
      <c r="AF157" s="26">
        <f t="shared" si="486"/>
        <v>1.921726213546483</v>
      </c>
      <c r="AG157" s="26">
        <f t="shared" si="487"/>
        <v>1.9192994622515256E-2</v>
      </c>
      <c r="AH157" s="26">
        <f t="shared" si="488"/>
        <v>0.11773561410121743</v>
      </c>
      <c r="AI157" s="26">
        <f t="shared" si="489"/>
        <v>0</v>
      </c>
      <c r="AJ157" s="26">
        <f t="shared" si="490"/>
        <v>0.32257322484125256</v>
      </c>
      <c r="AK157" s="26">
        <f t="shared" si="491"/>
        <v>1.3277590247615208E-2</v>
      </c>
      <c r="AL157" s="26">
        <f t="shared" si="492"/>
        <v>0.77871187100534112</v>
      </c>
      <c r="AM157" s="26">
        <f t="shared" si="493"/>
        <v>0.81013003143613793</v>
      </c>
      <c r="AN157" s="26">
        <f t="shared" si="494"/>
        <v>3.3730889959661149E-2</v>
      </c>
      <c r="AO157" s="26">
        <f t="shared" si="495"/>
        <v>0</v>
      </c>
      <c r="AP157" s="26">
        <f t="shared" si="496"/>
        <v>0</v>
      </c>
      <c r="AQ157" s="26">
        <f t="shared" si="497"/>
        <v>0</v>
      </c>
      <c r="AR157" s="26">
        <f t="shared" si="498"/>
        <v>0</v>
      </c>
      <c r="AS157" s="26">
        <f t="shared" si="499"/>
        <v>4.0170784297602236</v>
      </c>
      <c r="AT157" s="26">
        <f t="shared" si="500"/>
        <v>2.0394618276477003</v>
      </c>
      <c r="AU157" s="26">
        <f t="shared" si="501"/>
        <v>0.84386092139579905</v>
      </c>
      <c r="AV157" s="47"/>
      <c r="AW157" s="26">
        <f t="shared" si="502"/>
        <v>1.9135560802692013</v>
      </c>
      <c r="AX157" s="26">
        <f t="shared" si="503"/>
        <v>1.9111396461991278E-2</v>
      </c>
      <c r="AY157" s="26">
        <f t="shared" si="504"/>
        <v>0.11723506638952526</v>
      </c>
      <c r="AZ157" s="26">
        <f t="shared" si="505"/>
        <v>0</v>
      </c>
      <c r="BA157" s="26">
        <f t="shared" si="506"/>
        <v>0.27018435443071775</v>
      </c>
      <c r="BB157" s="26">
        <f t="shared" si="507"/>
        <v>5.101746473367097E-2</v>
      </c>
      <c r="BC157" s="26">
        <f t="shared" si="508"/>
        <v>1.3221141164931385E-2</v>
      </c>
      <c r="BD157" s="26">
        <f t="shared" si="509"/>
        <v>0.77540121222061553</v>
      </c>
      <c r="BE157" s="26">
        <f t="shared" si="510"/>
        <v>0.80668579974376442</v>
      </c>
      <c r="BF157" s="26">
        <f t="shared" si="511"/>
        <v>3.3587484585581778E-2</v>
      </c>
      <c r="BG157" s="26">
        <f t="shared" si="512"/>
        <v>0</v>
      </c>
      <c r="BH157" s="26">
        <f t="shared" si="513"/>
        <v>0</v>
      </c>
      <c r="BI157" s="26">
        <f t="shared" si="514"/>
        <v>0</v>
      </c>
      <c r="BJ157" s="26">
        <f t="shared" si="515"/>
        <v>0</v>
      </c>
      <c r="BK157" s="25">
        <f t="shared" si="516"/>
        <v>3.9999999999999996</v>
      </c>
      <c r="BL157" s="24">
        <f t="shared" si="517"/>
        <v>6</v>
      </c>
      <c r="BM157" s="26">
        <f t="shared" si="518"/>
        <v>2.0307911466587267</v>
      </c>
      <c r="BN157" s="26">
        <f t="shared" si="519"/>
        <v>0.84027328432934623</v>
      </c>
      <c r="BO157" s="22"/>
      <c r="BP157" s="23">
        <f t="shared" si="520"/>
        <v>0.70709380699165825</v>
      </c>
      <c r="BQ157" s="26">
        <f t="shared" si="521"/>
        <v>8.644391973079868E-2</v>
      </c>
      <c r="BR157" s="26">
        <f t="shared" si="522"/>
        <v>3.0791146658726579E-2</v>
      </c>
      <c r="BS157" s="26"/>
      <c r="BT157" s="26">
        <f t="shared" si="523"/>
        <v>3.0791146658726579E-2</v>
      </c>
      <c r="BU157" s="26">
        <f t="shared" si="524"/>
        <v>0</v>
      </c>
      <c r="BV157" s="26">
        <f t="shared" si="525"/>
        <v>3.0791146658726579E-2</v>
      </c>
      <c r="BW157" s="26">
        <f t="shared" si="526"/>
        <v>0</v>
      </c>
      <c r="BX157" s="26">
        <f t="shared" si="527"/>
        <v>0.77933888477741131</v>
      </c>
      <c r="BY157" s="26">
        <f t="shared" si="528"/>
        <v>0.16097310553459115</v>
      </c>
      <c r="BZ157" s="26">
        <f t="shared" si="529"/>
        <v>1.0018942836294555</v>
      </c>
      <c r="CA157" s="22"/>
      <c r="CB157" s="22">
        <f t="shared" si="530"/>
        <v>3.3587484585581778E-2</v>
      </c>
      <c r="CC157" s="22">
        <f t="shared" si="531"/>
        <v>0</v>
      </c>
      <c r="CD157" s="22">
        <f t="shared" si="532"/>
        <v>1.7429980148089191E-2</v>
      </c>
      <c r="CE157" s="22">
        <f t="shared" si="533"/>
        <v>0</v>
      </c>
      <c r="CF157" s="22">
        <f t="shared" si="534"/>
        <v>3.0791146658726579E-2</v>
      </c>
      <c r="CG157" s="22">
        <f t="shared" si="535"/>
        <v>0.39602607876126522</v>
      </c>
      <c r="CH157" s="22">
        <f t="shared" si="536"/>
        <v>0.44790414636081405</v>
      </c>
      <c r="CI157" s="22">
        <f t="shared" si="537"/>
        <v>0.15606977487792065</v>
      </c>
      <c r="CJ157" s="22"/>
      <c r="CK157" s="22">
        <f t="shared" si="538"/>
        <v>0.42091395891789385</v>
      </c>
      <c r="CL157" s="22">
        <f t="shared" si="539"/>
        <v>0.404590230904255</v>
      </c>
      <c r="CM157" s="22">
        <f t="shared" si="540"/>
        <v>0.17449581017785107</v>
      </c>
      <c r="CN157" s="1"/>
      <c r="CO157" s="26">
        <f t="shared" si="541"/>
        <v>0.85486018641810924</v>
      </c>
      <c r="CP157" s="26">
        <f t="shared" si="542"/>
        <v>8.5378067100650989E-3</v>
      </c>
      <c r="CQ157" s="26">
        <f t="shared" si="543"/>
        <v>5.2373479795998434E-2</v>
      </c>
      <c r="CR157" s="26">
        <f t="shared" si="544"/>
        <v>0</v>
      </c>
      <c r="CS157" s="26">
        <f t="shared" si="545"/>
        <v>0.14349338900487127</v>
      </c>
      <c r="CT157" s="26">
        <f t="shared" si="546"/>
        <v>5.9063997744572879E-3</v>
      </c>
      <c r="CU157" s="26">
        <f t="shared" si="547"/>
        <v>0.34640198511166259</v>
      </c>
      <c r="CV157" s="26">
        <f t="shared" si="548"/>
        <v>0.36037803138373753</v>
      </c>
      <c r="CW157" s="26">
        <f t="shared" si="549"/>
        <v>1.500484027105518E-2</v>
      </c>
      <c r="CX157" s="26">
        <f t="shared" si="550"/>
        <v>0</v>
      </c>
      <c r="CY157" s="26">
        <f t="shared" si="551"/>
        <v>0</v>
      </c>
      <c r="CZ157" s="26">
        <f t="shared" si="552"/>
        <v>0</v>
      </c>
      <c r="DA157" s="26">
        <f t="shared" si="553"/>
        <v>0</v>
      </c>
      <c r="DB157" s="26">
        <f t="shared" si="554"/>
        <v>1.7869561184699567</v>
      </c>
      <c r="DC157" s="26">
        <f t="shared" si="555"/>
        <v>2.6690384313606024</v>
      </c>
      <c r="DD157" s="26">
        <f t="shared" si="556"/>
        <v>2.238443327542321</v>
      </c>
      <c r="DE157" s="26">
        <f t="shared" si="557"/>
        <v>5.9744912676331632</v>
      </c>
      <c r="DF157" s="1"/>
      <c r="DG157" s="22"/>
      <c r="DH157" s="14"/>
      <c r="DI157" s="14"/>
      <c r="DJ157" s="14"/>
      <c r="DK157" s="14"/>
      <c r="DL157" s="14"/>
      <c r="DM157" s="96"/>
      <c r="DN157" s="14"/>
      <c r="DO157" s="96"/>
      <c r="DP157" s="22"/>
      <c r="DQ157" s="14"/>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46">
        <f t="shared" si="584"/>
        <v>-1.5599880014599399</v>
      </c>
      <c r="FR157" s="46">
        <f t="shared" si="585"/>
        <v>-1.1546468124675038</v>
      </c>
      <c r="FS157" s="46">
        <f t="shared" si="586"/>
        <v>-0.80674643269952862</v>
      </c>
      <c r="FT157" s="46">
        <f t="shared" si="587"/>
        <v>-0.37515445229191213</v>
      </c>
      <c r="FU157" s="46">
        <f t="shared" si="588"/>
        <v>-0.41338377313121522</v>
      </c>
      <c r="FV157" s="46">
        <f t="shared" si="589"/>
        <v>-0.20192382816432694</v>
      </c>
      <c r="FW157" s="46">
        <f t="shared" si="590"/>
        <v>-0.13484268165778474</v>
      </c>
      <c r="FX157" s="46">
        <f t="shared" si="591"/>
        <v>-0.14801271908685454</v>
      </c>
      <c r="FY157" s="46">
        <f t="shared" si="592"/>
        <v>-0.20301759315016804</v>
      </c>
      <c r="FZ157" s="46">
        <f t="shared" si="593"/>
        <v>-0.2538541156299291</v>
      </c>
      <c r="GA157" s="46">
        <f t="shared" si="594"/>
        <v>-0.22518096849125824</v>
      </c>
      <c r="GB157" s="46">
        <f t="shared" si="595"/>
        <v>-0.25779741627603708</v>
      </c>
      <c r="GC157" s="46">
        <f t="shared" si="596"/>
        <v>-0.24204559795924424</v>
      </c>
      <c r="GD157" s="46">
        <f t="shared" si="597"/>
        <v>-0.47404007387408575</v>
      </c>
      <c r="GE157" s="46"/>
      <c r="GF157" s="46"/>
      <c r="GG157" s="46"/>
      <c r="GH157" s="46"/>
    </row>
    <row r="158" spans="1:190" x14ac:dyDescent="0.25">
      <c r="A158" s="5" t="s">
        <v>249</v>
      </c>
      <c r="B158" s="1">
        <v>171</v>
      </c>
      <c r="C158" s="98" t="s">
        <v>95</v>
      </c>
      <c r="D158" s="98" t="s">
        <v>104</v>
      </c>
      <c r="E158" s="1">
        <v>202</v>
      </c>
      <c r="F158" s="22">
        <v>51.32</v>
      </c>
      <c r="G158" s="22">
        <v>0.63700000000000001</v>
      </c>
      <c r="H158" s="22">
        <v>2.34</v>
      </c>
      <c r="I158" s="22">
        <v>0</v>
      </c>
      <c r="J158" s="22">
        <v>9.23</v>
      </c>
      <c r="K158" s="22">
        <v>0.42399999999999999</v>
      </c>
      <c r="L158" s="22">
        <v>14.07</v>
      </c>
      <c r="M158" s="22">
        <v>19.23</v>
      </c>
      <c r="N158" s="22">
        <v>0.36799999999999999</v>
      </c>
      <c r="O158" s="22">
        <v>0</v>
      </c>
      <c r="P158" s="22">
        <v>0</v>
      </c>
      <c r="Q158" s="22"/>
      <c r="R158" s="22"/>
      <c r="S158" s="22">
        <f t="shared" si="482"/>
        <v>97.619</v>
      </c>
      <c r="T158" s="3"/>
      <c r="U158" s="22">
        <f t="shared" si="483"/>
        <v>9.23</v>
      </c>
      <c r="V158" s="22">
        <f t="shared" si="484"/>
        <v>0</v>
      </c>
      <c r="W158" s="22">
        <f t="shared" si="485"/>
        <v>97.619000000000014</v>
      </c>
      <c r="X158" s="1"/>
      <c r="Y158" s="1"/>
      <c r="Z158" s="1"/>
      <c r="AA158" s="1" t="s">
        <v>185</v>
      </c>
      <c r="AC158" s="1">
        <v>6</v>
      </c>
      <c r="AD158" s="1">
        <v>4</v>
      </c>
      <c r="AE158" s="1"/>
      <c r="AF158" s="26">
        <f t="shared" si="486"/>
        <v>1.9519988341375991</v>
      </c>
      <c r="AG158" s="26">
        <f t="shared" si="487"/>
        <v>1.8223181738051028E-2</v>
      </c>
      <c r="AH158" s="26">
        <f t="shared" si="488"/>
        <v>0.10489115231358952</v>
      </c>
      <c r="AI158" s="26">
        <f t="shared" si="489"/>
        <v>0</v>
      </c>
      <c r="AJ158" s="26">
        <f t="shared" si="490"/>
        <v>0.29356059467348833</v>
      </c>
      <c r="AK158" s="26">
        <f t="shared" si="491"/>
        <v>1.3658326891495164E-2</v>
      </c>
      <c r="AL158" s="26">
        <f t="shared" si="492"/>
        <v>0.79783279034804566</v>
      </c>
      <c r="AM158" s="26">
        <f t="shared" si="493"/>
        <v>0.7835994265771643</v>
      </c>
      <c r="AN158" s="26">
        <f t="shared" si="494"/>
        <v>2.7136202576243513E-2</v>
      </c>
      <c r="AO158" s="26">
        <f t="shared" si="495"/>
        <v>0</v>
      </c>
      <c r="AP158" s="26">
        <f t="shared" si="496"/>
        <v>0</v>
      </c>
      <c r="AQ158" s="26">
        <f t="shared" si="497"/>
        <v>0</v>
      </c>
      <c r="AR158" s="26">
        <f t="shared" si="498"/>
        <v>0</v>
      </c>
      <c r="AS158" s="26">
        <f t="shared" si="499"/>
        <v>3.9909005092556766</v>
      </c>
      <c r="AT158" s="26">
        <f t="shared" si="500"/>
        <v>2.0568899864511887</v>
      </c>
      <c r="AU158" s="26">
        <f t="shared" si="501"/>
        <v>0.8107356291534078</v>
      </c>
      <c r="AV158" s="47"/>
      <c r="AW158" s="26">
        <f t="shared" si="502"/>
        <v>1.9564495076843265</v>
      </c>
      <c r="AX158" s="26">
        <f t="shared" si="503"/>
        <v>1.8264731677262228E-2</v>
      </c>
      <c r="AY158" s="26">
        <f t="shared" si="504"/>
        <v>0.10513031038516393</v>
      </c>
      <c r="AZ158" s="26">
        <f t="shared" si="505"/>
        <v>0</v>
      </c>
      <c r="BA158" s="26">
        <f t="shared" si="506"/>
        <v>0.29422993030536748</v>
      </c>
      <c r="BB158" s="26">
        <f t="shared" si="507"/>
        <v>0</v>
      </c>
      <c r="BC158" s="26">
        <f t="shared" si="508"/>
        <v>1.3689468689904788E-2</v>
      </c>
      <c r="BD158" s="26">
        <f t="shared" si="509"/>
        <v>0.79965189660600744</v>
      </c>
      <c r="BE158" s="26">
        <f t="shared" si="510"/>
        <v>0.78538607991839882</v>
      </c>
      <c r="BF158" s="26">
        <f t="shared" si="511"/>
        <v>2.7198074733568892E-2</v>
      </c>
      <c r="BG158" s="26">
        <f t="shared" si="512"/>
        <v>0</v>
      </c>
      <c r="BH158" s="26">
        <f t="shared" si="513"/>
        <v>0</v>
      </c>
      <c r="BI158" s="26">
        <f t="shared" si="514"/>
        <v>0</v>
      </c>
      <c r="BJ158" s="26">
        <f t="shared" si="515"/>
        <v>0</v>
      </c>
      <c r="BK158" s="25">
        <f t="shared" si="516"/>
        <v>4</v>
      </c>
      <c r="BL158" s="24">
        <f t="shared" si="517"/>
        <v>6.0136803571873862</v>
      </c>
      <c r="BM158" s="26">
        <f t="shared" si="518"/>
        <v>2.0615798180694904</v>
      </c>
      <c r="BN158" s="26">
        <f t="shared" si="519"/>
        <v>0.81258415465196776</v>
      </c>
      <c r="BO158" s="22"/>
      <c r="BP158" s="23">
        <f t="shared" si="520"/>
        <v>0.73102219721837858</v>
      </c>
      <c r="BQ158" s="26">
        <f t="shared" si="521"/>
        <v>4.3550492315673539E-2</v>
      </c>
      <c r="BR158" s="26">
        <f t="shared" si="522"/>
        <v>6.1579818069490394E-2</v>
      </c>
      <c r="BS158" s="26"/>
      <c r="BT158" s="26">
        <f t="shared" si="523"/>
        <v>2.7136202576243513E-2</v>
      </c>
      <c r="BU158" s="26">
        <f t="shared" si="524"/>
        <v>3.4381743335921505E-2</v>
      </c>
      <c r="BV158" s="26">
        <f t="shared" si="525"/>
        <v>4.4388946401529641E-2</v>
      </c>
      <c r="BW158" s="26">
        <f t="shared" si="526"/>
        <v>0</v>
      </c>
      <c r="BX158" s="26">
        <f t="shared" si="527"/>
        <v>0.70482873683971314</v>
      </c>
      <c r="BY158" s="26">
        <f t="shared" si="528"/>
        <v>0.19328232409091045</v>
      </c>
      <c r="BZ158" s="26">
        <f t="shared" si="529"/>
        <v>1.0040179532443183</v>
      </c>
      <c r="CA158" s="22"/>
      <c r="CB158" s="22">
        <f t="shared" si="530"/>
        <v>0</v>
      </c>
      <c r="CC158" s="22">
        <f t="shared" si="531"/>
        <v>2.7198074733568892E-2</v>
      </c>
      <c r="CD158" s="22">
        <f t="shared" si="532"/>
        <v>0</v>
      </c>
      <c r="CE158" s="22">
        <f t="shared" si="533"/>
        <v>0</v>
      </c>
      <c r="CF158" s="22">
        <f t="shared" si="534"/>
        <v>3.4381743335921505E-2</v>
      </c>
      <c r="CG158" s="22">
        <f t="shared" si="535"/>
        <v>0.37550216829123867</v>
      </c>
      <c r="CH158" s="22">
        <f t="shared" si="536"/>
        <v>0.45652177709385194</v>
      </c>
      <c r="CI158" s="22">
        <f t="shared" si="537"/>
        <v>0.16797605461490933</v>
      </c>
      <c r="CJ158" s="22"/>
      <c r="CK158" s="22">
        <f t="shared" si="538"/>
        <v>0.4148989776923977</v>
      </c>
      <c r="CL158" s="22">
        <f t="shared" si="539"/>
        <v>0.42243523649679482</v>
      </c>
      <c r="CM158" s="22">
        <f t="shared" si="540"/>
        <v>0.16266578581080748</v>
      </c>
      <c r="CN158" s="1"/>
      <c r="CO158" s="26">
        <f t="shared" si="541"/>
        <v>0.85419440745672437</v>
      </c>
      <c r="CP158" s="26">
        <f t="shared" si="542"/>
        <v>7.9744616925388079E-3</v>
      </c>
      <c r="CQ158" s="26">
        <f t="shared" si="543"/>
        <v>4.5900353079639071E-2</v>
      </c>
      <c r="CR158" s="26">
        <f t="shared" si="544"/>
        <v>0</v>
      </c>
      <c r="CS158" s="26">
        <f t="shared" si="545"/>
        <v>0.12846207376478777</v>
      </c>
      <c r="CT158" s="26">
        <f t="shared" si="546"/>
        <v>5.976881872004511E-3</v>
      </c>
      <c r="CU158" s="26">
        <f t="shared" si="547"/>
        <v>0.34913151364764272</v>
      </c>
      <c r="CV158" s="26">
        <f t="shared" si="548"/>
        <v>0.34290299572039945</v>
      </c>
      <c r="CW158" s="26">
        <f t="shared" si="549"/>
        <v>1.1874798322039368E-2</v>
      </c>
      <c r="CX158" s="26">
        <f t="shared" si="550"/>
        <v>0</v>
      </c>
      <c r="CY158" s="26">
        <f t="shared" si="551"/>
        <v>0</v>
      </c>
      <c r="CZ158" s="26">
        <f t="shared" si="552"/>
        <v>0</v>
      </c>
      <c r="DA158" s="26">
        <f t="shared" si="553"/>
        <v>0</v>
      </c>
      <c r="DB158" s="26">
        <f t="shared" si="554"/>
        <v>1.7464174855557759</v>
      </c>
      <c r="DC158" s="26">
        <f t="shared" si="555"/>
        <v>2.6255991320838392</v>
      </c>
      <c r="DD158" s="26">
        <f t="shared" si="556"/>
        <v>2.2904030869383152</v>
      </c>
      <c r="DE158" s="26">
        <f t="shared" si="557"/>
        <v>6.0136803571873862</v>
      </c>
      <c r="DF158" s="1"/>
      <c r="DG158" s="22"/>
      <c r="DH158" s="14"/>
      <c r="DI158" s="14"/>
      <c r="DJ158" s="14"/>
      <c r="DK158" s="14"/>
      <c r="DL158" s="14"/>
      <c r="DM158" s="96"/>
      <c r="DN158" s="14"/>
      <c r="DO158" s="96"/>
      <c r="DP158" s="22"/>
      <c r="DQ158" s="14"/>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46">
        <f t="shared" si="584"/>
        <v>-1.6628208935261339</v>
      </c>
      <c r="FR158" s="46">
        <f t="shared" si="585"/>
        <v>-1.2563616023947284</v>
      </c>
      <c r="FS158" s="46">
        <f t="shared" si="586"/>
        <v>-0.90706963942624697</v>
      </c>
      <c r="FT158" s="46">
        <f t="shared" si="587"/>
        <v>-0.47373495292837897</v>
      </c>
      <c r="FU158" s="46">
        <f t="shared" si="588"/>
        <v>-0.50466951388158476</v>
      </c>
      <c r="FV158" s="46">
        <f t="shared" si="589"/>
        <v>-0.29316491194790817</v>
      </c>
      <c r="FW158" s="46">
        <f t="shared" si="590"/>
        <v>-0.21996824055968767</v>
      </c>
      <c r="FX158" s="46">
        <f t="shared" si="591"/>
        <v>-0.22717375710074095</v>
      </c>
      <c r="FY158" s="46">
        <f t="shared" si="592"/>
        <v>-0.27850698389889439</v>
      </c>
      <c r="FZ158" s="46">
        <f t="shared" si="593"/>
        <v>-0.32723018088464484</v>
      </c>
      <c r="GA158" s="46">
        <f t="shared" si="594"/>
        <v>-0.29564136241701261</v>
      </c>
      <c r="GB158" s="46">
        <f t="shared" si="595"/>
        <v>-0.32650052681500624</v>
      </c>
      <c r="GC158" s="46">
        <f t="shared" si="596"/>
        <v>-0.31116662951962193</v>
      </c>
      <c r="GD158" s="46">
        <f t="shared" si="597"/>
        <v>-0.28160186708464985</v>
      </c>
      <c r="GE158" s="46"/>
      <c r="GF158" s="46"/>
      <c r="GG158" s="46"/>
      <c r="GH158" s="46"/>
    </row>
    <row r="159" spans="1:190" x14ac:dyDescent="0.25">
      <c r="A159" s="5" t="s">
        <v>91</v>
      </c>
      <c r="B159" s="1">
        <v>1420</v>
      </c>
      <c r="C159" s="98" t="s">
        <v>96</v>
      </c>
      <c r="D159" s="98" t="s">
        <v>104</v>
      </c>
      <c r="E159" s="1">
        <v>427</v>
      </c>
      <c r="F159" s="22">
        <v>51.02</v>
      </c>
      <c r="G159" s="22">
        <v>0.48299999999999998</v>
      </c>
      <c r="H159" s="22">
        <v>2.02</v>
      </c>
      <c r="I159" s="22">
        <v>0</v>
      </c>
      <c r="J159" s="22">
        <v>10.6</v>
      </c>
      <c r="K159" s="22">
        <v>0.33200000000000002</v>
      </c>
      <c r="L159" s="22">
        <v>14.99</v>
      </c>
      <c r="M159" s="22">
        <v>18.899999999999999</v>
      </c>
      <c r="N159" s="22">
        <v>0.32300000000000001</v>
      </c>
      <c r="O159" s="22">
        <v>0</v>
      </c>
      <c r="P159" s="22">
        <v>0</v>
      </c>
      <c r="Q159" s="22"/>
      <c r="R159" s="22"/>
      <c r="S159" s="22">
        <f t="shared" si="482"/>
        <v>98.667999999999992</v>
      </c>
      <c r="T159" s="3"/>
      <c r="U159" s="22">
        <f t="shared" si="483"/>
        <v>8.6754094898863858</v>
      </c>
      <c r="V159" s="22">
        <f t="shared" si="484"/>
        <v>2.1387974338892586</v>
      </c>
      <c r="W159" s="22">
        <f t="shared" si="485"/>
        <v>98.882206923775655</v>
      </c>
      <c r="X159" s="1"/>
      <c r="Y159" s="1"/>
      <c r="Z159" s="1"/>
      <c r="AA159" s="1" t="s">
        <v>185</v>
      </c>
      <c r="AC159" s="1">
        <v>6</v>
      </c>
      <c r="AD159" s="1">
        <v>4</v>
      </c>
      <c r="AE159" s="1"/>
      <c r="AF159" s="26">
        <f t="shared" si="486"/>
        <v>1.9326890559022201</v>
      </c>
      <c r="AG159" s="26">
        <f t="shared" si="487"/>
        <v>1.3761333872910109E-2</v>
      </c>
      <c r="AH159" s="26">
        <f t="shared" si="488"/>
        <v>9.0178497577155681E-2</v>
      </c>
      <c r="AI159" s="26">
        <f t="shared" si="489"/>
        <v>0</v>
      </c>
      <c r="AJ159" s="26">
        <f t="shared" si="490"/>
        <v>0.3357612321373874</v>
      </c>
      <c r="AK159" s="26">
        <f t="shared" si="491"/>
        <v>1.0651195514215664E-2</v>
      </c>
      <c r="AL159" s="26">
        <f t="shared" si="492"/>
        <v>0.84654109155573443</v>
      </c>
      <c r="AM159" s="26">
        <f t="shared" si="493"/>
        <v>0.7670174709973745</v>
      </c>
      <c r="AN159" s="26">
        <f t="shared" si="494"/>
        <v>2.3720967758589277E-2</v>
      </c>
      <c r="AO159" s="26">
        <f t="shared" si="495"/>
        <v>0</v>
      </c>
      <c r="AP159" s="26">
        <f t="shared" si="496"/>
        <v>0</v>
      </c>
      <c r="AQ159" s="26">
        <f t="shared" si="497"/>
        <v>0</v>
      </c>
      <c r="AR159" s="26">
        <f t="shared" si="498"/>
        <v>0</v>
      </c>
      <c r="AS159" s="26">
        <f t="shared" si="499"/>
        <v>4.0203208453155872</v>
      </c>
      <c r="AT159" s="26">
        <f t="shared" si="500"/>
        <v>2.0228675534793759</v>
      </c>
      <c r="AU159" s="26">
        <f t="shared" si="501"/>
        <v>0.79073843875596372</v>
      </c>
      <c r="AV159" s="47"/>
      <c r="AW159" s="26">
        <f t="shared" si="502"/>
        <v>1.922920214842214</v>
      </c>
      <c r="AX159" s="26">
        <f t="shared" si="503"/>
        <v>1.369177675353408E-2</v>
      </c>
      <c r="AY159" s="26">
        <f t="shared" si="504"/>
        <v>8.9722687364348241E-2</v>
      </c>
      <c r="AZ159" s="26">
        <f t="shared" si="505"/>
        <v>0</v>
      </c>
      <c r="BA159" s="26">
        <f t="shared" si="506"/>
        <v>0.27340971704864508</v>
      </c>
      <c r="BB159" s="26">
        <f t="shared" si="507"/>
        <v>6.0654398782916896E-2</v>
      </c>
      <c r="BC159" s="26">
        <f t="shared" si="508"/>
        <v>1.0597358692529492E-2</v>
      </c>
      <c r="BD159" s="26">
        <f t="shared" si="509"/>
        <v>0.84226222147628871</v>
      </c>
      <c r="BE159" s="26">
        <f t="shared" si="510"/>
        <v>0.76314055570076278</v>
      </c>
      <c r="BF159" s="26">
        <f t="shared" si="511"/>
        <v>2.3601069338760425E-2</v>
      </c>
      <c r="BG159" s="26">
        <f t="shared" si="512"/>
        <v>0</v>
      </c>
      <c r="BH159" s="26">
        <f t="shared" si="513"/>
        <v>0</v>
      </c>
      <c r="BI159" s="26">
        <f t="shared" si="514"/>
        <v>0</v>
      </c>
      <c r="BJ159" s="26">
        <f t="shared" si="515"/>
        <v>0</v>
      </c>
      <c r="BK159" s="25">
        <f t="shared" si="516"/>
        <v>3.9999999999999996</v>
      </c>
      <c r="BL159" s="24">
        <f t="shared" si="517"/>
        <v>6</v>
      </c>
      <c r="BM159" s="26">
        <f t="shared" si="518"/>
        <v>2.0126429022065624</v>
      </c>
      <c r="BN159" s="26">
        <f t="shared" si="519"/>
        <v>0.78674162503952316</v>
      </c>
      <c r="BO159" s="22"/>
      <c r="BP159" s="23">
        <f t="shared" si="520"/>
        <v>0.71601068067888063</v>
      </c>
      <c r="BQ159" s="26">
        <f t="shared" si="521"/>
        <v>7.7079785157786018E-2</v>
      </c>
      <c r="BR159" s="26">
        <f t="shared" si="522"/>
        <v>1.2642902206562223E-2</v>
      </c>
      <c r="BS159" s="26"/>
      <c r="BT159" s="26">
        <f t="shared" si="523"/>
        <v>1.2642902206562223E-2</v>
      </c>
      <c r="BU159" s="26">
        <f t="shared" si="524"/>
        <v>0</v>
      </c>
      <c r="BV159" s="26">
        <f t="shared" si="525"/>
        <v>1.2642902206562223E-2</v>
      </c>
      <c r="BW159" s="26">
        <f t="shared" si="526"/>
        <v>0</v>
      </c>
      <c r="BX159" s="26">
        <f t="shared" si="527"/>
        <v>0.75437456879081233</v>
      </c>
      <c r="BY159" s="26">
        <f t="shared" si="528"/>
        <v>0.21396387745115475</v>
      </c>
      <c r="BZ159" s="26">
        <f t="shared" si="529"/>
        <v>0.99362425065509152</v>
      </c>
      <c r="CA159" s="22"/>
      <c r="CB159" s="22">
        <f t="shared" si="530"/>
        <v>2.3601069338760425E-2</v>
      </c>
      <c r="CC159" s="22">
        <f t="shared" si="531"/>
        <v>0</v>
      </c>
      <c r="CD159" s="22">
        <f t="shared" si="532"/>
        <v>3.7053329444156471E-2</v>
      </c>
      <c r="CE159" s="22">
        <f t="shared" si="533"/>
        <v>0</v>
      </c>
      <c r="CF159" s="22">
        <f t="shared" si="534"/>
        <v>1.2642902206562223E-2</v>
      </c>
      <c r="CG159" s="22">
        <f t="shared" si="535"/>
        <v>0.36852269669440224</v>
      </c>
      <c r="CH159" s="22">
        <f t="shared" si="536"/>
        <v>0.47672569142254395</v>
      </c>
      <c r="CI159" s="22">
        <f t="shared" si="537"/>
        <v>0.15475161188305389</v>
      </c>
      <c r="CJ159" s="22"/>
      <c r="CK159" s="22">
        <f t="shared" si="538"/>
        <v>0.39134123659517139</v>
      </c>
      <c r="CL159" s="22">
        <f t="shared" si="539"/>
        <v>0.43191511292078677</v>
      </c>
      <c r="CM159" s="22">
        <f t="shared" si="540"/>
        <v>0.17674365048404189</v>
      </c>
      <c r="CN159" s="1"/>
      <c r="CO159" s="26">
        <f t="shared" si="541"/>
        <v>0.84920106524633832</v>
      </c>
      <c r="CP159" s="26">
        <f t="shared" si="542"/>
        <v>6.0465698547821738E-3</v>
      </c>
      <c r="CQ159" s="26">
        <f t="shared" si="543"/>
        <v>3.9623381718320916E-2</v>
      </c>
      <c r="CR159" s="26">
        <f t="shared" si="544"/>
        <v>0</v>
      </c>
      <c r="CS159" s="26">
        <f t="shared" si="545"/>
        <v>0.14752957550452331</v>
      </c>
      <c r="CT159" s="26">
        <f t="shared" si="546"/>
        <v>4.6800112771356083E-3</v>
      </c>
      <c r="CU159" s="26">
        <f t="shared" si="547"/>
        <v>0.37196029776674944</v>
      </c>
      <c r="CV159" s="26">
        <f t="shared" si="548"/>
        <v>0.33701854493580596</v>
      </c>
      <c r="CW159" s="26">
        <f t="shared" si="549"/>
        <v>1.0422717005485641E-2</v>
      </c>
      <c r="CX159" s="26">
        <f t="shared" si="550"/>
        <v>0</v>
      </c>
      <c r="CY159" s="26">
        <f t="shared" si="551"/>
        <v>0</v>
      </c>
      <c r="CZ159" s="26">
        <f t="shared" si="552"/>
        <v>0</v>
      </c>
      <c r="DA159" s="26">
        <f t="shared" si="553"/>
        <v>0</v>
      </c>
      <c r="DB159" s="26">
        <f t="shared" si="554"/>
        <v>1.7664821633091414</v>
      </c>
      <c r="DC159" s="26">
        <f t="shared" si="555"/>
        <v>2.6363301307666793</v>
      </c>
      <c r="DD159" s="26">
        <f t="shared" si="556"/>
        <v>2.2643874266507291</v>
      </c>
      <c r="DE159" s="26">
        <f t="shared" si="557"/>
        <v>5.9696728006085413</v>
      </c>
      <c r="DF159" s="1"/>
      <c r="DG159" s="22">
        <v>9.82337157677207</v>
      </c>
      <c r="DH159" s="14">
        <v>2104.2609635743993</v>
      </c>
      <c r="DI159" s="14">
        <v>91810.659387891763</v>
      </c>
      <c r="DJ159" s="14">
        <v>12354.004685269221</v>
      </c>
      <c r="DK159" s="14">
        <v>240713.9883239319</v>
      </c>
      <c r="DL159" s="14">
        <v>131692.85032693314</v>
      </c>
      <c r="DM159" s="96">
        <v>120.40789790156141</v>
      </c>
      <c r="DN159" s="14">
        <v>3327.4629471718049</v>
      </c>
      <c r="DO159" s="96">
        <v>399.23047708399355</v>
      </c>
      <c r="DP159" s="22">
        <v>718.88740214702125</v>
      </c>
      <c r="DQ159" s="14">
        <v>2215.1914177014423</v>
      </c>
      <c r="DR159" s="22">
        <v>48.499088040725276</v>
      </c>
      <c r="DS159" s="22">
        <v>108.90350009569578</v>
      </c>
      <c r="DT159" s="22">
        <v>3.1578744144408382</v>
      </c>
      <c r="DU159" s="22">
        <v>67.351313031338975</v>
      </c>
      <c r="DV159" s="22">
        <v>0</v>
      </c>
      <c r="DW159" s="22">
        <v>12.64582627189859</v>
      </c>
      <c r="DX159" s="22">
        <v>11.289576744123858</v>
      </c>
      <c r="DY159" s="22">
        <v>25.913065561856076</v>
      </c>
      <c r="DZ159" s="22">
        <v>19.418772843536775</v>
      </c>
      <c r="EA159" s="22">
        <v>8.0375851589609207E-2</v>
      </c>
      <c r="EB159" s="22">
        <v>0</v>
      </c>
      <c r="EC159" s="22">
        <v>1.3965241356438431</v>
      </c>
      <c r="ED159" s="22">
        <v>1.2529324774058817</v>
      </c>
      <c r="EE159" s="22">
        <v>5.208667215650971</v>
      </c>
      <c r="EF159" s="22">
        <v>0.89011226015762313</v>
      </c>
      <c r="EG159" s="22">
        <v>6.1165088096424949</v>
      </c>
      <c r="EH159" s="22">
        <v>2.971415856532539</v>
      </c>
      <c r="EI159" s="22">
        <v>0.7928878831006666</v>
      </c>
      <c r="EJ159" s="22">
        <v>3.9920423042661954</v>
      </c>
      <c r="EK159" s="22">
        <v>0.67181025495224456</v>
      </c>
      <c r="EL159" s="22">
        <v>5.2392132458395668</v>
      </c>
      <c r="EM159" s="22">
        <v>1.0814847842762005</v>
      </c>
      <c r="EN159" s="22">
        <v>2.6708700777340337</v>
      </c>
      <c r="EO159" s="22">
        <v>0.47910339523623952</v>
      </c>
      <c r="EP159" s="22">
        <v>2.8617052298832548</v>
      </c>
      <c r="EQ159" s="22">
        <v>0.39662631468433029</v>
      </c>
      <c r="ER159" s="22">
        <v>1.0793084389863896</v>
      </c>
      <c r="ES159" s="22">
        <v>0</v>
      </c>
      <c r="ET159" s="22">
        <v>0.26135093075632232</v>
      </c>
      <c r="EU159" s="22">
        <v>8.4535003141702994E-2</v>
      </c>
      <c r="EV159" s="22">
        <v>1.9893421061881373E-2</v>
      </c>
      <c r="EW159" s="22">
        <f>(EI159/0.05883)/SQRT((EH159/0.1536)*(EJ159/0.2069))</f>
        <v>0.69760486406825228</v>
      </c>
      <c r="EX159" s="22"/>
      <c r="EY159" s="22"/>
      <c r="EZ159" s="22"/>
      <c r="FA159" s="22"/>
      <c r="FB159" s="22"/>
      <c r="FC159" s="22"/>
      <c r="FD159" s="22"/>
      <c r="FE159" s="22"/>
      <c r="FF159" s="22"/>
      <c r="FG159" s="22"/>
      <c r="FH159" s="22"/>
      <c r="FI159" s="22">
        <f>-0.50354-2.23025*BP159+ N("eqn 18 Mg# R2 0.28 best")</f>
        <v>-2.1004228205840736</v>
      </c>
      <c r="FJ159" s="22"/>
      <c r="FK159" s="22">
        <f xml:space="preserve"> -0.03692  +  0.931085 + FX159   + N("488 NN Dy")</f>
        <v>0.64872634135860863</v>
      </c>
      <c r="FL159" s="22">
        <f>-0.48986  +   0    +   (1.071278 + 0) * GD159  +N("eqn 119 LnD Hf  (which has R2 of 0.51 for TS")</f>
        <v>-1.0585805170906784</v>
      </c>
      <c r="FM159" s="22"/>
      <c r="FN159" s="22"/>
      <c r="FO159" s="22">
        <f>3.94011-11.9214*BP159</f>
        <v>-4.5957397286452073</v>
      </c>
      <c r="FP159" s="22">
        <f xml:space="preserve">  -0.49862 +   1.013256 * FQ159 + N("294 NN")</f>
        <v>-2.2075244997612442</v>
      </c>
      <c r="FQ159" s="46">
        <f t="shared" si="584"/>
        <v>-1.6865476244515152</v>
      </c>
      <c r="FR159" s="46">
        <f t="shared" si="585"/>
        <v>-1.2798303525508696</v>
      </c>
      <c r="FS159" s="46">
        <f t="shared" si="586"/>
        <v>-0.93021730826788573</v>
      </c>
      <c r="FT159" s="46">
        <f t="shared" si="587"/>
        <v>-0.49648052553743494</v>
      </c>
      <c r="FU159" s="46">
        <f t="shared" si="588"/>
        <v>-0.52573195960871577</v>
      </c>
      <c r="FV159" s="46">
        <f t="shared" si="589"/>
        <v>-0.31421705393064736</v>
      </c>
      <c r="FW159" s="46">
        <f t="shared" si="590"/>
        <v>-0.23960934167389175</v>
      </c>
      <c r="FX159" s="46">
        <f t="shared" si="591"/>
        <v>-0.24543865864139142</v>
      </c>
      <c r="FY159" s="46">
        <f t="shared" si="592"/>
        <v>-0.2959247227762864</v>
      </c>
      <c r="FZ159" s="46">
        <f t="shared" si="593"/>
        <v>-0.34416031016216425</v>
      </c>
      <c r="GA159" s="46">
        <f t="shared" si="594"/>
        <v>-0.31189875607756051</v>
      </c>
      <c r="GB159" s="46">
        <f t="shared" si="595"/>
        <v>-0.34235246080948684</v>
      </c>
      <c r="GC159" s="46">
        <f t="shared" si="596"/>
        <v>-0.32711499082859097</v>
      </c>
      <c r="GD159" s="46">
        <f t="shared" si="597"/>
        <v>-0.53088042234665367</v>
      </c>
      <c r="GE159" s="46"/>
      <c r="GF159" s="46"/>
      <c r="GG159" s="46"/>
      <c r="GH159" s="46"/>
    </row>
    <row r="160" spans="1:190" x14ac:dyDescent="0.25">
      <c r="A160" s="5" t="s">
        <v>91</v>
      </c>
      <c r="B160" s="1">
        <v>1421</v>
      </c>
      <c r="C160" s="98" t="s">
        <v>96</v>
      </c>
      <c r="D160" s="98" t="s">
        <v>104</v>
      </c>
      <c r="E160" s="1">
        <v>428</v>
      </c>
      <c r="F160" s="22">
        <v>51.26</v>
      </c>
      <c r="G160" s="22">
        <v>0.432</v>
      </c>
      <c r="H160" s="22">
        <v>1.879</v>
      </c>
      <c r="I160" s="22">
        <v>2.1999999999999999E-2</v>
      </c>
      <c r="J160" s="22">
        <v>9.6999999999999993</v>
      </c>
      <c r="K160" s="22">
        <v>0.38200000000000001</v>
      </c>
      <c r="L160" s="22">
        <v>15.51</v>
      </c>
      <c r="M160" s="22">
        <v>19.100000000000001</v>
      </c>
      <c r="N160" s="22">
        <v>0.29199999999999998</v>
      </c>
      <c r="O160" s="22">
        <v>0</v>
      </c>
      <c r="P160" s="22">
        <v>0</v>
      </c>
      <c r="Q160" s="22"/>
      <c r="R160" s="22"/>
      <c r="S160" s="22">
        <f t="shared" si="482"/>
        <v>98.576999999999998</v>
      </c>
      <c r="T160" s="3"/>
      <c r="U160" s="22">
        <f t="shared" si="483"/>
        <v>7.8263207397122105</v>
      </c>
      <c r="V160" s="22">
        <f t="shared" si="484"/>
        <v>2.0822197619578193</v>
      </c>
      <c r="W160" s="22">
        <f t="shared" si="485"/>
        <v>98.785540501670042</v>
      </c>
      <c r="X160" s="1"/>
      <c r="Y160" s="1"/>
      <c r="Z160" s="1"/>
      <c r="AA160" s="1" t="s">
        <v>185</v>
      </c>
      <c r="AC160" s="1">
        <v>6</v>
      </c>
      <c r="AD160" s="1">
        <v>4</v>
      </c>
      <c r="AE160" s="1"/>
      <c r="AF160" s="26">
        <f t="shared" si="486"/>
        <v>1.9365312831763331</v>
      </c>
      <c r="AG160" s="26">
        <f t="shared" si="487"/>
        <v>1.2275000820846253E-2</v>
      </c>
      <c r="AH160" s="26">
        <f t="shared" si="488"/>
        <v>8.365709665575663E-2</v>
      </c>
      <c r="AI160" s="26">
        <f t="shared" si="489"/>
        <v>6.5707281675824087E-4</v>
      </c>
      <c r="AJ160" s="26">
        <f t="shared" si="490"/>
        <v>0.30642260548020661</v>
      </c>
      <c r="AK160" s="26">
        <f t="shared" si="491"/>
        <v>1.2222161498222087E-2</v>
      </c>
      <c r="AL160" s="26">
        <f t="shared" si="492"/>
        <v>0.87353958660614106</v>
      </c>
      <c r="AM160" s="26">
        <f t="shared" si="493"/>
        <v>0.77303863827021657</v>
      </c>
      <c r="AN160" s="26">
        <f t="shared" si="494"/>
        <v>2.1386371884165593E-2</v>
      </c>
      <c r="AO160" s="26">
        <f t="shared" si="495"/>
        <v>0</v>
      </c>
      <c r="AP160" s="26">
        <f t="shared" si="496"/>
        <v>0</v>
      </c>
      <c r="AQ160" s="26">
        <f t="shared" si="497"/>
        <v>0</v>
      </c>
      <c r="AR160" s="26">
        <f t="shared" si="498"/>
        <v>0</v>
      </c>
      <c r="AS160" s="26">
        <f t="shared" si="499"/>
        <v>4.0197298172086464</v>
      </c>
      <c r="AT160" s="26">
        <f t="shared" si="500"/>
        <v>2.0201883798320899</v>
      </c>
      <c r="AU160" s="26">
        <f t="shared" si="501"/>
        <v>0.79442501015438216</v>
      </c>
      <c r="AV160" s="47"/>
      <c r="AW160" s="26">
        <f t="shared" si="502"/>
        <v>1.9270263139437427</v>
      </c>
      <c r="AX160" s="26">
        <f t="shared" si="503"/>
        <v>1.221475211423058E-2</v>
      </c>
      <c r="AY160" s="26">
        <f t="shared" si="504"/>
        <v>8.3246487162014521E-2</v>
      </c>
      <c r="AZ160" s="26">
        <f t="shared" si="505"/>
        <v>6.538477426470627E-4</v>
      </c>
      <c r="BA160" s="26">
        <f t="shared" si="506"/>
        <v>0.24601967305946881</v>
      </c>
      <c r="BB160" s="26">
        <f t="shared" si="507"/>
        <v>5.889893531903212E-2</v>
      </c>
      <c r="BC160" s="26">
        <f t="shared" si="508"/>
        <v>1.2162172139926876E-2</v>
      </c>
      <c r="BD160" s="26">
        <f t="shared" si="509"/>
        <v>0.86925204063863026</v>
      </c>
      <c r="BE160" s="26">
        <f t="shared" si="510"/>
        <v>0.76924437554066738</v>
      </c>
      <c r="BF160" s="26">
        <f t="shared" si="511"/>
        <v>2.1281402339639405E-2</v>
      </c>
      <c r="BG160" s="26">
        <f t="shared" si="512"/>
        <v>0</v>
      </c>
      <c r="BH160" s="26">
        <f t="shared" si="513"/>
        <v>0</v>
      </c>
      <c r="BI160" s="26">
        <f t="shared" si="514"/>
        <v>0</v>
      </c>
      <c r="BJ160" s="26">
        <f t="shared" si="515"/>
        <v>0</v>
      </c>
      <c r="BK160" s="25">
        <f t="shared" si="516"/>
        <v>3.9999999999999996</v>
      </c>
      <c r="BL160" s="24">
        <f t="shared" si="517"/>
        <v>6.0000000000000009</v>
      </c>
      <c r="BM160" s="26">
        <f t="shared" si="518"/>
        <v>2.0102728011057573</v>
      </c>
      <c r="BN160" s="26">
        <f t="shared" si="519"/>
        <v>0.79052577788030676</v>
      </c>
      <c r="BO160" s="22"/>
      <c r="BP160" s="23">
        <f t="shared" si="520"/>
        <v>0.74031150528780409</v>
      </c>
      <c r="BQ160" s="26">
        <f t="shared" si="521"/>
        <v>7.2973686056257314E-2</v>
      </c>
      <c r="BR160" s="26">
        <f t="shared" si="522"/>
        <v>1.0272801105757207E-2</v>
      </c>
      <c r="BS160" s="26"/>
      <c r="BT160" s="26">
        <f t="shared" si="523"/>
        <v>1.0272801105757207E-2</v>
      </c>
      <c r="BU160" s="26">
        <f t="shared" si="524"/>
        <v>0</v>
      </c>
      <c r="BV160" s="26">
        <f t="shared" si="525"/>
        <v>1.0272801105757207E-2</v>
      </c>
      <c r="BW160" s="26">
        <f t="shared" si="526"/>
        <v>3.2853640837912044E-4</v>
      </c>
      <c r="BX160" s="26">
        <f t="shared" si="527"/>
        <v>0.76243730075608018</v>
      </c>
      <c r="BY160" s="26">
        <f t="shared" si="528"/>
        <v>0.20876244566513374</v>
      </c>
      <c r="BZ160" s="26">
        <f t="shared" si="529"/>
        <v>0.99207388504110749</v>
      </c>
      <c r="CA160" s="22"/>
      <c r="CB160" s="22">
        <f t="shared" si="530"/>
        <v>2.1281402339639405E-2</v>
      </c>
      <c r="CC160" s="22">
        <f t="shared" si="531"/>
        <v>0</v>
      </c>
      <c r="CD160" s="22">
        <f t="shared" si="532"/>
        <v>3.7617532979392715E-2</v>
      </c>
      <c r="CE160" s="22">
        <f t="shared" si="533"/>
        <v>6.538477426470627E-4</v>
      </c>
      <c r="CF160" s="22">
        <f t="shared" si="534"/>
        <v>1.0272801105757207E-2</v>
      </c>
      <c r="CG160" s="22">
        <f t="shared" si="535"/>
        <v>0.3709907980262549</v>
      </c>
      <c r="CH160" s="22">
        <f t="shared" si="536"/>
        <v>0.49025499856276522</v>
      </c>
      <c r="CI160" s="22">
        <f t="shared" si="537"/>
        <v>0.13875420341097985</v>
      </c>
      <c r="CJ160" s="22"/>
      <c r="CK160" s="22">
        <f t="shared" si="538"/>
        <v>0.39335924802132466</v>
      </c>
      <c r="CL160" s="22">
        <f t="shared" si="539"/>
        <v>0.44449896537272365</v>
      </c>
      <c r="CM160" s="22">
        <f t="shared" si="540"/>
        <v>0.16214178660595169</v>
      </c>
      <c r="CN160" s="1"/>
      <c r="CO160" s="26">
        <f t="shared" si="541"/>
        <v>0.85319573901464718</v>
      </c>
      <c r="CP160" s="26">
        <f t="shared" si="542"/>
        <v>5.4081121682523787E-3</v>
      </c>
      <c r="CQ160" s="26">
        <f t="shared" si="543"/>
        <v>3.6857591212240096E-2</v>
      </c>
      <c r="CR160" s="26">
        <f t="shared" si="544"/>
        <v>2.8949272978485421E-4</v>
      </c>
      <c r="CS160" s="26">
        <f t="shared" si="545"/>
        <v>0.1350034794711204</v>
      </c>
      <c r="CT160" s="26">
        <f t="shared" si="546"/>
        <v>5.3848322526078383E-3</v>
      </c>
      <c r="CU160" s="26">
        <f t="shared" si="547"/>
        <v>0.38486352357320103</v>
      </c>
      <c r="CV160" s="26">
        <f t="shared" si="548"/>
        <v>0.34058487874465054</v>
      </c>
      <c r="CW160" s="26">
        <f t="shared" si="549"/>
        <v>9.4223943207486279E-3</v>
      </c>
      <c r="CX160" s="26">
        <f t="shared" si="550"/>
        <v>0</v>
      </c>
      <c r="CY160" s="26">
        <f t="shared" si="551"/>
        <v>0</v>
      </c>
      <c r="CZ160" s="26">
        <f t="shared" si="552"/>
        <v>0</v>
      </c>
      <c r="DA160" s="26">
        <f t="shared" si="553"/>
        <v>0</v>
      </c>
      <c r="DB160" s="26">
        <f t="shared" si="554"/>
        <v>1.7710100434872529</v>
      </c>
      <c r="DC160" s="26">
        <f t="shared" si="555"/>
        <v>2.6434762394807905</v>
      </c>
      <c r="DD160" s="26">
        <f t="shared" si="556"/>
        <v>2.2585981455665247</v>
      </c>
      <c r="DE160" s="26">
        <f t="shared" si="557"/>
        <v>5.9705505323404839</v>
      </c>
      <c r="DF160" s="1"/>
      <c r="DG160" s="22"/>
      <c r="DH160" s="14"/>
      <c r="DI160" s="14"/>
      <c r="DJ160" s="14"/>
      <c r="DK160" s="14"/>
      <c r="DL160" s="14"/>
      <c r="DM160" s="96"/>
      <c r="DN160" s="14"/>
      <c r="DO160" s="96"/>
      <c r="DP160" s="22"/>
      <c r="DQ160" s="14"/>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46"/>
      <c r="FR160" s="46"/>
      <c r="FS160" s="46"/>
      <c r="FT160" s="46"/>
      <c r="FU160" s="46"/>
      <c r="FV160" s="46"/>
      <c r="FW160" s="46"/>
      <c r="FX160" s="46"/>
      <c r="FY160" s="46"/>
      <c r="FZ160" s="46"/>
      <c r="GA160" s="46"/>
      <c r="GB160" s="46"/>
      <c r="GC160" s="46"/>
      <c r="GD160" s="46"/>
      <c r="GE160" s="46"/>
      <c r="GF160" s="46"/>
      <c r="GG160" s="46"/>
      <c r="GH160" s="46"/>
    </row>
    <row r="161" spans="1:190" x14ac:dyDescent="0.25">
      <c r="A161" s="5" t="s">
        <v>91</v>
      </c>
      <c r="B161" s="1">
        <v>1422</v>
      </c>
      <c r="C161" s="98" t="s">
        <v>96</v>
      </c>
      <c r="D161" s="98" t="s">
        <v>104</v>
      </c>
      <c r="E161" s="1">
        <v>429</v>
      </c>
      <c r="F161" s="22">
        <v>50.94</v>
      </c>
      <c r="G161" s="22">
        <v>0.56999999999999995</v>
      </c>
      <c r="H161" s="22">
        <v>1.675</v>
      </c>
      <c r="I161" s="22">
        <v>0</v>
      </c>
      <c r="J161" s="22">
        <v>11.19</v>
      </c>
      <c r="K161" s="22">
        <v>0.39200000000000002</v>
      </c>
      <c r="L161" s="22">
        <v>14.82</v>
      </c>
      <c r="M161" s="22">
        <v>18.11</v>
      </c>
      <c r="N161" s="22">
        <v>0.34</v>
      </c>
      <c r="O161" s="22">
        <v>0</v>
      </c>
      <c r="P161" s="22">
        <v>0</v>
      </c>
      <c r="Q161" s="22"/>
      <c r="R161" s="22"/>
      <c r="S161" s="22">
        <f t="shared" si="482"/>
        <v>98.036999999999992</v>
      </c>
      <c r="T161" s="3"/>
      <c r="U161" s="22">
        <f t="shared" si="483"/>
        <v>9.83363460308858</v>
      </c>
      <c r="V161" s="22">
        <f t="shared" si="484"/>
        <v>1.5073288655876591</v>
      </c>
      <c r="W161" s="22">
        <f t="shared" si="485"/>
        <v>98.187963468676244</v>
      </c>
      <c r="X161" s="1"/>
      <c r="Y161" s="1"/>
      <c r="Z161" s="1"/>
      <c r="AA161" s="1" t="s">
        <v>185</v>
      </c>
      <c r="AC161" s="1">
        <v>6</v>
      </c>
      <c r="AD161" s="1">
        <v>4</v>
      </c>
      <c r="AE161" s="1"/>
      <c r="AF161" s="26">
        <f t="shared" si="486"/>
        <v>1.9441193971807038</v>
      </c>
      <c r="AG161" s="26">
        <f t="shared" si="487"/>
        <v>1.6361786306297761E-2</v>
      </c>
      <c r="AH161" s="26">
        <f t="shared" si="488"/>
        <v>7.5337099722503312E-2</v>
      </c>
      <c r="AI161" s="26">
        <f t="shared" si="489"/>
        <v>0</v>
      </c>
      <c r="AJ161" s="26">
        <f t="shared" si="490"/>
        <v>0.35710606880185719</v>
      </c>
      <c r="AK161" s="26">
        <f t="shared" si="491"/>
        <v>1.2670355480481395E-2</v>
      </c>
      <c r="AL161" s="26">
        <f t="shared" si="492"/>
        <v>0.84321257428842933</v>
      </c>
      <c r="AM161" s="26">
        <f t="shared" si="493"/>
        <v>0.74046470476272475</v>
      </c>
      <c r="AN161" s="26">
        <f t="shared" si="494"/>
        <v>2.5156560217500963E-2</v>
      </c>
      <c r="AO161" s="26">
        <f t="shared" si="495"/>
        <v>0</v>
      </c>
      <c r="AP161" s="26">
        <f t="shared" si="496"/>
        <v>0</v>
      </c>
      <c r="AQ161" s="26">
        <f t="shared" si="497"/>
        <v>0</v>
      </c>
      <c r="AR161" s="26">
        <f t="shared" si="498"/>
        <v>0</v>
      </c>
      <c r="AS161" s="26">
        <f t="shared" si="499"/>
        <v>4.0144285467604979</v>
      </c>
      <c r="AT161" s="26">
        <f t="shared" si="500"/>
        <v>2.0194564969032069</v>
      </c>
      <c r="AU161" s="26">
        <f t="shared" si="501"/>
        <v>0.76562126498022576</v>
      </c>
      <c r="AV161" s="47"/>
      <c r="AW161" s="26">
        <f t="shared" si="502"/>
        <v>1.9371318976391192</v>
      </c>
      <c r="AX161" s="26">
        <f t="shared" si="503"/>
        <v>1.6302979231752571E-2</v>
      </c>
      <c r="AY161" s="26">
        <f t="shared" si="504"/>
        <v>7.506632522658567E-2</v>
      </c>
      <c r="AZ161" s="26">
        <f t="shared" si="505"/>
        <v>0</v>
      </c>
      <c r="BA161" s="26">
        <f t="shared" si="506"/>
        <v>0.31269250391675912</v>
      </c>
      <c r="BB161" s="26">
        <f t="shared" si="507"/>
        <v>4.3130064244309985E-2</v>
      </c>
      <c r="BC161" s="26">
        <f t="shared" si="508"/>
        <v>1.2624816043325444E-2</v>
      </c>
      <c r="BD161" s="26">
        <f t="shared" si="509"/>
        <v>0.84018192324670682</v>
      </c>
      <c r="BE161" s="26">
        <f t="shared" si="510"/>
        <v>0.73780334723880303</v>
      </c>
      <c r="BF161" s="26">
        <f t="shared" si="511"/>
        <v>2.5066143212638742E-2</v>
      </c>
      <c r="BG161" s="26">
        <f t="shared" si="512"/>
        <v>0</v>
      </c>
      <c r="BH161" s="26">
        <f t="shared" si="513"/>
        <v>0</v>
      </c>
      <c r="BI161" s="26">
        <f t="shared" si="514"/>
        <v>0</v>
      </c>
      <c r="BJ161" s="26">
        <f t="shared" si="515"/>
        <v>0</v>
      </c>
      <c r="BK161" s="25">
        <f t="shared" si="516"/>
        <v>4.0000000000000009</v>
      </c>
      <c r="BL161" s="24">
        <f t="shared" si="517"/>
        <v>6.0000000000000009</v>
      </c>
      <c r="BM161" s="26">
        <f t="shared" si="518"/>
        <v>2.0121982228657047</v>
      </c>
      <c r="BN161" s="26">
        <f t="shared" si="519"/>
        <v>0.76286949045144181</v>
      </c>
      <c r="BO161" s="22"/>
      <c r="BP161" s="23">
        <f t="shared" si="520"/>
        <v>0.70249060875829772</v>
      </c>
      <c r="BQ161" s="26">
        <f t="shared" si="521"/>
        <v>6.2868102360880807E-2</v>
      </c>
      <c r="BR161" s="26">
        <f t="shared" si="522"/>
        <v>1.2198222865704864E-2</v>
      </c>
      <c r="BS161" s="26"/>
      <c r="BT161" s="26">
        <f t="shared" si="523"/>
        <v>1.2198222865704864E-2</v>
      </c>
      <c r="BU161" s="26">
        <f t="shared" si="524"/>
        <v>0</v>
      </c>
      <c r="BV161" s="26">
        <f t="shared" si="525"/>
        <v>1.2198222865704864E-2</v>
      </c>
      <c r="BW161" s="26">
        <f t="shared" si="526"/>
        <v>0</v>
      </c>
      <c r="BX161" s="26">
        <f t="shared" si="527"/>
        <v>0.72826648189701992</v>
      </c>
      <c r="BY161" s="26">
        <f t="shared" si="528"/>
        <v>0.23602608059663333</v>
      </c>
      <c r="BZ161" s="26">
        <f t="shared" si="529"/>
        <v>0.988689008225063</v>
      </c>
      <c r="CA161" s="22"/>
      <c r="CB161" s="22">
        <f t="shared" si="530"/>
        <v>2.5066143212638742E-2</v>
      </c>
      <c r="CC161" s="22">
        <f t="shared" si="531"/>
        <v>0</v>
      </c>
      <c r="CD161" s="22">
        <f t="shared" si="532"/>
        <v>1.8063921031671242E-2</v>
      </c>
      <c r="CE161" s="22">
        <f t="shared" si="533"/>
        <v>0</v>
      </c>
      <c r="CF161" s="22">
        <f t="shared" si="534"/>
        <v>1.2198222865704864E-2</v>
      </c>
      <c r="CG161" s="22">
        <f t="shared" si="535"/>
        <v>0.36630367327703284</v>
      </c>
      <c r="CH161" s="22">
        <f t="shared" si="536"/>
        <v>0.46181976631266208</v>
      </c>
      <c r="CI161" s="22">
        <f t="shared" si="537"/>
        <v>0.17187656041030505</v>
      </c>
      <c r="CJ161" s="22"/>
      <c r="CK161" s="22">
        <f t="shared" si="538"/>
        <v>0.379054135503263</v>
      </c>
      <c r="CL161" s="22">
        <f t="shared" si="539"/>
        <v>0.43165219265218308</v>
      </c>
      <c r="CM161" s="22">
        <f t="shared" si="540"/>
        <v>0.18929367184455381</v>
      </c>
      <c r="CN161" s="1"/>
      <c r="CO161" s="26">
        <f t="shared" si="541"/>
        <v>0.84786950732356858</v>
      </c>
      <c r="CP161" s="26">
        <f t="shared" si="542"/>
        <v>7.1357035553329994E-3</v>
      </c>
      <c r="CQ161" s="26">
        <f t="shared" si="543"/>
        <v>3.2856021969399768E-2</v>
      </c>
      <c r="CR161" s="26">
        <f t="shared" si="544"/>
        <v>0</v>
      </c>
      <c r="CS161" s="26">
        <f t="shared" si="545"/>
        <v>0.15574112734864301</v>
      </c>
      <c r="CT161" s="26">
        <f t="shared" si="546"/>
        <v>5.5257964477022836E-3</v>
      </c>
      <c r="CU161" s="26">
        <f t="shared" si="547"/>
        <v>0.36774193548387102</v>
      </c>
      <c r="CV161" s="26">
        <f t="shared" si="548"/>
        <v>0.32293152639087019</v>
      </c>
      <c r="CW161" s="26">
        <f t="shared" si="549"/>
        <v>1.0971281058405939E-2</v>
      </c>
      <c r="CX161" s="26">
        <f t="shared" si="550"/>
        <v>0</v>
      </c>
      <c r="CY161" s="26">
        <f t="shared" si="551"/>
        <v>0</v>
      </c>
      <c r="CZ161" s="26">
        <f t="shared" si="552"/>
        <v>0</v>
      </c>
      <c r="DA161" s="26">
        <f t="shared" si="553"/>
        <v>0</v>
      </c>
      <c r="DB161" s="26">
        <f t="shared" si="554"/>
        <v>1.7507728995777936</v>
      </c>
      <c r="DC161" s="26">
        <f t="shared" si="555"/>
        <v>2.6167204809121918</v>
      </c>
      <c r="DD161" s="26">
        <f t="shared" si="556"/>
        <v>2.2847052298813955</v>
      </c>
      <c r="DE161" s="26">
        <f t="shared" si="557"/>
        <v>5.9784349678778446</v>
      </c>
      <c r="DF161" s="1"/>
      <c r="DG161" s="22">
        <v>8.6566692408496966</v>
      </c>
      <c r="DH161" s="14">
        <v>2021.8434963415655</v>
      </c>
      <c r="DI161" s="14">
        <v>87119.310800538165</v>
      </c>
      <c r="DJ161" s="14">
        <v>10219.34707956563</v>
      </c>
      <c r="DK161" s="14">
        <v>239085.32804484942</v>
      </c>
      <c r="DL161" s="14">
        <v>127965.02733451834</v>
      </c>
      <c r="DM161" s="96">
        <v>128.3776383109948</v>
      </c>
      <c r="DN161" s="14">
        <v>3466.3876155308139</v>
      </c>
      <c r="DO161" s="96">
        <v>396.20913805229441</v>
      </c>
      <c r="DP161" s="22">
        <v>46.52735447835515</v>
      </c>
      <c r="DQ161" s="14">
        <v>2719.9042167171042</v>
      </c>
      <c r="DR161" s="22">
        <v>55.287588324992583</v>
      </c>
      <c r="DS161" s="22">
        <v>61.155918706796108</v>
      </c>
      <c r="DT161" s="22">
        <v>1.6525722168078161</v>
      </c>
      <c r="DU161" s="22">
        <v>87.630517884601403</v>
      </c>
      <c r="DV161" s="22">
        <v>0.13089016798314268</v>
      </c>
      <c r="DW161" s="22">
        <v>10.248194731718149</v>
      </c>
      <c r="DX161" s="22">
        <v>9.9675671329875577</v>
      </c>
      <c r="DY161" s="22">
        <v>35.943921587680407</v>
      </c>
      <c r="DZ161" s="22">
        <v>23.438951227415739</v>
      </c>
      <c r="EA161" s="22">
        <v>0</v>
      </c>
      <c r="EB161" s="22">
        <v>0</v>
      </c>
      <c r="EC161" s="22">
        <v>0</v>
      </c>
      <c r="ED161" s="22">
        <v>1.5493554375347764</v>
      </c>
      <c r="EE161" s="22">
        <v>6.7042649325744543</v>
      </c>
      <c r="EF161" s="22">
        <v>1.342041750598777</v>
      </c>
      <c r="EG161" s="22">
        <v>7.6706785088824923</v>
      </c>
      <c r="EH161" s="22">
        <v>3.55227239961541</v>
      </c>
      <c r="EI161" s="22">
        <v>0.73740154647314793</v>
      </c>
      <c r="EJ161" s="22">
        <v>5.7049495129365564</v>
      </c>
      <c r="EK161" s="22">
        <v>0.88853267564140348</v>
      </c>
      <c r="EL161" s="22">
        <v>6.3329208731717692</v>
      </c>
      <c r="EM161" s="22">
        <v>1.395564692841319</v>
      </c>
      <c r="EN161" s="22">
        <v>4.3419629896675911</v>
      </c>
      <c r="EO161" s="22">
        <v>0.6470851808237964</v>
      </c>
      <c r="EP161" s="22">
        <v>4.0380129079517149</v>
      </c>
      <c r="EQ161" s="22">
        <v>0.53795514578744019</v>
      </c>
      <c r="ER161" s="22">
        <v>1.0753300444206342</v>
      </c>
      <c r="ES161" s="22">
        <v>0</v>
      </c>
      <c r="ET161" s="22">
        <v>0.12631922906108378</v>
      </c>
      <c r="EU161" s="22">
        <v>6.3071150883551905E-2</v>
      </c>
      <c r="EV161" s="22">
        <v>1.1435790182085305E-2</v>
      </c>
      <c r="EW161" s="22">
        <f>(EI161/0.05883)/SQRT((EH161/0.1536)*(EJ161/0.2069))</f>
        <v>0.49636598836163365</v>
      </c>
      <c r="EX161" s="22"/>
      <c r="EY161" s="22"/>
      <c r="EZ161" s="22"/>
      <c r="FA161" s="22"/>
      <c r="FB161" s="22"/>
      <c r="FC161" s="22"/>
      <c r="FD161" s="22"/>
      <c r="FE161" s="22"/>
      <c r="FF161" s="22"/>
      <c r="FG161" s="22"/>
      <c r="FH161" s="22"/>
      <c r="FI161" s="22">
        <f>-0.50354-2.23025*BP161+ N("eqn 18 Mg# R2 0.28 best")</f>
        <v>-2.0702696801831935</v>
      </c>
      <c r="FJ161" s="22"/>
      <c r="FK161" s="22">
        <f xml:space="preserve"> -0.03692  +  0.931085 + FX161   + N("488 NN Dy")</f>
        <v>0.8941650000000001</v>
      </c>
      <c r="FL161" s="22">
        <f>-0.48986  +   0    +   (1.071278 + 0) * GD161  +N("eqn 119 LnD Hf  (which has R2 of 0.51 for TS")</f>
        <v>-0.48986000000000002</v>
      </c>
      <c r="FM161" s="22"/>
      <c r="FN161" s="22"/>
      <c r="FO161" s="22">
        <f>3.94011-11.9214*BP161</f>
        <v>-4.4345615432511716</v>
      </c>
      <c r="FP161" s="22">
        <f xml:space="preserve">  -0.49862 +   1.013256 * FQ161 + N("294 NN")</f>
        <v>-0.49862000000000001</v>
      </c>
      <c r="FQ161" s="46"/>
      <c r="FR161" s="46"/>
      <c r="FS161" s="46"/>
      <c r="FT161" s="46"/>
      <c r="FU161" s="46"/>
      <c r="FV161" s="46"/>
      <c r="FW161" s="46"/>
      <c r="FX161" s="46"/>
      <c r="FY161" s="46"/>
      <c r="FZ161" s="46"/>
      <c r="GA161" s="46"/>
      <c r="GB161" s="46"/>
      <c r="GC161" s="46"/>
      <c r="GD161" s="46"/>
      <c r="GE161" s="46"/>
      <c r="GF161" s="46"/>
      <c r="GG161" s="46"/>
      <c r="GH161" s="46"/>
    </row>
    <row r="162" spans="1:190" x14ac:dyDescent="0.25">
      <c r="A162" s="5" t="s">
        <v>91</v>
      </c>
      <c r="B162" s="1">
        <v>1423</v>
      </c>
      <c r="C162" s="98" t="s">
        <v>96</v>
      </c>
      <c r="D162" s="98" t="s">
        <v>104</v>
      </c>
      <c r="E162" s="1">
        <v>430</v>
      </c>
      <c r="F162" s="22">
        <v>50.67</v>
      </c>
      <c r="G162" s="22">
        <v>0.78400000000000003</v>
      </c>
      <c r="H162" s="22">
        <v>2.0699999999999998</v>
      </c>
      <c r="I162" s="22">
        <v>1.0999999999999999E-2</v>
      </c>
      <c r="J162" s="22">
        <v>11</v>
      </c>
      <c r="K162" s="22">
        <v>0.32200000000000001</v>
      </c>
      <c r="L162" s="22">
        <v>14.94</v>
      </c>
      <c r="M162" s="22">
        <v>18.38</v>
      </c>
      <c r="N162" s="22">
        <v>0.32600000000000001</v>
      </c>
      <c r="O162" s="22">
        <v>0</v>
      </c>
      <c r="P162" s="22">
        <v>0</v>
      </c>
      <c r="Q162" s="22"/>
      <c r="R162" s="22"/>
      <c r="S162" s="22">
        <f t="shared" si="482"/>
        <v>98.502999999999986</v>
      </c>
      <c r="T162" s="3"/>
      <c r="U162" s="22">
        <f t="shared" si="483"/>
        <v>9.2791723945379925</v>
      </c>
      <c r="V162" s="22">
        <f t="shared" si="484"/>
        <v>1.9123557179499291</v>
      </c>
      <c r="W162" s="22">
        <f t="shared" si="485"/>
        <v>98.694528112487916</v>
      </c>
      <c r="X162" s="1"/>
      <c r="Y162" s="1"/>
      <c r="Z162" s="1"/>
      <c r="AA162" s="1" t="s">
        <v>185</v>
      </c>
      <c r="AC162" s="1">
        <v>6</v>
      </c>
      <c r="AD162" s="1">
        <v>4</v>
      </c>
      <c r="AE162" s="1"/>
      <c r="AF162" s="26">
        <f t="shared" si="486"/>
        <v>1.9248812555556354</v>
      </c>
      <c r="AG162" s="26">
        <f t="shared" si="487"/>
        <v>2.2400668007558393E-2</v>
      </c>
      <c r="AH162" s="26">
        <f t="shared" si="488"/>
        <v>9.2673054462098781E-2</v>
      </c>
      <c r="AI162" s="26">
        <f t="shared" si="489"/>
        <v>3.3036241248553884E-4</v>
      </c>
      <c r="AJ162" s="26">
        <f t="shared" si="490"/>
        <v>0.34942089821626349</v>
      </c>
      <c r="AK162" s="26">
        <f t="shared" si="491"/>
        <v>1.035971124748444E-2</v>
      </c>
      <c r="AL162" s="26">
        <f t="shared" si="492"/>
        <v>0.84611328572156019</v>
      </c>
      <c r="AM162" s="26">
        <f t="shared" si="493"/>
        <v>0.74803249651000547</v>
      </c>
      <c r="AN162" s="26">
        <f t="shared" si="494"/>
        <v>2.4009271732844503E-2</v>
      </c>
      <c r="AO162" s="26">
        <f t="shared" si="495"/>
        <v>0</v>
      </c>
      <c r="AP162" s="26">
        <f t="shared" si="496"/>
        <v>0</v>
      </c>
      <c r="AQ162" s="26">
        <f t="shared" si="497"/>
        <v>0</v>
      </c>
      <c r="AR162" s="26">
        <f t="shared" si="498"/>
        <v>0</v>
      </c>
      <c r="AS162" s="26">
        <f t="shared" si="499"/>
        <v>4.0182210038659356</v>
      </c>
      <c r="AT162" s="26">
        <f t="shared" si="500"/>
        <v>2.0175543100177342</v>
      </c>
      <c r="AU162" s="26">
        <f t="shared" si="501"/>
        <v>0.77204176824284998</v>
      </c>
      <c r="AV162" s="47"/>
      <c r="AW162" s="26">
        <f t="shared" si="502"/>
        <v>1.9161526991210334</v>
      </c>
      <c r="AX162" s="26">
        <f t="shared" si="503"/>
        <v>2.2299090056028949E-2</v>
      </c>
      <c r="AY162" s="26">
        <f t="shared" si="504"/>
        <v>9.2252819715926929E-2</v>
      </c>
      <c r="AZ162" s="26">
        <f t="shared" si="505"/>
        <v>3.2886435282449293E-4</v>
      </c>
      <c r="BA162" s="26">
        <f t="shared" si="506"/>
        <v>0.29342127905346127</v>
      </c>
      <c r="BB162" s="26">
        <f t="shared" si="507"/>
        <v>5.4415136992430835E-2</v>
      </c>
      <c r="BC162" s="26">
        <f t="shared" si="508"/>
        <v>1.0312734155256614E-2</v>
      </c>
      <c r="BD162" s="26">
        <f t="shared" si="509"/>
        <v>0.84227650485875549</v>
      </c>
      <c r="BE162" s="26">
        <f t="shared" si="510"/>
        <v>0.74464047227897356</v>
      </c>
      <c r="BF162" s="26">
        <f t="shared" si="511"/>
        <v>2.3900399415308561E-2</v>
      </c>
      <c r="BG162" s="26">
        <f t="shared" si="512"/>
        <v>0</v>
      </c>
      <c r="BH162" s="26">
        <f t="shared" si="513"/>
        <v>0</v>
      </c>
      <c r="BI162" s="26">
        <f t="shared" si="514"/>
        <v>0</v>
      </c>
      <c r="BJ162" s="26">
        <f t="shared" si="515"/>
        <v>0</v>
      </c>
      <c r="BK162" s="25">
        <f t="shared" si="516"/>
        <v>4</v>
      </c>
      <c r="BL162" s="24">
        <f t="shared" si="517"/>
        <v>6</v>
      </c>
      <c r="BM162" s="26">
        <f t="shared" si="518"/>
        <v>2.0084055188369603</v>
      </c>
      <c r="BN162" s="26">
        <f t="shared" si="519"/>
        <v>0.76854087169428209</v>
      </c>
      <c r="BO162" s="22"/>
      <c r="BP162" s="23">
        <f t="shared" si="520"/>
        <v>0.70772822482971687</v>
      </c>
      <c r="BQ162" s="26">
        <f t="shared" si="521"/>
        <v>8.3847300878966635E-2</v>
      </c>
      <c r="BR162" s="26">
        <f t="shared" si="522"/>
        <v>8.4055188369602934E-3</v>
      </c>
      <c r="BS162" s="26"/>
      <c r="BT162" s="26">
        <f t="shared" si="523"/>
        <v>8.4055188369602934E-3</v>
      </c>
      <c r="BU162" s="26">
        <f t="shared" si="524"/>
        <v>0</v>
      </c>
      <c r="BV162" s="26">
        <f t="shared" si="525"/>
        <v>8.4055188369602934E-3</v>
      </c>
      <c r="BW162" s="26">
        <f t="shared" si="526"/>
        <v>1.6518120624276942E-4</v>
      </c>
      <c r="BX162" s="26">
        <f t="shared" si="527"/>
        <v>0.73946179646680243</v>
      </c>
      <c r="BY162" s="26">
        <f t="shared" si="528"/>
        <v>0.22803619373551065</v>
      </c>
      <c r="BZ162" s="26">
        <f t="shared" si="529"/>
        <v>0.9844742090824764</v>
      </c>
      <c r="CA162" s="22"/>
      <c r="CB162" s="22">
        <f t="shared" si="530"/>
        <v>2.3900399415308561E-2</v>
      </c>
      <c r="CC162" s="22">
        <f t="shared" si="531"/>
        <v>0</v>
      </c>
      <c r="CD162" s="22">
        <f t="shared" si="532"/>
        <v>3.0514737577122274E-2</v>
      </c>
      <c r="CE162" s="22">
        <f t="shared" si="533"/>
        <v>3.2886435282449293E-4</v>
      </c>
      <c r="CF162" s="22">
        <f t="shared" si="534"/>
        <v>8.4055188369602934E-3</v>
      </c>
      <c r="CG162" s="22">
        <f t="shared" si="535"/>
        <v>0.36464587546368754</v>
      </c>
      <c r="CH162" s="22">
        <f t="shared" si="536"/>
        <v>0.4712026904891834</v>
      </c>
      <c r="CI162" s="22">
        <f t="shared" si="537"/>
        <v>0.16415143404712909</v>
      </c>
      <c r="CJ162" s="22"/>
      <c r="CK162" s="22">
        <f t="shared" si="538"/>
        <v>0.3828355559806832</v>
      </c>
      <c r="CL162" s="22">
        <f t="shared" si="539"/>
        <v>0.43303232369333761</v>
      </c>
      <c r="CM162" s="22">
        <f t="shared" si="540"/>
        <v>0.18413212032597928</v>
      </c>
      <c r="CN162" s="1"/>
      <c r="CO162" s="26">
        <f t="shared" si="541"/>
        <v>0.84337549933422107</v>
      </c>
      <c r="CP162" s="26">
        <f t="shared" si="542"/>
        <v>9.8147220831246874E-3</v>
      </c>
      <c r="CQ162" s="26">
        <f t="shared" si="543"/>
        <v>4.0604158493526873E-2</v>
      </c>
      <c r="CR162" s="26">
        <f t="shared" si="544"/>
        <v>1.4474636489242711E-4</v>
      </c>
      <c r="CS162" s="26">
        <f t="shared" si="545"/>
        <v>0.15309672929714685</v>
      </c>
      <c r="CT162" s="26">
        <f t="shared" si="546"/>
        <v>4.5390470820411621E-3</v>
      </c>
      <c r="CU162" s="26">
        <f t="shared" si="547"/>
        <v>0.37071960297766748</v>
      </c>
      <c r="CV162" s="26">
        <f t="shared" si="548"/>
        <v>0.32774607703281028</v>
      </c>
      <c r="CW162" s="26">
        <f t="shared" si="549"/>
        <v>1.0519522426589224E-2</v>
      </c>
      <c r="CX162" s="26">
        <f t="shared" si="550"/>
        <v>0</v>
      </c>
      <c r="CY162" s="26">
        <f t="shared" si="551"/>
        <v>0</v>
      </c>
      <c r="CZ162" s="26">
        <f t="shared" si="552"/>
        <v>0</v>
      </c>
      <c r="DA162" s="26">
        <f t="shared" si="553"/>
        <v>0</v>
      </c>
      <c r="DB162" s="26">
        <f t="shared" si="554"/>
        <v>1.7605601050920201</v>
      </c>
      <c r="DC162" s="26">
        <f t="shared" si="555"/>
        <v>2.628865017725281</v>
      </c>
      <c r="DD162" s="26">
        <f t="shared" si="556"/>
        <v>2.2720042266270313</v>
      </c>
      <c r="DE162" s="26">
        <f t="shared" si="557"/>
        <v>5.9727924315037839</v>
      </c>
      <c r="DF162" s="1"/>
      <c r="DG162" s="22">
        <v>10.421012961840203</v>
      </c>
      <c r="DH162" s="14">
        <v>2056.8894495427085</v>
      </c>
      <c r="DI162" s="14">
        <v>89685.797957069648</v>
      </c>
      <c r="DJ162" s="14">
        <v>10915.351509392402</v>
      </c>
      <c r="DK162" s="14">
        <v>237375.80189462681</v>
      </c>
      <c r="DL162" s="14">
        <v>130578.67680604222</v>
      </c>
      <c r="DM162" s="96">
        <v>121.04175906778653</v>
      </c>
      <c r="DN162" s="14">
        <v>3404.9568052227637</v>
      </c>
      <c r="DO162" s="96">
        <v>408.09089414241748</v>
      </c>
      <c r="DP162" s="22">
        <v>323.07158031306454</v>
      </c>
      <c r="DQ162" s="14">
        <v>2401.6099369765016</v>
      </c>
      <c r="DR162" s="22">
        <v>51.988242234686318</v>
      </c>
      <c r="DS162" s="22">
        <v>83.301885028447288</v>
      </c>
      <c r="DT162" s="22">
        <v>2.3923371609046744</v>
      </c>
      <c r="DU162" s="22">
        <v>75.017470663904007</v>
      </c>
      <c r="DV162" s="22">
        <v>0</v>
      </c>
      <c r="DW162" s="22">
        <v>8.7027720170805427</v>
      </c>
      <c r="DX162" s="22">
        <v>10.507829240572324</v>
      </c>
      <c r="DY162" s="22">
        <v>30.663007912550736</v>
      </c>
      <c r="DZ162" s="22">
        <v>20.779952029080917</v>
      </c>
      <c r="EA162" s="22">
        <v>0</v>
      </c>
      <c r="EB162" s="22">
        <v>2.8834328266332337E-2</v>
      </c>
      <c r="EC162" s="22">
        <v>0.1190229748776595</v>
      </c>
      <c r="ED162" s="22">
        <v>1.2890802208578311</v>
      </c>
      <c r="EE162" s="22">
        <v>5.495032867803431</v>
      </c>
      <c r="EF162" s="22">
        <v>1.1969221450783623</v>
      </c>
      <c r="EG162" s="22">
        <v>6.4158958980176495</v>
      </c>
      <c r="EH162" s="22">
        <v>3.1407963580536888</v>
      </c>
      <c r="EI162" s="22">
        <v>0.63231781271746812</v>
      </c>
      <c r="EJ162" s="22">
        <v>4.0331019729866382</v>
      </c>
      <c r="EK162" s="22">
        <v>0.66205157374395951</v>
      </c>
      <c r="EL162" s="22">
        <v>5.3939953951032162</v>
      </c>
      <c r="EM162" s="22">
        <v>1.0926525618380933</v>
      </c>
      <c r="EN162" s="22">
        <v>3.2661067569906774</v>
      </c>
      <c r="EO162" s="22">
        <v>0.44260995165781419</v>
      </c>
      <c r="EP162" s="22">
        <v>2.8756855359449194</v>
      </c>
      <c r="EQ162" s="22">
        <v>0.45225661320798949</v>
      </c>
      <c r="ER162" s="22">
        <v>0.94656120361652596</v>
      </c>
      <c r="ES162" s="22">
        <v>0</v>
      </c>
      <c r="ET162" s="22">
        <v>6.9886611118027853E-2</v>
      </c>
      <c r="EU162" s="22">
        <v>3.8604816029332821E-2</v>
      </c>
      <c r="EV162" s="22">
        <v>1.8280188566999162E-2</v>
      </c>
      <c r="EW162" s="22">
        <f>(EI162/0.05883)/SQRT((EH162/0.1536)*(EJ162/0.2069))</f>
        <v>0.53836018081679837</v>
      </c>
      <c r="EX162" s="22"/>
      <c r="EY162" s="22"/>
      <c r="EZ162" s="22"/>
      <c r="FA162" s="22"/>
      <c r="FB162" s="22"/>
      <c r="FC162" s="22"/>
      <c r="FD162" s="22"/>
      <c r="FE162" s="22"/>
      <c r="FF162" s="22"/>
      <c r="FG162" s="22"/>
      <c r="FH162" s="22"/>
      <c r="FI162" s="22">
        <f>-0.50354-2.23025*BP162+ N("eqn 18 Mg# R2 0.28 best")</f>
        <v>-2.081950873426476</v>
      </c>
      <c r="FJ162" s="22"/>
      <c r="FK162" s="22">
        <f xml:space="preserve"> -0.03692  +  0.931085 + FX162   + N("488 NN Dy")</f>
        <v>0.8941650000000001</v>
      </c>
      <c r="FL162" s="22">
        <f>-0.48986  +   0    +   (1.071278 + 0) * GD162  +N("eqn 119 LnD Hf  (which has R2 of 0.51 for TS")</f>
        <v>-0.48986000000000002</v>
      </c>
      <c r="FM162" s="22"/>
      <c r="FN162" s="22"/>
      <c r="FO162" s="22">
        <f>3.94011-11.9214*BP162</f>
        <v>-4.4970012594849864</v>
      </c>
      <c r="FP162" s="22">
        <f xml:space="preserve">  -0.49862 +   1.013256 * FQ162 + N("294 NN")</f>
        <v>-0.49862000000000001</v>
      </c>
      <c r="FQ162" s="46"/>
      <c r="FR162" s="46"/>
      <c r="FS162" s="46"/>
      <c r="FT162" s="46"/>
      <c r="FU162" s="46"/>
      <c r="FV162" s="46"/>
      <c r="FW162" s="46"/>
      <c r="FX162" s="46"/>
      <c r="FY162" s="46"/>
      <c r="FZ162" s="46"/>
      <c r="GA162" s="46"/>
      <c r="GB162" s="46"/>
      <c r="GC162" s="46"/>
      <c r="GD162" s="46"/>
      <c r="GE162" s="46"/>
      <c r="GF162" s="46"/>
      <c r="GG162" s="46"/>
      <c r="GH162" s="46"/>
    </row>
    <row r="163" spans="1:190" x14ac:dyDescent="0.25">
      <c r="A163" s="5" t="s">
        <v>91</v>
      </c>
      <c r="B163" s="1">
        <v>1424</v>
      </c>
      <c r="C163" s="98" t="s">
        <v>96</v>
      </c>
      <c r="D163" s="98" t="s">
        <v>104</v>
      </c>
      <c r="E163" s="1">
        <v>431</v>
      </c>
      <c r="F163" s="22">
        <v>50.11</v>
      </c>
      <c r="G163" s="22">
        <v>0.68799999999999994</v>
      </c>
      <c r="H163" s="22">
        <v>2</v>
      </c>
      <c r="I163" s="22">
        <v>3.3000000000000002E-2</v>
      </c>
      <c r="J163" s="22">
        <v>10.68</v>
      </c>
      <c r="K163" s="22">
        <v>0.33900000000000002</v>
      </c>
      <c r="L163" s="22">
        <v>14.8</v>
      </c>
      <c r="M163" s="22">
        <v>18.52</v>
      </c>
      <c r="N163" s="22">
        <v>0.32900000000000001</v>
      </c>
      <c r="O163" s="22">
        <v>0</v>
      </c>
      <c r="P163" s="22">
        <v>0</v>
      </c>
      <c r="Q163" s="22"/>
      <c r="R163" s="22"/>
      <c r="S163" s="22">
        <f t="shared" si="482"/>
        <v>97.498999999999995</v>
      </c>
      <c r="T163" s="3"/>
      <c r="U163" s="22">
        <f t="shared" si="483"/>
        <v>8.5622210211237526</v>
      </c>
      <c r="V163" s="22">
        <f t="shared" si="484"/>
        <v>2.3534877792251723</v>
      </c>
      <c r="W163" s="22">
        <f t="shared" si="485"/>
        <v>97.734708800348926</v>
      </c>
      <c r="X163" s="1"/>
      <c r="Y163" s="1"/>
      <c r="Z163" s="1"/>
      <c r="AA163" s="1" t="s">
        <v>185</v>
      </c>
      <c r="AC163" s="1">
        <v>6</v>
      </c>
      <c r="AD163" s="1">
        <v>4</v>
      </c>
      <c r="AE163" s="1"/>
      <c r="AF163" s="26">
        <f t="shared" si="486"/>
        <v>1.9239636330970245</v>
      </c>
      <c r="AG163" s="26">
        <f t="shared" si="487"/>
        <v>1.986793644183368E-2</v>
      </c>
      <c r="AH163" s="26">
        <f t="shared" si="488"/>
        <v>9.0496658685900219E-2</v>
      </c>
      <c r="AI163" s="26">
        <f t="shared" si="489"/>
        <v>1.0016853001752573E-3</v>
      </c>
      <c r="AJ163" s="26">
        <f t="shared" si="490"/>
        <v>0.34288371584370786</v>
      </c>
      <c r="AK163" s="26">
        <f t="shared" si="491"/>
        <v>1.1023281397481242E-2</v>
      </c>
      <c r="AL163" s="26">
        <f t="shared" si="492"/>
        <v>0.84714753058494374</v>
      </c>
      <c r="AM163" s="26">
        <f t="shared" si="493"/>
        <v>0.76179015780696513</v>
      </c>
      <c r="AN163" s="26">
        <f t="shared" si="494"/>
        <v>2.4489318620144671E-2</v>
      </c>
      <c r="AO163" s="26">
        <f t="shared" si="495"/>
        <v>0</v>
      </c>
      <c r="AP163" s="26">
        <f t="shared" si="496"/>
        <v>0</v>
      </c>
      <c r="AQ163" s="26">
        <f t="shared" si="497"/>
        <v>0</v>
      </c>
      <c r="AR163" s="26">
        <f t="shared" si="498"/>
        <v>0</v>
      </c>
      <c r="AS163" s="26">
        <f t="shared" si="499"/>
        <v>4.0226639177781767</v>
      </c>
      <c r="AT163" s="26">
        <f t="shared" si="500"/>
        <v>2.0144602917829246</v>
      </c>
      <c r="AU163" s="26">
        <f t="shared" si="501"/>
        <v>0.78627947642710982</v>
      </c>
      <c r="AV163" s="47"/>
      <c r="AW163" s="26">
        <f t="shared" si="502"/>
        <v>1.9131239123348691</v>
      </c>
      <c r="AX163" s="26">
        <f t="shared" si="503"/>
        <v>1.9755999355578542E-2</v>
      </c>
      <c r="AY163" s="26">
        <f t="shared" si="504"/>
        <v>8.9986795353148866E-2</v>
      </c>
      <c r="AZ163" s="26">
        <f t="shared" si="505"/>
        <v>9.9604174810458872E-4</v>
      </c>
      <c r="BA163" s="26">
        <f t="shared" si="506"/>
        <v>0.27334320552536534</v>
      </c>
      <c r="BB163" s="26">
        <f t="shared" si="507"/>
        <v>6.760868392116004E-2</v>
      </c>
      <c r="BC163" s="26">
        <f t="shared" si="508"/>
        <v>1.0961175601833215E-2</v>
      </c>
      <c r="BD163" s="26">
        <f t="shared" si="509"/>
        <v>0.84237465311578452</v>
      </c>
      <c r="BE163" s="26">
        <f t="shared" si="510"/>
        <v>0.75749818864084661</v>
      </c>
      <c r="BF163" s="26">
        <f t="shared" si="511"/>
        <v>2.4351344403308505E-2</v>
      </c>
      <c r="BG163" s="26">
        <f t="shared" si="512"/>
        <v>0</v>
      </c>
      <c r="BH163" s="26">
        <f t="shared" si="513"/>
        <v>0</v>
      </c>
      <c r="BI163" s="26">
        <f t="shared" si="514"/>
        <v>0</v>
      </c>
      <c r="BJ163" s="26">
        <f t="shared" si="515"/>
        <v>0</v>
      </c>
      <c r="BK163" s="25">
        <f t="shared" si="516"/>
        <v>3.9999999999999991</v>
      </c>
      <c r="BL163" s="24">
        <f t="shared" si="517"/>
        <v>6.0000000000000009</v>
      </c>
      <c r="BM163" s="26">
        <f t="shared" si="518"/>
        <v>2.0031107076880179</v>
      </c>
      <c r="BN163" s="26">
        <f t="shared" si="519"/>
        <v>0.78184953304415516</v>
      </c>
      <c r="BO163" s="22"/>
      <c r="BP163" s="23">
        <f t="shared" si="520"/>
        <v>0.71186998923539158</v>
      </c>
      <c r="BQ163" s="26">
        <f t="shared" si="521"/>
        <v>8.6876087665130886E-2</v>
      </c>
      <c r="BR163" s="26">
        <f t="shared" si="522"/>
        <v>3.1107076880179801E-3</v>
      </c>
      <c r="BS163" s="26"/>
      <c r="BT163" s="26">
        <f t="shared" si="523"/>
        <v>3.1107076880179801E-3</v>
      </c>
      <c r="BU163" s="26">
        <f t="shared" si="524"/>
        <v>0</v>
      </c>
      <c r="BV163" s="26">
        <f t="shared" si="525"/>
        <v>3.1107076880179801E-3</v>
      </c>
      <c r="BW163" s="26">
        <f t="shared" si="526"/>
        <v>5.0084265008762863E-4</v>
      </c>
      <c r="BX163" s="26">
        <f t="shared" si="527"/>
        <v>0.75817860746885946</v>
      </c>
      <c r="BY163" s="26">
        <f t="shared" si="528"/>
        <v>0.21592631947989605</v>
      </c>
      <c r="BZ163" s="26">
        <f t="shared" si="529"/>
        <v>0.98082718497487908</v>
      </c>
      <c r="CA163" s="22"/>
      <c r="CB163" s="22">
        <f t="shared" si="530"/>
        <v>2.4351344403308505E-2</v>
      </c>
      <c r="CC163" s="22">
        <f t="shared" si="531"/>
        <v>0</v>
      </c>
      <c r="CD163" s="22">
        <f t="shared" si="532"/>
        <v>4.3257339517851531E-2</v>
      </c>
      <c r="CE163" s="22">
        <f t="shared" si="533"/>
        <v>9.9604174810458872E-4</v>
      </c>
      <c r="CF163" s="22">
        <f t="shared" si="534"/>
        <v>3.1107076880179801E-3</v>
      </c>
      <c r="CG163" s="22">
        <f t="shared" si="535"/>
        <v>0.36724272204509051</v>
      </c>
      <c r="CH163" s="22">
        <f t="shared" si="536"/>
        <v>0.47773609465472455</v>
      </c>
      <c r="CI163" s="22">
        <f t="shared" si="537"/>
        <v>0.15502118330018497</v>
      </c>
      <c r="CJ163" s="22"/>
      <c r="CK163" s="22">
        <f t="shared" si="538"/>
        <v>0.38810516358366715</v>
      </c>
      <c r="CL163" s="22">
        <f t="shared" si="539"/>
        <v>0.43159172846714761</v>
      </c>
      <c r="CM163" s="22">
        <f t="shared" si="540"/>
        <v>0.18030310794918533</v>
      </c>
      <c r="CN163" s="1"/>
      <c r="CO163" s="26">
        <f t="shared" si="541"/>
        <v>0.83405459387483361</v>
      </c>
      <c r="CP163" s="26">
        <f t="shared" si="542"/>
        <v>8.612919379068603E-3</v>
      </c>
      <c r="CQ163" s="26">
        <f t="shared" si="543"/>
        <v>3.9231071008238527E-2</v>
      </c>
      <c r="CR163" s="26">
        <f t="shared" si="544"/>
        <v>4.3423909467728137E-4</v>
      </c>
      <c r="CS163" s="26">
        <f t="shared" si="545"/>
        <v>0.14864300626304802</v>
      </c>
      <c r="CT163" s="26">
        <f t="shared" si="546"/>
        <v>4.7786862137017203E-3</v>
      </c>
      <c r="CU163" s="26">
        <f t="shared" si="547"/>
        <v>0.36724565756823824</v>
      </c>
      <c r="CV163" s="26">
        <f t="shared" si="548"/>
        <v>0.3302425106990014</v>
      </c>
      <c r="CW163" s="26">
        <f t="shared" si="549"/>
        <v>1.0616327847692805E-2</v>
      </c>
      <c r="CX163" s="26">
        <f t="shared" si="550"/>
        <v>0</v>
      </c>
      <c r="CY163" s="26">
        <f t="shared" si="551"/>
        <v>0</v>
      </c>
      <c r="CZ163" s="26">
        <f t="shared" si="552"/>
        <v>0</v>
      </c>
      <c r="DA163" s="26">
        <f t="shared" si="553"/>
        <v>0</v>
      </c>
      <c r="DB163" s="26">
        <f t="shared" si="554"/>
        <v>1.7438590119485005</v>
      </c>
      <c r="DC163" s="26">
        <f t="shared" si="555"/>
        <v>2.6010510163300138</v>
      </c>
      <c r="DD163" s="26">
        <f t="shared" si="556"/>
        <v>2.2937634135517646</v>
      </c>
      <c r="DE163" s="26">
        <f t="shared" si="557"/>
        <v>5.9661956580394193</v>
      </c>
      <c r="DF163" s="1"/>
      <c r="DG163" s="22"/>
      <c r="DH163" s="14"/>
      <c r="DI163" s="14"/>
      <c r="DJ163" s="14"/>
      <c r="DK163" s="14"/>
      <c r="DL163" s="14"/>
      <c r="DM163" s="96"/>
      <c r="DN163" s="14"/>
      <c r="DO163" s="96"/>
      <c r="DP163" s="22"/>
      <c r="DQ163" s="14"/>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46"/>
      <c r="FR163" s="46"/>
      <c r="FS163" s="46"/>
      <c r="FT163" s="46"/>
      <c r="FU163" s="46"/>
      <c r="FV163" s="46"/>
      <c r="FW163" s="46"/>
      <c r="FX163" s="46"/>
      <c r="FY163" s="46"/>
      <c r="FZ163" s="46"/>
      <c r="GA163" s="46"/>
      <c r="GB163" s="46"/>
      <c r="GC163" s="46"/>
      <c r="GD163" s="46"/>
      <c r="GE163" s="46"/>
      <c r="GF163" s="46"/>
      <c r="GG163" s="46"/>
      <c r="GH163" s="46"/>
    </row>
    <row r="164" spans="1:190" x14ac:dyDescent="0.25">
      <c r="A164" s="5" t="s">
        <v>91</v>
      </c>
      <c r="B164" s="1">
        <v>1425</v>
      </c>
      <c r="C164" s="98" t="s">
        <v>96</v>
      </c>
      <c r="D164" s="98" t="s">
        <v>104</v>
      </c>
      <c r="E164" s="1">
        <v>432</v>
      </c>
      <c r="F164" s="22">
        <v>51.24</v>
      </c>
      <c r="G164" s="22">
        <v>0.41699999999999998</v>
      </c>
      <c r="H164" s="22">
        <v>1.387</v>
      </c>
      <c r="I164" s="22">
        <v>2.1000000000000001E-2</v>
      </c>
      <c r="J164" s="22">
        <v>9.7799999999999994</v>
      </c>
      <c r="K164" s="22">
        <v>0.33500000000000002</v>
      </c>
      <c r="L164" s="22">
        <v>15.82</v>
      </c>
      <c r="M164" s="22">
        <v>18.46</v>
      </c>
      <c r="N164" s="22">
        <v>0.218</v>
      </c>
      <c r="O164" s="22">
        <v>0</v>
      </c>
      <c r="P164" s="22">
        <v>0</v>
      </c>
      <c r="Q164" s="22"/>
      <c r="R164" s="22"/>
      <c r="S164" s="22">
        <f t="shared" si="482"/>
        <v>97.678000000000011</v>
      </c>
      <c r="T164" s="3"/>
      <c r="U164" s="22">
        <f t="shared" si="483"/>
        <v>8.4469290784982256</v>
      </c>
      <c r="V164" s="22">
        <f t="shared" si="484"/>
        <v>1.4814417150649215</v>
      </c>
      <c r="W164" s="22">
        <f t="shared" si="485"/>
        <v>97.826370793563157</v>
      </c>
      <c r="X164" s="1"/>
      <c r="Y164" s="1"/>
      <c r="Z164" s="1"/>
      <c r="AA164" s="1" t="s">
        <v>185</v>
      </c>
      <c r="AC164" s="1">
        <v>6</v>
      </c>
      <c r="AD164" s="1">
        <v>4</v>
      </c>
      <c r="AE164" s="1"/>
      <c r="AF164" s="26">
        <f t="shared" si="486"/>
        <v>1.9505332979983583</v>
      </c>
      <c r="AG164" s="26">
        <f t="shared" si="487"/>
        <v>1.1939115959932325E-2</v>
      </c>
      <c r="AH164" s="26">
        <f t="shared" si="488"/>
        <v>6.222297926838849E-2</v>
      </c>
      <c r="AI164" s="26">
        <f t="shared" si="489"/>
        <v>6.3198743955189757E-4</v>
      </c>
      <c r="AJ164" s="26">
        <f t="shared" si="490"/>
        <v>0.31130511308900183</v>
      </c>
      <c r="AK164" s="26">
        <f t="shared" si="491"/>
        <v>1.0800100441707993E-2</v>
      </c>
      <c r="AL164" s="26">
        <f t="shared" si="492"/>
        <v>0.89779173829087677</v>
      </c>
      <c r="AM164" s="26">
        <f t="shared" si="493"/>
        <v>0.75283163996421765</v>
      </c>
      <c r="AN164" s="26">
        <f t="shared" si="494"/>
        <v>1.6088260471406643E-2</v>
      </c>
      <c r="AO164" s="26">
        <f t="shared" si="495"/>
        <v>0</v>
      </c>
      <c r="AP164" s="26">
        <f t="shared" si="496"/>
        <v>0</v>
      </c>
      <c r="AQ164" s="26">
        <f t="shared" si="497"/>
        <v>0</v>
      </c>
      <c r="AR164" s="26">
        <f t="shared" si="498"/>
        <v>0</v>
      </c>
      <c r="AS164" s="26">
        <f t="shared" si="499"/>
        <v>4.0141442329234414</v>
      </c>
      <c r="AT164" s="26">
        <f t="shared" si="500"/>
        <v>2.0127562772667469</v>
      </c>
      <c r="AU164" s="26">
        <f t="shared" si="501"/>
        <v>0.7689199004356243</v>
      </c>
      <c r="AV164" s="47"/>
      <c r="AW164" s="26">
        <f t="shared" si="502"/>
        <v>1.9436604016371517</v>
      </c>
      <c r="AX164" s="26">
        <f t="shared" si="503"/>
        <v>1.1897047307876371E-2</v>
      </c>
      <c r="AY164" s="26">
        <f t="shared" si="504"/>
        <v>6.2003730466926858E-2</v>
      </c>
      <c r="AZ164" s="26">
        <f t="shared" si="505"/>
        <v>6.2976056950662235E-4</v>
      </c>
      <c r="BA164" s="26">
        <f t="shared" si="506"/>
        <v>0.26792501586108869</v>
      </c>
      <c r="BB164" s="26">
        <f t="shared" si="507"/>
        <v>4.2283182973144928E-2</v>
      </c>
      <c r="BC164" s="26">
        <f t="shared" si="508"/>
        <v>1.07620452231159E-2</v>
      </c>
      <c r="BD164" s="26">
        <f t="shared" si="509"/>
        <v>0.89462828059571575</v>
      </c>
      <c r="BE164" s="26">
        <f t="shared" si="510"/>
        <v>0.75017896346583579</v>
      </c>
      <c r="BF164" s="26">
        <f t="shared" si="511"/>
        <v>1.6031571899637297E-2</v>
      </c>
      <c r="BG164" s="26">
        <f t="shared" si="512"/>
        <v>0</v>
      </c>
      <c r="BH164" s="26">
        <f t="shared" si="513"/>
        <v>0</v>
      </c>
      <c r="BI164" s="26">
        <f t="shared" si="514"/>
        <v>0</v>
      </c>
      <c r="BJ164" s="26">
        <f t="shared" si="515"/>
        <v>0</v>
      </c>
      <c r="BK164" s="25">
        <f t="shared" si="516"/>
        <v>4</v>
      </c>
      <c r="BL164" s="24">
        <f t="shared" si="517"/>
        <v>5.9999999999999973</v>
      </c>
      <c r="BM164" s="26">
        <f t="shared" si="518"/>
        <v>2.0056641321040787</v>
      </c>
      <c r="BN164" s="26">
        <f t="shared" si="519"/>
        <v>0.76621053536547312</v>
      </c>
      <c r="BO164" s="22"/>
      <c r="BP164" s="23">
        <f t="shared" si="520"/>
        <v>0.74253087109297689</v>
      </c>
      <c r="BQ164" s="26">
        <f t="shared" si="521"/>
        <v>5.6339598362848298E-2</v>
      </c>
      <c r="BR164" s="26">
        <f t="shared" si="522"/>
        <v>5.6641321040785605E-3</v>
      </c>
      <c r="BS164" s="26"/>
      <c r="BT164" s="26">
        <f t="shared" si="523"/>
        <v>5.6641321040785605E-3</v>
      </c>
      <c r="BU164" s="26">
        <f t="shared" si="524"/>
        <v>0</v>
      </c>
      <c r="BV164" s="26">
        <f t="shared" si="525"/>
        <v>5.6641321040785605E-3</v>
      </c>
      <c r="BW164" s="26">
        <f t="shared" si="526"/>
        <v>3.1599371977594879E-4</v>
      </c>
      <c r="BX164" s="26">
        <f t="shared" si="527"/>
        <v>0.7468515141403631</v>
      </c>
      <c r="BY164" s="26">
        <f t="shared" si="528"/>
        <v>0.23112266861975772</v>
      </c>
      <c r="BZ164" s="26">
        <f t="shared" si="529"/>
        <v>0.98961844068805394</v>
      </c>
      <c r="CA164" s="22"/>
      <c r="CB164" s="22">
        <f t="shared" si="530"/>
        <v>1.6031571899637297E-2</v>
      </c>
      <c r="CC164" s="22">
        <f t="shared" si="531"/>
        <v>0</v>
      </c>
      <c r="CD164" s="22">
        <f t="shared" si="532"/>
        <v>2.6251611073507632E-2</v>
      </c>
      <c r="CE164" s="22">
        <f t="shared" si="533"/>
        <v>6.2976056950662235E-4</v>
      </c>
      <c r="CF164" s="22">
        <f t="shared" si="534"/>
        <v>5.6641321040785605E-3</v>
      </c>
      <c r="CG164" s="22">
        <f t="shared" si="535"/>
        <v>0.36683251580919013</v>
      </c>
      <c r="CH164" s="22">
        <f t="shared" si="536"/>
        <v>0.48724608105034622</v>
      </c>
      <c r="CI164" s="22">
        <f t="shared" si="537"/>
        <v>0.1459214031404637</v>
      </c>
      <c r="CJ164" s="22"/>
      <c r="CK164" s="22">
        <f t="shared" si="538"/>
        <v>0.38161947015870029</v>
      </c>
      <c r="CL164" s="22">
        <f t="shared" si="539"/>
        <v>0.4551014985179257</v>
      </c>
      <c r="CM164" s="22">
        <f t="shared" si="540"/>
        <v>0.16327903132337401</v>
      </c>
      <c r="CN164" s="1"/>
      <c r="CO164" s="26">
        <f t="shared" si="541"/>
        <v>0.85286284953395475</v>
      </c>
      <c r="CP164" s="26">
        <f t="shared" si="542"/>
        <v>5.2203304957436159E-3</v>
      </c>
      <c r="CQ164" s="26">
        <f t="shared" si="543"/>
        <v>2.720674774421342E-2</v>
      </c>
      <c r="CR164" s="26">
        <f t="shared" si="544"/>
        <v>2.7633396934008815E-4</v>
      </c>
      <c r="CS164" s="26">
        <f t="shared" si="545"/>
        <v>0.13611691022964509</v>
      </c>
      <c r="CT164" s="26">
        <f t="shared" si="546"/>
        <v>4.7223005356639416E-3</v>
      </c>
      <c r="CU164" s="26">
        <f t="shared" si="547"/>
        <v>0.39255583126550869</v>
      </c>
      <c r="CV164" s="26">
        <f t="shared" si="548"/>
        <v>0.32917261055634811</v>
      </c>
      <c r="CW164" s="26">
        <f t="shared" si="549"/>
        <v>7.0345272668602774E-3</v>
      </c>
      <c r="CX164" s="26">
        <f t="shared" si="550"/>
        <v>0</v>
      </c>
      <c r="CY164" s="26">
        <f t="shared" si="551"/>
        <v>0</v>
      </c>
      <c r="CZ164" s="26">
        <f t="shared" si="552"/>
        <v>0</v>
      </c>
      <c r="DA164" s="26">
        <f t="shared" si="553"/>
        <v>0</v>
      </c>
      <c r="DB164" s="26">
        <f t="shared" si="554"/>
        <v>1.7551684415972781</v>
      </c>
      <c r="DC164" s="26">
        <f t="shared" si="555"/>
        <v>2.6234758988503231</v>
      </c>
      <c r="DD164" s="26">
        <f t="shared" si="556"/>
        <v>2.2789835466502746</v>
      </c>
      <c r="DE164" s="26">
        <f t="shared" si="557"/>
        <v>5.9788584085134264</v>
      </c>
      <c r="DF164" s="1"/>
      <c r="DG164" s="22"/>
      <c r="DH164" s="14"/>
      <c r="DI164" s="14"/>
      <c r="DJ164" s="14"/>
      <c r="DK164" s="14"/>
      <c r="DL164" s="14"/>
      <c r="DM164" s="96"/>
      <c r="DN164" s="14"/>
      <c r="DO164" s="96"/>
      <c r="DP164" s="22"/>
      <c r="DQ164" s="14"/>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46"/>
      <c r="FR164" s="46"/>
      <c r="FS164" s="46"/>
      <c r="FT164" s="46"/>
      <c r="FU164" s="46"/>
      <c r="FV164" s="46"/>
      <c r="FW164" s="46"/>
      <c r="FX164" s="46"/>
      <c r="FY164" s="46"/>
      <c r="FZ164" s="46"/>
      <c r="GA164" s="46"/>
      <c r="GB164" s="46"/>
      <c r="GC164" s="46"/>
      <c r="GD164" s="46"/>
      <c r="GE164" s="46"/>
      <c r="GF164" s="46"/>
      <c r="GG164" s="46"/>
      <c r="GH164" s="46"/>
    </row>
    <row r="165" spans="1:190" x14ac:dyDescent="0.25">
      <c r="A165" s="5" t="s">
        <v>91</v>
      </c>
      <c r="B165" s="1">
        <v>1426</v>
      </c>
      <c r="C165" s="98" t="s">
        <v>96</v>
      </c>
      <c r="D165" s="98" t="s">
        <v>104</v>
      </c>
      <c r="E165" s="1">
        <v>433</v>
      </c>
      <c r="F165" s="22">
        <v>50.48</v>
      </c>
      <c r="G165" s="22">
        <v>0.69199999999999995</v>
      </c>
      <c r="H165" s="22">
        <v>2.23</v>
      </c>
      <c r="I165" s="22">
        <v>0</v>
      </c>
      <c r="J165" s="22">
        <v>12.25</v>
      </c>
      <c r="K165" s="22">
        <v>0.34399999999999997</v>
      </c>
      <c r="L165" s="22">
        <v>14.88</v>
      </c>
      <c r="M165" s="22">
        <v>16.89</v>
      </c>
      <c r="N165" s="22">
        <v>0.32100000000000001</v>
      </c>
      <c r="O165" s="22">
        <v>1.0999999999999999E-2</v>
      </c>
      <c r="P165" s="22">
        <v>0</v>
      </c>
      <c r="Q165" s="22"/>
      <c r="R165" s="22"/>
      <c r="S165" s="22">
        <f t="shared" si="482"/>
        <v>98.097999999999971</v>
      </c>
      <c r="T165" s="3"/>
      <c r="U165" s="22">
        <f t="shared" si="483"/>
        <v>10.952509690042227</v>
      </c>
      <c r="V165" s="22">
        <f t="shared" si="484"/>
        <v>1.4419009814560724</v>
      </c>
      <c r="W165" s="22">
        <f t="shared" si="485"/>
        <v>98.242410671498305</v>
      </c>
      <c r="X165" s="1"/>
      <c r="Y165" s="1"/>
      <c r="Z165" s="1"/>
      <c r="AA165" s="1" t="s">
        <v>185</v>
      </c>
      <c r="AC165" s="1">
        <v>6</v>
      </c>
      <c r="AD165" s="1">
        <v>4</v>
      </c>
      <c r="AE165" s="1"/>
      <c r="AF165" s="26">
        <f t="shared" si="486"/>
        <v>1.9282640596163607</v>
      </c>
      <c r="AG165" s="26">
        <f t="shared" si="487"/>
        <v>1.9881315746800587E-2</v>
      </c>
      <c r="AH165" s="26">
        <f t="shared" si="488"/>
        <v>0.10038807265275118</v>
      </c>
      <c r="AI165" s="26">
        <f t="shared" si="489"/>
        <v>0</v>
      </c>
      <c r="AJ165" s="26">
        <f t="shared" si="490"/>
        <v>0.39127887453624038</v>
      </c>
      <c r="AK165" s="26">
        <f t="shared" si="491"/>
        <v>1.1128697634203703E-2</v>
      </c>
      <c r="AL165" s="26">
        <f t="shared" si="492"/>
        <v>0.84737367817933174</v>
      </c>
      <c r="AM165" s="26">
        <f t="shared" si="493"/>
        <v>0.69119204156946878</v>
      </c>
      <c r="AN165" s="26">
        <f t="shared" si="494"/>
        <v>2.3771716407459068E-2</v>
      </c>
      <c r="AO165" s="26">
        <f t="shared" si="495"/>
        <v>5.3598034315129343E-4</v>
      </c>
      <c r="AP165" s="26">
        <f t="shared" si="496"/>
        <v>0</v>
      </c>
      <c r="AQ165" s="26">
        <f t="shared" si="497"/>
        <v>0</v>
      </c>
      <c r="AR165" s="26">
        <f t="shared" si="498"/>
        <v>0</v>
      </c>
      <c r="AS165" s="26">
        <f t="shared" si="499"/>
        <v>4.0138144366857675</v>
      </c>
      <c r="AT165" s="26">
        <f t="shared" si="500"/>
        <v>2.0286521322691118</v>
      </c>
      <c r="AU165" s="26">
        <f t="shared" si="501"/>
        <v>0.71549973832007918</v>
      </c>
      <c r="AV165" s="47"/>
      <c r="AW165" s="26">
        <f t="shared" si="502"/>
        <v>1.9216275092264015</v>
      </c>
      <c r="AX165" s="26">
        <f t="shared" si="503"/>
        <v>1.9812889768981663E-2</v>
      </c>
      <c r="AY165" s="26">
        <f t="shared" si="504"/>
        <v>0.10004256473365247</v>
      </c>
      <c r="AZ165" s="26">
        <f t="shared" si="505"/>
        <v>0</v>
      </c>
      <c r="BA165" s="26">
        <f t="shared" si="506"/>
        <v>0.34863152743832315</v>
      </c>
      <c r="BB165" s="26">
        <f t="shared" si="507"/>
        <v>4.1300673671922361E-2</v>
      </c>
      <c r="BC165" s="26">
        <f t="shared" si="508"/>
        <v>1.1090395741755058E-2</v>
      </c>
      <c r="BD165" s="26">
        <f t="shared" si="509"/>
        <v>0.84445725286594331</v>
      </c>
      <c r="BE165" s="26">
        <f t="shared" si="510"/>
        <v>0.68881315015667799</v>
      </c>
      <c r="BF165" s="26">
        <f t="shared" si="511"/>
        <v>2.3689900748961906E-2</v>
      </c>
      <c r="BG165" s="26">
        <f t="shared" si="512"/>
        <v>5.341356473807055E-4</v>
      </c>
      <c r="BH165" s="26">
        <f t="shared" si="513"/>
        <v>0</v>
      </c>
      <c r="BI165" s="26">
        <f t="shared" si="514"/>
        <v>0</v>
      </c>
      <c r="BJ165" s="26">
        <f t="shared" si="515"/>
        <v>0</v>
      </c>
      <c r="BK165" s="25">
        <f t="shared" si="516"/>
        <v>4</v>
      </c>
      <c r="BL165" s="24">
        <f t="shared" si="517"/>
        <v>6</v>
      </c>
      <c r="BM165" s="26">
        <f t="shared" si="518"/>
        <v>2.0216700739600539</v>
      </c>
      <c r="BN165" s="26">
        <f t="shared" si="519"/>
        <v>0.71303718655302062</v>
      </c>
      <c r="BO165" s="22"/>
      <c r="BP165" s="23">
        <f t="shared" si="520"/>
        <v>0.68410925753277929</v>
      </c>
      <c r="BQ165" s="26">
        <f t="shared" si="521"/>
        <v>7.8372490773598535E-2</v>
      </c>
      <c r="BR165" s="26">
        <f t="shared" si="522"/>
        <v>2.1670073960053937E-2</v>
      </c>
      <c r="BS165" s="26"/>
      <c r="BT165" s="26">
        <f t="shared" si="523"/>
        <v>2.1670073960053937E-2</v>
      </c>
      <c r="BU165" s="26">
        <f t="shared" si="524"/>
        <v>0</v>
      </c>
      <c r="BV165" s="26">
        <f t="shared" si="525"/>
        <v>2.1670073960053937E-2</v>
      </c>
      <c r="BW165" s="26">
        <f t="shared" si="526"/>
        <v>0</v>
      </c>
      <c r="BX165" s="26">
        <f t="shared" si="527"/>
        <v>0.66952196760941485</v>
      </c>
      <c r="BY165" s="26">
        <f t="shared" si="528"/>
        <v>0.28456529255307861</v>
      </c>
      <c r="BZ165" s="26">
        <f t="shared" si="529"/>
        <v>0.99742740808260133</v>
      </c>
      <c r="CA165" s="22"/>
      <c r="CB165" s="22">
        <f t="shared" si="530"/>
        <v>2.3689900748961906E-2</v>
      </c>
      <c r="CC165" s="22">
        <f t="shared" si="531"/>
        <v>0</v>
      </c>
      <c r="CD165" s="22">
        <f t="shared" si="532"/>
        <v>1.7610772922960455E-2</v>
      </c>
      <c r="CE165" s="22">
        <f t="shared" si="533"/>
        <v>0</v>
      </c>
      <c r="CF165" s="22">
        <f t="shared" si="534"/>
        <v>2.1670073960053937E-2</v>
      </c>
      <c r="CG165" s="22">
        <f t="shared" si="535"/>
        <v>0.33661110201131278</v>
      </c>
      <c r="CH165" s="22">
        <f t="shared" si="536"/>
        <v>0.46954055358263191</v>
      </c>
      <c r="CI165" s="22">
        <f t="shared" si="537"/>
        <v>0.19384834440605539</v>
      </c>
      <c r="CJ165" s="22"/>
      <c r="CK165" s="22">
        <f t="shared" si="538"/>
        <v>0.35610590029603884</v>
      </c>
      <c r="CL165" s="22">
        <f t="shared" si="539"/>
        <v>0.43657152919473929</v>
      </c>
      <c r="CM165" s="22">
        <f t="shared" si="540"/>
        <v>0.20732257050922187</v>
      </c>
      <c r="CN165" s="1"/>
      <c r="CO165" s="26">
        <f t="shared" si="541"/>
        <v>0.84021304926764306</v>
      </c>
      <c r="CP165" s="26">
        <f t="shared" si="542"/>
        <v>8.6629944917376057E-3</v>
      </c>
      <c r="CQ165" s="26">
        <f t="shared" si="543"/>
        <v>4.3742644174185955E-2</v>
      </c>
      <c r="CR165" s="26">
        <f t="shared" si="544"/>
        <v>0</v>
      </c>
      <c r="CS165" s="26">
        <f t="shared" si="545"/>
        <v>0.17049408489909534</v>
      </c>
      <c r="CT165" s="26">
        <f t="shared" si="546"/>
        <v>4.8491683112489425E-3</v>
      </c>
      <c r="CU165" s="26">
        <f t="shared" si="547"/>
        <v>0.36923076923076925</v>
      </c>
      <c r="CV165" s="26">
        <f t="shared" si="548"/>
        <v>0.30117689015691873</v>
      </c>
      <c r="CW165" s="26">
        <f t="shared" si="549"/>
        <v>1.0358180058083253E-2</v>
      </c>
      <c r="CX165" s="26">
        <f t="shared" si="550"/>
        <v>2.335456475583864E-4</v>
      </c>
      <c r="CY165" s="26">
        <f t="shared" si="551"/>
        <v>0</v>
      </c>
      <c r="CZ165" s="26">
        <f t="shared" si="552"/>
        <v>0</v>
      </c>
      <c r="DA165" s="26">
        <f t="shared" si="553"/>
        <v>0</v>
      </c>
      <c r="DB165" s="26">
        <f t="shared" si="554"/>
        <v>1.7489613262372405</v>
      </c>
      <c r="DC165" s="26">
        <f t="shared" si="555"/>
        <v>2.6144128292308935</v>
      </c>
      <c r="DD165" s="26">
        <f t="shared" si="556"/>
        <v>2.2870717265119298</v>
      </c>
      <c r="DE165" s="26">
        <f t="shared" si="557"/>
        <v>5.9793496631640384</v>
      </c>
      <c r="DF165" s="1"/>
      <c r="DG165" s="22"/>
      <c r="DH165" s="14"/>
      <c r="DI165" s="14"/>
      <c r="DJ165" s="14"/>
      <c r="DK165" s="14"/>
      <c r="DL165" s="14"/>
      <c r="DM165" s="96"/>
      <c r="DN165" s="14"/>
      <c r="DO165" s="96"/>
      <c r="DP165" s="22"/>
      <c r="DQ165" s="14"/>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46"/>
      <c r="FR165" s="46"/>
      <c r="FS165" s="46"/>
      <c r="FT165" s="46"/>
      <c r="FU165" s="46"/>
      <c r="FV165" s="46"/>
      <c r="FW165" s="46"/>
      <c r="FX165" s="46"/>
      <c r="FY165" s="46"/>
      <c r="FZ165" s="46"/>
      <c r="GA165" s="46"/>
      <c r="GB165" s="46"/>
      <c r="GC165" s="46"/>
      <c r="GD165" s="46"/>
      <c r="GE165" s="46"/>
      <c r="GF165" s="46"/>
      <c r="GG165" s="46"/>
      <c r="GH165" s="46"/>
    </row>
    <row r="166" spans="1:190" x14ac:dyDescent="0.25">
      <c r="A166" s="5" t="s">
        <v>91</v>
      </c>
      <c r="B166" s="1">
        <v>1427</v>
      </c>
      <c r="C166" s="98" t="s">
        <v>96</v>
      </c>
      <c r="D166" s="98" t="s">
        <v>104</v>
      </c>
      <c r="E166" s="1">
        <v>434</v>
      </c>
      <c r="F166" s="22">
        <v>50.67</v>
      </c>
      <c r="G166" s="22">
        <v>0.57999999999999996</v>
      </c>
      <c r="H166" s="22">
        <v>2.21</v>
      </c>
      <c r="I166" s="22">
        <v>0</v>
      </c>
      <c r="J166" s="22">
        <v>9.69</v>
      </c>
      <c r="K166" s="22">
        <v>0.36499999999999999</v>
      </c>
      <c r="L166" s="22">
        <v>14.95</v>
      </c>
      <c r="M166" s="22">
        <v>18.96</v>
      </c>
      <c r="N166" s="22">
        <v>0.35899999999999999</v>
      </c>
      <c r="O166" s="22">
        <v>0</v>
      </c>
      <c r="P166" s="22">
        <v>0</v>
      </c>
      <c r="Q166" s="22"/>
      <c r="R166" s="22"/>
      <c r="S166" s="22">
        <f t="shared" si="482"/>
        <v>97.784000000000006</v>
      </c>
      <c r="T166" s="3"/>
      <c r="U166" s="22">
        <f t="shared" si="483"/>
        <v>8.1381798051964847</v>
      </c>
      <c r="V166" s="22">
        <f t="shared" si="484"/>
        <v>1.7245377824851462</v>
      </c>
      <c r="W166" s="22">
        <f t="shared" si="485"/>
        <v>97.956717587681624</v>
      </c>
      <c r="X166" s="1"/>
      <c r="Y166" s="1"/>
      <c r="Z166" s="1"/>
      <c r="AA166" s="1" t="s">
        <v>185</v>
      </c>
      <c r="AC166" s="1">
        <v>6</v>
      </c>
      <c r="AD166" s="1">
        <v>4</v>
      </c>
      <c r="AE166" s="1"/>
      <c r="AF166" s="26">
        <f t="shared" si="486"/>
        <v>1.9305423637497621</v>
      </c>
      <c r="AG166" s="26">
        <f t="shared" si="487"/>
        <v>1.6620661064660369E-2</v>
      </c>
      <c r="AH166" s="26">
        <f t="shared" si="488"/>
        <v>9.9231783827248191E-2</v>
      </c>
      <c r="AI166" s="26">
        <f t="shared" si="489"/>
        <v>0</v>
      </c>
      <c r="AJ166" s="26">
        <f t="shared" si="490"/>
        <v>0.30871331443953476</v>
      </c>
      <c r="AK166" s="26">
        <f t="shared" si="491"/>
        <v>1.1777687752968769E-2</v>
      </c>
      <c r="AL166" s="26">
        <f t="shared" si="492"/>
        <v>0.84916972565174131</v>
      </c>
      <c r="AM166" s="26">
        <f t="shared" si="493"/>
        <v>0.7739068379784585</v>
      </c>
      <c r="AN166" s="26">
        <f t="shared" si="494"/>
        <v>2.6517417615158405E-2</v>
      </c>
      <c r="AO166" s="26">
        <f t="shared" si="495"/>
        <v>0</v>
      </c>
      <c r="AP166" s="26">
        <f t="shared" si="496"/>
        <v>0</v>
      </c>
      <c r="AQ166" s="26">
        <f t="shared" si="497"/>
        <v>0</v>
      </c>
      <c r="AR166" s="26">
        <f t="shared" si="498"/>
        <v>0</v>
      </c>
      <c r="AS166" s="26">
        <f t="shared" si="499"/>
        <v>4.0164797920795321</v>
      </c>
      <c r="AT166" s="26">
        <f t="shared" si="500"/>
        <v>2.0297741475770104</v>
      </c>
      <c r="AU166" s="26">
        <f t="shared" si="501"/>
        <v>0.80042425559361685</v>
      </c>
      <c r="AV166" s="47"/>
      <c r="AW166" s="26">
        <f t="shared" si="502"/>
        <v>1.9226212640798315</v>
      </c>
      <c r="AX166" s="26">
        <f t="shared" si="503"/>
        <v>1.6552465766103131E-2</v>
      </c>
      <c r="AY166" s="26">
        <f t="shared" si="504"/>
        <v>9.8824631482456377E-2</v>
      </c>
      <c r="AZ166" s="26">
        <f t="shared" si="505"/>
        <v>0</v>
      </c>
      <c r="BA166" s="26">
        <f t="shared" si="506"/>
        <v>0.25821012590400655</v>
      </c>
      <c r="BB166" s="26">
        <f t="shared" si="507"/>
        <v>4.9236524317727515E-2</v>
      </c>
      <c r="BC166" s="26">
        <f t="shared" si="508"/>
        <v>1.1729363385514132E-2</v>
      </c>
      <c r="BD166" s="26">
        <f t="shared" si="509"/>
        <v>0.84568554516449712</v>
      </c>
      <c r="BE166" s="26">
        <f t="shared" si="510"/>
        <v>0.77073146440781004</v>
      </c>
      <c r="BF166" s="26">
        <f t="shared" si="511"/>
        <v>2.6408615492054064E-2</v>
      </c>
      <c r="BG166" s="26">
        <f t="shared" si="512"/>
        <v>0</v>
      </c>
      <c r="BH166" s="26">
        <f t="shared" si="513"/>
        <v>0</v>
      </c>
      <c r="BI166" s="26">
        <f t="shared" si="514"/>
        <v>0</v>
      </c>
      <c r="BJ166" s="26">
        <f t="shared" si="515"/>
        <v>0</v>
      </c>
      <c r="BK166" s="25">
        <f t="shared" si="516"/>
        <v>4</v>
      </c>
      <c r="BL166" s="24">
        <f t="shared" si="517"/>
        <v>5.9999999999999991</v>
      </c>
      <c r="BM166" s="26">
        <f t="shared" si="518"/>
        <v>2.0214458955622878</v>
      </c>
      <c r="BN166" s="26">
        <f t="shared" si="519"/>
        <v>0.79714007989986413</v>
      </c>
      <c r="BO166" s="22"/>
      <c r="BP166" s="23">
        <f t="shared" si="520"/>
        <v>0.73338126239831714</v>
      </c>
      <c r="BQ166" s="26">
        <f t="shared" si="521"/>
        <v>7.7378735920168529E-2</v>
      </c>
      <c r="BR166" s="26">
        <f t="shared" si="522"/>
        <v>2.1445895562287848E-2</v>
      </c>
      <c r="BS166" s="26"/>
      <c r="BT166" s="26">
        <f t="shared" si="523"/>
        <v>2.1445895562287848E-2</v>
      </c>
      <c r="BU166" s="26">
        <f t="shared" si="524"/>
        <v>0</v>
      </c>
      <c r="BV166" s="26">
        <f t="shared" si="525"/>
        <v>2.1445895562287848E-2</v>
      </c>
      <c r="BW166" s="26">
        <f t="shared" si="526"/>
        <v>0</v>
      </c>
      <c r="BX166" s="26">
        <f t="shared" si="527"/>
        <v>0.75246094241617067</v>
      </c>
      <c r="BY166" s="26">
        <f t="shared" si="528"/>
        <v>0.2027110488375527</v>
      </c>
      <c r="BZ166" s="26">
        <f t="shared" si="529"/>
        <v>0.99806378237829918</v>
      </c>
      <c r="CA166" s="22"/>
      <c r="CB166" s="22">
        <f t="shared" si="530"/>
        <v>2.6408615492054064E-2</v>
      </c>
      <c r="CC166" s="22">
        <f t="shared" si="531"/>
        <v>0</v>
      </c>
      <c r="CD166" s="22">
        <f t="shared" si="532"/>
        <v>2.2827908825673451E-2</v>
      </c>
      <c r="CE166" s="22">
        <f t="shared" si="533"/>
        <v>0</v>
      </c>
      <c r="CF166" s="22">
        <f t="shared" si="534"/>
        <v>2.1445895562287848E-2</v>
      </c>
      <c r="CG166" s="22">
        <f t="shared" si="535"/>
        <v>0.37643313775595144</v>
      </c>
      <c r="CH166" s="22">
        <f t="shared" si="536"/>
        <v>0.47770952968131375</v>
      </c>
      <c r="CI166" s="22">
        <f t="shared" si="537"/>
        <v>0.14585733256273484</v>
      </c>
      <c r="CJ166" s="22"/>
      <c r="CK166" s="22">
        <f t="shared" si="538"/>
        <v>0.39818880063007595</v>
      </c>
      <c r="CL166" s="22">
        <f t="shared" si="539"/>
        <v>0.43691289183059173</v>
      </c>
      <c r="CM166" s="22">
        <f t="shared" si="540"/>
        <v>0.16489830753933224</v>
      </c>
      <c r="CN166" s="1"/>
      <c r="CO166" s="26">
        <f t="shared" si="541"/>
        <v>0.84337549933422107</v>
      </c>
      <c r="CP166" s="26">
        <f t="shared" si="542"/>
        <v>7.2608913370055079E-3</v>
      </c>
      <c r="CQ166" s="26">
        <f t="shared" si="543"/>
        <v>4.3350333464103573E-2</v>
      </c>
      <c r="CR166" s="26">
        <f t="shared" si="544"/>
        <v>0</v>
      </c>
      <c r="CS166" s="26">
        <f t="shared" si="545"/>
        <v>0.13486430062630481</v>
      </c>
      <c r="CT166" s="26">
        <f t="shared" si="546"/>
        <v>5.1451931209472793E-3</v>
      </c>
      <c r="CU166" s="26">
        <f t="shared" si="547"/>
        <v>0.37096774193548387</v>
      </c>
      <c r="CV166" s="26">
        <f t="shared" si="548"/>
        <v>0.33808844507845937</v>
      </c>
      <c r="CW166" s="26">
        <f t="shared" si="549"/>
        <v>1.1584382058728622E-2</v>
      </c>
      <c r="CX166" s="26">
        <f t="shared" si="550"/>
        <v>0</v>
      </c>
      <c r="CY166" s="26">
        <f t="shared" si="551"/>
        <v>0</v>
      </c>
      <c r="CZ166" s="26">
        <f t="shared" si="552"/>
        <v>0</v>
      </c>
      <c r="DA166" s="26">
        <f t="shared" si="553"/>
        <v>0</v>
      </c>
      <c r="DB166" s="26">
        <f t="shared" si="554"/>
        <v>1.7546367869552539</v>
      </c>
      <c r="DC166" s="26">
        <f t="shared" si="555"/>
        <v>2.6211561533291681</v>
      </c>
      <c r="DD166" s="26">
        <f t="shared" si="556"/>
        <v>2.279674078269514</v>
      </c>
      <c r="DE166" s="26">
        <f t="shared" si="557"/>
        <v>5.9753817378411362</v>
      </c>
      <c r="DF166" s="1"/>
      <c r="DG166" s="22"/>
      <c r="DH166" s="14"/>
      <c r="DI166" s="14"/>
      <c r="DJ166" s="14"/>
      <c r="DK166" s="14"/>
      <c r="DL166" s="14"/>
      <c r="DM166" s="96"/>
      <c r="DN166" s="14"/>
      <c r="DO166" s="96"/>
      <c r="DP166" s="22"/>
      <c r="DQ166" s="14"/>
      <c r="DR166" s="22"/>
      <c r="DS166" s="22"/>
      <c r="DT166" s="22"/>
      <c r="DU166" s="22"/>
      <c r="DV166" s="22"/>
      <c r="DW166" s="22"/>
      <c r="DX166" s="22"/>
      <c r="DY166" s="22"/>
      <c r="DZ166" s="22"/>
      <c r="EA166" s="22"/>
      <c r="EB166" s="22"/>
      <c r="EC166" s="22"/>
      <c r="ED166" s="22"/>
      <c r="EE166" s="22"/>
      <c r="EF166" s="22"/>
      <c r="EG166" s="22"/>
      <c r="EH166" s="22"/>
      <c r="EI166" s="22"/>
      <c r="EJ166" s="22"/>
      <c r="EK166" s="22"/>
      <c r="EL166" s="22"/>
      <c r="EM166" s="22"/>
      <c r="EN166" s="22"/>
      <c r="EO166" s="22"/>
      <c r="EP166" s="22"/>
      <c r="EQ166" s="22"/>
      <c r="ER166" s="22"/>
      <c r="ES166" s="22"/>
      <c r="ET166" s="22"/>
      <c r="EU166" s="22"/>
      <c r="EV166" s="22"/>
      <c r="EW166" s="22"/>
      <c r="EX166" s="22"/>
      <c r="EY166" s="22"/>
      <c r="EZ166" s="22"/>
      <c r="FA166" s="22"/>
      <c r="FB166" s="22"/>
      <c r="FC166" s="22"/>
      <c r="FD166" s="22"/>
      <c r="FE166" s="22"/>
      <c r="FF166" s="22"/>
      <c r="FG166" s="22"/>
      <c r="FH166" s="22"/>
      <c r="FI166" s="22"/>
      <c r="FJ166" s="22"/>
      <c r="FK166" s="22"/>
      <c r="FL166" s="22"/>
      <c r="FM166" s="22"/>
      <c r="FN166" s="22"/>
      <c r="FO166" s="22"/>
      <c r="FP166" s="22"/>
      <c r="FQ166" s="46"/>
      <c r="FR166" s="46"/>
      <c r="FS166" s="46"/>
      <c r="FT166" s="46"/>
      <c r="FU166" s="46"/>
      <c r="FV166" s="46"/>
      <c r="FW166" s="46"/>
      <c r="FX166" s="46"/>
      <c r="FY166" s="46"/>
      <c r="FZ166" s="46"/>
      <c r="GA166" s="46"/>
      <c r="GB166" s="46"/>
      <c r="GC166" s="46"/>
      <c r="GD166" s="46"/>
      <c r="GE166" s="46"/>
      <c r="GF166" s="46"/>
      <c r="GG166" s="46"/>
      <c r="GH166" s="46"/>
    </row>
    <row r="167" spans="1:190" x14ac:dyDescent="0.25">
      <c r="A167" s="5" t="s">
        <v>91</v>
      </c>
      <c r="B167" s="1">
        <v>1428</v>
      </c>
      <c r="C167" s="98" t="s">
        <v>96</v>
      </c>
      <c r="D167" s="98" t="s">
        <v>104</v>
      </c>
      <c r="E167" s="1">
        <v>435</v>
      </c>
      <c r="F167" s="22">
        <v>50.01</v>
      </c>
      <c r="G167" s="22">
        <v>0.70599999999999996</v>
      </c>
      <c r="H167" s="22">
        <v>1.96</v>
      </c>
      <c r="I167" s="22">
        <v>1.2999999999999999E-2</v>
      </c>
      <c r="J167" s="22">
        <v>11.49</v>
      </c>
      <c r="K167" s="22">
        <v>0.372</v>
      </c>
      <c r="L167" s="22">
        <v>14.58</v>
      </c>
      <c r="M167" s="22">
        <v>17.87</v>
      </c>
      <c r="N167" s="22">
        <v>0.38100000000000001</v>
      </c>
      <c r="O167" s="22">
        <v>0</v>
      </c>
      <c r="P167" s="22">
        <v>0</v>
      </c>
      <c r="Q167" s="22"/>
      <c r="R167" s="22"/>
      <c r="S167" s="22">
        <f t="shared" si="482"/>
        <v>97.382000000000005</v>
      </c>
      <c r="T167" s="3"/>
      <c r="U167" s="22">
        <f t="shared" si="483"/>
        <v>9.4092915267842621</v>
      </c>
      <c r="V167" s="22">
        <f t="shared" si="484"/>
        <v>2.3122913262846501</v>
      </c>
      <c r="W167" s="22">
        <f t="shared" si="485"/>
        <v>97.613582853068905</v>
      </c>
      <c r="X167" s="1"/>
      <c r="Y167" s="1"/>
      <c r="Z167" s="1"/>
      <c r="AA167" s="1" t="s">
        <v>185</v>
      </c>
      <c r="AC167" s="1">
        <v>6</v>
      </c>
      <c r="AD167" s="1">
        <v>4</v>
      </c>
      <c r="AE167" s="1"/>
      <c r="AF167" s="26">
        <f t="shared" si="486"/>
        <v>1.9267330709102624</v>
      </c>
      <c r="AG167" s="26">
        <f t="shared" si="487"/>
        <v>2.0457910112420111E-2</v>
      </c>
      <c r="AH167" s="26">
        <f t="shared" si="488"/>
        <v>8.8991978334252944E-2</v>
      </c>
      <c r="AI167" s="26">
        <f t="shared" si="489"/>
        <v>3.9596149398418256E-4</v>
      </c>
      <c r="AJ167" s="26">
        <f t="shared" si="490"/>
        <v>0.37015862857332937</v>
      </c>
      <c r="AK167" s="26">
        <f t="shared" si="491"/>
        <v>1.2137978865717509E-2</v>
      </c>
      <c r="AL167" s="26">
        <f t="shared" si="492"/>
        <v>0.83742726982454974</v>
      </c>
      <c r="AM167" s="26">
        <f t="shared" si="493"/>
        <v>0.73758345913847068</v>
      </c>
      <c r="AN167" s="26">
        <f t="shared" si="494"/>
        <v>2.8457583620423346E-2</v>
      </c>
      <c r="AO167" s="26">
        <f t="shared" si="495"/>
        <v>0</v>
      </c>
      <c r="AP167" s="26">
        <f t="shared" si="496"/>
        <v>0</v>
      </c>
      <c r="AQ167" s="26">
        <f t="shared" si="497"/>
        <v>0</v>
      </c>
      <c r="AR167" s="26">
        <f t="shared" si="498"/>
        <v>0</v>
      </c>
      <c r="AS167" s="26">
        <f t="shared" si="499"/>
        <v>4.0223438408734102</v>
      </c>
      <c r="AT167" s="26">
        <f t="shared" si="500"/>
        <v>2.0157250492445153</v>
      </c>
      <c r="AU167" s="26">
        <f t="shared" si="501"/>
        <v>0.76604104275889406</v>
      </c>
      <c r="AV167" s="47"/>
      <c r="AW167" s="26">
        <f t="shared" si="502"/>
        <v>1.9160302024223688</v>
      </c>
      <c r="AX167" s="26">
        <f t="shared" si="503"/>
        <v>2.0344267841585502E-2</v>
      </c>
      <c r="AY167" s="26">
        <f t="shared" si="504"/>
        <v>8.8497634070914502E-2</v>
      </c>
      <c r="AZ167" s="26">
        <f t="shared" si="505"/>
        <v>3.9376195536600729E-4</v>
      </c>
      <c r="BA167" s="26">
        <f t="shared" si="506"/>
        <v>0.30144325591745369</v>
      </c>
      <c r="BB167" s="26">
        <f t="shared" si="507"/>
        <v>6.6659167164262012E-2</v>
      </c>
      <c r="BC167" s="26">
        <f t="shared" si="508"/>
        <v>1.2070553235530329E-2</v>
      </c>
      <c r="BD167" s="26">
        <f t="shared" si="509"/>
        <v>0.83277541946062084</v>
      </c>
      <c r="BE167" s="26">
        <f t="shared" si="510"/>
        <v>0.73348623421344517</v>
      </c>
      <c r="BF167" s="26">
        <f t="shared" si="511"/>
        <v>2.8299503718452947E-2</v>
      </c>
      <c r="BG167" s="26">
        <f t="shared" si="512"/>
        <v>0</v>
      </c>
      <c r="BH167" s="26">
        <f t="shared" si="513"/>
        <v>0</v>
      </c>
      <c r="BI167" s="26">
        <f t="shared" si="514"/>
        <v>0</v>
      </c>
      <c r="BJ167" s="26">
        <f t="shared" si="515"/>
        <v>0</v>
      </c>
      <c r="BK167" s="25">
        <f t="shared" si="516"/>
        <v>4</v>
      </c>
      <c r="BL167" s="24">
        <f t="shared" si="517"/>
        <v>5.9999999999999982</v>
      </c>
      <c r="BM167" s="26">
        <f t="shared" si="518"/>
        <v>2.0045278364932835</v>
      </c>
      <c r="BN167" s="26">
        <f t="shared" si="519"/>
        <v>0.76178573793189808</v>
      </c>
      <c r="BO167" s="22"/>
      <c r="BP167" s="23">
        <f t="shared" si="520"/>
        <v>0.69347221670572345</v>
      </c>
      <c r="BQ167" s="26">
        <f t="shared" si="521"/>
        <v>8.3969797577631233E-2</v>
      </c>
      <c r="BR167" s="26">
        <f t="shared" si="522"/>
        <v>4.5278364932832688E-3</v>
      </c>
      <c r="BS167" s="26"/>
      <c r="BT167" s="26">
        <f t="shared" si="523"/>
        <v>4.5278364932832688E-3</v>
      </c>
      <c r="BU167" s="26">
        <f t="shared" si="524"/>
        <v>0</v>
      </c>
      <c r="BV167" s="26">
        <f t="shared" si="525"/>
        <v>4.5278364932832688E-3</v>
      </c>
      <c r="BW167" s="26">
        <f t="shared" si="526"/>
        <v>1.9798074699209128E-4</v>
      </c>
      <c r="BX167" s="26">
        <f t="shared" si="527"/>
        <v>0.73285764189819536</v>
      </c>
      <c r="BY167" s="26">
        <f t="shared" si="528"/>
        <v>0.23736412824984188</v>
      </c>
      <c r="BZ167" s="26">
        <f t="shared" si="529"/>
        <v>0.97947542388159581</v>
      </c>
      <c r="CA167" s="22"/>
      <c r="CB167" s="22">
        <f t="shared" si="530"/>
        <v>2.8299503718452947E-2</v>
      </c>
      <c r="CC167" s="22">
        <f t="shared" si="531"/>
        <v>0</v>
      </c>
      <c r="CD167" s="22">
        <f t="shared" si="532"/>
        <v>3.8359663445809065E-2</v>
      </c>
      <c r="CE167" s="22">
        <f t="shared" si="533"/>
        <v>3.9376195536600729E-4</v>
      </c>
      <c r="CF167" s="22">
        <f t="shared" si="534"/>
        <v>4.5278364932832688E-3</v>
      </c>
      <c r="CG167" s="22">
        <f t="shared" si="535"/>
        <v>0.35925223801871986</v>
      </c>
      <c r="CH167" s="22">
        <f t="shared" si="536"/>
        <v>0.47045512284000046</v>
      </c>
      <c r="CI167" s="22">
        <f t="shared" si="537"/>
        <v>0.17029263914127973</v>
      </c>
      <c r="CJ167" s="22"/>
      <c r="CK167" s="22">
        <f t="shared" si="538"/>
        <v>0.37683579140632073</v>
      </c>
      <c r="CL167" s="22">
        <f t="shared" si="539"/>
        <v>0.42784659018542942</v>
      </c>
      <c r="CM167" s="22">
        <f t="shared" si="540"/>
        <v>0.19531761840824982</v>
      </c>
      <c r="CN167" s="1"/>
      <c r="CO167" s="26">
        <f t="shared" si="541"/>
        <v>0.83239014647137155</v>
      </c>
      <c r="CP167" s="26">
        <f t="shared" si="542"/>
        <v>8.8382573860791187E-3</v>
      </c>
      <c r="CQ167" s="26">
        <f t="shared" si="543"/>
        <v>3.8446449588073757E-2</v>
      </c>
      <c r="CR167" s="26">
        <f t="shared" si="544"/>
        <v>1.7106388578195931E-4</v>
      </c>
      <c r="CS167" s="26">
        <f t="shared" si="545"/>
        <v>0.15991649269311067</v>
      </c>
      <c r="CT167" s="26">
        <f t="shared" si="546"/>
        <v>5.2438680575133921E-3</v>
      </c>
      <c r="CU167" s="26">
        <f t="shared" si="547"/>
        <v>0.36178660049627792</v>
      </c>
      <c r="CV167" s="26">
        <f t="shared" si="548"/>
        <v>0.31865192582025681</v>
      </c>
      <c r="CW167" s="26">
        <f t="shared" si="549"/>
        <v>1.229428848015489E-2</v>
      </c>
      <c r="CX167" s="26">
        <f t="shared" si="550"/>
        <v>0</v>
      </c>
      <c r="CY167" s="26">
        <f t="shared" si="551"/>
        <v>0</v>
      </c>
      <c r="CZ167" s="26">
        <f t="shared" si="552"/>
        <v>0</v>
      </c>
      <c r="DA167" s="26">
        <f t="shared" si="553"/>
        <v>0</v>
      </c>
      <c r="DB167" s="26">
        <f t="shared" si="554"/>
        <v>1.7377390928786201</v>
      </c>
      <c r="DC167" s="26">
        <f t="shared" si="555"/>
        <v>2.5921291092329213</v>
      </c>
      <c r="DD167" s="26">
        <f t="shared" si="556"/>
        <v>2.3018415229261331</v>
      </c>
      <c r="DE167" s="26">
        <f t="shared" si="557"/>
        <v>5.9666704164178679</v>
      </c>
      <c r="DF167" s="1"/>
      <c r="DG167" s="22"/>
      <c r="DH167" s="14"/>
      <c r="DI167" s="14"/>
      <c r="DJ167" s="14"/>
      <c r="DK167" s="14"/>
      <c r="DL167" s="14"/>
      <c r="DM167" s="96"/>
      <c r="DN167" s="14"/>
      <c r="DO167" s="96"/>
      <c r="DP167" s="22"/>
      <c r="DQ167" s="14"/>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2"/>
      <c r="FP167" s="22"/>
      <c r="FQ167" s="46"/>
      <c r="FR167" s="46"/>
      <c r="FS167" s="46"/>
      <c r="FT167" s="46"/>
      <c r="FU167" s="46"/>
      <c r="FV167" s="46"/>
      <c r="FW167" s="46"/>
      <c r="FX167" s="46"/>
      <c r="FY167" s="46"/>
      <c r="FZ167" s="46"/>
      <c r="GA167" s="46"/>
      <c r="GB167" s="46"/>
      <c r="GC167" s="46"/>
      <c r="GD167" s="46"/>
      <c r="GE167" s="46"/>
      <c r="GF167" s="46"/>
      <c r="GG167" s="46"/>
      <c r="GH167" s="46"/>
    </row>
    <row r="168" spans="1:190" x14ac:dyDescent="0.25">
      <c r="A168" s="5" t="s">
        <v>91</v>
      </c>
      <c r="B168" s="1">
        <v>1429</v>
      </c>
      <c r="C168" s="98" t="s">
        <v>96</v>
      </c>
      <c r="D168" s="98" t="s">
        <v>104</v>
      </c>
      <c r="E168" s="1">
        <v>436</v>
      </c>
      <c r="F168" s="22">
        <v>50.83</v>
      </c>
      <c r="G168" s="22">
        <v>0.48399999999999999</v>
      </c>
      <c r="H168" s="22">
        <v>1.8759999999999999</v>
      </c>
      <c r="I168" s="22">
        <v>3.6999999999999998E-2</v>
      </c>
      <c r="J168" s="22">
        <v>10.33</v>
      </c>
      <c r="K168" s="22">
        <v>0.39</v>
      </c>
      <c r="L168" s="22">
        <v>15.72</v>
      </c>
      <c r="M168" s="22">
        <v>18.329999999999998</v>
      </c>
      <c r="N168" s="22">
        <v>0.26500000000000001</v>
      </c>
      <c r="O168" s="22">
        <v>0</v>
      </c>
      <c r="P168" s="22">
        <v>0</v>
      </c>
      <c r="Q168" s="22"/>
      <c r="R168" s="22"/>
      <c r="S168" s="22">
        <f t="shared" si="482"/>
        <v>98.262</v>
      </c>
      <c r="T168" s="3"/>
      <c r="U168" s="22">
        <f t="shared" si="483"/>
        <v>8.0880735878792596</v>
      </c>
      <c r="V168" s="22">
        <f t="shared" si="484"/>
        <v>2.4914528217897787</v>
      </c>
      <c r="W168" s="22">
        <f t="shared" si="485"/>
        <v>98.511526409669031</v>
      </c>
      <c r="X168" s="1"/>
      <c r="Y168" s="1"/>
      <c r="Z168" s="1"/>
      <c r="AA168" s="1" t="s">
        <v>185</v>
      </c>
      <c r="AC168" s="1">
        <v>6</v>
      </c>
      <c r="AD168" s="1">
        <v>4</v>
      </c>
      <c r="AE168" s="1"/>
      <c r="AF168" s="26">
        <f t="shared" si="486"/>
        <v>1.9296875772800643</v>
      </c>
      <c r="AG168" s="26">
        <f t="shared" si="487"/>
        <v>1.3819875186379154E-2</v>
      </c>
      <c r="AH168" s="26">
        <f t="shared" si="488"/>
        <v>8.39324341124629E-2</v>
      </c>
      <c r="AI168" s="26">
        <f t="shared" si="489"/>
        <v>1.1104871053895663E-3</v>
      </c>
      <c r="AJ168" s="26">
        <f t="shared" si="490"/>
        <v>0.32792185673616114</v>
      </c>
      <c r="AK168" s="26">
        <f t="shared" si="491"/>
        <v>1.2539211802090553E-2</v>
      </c>
      <c r="AL168" s="26">
        <f t="shared" si="492"/>
        <v>0.88970147559824253</v>
      </c>
      <c r="AM168" s="26">
        <f t="shared" si="493"/>
        <v>0.74550622693106772</v>
      </c>
      <c r="AN168" s="26">
        <f t="shared" si="494"/>
        <v>1.9503884345544099E-2</v>
      </c>
      <c r="AO168" s="26">
        <f t="shared" si="495"/>
        <v>0</v>
      </c>
      <c r="AP168" s="26">
        <f t="shared" si="496"/>
        <v>0</v>
      </c>
      <c r="AQ168" s="26">
        <f t="shared" si="497"/>
        <v>0</v>
      </c>
      <c r="AR168" s="26">
        <f t="shared" si="498"/>
        <v>0</v>
      </c>
      <c r="AS168" s="26">
        <f t="shared" si="499"/>
        <v>4.0237230290974013</v>
      </c>
      <c r="AT168" s="26">
        <f t="shared" si="500"/>
        <v>2.0136200113925273</v>
      </c>
      <c r="AU168" s="26">
        <f t="shared" si="501"/>
        <v>0.76501011127661178</v>
      </c>
      <c r="AV168" s="47"/>
      <c r="AW168" s="26">
        <f t="shared" si="502"/>
        <v>1.9183105430722751</v>
      </c>
      <c r="AX168" s="26">
        <f t="shared" si="503"/>
        <v>1.3738396093807895E-2</v>
      </c>
      <c r="AY168" s="26">
        <f t="shared" si="504"/>
        <v>8.3437586042089534E-2</v>
      </c>
      <c r="AZ168" s="26">
        <f t="shared" si="505"/>
        <v>1.1039399057630166E-3</v>
      </c>
      <c r="BA168" s="26">
        <f t="shared" si="506"/>
        <v>0.2552390088356068</v>
      </c>
      <c r="BB168" s="26">
        <f t="shared" si="507"/>
        <v>7.0749489244212871E-2</v>
      </c>
      <c r="BC168" s="26">
        <f t="shared" si="508"/>
        <v>1.2465283232880309E-2</v>
      </c>
      <c r="BD168" s="26">
        <f t="shared" si="509"/>
        <v>0.88445598185004259</v>
      </c>
      <c r="BE168" s="26">
        <f t="shared" si="510"/>
        <v>0.74111087819908827</v>
      </c>
      <c r="BF168" s="26">
        <f t="shared" si="511"/>
        <v>1.9388893524233647E-2</v>
      </c>
      <c r="BG168" s="26">
        <f t="shared" si="512"/>
        <v>0</v>
      </c>
      <c r="BH168" s="26">
        <f t="shared" si="513"/>
        <v>0</v>
      </c>
      <c r="BI168" s="26">
        <f t="shared" si="514"/>
        <v>0</v>
      </c>
      <c r="BJ168" s="26">
        <f t="shared" si="515"/>
        <v>0</v>
      </c>
      <c r="BK168" s="25">
        <f t="shared" si="516"/>
        <v>4</v>
      </c>
      <c r="BL168" s="24">
        <f t="shared" si="517"/>
        <v>5.9999999999999991</v>
      </c>
      <c r="BM168" s="26">
        <f t="shared" si="518"/>
        <v>2.0017481291143646</v>
      </c>
      <c r="BN168" s="26">
        <f t="shared" si="519"/>
        <v>0.76049977172332195</v>
      </c>
      <c r="BO168" s="22"/>
      <c r="BP168" s="23">
        <f t="shared" si="520"/>
        <v>0.7306869472454377</v>
      </c>
      <c r="BQ168" s="26">
        <f t="shared" si="521"/>
        <v>8.1689456927724891E-2</v>
      </c>
      <c r="BR168" s="26">
        <f t="shared" si="522"/>
        <v>1.7481291143646438E-3</v>
      </c>
      <c r="BS168" s="26"/>
      <c r="BT168" s="26">
        <f t="shared" si="523"/>
        <v>1.7481291143646438E-3</v>
      </c>
      <c r="BU168" s="26">
        <f t="shared" si="524"/>
        <v>0</v>
      </c>
      <c r="BV168" s="26">
        <f t="shared" si="525"/>
        <v>1.7481291143646438E-3</v>
      </c>
      <c r="BW168" s="26">
        <f t="shared" si="526"/>
        <v>5.5524355269478314E-4</v>
      </c>
      <c r="BX168" s="26">
        <f t="shared" si="527"/>
        <v>0.74320285426400834</v>
      </c>
      <c r="BY168" s="26">
        <f t="shared" si="528"/>
        <v>0.23721023903519767</v>
      </c>
      <c r="BZ168" s="26">
        <f t="shared" si="529"/>
        <v>0.98446459508063011</v>
      </c>
      <c r="CA168" s="22"/>
      <c r="CB168" s="22">
        <f t="shared" si="530"/>
        <v>1.9388893524233647E-2</v>
      </c>
      <c r="CC168" s="22">
        <f t="shared" si="531"/>
        <v>0</v>
      </c>
      <c r="CD168" s="22">
        <f t="shared" si="532"/>
        <v>5.1360595719979224E-2</v>
      </c>
      <c r="CE168" s="22">
        <f t="shared" si="533"/>
        <v>1.1039399057630166E-3</v>
      </c>
      <c r="CF168" s="22">
        <f t="shared" si="534"/>
        <v>1.7481291143646438E-3</v>
      </c>
      <c r="CG168" s="22">
        <f t="shared" si="535"/>
        <v>0.35314355349160753</v>
      </c>
      <c r="CH168" s="22">
        <f t="shared" si="536"/>
        <v>0.50199049586803957</v>
      </c>
      <c r="CI168" s="22">
        <f t="shared" si="537"/>
        <v>0.14486595064035293</v>
      </c>
      <c r="CJ168" s="22"/>
      <c r="CK168" s="22">
        <f t="shared" si="538"/>
        <v>0.37734373182820014</v>
      </c>
      <c r="CL168" s="22">
        <f t="shared" si="539"/>
        <v>0.45032927008179019</v>
      </c>
      <c r="CM168" s="22">
        <f t="shared" si="540"/>
        <v>0.17232699809000979</v>
      </c>
      <c r="CN168" s="1"/>
      <c r="CO168" s="26">
        <f t="shared" si="541"/>
        <v>0.84603861517976031</v>
      </c>
      <c r="CP168" s="26">
        <f t="shared" si="542"/>
        <v>6.0590886329494244E-3</v>
      </c>
      <c r="CQ168" s="26">
        <f t="shared" si="543"/>
        <v>3.6798744605727733E-2</v>
      </c>
      <c r="CR168" s="26">
        <f t="shared" si="544"/>
        <v>4.8687413645634578E-4</v>
      </c>
      <c r="CS168" s="26">
        <f t="shared" si="545"/>
        <v>0.14377174669450246</v>
      </c>
      <c r="CT168" s="26">
        <f t="shared" si="546"/>
        <v>5.4976036086833947E-3</v>
      </c>
      <c r="CU168" s="26">
        <f t="shared" si="547"/>
        <v>0.39007444168734495</v>
      </c>
      <c r="CV168" s="26">
        <f t="shared" si="548"/>
        <v>0.32685449358059915</v>
      </c>
      <c r="CW168" s="26">
        <f t="shared" si="549"/>
        <v>8.5511455308163939E-3</v>
      </c>
      <c r="CX168" s="26">
        <f t="shared" si="550"/>
        <v>0</v>
      </c>
      <c r="CY168" s="26">
        <f t="shared" si="551"/>
        <v>0</v>
      </c>
      <c r="CZ168" s="26">
        <f t="shared" si="552"/>
        <v>0</v>
      </c>
      <c r="DA168" s="26">
        <f t="shared" si="553"/>
        <v>0</v>
      </c>
      <c r="DB168" s="26">
        <f t="shared" si="554"/>
        <v>1.7641327536568401</v>
      </c>
      <c r="DC168" s="26">
        <f t="shared" si="555"/>
        <v>2.630597694075234</v>
      </c>
      <c r="DD168" s="26">
        <f t="shared" si="556"/>
        <v>2.2674030577962285</v>
      </c>
      <c r="DE168" s="26">
        <f t="shared" si="557"/>
        <v>5.9646252553778938</v>
      </c>
      <c r="DF168" s="1"/>
      <c r="DG168" s="22"/>
      <c r="DH168" s="14"/>
      <c r="DI168" s="14"/>
      <c r="DJ168" s="14"/>
      <c r="DK168" s="14"/>
      <c r="DL168" s="14"/>
      <c r="DM168" s="96"/>
      <c r="DN168" s="14"/>
      <c r="DO168" s="96"/>
      <c r="DP168" s="22"/>
      <c r="DQ168" s="14"/>
      <c r="DR168" s="22"/>
      <c r="DS168" s="22"/>
      <c r="DT168" s="22"/>
      <c r="DU168" s="22"/>
      <c r="DV168" s="22"/>
      <c r="DW168" s="22"/>
      <c r="DX168" s="22"/>
      <c r="DY168" s="22"/>
      <c r="DZ168" s="22"/>
      <c r="EA168" s="22"/>
      <c r="EB168" s="22"/>
      <c r="EC168" s="22"/>
      <c r="ED168" s="22"/>
      <c r="EE168" s="22"/>
      <c r="EF168" s="22"/>
      <c r="EG168" s="22"/>
      <c r="EH168" s="22"/>
      <c r="EI168" s="22"/>
      <c r="EJ168" s="22"/>
      <c r="EK168" s="22"/>
      <c r="EL168" s="22"/>
      <c r="EM168" s="22"/>
      <c r="EN168" s="22"/>
      <c r="EO168" s="22"/>
      <c r="EP168" s="22"/>
      <c r="EQ168" s="22"/>
      <c r="ER168" s="22"/>
      <c r="ES168" s="22"/>
      <c r="ET168" s="22"/>
      <c r="EU168" s="22"/>
      <c r="EV168" s="22"/>
      <c r="EW168" s="22"/>
      <c r="EX168" s="22"/>
      <c r="EY168" s="22"/>
      <c r="EZ168" s="22"/>
      <c r="FA168" s="22"/>
      <c r="FB168" s="22"/>
      <c r="FC168" s="22"/>
      <c r="FD168" s="22"/>
      <c r="FE168" s="22"/>
      <c r="FF168" s="22"/>
      <c r="FG168" s="22"/>
      <c r="FH168" s="22"/>
      <c r="FI168" s="22"/>
      <c r="FJ168" s="22"/>
      <c r="FK168" s="22"/>
      <c r="FL168" s="22"/>
      <c r="FM168" s="22"/>
      <c r="FN168" s="22"/>
      <c r="FO168" s="22"/>
      <c r="FP168" s="22"/>
      <c r="FQ168" s="46">
        <f t="shared" ref="FQ168" si="598" xml:space="preserve">  -0.73306   +   1.025016   *  FS168     +N("316 NN Nd")</f>
        <v>-1.782899585157451</v>
      </c>
      <c r="FR168" s="46">
        <f t="shared" ref="FR168" si="599" xml:space="preserve">  -0.33671   +   1.013871 *  FS168    +N("340 NN")</f>
        <v>-1.3751346782910414</v>
      </c>
      <c r="FS168" s="46">
        <f t="shared" ref="FS168" si="600">-0.42496     +   1.017678*FT168                 + N("361 NN")</f>
        <v>-1.0242177538276973</v>
      </c>
      <c r="FT168" s="46">
        <f xml:space="preserve"> 0.68509  -3.34181 * BP168 + 0.03095*(100*CK168) +N("642 cpx Mg# Wo R2 0.59")</f>
        <v>-0.58884809716599684</v>
      </c>
      <c r="FU168" s="46">
        <f t="shared" ref="FU168" si="601" xml:space="preserve"> -0.06599 + 0.926002 * FT168  + N("409 NN")</f>
        <v>-0.61126451567190743</v>
      </c>
      <c r="FV168" s="46">
        <f t="shared" ref="FV168" si="602">0.1453     +   0.925549*FT168     +N("424 LnD Sm")</f>
        <v>-0.39970776748389125</v>
      </c>
      <c r="FW168" s="46">
        <f t="shared" ref="FW168" si="603" xml:space="preserve">  0.053547 + 0.932974 * FV168  +  N("445 NN")</f>
        <v>-0.31936995466051593</v>
      </c>
      <c r="FX168" s="46">
        <f t="shared" ref="FX168" si="604" xml:space="preserve">  0.027177  +  0.867603 * FV168 + N("464 NN Gd")</f>
        <v>-0.31961065819232648</v>
      </c>
      <c r="FY168" s="46">
        <f t="shared" ref="FY168" si="605" xml:space="preserve">  -0.06187  +  0.953618 * FX168   + N("505 NN Dy")</f>
        <v>-0.36665647664404999</v>
      </c>
      <c r="FZ168" s="46">
        <f t="shared" ref="FZ168" si="606" xml:space="preserve"> -0.05652 + 0.972005*FY168   +N("533 NN")</f>
        <v>-0.41291192858039982</v>
      </c>
      <c r="GA168" s="46">
        <f t="shared" ref="GA168" si="607" xml:space="preserve">     0.018586 + 0.960264 * FZ168    +N("549 LnD Er")</f>
        <v>-0.37791846018632907</v>
      </c>
      <c r="GB168" s="46">
        <f t="shared" ref="GB168" si="608" xml:space="preserve"> -0.02011 + 0.936315 * FZ168    +N("574 NN Er")</f>
        <v>-0.40672563240875709</v>
      </c>
      <c r="GC168" s="46">
        <f t="shared" ref="GC168" si="609" xml:space="preserve">   0.01732 + 1.006083 * GB168  +N("597 NN Yb")</f>
        <v>-0.39187974443069956</v>
      </c>
      <c r="GD168" s="46">
        <f>(-1.72947 +0 ) * (3.46258+0) * BQ168   - (1.87473 + 0) *BP168   + (0.03253+0) * (CK168*100)    +N("eqn625 aliv mg# wo")</f>
        <v>-0.63153303114405368</v>
      </c>
      <c r="GE168" s="46"/>
      <c r="GF168" s="46"/>
      <c r="GG168" s="46"/>
      <c r="GH168" s="46"/>
    </row>
    <row r="169" spans="1:190" x14ac:dyDescent="0.25">
      <c r="A169" s="5" t="s">
        <v>91</v>
      </c>
      <c r="B169" s="1">
        <v>1430</v>
      </c>
      <c r="C169" s="98" t="s">
        <v>96</v>
      </c>
      <c r="D169" s="98" t="s">
        <v>104</v>
      </c>
      <c r="E169" s="1">
        <v>437</v>
      </c>
      <c r="F169" s="22">
        <v>51.7</v>
      </c>
      <c r="G169" s="22">
        <v>0.30599999999999999</v>
      </c>
      <c r="H169" s="22">
        <v>2</v>
      </c>
      <c r="I169" s="22">
        <v>9.1999999999999998E-2</v>
      </c>
      <c r="J169" s="22">
        <v>7.42</v>
      </c>
      <c r="K169" s="22">
        <v>0.20499999999999999</v>
      </c>
      <c r="L169" s="22">
        <v>15.53</v>
      </c>
      <c r="M169" s="22">
        <v>21</v>
      </c>
      <c r="N169" s="22">
        <v>0.23400000000000001</v>
      </c>
      <c r="O169" s="22">
        <v>0</v>
      </c>
      <c r="P169" s="22">
        <v>0</v>
      </c>
      <c r="Q169" s="22"/>
      <c r="R169" s="22"/>
      <c r="S169" s="22">
        <f t="shared" si="482"/>
        <v>98.486999999999995</v>
      </c>
      <c r="T169" s="3"/>
      <c r="U169" s="22">
        <f t="shared" si="483"/>
        <v>6.2174528546069849</v>
      </c>
      <c r="V169" s="22">
        <f t="shared" si="484"/>
        <v>1.3363906426752576</v>
      </c>
      <c r="W169" s="22">
        <f t="shared" si="485"/>
        <v>98.620843497282252</v>
      </c>
      <c r="X169" s="1"/>
      <c r="Y169" s="1"/>
      <c r="Z169" s="1"/>
      <c r="AA169" s="1" t="s">
        <v>185</v>
      </c>
      <c r="AC169" s="1">
        <v>6</v>
      </c>
      <c r="AD169" s="1">
        <v>4</v>
      </c>
      <c r="AE169" s="1"/>
      <c r="AF169" s="26">
        <f t="shared" si="486"/>
        <v>1.9416608998885265</v>
      </c>
      <c r="AG169" s="26">
        <f t="shared" si="487"/>
        <v>8.6436293659015156E-3</v>
      </c>
      <c r="AH169" s="26">
        <f t="shared" si="488"/>
        <v>8.8520310893188042E-2</v>
      </c>
      <c r="AI169" s="26">
        <f t="shared" si="489"/>
        <v>2.7315903765957939E-3</v>
      </c>
      <c r="AJ169" s="26">
        <f t="shared" si="490"/>
        <v>0.23301822988214102</v>
      </c>
      <c r="AK169" s="26">
        <f t="shared" si="491"/>
        <v>6.5204180794588293E-3</v>
      </c>
      <c r="AL169" s="26">
        <f t="shared" si="492"/>
        <v>0.86951919886064877</v>
      </c>
      <c r="AM169" s="26">
        <f t="shared" si="493"/>
        <v>0.84493646965076008</v>
      </c>
      <c r="AN169" s="26">
        <f t="shared" si="494"/>
        <v>1.7037546226917166E-2</v>
      </c>
      <c r="AO169" s="26">
        <f t="shared" si="495"/>
        <v>0</v>
      </c>
      <c r="AP169" s="26">
        <f t="shared" si="496"/>
        <v>0</v>
      </c>
      <c r="AQ169" s="26">
        <f t="shared" si="497"/>
        <v>0</v>
      </c>
      <c r="AR169" s="26">
        <f t="shared" si="498"/>
        <v>0</v>
      </c>
      <c r="AS169" s="26">
        <f t="shared" si="499"/>
        <v>4.0125882932241375</v>
      </c>
      <c r="AT169" s="26">
        <f t="shared" si="500"/>
        <v>2.0301812107817145</v>
      </c>
      <c r="AU169" s="26">
        <f t="shared" si="501"/>
        <v>0.86197401587767719</v>
      </c>
      <c r="AV169" s="47"/>
      <c r="AW169" s="26">
        <f t="shared" si="502"/>
        <v>1.9355695207179009</v>
      </c>
      <c r="AX169" s="26">
        <f t="shared" si="503"/>
        <v>8.6165125692038626E-3</v>
      </c>
      <c r="AY169" s="26">
        <f t="shared" si="504"/>
        <v>8.82426049467053E-2</v>
      </c>
      <c r="AZ169" s="26">
        <f t="shared" si="505"/>
        <v>2.7230208304285758E-3</v>
      </c>
      <c r="BA169" s="26">
        <f t="shared" si="506"/>
        <v>0.1946408013395674</v>
      </c>
      <c r="BB169" s="26">
        <f t="shared" si="507"/>
        <v>3.7646403680322127E-2</v>
      </c>
      <c r="BC169" s="26">
        <f t="shared" si="508"/>
        <v>6.4999622218601793E-3</v>
      </c>
      <c r="BD169" s="26">
        <f t="shared" si="509"/>
        <v>0.86679134296330707</v>
      </c>
      <c r="BE169" s="26">
        <f t="shared" si="510"/>
        <v>0.84228573469903489</v>
      </c>
      <c r="BF169" s="26">
        <f t="shared" si="511"/>
        <v>1.6984096031668772E-2</v>
      </c>
      <c r="BG169" s="26">
        <f t="shared" si="512"/>
        <v>0</v>
      </c>
      <c r="BH169" s="26">
        <f t="shared" si="513"/>
        <v>0</v>
      </c>
      <c r="BI169" s="26">
        <f t="shared" si="514"/>
        <v>0</v>
      </c>
      <c r="BJ169" s="26">
        <f t="shared" si="515"/>
        <v>0</v>
      </c>
      <c r="BK169" s="25">
        <f t="shared" si="516"/>
        <v>3.9999999999999991</v>
      </c>
      <c r="BL169" s="24">
        <f t="shared" si="517"/>
        <v>5.9999999999999973</v>
      </c>
      <c r="BM169" s="26">
        <f t="shared" si="518"/>
        <v>2.0238121256646062</v>
      </c>
      <c r="BN169" s="26">
        <f t="shared" si="519"/>
        <v>0.85926983073070362</v>
      </c>
      <c r="BO169" s="22"/>
      <c r="BP169" s="23">
        <f t="shared" si="520"/>
        <v>0.78865277150014856</v>
      </c>
      <c r="BQ169" s="26">
        <f t="shared" si="521"/>
        <v>6.4430479282099107E-2</v>
      </c>
      <c r="BR169" s="26">
        <f t="shared" si="522"/>
        <v>2.3812125664606193E-2</v>
      </c>
      <c r="BS169" s="26"/>
      <c r="BT169" s="26">
        <f t="shared" si="523"/>
        <v>1.7037546226917166E-2</v>
      </c>
      <c r="BU169" s="26">
        <f t="shared" si="524"/>
        <v>6.8280296329374206E-3</v>
      </c>
      <c r="BV169" s="26">
        <f t="shared" si="525"/>
        <v>2.0398110848137481E-2</v>
      </c>
      <c r="BW169" s="26">
        <f t="shared" si="526"/>
        <v>1.365795188297897E-3</v>
      </c>
      <c r="BX169" s="26">
        <f t="shared" si="527"/>
        <v>0.81634453398138729</v>
      </c>
      <c r="BY169" s="26">
        <f t="shared" si="528"/>
        <v>0.14309644738070126</v>
      </c>
      <c r="BZ169" s="26">
        <f t="shared" si="529"/>
        <v>1.0050704632583785</v>
      </c>
      <c r="CA169" s="22"/>
      <c r="CB169" s="22">
        <f t="shared" si="530"/>
        <v>1.6984096031668772E-2</v>
      </c>
      <c r="CC169" s="22">
        <f t="shared" si="531"/>
        <v>0</v>
      </c>
      <c r="CD169" s="22">
        <f t="shared" si="532"/>
        <v>2.0662307648653355E-2</v>
      </c>
      <c r="CE169" s="22">
        <f t="shared" si="533"/>
        <v>2.7230208304285758E-3</v>
      </c>
      <c r="CF169" s="22">
        <f t="shared" si="534"/>
        <v>2.3812125664606193E-2</v>
      </c>
      <c r="CG169" s="22">
        <f t="shared" si="535"/>
        <v>0.40603618829350774</v>
      </c>
      <c r="CH169" s="22">
        <f t="shared" si="536"/>
        <v>0.48504531616461716</v>
      </c>
      <c r="CI169" s="22">
        <f t="shared" si="537"/>
        <v>0.10891849554187512</v>
      </c>
      <c r="CJ169" s="22"/>
      <c r="CK169" s="22">
        <f t="shared" si="538"/>
        <v>0.43241500885011985</v>
      </c>
      <c r="CL169" s="22">
        <f t="shared" si="539"/>
        <v>0.44499576663567014</v>
      </c>
      <c r="CM169" s="22">
        <f t="shared" si="540"/>
        <v>0.12258922451420994</v>
      </c>
      <c r="CN169" s="1"/>
      <c r="CO169" s="26">
        <f t="shared" si="541"/>
        <v>0.86051930758988027</v>
      </c>
      <c r="CP169" s="26">
        <f t="shared" si="542"/>
        <v>3.8307461191787683E-3</v>
      </c>
      <c r="CQ169" s="26">
        <f t="shared" si="543"/>
        <v>3.9231071008238527E-2</v>
      </c>
      <c r="CR169" s="26">
        <f t="shared" si="544"/>
        <v>1.2106059609184813E-3</v>
      </c>
      <c r="CS169" s="26">
        <f t="shared" si="545"/>
        <v>0.10327070285316632</v>
      </c>
      <c r="CT169" s="26">
        <f t="shared" si="546"/>
        <v>2.8897659994361431E-3</v>
      </c>
      <c r="CU169" s="26">
        <f t="shared" si="547"/>
        <v>0.38535980148883375</v>
      </c>
      <c r="CV169" s="26">
        <f t="shared" si="548"/>
        <v>0.37446504992867335</v>
      </c>
      <c r="CW169" s="26">
        <f t="shared" si="549"/>
        <v>7.5508228460793815E-3</v>
      </c>
      <c r="CX169" s="26">
        <f t="shared" si="550"/>
        <v>0</v>
      </c>
      <c r="CY169" s="26">
        <f t="shared" si="551"/>
        <v>0</v>
      </c>
      <c r="CZ169" s="26">
        <f t="shared" si="552"/>
        <v>0</v>
      </c>
      <c r="DA169" s="26">
        <f t="shared" si="553"/>
        <v>0</v>
      </c>
      <c r="DB169" s="26">
        <f t="shared" si="554"/>
        <v>1.7783278737944053</v>
      </c>
      <c r="DC169" s="26">
        <f t="shared" si="555"/>
        <v>2.6591233545650033</v>
      </c>
      <c r="DD169" s="26">
        <f t="shared" si="556"/>
        <v>2.2493040000915179</v>
      </c>
      <c r="DE169" s="26">
        <f t="shared" si="557"/>
        <v>5.9811767981598374</v>
      </c>
      <c r="DF169" s="1"/>
      <c r="DG169" s="22"/>
      <c r="DH169" s="14"/>
      <c r="DI169" s="14"/>
      <c r="DJ169" s="14"/>
      <c r="DK169" s="14"/>
      <c r="DL169" s="14"/>
      <c r="DM169" s="96"/>
      <c r="DN169" s="14"/>
      <c r="DO169" s="96"/>
      <c r="DP169" s="22"/>
      <c r="DQ169" s="14"/>
      <c r="DR169" s="22"/>
      <c r="DS169" s="22"/>
      <c r="DT169" s="22"/>
      <c r="DU169" s="22"/>
      <c r="DV169" s="22"/>
      <c r="DW169" s="22"/>
      <c r="DX169" s="22"/>
      <c r="DY169" s="22"/>
      <c r="DZ169" s="22"/>
      <c r="EA169" s="22"/>
      <c r="EB169" s="22"/>
      <c r="EC169" s="22"/>
      <c r="ED169" s="22"/>
      <c r="EE169" s="22"/>
      <c r="EF169" s="22"/>
      <c r="EG169" s="22"/>
      <c r="EH169" s="22"/>
      <c r="EI169" s="22"/>
      <c r="EJ169" s="22"/>
      <c r="EK169" s="22"/>
      <c r="EL169" s="22"/>
      <c r="EM169" s="22"/>
      <c r="EN169" s="22"/>
      <c r="EO169" s="22"/>
      <c r="EP169" s="22"/>
      <c r="EQ169" s="22"/>
      <c r="ER169" s="22"/>
      <c r="ES169" s="22"/>
      <c r="ET169" s="22"/>
      <c r="EU169" s="22"/>
      <c r="EV169" s="22"/>
      <c r="EW169" s="22"/>
      <c r="EX169" s="22"/>
      <c r="EY169" s="22"/>
      <c r="EZ169" s="22"/>
      <c r="FA169" s="22"/>
      <c r="FB169" s="22"/>
      <c r="FC169" s="22"/>
      <c r="FD169" s="22"/>
      <c r="FE169" s="22"/>
      <c r="FF169" s="22"/>
      <c r="FG169" s="22"/>
      <c r="FH169" s="22"/>
      <c r="FI169" s="22"/>
      <c r="FJ169" s="22"/>
      <c r="FK169" s="22"/>
      <c r="FL169" s="22"/>
      <c r="FM169" s="22"/>
      <c r="FN169" s="22"/>
      <c r="FO169" s="22"/>
      <c r="FP169" s="22"/>
      <c r="FQ169" s="46"/>
      <c r="FR169" s="46"/>
      <c r="FS169" s="46"/>
      <c r="FT169" s="46"/>
      <c r="FU169" s="46"/>
      <c r="FV169" s="46"/>
      <c r="FW169" s="46"/>
      <c r="FX169" s="46"/>
      <c r="FY169" s="46"/>
      <c r="FZ169" s="46"/>
      <c r="GA169" s="46"/>
      <c r="GB169" s="46"/>
      <c r="GC169" s="46"/>
      <c r="GD169" s="46"/>
      <c r="GE169" s="46"/>
      <c r="GF169" s="46"/>
      <c r="GG169" s="46"/>
      <c r="GH169" s="46"/>
    </row>
    <row r="170" spans="1:190" x14ac:dyDescent="0.25">
      <c r="A170" s="5" t="s">
        <v>91</v>
      </c>
      <c r="B170" s="1">
        <v>1431</v>
      </c>
      <c r="C170" s="98" t="s">
        <v>96</v>
      </c>
      <c r="D170" s="98" t="s">
        <v>104</v>
      </c>
      <c r="E170" s="1">
        <v>438</v>
      </c>
      <c r="F170" s="22">
        <v>51.84</v>
      </c>
      <c r="G170" s="22">
        <v>0.49099999999999999</v>
      </c>
      <c r="H170" s="22">
        <v>1.3819999999999999</v>
      </c>
      <c r="I170" s="22">
        <v>0.01</v>
      </c>
      <c r="J170" s="22">
        <v>10.89</v>
      </c>
      <c r="K170" s="22">
        <v>0.56100000000000005</v>
      </c>
      <c r="L170" s="22">
        <v>14.22</v>
      </c>
      <c r="M170" s="22">
        <v>19.25</v>
      </c>
      <c r="N170" s="22">
        <v>0.35</v>
      </c>
      <c r="O170" s="22">
        <v>8.0000000000000002E-3</v>
      </c>
      <c r="P170" s="22">
        <v>0</v>
      </c>
      <c r="Q170" s="22"/>
      <c r="R170" s="22"/>
      <c r="S170" s="22">
        <f t="shared" si="482"/>
        <v>99.001999999999995</v>
      </c>
      <c r="T170" s="3"/>
      <c r="U170" s="22">
        <f t="shared" si="483"/>
        <v>10.206098592869493</v>
      </c>
      <c r="V170" s="22">
        <f t="shared" si="484"/>
        <v>0.76001963374413428</v>
      </c>
      <c r="W170" s="22">
        <f t="shared" si="485"/>
        <v>99.078118226613626</v>
      </c>
      <c r="X170" s="1"/>
      <c r="Y170" s="1"/>
      <c r="Z170" s="1"/>
      <c r="AA170" s="1" t="s">
        <v>185</v>
      </c>
      <c r="AC170" s="1">
        <v>6</v>
      </c>
      <c r="AD170" s="1">
        <v>4</v>
      </c>
      <c r="AE170" s="1"/>
      <c r="AF170" s="26">
        <f t="shared" si="486"/>
        <v>1.960893999299669</v>
      </c>
      <c r="AG170" s="26">
        <f t="shared" si="487"/>
        <v>1.3968908884077647E-2</v>
      </c>
      <c r="AH170" s="26">
        <f t="shared" si="488"/>
        <v>6.160660274003419E-2</v>
      </c>
      <c r="AI170" s="26">
        <f t="shared" si="489"/>
        <v>2.990432674408508E-4</v>
      </c>
      <c r="AJ170" s="26">
        <f t="shared" si="490"/>
        <v>0.34444521497402042</v>
      </c>
      <c r="AK170" s="26">
        <f t="shared" si="491"/>
        <v>1.797176477902868E-2</v>
      </c>
      <c r="AL170" s="26">
        <f t="shared" si="492"/>
        <v>0.80188778663116944</v>
      </c>
      <c r="AM170" s="26">
        <f t="shared" si="493"/>
        <v>0.78008473136853351</v>
      </c>
      <c r="AN170" s="26">
        <f t="shared" si="494"/>
        <v>2.566643300486806E-2</v>
      </c>
      <c r="AO170" s="26">
        <f t="shared" si="495"/>
        <v>3.8600073221515857E-4</v>
      </c>
      <c r="AP170" s="26">
        <f t="shared" si="496"/>
        <v>0</v>
      </c>
      <c r="AQ170" s="26">
        <f t="shared" si="497"/>
        <v>0</v>
      </c>
      <c r="AR170" s="26">
        <f t="shared" si="498"/>
        <v>0</v>
      </c>
      <c r="AS170" s="26">
        <f t="shared" si="499"/>
        <v>4.007210485681056</v>
      </c>
      <c r="AT170" s="26">
        <f t="shared" si="500"/>
        <v>2.0225006020397034</v>
      </c>
      <c r="AU170" s="26">
        <f t="shared" si="501"/>
        <v>0.80613716510561673</v>
      </c>
      <c r="AV170" s="47"/>
      <c r="AW170" s="26">
        <f t="shared" si="502"/>
        <v>1.9573656101235715</v>
      </c>
      <c r="AX170" s="26">
        <f t="shared" si="503"/>
        <v>1.3943773539216539E-2</v>
      </c>
      <c r="AY170" s="26">
        <f t="shared" si="504"/>
        <v>6.1495749185297557E-2</v>
      </c>
      <c r="AZ170" s="26">
        <f t="shared" si="505"/>
        <v>2.9850517561722342E-4</v>
      </c>
      <c r="BA170" s="26">
        <f t="shared" si="506"/>
        <v>0.32223289401378902</v>
      </c>
      <c r="BB170" s="26">
        <f t="shared" si="507"/>
        <v>2.1592533879080111E-2</v>
      </c>
      <c r="BC170" s="26">
        <f t="shared" si="508"/>
        <v>1.7939426784040504E-2</v>
      </c>
      <c r="BD170" s="26">
        <f t="shared" si="509"/>
        <v>0.80044488753116461</v>
      </c>
      <c r="BE170" s="26">
        <f t="shared" si="510"/>
        <v>0.77868106420264749</v>
      </c>
      <c r="BF170" s="26">
        <f t="shared" si="511"/>
        <v>2.5620249394516986E-2</v>
      </c>
      <c r="BG170" s="26">
        <f t="shared" si="512"/>
        <v>3.8530617105784961E-4</v>
      </c>
      <c r="BH170" s="26">
        <f t="shared" si="513"/>
        <v>0</v>
      </c>
      <c r="BI170" s="26">
        <f t="shared" si="514"/>
        <v>0</v>
      </c>
      <c r="BJ170" s="26">
        <f t="shared" si="515"/>
        <v>0</v>
      </c>
      <c r="BK170" s="25">
        <f t="shared" si="516"/>
        <v>3.9999999999999996</v>
      </c>
      <c r="BL170" s="24">
        <f t="shared" si="517"/>
        <v>5.9999999999999973</v>
      </c>
      <c r="BM170" s="26">
        <f t="shared" si="518"/>
        <v>2.0188613593088691</v>
      </c>
      <c r="BN170" s="26">
        <f t="shared" si="519"/>
        <v>0.80468661976822231</v>
      </c>
      <c r="BO170" s="22"/>
      <c r="BP170" s="23">
        <f t="shared" si="520"/>
        <v>0.69952429661215387</v>
      </c>
      <c r="BQ170" s="26">
        <f t="shared" si="521"/>
        <v>4.2634389876428536E-2</v>
      </c>
      <c r="BR170" s="26">
        <f t="shared" si="522"/>
        <v>1.8861359308869022E-2</v>
      </c>
      <c r="BS170" s="26"/>
      <c r="BT170" s="26">
        <f t="shared" si="523"/>
        <v>1.8861359308869022E-2</v>
      </c>
      <c r="BU170" s="26">
        <f t="shared" si="524"/>
        <v>0</v>
      </c>
      <c r="BV170" s="26">
        <f t="shared" si="525"/>
        <v>1.8861359308869022E-2</v>
      </c>
      <c r="BW170" s="26">
        <f t="shared" si="526"/>
        <v>1.495216337204254E-4</v>
      </c>
      <c r="BX170" s="26">
        <f t="shared" si="527"/>
        <v>0.76107385042594411</v>
      </c>
      <c r="BY170" s="26">
        <f t="shared" si="528"/>
        <v>0.19262957558962285</v>
      </c>
      <c r="BZ170" s="26">
        <f t="shared" si="529"/>
        <v>0.99157566626702542</v>
      </c>
      <c r="CA170" s="22"/>
      <c r="CB170" s="22">
        <f t="shared" si="530"/>
        <v>2.1592533879080111E-2</v>
      </c>
      <c r="CC170" s="22">
        <f t="shared" si="531"/>
        <v>4.0277155154368749E-3</v>
      </c>
      <c r="CD170" s="22">
        <f t="shared" si="532"/>
        <v>0</v>
      </c>
      <c r="CE170" s="22">
        <f t="shared" si="533"/>
        <v>2.9850517561722342E-4</v>
      </c>
      <c r="CF170" s="22">
        <f t="shared" si="534"/>
        <v>1.4833643793432147E-2</v>
      </c>
      <c r="CG170" s="22">
        <f t="shared" si="535"/>
        <v>0.39257072455633912</v>
      </c>
      <c r="CH170" s="22">
        <f t="shared" si="536"/>
        <v>0.43308388752162119</v>
      </c>
      <c r="CI170" s="22">
        <f t="shared" si="537"/>
        <v>0.17434538792203966</v>
      </c>
      <c r="CJ170" s="22"/>
      <c r="CK170" s="22">
        <f t="shared" si="538"/>
        <v>0.40119777044163446</v>
      </c>
      <c r="CL170" s="22">
        <f t="shared" si="539"/>
        <v>0.41241108716024205</v>
      </c>
      <c r="CM170" s="22">
        <f t="shared" si="540"/>
        <v>0.18639114239812352</v>
      </c>
      <c r="CN170" s="1"/>
      <c r="CO170" s="26">
        <f t="shared" si="541"/>
        <v>0.86284953395472708</v>
      </c>
      <c r="CP170" s="26">
        <f t="shared" si="542"/>
        <v>6.1467200801201809E-3</v>
      </c>
      <c r="CQ170" s="26">
        <f t="shared" si="543"/>
        <v>2.7108670066692819E-2</v>
      </c>
      <c r="CR170" s="26">
        <f t="shared" si="544"/>
        <v>1.3158760444766102E-4</v>
      </c>
      <c r="CS170" s="26">
        <f t="shared" si="545"/>
        <v>0.15156576200417538</v>
      </c>
      <c r="CT170" s="26">
        <f t="shared" si="546"/>
        <v>7.9080913447984215E-3</v>
      </c>
      <c r="CU170" s="26">
        <f t="shared" si="547"/>
        <v>0.35285359801488836</v>
      </c>
      <c r="CV170" s="26">
        <f t="shared" si="548"/>
        <v>0.34325962910128388</v>
      </c>
      <c r="CW170" s="26">
        <f t="shared" si="549"/>
        <v>1.1293965795417877E-2</v>
      </c>
      <c r="CX170" s="26">
        <f t="shared" si="550"/>
        <v>1.6985138004246286E-4</v>
      </c>
      <c r="CY170" s="26">
        <f t="shared" si="551"/>
        <v>0</v>
      </c>
      <c r="CZ170" s="26">
        <f t="shared" si="552"/>
        <v>0</v>
      </c>
      <c r="DA170" s="26">
        <f t="shared" si="553"/>
        <v>0</v>
      </c>
      <c r="DB170" s="26">
        <f t="shared" si="554"/>
        <v>1.7632874093465942</v>
      </c>
      <c r="DC170" s="26">
        <f t="shared" si="555"/>
        <v>2.6401718836292813</v>
      </c>
      <c r="DD170" s="26">
        <f t="shared" si="556"/>
        <v>2.2684900821030896</v>
      </c>
      <c r="DE170" s="26">
        <f t="shared" si="557"/>
        <v>5.9892037330604566</v>
      </c>
      <c r="DF170" s="1"/>
      <c r="DG170" s="22"/>
      <c r="DH170" s="14"/>
      <c r="DI170" s="14"/>
      <c r="DJ170" s="14"/>
      <c r="DK170" s="14"/>
      <c r="DL170" s="14"/>
      <c r="DM170" s="96"/>
      <c r="DN170" s="14"/>
      <c r="DO170" s="96"/>
      <c r="DP170" s="22"/>
      <c r="DQ170" s="14"/>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46">
        <f t="shared" ref="FQ170:FQ171" si="610" xml:space="preserve">  -0.73306   +   1.025016   *  FS170     +N("316 NN Nd")</f>
        <v>-1.5972548130593116</v>
      </c>
      <c r="FR170" s="46">
        <f t="shared" ref="FR170:FR171" si="611" xml:space="preserve">  -0.33671   +   1.013871 *  FS170    +N("340 NN")</f>
        <v>-1.1915084219868346</v>
      </c>
      <c r="FS170" s="46">
        <f t="shared" ref="FS170:FS171" si="612">-0.42496     +   1.017678*FT170                 + N("361 NN")</f>
        <v>-0.84310373014597983</v>
      </c>
      <c r="FT170" s="46">
        <f xml:space="preserve"> 0.68509  -3.34181 * BP170 + 0.03095*(100*CK170) +N("642 cpx Mg# Wo R2 0.59")</f>
        <v>-0.41088019014460353</v>
      </c>
      <c r="FU170" s="46">
        <f t="shared" ref="FU170:FU171" si="613" xml:space="preserve"> -0.06599 + 0.926002 * FT170  + N("409 NN")</f>
        <v>-0.44646587783428315</v>
      </c>
      <c r="FV170" s="46">
        <f t="shared" ref="FV170:FV171" si="614">0.1453     +   0.925549*FT170     +N("424 LnD Sm")</f>
        <v>-0.2349897491081476</v>
      </c>
      <c r="FW170" s="46">
        <f t="shared" ref="FW170:FW171" si="615" xml:space="preserve">  0.053547 + 0.932974 * FV170  +  N("445 NN")</f>
        <v>-0.16569232618442492</v>
      </c>
      <c r="FX170" s="46">
        <f t="shared" ref="FX170:FX171" si="616" xml:space="preserve">  0.027177  +  0.867603 * FV170 + N("464 NN Gd")</f>
        <v>-0.17670081129547618</v>
      </c>
      <c r="FY170" s="46">
        <f t="shared" ref="FY170:FY171" si="617" xml:space="preserve">  -0.06187  +  0.953618 * FX170   + N("505 NN Dy")</f>
        <v>-0.2303750742659694</v>
      </c>
      <c r="FZ170" s="46">
        <f t="shared" ref="FZ170:FZ171" si="618" xml:space="preserve"> -0.05652 + 0.972005*FY170   +N("533 NN")</f>
        <v>-0.28044572406189361</v>
      </c>
      <c r="GA170" s="46">
        <f t="shared" ref="GA170:GA171" si="619" xml:space="preserve">     0.018586 + 0.960264 * FZ170    +N("549 LnD Er")</f>
        <v>-0.25071593277057019</v>
      </c>
      <c r="GB170" s="46">
        <f t="shared" ref="GB170:GB171" si="620" xml:space="preserve"> -0.02011 + 0.936315 * FZ170    +N("574 NN Er")</f>
        <v>-0.28269553812501191</v>
      </c>
      <c r="GC170" s="46">
        <f t="shared" ref="GC170:GC171" si="621" xml:space="preserve">   0.01732 + 1.006083 * GB170  +N("597 NN Yb")</f>
        <v>-0.26709517508342639</v>
      </c>
      <c r="GD170" s="46">
        <f>(-1.72947 +0 ) * (3.46258+0) * BQ170   - (1.87473 + 0) *BP170   + (0.03253+0) * (CK170*100)    +N("eqn625 aliv mg# wo")</f>
        <v>-0.26163582135674646</v>
      </c>
      <c r="GE170" s="46"/>
      <c r="GF170" s="46"/>
      <c r="GG170" s="46"/>
      <c r="GH170" s="46"/>
    </row>
    <row r="171" spans="1:190" x14ac:dyDescent="0.25">
      <c r="A171" s="5" t="s">
        <v>91</v>
      </c>
      <c r="B171" s="1">
        <v>1432</v>
      </c>
      <c r="C171" s="98" t="s">
        <v>96</v>
      </c>
      <c r="D171" s="98" t="s">
        <v>104</v>
      </c>
      <c r="E171" s="1">
        <v>439</v>
      </c>
      <c r="F171" s="22">
        <v>50.12</v>
      </c>
      <c r="G171" s="22">
        <v>0.48599999999999999</v>
      </c>
      <c r="H171" s="22">
        <v>3.26</v>
      </c>
      <c r="I171" s="22">
        <v>1.7999999999999999E-2</v>
      </c>
      <c r="J171" s="22">
        <v>7.47</v>
      </c>
      <c r="K171" s="22">
        <v>0.182</v>
      </c>
      <c r="L171" s="22">
        <v>15.46</v>
      </c>
      <c r="M171" s="22">
        <v>20.66</v>
      </c>
      <c r="N171" s="22">
        <v>0.33700000000000002</v>
      </c>
      <c r="O171" s="22">
        <v>0</v>
      </c>
      <c r="P171" s="22">
        <v>0</v>
      </c>
      <c r="Q171" s="22"/>
      <c r="R171" s="22"/>
      <c r="S171" s="22">
        <f t="shared" si="482"/>
        <v>97.992999999999995</v>
      </c>
      <c r="T171" s="3"/>
      <c r="U171" s="22">
        <f t="shared" si="483"/>
        <v>4.5959250506884182</v>
      </c>
      <c r="V171" s="22">
        <f t="shared" si="484"/>
        <v>3.1939594911699611</v>
      </c>
      <c r="W171" s="22">
        <f t="shared" si="485"/>
        <v>98.312884541858381</v>
      </c>
      <c r="X171" s="1"/>
      <c r="Y171" s="1"/>
      <c r="Z171" s="1"/>
      <c r="AA171" s="1" t="s">
        <v>185</v>
      </c>
      <c r="AC171" s="1">
        <v>6</v>
      </c>
      <c r="AD171" s="1">
        <v>4</v>
      </c>
      <c r="AE171" s="1"/>
      <c r="AF171" s="26">
        <f t="shared" si="486"/>
        <v>1.8953250740301211</v>
      </c>
      <c r="AG171" s="26">
        <f t="shared" si="487"/>
        <v>1.3822951455714255E-2</v>
      </c>
      <c r="AH171" s="26">
        <f t="shared" si="488"/>
        <v>0.1452848531353699</v>
      </c>
      <c r="AI171" s="26">
        <f t="shared" si="489"/>
        <v>5.3813353328920489E-4</v>
      </c>
      <c r="AJ171" s="26">
        <f t="shared" si="490"/>
        <v>0.23620897721447393</v>
      </c>
      <c r="AK171" s="26">
        <f t="shared" si="491"/>
        <v>5.828848581697358E-3</v>
      </c>
      <c r="AL171" s="26">
        <f t="shared" si="492"/>
        <v>0.87157951275346168</v>
      </c>
      <c r="AM171" s="26">
        <f t="shared" si="493"/>
        <v>0.83699888991459559</v>
      </c>
      <c r="AN171" s="26">
        <f t="shared" si="494"/>
        <v>2.4706481122224958E-2</v>
      </c>
      <c r="AO171" s="26">
        <f t="shared" si="495"/>
        <v>0</v>
      </c>
      <c r="AP171" s="26">
        <f t="shared" si="496"/>
        <v>0</v>
      </c>
      <c r="AQ171" s="26">
        <f t="shared" si="497"/>
        <v>0</v>
      </c>
      <c r="AR171" s="26">
        <f t="shared" si="498"/>
        <v>0</v>
      </c>
      <c r="AS171" s="26">
        <f t="shared" si="499"/>
        <v>4.0302937217409474</v>
      </c>
      <c r="AT171" s="26">
        <f t="shared" si="500"/>
        <v>2.0406099271654909</v>
      </c>
      <c r="AU171" s="26">
        <f t="shared" si="501"/>
        <v>0.86170537103682054</v>
      </c>
      <c r="AV171" s="47"/>
      <c r="AW171" s="26">
        <f t="shared" si="502"/>
        <v>1.8810788541847578</v>
      </c>
      <c r="AX171" s="26">
        <f t="shared" si="503"/>
        <v>1.3719051175995398E-2</v>
      </c>
      <c r="AY171" s="26">
        <f t="shared" si="504"/>
        <v>0.14419281885252955</v>
      </c>
      <c r="AZ171" s="26">
        <f t="shared" si="505"/>
        <v>5.3408865005178817E-4</v>
      </c>
      <c r="BA171" s="26">
        <f t="shared" si="506"/>
        <v>0.14423545480834615</v>
      </c>
      <c r="BB171" s="26">
        <f t="shared" si="507"/>
        <v>9.0198056516421321E-2</v>
      </c>
      <c r="BC171" s="26">
        <f t="shared" si="508"/>
        <v>5.7850360138808907E-3</v>
      </c>
      <c r="BD171" s="26">
        <f t="shared" si="509"/>
        <v>0.86502828124097064</v>
      </c>
      <c r="BE171" s="26">
        <f t="shared" si="510"/>
        <v>0.83070758381653731</v>
      </c>
      <c r="BF171" s="26">
        <f t="shared" si="511"/>
        <v>2.4520774740509597E-2</v>
      </c>
      <c r="BG171" s="26">
        <f t="shared" si="512"/>
        <v>0</v>
      </c>
      <c r="BH171" s="26">
        <f t="shared" si="513"/>
        <v>0</v>
      </c>
      <c r="BI171" s="26">
        <f t="shared" si="514"/>
        <v>0</v>
      </c>
      <c r="BJ171" s="26">
        <f t="shared" si="515"/>
        <v>0</v>
      </c>
      <c r="BK171" s="25">
        <f t="shared" si="516"/>
        <v>4</v>
      </c>
      <c r="BL171" s="24">
        <f t="shared" si="517"/>
        <v>6</v>
      </c>
      <c r="BM171" s="26">
        <f t="shared" si="518"/>
        <v>2.0252716730372873</v>
      </c>
      <c r="BN171" s="26">
        <f t="shared" si="519"/>
        <v>0.85522835855704693</v>
      </c>
      <c r="BO171" s="22"/>
      <c r="BP171" s="23">
        <f t="shared" si="520"/>
        <v>0.78677429910712393</v>
      </c>
      <c r="BQ171" s="26">
        <f t="shared" si="521"/>
        <v>0.11892114581524216</v>
      </c>
      <c r="BR171" s="26">
        <f t="shared" si="522"/>
        <v>2.527167303728739E-2</v>
      </c>
      <c r="BS171" s="26"/>
      <c r="BT171" s="26">
        <f t="shared" si="523"/>
        <v>2.4706481122224958E-2</v>
      </c>
      <c r="BU171" s="26">
        <f t="shared" si="524"/>
        <v>7.5089829677779316E-4</v>
      </c>
      <c r="BV171" s="26">
        <f t="shared" si="525"/>
        <v>2.4896223888898492E-2</v>
      </c>
      <c r="BW171" s="26">
        <f t="shared" si="526"/>
        <v>2.6906676664460244E-4</v>
      </c>
      <c r="BX171" s="26">
        <f t="shared" si="527"/>
        <v>0.81108270096227475</v>
      </c>
      <c r="BY171" s="26">
        <f t="shared" si="528"/>
        <v>0.1483528945028304</v>
      </c>
      <c r="BZ171" s="26">
        <f t="shared" si="529"/>
        <v>1.0100582655396511</v>
      </c>
      <c r="CA171" s="22"/>
      <c r="CB171" s="22">
        <f t="shared" si="530"/>
        <v>2.4520774740509597E-2</v>
      </c>
      <c r="CC171" s="22">
        <f t="shared" si="531"/>
        <v>0</v>
      </c>
      <c r="CD171" s="22">
        <f t="shared" si="532"/>
        <v>6.5677281775911728E-2</v>
      </c>
      <c r="CE171" s="22">
        <f t="shared" si="533"/>
        <v>5.3408865005178817E-4</v>
      </c>
      <c r="CF171" s="22">
        <f t="shared" si="534"/>
        <v>2.527167303728739E-2</v>
      </c>
      <c r="CG171" s="22">
        <f t="shared" si="535"/>
        <v>0.38187265754689803</v>
      </c>
      <c r="CH171" s="22">
        <f t="shared" si="536"/>
        <v>0.52978979976362506</v>
      </c>
      <c r="CI171" s="22">
        <f t="shared" si="537"/>
        <v>8.8337542689476925E-2</v>
      </c>
      <c r="CJ171" s="22"/>
      <c r="CK171" s="22">
        <f t="shared" si="538"/>
        <v>0.42909459979915521</v>
      </c>
      <c r="CL171" s="22">
        <f t="shared" si="539"/>
        <v>0.44682265021432699</v>
      </c>
      <c r="CM171" s="22">
        <f t="shared" si="540"/>
        <v>0.12408274998651786</v>
      </c>
      <c r="CN171" s="1"/>
      <c r="CO171" s="26">
        <f t="shared" si="541"/>
        <v>0.83422103861517971</v>
      </c>
      <c r="CP171" s="26">
        <f t="shared" si="542"/>
        <v>6.0841261892839258E-3</v>
      </c>
      <c r="CQ171" s="26">
        <f t="shared" si="543"/>
        <v>6.3946645743428801E-2</v>
      </c>
      <c r="CR171" s="26">
        <f t="shared" si="544"/>
        <v>2.3685768800578983E-4</v>
      </c>
      <c r="CS171" s="26">
        <f t="shared" si="545"/>
        <v>0.10396659707724426</v>
      </c>
      <c r="CT171" s="26">
        <f t="shared" si="546"/>
        <v>2.5655483507189174E-3</v>
      </c>
      <c r="CU171" s="26">
        <f t="shared" si="547"/>
        <v>0.38362282878411913</v>
      </c>
      <c r="CV171" s="26">
        <f t="shared" si="548"/>
        <v>0.36840228245363765</v>
      </c>
      <c r="CW171" s="26">
        <f t="shared" si="549"/>
        <v>1.0874475637302356E-2</v>
      </c>
      <c r="CX171" s="26">
        <f t="shared" si="550"/>
        <v>0</v>
      </c>
      <c r="CY171" s="26">
        <f t="shared" si="551"/>
        <v>0</v>
      </c>
      <c r="CZ171" s="26">
        <f t="shared" si="552"/>
        <v>0</v>
      </c>
      <c r="DA171" s="26">
        <f t="shared" si="553"/>
        <v>0</v>
      </c>
      <c r="DB171" s="26">
        <f t="shared" si="554"/>
        <v>1.7739204005389204</v>
      </c>
      <c r="DC171" s="26">
        <f t="shared" si="555"/>
        <v>2.6408800792404503</v>
      </c>
      <c r="DD171" s="26">
        <f t="shared" si="556"/>
        <v>2.2548926089269803</v>
      </c>
      <c r="DE171" s="26">
        <f t="shared" si="557"/>
        <v>5.9549009717417896</v>
      </c>
      <c r="DF171" s="1"/>
      <c r="DG171" s="22"/>
      <c r="DH171" s="14"/>
      <c r="DI171" s="14"/>
      <c r="DJ171" s="14"/>
      <c r="DK171" s="14"/>
      <c r="DL171" s="14"/>
      <c r="DM171" s="96"/>
      <c r="DN171" s="14"/>
      <c r="DO171" s="96"/>
      <c r="DP171" s="22"/>
      <c r="DQ171" s="14"/>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46">
        <f t="shared" si="610"/>
        <v>-1.8113400028995752</v>
      </c>
      <c r="FR171" s="46">
        <f t="shared" si="611"/>
        <v>-1.4032658633424213</v>
      </c>
      <c r="FS171" s="46">
        <f t="shared" si="612"/>
        <v>-1.0519640697311801</v>
      </c>
      <c r="FT171" s="46">
        <f xml:space="preserve"> 0.68509  -3.34181 * BP171 + 0.03095*(100*CK171) +N("642 cpx Mg# Wo R2 0.59")</f>
        <v>-0.61611243412079264</v>
      </c>
      <c r="FU171" s="46">
        <f t="shared" si="613"/>
        <v>-0.63651134622072225</v>
      </c>
      <c r="FV171" s="46">
        <f t="shared" si="614"/>
        <v>-0.42494224728806551</v>
      </c>
      <c r="FW171" s="46">
        <f t="shared" si="615"/>
        <v>-0.3429130682213356</v>
      </c>
      <c r="FX171" s="46">
        <f t="shared" si="616"/>
        <v>-0.34150416857386751</v>
      </c>
      <c r="FY171" s="46">
        <f t="shared" si="617"/>
        <v>-0.38753452222707435</v>
      </c>
      <c r="FZ171" s="46">
        <f t="shared" si="618"/>
        <v>-0.43320549327732744</v>
      </c>
      <c r="GA171" s="46">
        <f t="shared" si="619"/>
        <v>-0.39740563979645954</v>
      </c>
      <c r="GB171" s="46">
        <f t="shared" si="620"/>
        <v>-0.42572680143796088</v>
      </c>
      <c r="GC171" s="46">
        <f t="shared" si="621"/>
        <v>-0.41099649757110801</v>
      </c>
      <c r="GD171" s="46">
        <f>(-1.72947 +0 ) * (3.46258+0) * BQ171   - (1.87473 + 0) *BP171   + (0.03253+0) * (CK171*100)    +N("eqn625 aliv mg# wo")</f>
        <v>-0.79129539567158402</v>
      </c>
      <c r="GE171" s="46"/>
      <c r="GF171" s="46"/>
      <c r="GG171" s="46"/>
      <c r="GH171" s="46"/>
    </row>
    <row r="172" spans="1:190" x14ac:dyDescent="0.25">
      <c r="A172" s="5" t="s">
        <v>91</v>
      </c>
      <c r="B172" s="1">
        <v>1433</v>
      </c>
      <c r="C172" s="98" t="s">
        <v>96</v>
      </c>
      <c r="D172" s="98" t="s">
        <v>104</v>
      </c>
      <c r="E172" s="1">
        <v>440</v>
      </c>
      <c r="F172" s="22">
        <v>50.83</v>
      </c>
      <c r="G172" s="22">
        <v>0.64600000000000002</v>
      </c>
      <c r="H172" s="22">
        <v>2</v>
      </c>
      <c r="I172" s="22">
        <v>1.7000000000000001E-2</v>
      </c>
      <c r="J172" s="22">
        <v>10.51</v>
      </c>
      <c r="K172" s="22">
        <v>0.40899999999999997</v>
      </c>
      <c r="L172" s="22">
        <v>15.23</v>
      </c>
      <c r="M172" s="22">
        <v>18.05</v>
      </c>
      <c r="N172" s="22">
        <v>0.28999999999999998</v>
      </c>
      <c r="O172" s="22">
        <v>0</v>
      </c>
      <c r="P172" s="22">
        <v>0</v>
      </c>
      <c r="Q172" s="22"/>
      <c r="R172" s="22"/>
      <c r="S172" s="22">
        <f t="shared" si="482"/>
        <v>97.982000000000014</v>
      </c>
      <c r="T172" s="3"/>
      <c r="U172" s="22">
        <f t="shared" si="483"/>
        <v>9.3309681309155401</v>
      </c>
      <c r="V172" s="22">
        <f t="shared" si="484"/>
        <v>1.3102581161135609</v>
      </c>
      <c r="W172" s="22">
        <f t="shared" si="485"/>
        <v>98.113226247029104</v>
      </c>
      <c r="X172" s="1"/>
      <c r="Y172" s="1"/>
      <c r="Z172" s="1"/>
      <c r="AA172" s="1" t="s">
        <v>185</v>
      </c>
      <c r="AC172" s="1">
        <v>6</v>
      </c>
      <c r="AD172" s="1">
        <v>4</v>
      </c>
      <c r="AE172" s="1"/>
      <c r="AF172" s="26">
        <f t="shared" si="486"/>
        <v>1.9345894767295155</v>
      </c>
      <c r="AG172" s="26">
        <f t="shared" si="487"/>
        <v>1.8492392262945228E-2</v>
      </c>
      <c r="AH172" s="26">
        <f t="shared" si="488"/>
        <v>8.970750952926751E-2</v>
      </c>
      <c r="AI172" s="26">
        <f t="shared" si="489"/>
        <v>5.1151990399786159E-4</v>
      </c>
      <c r="AJ172" s="26">
        <f t="shared" si="490"/>
        <v>0.33448340754543932</v>
      </c>
      <c r="AK172" s="26">
        <f t="shared" si="491"/>
        <v>1.3183501084318027E-2</v>
      </c>
      <c r="AL172" s="26">
        <f t="shared" si="492"/>
        <v>0.86415867207525243</v>
      </c>
      <c r="AM172" s="26">
        <f t="shared" si="493"/>
        <v>0.7359830909970323</v>
      </c>
      <c r="AN172" s="26">
        <f t="shared" si="494"/>
        <v>2.1398092326276163E-2</v>
      </c>
      <c r="AO172" s="26">
        <f t="shared" si="495"/>
        <v>0</v>
      </c>
      <c r="AP172" s="26">
        <f t="shared" si="496"/>
        <v>0</v>
      </c>
      <c r="AQ172" s="26">
        <f t="shared" si="497"/>
        <v>0</v>
      </c>
      <c r="AR172" s="26">
        <f t="shared" si="498"/>
        <v>0</v>
      </c>
      <c r="AS172" s="26">
        <f t="shared" si="499"/>
        <v>4.0125076624540448</v>
      </c>
      <c r="AT172" s="26">
        <f t="shared" si="500"/>
        <v>2.0242969862587832</v>
      </c>
      <c r="AU172" s="26">
        <f t="shared" si="501"/>
        <v>0.7573811833233085</v>
      </c>
      <c r="AV172" s="47"/>
      <c r="AW172" s="26">
        <f t="shared" si="502"/>
        <v>1.9285590353702384</v>
      </c>
      <c r="AX172" s="26">
        <f t="shared" si="503"/>
        <v>1.8434748360465741E-2</v>
      </c>
      <c r="AY172" s="26">
        <f t="shared" si="504"/>
        <v>8.942787610718482E-2</v>
      </c>
      <c r="AZ172" s="26">
        <f t="shared" si="505"/>
        <v>5.099254102707598E-4</v>
      </c>
      <c r="BA172" s="26">
        <f t="shared" si="506"/>
        <v>0.29603474451852757</v>
      </c>
      <c r="BB172" s="26">
        <f t="shared" si="507"/>
        <v>3.740602188825326E-2</v>
      </c>
      <c r="BC172" s="26">
        <f t="shared" si="508"/>
        <v>1.3142405890141044E-2</v>
      </c>
      <c r="BD172" s="26">
        <f t="shared" si="509"/>
        <v>0.86146494389170503</v>
      </c>
      <c r="BE172" s="26">
        <f t="shared" si="510"/>
        <v>0.7336889076960974</v>
      </c>
      <c r="BF172" s="26">
        <f t="shared" si="511"/>
        <v>2.1331390867115871E-2</v>
      </c>
      <c r="BG172" s="26">
        <f t="shared" si="512"/>
        <v>0</v>
      </c>
      <c r="BH172" s="26">
        <f t="shared" si="513"/>
        <v>0</v>
      </c>
      <c r="BI172" s="26">
        <f t="shared" si="514"/>
        <v>0</v>
      </c>
      <c r="BJ172" s="26">
        <f t="shared" si="515"/>
        <v>0</v>
      </c>
      <c r="BK172" s="25">
        <f t="shared" si="516"/>
        <v>4</v>
      </c>
      <c r="BL172" s="24">
        <f t="shared" si="517"/>
        <v>6.0000000000000009</v>
      </c>
      <c r="BM172" s="26">
        <f t="shared" si="518"/>
        <v>2.0179869114774234</v>
      </c>
      <c r="BN172" s="26">
        <f t="shared" si="519"/>
        <v>0.75502029856321329</v>
      </c>
      <c r="BO172" s="22"/>
      <c r="BP172" s="23">
        <f t="shared" si="520"/>
        <v>0.72094805177264754</v>
      </c>
      <c r="BQ172" s="26">
        <f t="shared" si="521"/>
        <v>7.1440964629761572E-2</v>
      </c>
      <c r="BR172" s="26">
        <f t="shared" si="522"/>
        <v>1.7986911477423248E-2</v>
      </c>
      <c r="BS172" s="26"/>
      <c r="BT172" s="26">
        <f t="shared" si="523"/>
        <v>1.7986911477423248E-2</v>
      </c>
      <c r="BU172" s="26">
        <f t="shared" si="524"/>
        <v>0</v>
      </c>
      <c r="BV172" s="26">
        <f t="shared" si="525"/>
        <v>1.7986911477423248E-2</v>
      </c>
      <c r="BW172" s="26">
        <f t="shared" si="526"/>
        <v>2.5575995199893079E-4</v>
      </c>
      <c r="BX172" s="26">
        <f t="shared" si="527"/>
        <v>0.71774041956761014</v>
      </c>
      <c r="BY172" s="26">
        <f t="shared" si="528"/>
        <v>0.24045083002654083</v>
      </c>
      <c r="BZ172" s="26">
        <f t="shared" si="529"/>
        <v>0.99442083250099644</v>
      </c>
      <c r="CA172" s="22"/>
      <c r="CB172" s="22">
        <f t="shared" si="530"/>
        <v>2.1331390867115871E-2</v>
      </c>
      <c r="CC172" s="22">
        <f t="shared" si="531"/>
        <v>0</v>
      </c>
      <c r="CD172" s="22">
        <f t="shared" si="532"/>
        <v>1.6074631021137389E-2</v>
      </c>
      <c r="CE172" s="22">
        <f t="shared" si="533"/>
        <v>5.099254102707598E-4</v>
      </c>
      <c r="CF172" s="22">
        <f t="shared" si="534"/>
        <v>1.7986911477423248E-2</v>
      </c>
      <c r="CG172" s="22">
        <f t="shared" si="535"/>
        <v>0.36022441532719096</v>
      </c>
      <c r="CH172" s="22">
        <f t="shared" si="536"/>
        <v>0.47615065789815719</v>
      </c>
      <c r="CI172" s="22">
        <f t="shared" si="537"/>
        <v>0.16362492677465182</v>
      </c>
      <c r="CJ172" s="22"/>
      <c r="CK172" s="22">
        <f t="shared" si="538"/>
        <v>0.37785184021894336</v>
      </c>
      <c r="CL172" s="22">
        <f t="shared" si="539"/>
        <v>0.44365685635855079</v>
      </c>
      <c r="CM172" s="22">
        <f t="shared" si="540"/>
        <v>0.17849130342250588</v>
      </c>
      <c r="CN172" s="1"/>
      <c r="CO172" s="26">
        <f t="shared" si="541"/>
        <v>0.84603861517976031</v>
      </c>
      <c r="CP172" s="26">
        <f t="shared" si="542"/>
        <v>8.0871306960440675E-3</v>
      </c>
      <c r="CQ172" s="26">
        <f t="shared" si="543"/>
        <v>3.9231071008238527E-2</v>
      </c>
      <c r="CR172" s="26">
        <f t="shared" si="544"/>
        <v>2.2369892756102374E-4</v>
      </c>
      <c r="CS172" s="26">
        <f t="shared" si="545"/>
        <v>0.14627696590118303</v>
      </c>
      <c r="CT172" s="26">
        <f t="shared" si="546"/>
        <v>5.7654355793628417E-3</v>
      </c>
      <c r="CU172" s="26">
        <f t="shared" si="547"/>
        <v>0.37791563275434248</v>
      </c>
      <c r="CV172" s="26">
        <f t="shared" si="548"/>
        <v>0.32186162624821685</v>
      </c>
      <c r="CW172" s="26">
        <f t="shared" si="549"/>
        <v>9.35785737334624E-3</v>
      </c>
      <c r="CX172" s="26">
        <f t="shared" si="550"/>
        <v>0</v>
      </c>
      <c r="CY172" s="26">
        <f t="shared" si="551"/>
        <v>0</v>
      </c>
      <c r="CZ172" s="26">
        <f t="shared" si="552"/>
        <v>0</v>
      </c>
      <c r="DA172" s="26">
        <f t="shared" si="553"/>
        <v>0</v>
      </c>
      <c r="DB172" s="26">
        <f t="shared" si="554"/>
        <v>1.7547580336680553</v>
      </c>
      <c r="DC172" s="26">
        <f t="shared" si="555"/>
        <v>2.6239322358250865</v>
      </c>
      <c r="DD172" s="26">
        <f t="shared" si="556"/>
        <v>2.2795165619721409</v>
      </c>
      <c r="DE172" s="26">
        <f t="shared" si="557"/>
        <v>5.981296989055874</v>
      </c>
      <c r="DF172" s="1"/>
      <c r="DG172" s="22"/>
      <c r="DH172" s="14"/>
      <c r="DI172" s="14"/>
      <c r="DJ172" s="14"/>
      <c r="DK172" s="14"/>
      <c r="DL172" s="14"/>
      <c r="DM172" s="96"/>
      <c r="DN172" s="14"/>
      <c r="DO172" s="96"/>
      <c r="DP172" s="22"/>
      <c r="DQ172" s="14"/>
      <c r="DR172" s="22"/>
      <c r="DS172" s="22"/>
      <c r="DT172" s="22"/>
      <c r="DU172" s="22"/>
      <c r="DV172" s="22"/>
      <c r="DW172" s="22"/>
      <c r="DX172" s="22"/>
      <c r="DY172" s="22"/>
      <c r="DZ172" s="22"/>
      <c r="EA172" s="22"/>
      <c r="EB172" s="22"/>
      <c r="EC172" s="22"/>
      <c r="ED172" s="22"/>
      <c r="EE172" s="22"/>
      <c r="EF172" s="22"/>
      <c r="EG172" s="22"/>
      <c r="EH172" s="22"/>
      <c r="EI172" s="22"/>
      <c r="EJ172" s="22"/>
      <c r="EK172" s="22"/>
      <c r="EL172" s="22"/>
      <c r="EM172" s="22"/>
      <c r="EN172" s="22"/>
      <c r="EO172" s="22"/>
      <c r="EP172" s="22"/>
      <c r="EQ172" s="22"/>
      <c r="ER172" s="22"/>
      <c r="ES172" s="22"/>
      <c r="ET172" s="22"/>
      <c r="EU172" s="22"/>
      <c r="EV172" s="22"/>
      <c r="EW172" s="22"/>
      <c r="EX172" s="22"/>
      <c r="EY172" s="22"/>
      <c r="EZ172" s="22"/>
      <c r="FA172" s="22"/>
      <c r="FB172" s="22"/>
      <c r="FC172" s="22"/>
      <c r="FD172" s="22"/>
      <c r="FE172" s="22"/>
      <c r="FF172" s="22"/>
      <c r="FG172" s="22"/>
      <c r="FH172" s="22"/>
      <c r="FI172" s="22"/>
      <c r="FJ172" s="22"/>
      <c r="FK172" s="22"/>
      <c r="FL172" s="22"/>
      <c r="FM172" s="22"/>
      <c r="FN172" s="22"/>
      <c r="FO172" s="22"/>
      <c r="FP172" s="22"/>
      <c r="FQ172" s="46"/>
      <c r="FR172" s="46"/>
      <c r="FS172" s="46"/>
      <c r="FT172" s="46"/>
      <c r="FU172" s="46"/>
      <c r="FV172" s="46"/>
      <c r="FW172" s="46"/>
      <c r="FX172" s="46"/>
      <c r="FY172" s="46"/>
      <c r="FZ172" s="46"/>
      <c r="GA172" s="46"/>
      <c r="GB172" s="46"/>
      <c r="GC172" s="46"/>
      <c r="GD172" s="46"/>
      <c r="GE172" s="46"/>
      <c r="GF172" s="46"/>
      <c r="GG172" s="46"/>
      <c r="GH172" s="46"/>
    </row>
    <row r="173" spans="1:190" x14ac:dyDescent="0.25">
      <c r="A173" s="5" t="s">
        <v>91</v>
      </c>
      <c r="B173" s="1">
        <v>1434</v>
      </c>
      <c r="C173" s="98" t="s">
        <v>96</v>
      </c>
      <c r="D173" s="98" t="s">
        <v>104</v>
      </c>
      <c r="E173" s="1">
        <v>441</v>
      </c>
      <c r="F173" s="22">
        <v>50.88</v>
      </c>
      <c r="G173" s="22">
        <v>0.755</v>
      </c>
      <c r="H173" s="22">
        <v>1.8</v>
      </c>
      <c r="I173" s="22">
        <v>8.9999999999999993E-3</v>
      </c>
      <c r="J173" s="22">
        <v>11.35</v>
      </c>
      <c r="K173" s="22">
        <v>0.435</v>
      </c>
      <c r="L173" s="22">
        <v>14.6</v>
      </c>
      <c r="M173" s="22">
        <v>18.45</v>
      </c>
      <c r="N173" s="22">
        <v>0.34</v>
      </c>
      <c r="O173" s="22">
        <v>0</v>
      </c>
      <c r="P173" s="22">
        <v>0</v>
      </c>
      <c r="Q173" s="22"/>
      <c r="R173" s="22"/>
      <c r="S173" s="22">
        <f t="shared" si="482"/>
        <v>98.619</v>
      </c>
      <c r="T173" s="3"/>
      <c r="U173" s="22">
        <f t="shared" si="483"/>
        <v>9.8413548192625946</v>
      </c>
      <c r="V173" s="22">
        <f t="shared" si="484"/>
        <v>1.6765573893534778</v>
      </c>
      <c r="W173" s="22">
        <f t="shared" si="485"/>
        <v>98.786912208616073</v>
      </c>
      <c r="X173" s="1"/>
      <c r="Y173" s="1"/>
      <c r="Z173" s="1"/>
      <c r="AA173" s="1" t="s">
        <v>185</v>
      </c>
      <c r="AC173" s="1">
        <v>6</v>
      </c>
      <c r="AD173" s="1">
        <v>4</v>
      </c>
      <c r="AE173" s="1"/>
      <c r="AF173" s="26">
        <f t="shared" si="486"/>
        <v>1.9344907500348347</v>
      </c>
      <c r="AG173" s="26">
        <f t="shared" si="487"/>
        <v>2.1590284950293002E-2</v>
      </c>
      <c r="AH173" s="26">
        <f t="shared" si="488"/>
        <v>8.0653302068670704E-2</v>
      </c>
      <c r="AI173" s="26">
        <f t="shared" si="489"/>
        <v>2.7052472790715389E-4</v>
      </c>
      <c r="AJ173" s="26">
        <f t="shared" si="490"/>
        <v>0.36084323515719824</v>
      </c>
      <c r="AK173" s="26">
        <f t="shared" si="491"/>
        <v>1.400707814636361E-2</v>
      </c>
      <c r="AL173" s="26">
        <f t="shared" si="492"/>
        <v>0.82755580308971821</v>
      </c>
      <c r="AM173" s="26">
        <f t="shared" si="493"/>
        <v>0.75151533041143959</v>
      </c>
      <c r="AN173" s="26">
        <f t="shared" si="494"/>
        <v>2.5061486060318442E-2</v>
      </c>
      <c r="AO173" s="26">
        <f t="shared" si="495"/>
        <v>0</v>
      </c>
      <c r="AP173" s="26">
        <f t="shared" si="496"/>
        <v>0</v>
      </c>
      <c r="AQ173" s="26">
        <f t="shared" si="497"/>
        <v>0</v>
      </c>
      <c r="AR173" s="26">
        <f t="shared" si="498"/>
        <v>0</v>
      </c>
      <c r="AS173" s="26">
        <f t="shared" si="499"/>
        <v>4.015987794646743</v>
      </c>
      <c r="AT173" s="26">
        <f t="shared" si="500"/>
        <v>2.0151440521035053</v>
      </c>
      <c r="AU173" s="26">
        <f t="shared" si="501"/>
        <v>0.77657681647175802</v>
      </c>
      <c r="AV173" s="47"/>
      <c r="AW173" s="26">
        <f t="shared" si="502"/>
        <v>1.9267894714356293</v>
      </c>
      <c r="AX173" s="26">
        <f t="shared" si="503"/>
        <v>2.1504333234351507E-2</v>
      </c>
      <c r="AY173" s="26">
        <f t="shared" si="504"/>
        <v>8.0332218316181578E-2</v>
      </c>
      <c r="AZ173" s="26">
        <f t="shared" si="505"/>
        <v>2.6944775904723573E-4</v>
      </c>
      <c r="BA173" s="26">
        <f t="shared" si="506"/>
        <v>0.31163426505830871</v>
      </c>
      <c r="BB173" s="26">
        <f t="shared" si="507"/>
        <v>4.7772439950304335E-2</v>
      </c>
      <c r="BC173" s="26">
        <f t="shared" si="508"/>
        <v>1.3951315454728075E-2</v>
      </c>
      <c r="BD173" s="26">
        <f t="shared" si="509"/>
        <v>0.8242612730973321</v>
      </c>
      <c r="BE173" s="26">
        <f t="shared" si="510"/>
        <v>0.74852352032862157</v>
      </c>
      <c r="BF173" s="26">
        <f t="shared" si="511"/>
        <v>2.4961715365494935E-2</v>
      </c>
      <c r="BG173" s="26">
        <f t="shared" si="512"/>
        <v>0</v>
      </c>
      <c r="BH173" s="26">
        <f t="shared" si="513"/>
        <v>0</v>
      </c>
      <c r="BI173" s="26">
        <f t="shared" si="514"/>
        <v>0</v>
      </c>
      <c r="BJ173" s="26">
        <f t="shared" si="515"/>
        <v>0</v>
      </c>
      <c r="BK173" s="25">
        <f t="shared" si="516"/>
        <v>3.9999999999999996</v>
      </c>
      <c r="BL173" s="24">
        <f t="shared" si="517"/>
        <v>5.9999999999999982</v>
      </c>
      <c r="BM173" s="26">
        <f t="shared" si="518"/>
        <v>2.0071216897518109</v>
      </c>
      <c r="BN173" s="26">
        <f t="shared" si="519"/>
        <v>0.77348523569411654</v>
      </c>
      <c r="BO173" s="22"/>
      <c r="BP173" s="23">
        <f t="shared" si="520"/>
        <v>0.69636189230723267</v>
      </c>
      <c r="BQ173" s="26">
        <f t="shared" si="521"/>
        <v>7.3210528564370714E-2</v>
      </c>
      <c r="BR173" s="26">
        <f t="shared" si="522"/>
        <v>7.1216897518108641E-3</v>
      </c>
      <c r="BS173" s="26"/>
      <c r="BT173" s="26">
        <f t="shared" si="523"/>
        <v>7.1216897518108641E-3</v>
      </c>
      <c r="BU173" s="26">
        <f t="shared" si="524"/>
        <v>0</v>
      </c>
      <c r="BV173" s="26">
        <f t="shared" si="525"/>
        <v>7.1216897518108641E-3</v>
      </c>
      <c r="BW173" s="26">
        <f t="shared" si="526"/>
        <v>1.3526236395357695E-4</v>
      </c>
      <c r="BX173" s="26">
        <f t="shared" si="527"/>
        <v>0.7442583782956752</v>
      </c>
      <c r="BY173" s="26">
        <f t="shared" si="528"/>
        <v>0.22207032997562065</v>
      </c>
      <c r="BZ173" s="26">
        <f t="shared" si="529"/>
        <v>0.98070735013887123</v>
      </c>
      <c r="CA173" s="22"/>
      <c r="CB173" s="22">
        <f t="shared" si="530"/>
        <v>2.4961715365494935E-2</v>
      </c>
      <c r="CC173" s="22">
        <f t="shared" si="531"/>
        <v>0</v>
      </c>
      <c r="CD173" s="22">
        <f t="shared" si="532"/>
        <v>2.28107245848094E-2</v>
      </c>
      <c r="CE173" s="22">
        <f t="shared" si="533"/>
        <v>2.6944775904723573E-4</v>
      </c>
      <c r="CF173" s="22">
        <f t="shared" si="534"/>
        <v>7.1216897518108641E-3</v>
      </c>
      <c r="CG173" s="22">
        <f t="shared" si="535"/>
        <v>0.37164168679922449</v>
      </c>
      <c r="CH173" s="22">
        <f t="shared" si="536"/>
        <v>0.45596747746815797</v>
      </c>
      <c r="CI173" s="22">
        <f t="shared" si="537"/>
        <v>0.17239083573261751</v>
      </c>
      <c r="CJ173" s="22"/>
      <c r="CK173" s="22">
        <f t="shared" si="538"/>
        <v>0.3846190089373373</v>
      </c>
      <c r="CL173" s="22">
        <f t="shared" si="539"/>
        <v>0.42353586140478361</v>
      </c>
      <c r="CM173" s="22">
        <f t="shared" si="540"/>
        <v>0.19184512965787889</v>
      </c>
      <c r="CN173" s="1"/>
      <c r="CO173" s="26">
        <f t="shared" si="541"/>
        <v>0.84687083888149139</v>
      </c>
      <c r="CP173" s="26">
        <f t="shared" si="542"/>
        <v>9.4516775162744125E-3</v>
      </c>
      <c r="CQ173" s="26">
        <f t="shared" si="543"/>
        <v>3.5307963907414676E-2</v>
      </c>
      <c r="CR173" s="26">
        <f t="shared" si="544"/>
        <v>1.1842884400289492E-4</v>
      </c>
      <c r="CS173" s="26">
        <f t="shared" si="545"/>
        <v>0.15796798886569241</v>
      </c>
      <c r="CT173" s="26">
        <f t="shared" si="546"/>
        <v>6.1319424866084016E-3</v>
      </c>
      <c r="CU173" s="26">
        <f t="shared" si="547"/>
        <v>0.3622828784119107</v>
      </c>
      <c r="CV173" s="26">
        <f t="shared" si="548"/>
        <v>0.32899429386590584</v>
      </c>
      <c r="CW173" s="26">
        <f t="shared" si="549"/>
        <v>1.0971281058405939E-2</v>
      </c>
      <c r="CX173" s="26">
        <f t="shared" si="550"/>
        <v>0</v>
      </c>
      <c r="CY173" s="26">
        <f t="shared" si="551"/>
        <v>0</v>
      </c>
      <c r="CZ173" s="26">
        <f t="shared" si="552"/>
        <v>0</v>
      </c>
      <c r="DA173" s="26">
        <f t="shared" si="553"/>
        <v>0</v>
      </c>
      <c r="DB173" s="26">
        <f t="shared" si="554"/>
        <v>1.7580972938377069</v>
      </c>
      <c r="DC173" s="26">
        <f t="shared" si="555"/>
        <v>2.6266473660819778</v>
      </c>
      <c r="DD173" s="26">
        <f t="shared" si="556"/>
        <v>2.2751869387549646</v>
      </c>
      <c r="DE173" s="26">
        <f t="shared" si="557"/>
        <v>5.9761137800248463</v>
      </c>
      <c r="DF173" s="1"/>
      <c r="DG173" s="22"/>
      <c r="DH173" s="14"/>
      <c r="DI173" s="14"/>
      <c r="DJ173" s="14"/>
      <c r="DK173" s="14"/>
      <c r="DL173" s="14"/>
      <c r="DM173" s="96"/>
      <c r="DN173" s="14"/>
      <c r="DO173" s="96"/>
      <c r="DP173" s="22"/>
      <c r="DQ173" s="14"/>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2"/>
      <c r="FP173" s="22"/>
      <c r="FQ173" s="46"/>
      <c r="FR173" s="46"/>
      <c r="FS173" s="46"/>
      <c r="FT173" s="46"/>
      <c r="FU173" s="46"/>
      <c r="FV173" s="46"/>
      <c r="FW173" s="46"/>
      <c r="FX173" s="46"/>
      <c r="FY173" s="46"/>
      <c r="FZ173" s="46"/>
      <c r="GA173" s="46"/>
      <c r="GB173" s="46"/>
      <c r="GC173" s="46"/>
      <c r="GD173" s="46"/>
      <c r="GE173" s="46"/>
      <c r="GF173" s="46"/>
      <c r="GG173" s="46"/>
      <c r="GH173" s="46"/>
    </row>
    <row r="174" spans="1:190" x14ac:dyDescent="0.25">
      <c r="A174" s="5" t="s">
        <v>91</v>
      </c>
      <c r="B174" s="1">
        <v>1435</v>
      </c>
      <c r="C174" s="98" t="s">
        <v>96</v>
      </c>
      <c r="D174" s="98" t="s">
        <v>104</v>
      </c>
      <c r="E174" s="1">
        <v>442</v>
      </c>
      <c r="F174" s="22">
        <v>50.38</v>
      </c>
      <c r="G174" s="22">
        <v>0.81699999999999995</v>
      </c>
      <c r="H174" s="22">
        <v>2.1800000000000002</v>
      </c>
      <c r="I174" s="22">
        <v>0.01</v>
      </c>
      <c r="J174" s="22">
        <v>11.16</v>
      </c>
      <c r="K174" s="22">
        <v>0.42199999999999999</v>
      </c>
      <c r="L174" s="22">
        <v>14.82</v>
      </c>
      <c r="M174" s="22">
        <v>18.62</v>
      </c>
      <c r="N174" s="22">
        <v>0.33100000000000002</v>
      </c>
      <c r="O174" s="22">
        <v>1.7999999999999999E-2</v>
      </c>
      <c r="P174" s="22">
        <v>0</v>
      </c>
      <c r="Q174" s="22"/>
      <c r="R174" s="22"/>
      <c r="S174" s="22">
        <f t="shared" si="482"/>
        <v>98.757999999999996</v>
      </c>
      <c r="T174" s="3"/>
      <c r="U174" s="22">
        <f t="shared" si="483"/>
        <v>8.6891136987378843</v>
      </c>
      <c r="V174" s="22">
        <f t="shared" si="484"/>
        <v>2.7458959465925896</v>
      </c>
      <c r="W174" s="22">
        <f t="shared" si="485"/>
        <v>99.03300964533048</v>
      </c>
      <c r="X174" s="1"/>
      <c r="Y174" s="1"/>
      <c r="Z174" s="1"/>
      <c r="AA174" s="1" t="s">
        <v>185</v>
      </c>
      <c r="AC174" s="1">
        <v>6</v>
      </c>
      <c r="AD174" s="1">
        <v>4</v>
      </c>
      <c r="AE174" s="1"/>
      <c r="AF174" s="26">
        <f t="shared" si="486"/>
        <v>1.9141562130668464</v>
      </c>
      <c r="AG174" s="26">
        <f t="shared" si="487"/>
        <v>2.3347110486746113E-2</v>
      </c>
      <c r="AH174" s="26">
        <f t="shared" si="488"/>
        <v>9.7612582004347331E-2</v>
      </c>
      <c r="AI174" s="26">
        <f t="shared" si="489"/>
        <v>3.0037523174699602E-4</v>
      </c>
      <c r="AJ174" s="26">
        <f t="shared" si="490"/>
        <v>0.3545574051782891</v>
      </c>
      <c r="AK174" s="26">
        <f t="shared" si="491"/>
        <v>1.3579081816817974E-2</v>
      </c>
      <c r="AL174" s="26">
        <f t="shared" si="492"/>
        <v>0.8394450948302834</v>
      </c>
      <c r="AM174" s="26">
        <f t="shared" si="493"/>
        <v>0.75791553676129364</v>
      </c>
      <c r="AN174" s="26">
        <f t="shared" si="494"/>
        <v>2.438122687582734E-2</v>
      </c>
      <c r="AO174" s="26">
        <f t="shared" si="495"/>
        <v>8.7237002815081384E-4</v>
      </c>
      <c r="AP174" s="26">
        <f t="shared" si="496"/>
        <v>0</v>
      </c>
      <c r="AQ174" s="26">
        <f t="shared" si="497"/>
        <v>0</v>
      </c>
      <c r="AR174" s="26">
        <f t="shared" si="498"/>
        <v>0</v>
      </c>
      <c r="AS174" s="26">
        <f t="shared" si="499"/>
        <v>4.0261669962803488</v>
      </c>
      <c r="AT174" s="26">
        <f t="shared" si="500"/>
        <v>2.0117687950711938</v>
      </c>
      <c r="AU174" s="26">
        <f t="shared" si="501"/>
        <v>0.78316913366527174</v>
      </c>
      <c r="AV174" s="47"/>
      <c r="AW174" s="26">
        <f t="shared" si="502"/>
        <v>1.9017156663747685</v>
      </c>
      <c r="AX174" s="26">
        <f t="shared" si="503"/>
        <v>2.3195372182341946E-2</v>
      </c>
      <c r="AY174" s="26">
        <f t="shared" si="504"/>
        <v>9.6978175117453963E-2</v>
      </c>
      <c r="AZ174" s="26">
        <f t="shared" si="505"/>
        <v>2.9842302321240365E-4</v>
      </c>
      <c r="BA174" s="26">
        <f t="shared" si="506"/>
        <v>0.27426226144348487</v>
      </c>
      <c r="BB174" s="26">
        <f t="shared" si="507"/>
        <v>7.7990792645780349E-2</v>
      </c>
      <c r="BC174" s="26">
        <f t="shared" si="508"/>
        <v>1.349082820396001E-2</v>
      </c>
      <c r="BD174" s="26">
        <f t="shared" si="509"/>
        <v>0.83398934580291439</v>
      </c>
      <c r="BE174" s="26">
        <f t="shared" si="510"/>
        <v>0.75298966730541306</v>
      </c>
      <c r="BF174" s="26">
        <f t="shared" si="511"/>
        <v>2.422276760835047E-2</v>
      </c>
      <c r="BG174" s="26">
        <f t="shared" si="512"/>
        <v>8.6670029231948836E-4</v>
      </c>
      <c r="BH174" s="26">
        <f t="shared" si="513"/>
        <v>0</v>
      </c>
      <c r="BI174" s="26">
        <f t="shared" si="514"/>
        <v>0</v>
      </c>
      <c r="BJ174" s="26">
        <f t="shared" si="515"/>
        <v>0</v>
      </c>
      <c r="BK174" s="25">
        <f t="shared" si="516"/>
        <v>3.9999999999999996</v>
      </c>
      <c r="BL174" s="24">
        <f t="shared" si="517"/>
        <v>5.9999999999999982</v>
      </c>
      <c r="BM174" s="26">
        <f t="shared" si="518"/>
        <v>1.9986938414922224</v>
      </c>
      <c r="BN174" s="26">
        <f t="shared" si="519"/>
        <v>0.77807913520608307</v>
      </c>
      <c r="BO174" s="22"/>
      <c r="BP174" s="23">
        <f t="shared" si="520"/>
        <v>0.70305137118578598</v>
      </c>
      <c r="BQ174" s="26">
        <f t="shared" si="521"/>
        <v>9.8284333625231479E-2</v>
      </c>
      <c r="BR174" s="26">
        <f t="shared" si="522"/>
        <v>0</v>
      </c>
      <c r="BS174" s="26"/>
      <c r="BT174" s="26">
        <f t="shared" si="523"/>
        <v>0</v>
      </c>
      <c r="BU174" s="26">
        <f t="shared" si="524"/>
        <v>0</v>
      </c>
      <c r="BV174" s="26">
        <f t="shared" si="525"/>
        <v>0</v>
      </c>
      <c r="BW174" s="26">
        <f t="shared" si="526"/>
        <v>1.5018761587349801E-4</v>
      </c>
      <c r="BX174" s="26">
        <f t="shared" si="527"/>
        <v>0.75776534914542015</v>
      </c>
      <c r="BY174" s="26">
        <f t="shared" si="528"/>
        <v>0.2181185754315762</v>
      </c>
      <c r="BZ174" s="26">
        <f t="shared" si="529"/>
        <v>0.97603411219286984</v>
      </c>
      <c r="CA174" s="22"/>
      <c r="CB174" s="22">
        <f t="shared" si="530"/>
        <v>2.422276760835047E-2</v>
      </c>
      <c r="CC174" s="22">
        <f t="shared" si="531"/>
        <v>0</v>
      </c>
      <c r="CD174" s="22">
        <f t="shared" si="532"/>
        <v>5.3768025037429876E-2</v>
      </c>
      <c r="CE174" s="22">
        <f t="shared" si="533"/>
        <v>2.9842302321240365E-4</v>
      </c>
      <c r="CF174" s="22">
        <f t="shared" si="534"/>
        <v>0</v>
      </c>
      <c r="CG174" s="22">
        <f t="shared" si="535"/>
        <v>0.36157299342656063</v>
      </c>
      <c r="CH174" s="22">
        <f t="shared" si="536"/>
        <v>0.4804336109902137</v>
      </c>
      <c r="CI174" s="22">
        <f t="shared" si="537"/>
        <v>0.15799339558322573</v>
      </c>
      <c r="CJ174" s="22"/>
      <c r="CK174" s="22">
        <f t="shared" si="538"/>
        <v>0.38561009812432717</v>
      </c>
      <c r="CL174" s="22">
        <f t="shared" si="539"/>
        <v>0.42709047339326406</v>
      </c>
      <c r="CM174" s="22">
        <f t="shared" si="540"/>
        <v>0.18729942848240874</v>
      </c>
      <c r="CN174" s="1"/>
      <c r="CO174" s="26">
        <f t="shared" si="541"/>
        <v>0.83854860186418112</v>
      </c>
      <c r="CP174" s="26">
        <f t="shared" si="542"/>
        <v>1.0227841762643967E-2</v>
      </c>
      <c r="CQ174" s="26">
        <f t="shared" si="543"/>
        <v>4.2761867398979997E-2</v>
      </c>
      <c r="CR174" s="26">
        <f t="shared" si="544"/>
        <v>1.3158760444766102E-4</v>
      </c>
      <c r="CS174" s="26">
        <f t="shared" si="545"/>
        <v>0.15532359081419625</v>
      </c>
      <c r="CT174" s="26">
        <f t="shared" si="546"/>
        <v>5.9486890329856212E-3</v>
      </c>
      <c r="CU174" s="26">
        <f t="shared" si="547"/>
        <v>0.36774193548387102</v>
      </c>
      <c r="CV174" s="26">
        <f t="shared" si="548"/>
        <v>0.33202567760342372</v>
      </c>
      <c r="CW174" s="26">
        <f t="shared" si="549"/>
        <v>1.0680864795095193E-2</v>
      </c>
      <c r="CX174" s="26">
        <f t="shared" si="550"/>
        <v>3.8216560509554134E-4</v>
      </c>
      <c r="CY174" s="26">
        <f t="shared" si="551"/>
        <v>0</v>
      </c>
      <c r="CZ174" s="26">
        <f t="shared" si="552"/>
        <v>0</v>
      </c>
      <c r="DA174" s="26">
        <f t="shared" si="553"/>
        <v>0</v>
      </c>
      <c r="DB174" s="26">
        <f t="shared" si="554"/>
        <v>1.7637728219649202</v>
      </c>
      <c r="DC174" s="26">
        <f t="shared" si="555"/>
        <v>2.6284644778933641</v>
      </c>
      <c r="DD174" s="26">
        <f t="shared" si="556"/>
        <v>2.2678657649026617</v>
      </c>
      <c r="DE174" s="26">
        <f t="shared" si="557"/>
        <v>5.9610046036771092</v>
      </c>
      <c r="DF174" s="1"/>
      <c r="DG174" s="22"/>
      <c r="DH174" s="14"/>
      <c r="DI174" s="14"/>
      <c r="DJ174" s="14"/>
      <c r="DK174" s="14"/>
      <c r="DL174" s="14"/>
      <c r="DM174" s="96"/>
      <c r="DN174" s="14"/>
      <c r="DO174" s="96"/>
      <c r="DP174" s="22"/>
      <c r="DQ174" s="14"/>
      <c r="DR174" s="22"/>
      <c r="DS174" s="22"/>
      <c r="DT174" s="22"/>
      <c r="DU174" s="22"/>
      <c r="DV174" s="22"/>
      <c r="DW174" s="22"/>
      <c r="DX174" s="22"/>
      <c r="DY174" s="22"/>
      <c r="DZ174" s="22"/>
      <c r="EA174" s="22"/>
      <c r="EB174" s="22"/>
      <c r="EC174" s="22"/>
      <c r="ED174" s="22"/>
      <c r="EE174" s="22"/>
      <c r="EF174" s="22"/>
      <c r="EG174" s="22"/>
      <c r="EH174" s="22"/>
      <c r="EI174" s="22"/>
      <c r="EJ174" s="22"/>
      <c r="EK174" s="22"/>
      <c r="EL174" s="22"/>
      <c r="EM174" s="22"/>
      <c r="EN174" s="22"/>
      <c r="EO174" s="22"/>
      <c r="EP174" s="22"/>
      <c r="EQ174" s="22"/>
      <c r="ER174" s="22"/>
      <c r="ES174" s="22"/>
      <c r="ET174" s="22"/>
      <c r="EU174" s="22"/>
      <c r="EV174" s="22"/>
      <c r="EW174" s="22"/>
      <c r="EX174" s="22"/>
      <c r="EY174" s="22"/>
      <c r="EZ174" s="22"/>
      <c r="FA174" s="22"/>
      <c r="FB174" s="22"/>
      <c r="FC174" s="22"/>
      <c r="FD174" s="22"/>
      <c r="FE174" s="22"/>
      <c r="FF174" s="22"/>
      <c r="FG174" s="22"/>
      <c r="FH174" s="22"/>
      <c r="FI174" s="22"/>
      <c r="FJ174" s="22"/>
      <c r="FK174" s="22"/>
      <c r="FL174" s="22"/>
      <c r="FM174" s="22"/>
      <c r="FN174" s="22"/>
      <c r="FO174" s="22"/>
      <c r="FP174" s="22"/>
      <c r="FQ174" s="46"/>
      <c r="FR174" s="46"/>
      <c r="FS174" s="46"/>
      <c r="FT174" s="46"/>
      <c r="FU174" s="46"/>
      <c r="FV174" s="46"/>
      <c r="FW174" s="46"/>
      <c r="FX174" s="46"/>
      <c r="FY174" s="46"/>
      <c r="FZ174" s="46"/>
      <c r="GA174" s="46"/>
      <c r="GB174" s="46"/>
      <c r="GC174" s="46"/>
      <c r="GD174" s="46"/>
      <c r="GE174" s="46"/>
      <c r="GF174" s="46"/>
      <c r="GG174" s="46"/>
      <c r="GH174" s="46"/>
    </row>
    <row r="175" spans="1:190" x14ac:dyDescent="0.25">
      <c r="A175" s="5" t="s">
        <v>91</v>
      </c>
      <c r="B175" s="1">
        <v>1436</v>
      </c>
      <c r="C175" s="98" t="s">
        <v>96</v>
      </c>
      <c r="D175" s="98" t="s">
        <v>104</v>
      </c>
      <c r="E175" s="1">
        <v>443</v>
      </c>
      <c r="F175" s="22">
        <v>50.58</v>
      </c>
      <c r="G175" s="22">
        <v>0.39600000000000002</v>
      </c>
      <c r="H175" s="22">
        <v>2.75</v>
      </c>
      <c r="I175" s="22">
        <v>1.0999999999999999E-2</v>
      </c>
      <c r="J175" s="22">
        <v>7.26</v>
      </c>
      <c r="K175" s="22">
        <v>0.19700000000000001</v>
      </c>
      <c r="L175" s="22">
        <v>16.05</v>
      </c>
      <c r="M175" s="22">
        <v>19.87</v>
      </c>
      <c r="N175" s="22">
        <v>0.22500000000000001</v>
      </c>
      <c r="O175" s="22">
        <v>0</v>
      </c>
      <c r="P175" s="22">
        <v>0</v>
      </c>
      <c r="Q175" s="22"/>
      <c r="R175" s="22"/>
      <c r="S175" s="22">
        <f t="shared" si="482"/>
        <v>97.338999999999999</v>
      </c>
      <c r="T175" s="3"/>
      <c r="U175" s="22">
        <f t="shared" si="483"/>
        <v>5.5294922094246486</v>
      </c>
      <c r="V175" s="22">
        <f t="shared" si="484"/>
        <v>1.9231133076663873</v>
      </c>
      <c r="W175" s="22">
        <f t="shared" si="485"/>
        <v>97.531605517091037</v>
      </c>
      <c r="X175" s="1"/>
      <c r="Y175" s="1"/>
      <c r="Z175" s="1"/>
      <c r="AA175" s="1" t="s">
        <v>185</v>
      </c>
      <c r="AC175" s="1">
        <v>6</v>
      </c>
      <c r="AD175" s="1">
        <v>4</v>
      </c>
      <c r="AE175" s="1"/>
      <c r="AF175" s="26">
        <f t="shared" si="486"/>
        <v>1.9171120011143934</v>
      </c>
      <c r="AG175" s="26">
        <f t="shared" si="487"/>
        <v>1.128900627896008E-2</v>
      </c>
      <c r="AH175" s="26">
        <f t="shared" si="488"/>
        <v>0.12283763534219999</v>
      </c>
      <c r="AI175" s="26">
        <f t="shared" si="489"/>
        <v>3.2961445620082131E-4</v>
      </c>
      <c r="AJ175" s="26">
        <f t="shared" si="490"/>
        <v>0.23009566312216756</v>
      </c>
      <c r="AK175" s="26">
        <f t="shared" si="491"/>
        <v>6.3237344849672453E-3</v>
      </c>
      <c r="AL175" s="26">
        <f t="shared" si="492"/>
        <v>0.90691915658392019</v>
      </c>
      <c r="AM175" s="26">
        <f t="shared" si="493"/>
        <v>0.80684190669459355</v>
      </c>
      <c r="AN175" s="26">
        <f t="shared" si="494"/>
        <v>1.6533299260086304E-2</v>
      </c>
      <c r="AO175" s="26">
        <f t="shared" si="495"/>
        <v>0</v>
      </c>
      <c r="AP175" s="26">
        <f t="shared" si="496"/>
        <v>0</v>
      </c>
      <c r="AQ175" s="26">
        <f t="shared" si="497"/>
        <v>0</v>
      </c>
      <c r="AR175" s="26">
        <f t="shared" si="498"/>
        <v>0</v>
      </c>
      <c r="AS175" s="26">
        <f t="shared" si="499"/>
        <v>4.0182820173374889</v>
      </c>
      <c r="AT175" s="26">
        <f t="shared" si="500"/>
        <v>2.0399496364565932</v>
      </c>
      <c r="AU175" s="26">
        <f t="shared" si="501"/>
        <v>0.82337520595467983</v>
      </c>
      <c r="AV175" s="47"/>
      <c r="AW175" s="26">
        <f t="shared" si="502"/>
        <v>1.90838969772925</v>
      </c>
      <c r="AX175" s="26">
        <f t="shared" si="503"/>
        <v>1.123764457571862E-2</v>
      </c>
      <c r="AY175" s="26">
        <f t="shared" si="504"/>
        <v>0.12227875974080296</v>
      </c>
      <c r="AZ175" s="26">
        <f t="shared" si="505"/>
        <v>3.2811480605756343E-4</v>
      </c>
      <c r="BA175" s="26">
        <f t="shared" si="506"/>
        <v>0.17445227622507245</v>
      </c>
      <c r="BB175" s="26">
        <f t="shared" si="507"/>
        <v>5.4596518388530857E-2</v>
      </c>
      <c r="BC175" s="26">
        <f t="shared" si="508"/>
        <v>6.2949633277928525E-3</v>
      </c>
      <c r="BD175" s="26">
        <f t="shared" si="509"/>
        <v>0.90279293754980805</v>
      </c>
      <c r="BE175" s="26">
        <f t="shared" si="510"/>
        <v>0.80317101011163605</v>
      </c>
      <c r="BF175" s="26">
        <f t="shared" si="511"/>
        <v>1.6458077545329935E-2</v>
      </c>
      <c r="BG175" s="26">
        <f t="shared" si="512"/>
        <v>0</v>
      </c>
      <c r="BH175" s="26">
        <f t="shared" si="513"/>
        <v>0</v>
      </c>
      <c r="BI175" s="26">
        <f t="shared" si="514"/>
        <v>0</v>
      </c>
      <c r="BJ175" s="26">
        <f t="shared" si="515"/>
        <v>0</v>
      </c>
      <c r="BK175" s="25">
        <f t="shared" si="516"/>
        <v>3.9999999999999987</v>
      </c>
      <c r="BL175" s="24">
        <f t="shared" si="517"/>
        <v>5.9999999999999991</v>
      </c>
      <c r="BM175" s="26">
        <f t="shared" si="518"/>
        <v>2.0306684574700529</v>
      </c>
      <c r="BN175" s="26">
        <f t="shared" si="519"/>
        <v>0.81962908765696596</v>
      </c>
      <c r="BO175" s="22"/>
      <c r="BP175" s="23">
        <f t="shared" si="520"/>
        <v>0.79763178180769356</v>
      </c>
      <c r="BQ175" s="26">
        <f t="shared" si="521"/>
        <v>9.1610302270749955E-2</v>
      </c>
      <c r="BR175" s="26">
        <f t="shared" si="522"/>
        <v>3.0668457470053007E-2</v>
      </c>
      <c r="BS175" s="26"/>
      <c r="BT175" s="26">
        <f t="shared" si="523"/>
        <v>1.6533299260086304E-2</v>
      </c>
      <c r="BU175" s="26">
        <f t="shared" si="524"/>
        <v>1.4210379924723071E-2</v>
      </c>
      <c r="BV175" s="26">
        <f t="shared" si="525"/>
        <v>2.3563267507691471E-2</v>
      </c>
      <c r="BW175" s="26">
        <f t="shared" si="526"/>
        <v>1.6480722810041065E-4</v>
      </c>
      <c r="BX175" s="26">
        <f t="shared" si="527"/>
        <v>0.76890345203407862</v>
      </c>
      <c r="BY175" s="26">
        <f t="shared" si="528"/>
        <v>0.18405568383600451</v>
      </c>
      <c r="BZ175" s="26">
        <f t="shared" si="529"/>
        <v>1.0074308897906843</v>
      </c>
      <c r="CA175" s="22"/>
      <c r="CB175" s="22">
        <f t="shared" si="530"/>
        <v>1.6458077545329935E-2</v>
      </c>
      <c r="CC175" s="22">
        <f t="shared" si="531"/>
        <v>0</v>
      </c>
      <c r="CD175" s="22">
        <f t="shared" si="532"/>
        <v>3.8138440843200921E-2</v>
      </c>
      <c r="CE175" s="22">
        <f t="shared" si="533"/>
        <v>3.2811480605756343E-4</v>
      </c>
      <c r="CF175" s="22">
        <f t="shared" si="534"/>
        <v>3.0668457470053007E-2</v>
      </c>
      <c r="CG175" s="22">
        <f t="shared" si="535"/>
        <v>0.37524703726882724</v>
      </c>
      <c r="CH175" s="22">
        <f t="shared" si="536"/>
        <v>0.52357862003449929</v>
      </c>
      <c r="CI175" s="22">
        <f t="shared" si="537"/>
        <v>0.1011743426966734</v>
      </c>
      <c r="CJ175" s="22"/>
      <c r="CK175" s="22">
        <f t="shared" si="538"/>
        <v>0.41372679240575355</v>
      </c>
      <c r="CL175" s="22">
        <f t="shared" si="539"/>
        <v>0.46504370994059441</v>
      </c>
      <c r="CM175" s="22">
        <f t="shared" si="540"/>
        <v>0.12122949765365205</v>
      </c>
      <c r="CN175" s="1"/>
      <c r="CO175" s="26">
        <f t="shared" si="541"/>
        <v>0.84187749667110523</v>
      </c>
      <c r="CP175" s="26">
        <f t="shared" si="542"/>
        <v>4.9574361542313473E-3</v>
      </c>
      <c r="CQ175" s="26">
        <f t="shared" si="543"/>
        <v>5.3942722636327975E-2</v>
      </c>
      <c r="CR175" s="26">
        <f t="shared" si="544"/>
        <v>1.4474636489242711E-4</v>
      </c>
      <c r="CS175" s="26">
        <f t="shared" si="545"/>
        <v>0.10104384133611692</v>
      </c>
      <c r="CT175" s="26">
        <f t="shared" si="546"/>
        <v>2.7769946433605867E-3</v>
      </c>
      <c r="CU175" s="26">
        <f t="shared" si="547"/>
        <v>0.3982630272952854</v>
      </c>
      <c r="CV175" s="26">
        <f t="shared" si="548"/>
        <v>0.35431526390870188</v>
      </c>
      <c r="CW175" s="26">
        <f t="shared" si="549"/>
        <v>7.2604065827686359E-3</v>
      </c>
      <c r="CX175" s="26">
        <f t="shared" si="550"/>
        <v>0</v>
      </c>
      <c r="CY175" s="26">
        <f t="shared" si="551"/>
        <v>0</v>
      </c>
      <c r="CZ175" s="26">
        <f t="shared" si="552"/>
        <v>0</v>
      </c>
      <c r="DA175" s="26">
        <f t="shared" si="553"/>
        <v>0</v>
      </c>
      <c r="DB175" s="26">
        <f t="shared" si="554"/>
        <v>1.7645819355927905</v>
      </c>
      <c r="DC175" s="26">
        <f t="shared" si="555"/>
        <v>2.634830399627353</v>
      </c>
      <c r="DD175" s="26">
        <f t="shared" si="556"/>
        <v>2.2668258805767763</v>
      </c>
      <c r="DE175" s="26">
        <f t="shared" si="557"/>
        <v>5.9727017408057339</v>
      </c>
      <c r="DF175" s="1"/>
      <c r="DG175" s="22"/>
      <c r="DH175" s="14"/>
      <c r="DI175" s="14"/>
      <c r="DJ175" s="14"/>
      <c r="DK175" s="14"/>
      <c r="DL175" s="14"/>
      <c r="DM175" s="96"/>
      <c r="DN175" s="14"/>
      <c r="DO175" s="96"/>
      <c r="DP175" s="22"/>
      <c r="DQ175" s="14"/>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2"/>
      <c r="FP175" s="22"/>
      <c r="FQ175" s="46"/>
      <c r="FR175" s="46"/>
      <c r="FS175" s="46"/>
      <c r="FT175" s="46"/>
      <c r="FU175" s="46"/>
      <c r="FV175" s="46"/>
      <c r="FW175" s="46"/>
      <c r="FX175" s="46"/>
      <c r="FY175" s="46"/>
      <c r="FZ175" s="46"/>
      <c r="GA175" s="46"/>
      <c r="GB175" s="46"/>
      <c r="GC175" s="46"/>
      <c r="GD175" s="46"/>
      <c r="GE175" s="46"/>
      <c r="GF175" s="46"/>
      <c r="GG175" s="46"/>
      <c r="GH175" s="46"/>
    </row>
    <row r="176" spans="1:190" x14ac:dyDescent="0.25">
      <c r="A176" s="5" t="s">
        <v>91</v>
      </c>
      <c r="B176" s="1">
        <v>1437</v>
      </c>
      <c r="C176" s="98" t="s">
        <v>96</v>
      </c>
      <c r="D176" s="98" t="s">
        <v>104</v>
      </c>
      <c r="E176" s="1">
        <v>444</v>
      </c>
      <c r="F176" s="22">
        <v>50.56</v>
      </c>
      <c r="G176" s="22">
        <v>0.69699999999999995</v>
      </c>
      <c r="H176" s="22">
        <v>2.0699999999999998</v>
      </c>
      <c r="I176" s="22">
        <v>3.5999999999999997E-2</v>
      </c>
      <c r="J176" s="22">
        <v>11.45</v>
      </c>
      <c r="K176" s="22">
        <v>0.379</v>
      </c>
      <c r="L176" s="22">
        <v>14.97</v>
      </c>
      <c r="M176" s="22">
        <v>17.760000000000002</v>
      </c>
      <c r="N176" s="22">
        <v>0.35699999999999998</v>
      </c>
      <c r="O176" s="22">
        <v>8.0000000000000002E-3</v>
      </c>
      <c r="P176" s="22">
        <v>0</v>
      </c>
      <c r="Q176" s="22"/>
      <c r="R176" s="22"/>
      <c r="S176" s="22">
        <f t="shared" si="482"/>
        <v>98.287000000000006</v>
      </c>
      <c r="T176" s="3"/>
      <c r="U176" s="22">
        <f t="shared" si="483"/>
        <v>9.584344351787653</v>
      </c>
      <c r="V176" s="22">
        <f t="shared" si="484"/>
        <v>2.0733031218583799</v>
      </c>
      <c r="W176" s="22">
        <f t="shared" si="485"/>
        <v>98.494647473646054</v>
      </c>
      <c r="X176" s="1"/>
      <c r="Y176" s="1"/>
      <c r="Z176" s="1"/>
      <c r="AA176" s="1" t="s">
        <v>185</v>
      </c>
      <c r="AC176" s="1">
        <v>6</v>
      </c>
      <c r="AD176" s="1">
        <v>4</v>
      </c>
      <c r="AE176" s="1"/>
      <c r="AF176" s="26">
        <f t="shared" si="486"/>
        <v>1.9265698634257045</v>
      </c>
      <c r="AG176" s="26">
        <f t="shared" si="487"/>
        <v>1.9975715458088135E-2</v>
      </c>
      <c r="AH176" s="26">
        <f t="shared" si="488"/>
        <v>9.2956151599091263E-2</v>
      </c>
      <c r="AI176" s="26">
        <f t="shared" si="489"/>
        <v>1.0844888785066919E-3</v>
      </c>
      <c r="AJ176" s="26">
        <f t="shared" si="490"/>
        <v>0.36482646527805951</v>
      </c>
      <c r="AK176" s="26">
        <f t="shared" si="491"/>
        <v>1.2230822036651467E-2</v>
      </c>
      <c r="AL176" s="26">
        <f t="shared" si="492"/>
        <v>0.85040220075963424</v>
      </c>
      <c r="AM176" s="26">
        <f t="shared" si="493"/>
        <v>0.72500763098390253</v>
      </c>
      <c r="AN176" s="26">
        <f t="shared" si="494"/>
        <v>2.6372679752425E-2</v>
      </c>
      <c r="AO176" s="26">
        <f t="shared" si="495"/>
        <v>3.8884516311448955E-4</v>
      </c>
      <c r="AP176" s="26">
        <f t="shared" si="496"/>
        <v>0</v>
      </c>
      <c r="AQ176" s="26">
        <f t="shared" si="497"/>
        <v>0</v>
      </c>
      <c r="AR176" s="26">
        <f t="shared" si="498"/>
        <v>0</v>
      </c>
      <c r="AS176" s="26">
        <f t="shared" si="499"/>
        <v>4.0198148633351778</v>
      </c>
      <c r="AT176" s="26">
        <f t="shared" si="500"/>
        <v>2.0195260150247956</v>
      </c>
      <c r="AU176" s="26">
        <f t="shared" si="501"/>
        <v>0.75176915589944193</v>
      </c>
      <c r="AV176" s="47"/>
      <c r="AW176" s="26">
        <f t="shared" si="502"/>
        <v>1.9170732274244684</v>
      </c>
      <c r="AX176" s="26">
        <f t="shared" si="503"/>
        <v>1.9877249213924836E-2</v>
      </c>
      <c r="AY176" s="26">
        <f t="shared" si="504"/>
        <v>9.2497943073892711E-2</v>
      </c>
      <c r="AZ176" s="26">
        <f t="shared" si="505"/>
        <v>1.0791431101947896E-3</v>
      </c>
      <c r="BA176" s="26">
        <f t="shared" si="506"/>
        <v>0.30387655715980466</v>
      </c>
      <c r="BB176" s="26">
        <f t="shared" si="507"/>
        <v>5.9151569936942927E-2</v>
      </c>
      <c r="BC176" s="26">
        <f t="shared" si="508"/>
        <v>1.2170532676227527E-2</v>
      </c>
      <c r="BD176" s="26">
        <f t="shared" si="509"/>
        <v>0.84621031532190394</v>
      </c>
      <c r="BE176" s="26">
        <f t="shared" si="510"/>
        <v>0.72143385268482241</v>
      </c>
      <c r="BF176" s="26">
        <f t="shared" si="511"/>
        <v>2.6242680968191653E-2</v>
      </c>
      <c r="BG176" s="26">
        <f t="shared" si="512"/>
        <v>3.8692842962610545E-4</v>
      </c>
      <c r="BH176" s="26">
        <f t="shared" si="513"/>
        <v>0</v>
      </c>
      <c r="BI176" s="26">
        <f t="shared" si="514"/>
        <v>0</v>
      </c>
      <c r="BJ176" s="26">
        <f t="shared" si="515"/>
        <v>0</v>
      </c>
      <c r="BK176" s="25">
        <f t="shared" si="516"/>
        <v>3.9999999999999996</v>
      </c>
      <c r="BL176" s="24">
        <f t="shared" si="517"/>
        <v>5.9999999999999991</v>
      </c>
      <c r="BM176" s="26">
        <f t="shared" si="518"/>
        <v>2.009571170498361</v>
      </c>
      <c r="BN176" s="26">
        <f t="shared" si="519"/>
        <v>0.74806346208264007</v>
      </c>
      <c r="BO176" s="22"/>
      <c r="BP176" s="23">
        <f t="shared" si="520"/>
        <v>0.69978780498357396</v>
      </c>
      <c r="BQ176" s="26">
        <f t="shared" si="521"/>
        <v>8.2926772575531604E-2</v>
      </c>
      <c r="BR176" s="26">
        <f t="shared" si="522"/>
        <v>9.5711704983611062E-3</v>
      </c>
      <c r="BS176" s="26"/>
      <c r="BT176" s="26">
        <f t="shared" si="523"/>
        <v>9.5711704983611062E-3</v>
      </c>
      <c r="BU176" s="26">
        <f t="shared" si="524"/>
        <v>0</v>
      </c>
      <c r="BV176" s="26">
        <f t="shared" si="525"/>
        <v>9.5711704983611062E-3</v>
      </c>
      <c r="BW176" s="26">
        <f t="shared" si="526"/>
        <v>5.4224443925334593E-4</v>
      </c>
      <c r="BX176" s="26">
        <f t="shared" si="527"/>
        <v>0.71489421604628811</v>
      </c>
      <c r="BY176" s="26">
        <f t="shared" si="528"/>
        <v>0.25016722499570276</v>
      </c>
      <c r="BZ176" s="26">
        <f t="shared" si="529"/>
        <v>0.98474602647796639</v>
      </c>
      <c r="CA176" s="22"/>
      <c r="CB176" s="22">
        <f t="shared" si="530"/>
        <v>2.6242680968191653E-2</v>
      </c>
      <c r="CC176" s="22">
        <f t="shared" si="531"/>
        <v>0</v>
      </c>
      <c r="CD176" s="22">
        <f t="shared" si="532"/>
        <v>3.2908888968751271E-2</v>
      </c>
      <c r="CE176" s="22">
        <f t="shared" si="533"/>
        <v>1.0791431101947896E-3</v>
      </c>
      <c r="CF176" s="22">
        <f t="shared" si="534"/>
        <v>9.5711704983611062E-3</v>
      </c>
      <c r="CG176" s="22">
        <f t="shared" si="535"/>
        <v>0.35205866553785342</v>
      </c>
      <c r="CH176" s="22">
        <f t="shared" si="536"/>
        <v>0.47674193494807371</v>
      </c>
      <c r="CI176" s="22">
        <f t="shared" si="537"/>
        <v>0.17119939951407284</v>
      </c>
      <c r="CJ176" s="22"/>
      <c r="CK176" s="22">
        <f t="shared" si="538"/>
        <v>0.37132898367763673</v>
      </c>
      <c r="CL176" s="22">
        <f t="shared" si="539"/>
        <v>0.43555263617951057</v>
      </c>
      <c r="CM176" s="22">
        <f t="shared" si="540"/>
        <v>0.1931183801428526</v>
      </c>
      <c r="CN176" s="1"/>
      <c r="CO176" s="26">
        <f t="shared" si="541"/>
        <v>0.8415446071904128</v>
      </c>
      <c r="CP176" s="26">
        <f t="shared" si="542"/>
        <v>8.7255883825738609E-3</v>
      </c>
      <c r="CQ176" s="26">
        <f t="shared" si="543"/>
        <v>4.0604158493526873E-2</v>
      </c>
      <c r="CR176" s="26">
        <f t="shared" si="544"/>
        <v>4.7371537601157966E-4</v>
      </c>
      <c r="CS176" s="26">
        <f t="shared" si="545"/>
        <v>0.15935977731384829</v>
      </c>
      <c r="CT176" s="26">
        <f t="shared" si="546"/>
        <v>5.3425429940795041E-3</v>
      </c>
      <c r="CU176" s="26">
        <f t="shared" si="547"/>
        <v>0.37146401985111666</v>
      </c>
      <c r="CV176" s="26">
        <f t="shared" si="548"/>
        <v>0.31669044222539233</v>
      </c>
      <c r="CW176" s="26">
        <f t="shared" si="549"/>
        <v>1.1519845111326234E-2</v>
      </c>
      <c r="CX176" s="26">
        <f t="shared" si="550"/>
        <v>1.6985138004246286E-4</v>
      </c>
      <c r="CY176" s="26">
        <f t="shared" si="551"/>
        <v>0</v>
      </c>
      <c r="CZ176" s="26">
        <f t="shared" si="552"/>
        <v>0</v>
      </c>
      <c r="DA176" s="26">
        <f t="shared" si="553"/>
        <v>0</v>
      </c>
      <c r="DB176" s="26">
        <f t="shared" si="554"/>
        <v>1.7558945483183306</v>
      </c>
      <c r="DC176" s="26">
        <f t="shared" si="555"/>
        <v>2.6208588325804021</v>
      </c>
      <c r="DD176" s="26">
        <f t="shared" si="556"/>
        <v>2.2780411294236957</v>
      </c>
      <c r="DE176" s="26">
        <f t="shared" si="557"/>
        <v>5.9704242150315281</v>
      </c>
      <c r="DF176" s="1"/>
      <c r="DG176" s="22"/>
      <c r="DH176" s="14"/>
      <c r="DI176" s="14"/>
      <c r="DJ176" s="14"/>
      <c r="DK176" s="14"/>
      <c r="DL176" s="14"/>
      <c r="DM176" s="96"/>
      <c r="DN176" s="14"/>
      <c r="DO176" s="96"/>
      <c r="DP176" s="22"/>
      <c r="DQ176" s="14"/>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46"/>
      <c r="FR176" s="46"/>
      <c r="FS176" s="46"/>
      <c r="FT176" s="46"/>
      <c r="FU176" s="46"/>
      <c r="FV176" s="46"/>
      <c r="FW176" s="46"/>
      <c r="FX176" s="46"/>
      <c r="FY176" s="46"/>
      <c r="FZ176" s="46"/>
      <c r="GA176" s="46"/>
      <c r="GB176" s="46"/>
      <c r="GC176" s="46"/>
      <c r="GD176" s="46"/>
      <c r="GE176" s="46"/>
      <c r="GF176" s="46"/>
      <c r="GG176" s="46"/>
      <c r="GH176" s="46"/>
    </row>
    <row r="177" spans="1:190" x14ac:dyDescent="0.25">
      <c r="A177" s="5" t="s">
        <v>91</v>
      </c>
      <c r="B177" s="1">
        <v>1438</v>
      </c>
      <c r="C177" s="98" t="s">
        <v>96</v>
      </c>
      <c r="D177" s="98" t="s">
        <v>104</v>
      </c>
      <c r="E177" s="1">
        <v>445</v>
      </c>
      <c r="F177" s="22">
        <v>50.85</v>
      </c>
      <c r="G177" s="22">
        <v>0.48099999999999998</v>
      </c>
      <c r="H177" s="22">
        <v>1.871</v>
      </c>
      <c r="I177" s="22">
        <v>5.1999999999999998E-2</v>
      </c>
      <c r="J177" s="22">
        <v>9.98</v>
      </c>
      <c r="K177" s="22">
        <v>0.26900000000000002</v>
      </c>
      <c r="L177" s="22">
        <v>14.93</v>
      </c>
      <c r="M177" s="22">
        <v>19.440000000000001</v>
      </c>
      <c r="N177" s="22">
        <v>0.29899999999999999</v>
      </c>
      <c r="O177" s="22">
        <v>0</v>
      </c>
      <c r="P177" s="22">
        <v>0</v>
      </c>
      <c r="Q177" s="22"/>
      <c r="R177" s="22"/>
      <c r="S177" s="22">
        <f t="shared" si="482"/>
        <v>98.172000000000011</v>
      </c>
      <c r="T177" s="3"/>
      <c r="U177" s="22">
        <f t="shared" si="483"/>
        <v>8.0605240506669205</v>
      </c>
      <c r="V177" s="22">
        <f t="shared" si="484"/>
        <v>2.1331136224938509</v>
      </c>
      <c r="W177" s="22">
        <f t="shared" si="485"/>
        <v>98.385637673160772</v>
      </c>
      <c r="X177" s="1">
        <v>19</v>
      </c>
      <c r="Y177" s="1">
        <v>1</v>
      </c>
      <c r="Z177" s="1">
        <v>0</v>
      </c>
      <c r="AA177" s="1" t="s">
        <v>185</v>
      </c>
      <c r="AC177" s="1">
        <v>6</v>
      </c>
      <c r="AD177" s="1">
        <v>4</v>
      </c>
      <c r="AE177" s="1"/>
      <c r="AF177" s="26">
        <f t="shared" si="486"/>
        <v>1.9341956630398829</v>
      </c>
      <c r="AG177" s="26">
        <f t="shared" si="487"/>
        <v>1.3760885843131657E-2</v>
      </c>
      <c r="AH177" s="26">
        <f t="shared" si="488"/>
        <v>8.3871291049298483E-2</v>
      </c>
      <c r="AI177" s="26">
        <f t="shared" si="489"/>
        <v>1.5637153385259792E-3</v>
      </c>
      <c r="AJ177" s="26">
        <f t="shared" si="490"/>
        <v>0.31742647089818338</v>
      </c>
      <c r="AK177" s="26">
        <f t="shared" si="491"/>
        <v>8.665636503137758E-3</v>
      </c>
      <c r="AL177" s="26">
        <f t="shared" si="492"/>
        <v>0.8466309357552193</v>
      </c>
      <c r="AM177" s="26">
        <f t="shared" si="493"/>
        <v>0.79218684729950295</v>
      </c>
      <c r="AN177" s="26">
        <f t="shared" si="494"/>
        <v>2.2049004392380459E-2</v>
      </c>
      <c r="AO177" s="26">
        <f t="shared" si="495"/>
        <v>0</v>
      </c>
      <c r="AP177" s="26">
        <f t="shared" si="496"/>
        <v>0</v>
      </c>
      <c r="AQ177" s="26">
        <f t="shared" si="497"/>
        <v>0</v>
      </c>
      <c r="AR177" s="26">
        <f t="shared" si="498"/>
        <v>0</v>
      </c>
      <c r="AS177" s="26">
        <f t="shared" si="499"/>
        <v>4.0203504501192633</v>
      </c>
      <c r="AT177" s="26">
        <f t="shared" si="500"/>
        <v>2.0180669540891816</v>
      </c>
      <c r="AU177" s="26">
        <f t="shared" si="501"/>
        <v>0.81423585169188339</v>
      </c>
      <c r="AV177" s="47"/>
      <c r="AW177" s="26">
        <f t="shared" si="502"/>
        <v>1.9244050358669655</v>
      </c>
      <c r="AX177" s="26">
        <f t="shared" si="503"/>
        <v>1.3691230168975388E-2</v>
      </c>
      <c r="AY177" s="26">
        <f t="shared" si="504"/>
        <v>8.3446746337061686E-2</v>
      </c>
      <c r="AZ177" s="26">
        <f t="shared" si="505"/>
        <v>1.5558000307954168E-3</v>
      </c>
      <c r="BA177" s="26">
        <f t="shared" si="506"/>
        <v>0.2550773856371536</v>
      </c>
      <c r="BB177" s="26">
        <f t="shared" si="507"/>
        <v>6.0742316984807587E-2</v>
      </c>
      <c r="BC177" s="26">
        <f t="shared" si="508"/>
        <v>8.6217722665253658E-3</v>
      </c>
      <c r="BD177" s="26">
        <f t="shared" si="509"/>
        <v>0.84234540869948704</v>
      </c>
      <c r="BE177" s="26">
        <f t="shared" si="510"/>
        <v>0.78817690858368128</v>
      </c>
      <c r="BF177" s="26">
        <f t="shared" si="511"/>
        <v>2.1937395424547014E-2</v>
      </c>
      <c r="BG177" s="26">
        <f t="shared" si="512"/>
        <v>0</v>
      </c>
      <c r="BH177" s="26">
        <f t="shared" si="513"/>
        <v>0</v>
      </c>
      <c r="BI177" s="26">
        <f t="shared" si="514"/>
        <v>0</v>
      </c>
      <c r="BJ177" s="26">
        <f t="shared" si="515"/>
        <v>0</v>
      </c>
      <c r="BK177" s="25">
        <f t="shared" si="516"/>
        <v>4</v>
      </c>
      <c r="BL177" s="24">
        <f t="shared" si="517"/>
        <v>6</v>
      </c>
      <c r="BM177" s="26">
        <f t="shared" si="518"/>
        <v>2.0078517822040274</v>
      </c>
      <c r="BN177" s="26">
        <f t="shared" si="519"/>
        <v>0.81011430400822826</v>
      </c>
      <c r="BO177" s="22"/>
      <c r="BP177" s="23">
        <f t="shared" si="520"/>
        <v>0.7273102949357404</v>
      </c>
      <c r="BQ177" s="26">
        <f t="shared" si="521"/>
        <v>7.5594964133034459E-2</v>
      </c>
      <c r="BR177" s="26">
        <f t="shared" si="522"/>
        <v>7.8517822040272273E-3</v>
      </c>
      <c r="BS177" s="26"/>
      <c r="BT177" s="26">
        <f t="shared" si="523"/>
        <v>7.8517822040272273E-3</v>
      </c>
      <c r="BU177" s="26">
        <f t="shared" si="524"/>
        <v>0</v>
      </c>
      <c r="BV177" s="26">
        <f t="shared" si="525"/>
        <v>7.8517822040272273E-3</v>
      </c>
      <c r="BW177" s="26">
        <f t="shared" si="526"/>
        <v>7.818576692629896E-4</v>
      </c>
      <c r="BX177" s="26">
        <f t="shared" si="527"/>
        <v>0.78355320742621271</v>
      </c>
      <c r="BY177" s="26">
        <f t="shared" si="528"/>
        <v>0.19025209961359496</v>
      </c>
      <c r="BZ177" s="26">
        <f t="shared" si="529"/>
        <v>0.99029072911712501</v>
      </c>
      <c r="CA177" s="22"/>
      <c r="CB177" s="22">
        <f t="shared" si="530"/>
        <v>2.1937395424547014E-2</v>
      </c>
      <c r="CC177" s="22">
        <f t="shared" si="531"/>
        <v>0</v>
      </c>
      <c r="CD177" s="22">
        <f t="shared" si="532"/>
        <v>3.8804921560260573E-2</v>
      </c>
      <c r="CE177" s="22">
        <f t="shared" si="533"/>
        <v>1.5558000307954168E-3</v>
      </c>
      <c r="CF177" s="22">
        <f t="shared" si="534"/>
        <v>7.8517822040272273E-3</v>
      </c>
      <c r="CG177" s="22">
        <f t="shared" si="535"/>
        <v>0.38095090010657251</v>
      </c>
      <c r="CH177" s="22">
        <f t="shared" si="536"/>
        <v>0.47516159655675971</v>
      </c>
      <c r="CI177" s="22">
        <f t="shared" si="537"/>
        <v>0.14388750333666775</v>
      </c>
      <c r="CJ177" s="22"/>
      <c r="CK177" s="22">
        <f t="shared" si="538"/>
        <v>0.40316701093892982</v>
      </c>
      <c r="CL177" s="22">
        <f t="shared" si="539"/>
        <v>0.43087519680544817</v>
      </c>
      <c r="CM177" s="22">
        <f t="shared" si="540"/>
        <v>0.16595779225562204</v>
      </c>
      <c r="CN177" s="1"/>
      <c r="CO177" s="26">
        <f t="shared" si="541"/>
        <v>0.84637150466045274</v>
      </c>
      <c r="CP177" s="26">
        <f t="shared" si="542"/>
        <v>6.0215322984476715E-3</v>
      </c>
      <c r="CQ177" s="26">
        <f t="shared" si="543"/>
        <v>3.6700666928207143E-2</v>
      </c>
      <c r="CR177" s="26">
        <f t="shared" si="544"/>
        <v>6.8425554312783723E-4</v>
      </c>
      <c r="CS177" s="26">
        <f t="shared" si="545"/>
        <v>0.13890048712595687</v>
      </c>
      <c r="CT177" s="26">
        <f t="shared" si="546"/>
        <v>3.7919368480405979E-3</v>
      </c>
      <c r="CU177" s="26">
        <f t="shared" si="547"/>
        <v>0.37047146401985115</v>
      </c>
      <c r="CV177" s="26">
        <f t="shared" si="548"/>
        <v>0.34664764621968619</v>
      </c>
      <c r="CW177" s="26">
        <f t="shared" si="549"/>
        <v>9.6482736366569864E-3</v>
      </c>
      <c r="CX177" s="26">
        <f t="shared" si="550"/>
        <v>0</v>
      </c>
      <c r="CY177" s="26">
        <f t="shared" si="551"/>
        <v>0</v>
      </c>
      <c r="CZ177" s="26">
        <f t="shared" si="552"/>
        <v>0</v>
      </c>
      <c r="DA177" s="26">
        <f t="shared" si="553"/>
        <v>0</v>
      </c>
      <c r="DB177" s="26">
        <f t="shared" si="554"/>
        <v>1.7592377672804271</v>
      </c>
      <c r="DC177" s="26">
        <f t="shared" si="555"/>
        <v>2.6254991286566667</v>
      </c>
      <c r="DD177" s="26">
        <f t="shared" si="556"/>
        <v>2.2737119873134177</v>
      </c>
      <c r="DE177" s="26">
        <f t="shared" si="557"/>
        <v>5.9696288415075962</v>
      </c>
      <c r="DF177" s="1"/>
      <c r="DG177" s="22"/>
      <c r="DH177" s="14"/>
      <c r="DI177" s="14"/>
      <c r="DJ177" s="14"/>
      <c r="DK177" s="14"/>
      <c r="DL177" s="14"/>
      <c r="DM177" s="96"/>
      <c r="DN177" s="14"/>
      <c r="DO177" s="96"/>
      <c r="DP177" s="22"/>
      <c r="DQ177" s="14"/>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2"/>
      <c r="FP177" s="22"/>
      <c r="FQ177" s="46"/>
      <c r="FR177" s="46"/>
      <c r="FS177" s="46"/>
      <c r="FT177" s="46"/>
      <c r="FU177" s="46"/>
      <c r="FV177" s="46"/>
      <c r="FW177" s="46"/>
      <c r="FX177" s="46"/>
      <c r="FY177" s="46"/>
      <c r="FZ177" s="46"/>
      <c r="GA177" s="46"/>
      <c r="GB177" s="46"/>
      <c r="GC177" s="46"/>
      <c r="GD177" s="46"/>
      <c r="GE177" s="46"/>
      <c r="GF177" s="46"/>
      <c r="GG177" s="46"/>
      <c r="GH177" s="46"/>
    </row>
    <row r="178" spans="1:190" x14ac:dyDescent="0.25">
      <c r="A178" s="5" t="s">
        <v>91</v>
      </c>
      <c r="B178" s="1">
        <v>1439</v>
      </c>
      <c r="C178" s="98" t="s">
        <v>96</v>
      </c>
      <c r="D178" s="98" t="s">
        <v>104</v>
      </c>
      <c r="E178" s="1">
        <v>446</v>
      </c>
      <c r="F178" s="22">
        <v>50.87</v>
      </c>
      <c r="G178" s="22">
        <v>0.65800000000000003</v>
      </c>
      <c r="H178" s="22">
        <v>1.873</v>
      </c>
      <c r="I178" s="22">
        <v>0</v>
      </c>
      <c r="J178" s="22">
        <v>10.71</v>
      </c>
      <c r="K178" s="22">
        <v>0.33500000000000002</v>
      </c>
      <c r="L178" s="22">
        <v>14.64</v>
      </c>
      <c r="M178" s="22">
        <v>19.02</v>
      </c>
      <c r="N178" s="22">
        <v>0.311</v>
      </c>
      <c r="O178" s="22">
        <v>1.0999999999999999E-2</v>
      </c>
      <c r="P178" s="22">
        <v>0</v>
      </c>
      <c r="Q178" s="22"/>
      <c r="R178" s="22"/>
      <c r="S178" s="22">
        <f t="shared" si="482"/>
        <v>98.427999999999983</v>
      </c>
      <c r="T178" s="3"/>
      <c r="U178" s="22">
        <f t="shared" si="483"/>
        <v>9.1427392148991693</v>
      </c>
      <c r="V178" s="22">
        <f t="shared" si="484"/>
        <v>1.7416969104825546</v>
      </c>
      <c r="W178" s="22">
        <f t="shared" si="485"/>
        <v>98.602436125381729</v>
      </c>
      <c r="X178" s="1">
        <v>19</v>
      </c>
      <c r="Y178" s="1">
        <v>2</v>
      </c>
      <c r="Z178" s="1">
        <v>30</v>
      </c>
      <c r="AA178" s="1" t="s">
        <v>185</v>
      </c>
      <c r="AC178" s="1">
        <v>6</v>
      </c>
      <c r="AD178" s="1">
        <v>4</v>
      </c>
      <c r="AE178" s="1"/>
      <c r="AF178" s="26">
        <f t="shared" si="486"/>
        <v>1.9343335891272773</v>
      </c>
      <c r="AG178" s="26">
        <f t="shared" si="487"/>
        <v>1.8818603721110608E-2</v>
      </c>
      <c r="AH178" s="26">
        <f t="shared" si="488"/>
        <v>8.3933919857684711E-2</v>
      </c>
      <c r="AI178" s="26">
        <f t="shared" si="489"/>
        <v>0</v>
      </c>
      <c r="AJ178" s="26">
        <f t="shared" si="490"/>
        <v>0.34053539433819607</v>
      </c>
      <c r="AK178" s="26">
        <f t="shared" si="491"/>
        <v>1.0788304167659463E-2</v>
      </c>
      <c r="AL178" s="26">
        <f t="shared" si="492"/>
        <v>0.82991877616762944</v>
      </c>
      <c r="AM178" s="26">
        <f t="shared" si="493"/>
        <v>0.77482222099423848</v>
      </c>
      <c r="AN178" s="26">
        <f t="shared" si="494"/>
        <v>2.2926532349898145E-2</v>
      </c>
      <c r="AO178" s="26">
        <f t="shared" si="495"/>
        <v>5.3354534804901513E-4</v>
      </c>
      <c r="AP178" s="26">
        <f t="shared" si="496"/>
        <v>0</v>
      </c>
      <c r="AQ178" s="26">
        <f t="shared" si="497"/>
        <v>0</v>
      </c>
      <c r="AR178" s="26">
        <f t="shared" si="498"/>
        <v>0</v>
      </c>
      <c r="AS178" s="26">
        <f t="shared" si="499"/>
        <v>4.0166108860717431</v>
      </c>
      <c r="AT178" s="26">
        <f t="shared" si="500"/>
        <v>2.018267508984962</v>
      </c>
      <c r="AU178" s="26">
        <f t="shared" si="501"/>
        <v>0.7982822986921857</v>
      </c>
      <c r="AV178" s="47"/>
      <c r="AW178" s="26">
        <f t="shared" si="502"/>
        <v>1.9263340602246499</v>
      </c>
      <c r="AX178" s="26">
        <f t="shared" si="503"/>
        <v>1.8740778487024674E-2</v>
      </c>
      <c r="AY178" s="26">
        <f t="shared" si="504"/>
        <v>8.3586807125120677E-2</v>
      </c>
      <c r="AZ178" s="26">
        <f t="shared" si="505"/>
        <v>0</v>
      </c>
      <c r="BA178" s="26">
        <f t="shared" si="506"/>
        <v>0.28950052107962615</v>
      </c>
      <c r="BB178" s="26">
        <f t="shared" si="507"/>
        <v>4.96265728781764E-2</v>
      </c>
      <c r="BC178" s="26">
        <f t="shared" si="508"/>
        <v>1.0743688620742107E-2</v>
      </c>
      <c r="BD178" s="26">
        <f t="shared" si="509"/>
        <v>0.82648660744859204</v>
      </c>
      <c r="BE178" s="26">
        <f t="shared" si="510"/>
        <v>0.77161790670942176</v>
      </c>
      <c r="BF178" s="26">
        <f t="shared" si="511"/>
        <v>2.2831718580855975E-2</v>
      </c>
      <c r="BG178" s="26">
        <f t="shared" si="512"/>
        <v>5.3133884579078465E-4</v>
      </c>
      <c r="BH178" s="26">
        <f t="shared" si="513"/>
        <v>0</v>
      </c>
      <c r="BI178" s="26">
        <f t="shared" si="514"/>
        <v>0</v>
      </c>
      <c r="BJ178" s="26">
        <f t="shared" si="515"/>
        <v>0</v>
      </c>
      <c r="BK178" s="25">
        <f t="shared" si="516"/>
        <v>3.9999999999999996</v>
      </c>
      <c r="BL178" s="24">
        <f t="shared" si="517"/>
        <v>6</v>
      </c>
      <c r="BM178" s="26">
        <f t="shared" si="518"/>
        <v>2.0099208673497708</v>
      </c>
      <c r="BN178" s="26">
        <f t="shared" si="519"/>
        <v>0.79498096413606856</v>
      </c>
      <c r="BO178" s="22"/>
      <c r="BP178" s="23">
        <f t="shared" si="520"/>
        <v>0.70905704561586569</v>
      </c>
      <c r="BQ178" s="26">
        <f t="shared" si="521"/>
        <v>7.3665939775350076E-2</v>
      </c>
      <c r="BR178" s="26">
        <f t="shared" si="522"/>
        <v>9.9208673497706013E-3</v>
      </c>
      <c r="BS178" s="26"/>
      <c r="BT178" s="26">
        <f t="shared" si="523"/>
        <v>9.9208673497706013E-3</v>
      </c>
      <c r="BU178" s="26">
        <f t="shared" si="524"/>
        <v>0</v>
      </c>
      <c r="BV178" s="26">
        <f t="shared" si="525"/>
        <v>9.9208673497706013E-3</v>
      </c>
      <c r="BW178" s="26">
        <f t="shared" si="526"/>
        <v>0</v>
      </c>
      <c r="BX178" s="26">
        <f t="shared" si="527"/>
        <v>0.76490135364446787</v>
      </c>
      <c r="BY178" s="26">
        <f t="shared" si="528"/>
        <v>0.20277640843067885</v>
      </c>
      <c r="BZ178" s="26">
        <f t="shared" si="529"/>
        <v>0.98751949677468787</v>
      </c>
      <c r="CA178" s="22"/>
      <c r="CB178" s="22">
        <f t="shared" si="530"/>
        <v>2.2831718580855975E-2</v>
      </c>
      <c r="CC178" s="22">
        <f t="shared" si="531"/>
        <v>0</v>
      </c>
      <c r="CD178" s="22">
        <f t="shared" si="532"/>
        <v>2.6794854297320425E-2</v>
      </c>
      <c r="CE178" s="22">
        <f t="shared" si="533"/>
        <v>0</v>
      </c>
      <c r="CF178" s="22">
        <f t="shared" si="534"/>
        <v>9.9208673497706013E-3</v>
      </c>
      <c r="CG178" s="22">
        <f t="shared" si="535"/>
        <v>0.37886695182159336</v>
      </c>
      <c r="CH178" s="22">
        <f t="shared" si="536"/>
        <v>0.4600036439848541</v>
      </c>
      <c r="CI178" s="22">
        <f t="shared" si="537"/>
        <v>0.16112940419355248</v>
      </c>
      <c r="CJ178" s="22"/>
      <c r="CK178" s="22">
        <f t="shared" si="538"/>
        <v>0.39611277822779001</v>
      </c>
      <c r="CL178" s="22">
        <f t="shared" si="539"/>
        <v>0.42427981958149286</v>
      </c>
      <c r="CM178" s="22">
        <f t="shared" si="540"/>
        <v>0.17960740219071716</v>
      </c>
      <c r="CN178" s="1"/>
      <c r="CO178" s="26">
        <f t="shared" si="541"/>
        <v>0.84670439414114507</v>
      </c>
      <c r="CP178" s="26">
        <f t="shared" si="542"/>
        <v>8.2373560340510774E-3</v>
      </c>
      <c r="CQ178" s="26">
        <f t="shared" si="543"/>
        <v>3.6739897999215378E-2</v>
      </c>
      <c r="CR178" s="26">
        <f t="shared" si="544"/>
        <v>0</v>
      </c>
      <c r="CS178" s="26">
        <f t="shared" si="545"/>
        <v>0.14906054279749481</v>
      </c>
      <c r="CT178" s="26">
        <f t="shared" si="546"/>
        <v>4.7223005356639416E-3</v>
      </c>
      <c r="CU178" s="26">
        <f t="shared" si="547"/>
        <v>0.36327543424317621</v>
      </c>
      <c r="CV178" s="26">
        <f t="shared" si="548"/>
        <v>0.33915834522111271</v>
      </c>
      <c r="CW178" s="26">
        <f t="shared" si="549"/>
        <v>1.0035495321071314E-2</v>
      </c>
      <c r="CX178" s="26">
        <f t="shared" si="550"/>
        <v>2.335456475583864E-4</v>
      </c>
      <c r="CY178" s="26">
        <f t="shared" si="551"/>
        <v>0</v>
      </c>
      <c r="CZ178" s="26">
        <f t="shared" si="552"/>
        <v>0</v>
      </c>
      <c r="DA178" s="26">
        <f t="shared" si="553"/>
        <v>0</v>
      </c>
      <c r="DB178" s="26">
        <f t="shared" si="554"/>
        <v>1.7581673119404888</v>
      </c>
      <c r="DC178" s="26">
        <f t="shared" si="555"/>
        <v>2.6263444906309781</v>
      </c>
      <c r="DD178" s="26">
        <f t="shared" si="556"/>
        <v>2.2750963306132688</v>
      </c>
      <c r="DE178" s="26">
        <f t="shared" si="557"/>
        <v>5.9751867135609125</v>
      </c>
      <c r="DF178" s="1"/>
      <c r="DG178" s="22"/>
      <c r="DH178" s="14"/>
      <c r="DI178" s="14"/>
      <c r="DJ178" s="14"/>
      <c r="DK178" s="14"/>
      <c r="DL178" s="14"/>
      <c r="DM178" s="96"/>
      <c r="DN178" s="14"/>
      <c r="DO178" s="96"/>
      <c r="DP178" s="22"/>
      <c r="DQ178" s="14"/>
      <c r="DR178" s="22"/>
      <c r="DS178" s="22"/>
      <c r="DT178" s="22"/>
      <c r="DU178" s="22"/>
      <c r="DV178" s="22"/>
      <c r="DW178" s="22"/>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46"/>
      <c r="FR178" s="46"/>
      <c r="FS178" s="46"/>
      <c r="FT178" s="46"/>
      <c r="FU178" s="46"/>
      <c r="FV178" s="46"/>
      <c r="FW178" s="46"/>
      <c r="FX178" s="46"/>
      <c r="FY178" s="46"/>
      <c r="FZ178" s="46"/>
      <c r="GA178" s="46"/>
      <c r="GB178" s="46"/>
      <c r="GC178" s="46"/>
      <c r="GD178" s="46"/>
      <c r="GE178" s="46"/>
      <c r="GF178" s="46"/>
      <c r="GG178" s="46"/>
      <c r="GH178" s="46"/>
    </row>
    <row r="179" spans="1:190" x14ac:dyDescent="0.25">
      <c r="A179" s="5" t="s">
        <v>91</v>
      </c>
      <c r="B179" s="1">
        <v>1440</v>
      </c>
      <c r="C179" s="98" t="s">
        <v>96</v>
      </c>
      <c r="D179" s="98" t="s">
        <v>104</v>
      </c>
      <c r="E179" s="1">
        <v>447</v>
      </c>
      <c r="F179" s="22">
        <v>50.33</v>
      </c>
      <c r="G179" s="22">
        <v>0.83</v>
      </c>
      <c r="H179" s="22">
        <v>2.23</v>
      </c>
      <c r="I179" s="22">
        <v>0</v>
      </c>
      <c r="J179" s="22">
        <v>10.72</v>
      </c>
      <c r="K179" s="22">
        <v>0.26800000000000002</v>
      </c>
      <c r="L179" s="22">
        <v>13.95</v>
      </c>
      <c r="M179" s="22">
        <v>19.93</v>
      </c>
      <c r="N179" s="22">
        <v>0.29599999999999999</v>
      </c>
      <c r="O179" s="22">
        <v>0</v>
      </c>
      <c r="P179" s="22">
        <v>0</v>
      </c>
      <c r="Q179" s="22"/>
      <c r="R179" s="22"/>
      <c r="S179" s="22">
        <f t="shared" si="482"/>
        <v>98.554000000000016</v>
      </c>
      <c r="T179" s="3"/>
      <c r="U179" s="22">
        <f t="shared" si="483"/>
        <v>8.8869236657565267</v>
      </c>
      <c r="V179" s="22">
        <f t="shared" si="484"/>
        <v>2.0370977302447719</v>
      </c>
      <c r="W179" s="22">
        <f t="shared" si="485"/>
        <v>98.758021396001283</v>
      </c>
      <c r="X179" s="1">
        <v>19</v>
      </c>
      <c r="Y179" s="1">
        <v>3</v>
      </c>
      <c r="Z179" s="1">
        <v>60</v>
      </c>
      <c r="AA179" s="1" t="s">
        <v>185</v>
      </c>
      <c r="AC179" s="1">
        <v>6</v>
      </c>
      <c r="AD179" s="1">
        <v>4</v>
      </c>
      <c r="AE179" s="1"/>
      <c r="AF179" s="26">
        <f t="shared" si="486"/>
        <v>1.9176145632616832</v>
      </c>
      <c r="AG179" s="26">
        <f t="shared" si="487"/>
        <v>2.3785065353203759E-2</v>
      </c>
      <c r="AH179" s="26">
        <f t="shared" si="488"/>
        <v>0.10013118245102103</v>
      </c>
      <c r="AI179" s="26">
        <f t="shared" si="489"/>
        <v>0</v>
      </c>
      <c r="AJ179" s="26">
        <f t="shared" si="490"/>
        <v>0.34153272696359022</v>
      </c>
      <c r="AK179" s="26">
        <f t="shared" si="491"/>
        <v>8.6478455146370026E-3</v>
      </c>
      <c r="AL179" s="26">
        <f t="shared" si="492"/>
        <v>0.79237994363879727</v>
      </c>
      <c r="AM179" s="26">
        <f t="shared" si="493"/>
        <v>0.81351133142089083</v>
      </c>
      <c r="AN179" s="26">
        <f t="shared" si="494"/>
        <v>2.186424311155636E-2</v>
      </c>
      <c r="AO179" s="26">
        <f t="shared" si="495"/>
        <v>0</v>
      </c>
      <c r="AP179" s="26">
        <f t="shared" si="496"/>
        <v>0</v>
      </c>
      <c r="AQ179" s="26">
        <f t="shared" si="497"/>
        <v>0</v>
      </c>
      <c r="AR179" s="26">
        <f t="shared" si="498"/>
        <v>0</v>
      </c>
      <c r="AS179" s="26">
        <f t="shared" si="499"/>
        <v>4.0194669017153792</v>
      </c>
      <c r="AT179" s="26">
        <f t="shared" si="500"/>
        <v>2.0177457457127042</v>
      </c>
      <c r="AU179" s="26">
        <f t="shared" si="501"/>
        <v>0.83537557453244715</v>
      </c>
      <c r="AV179" s="47"/>
      <c r="AW179" s="26">
        <f t="shared" si="502"/>
        <v>1.9083272584663475</v>
      </c>
      <c r="AX179" s="26">
        <f t="shared" si="503"/>
        <v>2.3669870592095743E-2</v>
      </c>
      <c r="AY179" s="26">
        <f t="shared" si="504"/>
        <v>9.9646231601796018E-2</v>
      </c>
      <c r="AZ179" s="26">
        <f t="shared" si="505"/>
        <v>0</v>
      </c>
      <c r="BA179" s="26">
        <f t="shared" si="506"/>
        <v>0.2817607695156002</v>
      </c>
      <c r="BB179" s="26">
        <f t="shared" si="507"/>
        <v>5.8117861471842502E-2</v>
      </c>
      <c r="BC179" s="26">
        <f t="shared" si="508"/>
        <v>8.6059626573328721E-3</v>
      </c>
      <c r="BD179" s="26">
        <f t="shared" si="509"/>
        <v>0.7885423246556752</v>
      </c>
      <c r="BE179" s="26">
        <f t="shared" si="510"/>
        <v>0.80957136984878308</v>
      </c>
      <c r="BF179" s="26">
        <f t="shared" si="511"/>
        <v>2.1758351190527683E-2</v>
      </c>
      <c r="BG179" s="26">
        <f t="shared" si="512"/>
        <v>0</v>
      </c>
      <c r="BH179" s="26">
        <f t="shared" si="513"/>
        <v>0</v>
      </c>
      <c r="BI179" s="26">
        <f t="shared" si="514"/>
        <v>0</v>
      </c>
      <c r="BJ179" s="26">
        <f t="shared" si="515"/>
        <v>0</v>
      </c>
      <c r="BK179" s="25">
        <f t="shared" si="516"/>
        <v>4.0000000000000009</v>
      </c>
      <c r="BL179" s="24">
        <f t="shared" si="517"/>
        <v>5.9999999999999991</v>
      </c>
      <c r="BM179" s="26">
        <f t="shared" si="518"/>
        <v>2.0079734900681436</v>
      </c>
      <c r="BN179" s="26">
        <f t="shared" si="519"/>
        <v>0.8313297210393108</v>
      </c>
      <c r="BO179" s="22"/>
      <c r="BP179" s="23">
        <f t="shared" si="520"/>
        <v>0.69880156045689834</v>
      </c>
      <c r="BQ179" s="26">
        <f t="shared" si="521"/>
        <v>9.1672741533652458E-2</v>
      </c>
      <c r="BR179" s="26">
        <f t="shared" si="522"/>
        <v>7.97349006814356E-3</v>
      </c>
      <c r="BS179" s="26"/>
      <c r="BT179" s="26">
        <f t="shared" si="523"/>
        <v>7.97349006814356E-3</v>
      </c>
      <c r="BU179" s="26">
        <f t="shared" si="524"/>
        <v>0</v>
      </c>
      <c r="BV179" s="26">
        <f t="shared" si="525"/>
        <v>7.97349006814356E-3</v>
      </c>
      <c r="BW179" s="26">
        <f t="shared" si="526"/>
        <v>0</v>
      </c>
      <c r="BX179" s="26">
        <f t="shared" si="527"/>
        <v>0.80553784135274731</v>
      </c>
      <c r="BY179" s="26">
        <f t="shared" si="528"/>
        <v>0.16418741462482006</v>
      </c>
      <c r="BZ179" s="26">
        <f t="shared" si="529"/>
        <v>0.98567223611385457</v>
      </c>
      <c r="CA179" s="22"/>
      <c r="CB179" s="22">
        <f t="shared" si="530"/>
        <v>2.1758351190527683E-2</v>
      </c>
      <c r="CC179" s="22">
        <f t="shared" si="531"/>
        <v>0</v>
      </c>
      <c r="CD179" s="22">
        <f t="shared" si="532"/>
        <v>3.6359510281314816E-2</v>
      </c>
      <c r="CE179" s="22">
        <f t="shared" si="533"/>
        <v>0</v>
      </c>
      <c r="CF179" s="22">
        <f t="shared" si="534"/>
        <v>7.97349006814356E-3</v>
      </c>
      <c r="CG179" s="22">
        <f t="shared" si="535"/>
        <v>0.39349836034492619</v>
      </c>
      <c r="CH179" s="22">
        <f t="shared" si="536"/>
        <v>0.44683811104124321</v>
      </c>
      <c r="CI179" s="22">
        <f t="shared" si="537"/>
        <v>0.15966352861383057</v>
      </c>
      <c r="CJ179" s="22"/>
      <c r="CK179" s="22">
        <f t="shared" si="538"/>
        <v>0.41589031223206241</v>
      </c>
      <c r="CL179" s="22">
        <f t="shared" si="539"/>
        <v>0.40508734105864086</v>
      </c>
      <c r="CM179" s="22">
        <f t="shared" si="540"/>
        <v>0.1790223467092967</v>
      </c>
      <c r="CN179" s="1"/>
      <c r="CO179" s="26">
        <f t="shared" si="541"/>
        <v>0.83771637816245004</v>
      </c>
      <c r="CP179" s="26">
        <f t="shared" si="542"/>
        <v>1.0390585878818227E-2</v>
      </c>
      <c r="CQ179" s="26">
        <f t="shared" si="543"/>
        <v>4.3742644174185955E-2</v>
      </c>
      <c r="CR179" s="26">
        <f t="shared" si="544"/>
        <v>0</v>
      </c>
      <c r="CS179" s="26">
        <f t="shared" si="545"/>
        <v>0.14919972164231038</v>
      </c>
      <c r="CT179" s="26">
        <f t="shared" si="546"/>
        <v>3.7778404285311535E-3</v>
      </c>
      <c r="CU179" s="26">
        <f t="shared" si="547"/>
        <v>0.34615384615384615</v>
      </c>
      <c r="CV179" s="26">
        <f t="shared" si="548"/>
        <v>0.35538516405135523</v>
      </c>
      <c r="CW179" s="26">
        <f t="shared" si="549"/>
        <v>9.5514682155534037E-3</v>
      </c>
      <c r="CX179" s="26">
        <f t="shared" si="550"/>
        <v>0</v>
      </c>
      <c r="CY179" s="26">
        <f t="shared" si="551"/>
        <v>0</v>
      </c>
      <c r="CZ179" s="26">
        <f t="shared" si="552"/>
        <v>0</v>
      </c>
      <c r="DA179" s="26">
        <f t="shared" si="553"/>
        <v>0</v>
      </c>
      <c r="DB179" s="26">
        <f t="shared" si="554"/>
        <v>1.7559176487070502</v>
      </c>
      <c r="DC179" s="26">
        <f t="shared" si="555"/>
        <v>2.6211202007276353</v>
      </c>
      <c r="DD179" s="26">
        <f t="shared" si="556"/>
        <v>2.278011160116395</v>
      </c>
      <c r="DE179" s="26">
        <f t="shared" si="557"/>
        <v>5.9709410692640787</v>
      </c>
      <c r="DF179" s="1"/>
      <c r="DG179" s="22"/>
      <c r="DH179" s="14"/>
      <c r="DI179" s="14"/>
      <c r="DJ179" s="14"/>
      <c r="DK179" s="14"/>
      <c r="DL179" s="14"/>
      <c r="DM179" s="96"/>
      <c r="DN179" s="14"/>
      <c r="DO179" s="96"/>
      <c r="DP179" s="22"/>
      <c r="DQ179" s="14"/>
      <c r="DR179" s="22"/>
      <c r="DS179" s="22"/>
      <c r="DT179" s="22"/>
      <c r="DU179" s="22"/>
      <c r="DV179" s="22"/>
      <c r="DW179" s="22"/>
      <c r="DX179" s="22"/>
      <c r="DY179" s="22"/>
      <c r="DZ179" s="22"/>
      <c r="EA179" s="22"/>
      <c r="EB179" s="22"/>
      <c r="EC179" s="22"/>
      <c r="ED179" s="22"/>
      <c r="EE179" s="22"/>
      <c r="EF179" s="22"/>
      <c r="EG179" s="22"/>
      <c r="EH179" s="22"/>
      <c r="EI179" s="22"/>
      <c r="EJ179" s="22"/>
      <c r="EK179" s="22"/>
      <c r="EL179" s="22"/>
      <c r="EM179" s="22"/>
      <c r="EN179" s="22"/>
      <c r="EO179" s="22"/>
      <c r="EP179" s="22"/>
      <c r="EQ179" s="22"/>
      <c r="ER179" s="22"/>
      <c r="ES179" s="22"/>
      <c r="ET179" s="22"/>
      <c r="EU179" s="22"/>
      <c r="EV179" s="22"/>
      <c r="EW179" s="22"/>
      <c r="EX179" s="22"/>
      <c r="EY179" s="22"/>
      <c r="EZ179" s="22"/>
      <c r="FA179" s="22"/>
      <c r="FB179" s="22"/>
      <c r="FC179" s="22"/>
      <c r="FD179" s="22"/>
      <c r="FE179" s="22"/>
      <c r="FF179" s="22"/>
      <c r="FG179" s="22"/>
      <c r="FH179" s="22"/>
      <c r="FI179" s="22"/>
      <c r="FJ179" s="22"/>
      <c r="FK179" s="22"/>
      <c r="FL179" s="22"/>
      <c r="FM179" s="22"/>
      <c r="FN179" s="22"/>
      <c r="FO179" s="22"/>
      <c r="FP179" s="22"/>
      <c r="FQ179" s="46"/>
      <c r="FR179" s="46"/>
      <c r="FS179" s="46"/>
      <c r="FT179" s="46"/>
      <c r="FU179" s="46"/>
      <c r="FV179" s="46"/>
      <c r="FW179" s="46"/>
      <c r="FX179" s="46"/>
      <c r="FY179" s="46"/>
      <c r="FZ179" s="46"/>
      <c r="GA179" s="46"/>
      <c r="GB179" s="46"/>
      <c r="GC179" s="46"/>
      <c r="GD179" s="46"/>
      <c r="GE179" s="46"/>
      <c r="GF179" s="46"/>
      <c r="GG179" s="46"/>
      <c r="GH179" s="46"/>
    </row>
    <row r="180" spans="1:190" x14ac:dyDescent="0.25">
      <c r="A180" s="5" t="s">
        <v>91</v>
      </c>
      <c r="B180" s="1">
        <v>1441</v>
      </c>
      <c r="C180" s="98" t="s">
        <v>96</v>
      </c>
      <c r="D180" s="98" t="s">
        <v>104</v>
      </c>
      <c r="E180" s="1">
        <v>448</v>
      </c>
      <c r="F180" s="22">
        <v>50.68</v>
      </c>
      <c r="G180" s="22">
        <v>0.66</v>
      </c>
      <c r="H180" s="22">
        <v>2</v>
      </c>
      <c r="I180" s="22">
        <v>8.0000000000000002E-3</v>
      </c>
      <c r="J180" s="22">
        <v>10.85</v>
      </c>
      <c r="K180" s="22">
        <v>0.37</v>
      </c>
      <c r="L180" s="22">
        <v>14.37</v>
      </c>
      <c r="M180" s="22">
        <v>19.3</v>
      </c>
      <c r="N180" s="22">
        <v>0.30399999999999999</v>
      </c>
      <c r="O180" s="22">
        <v>0</v>
      </c>
      <c r="P180" s="22">
        <v>0</v>
      </c>
      <c r="Q180" s="22"/>
      <c r="R180" s="22"/>
      <c r="S180" s="22">
        <f t="shared" si="482"/>
        <v>98.542000000000002</v>
      </c>
      <c r="T180" s="3"/>
      <c r="U180" s="22">
        <f t="shared" si="483"/>
        <v>9.0705261757111177</v>
      </c>
      <c r="V180" s="22">
        <f t="shared" si="484"/>
        <v>1.9775292609322348</v>
      </c>
      <c r="W180" s="22">
        <f t="shared" si="485"/>
        <v>98.74005543664336</v>
      </c>
      <c r="X180" s="1">
        <v>19</v>
      </c>
      <c r="Y180" s="1">
        <v>4</v>
      </c>
      <c r="Z180" s="1">
        <v>90</v>
      </c>
      <c r="AA180" s="1" t="s">
        <v>258</v>
      </c>
      <c r="AC180" s="1">
        <v>6</v>
      </c>
      <c r="AD180" s="1">
        <v>4</v>
      </c>
      <c r="AE180" s="1"/>
      <c r="AF180" s="26">
        <f t="shared" si="486"/>
        <v>1.9284855278145367</v>
      </c>
      <c r="AG180" s="26">
        <f t="shared" si="487"/>
        <v>1.8889287694694237E-2</v>
      </c>
      <c r="AH180" s="26">
        <f t="shared" si="488"/>
        <v>8.9689141377615439E-2</v>
      </c>
      <c r="AI180" s="26">
        <f t="shared" si="489"/>
        <v>2.4066596104642857E-4</v>
      </c>
      <c r="AJ180" s="26">
        <f t="shared" si="490"/>
        <v>0.34523329044971862</v>
      </c>
      <c r="AK180" s="26">
        <f t="shared" si="491"/>
        <v>1.1923952622987094E-2</v>
      </c>
      <c r="AL180" s="26">
        <f t="shared" si="492"/>
        <v>0.81519484345137838</v>
      </c>
      <c r="AM180" s="26">
        <f t="shared" si="493"/>
        <v>0.78679031606111915</v>
      </c>
      <c r="AN180" s="26">
        <f t="shared" si="494"/>
        <v>2.2426510776685605E-2</v>
      </c>
      <c r="AO180" s="26">
        <f t="shared" si="495"/>
        <v>0</v>
      </c>
      <c r="AP180" s="26">
        <f t="shared" si="496"/>
        <v>0</v>
      </c>
      <c r="AQ180" s="26">
        <f t="shared" si="497"/>
        <v>0</v>
      </c>
      <c r="AR180" s="26">
        <f t="shared" si="498"/>
        <v>0</v>
      </c>
      <c r="AS180" s="26">
        <f t="shared" si="499"/>
        <v>4.0188735362097816</v>
      </c>
      <c r="AT180" s="26">
        <f t="shared" si="500"/>
        <v>2.018174669192152</v>
      </c>
      <c r="AU180" s="26">
        <f t="shared" si="501"/>
        <v>0.80921682683780471</v>
      </c>
      <c r="AV180" s="47"/>
      <c r="AW180" s="26">
        <f t="shared" si="502"/>
        <v>1.9194289249850849</v>
      </c>
      <c r="AX180" s="26">
        <f t="shared" si="503"/>
        <v>1.880057934095514E-2</v>
      </c>
      <c r="AY180" s="26">
        <f t="shared" si="504"/>
        <v>8.9267940948648705E-2</v>
      </c>
      <c r="AZ180" s="26">
        <f t="shared" si="505"/>
        <v>2.3953573943349485E-4</v>
      </c>
      <c r="BA180" s="26">
        <f t="shared" si="506"/>
        <v>0.28725729159675467</v>
      </c>
      <c r="BB180" s="26">
        <f t="shared" si="507"/>
        <v>5.6354705485701206E-2</v>
      </c>
      <c r="BC180" s="26">
        <f t="shared" si="508"/>
        <v>1.1867955053129271E-2</v>
      </c>
      <c r="BD180" s="26">
        <f t="shared" si="509"/>
        <v>0.81136650467503146</v>
      </c>
      <c r="BE180" s="26">
        <f t="shared" si="510"/>
        <v>0.78309537134940033</v>
      </c>
      <c r="BF180" s="26">
        <f t="shared" si="511"/>
        <v>2.2321190825861273E-2</v>
      </c>
      <c r="BG180" s="26">
        <f t="shared" si="512"/>
        <v>0</v>
      </c>
      <c r="BH180" s="26">
        <f t="shared" si="513"/>
        <v>0</v>
      </c>
      <c r="BI180" s="26">
        <f t="shared" si="514"/>
        <v>0</v>
      </c>
      <c r="BJ180" s="26">
        <f t="shared" si="515"/>
        <v>0</v>
      </c>
      <c r="BK180" s="25">
        <f t="shared" si="516"/>
        <v>4</v>
      </c>
      <c r="BL180" s="24">
        <f t="shared" si="517"/>
        <v>6.0000000000000018</v>
      </c>
      <c r="BM180" s="26">
        <f t="shared" si="518"/>
        <v>2.0086968659337336</v>
      </c>
      <c r="BN180" s="26">
        <f t="shared" si="519"/>
        <v>0.80541656217526159</v>
      </c>
      <c r="BO180" s="22"/>
      <c r="BP180" s="23">
        <f t="shared" si="520"/>
        <v>0.70249489790537711</v>
      </c>
      <c r="BQ180" s="26">
        <f t="shared" si="521"/>
        <v>8.0571075014915117E-2</v>
      </c>
      <c r="BR180" s="26">
        <f t="shared" si="522"/>
        <v>8.6968659337335885E-3</v>
      </c>
      <c r="BS180" s="26"/>
      <c r="BT180" s="26">
        <f t="shared" si="523"/>
        <v>8.6968659337335885E-3</v>
      </c>
      <c r="BU180" s="26">
        <f t="shared" si="524"/>
        <v>0</v>
      </c>
      <c r="BV180" s="26">
        <f t="shared" si="525"/>
        <v>8.6968659337335885E-3</v>
      </c>
      <c r="BW180" s="26">
        <f t="shared" si="526"/>
        <v>1.2033298052321428E-4</v>
      </c>
      <c r="BX180" s="26">
        <f t="shared" si="527"/>
        <v>0.77797311714686235</v>
      </c>
      <c r="BY180" s="26">
        <f t="shared" si="528"/>
        <v>0.19122750837711727</v>
      </c>
      <c r="BZ180" s="26">
        <f t="shared" si="529"/>
        <v>0.9867146903719699</v>
      </c>
      <c r="CA180" s="22"/>
      <c r="CB180" s="22">
        <f t="shared" si="530"/>
        <v>2.2321190825861273E-2</v>
      </c>
      <c r="CC180" s="22">
        <f t="shared" si="531"/>
        <v>0</v>
      </c>
      <c r="CD180" s="22">
        <f t="shared" si="532"/>
        <v>3.4033514659839934E-2</v>
      </c>
      <c r="CE180" s="22">
        <f t="shared" si="533"/>
        <v>2.3953573943349485E-4</v>
      </c>
      <c r="CF180" s="22">
        <f t="shared" si="534"/>
        <v>8.6968659337335885E-3</v>
      </c>
      <c r="CG180" s="22">
        <f t="shared" si="535"/>
        <v>0.38122332292112726</v>
      </c>
      <c r="CH180" s="22">
        <f t="shared" si="536"/>
        <v>0.45698506746317863</v>
      </c>
      <c r="CI180" s="22">
        <f t="shared" si="537"/>
        <v>0.16179160961569408</v>
      </c>
      <c r="CJ180" s="22"/>
      <c r="CK180" s="22">
        <f t="shared" si="538"/>
        <v>0.40159935031925353</v>
      </c>
      <c r="CL180" s="22">
        <f t="shared" si="539"/>
        <v>0.41609779992290558</v>
      </c>
      <c r="CM180" s="22">
        <f t="shared" si="540"/>
        <v>0.18230284975784089</v>
      </c>
      <c r="CN180" s="1"/>
      <c r="CO180" s="26">
        <f t="shared" si="541"/>
        <v>0.84354194407456728</v>
      </c>
      <c r="CP180" s="26">
        <f t="shared" si="542"/>
        <v>8.2623935903855788E-3</v>
      </c>
      <c r="CQ180" s="26">
        <f t="shared" si="543"/>
        <v>3.9231071008238527E-2</v>
      </c>
      <c r="CR180" s="26">
        <f t="shared" si="544"/>
        <v>1.0527008355812881E-4</v>
      </c>
      <c r="CS180" s="26">
        <f t="shared" si="545"/>
        <v>0.15100904662491302</v>
      </c>
      <c r="CT180" s="26">
        <f t="shared" si="546"/>
        <v>5.2156752184945024E-3</v>
      </c>
      <c r="CU180" s="26">
        <f t="shared" si="547"/>
        <v>0.356575682382134</v>
      </c>
      <c r="CV180" s="26">
        <f t="shared" si="548"/>
        <v>0.34415121255349501</v>
      </c>
      <c r="CW180" s="26">
        <f t="shared" si="549"/>
        <v>9.8096160051629553E-3</v>
      </c>
      <c r="CX180" s="26">
        <f t="shared" si="550"/>
        <v>0</v>
      </c>
      <c r="CY180" s="26">
        <f t="shared" si="551"/>
        <v>0</v>
      </c>
      <c r="CZ180" s="26">
        <f t="shared" si="552"/>
        <v>0</v>
      </c>
      <c r="DA180" s="26">
        <f t="shared" si="553"/>
        <v>0</v>
      </c>
      <c r="DB180" s="26">
        <f t="shared" si="554"/>
        <v>1.7579019115409489</v>
      </c>
      <c r="DC180" s="26">
        <f t="shared" si="555"/>
        <v>2.6244696117492183</v>
      </c>
      <c r="DD180" s="26">
        <f t="shared" si="556"/>
        <v>2.2754398147810555</v>
      </c>
      <c r="DE180" s="26">
        <f t="shared" si="557"/>
        <v>5.9718226472571496</v>
      </c>
      <c r="DF180" s="1"/>
      <c r="DG180" s="22">
        <v>17.351530578139148</v>
      </c>
      <c r="DH180" s="14">
        <v>1886.9565378824605</v>
      </c>
      <c r="DI180" s="14">
        <v>85011.172201809983</v>
      </c>
      <c r="DJ180" s="14">
        <v>14421.515644499081</v>
      </c>
      <c r="DK180" s="14">
        <v>236355.56212792653</v>
      </c>
      <c r="DL180" s="14">
        <v>138785.14972551423</v>
      </c>
      <c r="DM180" s="96">
        <v>127.54590329540217</v>
      </c>
      <c r="DN180" s="14">
        <v>2907.809722531912</v>
      </c>
      <c r="DO180" s="96">
        <v>351.0983009904424</v>
      </c>
      <c r="DP180" s="22">
        <v>467.84582572885489</v>
      </c>
      <c r="DQ180" s="14">
        <v>1726.6782443399436</v>
      </c>
      <c r="DR180" s="22">
        <v>43.538733247406427</v>
      </c>
      <c r="DS180" s="22">
        <v>59.03138562252677</v>
      </c>
      <c r="DT180" s="22">
        <v>2.157136655983293</v>
      </c>
      <c r="DU180" s="22">
        <v>51.589709909518866</v>
      </c>
      <c r="DV180" s="22">
        <v>0.35349532461058497</v>
      </c>
      <c r="DW180" s="22">
        <v>13.328389995928204</v>
      </c>
      <c r="DX180" s="22">
        <v>12.902323829347015</v>
      </c>
      <c r="DY180" s="22">
        <v>20.819916058761539</v>
      </c>
      <c r="DZ180" s="22">
        <v>19.228108859809431</v>
      </c>
      <c r="EA180" s="22">
        <v>0.11675899886936454</v>
      </c>
      <c r="EB180" s="22">
        <v>8.0047532558584045E-2</v>
      </c>
      <c r="EC180" s="22">
        <v>0.60437857485324298</v>
      </c>
      <c r="ED180" s="22">
        <v>1.0313570270392938</v>
      </c>
      <c r="EE180" s="22">
        <v>4.1756695138105604</v>
      </c>
      <c r="EF180" s="22">
        <v>0.91489716652013542</v>
      </c>
      <c r="EG180" s="22">
        <v>5.1884711699572845</v>
      </c>
      <c r="EH180" s="22">
        <v>2.3439244977984459</v>
      </c>
      <c r="EI180" s="22">
        <v>0.60974711570938123</v>
      </c>
      <c r="EJ180" s="22">
        <v>3.2493437595829282</v>
      </c>
      <c r="EK180" s="22">
        <v>0.61745740280030681</v>
      </c>
      <c r="EL180" s="22">
        <v>3.6157625984752189</v>
      </c>
      <c r="EM180" s="22">
        <v>0.84400618097785751</v>
      </c>
      <c r="EN180" s="22">
        <v>1.999239318796058</v>
      </c>
      <c r="EO180" s="22">
        <v>0.30175984166429726</v>
      </c>
      <c r="EP180" s="22">
        <v>2.2624399067217356</v>
      </c>
      <c r="EQ180" s="22">
        <v>0.38770289650316658</v>
      </c>
      <c r="ER180" s="22">
        <v>1.0598566624180032</v>
      </c>
      <c r="ES180" s="22">
        <v>5.1392769232431815E-2</v>
      </c>
      <c r="ET180" s="22">
        <v>0.11697687456277149</v>
      </c>
      <c r="EU180" s="22">
        <v>0.10995674546770494</v>
      </c>
      <c r="EV180" s="22">
        <v>3.5658023629948812E-2</v>
      </c>
      <c r="EW180" s="22">
        <f>(EI180/0.05883)/SQRT((EH180/0.1536)*(EJ180/0.2069))</f>
        <v>0.66951008102792187</v>
      </c>
      <c r="EX180" s="22"/>
      <c r="EY180" s="22"/>
      <c r="EZ180" s="22"/>
      <c r="FA180" s="22"/>
      <c r="FB180" s="22"/>
      <c r="FC180" s="22"/>
      <c r="FD180" s="22"/>
      <c r="FE180" s="22"/>
      <c r="FF180" s="22"/>
      <c r="FG180" s="22"/>
      <c r="FH180" s="22"/>
      <c r="FI180" s="22">
        <f>-0.50354-2.23025*BP180+ N("eqn 18 Mg# R2 0.28 best")</f>
        <v>-2.0702792460534671</v>
      </c>
      <c r="FJ180" s="22"/>
      <c r="FK180" s="22">
        <f xml:space="preserve"> -0.03692  +  0.931085 + FX180   + N("488 NN Dy")</f>
        <v>0.8941650000000001</v>
      </c>
      <c r="FL180" s="22">
        <f>-0.48986  +   0    +   (1.071278 + 0) * GD180  +N("eqn 119 LnD Hf  (which has R2 of 0.51 for TS")</f>
        <v>-0.48986000000000002</v>
      </c>
      <c r="FM180" s="22"/>
      <c r="FN180" s="22"/>
      <c r="FO180" s="22">
        <f>3.94011-11.9214*BP180</f>
        <v>-4.4346126758891637</v>
      </c>
      <c r="FP180" s="22">
        <f xml:space="preserve">  -0.49862 +   1.013256 * FQ180 + N("294 NN")</f>
        <v>-0.49862000000000001</v>
      </c>
      <c r="FQ180" s="46"/>
      <c r="FR180" s="46"/>
      <c r="FS180" s="46"/>
      <c r="FT180" s="46"/>
      <c r="FU180" s="46"/>
      <c r="FV180" s="46"/>
      <c r="FW180" s="46"/>
      <c r="FX180" s="46"/>
      <c r="FY180" s="46"/>
      <c r="FZ180" s="46"/>
      <c r="GA180" s="46"/>
      <c r="GB180" s="46"/>
      <c r="GC180" s="46"/>
      <c r="GD180" s="46"/>
      <c r="GE180" s="46"/>
      <c r="GF180" s="46"/>
      <c r="GG180" s="46"/>
      <c r="GH180" s="46"/>
    </row>
    <row r="181" spans="1:190" x14ac:dyDescent="0.25">
      <c r="A181" s="5" t="s">
        <v>91</v>
      </c>
      <c r="B181" s="1">
        <v>1442</v>
      </c>
      <c r="C181" s="98" t="s">
        <v>96</v>
      </c>
      <c r="D181" s="98" t="s">
        <v>104</v>
      </c>
      <c r="E181" s="1">
        <v>449</v>
      </c>
      <c r="F181" s="22">
        <v>50.71</v>
      </c>
      <c r="G181" s="22">
        <v>0.60399999999999998</v>
      </c>
      <c r="H181" s="22">
        <v>2.08</v>
      </c>
      <c r="I181" s="22">
        <v>0.01</v>
      </c>
      <c r="J181" s="22">
        <v>10.51</v>
      </c>
      <c r="K181" s="22">
        <v>0.32900000000000001</v>
      </c>
      <c r="L181" s="22">
        <v>14.88</v>
      </c>
      <c r="M181" s="22">
        <v>18.690000000000001</v>
      </c>
      <c r="N181" s="22">
        <v>0.30399999999999999</v>
      </c>
      <c r="O181" s="22">
        <v>0.03</v>
      </c>
      <c r="P181" s="22">
        <v>0</v>
      </c>
      <c r="Q181" s="22"/>
      <c r="R181" s="22"/>
      <c r="S181" s="22">
        <f t="shared" si="482"/>
        <v>98.146999999999991</v>
      </c>
      <c r="T181" s="3"/>
      <c r="U181" s="22">
        <f t="shared" si="483"/>
        <v>8.8782973752807859</v>
      </c>
      <c r="V181" s="22">
        <f t="shared" si="484"/>
        <v>1.8133111268504625</v>
      </c>
      <c r="W181" s="22">
        <f t="shared" si="485"/>
        <v>98.328608502131246</v>
      </c>
      <c r="X181" s="1">
        <v>19</v>
      </c>
      <c r="Y181" s="1">
        <v>5</v>
      </c>
      <c r="Z181" s="1">
        <v>120</v>
      </c>
      <c r="AA181" s="1" t="s">
        <v>258</v>
      </c>
      <c r="AC181" s="1">
        <v>6</v>
      </c>
      <c r="AD181" s="1">
        <v>4</v>
      </c>
      <c r="AE181" s="1"/>
      <c r="AF181" s="26">
        <f t="shared" si="486"/>
        <v>1.9305273707200876</v>
      </c>
      <c r="AG181" s="26">
        <f t="shared" si="487"/>
        <v>1.7294625382524874E-2</v>
      </c>
      <c r="AH181" s="26">
        <f t="shared" si="488"/>
        <v>9.3320225733135864E-2</v>
      </c>
      <c r="AI181" s="26">
        <f t="shared" si="489"/>
        <v>3.0097280614838437E-4</v>
      </c>
      <c r="AJ181" s="26">
        <f t="shared" si="490"/>
        <v>0.33457094296189344</v>
      </c>
      <c r="AK181" s="26">
        <f t="shared" si="491"/>
        <v>1.0607596482475458E-2</v>
      </c>
      <c r="AL181" s="26">
        <f t="shared" si="492"/>
        <v>0.84452043335063898</v>
      </c>
      <c r="AM181" s="26">
        <f t="shared" si="493"/>
        <v>0.76227832891704095</v>
      </c>
      <c r="AN181" s="26">
        <f t="shared" si="494"/>
        <v>2.2436973974143036E-2</v>
      </c>
      <c r="AO181" s="26">
        <f t="shared" si="495"/>
        <v>1.4568425734551892E-3</v>
      </c>
      <c r="AP181" s="26">
        <f t="shared" si="496"/>
        <v>0</v>
      </c>
      <c r="AQ181" s="26">
        <f t="shared" si="497"/>
        <v>0</v>
      </c>
      <c r="AR181" s="26">
        <f t="shared" si="498"/>
        <v>0</v>
      </c>
      <c r="AS181" s="26">
        <f t="shared" si="499"/>
        <v>4.0173143129015445</v>
      </c>
      <c r="AT181" s="26">
        <f t="shared" si="500"/>
        <v>2.0238475964532237</v>
      </c>
      <c r="AU181" s="26">
        <f t="shared" si="501"/>
        <v>0.7861721454646392</v>
      </c>
      <c r="AV181" s="47"/>
      <c r="AW181" s="26">
        <f t="shared" si="502"/>
        <v>1.922206947582098</v>
      </c>
      <c r="AX181" s="26">
        <f t="shared" si="503"/>
        <v>1.7220086889376263E-2</v>
      </c>
      <c r="AY181" s="26">
        <f t="shared" si="504"/>
        <v>9.2918022802885372E-2</v>
      </c>
      <c r="AZ181" s="26">
        <f t="shared" si="505"/>
        <v>2.9967563671263136E-4</v>
      </c>
      <c r="BA181" s="26">
        <f t="shared" si="506"/>
        <v>0.28140989949390199</v>
      </c>
      <c r="BB181" s="26">
        <f t="shared" si="507"/>
        <v>5.1719068670151191E-2</v>
      </c>
      <c r="BC181" s="26">
        <f t="shared" si="508"/>
        <v>1.0561878564900259E-2</v>
      </c>
      <c r="BD181" s="26">
        <f t="shared" si="509"/>
        <v>0.84088061582682183</v>
      </c>
      <c r="BE181" s="26">
        <f t="shared" si="510"/>
        <v>0.75899296848045539</v>
      </c>
      <c r="BF181" s="26">
        <f t="shared" si="511"/>
        <v>2.2340272357666446E-2</v>
      </c>
      <c r="BG181" s="26">
        <f t="shared" si="512"/>
        <v>1.4505636950303453E-3</v>
      </c>
      <c r="BH181" s="26">
        <f t="shared" si="513"/>
        <v>0</v>
      </c>
      <c r="BI181" s="26">
        <f t="shared" si="514"/>
        <v>0</v>
      </c>
      <c r="BJ181" s="26">
        <f t="shared" si="515"/>
        <v>0</v>
      </c>
      <c r="BK181" s="25">
        <f t="shared" si="516"/>
        <v>4</v>
      </c>
      <c r="BL181" s="24">
        <f t="shared" si="517"/>
        <v>6</v>
      </c>
      <c r="BM181" s="26">
        <f t="shared" si="518"/>
        <v>2.0151249703849832</v>
      </c>
      <c r="BN181" s="26">
        <f t="shared" si="519"/>
        <v>0.78278380453315222</v>
      </c>
      <c r="BO181" s="22"/>
      <c r="BP181" s="23">
        <f t="shared" si="520"/>
        <v>0.71624680691989784</v>
      </c>
      <c r="BQ181" s="26">
        <f t="shared" si="521"/>
        <v>7.779305241790202E-2</v>
      </c>
      <c r="BR181" s="26">
        <f t="shared" si="522"/>
        <v>1.5124970384983352E-2</v>
      </c>
      <c r="BS181" s="26"/>
      <c r="BT181" s="26">
        <f t="shared" si="523"/>
        <v>1.5124970384983352E-2</v>
      </c>
      <c r="BU181" s="26">
        <f t="shared" si="524"/>
        <v>0</v>
      </c>
      <c r="BV181" s="26">
        <f t="shared" si="525"/>
        <v>1.5124970384983352E-2</v>
      </c>
      <c r="BW181" s="26">
        <f t="shared" si="526"/>
        <v>1.5048640307419218E-4</v>
      </c>
      <c r="BX181" s="26">
        <f t="shared" si="527"/>
        <v>0.74700287212898331</v>
      </c>
      <c r="BY181" s="26">
        <f t="shared" si="528"/>
        <v>0.21604425209177452</v>
      </c>
      <c r="BZ181" s="26">
        <f t="shared" si="529"/>
        <v>0.99344755139379881</v>
      </c>
      <c r="CA181" s="22"/>
      <c r="CB181" s="22">
        <f t="shared" si="530"/>
        <v>2.2340272357666446E-2</v>
      </c>
      <c r="CC181" s="22">
        <f t="shared" si="531"/>
        <v>0</v>
      </c>
      <c r="CD181" s="22">
        <f t="shared" si="532"/>
        <v>2.9378796312484745E-2</v>
      </c>
      <c r="CE181" s="22">
        <f t="shared" si="533"/>
        <v>2.9967563671263136E-4</v>
      </c>
      <c r="CF181" s="22">
        <f t="shared" si="534"/>
        <v>1.5124970384983352E-2</v>
      </c>
      <c r="CG181" s="22">
        <f t="shared" si="535"/>
        <v>0.36826489925197053</v>
      </c>
      <c r="CH181" s="22">
        <f t="shared" si="536"/>
        <v>0.47333002756832004</v>
      </c>
      <c r="CI181" s="22">
        <f t="shared" si="537"/>
        <v>0.15840507317970937</v>
      </c>
      <c r="CJ181" s="22"/>
      <c r="CK181" s="22">
        <f t="shared" si="538"/>
        <v>0.39051598000061705</v>
      </c>
      <c r="CL181" s="22">
        <f t="shared" si="539"/>
        <v>0.43264869556112318</v>
      </c>
      <c r="CM181" s="22">
        <f t="shared" si="540"/>
        <v>0.17683532443825967</v>
      </c>
      <c r="CN181" s="1"/>
      <c r="CO181" s="26">
        <f t="shared" si="541"/>
        <v>0.84404127829560593</v>
      </c>
      <c r="CP181" s="26">
        <f t="shared" si="542"/>
        <v>7.5613420130195294E-3</v>
      </c>
      <c r="CQ181" s="26">
        <f t="shared" si="543"/>
        <v>4.0800313848568068E-2</v>
      </c>
      <c r="CR181" s="26">
        <f t="shared" si="544"/>
        <v>1.3158760444766102E-4</v>
      </c>
      <c r="CS181" s="26">
        <f t="shared" si="545"/>
        <v>0.14627696590118303</v>
      </c>
      <c r="CT181" s="26">
        <f t="shared" si="546"/>
        <v>4.6377220186072741E-3</v>
      </c>
      <c r="CU181" s="26">
        <f t="shared" si="547"/>
        <v>0.36923076923076925</v>
      </c>
      <c r="CV181" s="26">
        <f t="shared" si="548"/>
        <v>0.33327389443651928</v>
      </c>
      <c r="CW181" s="26">
        <f t="shared" si="549"/>
        <v>9.8096160051629553E-3</v>
      </c>
      <c r="CX181" s="26">
        <f t="shared" si="550"/>
        <v>6.3694267515923564E-4</v>
      </c>
      <c r="CY181" s="26">
        <f t="shared" si="551"/>
        <v>0</v>
      </c>
      <c r="CZ181" s="26">
        <f t="shared" si="552"/>
        <v>0</v>
      </c>
      <c r="DA181" s="26">
        <f t="shared" si="553"/>
        <v>0</v>
      </c>
      <c r="DB181" s="26">
        <f t="shared" si="554"/>
        <v>1.7564004320290425</v>
      </c>
      <c r="DC181" s="26">
        <f t="shared" si="555"/>
        <v>2.6232457237240148</v>
      </c>
      <c r="DD181" s="26">
        <f t="shared" si="556"/>
        <v>2.2773850011976422</v>
      </c>
      <c r="DE181" s="26">
        <f t="shared" si="557"/>
        <v>5.9741404656649255</v>
      </c>
      <c r="DF181" s="1"/>
      <c r="DG181" s="22"/>
      <c r="DH181" s="14"/>
      <c r="DI181" s="14"/>
      <c r="DJ181" s="14"/>
      <c r="DK181" s="14"/>
      <c r="DL181" s="14"/>
      <c r="DM181" s="96"/>
      <c r="DN181" s="14"/>
      <c r="DO181" s="96"/>
      <c r="DP181" s="22"/>
      <c r="DQ181" s="14"/>
      <c r="DR181" s="22"/>
      <c r="DS181" s="22"/>
      <c r="DT181" s="22"/>
      <c r="DU181" s="22"/>
      <c r="DV181" s="22"/>
      <c r="DW181" s="22"/>
      <c r="DX181" s="22"/>
      <c r="DY181" s="22"/>
      <c r="DZ181" s="22"/>
      <c r="EA181" s="22"/>
      <c r="EB181" s="22"/>
      <c r="EC181" s="22"/>
      <c r="ED181" s="22"/>
      <c r="EE181" s="22"/>
      <c r="EF181" s="22"/>
      <c r="EG181" s="22"/>
      <c r="EH181" s="22"/>
      <c r="EI181" s="22"/>
      <c r="EJ181" s="22"/>
      <c r="EK181" s="22"/>
      <c r="EL181" s="22"/>
      <c r="EM181" s="22"/>
      <c r="EN181" s="22"/>
      <c r="EO181" s="22"/>
      <c r="EP181" s="22"/>
      <c r="EQ181" s="22"/>
      <c r="ER181" s="22"/>
      <c r="ES181" s="22"/>
      <c r="ET181" s="22"/>
      <c r="EU181" s="22"/>
      <c r="EV181" s="22"/>
      <c r="EW181" s="22"/>
      <c r="EX181" s="22"/>
      <c r="EY181" s="22"/>
      <c r="EZ181" s="22"/>
      <c r="FA181" s="22"/>
      <c r="FB181" s="22"/>
      <c r="FC181" s="22"/>
      <c r="FD181" s="22"/>
      <c r="FE181" s="22"/>
      <c r="FF181" s="22"/>
      <c r="FG181" s="22"/>
      <c r="FH181" s="22"/>
      <c r="FI181" s="22"/>
      <c r="FJ181" s="22"/>
      <c r="FK181" s="22"/>
      <c r="FL181" s="22"/>
      <c r="FM181" s="22"/>
      <c r="FN181" s="22"/>
      <c r="FO181" s="22"/>
      <c r="FP181" s="22"/>
      <c r="FQ181" s="46"/>
      <c r="FR181" s="46"/>
      <c r="FS181" s="46"/>
      <c r="FT181" s="46"/>
      <c r="FU181" s="46"/>
      <c r="FV181" s="46"/>
      <c r="FW181" s="46"/>
      <c r="FX181" s="46"/>
      <c r="FY181" s="46"/>
      <c r="FZ181" s="46"/>
      <c r="GA181" s="46"/>
      <c r="GB181" s="46"/>
      <c r="GC181" s="46"/>
      <c r="GD181" s="46"/>
      <c r="GE181" s="46"/>
      <c r="GF181" s="46"/>
      <c r="GG181" s="46"/>
      <c r="GH181" s="46"/>
    </row>
    <row r="182" spans="1:190" x14ac:dyDescent="0.25">
      <c r="A182" s="5" t="s">
        <v>91</v>
      </c>
      <c r="B182" s="1">
        <v>1444</v>
      </c>
      <c r="C182" s="98" t="s">
        <v>96</v>
      </c>
      <c r="D182" s="98" t="s">
        <v>104</v>
      </c>
      <c r="E182" s="1">
        <v>451</v>
      </c>
      <c r="F182" s="22">
        <v>49.76</v>
      </c>
      <c r="G182" s="22">
        <v>0.51600000000000001</v>
      </c>
      <c r="H182" s="22">
        <v>3</v>
      </c>
      <c r="I182" s="22">
        <v>8.6999999999999994E-2</v>
      </c>
      <c r="J182" s="22">
        <v>10.33</v>
      </c>
      <c r="K182" s="22">
        <v>0.29199999999999998</v>
      </c>
      <c r="L182" s="22">
        <v>14.23</v>
      </c>
      <c r="M182" s="22">
        <v>19.36</v>
      </c>
      <c r="N182" s="22">
        <v>0.375</v>
      </c>
      <c r="O182" s="22">
        <v>8.9999999999999993E-3</v>
      </c>
      <c r="P182" s="22">
        <v>0</v>
      </c>
      <c r="Q182" s="22"/>
      <c r="R182" s="22"/>
      <c r="S182" s="22">
        <f t="shared" si="482"/>
        <v>97.959000000000003</v>
      </c>
      <c r="T182" s="3"/>
      <c r="U182" s="22">
        <f t="shared" si="483"/>
        <v>7.7358159275624514</v>
      </c>
      <c r="V182" s="22">
        <f t="shared" si="484"/>
        <v>2.8829167596998464</v>
      </c>
      <c r="W182" s="22">
        <f t="shared" si="485"/>
        <v>98.247732687262285</v>
      </c>
      <c r="X182" s="1">
        <v>19</v>
      </c>
      <c r="Y182" s="1">
        <v>7</v>
      </c>
      <c r="Z182" s="1">
        <v>180</v>
      </c>
      <c r="AA182" s="1" t="s">
        <v>258</v>
      </c>
      <c r="AC182" s="1">
        <v>6</v>
      </c>
      <c r="AD182" s="1">
        <v>4</v>
      </c>
      <c r="AE182" s="1"/>
      <c r="AF182" s="26">
        <f t="shared" si="486"/>
        <v>1.9027200066525263</v>
      </c>
      <c r="AG182" s="26">
        <f t="shared" si="487"/>
        <v>1.4840074543043674E-2</v>
      </c>
      <c r="AH182" s="26">
        <f t="shared" si="488"/>
        <v>0.13519040235777924</v>
      </c>
      <c r="AI182" s="26">
        <f t="shared" si="489"/>
        <v>2.6300176939770764E-3</v>
      </c>
      <c r="AJ182" s="26">
        <f t="shared" si="490"/>
        <v>0.33029194774772314</v>
      </c>
      <c r="AK182" s="26">
        <f t="shared" si="491"/>
        <v>9.4561881400351405E-3</v>
      </c>
      <c r="AL182" s="26">
        <f t="shared" si="492"/>
        <v>0.81119318043507116</v>
      </c>
      <c r="AM182" s="26">
        <f t="shared" si="493"/>
        <v>0.7930887419649546</v>
      </c>
      <c r="AN182" s="26">
        <f t="shared" si="494"/>
        <v>2.7799317167633047E-2</v>
      </c>
      <c r="AO182" s="26">
        <f t="shared" si="495"/>
        <v>4.3898131924838111E-4</v>
      </c>
      <c r="AP182" s="26">
        <f t="shared" si="496"/>
        <v>0</v>
      </c>
      <c r="AQ182" s="26">
        <f t="shared" si="497"/>
        <v>0</v>
      </c>
      <c r="AR182" s="26">
        <f t="shared" si="498"/>
        <v>0</v>
      </c>
      <c r="AS182" s="26">
        <f t="shared" si="499"/>
        <v>4.0276488580219914</v>
      </c>
      <c r="AT182" s="26">
        <f t="shared" si="500"/>
        <v>2.0379104090103057</v>
      </c>
      <c r="AU182" s="26">
        <f t="shared" si="501"/>
        <v>0.82132704045183602</v>
      </c>
      <c r="AV182" s="47"/>
      <c r="AW182" s="26">
        <f t="shared" si="502"/>
        <v>1.889658283256566</v>
      </c>
      <c r="AX182" s="26">
        <f t="shared" si="503"/>
        <v>1.4738200936743773E-2</v>
      </c>
      <c r="AY182" s="26">
        <f t="shared" si="504"/>
        <v>0.13426235217950183</v>
      </c>
      <c r="AZ182" s="26">
        <f t="shared" si="505"/>
        <v>2.6119632437557609E-3</v>
      </c>
      <c r="BA182" s="26">
        <f t="shared" si="506"/>
        <v>0.24564740611794211</v>
      </c>
      <c r="BB182" s="26">
        <f t="shared" si="507"/>
        <v>8.2377165428180188E-2</v>
      </c>
      <c r="BC182" s="26">
        <f t="shared" si="508"/>
        <v>9.3912736421408356E-3</v>
      </c>
      <c r="BD182" s="26">
        <f t="shared" si="509"/>
        <v>0.80562453086682861</v>
      </c>
      <c r="BE182" s="26">
        <f t="shared" si="510"/>
        <v>0.78764437509028173</v>
      </c>
      <c r="BF182" s="26">
        <f t="shared" si="511"/>
        <v>2.7608481421874005E-2</v>
      </c>
      <c r="BG182" s="26">
        <f t="shared" si="512"/>
        <v>4.3596781618541412E-4</v>
      </c>
      <c r="BH182" s="26">
        <f t="shared" si="513"/>
        <v>0</v>
      </c>
      <c r="BI182" s="26">
        <f t="shared" si="514"/>
        <v>0</v>
      </c>
      <c r="BJ182" s="26">
        <f t="shared" si="515"/>
        <v>0</v>
      </c>
      <c r="BK182" s="25">
        <f t="shared" si="516"/>
        <v>4.0000000000000009</v>
      </c>
      <c r="BL182" s="24">
        <f t="shared" si="517"/>
        <v>5.9999999999999991</v>
      </c>
      <c r="BM182" s="26">
        <f t="shared" si="518"/>
        <v>2.0239206354360677</v>
      </c>
      <c r="BN182" s="26">
        <f t="shared" si="519"/>
        <v>0.81568882432834111</v>
      </c>
      <c r="BO182" s="22"/>
      <c r="BP182" s="23">
        <f t="shared" si="520"/>
        <v>0.71064717393774834</v>
      </c>
      <c r="BQ182" s="26">
        <f t="shared" si="521"/>
        <v>0.11034171674343396</v>
      </c>
      <c r="BR182" s="26">
        <f t="shared" si="522"/>
        <v>2.3920635436067872E-2</v>
      </c>
      <c r="BS182" s="26"/>
      <c r="BT182" s="26">
        <f t="shared" si="523"/>
        <v>2.3920635436067872E-2</v>
      </c>
      <c r="BU182" s="26">
        <f t="shared" si="524"/>
        <v>0</v>
      </c>
      <c r="BV182" s="26">
        <f t="shared" si="525"/>
        <v>2.3920635436067872E-2</v>
      </c>
      <c r="BW182" s="26">
        <f t="shared" si="526"/>
        <v>1.3150088469885382E-3</v>
      </c>
      <c r="BX182" s="26">
        <f t="shared" si="527"/>
        <v>0.76785309768189813</v>
      </c>
      <c r="BY182" s="26">
        <f t="shared" si="528"/>
        <v>0.18681601525044805</v>
      </c>
      <c r="BZ182" s="26">
        <f t="shared" si="529"/>
        <v>1.0038253926514704</v>
      </c>
      <c r="CA182" s="22"/>
      <c r="CB182" s="22">
        <f t="shared" si="530"/>
        <v>2.7608481421874005E-2</v>
      </c>
      <c r="CC182" s="22">
        <f t="shared" si="531"/>
        <v>0</v>
      </c>
      <c r="CD182" s="22">
        <f t="shared" si="532"/>
        <v>5.4768684006306183E-2</v>
      </c>
      <c r="CE182" s="22">
        <f t="shared" si="533"/>
        <v>2.6119632437557609E-3</v>
      </c>
      <c r="CF182" s="22">
        <f t="shared" si="534"/>
        <v>2.3920635436067872E-2</v>
      </c>
      <c r="CG182" s="22">
        <f t="shared" si="535"/>
        <v>0.36697578691301297</v>
      </c>
      <c r="CH182" s="22">
        <f t="shared" si="536"/>
        <v>0.48510743676679646</v>
      </c>
      <c r="CI182" s="22">
        <f t="shared" si="537"/>
        <v>0.14791677632019057</v>
      </c>
      <c r="CJ182" s="22"/>
      <c r="CK182" s="22">
        <f t="shared" si="538"/>
        <v>0.40796115192965288</v>
      </c>
      <c r="CL182" s="22">
        <f t="shared" si="539"/>
        <v>0.41727399068589216</v>
      </c>
      <c r="CM182" s="22">
        <f t="shared" si="540"/>
        <v>0.17476485738445496</v>
      </c>
      <c r="CN182" s="1"/>
      <c r="CO182" s="26">
        <f t="shared" si="541"/>
        <v>0.82822902796271636</v>
      </c>
      <c r="CP182" s="26">
        <f t="shared" si="542"/>
        <v>6.4596895343014531E-3</v>
      </c>
      <c r="CQ182" s="26">
        <f t="shared" si="543"/>
        <v>5.8846606512357791E-2</v>
      </c>
      <c r="CR182" s="26">
        <f t="shared" si="544"/>
        <v>1.1448121586946508E-3</v>
      </c>
      <c r="CS182" s="26">
        <f t="shared" si="545"/>
        <v>0.14377174669450246</v>
      </c>
      <c r="CT182" s="26">
        <f t="shared" si="546"/>
        <v>4.1161544967578236E-3</v>
      </c>
      <c r="CU182" s="26">
        <f t="shared" si="547"/>
        <v>0.35310173697270475</v>
      </c>
      <c r="CV182" s="26">
        <f t="shared" si="548"/>
        <v>0.34522111269614836</v>
      </c>
      <c r="CW182" s="26">
        <f t="shared" si="549"/>
        <v>1.2100677637947727E-2</v>
      </c>
      <c r="CX182" s="26">
        <f t="shared" si="550"/>
        <v>1.9108280254777067E-4</v>
      </c>
      <c r="CY182" s="26">
        <f t="shared" si="551"/>
        <v>0</v>
      </c>
      <c r="CZ182" s="26">
        <f t="shared" si="552"/>
        <v>0</v>
      </c>
      <c r="DA182" s="26">
        <f t="shared" si="553"/>
        <v>0</v>
      </c>
      <c r="DB182" s="26">
        <f t="shared" si="554"/>
        <v>1.7531826474686791</v>
      </c>
      <c r="DC182" s="26">
        <f t="shared" si="555"/>
        <v>2.6117211940809759</v>
      </c>
      <c r="DD182" s="26">
        <f t="shared" si="556"/>
        <v>2.2815649047036675</v>
      </c>
      <c r="DE182" s="26">
        <f t="shared" si="557"/>
        <v>5.9588114172859106</v>
      </c>
      <c r="DF182" s="1"/>
      <c r="DG182" s="22"/>
      <c r="DH182" s="14"/>
      <c r="DI182" s="14"/>
      <c r="DJ182" s="14"/>
      <c r="DK182" s="14"/>
      <c r="DL182" s="14"/>
      <c r="DM182" s="96"/>
      <c r="DN182" s="14"/>
      <c r="DO182" s="96"/>
      <c r="DP182" s="22"/>
      <c r="DQ182" s="14"/>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46"/>
      <c r="FR182" s="46"/>
      <c r="FS182" s="46"/>
      <c r="FT182" s="46"/>
      <c r="FU182" s="46"/>
      <c r="FV182" s="46"/>
      <c r="FW182" s="46"/>
      <c r="FX182" s="46"/>
      <c r="FY182" s="46"/>
      <c r="FZ182" s="46"/>
      <c r="GA182" s="46"/>
      <c r="GB182" s="46"/>
      <c r="GC182" s="46"/>
      <c r="GD182" s="46"/>
      <c r="GE182" s="46"/>
      <c r="GF182" s="46"/>
      <c r="GG182" s="46"/>
      <c r="GH182" s="46"/>
    </row>
    <row r="183" spans="1:190" x14ac:dyDescent="0.25">
      <c r="A183" s="5" t="s">
        <v>91</v>
      </c>
      <c r="B183" s="1">
        <v>1445</v>
      </c>
      <c r="C183" s="98" t="s">
        <v>96</v>
      </c>
      <c r="D183" s="98" t="s">
        <v>104</v>
      </c>
      <c r="E183" s="1">
        <v>452</v>
      </c>
      <c r="F183" s="22">
        <v>51.11</v>
      </c>
      <c r="G183" s="22">
        <v>0.56299999999999994</v>
      </c>
      <c r="H183" s="22">
        <v>1.89</v>
      </c>
      <c r="I183" s="22">
        <v>0</v>
      </c>
      <c r="J183" s="22">
        <v>11.85</v>
      </c>
      <c r="K183" s="22">
        <v>0.35099999999999998</v>
      </c>
      <c r="L183" s="22">
        <v>15.35</v>
      </c>
      <c r="M183" s="22">
        <v>17.11</v>
      </c>
      <c r="N183" s="22">
        <v>0.33100000000000002</v>
      </c>
      <c r="O183" s="22">
        <v>0</v>
      </c>
      <c r="P183" s="22">
        <v>0</v>
      </c>
      <c r="Q183" s="22"/>
      <c r="R183" s="22"/>
      <c r="S183" s="22">
        <f t="shared" si="482"/>
        <v>98.554999999999993</v>
      </c>
      <c r="T183" s="3"/>
      <c r="U183" s="22">
        <f t="shared" si="483"/>
        <v>10.450180828669634</v>
      </c>
      <c r="V183" s="22">
        <f t="shared" si="484"/>
        <v>1.5556190450994367</v>
      </c>
      <c r="W183" s="22">
        <f t="shared" si="485"/>
        <v>98.710799873769076</v>
      </c>
      <c r="X183" s="1">
        <v>19</v>
      </c>
      <c r="Y183" s="1">
        <v>8</v>
      </c>
      <c r="Z183" s="1">
        <v>210</v>
      </c>
      <c r="AA183" s="1" t="s">
        <v>258</v>
      </c>
      <c r="AC183" s="1">
        <v>6</v>
      </c>
      <c r="AD183" s="1">
        <v>4</v>
      </c>
      <c r="AE183" s="1"/>
      <c r="AF183" s="26">
        <f t="shared" si="486"/>
        <v>1.9390532255628374</v>
      </c>
      <c r="AG183" s="26">
        <f t="shared" si="487"/>
        <v>1.6065125108125893E-2</v>
      </c>
      <c r="AH183" s="26">
        <f t="shared" si="488"/>
        <v>8.4503704164768836E-2</v>
      </c>
      <c r="AI183" s="26">
        <f t="shared" si="489"/>
        <v>0</v>
      </c>
      <c r="AJ183" s="26">
        <f t="shared" si="490"/>
        <v>0.37592858603933826</v>
      </c>
      <c r="AK183" s="26">
        <f t="shared" si="491"/>
        <v>1.1277938076072112E-2</v>
      </c>
      <c r="AL183" s="26">
        <f t="shared" si="492"/>
        <v>0.86819465343535529</v>
      </c>
      <c r="AM183" s="26">
        <f t="shared" si="493"/>
        <v>0.69543377302694698</v>
      </c>
      <c r="AN183" s="26">
        <f t="shared" si="494"/>
        <v>2.4345583666413848E-2</v>
      </c>
      <c r="AO183" s="26">
        <f t="shared" si="495"/>
        <v>0</v>
      </c>
      <c r="AP183" s="26">
        <f t="shared" si="496"/>
        <v>0</v>
      </c>
      <c r="AQ183" s="26">
        <f t="shared" si="497"/>
        <v>0</v>
      </c>
      <c r="AR183" s="26">
        <f t="shared" si="498"/>
        <v>0</v>
      </c>
      <c r="AS183" s="26">
        <f t="shared" si="499"/>
        <v>4.0148025890798591</v>
      </c>
      <c r="AT183" s="26">
        <f t="shared" si="500"/>
        <v>2.0235569297276061</v>
      </c>
      <c r="AU183" s="26">
        <f t="shared" si="501"/>
        <v>0.71977935669336079</v>
      </c>
      <c r="AV183" s="47"/>
      <c r="AW183" s="26">
        <f t="shared" si="502"/>
        <v>1.9319039305563899</v>
      </c>
      <c r="AX183" s="26">
        <f t="shared" si="503"/>
        <v>1.6005892944098966E-2</v>
      </c>
      <c r="AY183" s="26">
        <f t="shared" si="504"/>
        <v>8.4192138756327736E-2</v>
      </c>
      <c r="AZ183" s="26">
        <f t="shared" si="505"/>
        <v>0</v>
      </c>
      <c r="BA183" s="26">
        <f t="shared" si="506"/>
        <v>0.33029850055540783</v>
      </c>
      <c r="BB183" s="26">
        <f t="shared" si="507"/>
        <v>4.4244035669763093E-2</v>
      </c>
      <c r="BC183" s="26">
        <f t="shared" si="508"/>
        <v>1.1236356284862185E-2</v>
      </c>
      <c r="BD183" s="26">
        <f t="shared" si="509"/>
        <v>0.86499361716744771</v>
      </c>
      <c r="BE183" s="26">
        <f t="shared" si="510"/>
        <v>0.69286970663863345</v>
      </c>
      <c r="BF183" s="26">
        <f t="shared" si="511"/>
        <v>2.4255821427069012E-2</v>
      </c>
      <c r="BG183" s="26">
        <f t="shared" si="512"/>
        <v>0</v>
      </c>
      <c r="BH183" s="26">
        <f t="shared" si="513"/>
        <v>0</v>
      </c>
      <c r="BI183" s="26">
        <f t="shared" si="514"/>
        <v>0</v>
      </c>
      <c r="BJ183" s="26">
        <f t="shared" si="515"/>
        <v>0</v>
      </c>
      <c r="BK183" s="25">
        <f t="shared" si="516"/>
        <v>4</v>
      </c>
      <c r="BL183" s="24">
        <f t="shared" si="517"/>
        <v>6</v>
      </c>
      <c r="BM183" s="26">
        <f t="shared" si="518"/>
        <v>2.0160960693127175</v>
      </c>
      <c r="BN183" s="26">
        <f t="shared" si="519"/>
        <v>0.71712552806570251</v>
      </c>
      <c r="BO183" s="22"/>
      <c r="BP183" s="23">
        <f t="shared" si="520"/>
        <v>0.69783653732079898</v>
      </c>
      <c r="BQ183" s="26">
        <f t="shared" si="521"/>
        <v>6.809606944361013E-2</v>
      </c>
      <c r="BR183" s="26">
        <f t="shared" si="522"/>
        <v>1.6096069312717606E-2</v>
      </c>
      <c r="BS183" s="26"/>
      <c r="BT183" s="26">
        <f t="shared" si="523"/>
        <v>1.6096069312717606E-2</v>
      </c>
      <c r="BU183" s="26">
        <f t="shared" si="524"/>
        <v>0</v>
      </c>
      <c r="BV183" s="26">
        <f t="shared" si="525"/>
        <v>1.6096069312717606E-2</v>
      </c>
      <c r="BW183" s="26">
        <f t="shared" si="526"/>
        <v>0</v>
      </c>
      <c r="BX183" s="26">
        <f t="shared" si="527"/>
        <v>0.67933770371422941</v>
      </c>
      <c r="BY183" s="26">
        <f t="shared" si="528"/>
        <v>0.28239276788023204</v>
      </c>
      <c r="BZ183" s="26">
        <f t="shared" si="529"/>
        <v>0.9939226102198967</v>
      </c>
      <c r="CA183" s="22"/>
      <c r="CB183" s="22">
        <f t="shared" si="530"/>
        <v>2.4255821427069012E-2</v>
      </c>
      <c r="CC183" s="22">
        <f t="shared" si="531"/>
        <v>0</v>
      </c>
      <c r="CD183" s="22">
        <f t="shared" si="532"/>
        <v>1.9988214242694081E-2</v>
      </c>
      <c r="CE183" s="22">
        <f t="shared" si="533"/>
        <v>0</v>
      </c>
      <c r="CF183" s="22">
        <f t="shared" si="534"/>
        <v>1.6096069312717606E-2</v>
      </c>
      <c r="CG183" s="22">
        <f t="shared" si="535"/>
        <v>0.3405206222551454</v>
      </c>
      <c r="CH183" s="22">
        <f t="shared" si="536"/>
        <v>0.47724354904105948</v>
      </c>
      <c r="CI183" s="22">
        <f t="shared" si="537"/>
        <v>0.18223582870379518</v>
      </c>
      <c r="CJ183" s="22"/>
      <c r="CK183" s="22">
        <f t="shared" si="538"/>
        <v>0.35648006655868242</v>
      </c>
      <c r="CL183" s="22">
        <f t="shared" si="539"/>
        <v>0.44503747135463795</v>
      </c>
      <c r="CM183" s="22">
        <f t="shared" si="540"/>
        <v>0.19848246208667963</v>
      </c>
      <c r="CN183" s="1"/>
      <c r="CO183" s="26">
        <f t="shared" si="541"/>
        <v>0.85069906790945404</v>
      </c>
      <c r="CP183" s="26">
        <f t="shared" si="542"/>
        <v>7.0480721081622429E-3</v>
      </c>
      <c r="CQ183" s="26">
        <f t="shared" si="543"/>
        <v>3.7073362102785404E-2</v>
      </c>
      <c r="CR183" s="26">
        <f t="shared" si="544"/>
        <v>0</v>
      </c>
      <c r="CS183" s="26">
        <f t="shared" si="545"/>
        <v>0.16492693110647183</v>
      </c>
      <c r="CT183" s="26">
        <f t="shared" si="546"/>
        <v>4.9478432478150544E-3</v>
      </c>
      <c r="CU183" s="26">
        <f t="shared" si="547"/>
        <v>0.380893300248139</v>
      </c>
      <c r="CV183" s="26">
        <f t="shared" si="548"/>
        <v>0.30509985734664763</v>
      </c>
      <c r="CW183" s="26">
        <f t="shared" si="549"/>
        <v>1.0680864795095193E-2</v>
      </c>
      <c r="CX183" s="26">
        <f t="shared" si="550"/>
        <v>0</v>
      </c>
      <c r="CY183" s="26">
        <f t="shared" si="551"/>
        <v>0</v>
      </c>
      <c r="CZ183" s="26">
        <f t="shared" si="552"/>
        <v>0</v>
      </c>
      <c r="DA183" s="26">
        <f t="shared" si="553"/>
        <v>0</v>
      </c>
      <c r="DB183" s="26">
        <f t="shared" si="554"/>
        <v>1.7613692988645706</v>
      </c>
      <c r="DC183" s="26">
        <f t="shared" si="555"/>
        <v>2.6323126875360319</v>
      </c>
      <c r="DD183" s="26">
        <f t="shared" si="556"/>
        <v>2.2709604411627451</v>
      </c>
      <c r="DE183" s="26">
        <f t="shared" si="557"/>
        <v>5.9778779821651185</v>
      </c>
      <c r="DF183" s="1"/>
      <c r="DG183" s="22"/>
      <c r="DH183" s="14"/>
      <c r="DI183" s="14"/>
      <c r="DJ183" s="14"/>
      <c r="DK183" s="14"/>
      <c r="DL183" s="14"/>
      <c r="DM183" s="96"/>
      <c r="DN183" s="14"/>
      <c r="DO183" s="96"/>
      <c r="DP183" s="22"/>
      <c r="DQ183" s="14"/>
      <c r="DR183" s="22"/>
      <c r="DS183" s="22"/>
      <c r="DT183" s="22"/>
      <c r="DU183" s="22"/>
      <c r="DV183" s="22"/>
      <c r="DW183" s="22"/>
      <c r="DX183" s="22"/>
      <c r="DY183" s="22"/>
      <c r="DZ183" s="22"/>
      <c r="EA183" s="22"/>
      <c r="EB183" s="22"/>
      <c r="EC183" s="22"/>
      <c r="ED183" s="22"/>
      <c r="EE183" s="22"/>
      <c r="EF183" s="22"/>
      <c r="EG183" s="22"/>
      <c r="EH183" s="22"/>
      <c r="EI183" s="22"/>
      <c r="EJ183" s="22"/>
      <c r="EK183" s="22"/>
      <c r="EL183" s="22"/>
      <c r="EM183" s="22"/>
      <c r="EN183" s="22"/>
      <c r="EO183" s="22"/>
      <c r="EP183" s="22"/>
      <c r="EQ183" s="22"/>
      <c r="ER183" s="22"/>
      <c r="ES183" s="22"/>
      <c r="ET183" s="22"/>
      <c r="EU183" s="22"/>
      <c r="EV183" s="22"/>
      <c r="EW183" s="22"/>
      <c r="EX183" s="22"/>
      <c r="EY183" s="22"/>
      <c r="EZ183" s="22"/>
      <c r="FA183" s="22"/>
      <c r="FB183" s="22"/>
      <c r="FC183" s="22"/>
      <c r="FD183" s="22"/>
      <c r="FE183" s="22"/>
      <c r="FF183" s="22"/>
      <c r="FG183" s="22"/>
      <c r="FH183" s="22"/>
      <c r="FI183" s="22"/>
      <c r="FJ183" s="22"/>
      <c r="FK183" s="22"/>
      <c r="FL183" s="22"/>
      <c r="FM183" s="22"/>
      <c r="FN183" s="22"/>
      <c r="FO183" s="22"/>
      <c r="FP183" s="22"/>
      <c r="FQ183" s="46"/>
      <c r="FR183" s="46"/>
      <c r="FS183" s="46"/>
      <c r="FT183" s="46"/>
      <c r="FU183" s="46"/>
      <c r="FV183" s="46"/>
      <c r="FW183" s="46"/>
      <c r="FX183" s="46"/>
      <c r="FY183" s="46"/>
      <c r="FZ183" s="46"/>
      <c r="GA183" s="46"/>
      <c r="GB183" s="46"/>
      <c r="GC183" s="46"/>
      <c r="GD183" s="46"/>
      <c r="GE183" s="46"/>
      <c r="GF183" s="46"/>
      <c r="GG183" s="46"/>
      <c r="GH183" s="46"/>
    </row>
    <row r="184" spans="1:190" x14ac:dyDescent="0.25">
      <c r="A184" s="5" t="s">
        <v>91</v>
      </c>
      <c r="B184" s="1">
        <v>1446</v>
      </c>
      <c r="C184" s="98" t="s">
        <v>96</v>
      </c>
      <c r="D184" s="98" t="s">
        <v>104</v>
      </c>
      <c r="E184" s="1">
        <v>453</v>
      </c>
      <c r="F184" s="22">
        <v>50.24</v>
      </c>
      <c r="G184" s="22">
        <v>0.72</v>
      </c>
      <c r="H184" s="22">
        <v>2.37</v>
      </c>
      <c r="I184" s="22">
        <v>0</v>
      </c>
      <c r="J184" s="22">
        <v>11.5</v>
      </c>
      <c r="K184" s="22">
        <v>0.32900000000000001</v>
      </c>
      <c r="L184" s="22">
        <v>14.73</v>
      </c>
      <c r="M184" s="22">
        <v>18.04</v>
      </c>
      <c r="N184" s="22">
        <v>0.34499999999999997</v>
      </c>
      <c r="O184" s="22">
        <v>0</v>
      </c>
      <c r="P184" s="22">
        <v>0</v>
      </c>
      <c r="Q184" s="22"/>
      <c r="R184" s="22"/>
      <c r="S184" s="22">
        <f t="shared" si="482"/>
        <v>98.274000000000001</v>
      </c>
      <c r="T184" s="3"/>
      <c r="U184" s="22">
        <f t="shared" si="483"/>
        <v>9.4221885991209309</v>
      </c>
      <c r="V184" s="22">
        <f t="shared" si="484"/>
        <v>2.3090718097969081</v>
      </c>
      <c r="W184" s="22">
        <f t="shared" si="485"/>
        <v>98.505260408917835</v>
      </c>
      <c r="X184" s="1">
        <v>19</v>
      </c>
      <c r="Y184" s="1">
        <v>9</v>
      </c>
      <c r="Z184" s="1">
        <v>240</v>
      </c>
      <c r="AA184" s="1" t="s">
        <v>258</v>
      </c>
      <c r="AC184" s="1">
        <v>6</v>
      </c>
      <c r="AD184" s="1">
        <v>4</v>
      </c>
      <c r="AE184" s="1"/>
      <c r="AF184" s="26">
        <f t="shared" si="486"/>
        <v>1.9167240488469564</v>
      </c>
      <c r="AG184" s="26">
        <f t="shared" si="487"/>
        <v>2.0660190677986051E-2</v>
      </c>
      <c r="AH184" s="26">
        <f t="shared" si="488"/>
        <v>0.10655857401370189</v>
      </c>
      <c r="AI184" s="26">
        <f t="shared" si="489"/>
        <v>0</v>
      </c>
      <c r="AJ184" s="26">
        <f t="shared" si="490"/>
        <v>0.36686894689189564</v>
      </c>
      <c r="AK184" s="26">
        <f t="shared" si="491"/>
        <v>1.0630277431566307E-2</v>
      </c>
      <c r="AL184" s="26">
        <f t="shared" si="492"/>
        <v>0.83779465611718906</v>
      </c>
      <c r="AM184" s="26">
        <f t="shared" si="493"/>
        <v>0.73734105062435018</v>
      </c>
      <c r="AN184" s="26">
        <f t="shared" si="494"/>
        <v>2.5517457729121684E-2</v>
      </c>
      <c r="AO184" s="26">
        <f t="shared" si="495"/>
        <v>0</v>
      </c>
      <c r="AP184" s="26">
        <f t="shared" si="496"/>
        <v>0</v>
      </c>
      <c r="AQ184" s="26">
        <f t="shared" si="497"/>
        <v>0</v>
      </c>
      <c r="AR184" s="26">
        <f t="shared" si="498"/>
        <v>0</v>
      </c>
      <c r="AS184" s="26">
        <f t="shared" si="499"/>
        <v>4.0220952023327676</v>
      </c>
      <c r="AT184" s="26">
        <f t="shared" si="500"/>
        <v>2.0232826228606582</v>
      </c>
      <c r="AU184" s="26">
        <f t="shared" si="501"/>
        <v>0.76285850835347191</v>
      </c>
      <c r="AV184" s="47"/>
      <c r="AW184" s="26">
        <f t="shared" si="502"/>
        <v>1.9061946099488436</v>
      </c>
      <c r="AX184" s="26">
        <f t="shared" si="503"/>
        <v>2.0546694833084394E-2</v>
      </c>
      <c r="AY184" s="26">
        <f t="shared" si="504"/>
        <v>0.10597319919419029</v>
      </c>
      <c r="AZ184" s="26">
        <f t="shared" si="505"/>
        <v>0</v>
      </c>
      <c r="BA184" s="26">
        <f t="shared" si="506"/>
        <v>0.29893209859305009</v>
      </c>
      <c r="BB184" s="26">
        <f t="shared" si="507"/>
        <v>6.5921469944179911E-2</v>
      </c>
      <c r="BC184" s="26">
        <f t="shared" si="508"/>
        <v>1.0571880472049365E-2</v>
      </c>
      <c r="BD184" s="26">
        <f t="shared" si="509"/>
        <v>0.83319226818030356</v>
      </c>
      <c r="BE184" s="26">
        <f t="shared" si="510"/>
        <v>0.73329050013207142</v>
      </c>
      <c r="BF184" s="26">
        <f t="shared" si="511"/>
        <v>2.5377278702226499E-2</v>
      </c>
      <c r="BG184" s="26">
        <f t="shared" si="512"/>
        <v>0</v>
      </c>
      <c r="BH184" s="26">
        <f t="shared" si="513"/>
        <v>0</v>
      </c>
      <c r="BI184" s="26">
        <f t="shared" si="514"/>
        <v>0</v>
      </c>
      <c r="BJ184" s="26">
        <f t="shared" si="515"/>
        <v>0</v>
      </c>
      <c r="BK184" s="25">
        <f t="shared" si="516"/>
        <v>3.9999999999999987</v>
      </c>
      <c r="BL184" s="24">
        <f t="shared" si="517"/>
        <v>5.9999999999999982</v>
      </c>
      <c r="BM184" s="26">
        <f t="shared" si="518"/>
        <v>2.0121678091430337</v>
      </c>
      <c r="BN184" s="26">
        <f t="shared" si="519"/>
        <v>0.75866777883429792</v>
      </c>
      <c r="BO184" s="22"/>
      <c r="BP184" s="23">
        <f t="shared" si="520"/>
        <v>0.69545942454349308</v>
      </c>
      <c r="BQ184" s="26">
        <f t="shared" si="521"/>
        <v>9.3805390051156401E-2</v>
      </c>
      <c r="BR184" s="26">
        <f t="shared" si="522"/>
        <v>1.2167809143033892E-2</v>
      </c>
      <c r="BS184" s="26"/>
      <c r="BT184" s="26">
        <f t="shared" si="523"/>
        <v>1.2167809143033892E-2</v>
      </c>
      <c r="BU184" s="26">
        <f t="shared" si="524"/>
        <v>0</v>
      </c>
      <c r="BV184" s="26">
        <f t="shared" si="525"/>
        <v>1.2167809143033892E-2</v>
      </c>
      <c r="BW184" s="26">
        <f t="shared" si="526"/>
        <v>0</v>
      </c>
      <c r="BX184" s="26">
        <f t="shared" si="527"/>
        <v>0.72517324148131634</v>
      </c>
      <c r="BY184" s="26">
        <f t="shared" si="528"/>
        <v>0.23974518076388418</v>
      </c>
      <c r="BZ184" s="26">
        <f t="shared" si="529"/>
        <v>0.98925404053126831</v>
      </c>
      <c r="CA184" s="22"/>
      <c r="CB184" s="22">
        <f t="shared" si="530"/>
        <v>2.5377278702226499E-2</v>
      </c>
      <c r="CC184" s="22">
        <f t="shared" si="531"/>
        <v>0</v>
      </c>
      <c r="CD184" s="22">
        <f t="shared" si="532"/>
        <v>4.0544191241953409E-2</v>
      </c>
      <c r="CE184" s="22">
        <f t="shared" si="533"/>
        <v>0</v>
      </c>
      <c r="CF184" s="22">
        <f t="shared" si="534"/>
        <v>1.2167809143033892E-2</v>
      </c>
      <c r="CG184" s="22">
        <f t="shared" si="535"/>
        <v>0.35297788922465534</v>
      </c>
      <c r="CH184" s="22">
        <f t="shared" si="536"/>
        <v>0.47617897455575325</v>
      </c>
      <c r="CI184" s="22">
        <f t="shared" si="537"/>
        <v>0.17084313621959141</v>
      </c>
      <c r="CJ184" s="22"/>
      <c r="CK184" s="22">
        <f t="shared" si="538"/>
        <v>0.37761336688891017</v>
      </c>
      <c r="CL184" s="22">
        <f t="shared" si="539"/>
        <v>0.42905852127731897</v>
      </c>
      <c r="CM184" s="22">
        <f t="shared" si="540"/>
        <v>0.19332811183377085</v>
      </c>
      <c r="CN184" s="1"/>
      <c r="CO184" s="26">
        <f t="shared" si="541"/>
        <v>0.83621837549933431</v>
      </c>
      <c r="CP184" s="26">
        <f t="shared" si="542"/>
        <v>9.0135202804206317E-3</v>
      </c>
      <c r="CQ184" s="26">
        <f t="shared" si="543"/>
        <v>4.6488819144762654E-2</v>
      </c>
      <c r="CR184" s="26">
        <f t="shared" si="544"/>
        <v>0</v>
      </c>
      <c r="CS184" s="26">
        <f t="shared" si="545"/>
        <v>0.16005567153792624</v>
      </c>
      <c r="CT184" s="26">
        <f t="shared" si="546"/>
        <v>4.6377220186072741E-3</v>
      </c>
      <c r="CU184" s="26">
        <f t="shared" si="547"/>
        <v>0.36550868486352361</v>
      </c>
      <c r="CV184" s="26">
        <f t="shared" si="548"/>
        <v>0.32168330955777458</v>
      </c>
      <c r="CW184" s="26">
        <f t="shared" si="549"/>
        <v>1.1132623426911906E-2</v>
      </c>
      <c r="CX184" s="26">
        <f t="shared" si="550"/>
        <v>0</v>
      </c>
      <c r="CY184" s="26">
        <f t="shared" si="551"/>
        <v>0</v>
      </c>
      <c r="CZ184" s="26">
        <f t="shared" si="552"/>
        <v>0</v>
      </c>
      <c r="DA184" s="26">
        <f t="shared" si="553"/>
        <v>0</v>
      </c>
      <c r="DB184" s="26">
        <f t="shared" si="554"/>
        <v>1.7547387263292615</v>
      </c>
      <c r="DC184" s="26">
        <f t="shared" si="555"/>
        <v>2.6176487199679417</v>
      </c>
      <c r="DD184" s="26">
        <f t="shared" si="556"/>
        <v>2.2795416434260849</v>
      </c>
      <c r="DE184" s="26">
        <f t="shared" si="557"/>
        <v>5.9670392650279096</v>
      </c>
      <c r="DF184" s="1"/>
      <c r="DG184" s="22"/>
      <c r="DH184" s="14"/>
      <c r="DI184" s="14"/>
      <c r="DJ184" s="14"/>
      <c r="DK184" s="14"/>
      <c r="DL184" s="14"/>
      <c r="DM184" s="96"/>
      <c r="DN184" s="14"/>
      <c r="DO184" s="96"/>
      <c r="DP184" s="22"/>
      <c r="DQ184" s="14"/>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46"/>
      <c r="FR184" s="46"/>
      <c r="FS184" s="46"/>
      <c r="FT184" s="46"/>
      <c r="FU184" s="46"/>
      <c r="FV184" s="46"/>
      <c r="FW184" s="46"/>
      <c r="FX184" s="46"/>
      <c r="FY184" s="46"/>
      <c r="FZ184" s="46"/>
      <c r="GA184" s="46"/>
      <c r="GB184" s="46"/>
      <c r="GC184" s="46"/>
      <c r="GD184" s="46"/>
      <c r="GE184" s="46"/>
      <c r="GF184" s="46"/>
      <c r="GG184" s="46"/>
      <c r="GH184" s="46"/>
    </row>
    <row r="185" spans="1:190" x14ac:dyDescent="0.25">
      <c r="A185" s="5" t="s">
        <v>91</v>
      </c>
      <c r="B185" s="1">
        <v>1447</v>
      </c>
      <c r="C185" s="98" t="s">
        <v>96</v>
      </c>
      <c r="D185" s="98" t="s">
        <v>104</v>
      </c>
      <c r="E185" s="1">
        <v>454</v>
      </c>
      <c r="F185" s="22">
        <v>49.7</v>
      </c>
      <c r="G185" s="22">
        <v>0.61899999999999999</v>
      </c>
      <c r="H185" s="22">
        <v>2.86</v>
      </c>
      <c r="I185" s="22">
        <v>0.1</v>
      </c>
      <c r="J185" s="22">
        <v>11.45</v>
      </c>
      <c r="K185" s="22">
        <v>0.376</v>
      </c>
      <c r="L185" s="22">
        <v>13.67</v>
      </c>
      <c r="M185" s="22">
        <v>18.72</v>
      </c>
      <c r="N185" s="22">
        <v>0.39800000000000002</v>
      </c>
      <c r="O185" s="22">
        <v>0</v>
      </c>
      <c r="P185" s="22">
        <v>0</v>
      </c>
      <c r="Q185" s="22"/>
      <c r="R185" s="22"/>
      <c r="S185" s="22">
        <f t="shared" si="482"/>
        <v>97.893000000000001</v>
      </c>
      <c r="T185" s="3"/>
      <c r="U185" s="22">
        <f t="shared" si="483"/>
        <v>9.4108213597532675</v>
      </c>
      <c r="V185" s="22">
        <f t="shared" si="484"/>
        <v>2.2661392229061934</v>
      </c>
      <c r="W185" s="22">
        <f t="shared" si="485"/>
        <v>98.119960582659473</v>
      </c>
      <c r="X185" s="1">
        <v>19</v>
      </c>
      <c r="Y185" s="1">
        <v>10</v>
      </c>
      <c r="Z185" s="1">
        <v>270</v>
      </c>
      <c r="AA185" s="1" t="s">
        <v>258</v>
      </c>
      <c r="AC185" s="1">
        <v>6</v>
      </c>
      <c r="AD185" s="1">
        <v>4</v>
      </c>
      <c r="AE185" s="1"/>
      <c r="AF185" s="26">
        <f t="shared" si="486"/>
        <v>1.9088612167271584</v>
      </c>
      <c r="AG185" s="26">
        <f t="shared" si="487"/>
        <v>1.7881357347061585E-2</v>
      </c>
      <c r="AH185" s="26">
        <f t="shared" si="488"/>
        <v>0.12945358784198621</v>
      </c>
      <c r="AI185" s="26">
        <f t="shared" si="489"/>
        <v>3.0364271794585569E-3</v>
      </c>
      <c r="AJ185" s="26">
        <f t="shared" si="490"/>
        <v>0.36772791873469901</v>
      </c>
      <c r="AK185" s="26">
        <f t="shared" si="491"/>
        <v>1.223050952877225E-2</v>
      </c>
      <c r="AL185" s="26">
        <f t="shared" si="492"/>
        <v>0.78272887977304428</v>
      </c>
      <c r="AM185" s="26">
        <f t="shared" si="493"/>
        <v>0.77027486932512146</v>
      </c>
      <c r="AN185" s="26">
        <f t="shared" si="494"/>
        <v>2.9635303915513174E-2</v>
      </c>
      <c r="AO185" s="26">
        <f t="shared" si="495"/>
        <v>0</v>
      </c>
      <c r="AP185" s="26">
        <f t="shared" si="496"/>
        <v>0</v>
      </c>
      <c r="AQ185" s="26">
        <f t="shared" si="497"/>
        <v>0</v>
      </c>
      <c r="AR185" s="26">
        <f t="shared" si="498"/>
        <v>0</v>
      </c>
      <c r="AS185" s="26">
        <f t="shared" si="499"/>
        <v>4.0218300703728147</v>
      </c>
      <c r="AT185" s="26">
        <f t="shared" si="500"/>
        <v>2.0383148045691444</v>
      </c>
      <c r="AU185" s="26">
        <f t="shared" si="501"/>
        <v>0.79991017324063463</v>
      </c>
      <c r="AV185" s="47"/>
      <c r="AW185" s="26">
        <f t="shared" si="502"/>
        <v>1.8985001189274127</v>
      </c>
      <c r="AX185" s="26">
        <f t="shared" si="503"/>
        <v>1.77842992211792E-2</v>
      </c>
      <c r="AY185" s="26">
        <f t="shared" si="504"/>
        <v>0.12875092739061067</v>
      </c>
      <c r="AZ185" s="26">
        <f t="shared" si="505"/>
        <v>3.0199457722758405E-3</v>
      </c>
      <c r="BA185" s="26">
        <f t="shared" si="506"/>
        <v>0.30059719314619193</v>
      </c>
      <c r="BB185" s="26">
        <f t="shared" si="507"/>
        <v>6.5134737144548982E-2</v>
      </c>
      <c r="BC185" s="26">
        <f t="shared" si="508"/>
        <v>1.2164123610163877E-2</v>
      </c>
      <c r="BD185" s="26">
        <f t="shared" si="509"/>
        <v>0.77848030978642213</v>
      </c>
      <c r="BE185" s="26">
        <f t="shared" si="510"/>
        <v>0.76609389839657605</v>
      </c>
      <c r="BF185" s="26">
        <f t="shared" si="511"/>
        <v>2.9474446604618523E-2</v>
      </c>
      <c r="BG185" s="26">
        <f t="shared" si="512"/>
        <v>0</v>
      </c>
      <c r="BH185" s="26">
        <f t="shared" si="513"/>
        <v>0</v>
      </c>
      <c r="BI185" s="26">
        <f t="shared" si="514"/>
        <v>0</v>
      </c>
      <c r="BJ185" s="26">
        <f t="shared" si="515"/>
        <v>0</v>
      </c>
      <c r="BK185" s="25">
        <f t="shared" si="516"/>
        <v>3.9999999999999996</v>
      </c>
      <c r="BL185" s="24">
        <f t="shared" si="517"/>
        <v>6.0000000000000009</v>
      </c>
      <c r="BM185" s="26">
        <f t="shared" si="518"/>
        <v>2.0272510463180233</v>
      </c>
      <c r="BN185" s="26">
        <f t="shared" si="519"/>
        <v>0.79556834500119455</v>
      </c>
      <c r="BO185" s="22"/>
      <c r="BP185" s="23">
        <f t="shared" si="520"/>
        <v>0.68036355714384189</v>
      </c>
      <c r="BQ185" s="26">
        <f t="shared" si="521"/>
        <v>0.10149988107258734</v>
      </c>
      <c r="BR185" s="26">
        <f t="shared" si="522"/>
        <v>2.7251046318023331E-2</v>
      </c>
      <c r="BS185" s="26"/>
      <c r="BT185" s="26">
        <f t="shared" si="523"/>
        <v>2.7251046318023331E-2</v>
      </c>
      <c r="BU185" s="26">
        <f t="shared" si="524"/>
        <v>0</v>
      </c>
      <c r="BV185" s="26">
        <f t="shared" si="525"/>
        <v>2.7251046318023331E-2</v>
      </c>
      <c r="BW185" s="26">
        <f t="shared" si="526"/>
        <v>1.5182135897292785E-3</v>
      </c>
      <c r="BX185" s="26">
        <f t="shared" si="527"/>
        <v>0.74150560941736887</v>
      </c>
      <c r="BY185" s="26">
        <f t="shared" si="528"/>
        <v>0.20447559454518716</v>
      </c>
      <c r="BZ185" s="26">
        <f t="shared" si="529"/>
        <v>1.0020015101883319</v>
      </c>
      <c r="CA185" s="22"/>
      <c r="CB185" s="22">
        <f t="shared" si="530"/>
        <v>2.9474446604618523E-2</v>
      </c>
      <c r="CC185" s="22">
        <f t="shared" si="531"/>
        <v>0</v>
      </c>
      <c r="CD185" s="22">
        <f t="shared" si="532"/>
        <v>3.5660290539930459E-2</v>
      </c>
      <c r="CE185" s="22">
        <f t="shared" si="533"/>
        <v>3.0199457722758405E-3</v>
      </c>
      <c r="CF185" s="22">
        <f t="shared" si="534"/>
        <v>2.7251046318023331E-2</v>
      </c>
      <c r="CG185" s="22">
        <f t="shared" si="535"/>
        <v>0.36481853118548246</v>
      </c>
      <c r="CH185" s="22">
        <f t="shared" si="536"/>
        <v>0.45823980693646166</v>
      </c>
      <c r="CI185" s="22">
        <f t="shared" si="537"/>
        <v>0.17694166187805585</v>
      </c>
      <c r="CJ185" s="22"/>
      <c r="CK185" s="22">
        <f t="shared" si="538"/>
        <v>0.39849453773404642</v>
      </c>
      <c r="CL185" s="22">
        <f t="shared" si="539"/>
        <v>0.40493750417890551</v>
      </c>
      <c r="CM185" s="22">
        <f t="shared" si="540"/>
        <v>0.19656795808704797</v>
      </c>
      <c r="CN185" s="1"/>
      <c r="CO185" s="26">
        <f t="shared" si="541"/>
        <v>0.82723035952063917</v>
      </c>
      <c r="CP185" s="26">
        <f t="shared" si="542"/>
        <v>7.7491236855282931E-3</v>
      </c>
      <c r="CQ185" s="26">
        <f t="shared" si="543"/>
        <v>5.6100431541781091E-2</v>
      </c>
      <c r="CR185" s="26">
        <f t="shared" si="544"/>
        <v>1.3158760444766102E-3</v>
      </c>
      <c r="CS185" s="26">
        <f t="shared" si="545"/>
        <v>0.15935977731384829</v>
      </c>
      <c r="CT185" s="26">
        <f t="shared" si="546"/>
        <v>5.3002537355511699E-3</v>
      </c>
      <c r="CU185" s="26">
        <f t="shared" si="547"/>
        <v>0.3392059553349876</v>
      </c>
      <c r="CV185" s="26">
        <f t="shared" si="548"/>
        <v>0.33380884450784593</v>
      </c>
      <c r="CW185" s="26">
        <f t="shared" si="549"/>
        <v>1.2842852533075187E-2</v>
      </c>
      <c r="CX185" s="26">
        <f t="shared" si="550"/>
        <v>0</v>
      </c>
      <c r="CY185" s="26">
        <f t="shared" si="551"/>
        <v>0</v>
      </c>
      <c r="CZ185" s="26">
        <f t="shared" si="552"/>
        <v>0</v>
      </c>
      <c r="DA185" s="26">
        <f t="shared" si="553"/>
        <v>0</v>
      </c>
      <c r="DB185" s="26">
        <f t="shared" si="554"/>
        <v>1.7429134742177332</v>
      </c>
      <c r="DC185" s="26">
        <f t="shared" si="555"/>
        <v>2.6001796849504917</v>
      </c>
      <c r="DD185" s="26">
        <f t="shared" si="556"/>
        <v>2.295007789641025</v>
      </c>
      <c r="DE185" s="26">
        <f t="shared" si="557"/>
        <v>5.9674326314277248</v>
      </c>
      <c r="DF185" s="1"/>
      <c r="DG185" s="22"/>
      <c r="DH185" s="14"/>
      <c r="DI185" s="14"/>
      <c r="DJ185" s="14"/>
      <c r="DK185" s="14"/>
      <c r="DL185" s="14"/>
      <c r="DM185" s="96"/>
      <c r="DN185" s="14"/>
      <c r="DO185" s="96"/>
      <c r="DP185" s="22"/>
      <c r="DQ185" s="14"/>
      <c r="DR185" s="22"/>
      <c r="DS185" s="22"/>
      <c r="DT185" s="22"/>
      <c r="DU185" s="22"/>
      <c r="DV185" s="22"/>
      <c r="DW185" s="22"/>
      <c r="DX185" s="22"/>
      <c r="DY185" s="22"/>
      <c r="DZ185" s="22"/>
      <c r="EA185" s="22"/>
      <c r="EB185" s="22"/>
      <c r="EC185" s="22"/>
      <c r="ED185" s="22"/>
      <c r="EE185" s="22"/>
      <c r="EF185" s="22"/>
      <c r="EG185" s="22"/>
      <c r="EH185" s="22"/>
      <c r="EI185" s="22"/>
      <c r="EJ185" s="22"/>
      <c r="EK185" s="22"/>
      <c r="EL185" s="22"/>
      <c r="EM185" s="22"/>
      <c r="EN185" s="22"/>
      <c r="EO185" s="22"/>
      <c r="EP185" s="22"/>
      <c r="EQ185" s="22"/>
      <c r="ER185" s="22"/>
      <c r="ES185" s="22"/>
      <c r="ET185" s="22"/>
      <c r="EU185" s="22"/>
      <c r="EV185" s="22"/>
      <c r="EW185" s="22"/>
      <c r="EX185" s="22"/>
      <c r="EY185" s="22"/>
      <c r="EZ185" s="22"/>
      <c r="FA185" s="22"/>
      <c r="FB185" s="22"/>
      <c r="FC185" s="22"/>
      <c r="FD185" s="22"/>
      <c r="FE185" s="22"/>
      <c r="FF185" s="22"/>
      <c r="FG185" s="22"/>
      <c r="FH185" s="22"/>
      <c r="FI185" s="22"/>
      <c r="FJ185" s="22"/>
      <c r="FK185" s="22"/>
      <c r="FL185" s="22"/>
      <c r="FM185" s="22"/>
      <c r="FN185" s="22"/>
      <c r="FO185" s="22"/>
      <c r="FP185" s="22"/>
      <c r="FQ185" s="46"/>
      <c r="FR185" s="46"/>
      <c r="FS185" s="46"/>
      <c r="FT185" s="46"/>
      <c r="FU185" s="46"/>
      <c r="FV185" s="46"/>
      <c r="FW185" s="46"/>
      <c r="FX185" s="46"/>
      <c r="FY185" s="46"/>
      <c r="FZ185" s="46"/>
      <c r="GA185" s="46"/>
      <c r="GB185" s="46"/>
      <c r="GC185" s="46"/>
      <c r="GD185" s="46"/>
      <c r="GE185" s="46"/>
      <c r="GF185" s="46"/>
      <c r="GG185" s="46"/>
      <c r="GH185" s="46"/>
    </row>
    <row r="186" spans="1:190" x14ac:dyDescent="0.25">
      <c r="A186" s="5" t="s">
        <v>91</v>
      </c>
      <c r="B186" s="1">
        <v>1448</v>
      </c>
      <c r="C186" s="98" t="s">
        <v>96</v>
      </c>
      <c r="D186" s="98" t="s">
        <v>104</v>
      </c>
      <c r="E186" s="1">
        <v>455</v>
      </c>
      <c r="F186" s="22">
        <v>51.68</v>
      </c>
      <c r="G186" s="22">
        <v>0.45600000000000002</v>
      </c>
      <c r="H186" s="22">
        <v>3.83</v>
      </c>
      <c r="I186" s="22">
        <v>1.4999999999999999E-2</v>
      </c>
      <c r="J186" s="22">
        <v>9.8699999999999992</v>
      </c>
      <c r="K186" s="22">
        <v>0.45100000000000001</v>
      </c>
      <c r="L186" s="22">
        <v>12.34</v>
      </c>
      <c r="M186" s="22">
        <v>18.420000000000002</v>
      </c>
      <c r="N186" s="22">
        <v>1.41</v>
      </c>
      <c r="O186" s="22">
        <v>0.14799999999999999</v>
      </c>
      <c r="P186" s="22">
        <v>0</v>
      </c>
      <c r="Q186" s="22"/>
      <c r="R186" s="22"/>
      <c r="S186" s="22">
        <f t="shared" si="482"/>
        <v>98.61999999999999</v>
      </c>
      <c r="T186" s="3"/>
      <c r="U186" s="22">
        <f t="shared" si="483"/>
        <v>9.167562878167848</v>
      </c>
      <c r="V186" s="22">
        <f t="shared" si="484"/>
        <v>0.78061837349207008</v>
      </c>
      <c r="W186" s="22">
        <f t="shared" si="485"/>
        <v>98.698181251659918</v>
      </c>
      <c r="X186" s="1">
        <v>19</v>
      </c>
      <c r="Y186" s="1">
        <v>11</v>
      </c>
      <c r="Z186" s="1">
        <v>300</v>
      </c>
      <c r="AA186" s="1" t="s">
        <v>258</v>
      </c>
      <c r="AC186" s="1">
        <v>6</v>
      </c>
      <c r="AD186" s="1">
        <v>4</v>
      </c>
      <c r="AE186" s="1"/>
      <c r="AF186" s="26">
        <f t="shared" si="486"/>
        <v>1.9494401745294159</v>
      </c>
      <c r="AG186" s="26">
        <f t="shared" si="487"/>
        <v>1.2937313950969909E-2</v>
      </c>
      <c r="AH186" s="26">
        <f t="shared" si="488"/>
        <v>0.17026142884917522</v>
      </c>
      <c r="AI186" s="26">
        <f t="shared" si="489"/>
        <v>4.473254119919057E-4</v>
      </c>
      <c r="AJ186" s="26">
        <f t="shared" si="490"/>
        <v>0.3113204941167122</v>
      </c>
      <c r="AK186" s="26">
        <f t="shared" si="491"/>
        <v>1.4407966452993628E-2</v>
      </c>
      <c r="AL186" s="26">
        <f t="shared" si="492"/>
        <v>0.69394882449060213</v>
      </c>
      <c r="AM186" s="26">
        <f t="shared" si="493"/>
        <v>0.74438729444277729</v>
      </c>
      <c r="AN186" s="26">
        <f t="shared" si="494"/>
        <v>0.10311334302441234</v>
      </c>
      <c r="AO186" s="26">
        <f t="shared" si="495"/>
        <v>7.1212812643737878E-3</v>
      </c>
      <c r="AP186" s="26">
        <f t="shared" si="496"/>
        <v>0</v>
      </c>
      <c r="AQ186" s="26">
        <f t="shared" si="497"/>
        <v>0</v>
      </c>
      <c r="AR186" s="26">
        <f t="shared" si="498"/>
        <v>0</v>
      </c>
      <c r="AS186" s="26">
        <f t="shared" si="499"/>
        <v>4.0073854465334247</v>
      </c>
      <c r="AT186" s="26">
        <f t="shared" si="500"/>
        <v>2.1197016033785911</v>
      </c>
      <c r="AU186" s="26">
        <f t="shared" si="501"/>
        <v>0.85462191873156346</v>
      </c>
      <c r="AV186" s="47"/>
      <c r="AW186" s="26">
        <f t="shared" si="502"/>
        <v>1.945847436478338</v>
      </c>
      <c r="AX186" s="26">
        <f t="shared" si="503"/>
        <v>1.291347101353706E-2</v>
      </c>
      <c r="AY186" s="26">
        <f t="shared" si="504"/>
        <v>0.16994764403954135</v>
      </c>
      <c r="AZ186" s="26">
        <f t="shared" si="505"/>
        <v>4.465010096584177E-4</v>
      </c>
      <c r="BA186" s="26">
        <f t="shared" si="506"/>
        <v>0.28863123687448483</v>
      </c>
      <c r="BB186" s="26">
        <f t="shared" si="507"/>
        <v>2.2115506377796024E-2</v>
      </c>
      <c r="BC186" s="26">
        <f t="shared" si="508"/>
        <v>1.4381413163495111E-2</v>
      </c>
      <c r="BD186" s="26">
        <f t="shared" si="509"/>
        <v>0.69266990535277839</v>
      </c>
      <c r="BE186" s="26">
        <f t="shared" si="510"/>
        <v>0.74301541927962744</v>
      </c>
      <c r="BF186" s="26">
        <f t="shared" si="511"/>
        <v>0.10292330937480468</v>
      </c>
      <c r="BG186" s="26">
        <f t="shared" si="512"/>
        <v>7.108157035938761E-3</v>
      </c>
      <c r="BH186" s="26">
        <f t="shared" si="513"/>
        <v>0</v>
      </c>
      <c r="BI186" s="26">
        <f t="shared" si="514"/>
        <v>0</v>
      </c>
      <c r="BJ186" s="26">
        <f t="shared" si="515"/>
        <v>0</v>
      </c>
      <c r="BK186" s="25">
        <f t="shared" si="516"/>
        <v>4</v>
      </c>
      <c r="BL186" s="24">
        <f t="shared" si="517"/>
        <v>6.0000000000000009</v>
      </c>
      <c r="BM186" s="26">
        <f t="shared" si="518"/>
        <v>2.1157950805178793</v>
      </c>
      <c r="BN186" s="26">
        <f t="shared" si="519"/>
        <v>0.8530468856903709</v>
      </c>
      <c r="BO186" s="22"/>
      <c r="BP186" s="23">
        <f t="shared" si="520"/>
        <v>0.69031135402798216</v>
      </c>
      <c r="BQ186" s="26">
        <f t="shared" si="521"/>
        <v>5.4152563521661978E-2</v>
      </c>
      <c r="BR186" s="26">
        <f t="shared" si="522"/>
        <v>0.11579508051787937</v>
      </c>
      <c r="BS186" s="26"/>
      <c r="BT186" s="26">
        <f t="shared" si="523"/>
        <v>0.10311334302441234</v>
      </c>
      <c r="BU186" s="26">
        <f t="shared" si="524"/>
        <v>1.2871771143074695E-2</v>
      </c>
      <c r="BV186" s="26">
        <f t="shared" si="525"/>
        <v>0.10935919494634203</v>
      </c>
      <c r="BW186" s="26">
        <f t="shared" si="526"/>
        <v>2.2366270599595285E-4</v>
      </c>
      <c r="BX186" s="26">
        <f t="shared" si="527"/>
        <v>0.6219326656473646</v>
      </c>
      <c r="BY186" s="26">
        <f t="shared" si="528"/>
        <v>0.19166832647997484</v>
      </c>
      <c r="BZ186" s="26">
        <f t="shared" si="529"/>
        <v>1.0391689639471644</v>
      </c>
      <c r="CA186" s="22"/>
      <c r="CB186" s="22">
        <f t="shared" si="530"/>
        <v>2.2115506377796024E-2</v>
      </c>
      <c r="CC186" s="22">
        <f t="shared" si="531"/>
        <v>8.0807802997008654E-2</v>
      </c>
      <c r="CD186" s="22">
        <f t="shared" si="532"/>
        <v>0</v>
      </c>
      <c r="CE186" s="22">
        <f t="shared" si="533"/>
        <v>4.465010096584177E-4</v>
      </c>
      <c r="CF186" s="22">
        <f t="shared" si="534"/>
        <v>3.4987277520870719E-2</v>
      </c>
      <c r="CG186" s="22">
        <f t="shared" si="535"/>
        <v>0.36484857356344719</v>
      </c>
      <c r="CH186" s="22">
        <f t="shared" si="536"/>
        <v>0.44833360474434208</v>
      </c>
      <c r="CI186" s="22">
        <f t="shared" si="537"/>
        <v>0.18681782169221073</v>
      </c>
      <c r="CJ186" s="22"/>
      <c r="CK186" s="22">
        <f t="shared" si="538"/>
        <v>0.42197281385949137</v>
      </c>
      <c r="CL186" s="22">
        <f t="shared" si="539"/>
        <v>0.39338062367653159</v>
      </c>
      <c r="CM186" s="22">
        <f t="shared" si="540"/>
        <v>0.18464656246397707</v>
      </c>
      <c r="CN186" s="1"/>
      <c r="CO186" s="26">
        <f t="shared" si="541"/>
        <v>0.86018641810918772</v>
      </c>
      <c r="CP186" s="26">
        <f t="shared" si="542"/>
        <v>5.7085628442664002E-3</v>
      </c>
      <c r="CQ186" s="26">
        <f t="shared" si="543"/>
        <v>7.5127500980776779E-2</v>
      </c>
      <c r="CR186" s="26">
        <f t="shared" si="544"/>
        <v>1.9738140667149154E-4</v>
      </c>
      <c r="CS186" s="26">
        <f t="shared" si="545"/>
        <v>0.1373695198329854</v>
      </c>
      <c r="CT186" s="26">
        <f t="shared" si="546"/>
        <v>6.3574851987595153E-3</v>
      </c>
      <c r="CU186" s="26">
        <f t="shared" si="547"/>
        <v>0.30620347394540942</v>
      </c>
      <c r="CV186" s="26">
        <f t="shared" si="548"/>
        <v>0.32845934379457919</v>
      </c>
      <c r="CW186" s="26">
        <f t="shared" si="549"/>
        <v>4.5498547918683449E-2</v>
      </c>
      <c r="CX186" s="26">
        <f t="shared" si="550"/>
        <v>3.1422505307855623E-3</v>
      </c>
      <c r="CY186" s="26">
        <f t="shared" si="551"/>
        <v>0</v>
      </c>
      <c r="CZ186" s="26">
        <f t="shared" si="552"/>
        <v>0</v>
      </c>
      <c r="DA186" s="26">
        <f t="shared" si="553"/>
        <v>0</v>
      </c>
      <c r="DB186" s="26">
        <f t="shared" si="554"/>
        <v>1.7682504845621048</v>
      </c>
      <c r="DC186" s="26">
        <f t="shared" si="555"/>
        <v>2.6474875074845485</v>
      </c>
      <c r="DD186" s="26">
        <f t="shared" si="556"/>
        <v>2.2621229485994303</v>
      </c>
      <c r="DE186" s="26">
        <f t="shared" si="557"/>
        <v>5.9889422468111029</v>
      </c>
      <c r="DF186" s="1"/>
      <c r="DG186" s="22"/>
      <c r="DH186" s="14"/>
      <c r="DI186" s="14"/>
      <c r="DJ186" s="14"/>
      <c r="DK186" s="14"/>
      <c r="DL186" s="14"/>
      <c r="DM186" s="96"/>
      <c r="DN186" s="14"/>
      <c r="DO186" s="96"/>
      <c r="DP186" s="22"/>
      <c r="DQ186" s="14"/>
      <c r="DR186" s="22"/>
      <c r="DS186" s="22"/>
      <c r="DT186" s="22"/>
      <c r="DU186" s="22"/>
      <c r="DV186" s="22"/>
      <c r="DW186" s="22"/>
      <c r="DX186" s="22"/>
      <c r="DY186" s="22"/>
      <c r="DZ186" s="22"/>
      <c r="EA186" s="22"/>
      <c r="EB186" s="22"/>
      <c r="EC186" s="22"/>
      <c r="ED186" s="22"/>
      <c r="EE186" s="22"/>
      <c r="EF186" s="22"/>
      <c r="EG186" s="22"/>
      <c r="EH186" s="22"/>
      <c r="EI186" s="22"/>
      <c r="EJ186" s="22"/>
      <c r="EK186" s="22"/>
      <c r="EL186" s="22"/>
      <c r="EM186" s="22"/>
      <c r="EN186" s="22"/>
      <c r="EO186" s="22"/>
      <c r="EP186" s="22"/>
      <c r="EQ186" s="22"/>
      <c r="ER186" s="22"/>
      <c r="ES186" s="22"/>
      <c r="ET186" s="22"/>
      <c r="EU186" s="22"/>
      <c r="EV186" s="22"/>
      <c r="EW186" s="22"/>
      <c r="EX186" s="22"/>
      <c r="EY186" s="22"/>
      <c r="EZ186" s="22"/>
      <c r="FA186" s="22"/>
      <c r="FB186" s="22"/>
      <c r="FC186" s="22"/>
      <c r="FD186" s="22"/>
      <c r="FE186" s="22"/>
      <c r="FF186" s="22"/>
      <c r="FG186" s="22"/>
      <c r="FH186" s="22"/>
      <c r="FI186" s="22"/>
      <c r="FJ186" s="22"/>
      <c r="FK186" s="22"/>
      <c r="FL186" s="22"/>
      <c r="FM186" s="22"/>
      <c r="FN186" s="22"/>
      <c r="FO186" s="22"/>
      <c r="FP186" s="22"/>
      <c r="FQ186" s="46"/>
      <c r="FR186" s="46"/>
      <c r="FS186" s="46"/>
      <c r="FT186" s="46"/>
      <c r="FU186" s="46"/>
      <c r="FV186" s="46"/>
      <c r="FW186" s="46"/>
      <c r="FX186" s="46"/>
      <c r="FY186" s="46"/>
      <c r="FZ186" s="46"/>
      <c r="GA186" s="46"/>
      <c r="GB186" s="46"/>
      <c r="GC186" s="46"/>
      <c r="GD186" s="46"/>
      <c r="GE186" s="46"/>
      <c r="GF186" s="46"/>
      <c r="GG186" s="46"/>
      <c r="GH186" s="46"/>
    </row>
    <row r="187" spans="1:190" x14ac:dyDescent="0.25">
      <c r="A187" s="5" t="s">
        <v>91</v>
      </c>
      <c r="B187" s="1">
        <v>1449</v>
      </c>
      <c r="C187" s="98" t="s">
        <v>96</v>
      </c>
      <c r="D187" s="98" t="s">
        <v>104</v>
      </c>
      <c r="E187" s="1">
        <v>456</v>
      </c>
      <c r="F187" s="22">
        <v>50.39</v>
      </c>
      <c r="G187" s="22">
        <v>0.71099999999999997</v>
      </c>
      <c r="H187" s="22">
        <v>1.839</v>
      </c>
      <c r="I187" s="22">
        <v>0</v>
      </c>
      <c r="J187" s="22">
        <v>12.79</v>
      </c>
      <c r="K187" s="22">
        <v>0.38100000000000001</v>
      </c>
      <c r="L187" s="22">
        <v>15.05</v>
      </c>
      <c r="M187" s="22">
        <v>16.95</v>
      </c>
      <c r="N187" s="22">
        <v>0.27900000000000003</v>
      </c>
      <c r="O187" s="22">
        <v>1.6E-2</v>
      </c>
      <c r="P187" s="22">
        <v>0</v>
      </c>
      <c r="Q187" s="22"/>
      <c r="R187" s="22"/>
      <c r="S187" s="22">
        <f t="shared" si="482"/>
        <v>98.405999999999992</v>
      </c>
      <c r="T187" s="3"/>
      <c r="U187" s="22">
        <f t="shared" si="483"/>
        <v>10.624030296099097</v>
      </c>
      <c r="V187" s="22">
        <f t="shared" si="484"/>
        <v>2.4070421319450728</v>
      </c>
      <c r="W187" s="22">
        <f t="shared" si="485"/>
        <v>98.647072428044169</v>
      </c>
      <c r="X187" s="1">
        <v>19</v>
      </c>
      <c r="Y187" s="1">
        <v>12</v>
      </c>
      <c r="Z187" s="1">
        <v>330</v>
      </c>
      <c r="AA187" s="1" t="s">
        <v>258</v>
      </c>
      <c r="AC187" s="1">
        <v>6</v>
      </c>
      <c r="AD187" s="1">
        <v>4</v>
      </c>
      <c r="AE187" s="1"/>
      <c r="AF187" s="26">
        <f t="shared" si="486"/>
        <v>1.9258013669125604</v>
      </c>
      <c r="AG187" s="26">
        <f t="shared" si="487"/>
        <v>2.0437539096459689E-2</v>
      </c>
      <c r="AH187" s="26">
        <f t="shared" si="488"/>
        <v>8.2828339392998288E-2</v>
      </c>
      <c r="AI187" s="26">
        <f t="shared" si="489"/>
        <v>0</v>
      </c>
      <c r="AJ187" s="26">
        <f t="shared" si="490"/>
        <v>0.40873405914792216</v>
      </c>
      <c r="AK187" s="26">
        <f t="shared" si="491"/>
        <v>1.2331924234076717E-2</v>
      </c>
      <c r="AL187" s="26">
        <f t="shared" si="492"/>
        <v>0.85748890621775697</v>
      </c>
      <c r="AM187" s="26">
        <f t="shared" si="493"/>
        <v>0.69399885486769786</v>
      </c>
      <c r="AN187" s="26">
        <f t="shared" si="494"/>
        <v>2.0671866103717084E-2</v>
      </c>
      <c r="AO187" s="26">
        <f t="shared" si="495"/>
        <v>7.8000274630102024E-4</v>
      </c>
      <c r="AP187" s="26">
        <f t="shared" si="496"/>
        <v>0</v>
      </c>
      <c r="AQ187" s="26">
        <f t="shared" si="497"/>
        <v>0</v>
      </c>
      <c r="AR187" s="26">
        <f t="shared" si="498"/>
        <v>0</v>
      </c>
      <c r="AS187" s="26">
        <f t="shared" si="499"/>
        <v>4.0230728587194902</v>
      </c>
      <c r="AT187" s="26">
        <f t="shared" si="500"/>
        <v>2.0086297063055589</v>
      </c>
      <c r="AU187" s="26">
        <f t="shared" si="501"/>
        <v>0.7154507237177159</v>
      </c>
      <c r="AV187" s="47"/>
      <c r="AW187" s="26">
        <f t="shared" si="502"/>
        <v>1.9147566395558908</v>
      </c>
      <c r="AX187" s="26">
        <f t="shared" si="503"/>
        <v>2.0320327087454022E-2</v>
      </c>
      <c r="AY187" s="26">
        <f t="shared" si="504"/>
        <v>8.2353307833815212E-2</v>
      </c>
      <c r="AZ187" s="26">
        <f t="shared" si="505"/>
        <v>0</v>
      </c>
      <c r="BA187" s="26">
        <f t="shared" si="506"/>
        <v>0.33756831647092411</v>
      </c>
      <c r="BB187" s="26">
        <f t="shared" si="507"/>
        <v>6.8821598404262829E-2</v>
      </c>
      <c r="BC187" s="26">
        <f t="shared" si="508"/>
        <v>1.2261199005977599E-2</v>
      </c>
      <c r="BD187" s="26">
        <f t="shared" si="509"/>
        <v>0.85257109312277124</v>
      </c>
      <c r="BE187" s="26">
        <f t="shared" si="510"/>
        <v>0.6900186789941376</v>
      </c>
      <c r="BF187" s="26">
        <f t="shared" si="511"/>
        <v>2.0553310198112358E-2</v>
      </c>
      <c r="BG187" s="26">
        <f t="shared" si="512"/>
        <v>7.7552932665434101E-4</v>
      </c>
      <c r="BH187" s="26">
        <f t="shared" si="513"/>
        <v>0</v>
      </c>
      <c r="BI187" s="26">
        <f t="shared" si="514"/>
        <v>0</v>
      </c>
      <c r="BJ187" s="26">
        <f t="shared" si="515"/>
        <v>0</v>
      </c>
      <c r="BK187" s="25">
        <f t="shared" si="516"/>
        <v>4</v>
      </c>
      <c r="BL187" s="24">
        <f t="shared" si="517"/>
        <v>6.0000000000000009</v>
      </c>
      <c r="BM187" s="26">
        <f t="shared" si="518"/>
        <v>1.997109947389706</v>
      </c>
      <c r="BN187" s="26">
        <f t="shared" si="519"/>
        <v>0.71134751851890432</v>
      </c>
      <c r="BO187" s="22"/>
      <c r="BP187" s="23">
        <f t="shared" si="520"/>
        <v>0.67720214343934149</v>
      </c>
      <c r="BQ187" s="26">
        <f t="shared" si="521"/>
        <v>8.5243360444109184E-2</v>
      </c>
      <c r="BR187" s="26">
        <f t="shared" si="522"/>
        <v>0</v>
      </c>
      <c r="BS187" s="26"/>
      <c r="BT187" s="26">
        <f t="shared" si="523"/>
        <v>0</v>
      </c>
      <c r="BU187" s="26">
        <f t="shared" si="524"/>
        <v>0</v>
      </c>
      <c r="BV187" s="26">
        <f t="shared" si="525"/>
        <v>0</v>
      </c>
      <c r="BW187" s="26">
        <f t="shared" si="526"/>
        <v>0</v>
      </c>
      <c r="BX187" s="26">
        <f t="shared" si="527"/>
        <v>0.69399885486769786</v>
      </c>
      <c r="BY187" s="26">
        <f t="shared" si="528"/>
        <v>0.28611205524899064</v>
      </c>
      <c r="BZ187" s="26">
        <f t="shared" si="529"/>
        <v>0.98011091011668849</v>
      </c>
      <c r="CA187" s="22"/>
      <c r="CB187" s="22">
        <f t="shared" si="530"/>
        <v>2.0553310198112358E-2</v>
      </c>
      <c r="CC187" s="22">
        <f t="shared" si="531"/>
        <v>0</v>
      </c>
      <c r="CD187" s="22">
        <f t="shared" si="532"/>
        <v>4.8268288206150471E-2</v>
      </c>
      <c r="CE187" s="22">
        <f t="shared" si="533"/>
        <v>0</v>
      </c>
      <c r="CF187" s="22">
        <f t="shared" si="534"/>
        <v>0</v>
      </c>
      <c r="CG187" s="22">
        <f t="shared" si="535"/>
        <v>0.33115185049304974</v>
      </c>
      <c r="CH187" s="22">
        <f t="shared" si="536"/>
        <v>0.47913764838100703</v>
      </c>
      <c r="CI187" s="22">
        <f t="shared" si="537"/>
        <v>0.18971050112594323</v>
      </c>
      <c r="CJ187" s="22"/>
      <c r="CK187" s="22">
        <f t="shared" si="538"/>
        <v>0.35182760257569679</v>
      </c>
      <c r="CL187" s="22">
        <f t="shared" si="539"/>
        <v>0.43471003445295747</v>
      </c>
      <c r="CM187" s="22">
        <f t="shared" si="540"/>
        <v>0.2134623629713458</v>
      </c>
      <c r="CN187" s="1"/>
      <c r="CO187" s="26">
        <f t="shared" si="541"/>
        <v>0.83871504660452734</v>
      </c>
      <c r="CP187" s="26">
        <f t="shared" si="542"/>
        <v>8.9008512769153739E-3</v>
      </c>
      <c r="CQ187" s="26">
        <f t="shared" si="543"/>
        <v>3.6072969792075325E-2</v>
      </c>
      <c r="CR187" s="26">
        <f t="shared" si="544"/>
        <v>0</v>
      </c>
      <c r="CS187" s="26">
        <f t="shared" si="545"/>
        <v>0.17800974251913709</v>
      </c>
      <c r="CT187" s="26">
        <f t="shared" si="546"/>
        <v>5.370735833098393E-3</v>
      </c>
      <c r="CU187" s="26">
        <f t="shared" si="547"/>
        <v>0.37344913151364767</v>
      </c>
      <c r="CV187" s="26">
        <f t="shared" si="548"/>
        <v>0.30224679029957202</v>
      </c>
      <c r="CW187" s="26">
        <f t="shared" si="549"/>
        <v>9.0029041626331092E-3</v>
      </c>
      <c r="CX187" s="26">
        <f t="shared" si="550"/>
        <v>3.3970276008492571E-4</v>
      </c>
      <c r="CY187" s="26">
        <f t="shared" si="551"/>
        <v>0</v>
      </c>
      <c r="CZ187" s="26">
        <f t="shared" si="552"/>
        <v>0</v>
      </c>
      <c r="DA187" s="26">
        <f t="shared" si="553"/>
        <v>0</v>
      </c>
      <c r="DB187" s="26">
        <f t="shared" si="554"/>
        <v>1.7521078747616912</v>
      </c>
      <c r="DC187" s="26">
        <f t="shared" si="555"/>
        <v>2.6130889540778122</v>
      </c>
      <c r="DD187" s="26">
        <f t="shared" si="556"/>
        <v>2.2829644553387163</v>
      </c>
      <c r="DE187" s="26">
        <f t="shared" si="557"/>
        <v>5.9655892007978686</v>
      </c>
      <c r="DF187" s="1"/>
      <c r="DG187" s="22"/>
      <c r="DH187" s="14"/>
      <c r="DI187" s="14"/>
      <c r="DJ187" s="14"/>
      <c r="DK187" s="14"/>
      <c r="DL187" s="14"/>
      <c r="DM187" s="96"/>
      <c r="DN187" s="14"/>
      <c r="DO187" s="96"/>
      <c r="DP187" s="22"/>
      <c r="DQ187" s="14"/>
      <c r="DR187" s="22"/>
      <c r="DS187" s="22"/>
      <c r="DT187" s="22"/>
      <c r="DU187" s="22"/>
      <c r="DV187" s="22"/>
      <c r="DW187" s="22"/>
      <c r="DX187" s="22"/>
      <c r="DY187" s="22"/>
      <c r="DZ187" s="22"/>
      <c r="EA187" s="22"/>
      <c r="EB187" s="22"/>
      <c r="EC187" s="22"/>
      <c r="ED187" s="22"/>
      <c r="EE187" s="22"/>
      <c r="EF187" s="22"/>
      <c r="EG187" s="22"/>
      <c r="EH187" s="22"/>
      <c r="EI187" s="22"/>
      <c r="EJ187" s="22"/>
      <c r="EK187" s="22"/>
      <c r="EL187" s="22"/>
      <c r="EM187" s="22"/>
      <c r="EN187" s="22"/>
      <c r="EO187" s="22"/>
      <c r="EP187" s="22"/>
      <c r="EQ187" s="22"/>
      <c r="ER187" s="22"/>
      <c r="ES187" s="22"/>
      <c r="ET187" s="22"/>
      <c r="EU187" s="22"/>
      <c r="EV187" s="22"/>
      <c r="EW187" s="22"/>
      <c r="EX187" s="22"/>
      <c r="EY187" s="22"/>
      <c r="EZ187" s="22"/>
      <c r="FA187" s="22"/>
      <c r="FB187" s="22"/>
      <c r="FC187" s="22"/>
      <c r="FD187" s="22"/>
      <c r="FE187" s="22"/>
      <c r="FF187" s="22"/>
      <c r="FG187" s="22"/>
      <c r="FH187" s="22"/>
      <c r="FI187" s="22"/>
      <c r="FJ187" s="22"/>
      <c r="FK187" s="22"/>
      <c r="FL187" s="22"/>
      <c r="FM187" s="22"/>
      <c r="FN187" s="22"/>
      <c r="FO187" s="22"/>
      <c r="FP187" s="22"/>
      <c r="FQ187" s="46"/>
      <c r="FR187" s="46"/>
      <c r="FS187" s="46"/>
      <c r="FT187" s="46"/>
      <c r="FU187" s="46"/>
      <c r="FV187" s="46"/>
      <c r="FW187" s="46"/>
      <c r="FX187" s="46"/>
      <c r="FY187" s="46"/>
      <c r="FZ187" s="46"/>
      <c r="GA187" s="46"/>
      <c r="GB187" s="46"/>
      <c r="GC187" s="46"/>
      <c r="GD187" s="46"/>
      <c r="GE187" s="46"/>
      <c r="GF187" s="46"/>
      <c r="GG187" s="46"/>
      <c r="GH187" s="46"/>
    </row>
    <row r="188" spans="1:190" x14ac:dyDescent="0.25">
      <c r="A188" s="5" t="s">
        <v>91</v>
      </c>
      <c r="B188" s="1">
        <v>1450</v>
      </c>
      <c r="C188" s="98" t="s">
        <v>96</v>
      </c>
      <c r="D188" s="98" t="s">
        <v>104</v>
      </c>
      <c r="E188" s="1">
        <v>457</v>
      </c>
      <c r="F188" s="22">
        <v>50.66</v>
      </c>
      <c r="G188" s="22">
        <v>0.63400000000000001</v>
      </c>
      <c r="H188" s="22">
        <v>2.2599999999999998</v>
      </c>
      <c r="I188" s="22">
        <v>0</v>
      </c>
      <c r="J188" s="22">
        <v>10.41</v>
      </c>
      <c r="K188" s="22">
        <v>0.32400000000000001</v>
      </c>
      <c r="L188" s="22">
        <v>15.31</v>
      </c>
      <c r="M188" s="22">
        <v>18.41</v>
      </c>
      <c r="N188" s="22">
        <v>0.307</v>
      </c>
      <c r="O188" s="22">
        <v>0</v>
      </c>
      <c r="P188" s="22">
        <v>0</v>
      </c>
      <c r="Q188" s="22"/>
      <c r="R188" s="22"/>
      <c r="S188" s="22">
        <f t="shared" si="482"/>
        <v>98.314999999999998</v>
      </c>
      <c r="T188" s="3"/>
      <c r="U188" s="22">
        <f t="shared" si="483"/>
        <v>8.5202679914775761</v>
      </c>
      <c r="V188" s="22">
        <f t="shared" si="484"/>
        <v>2.1000591810709701</v>
      </c>
      <c r="W188" s="22">
        <f t="shared" si="485"/>
        <v>98.525327172548543</v>
      </c>
      <c r="X188" s="1">
        <v>19</v>
      </c>
      <c r="Y188" s="1">
        <v>13</v>
      </c>
      <c r="Z188" s="1">
        <v>360</v>
      </c>
      <c r="AA188" s="1" t="s">
        <v>258</v>
      </c>
      <c r="AC188" s="1">
        <v>6</v>
      </c>
      <c r="AD188" s="1">
        <v>4</v>
      </c>
      <c r="AE188" s="1"/>
      <c r="AF188" s="26">
        <f t="shared" si="486"/>
        <v>1.9226649314469728</v>
      </c>
      <c r="AG188" s="26">
        <f t="shared" si="487"/>
        <v>1.8097540002652478E-2</v>
      </c>
      <c r="AH188" s="26">
        <f t="shared" si="488"/>
        <v>0.10108272742669075</v>
      </c>
      <c r="AI188" s="26">
        <f t="shared" si="489"/>
        <v>0</v>
      </c>
      <c r="AJ188" s="26">
        <f t="shared" si="490"/>
        <v>0.33036368413948775</v>
      </c>
      <c r="AK188" s="26">
        <f t="shared" si="491"/>
        <v>1.0414110216067632E-2</v>
      </c>
      <c r="AL188" s="26">
        <f t="shared" si="492"/>
        <v>0.86624050671837727</v>
      </c>
      <c r="AM188" s="26">
        <f t="shared" si="493"/>
        <v>0.74853847338785717</v>
      </c>
      <c r="AN188" s="26">
        <f t="shared" si="494"/>
        <v>2.2588382997845401E-2</v>
      </c>
      <c r="AO188" s="26">
        <f t="shared" si="495"/>
        <v>0</v>
      </c>
      <c r="AP188" s="26">
        <f t="shared" si="496"/>
        <v>0</v>
      </c>
      <c r="AQ188" s="26">
        <f t="shared" si="497"/>
        <v>0</v>
      </c>
      <c r="AR188" s="26">
        <f t="shared" si="498"/>
        <v>0</v>
      </c>
      <c r="AS188" s="26">
        <f t="shared" si="499"/>
        <v>4.0199903563359518</v>
      </c>
      <c r="AT188" s="26">
        <f t="shared" si="500"/>
        <v>2.0237476588736634</v>
      </c>
      <c r="AU188" s="26">
        <f t="shared" si="501"/>
        <v>0.77112685638570255</v>
      </c>
      <c r="AV188" s="47"/>
      <c r="AW188" s="26">
        <f t="shared" si="502"/>
        <v>1.9131040236617873</v>
      </c>
      <c r="AX188" s="26">
        <f t="shared" si="503"/>
        <v>1.8007545688888276E-2</v>
      </c>
      <c r="AY188" s="26">
        <f t="shared" si="504"/>
        <v>0.10058006956894625</v>
      </c>
      <c r="AZ188" s="26">
        <f t="shared" si="505"/>
        <v>0</v>
      </c>
      <c r="BA188" s="26">
        <f t="shared" si="506"/>
        <v>0.26904802366549246</v>
      </c>
      <c r="BB188" s="26">
        <f t="shared" si="507"/>
        <v>5.96728486309277E-2</v>
      </c>
      <c r="BC188" s="26">
        <f t="shared" si="508"/>
        <v>1.0362323580855199E-2</v>
      </c>
      <c r="BD188" s="26">
        <f t="shared" si="509"/>
        <v>0.86193292016542877</v>
      </c>
      <c r="BE188" s="26">
        <f t="shared" si="510"/>
        <v>0.74481618813644901</v>
      </c>
      <c r="BF188" s="26">
        <f t="shared" si="511"/>
        <v>2.2476056901224749E-2</v>
      </c>
      <c r="BG188" s="26">
        <f t="shared" si="512"/>
        <v>0</v>
      </c>
      <c r="BH188" s="26">
        <f t="shared" si="513"/>
        <v>0</v>
      </c>
      <c r="BI188" s="26">
        <f t="shared" si="514"/>
        <v>0</v>
      </c>
      <c r="BJ188" s="26">
        <f t="shared" si="515"/>
        <v>0</v>
      </c>
      <c r="BK188" s="25">
        <f t="shared" si="516"/>
        <v>3.9999999999999996</v>
      </c>
      <c r="BL188" s="24">
        <f t="shared" si="517"/>
        <v>5.9999999999999991</v>
      </c>
      <c r="BM188" s="26">
        <f t="shared" si="518"/>
        <v>2.0136840932307334</v>
      </c>
      <c r="BN188" s="26">
        <f t="shared" si="519"/>
        <v>0.76729224503767379</v>
      </c>
      <c r="BO188" s="22"/>
      <c r="BP188" s="23">
        <f t="shared" si="520"/>
        <v>0.72391565509841249</v>
      </c>
      <c r="BQ188" s="26">
        <f t="shared" si="521"/>
        <v>8.6895976338212666E-2</v>
      </c>
      <c r="BR188" s="26">
        <f t="shared" si="522"/>
        <v>1.3684093230733579E-2</v>
      </c>
      <c r="BS188" s="26"/>
      <c r="BT188" s="26">
        <f t="shared" si="523"/>
        <v>1.3684093230733579E-2</v>
      </c>
      <c r="BU188" s="26">
        <f t="shared" si="524"/>
        <v>0</v>
      </c>
      <c r="BV188" s="26">
        <f t="shared" si="525"/>
        <v>1.3684093230733579E-2</v>
      </c>
      <c r="BW188" s="26">
        <f t="shared" si="526"/>
        <v>0</v>
      </c>
      <c r="BX188" s="26">
        <f t="shared" si="527"/>
        <v>0.73485438015712357</v>
      </c>
      <c r="BY188" s="26">
        <f t="shared" si="528"/>
        <v>0.23087490535037075</v>
      </c>
      <c r="BZ188" s="26">
        <f t="shared" si="529"/>
        <v>0.99309747196896137</v>
      </c>
      <c r="CA188" s="22"/>
      <c r="CB188" s="22">
        <f t="shared" si="530"/>
        <v>2.2476056901224749E-2</v>
      </c>
      <c r="CC188" s="22">
        <f t="shared" si="531"/>
        <v>0</v>
      </c>
      <c r="CD188" s="22">
        <f t="shared" si="532"/>
        <v>3.7196791729702951E-2</v>
      </c>
      <c r="CE188" s="22">
        <f t="shared" si="533"/>
        <v>0</v>
      </c>
      <c r="CF188" s="22">
        <f t="shared" si="534"/>
        <v>1.3684093230733579E-2</v>
      </c>
      <c r="CG188" s="22">
        <f t="shared" si="535"/>
        <v>0.35820568003861863</v>
      </c>
      <c r="CH188" s="22">
        <f t="shared" si="536"/>
        <v>0.48911845541457549</v>
      </c>
      <c r="CI188" s="22">
        <f t="shared" si="537"/>
        <v>0.15267586454680585</v>
      </c>
      <c r="CJ188" s="22"/>
      <c r="CK188" s="22">
        <f t="shared" si="538"/>
        <v>0.38277511712431395</v>
      </c>
      <c r="CL188" s="22">
        <f t="shared" si="539"/>
        <v>0.44296361937984891</v>
      </c>
      <c r="CM188" s="22">
        <f t="shared" si="540"/>
        <v>0.17426126349583715</v>
      </c>
      <c r="CN188" s="1"/>
      <c r="CO188" s="26">
        <f t="shared" si="541"/>
        <v>0.84320905459387485</v>
      </c>
      <c r="CP188" s="26">
        <f t="shared" si="542"/>
        <v>7.9369053580370559E-3</v>
      </c>
      <c r="CQ188" s="26">
        <f t="shared" si="543"/>
        <v>4.433111023930953E-2</v>
      </c>
      <c r="CR188" s="26">
        <f t="shared" si="544"/>
        <v>0</v>
      </c>
      <c r="CS188" s="26">
        <f t="shared" si="545"/>
        <v>0.14488517745302715</v>
      </c>
      <c r="CT188" s="26">
        <f t="shared" si="546"/>
        <v>4.567239921060051E-3</v>
      </c>
      <c r="CU188" s="26">
        <f t="shared" si="547"/>
        <v>0.37990074441687349</v>
      </c>
      <c r="CV188" s="26">
        <f t="shared" si="548"/>
        <v>0.32828102710413698</v>
      </c>
      <c r="CW188" s="26">
        <f t="shared" si="549"/>
        <v>9.906421426266538E-3</v>
      </c>
      <c r="CX188" s="26">
        <f t="shared" si="550"/>
        <v>0</v>
      </c>
      <c r="CY188" s="26">
        <f t="shared" si="551"/>
        <v>0</v>
      </c>
      <c r="CZ188" s="26">
        <f t="shared" si="552"/>
        <v>0</v>
      </c>
      <c r="DA188" s="26">
        <f t="shared" si="553"/>
        <v>0</v>
      </c>
      <c r="DB188" s="26">
        <f t="shared" si="554"/>
        <v>1.7630176805125859</v>
      </c>
      <c r="DC188" s="26">
        <f t="shared" si="555"/>
        <v>2.6313759848710192</v>
      </c>
      <c r="DD188" s="26">
        <f t="shared" si="556"/>
        <v>2.2688371445242832</v>
      </c>
      <c r="DE188" s="26">
        <f t="shared" si="557"/>
        <v>5.9701635756845368</v>
      </c>
      <c r="DF188" s="1"/>
      <c r="DG188" s="22"/>
      <c r="DH188" s="14"/>
      <c r="DI188" s="14"/>
      <c r="DJ188" s="14"/>
      <c r="DK188" s="14"/>
      <c r="DL188" s="14"/>
      <c r="DM188" s="96"/>
      <c r="DN188" s="14"/>
      <c r="DO188" s="96"/>
      <c r="DP188" s="22"/>
      <c r="DQ188" s="14"/>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46"/>
      <c r="FR188" s="46"/>
      <c r="FS188" s="46"/>
      <c r="FT188" s="46"/>
      <c r="FU188" s="46"/>
      <c r="FV188" s="46"/>
      <c r="FW188" s="46"/>
      <c r="FX188" s="46"/>
      <c r="FY188" s="46"/>
      <c r="FZ188" s="46"/>
      <c r="GA188" s="46"/>
      <c r="GB188" s="46"/>
      <c r="GC188" s="46"/>
      <c r="GD188" s="46"/>
      <c r="GE188" s="46"/>
      <c r="GF188" s="46"/>
      <c r="GG188" s="46"/>
      <c r="GH188" s="46"/>
    </row>
    <row r="189" spans="1:190" x14ac:dyDescent="0.25">
      <c r="A189" s="5" t="s">
        <v>91</v>
      </c>
      <c r="B189" s="1">
        <v>1451</v>
      </c>
      <c r="C189" s="98" t="s">
        <v>96</v>
      </c>
      <c r="D189" s="98" t="s">
        <v>104</v>
      </c>
      <c r="E189" s="1">
        <v>458</v>
      </c>
      <c r="F189" s="22">
        <v>50.29</v>
      </c>
      <c r="G189" s="22">
        <v>0.68799999999999994</v>
      </c>
      <c r="H189" s="22">
        <v>3.75</v>
      </c>
      <c r="I189" s="22">
        <v>8.5999999999999993E-2</v>
      </c>
      <c r="J189" s="22">
        <v>7.11</v>
      </c>
      <c r="K189" s="22">
        <v>0.20499999999999999</v>
      </c>
      <c r="L189" s="22">
        <v>15.29</v>
      </c>
      <c r="M189" s="22">
        <v>21.06</v>
      </c>
      <c r="N189" s="22">
        <v>0.26100000000000001</v>
      </c>
      <c r="O189" s="22">
        <v>0</v>
      </c>
      <c r="P189" s="22">
        <v>0</v>
      </c>
      <c r="Q189" s="22"/>
      <c r="R189" s="22"/>
      <c r="S189" s="22">
        <f t="shared" si="482"/>
        <v>98.74</v>
      </c>
      <c r="T189" s="3"/>
      <c r="U189" s="22">
        <f t="shared" si="483"/>
        <v>5.1006453480892144</v>
      </c>
      <c r="V189" s="22">
        <f t="shared" si="484"/>
        <v>2.2329958246684565</v>
      </c>
      <c r="W189" s="22">
        <f t="shared" si="485"/>
        <v>98.963641172757661</v>
      </c>
      <c r="X189" s="1">
        <v>19</v>
      </c>
      <c r="Y189" s="1">
        <v>14</v>
      </c>
      <c r="Z189" s="1">
        <v>390</v>
      </c>
      <c r="AA189" s="1" t="s">
        <v>258</v>
      </c>
      <c r="AC189" s="1">
        <v>6</v>
      </c>
      <c r="AD189" s="1">
        <v>4</v>
      </c>
      <c r="AE189" s="1"/>
      <c r="AF189" s="26">
        <f t="shared" si="486"/>
        <v>1.8849955841288137</v>
      </c>
      <c r="AG189" s="26">
        <f t="shared" si="487"/>
        <v>1.9395858519781033E-2</v>
      </c>
      <c r="AH189" s="26">
        <f t="shared" si="488"/>
        <v>0.16564947436068203</v>
      </c>
      <c r="AI189" s="26">
        <f t="shared" si="489"/>
        <v>2.5484261769855069E-3</v>
      </c>
      <c r="AJ189" s="26">
        <f t="shared" si="490"/>
        <v>0.22284426088674678</v>
      </c>
      <c r="AK189" s="26">
        <f t="shared" si="491"/>
        <v>6.5076067722809952E-3</v>
      </c>
      <c r="AL189" s="26">
        <f t="shared" si="492"/>
        <v>0.85439965593023492</v>
      </c>
      <c r="AM189" s="26">
        <f t="shared" si="493"/>
        <v>0.84568570077619309</v>
      </c>
      <c r="AN189" s="26">
        <f t="shared" si="494"/>
        <v>1.8966079061709162E-2</v>
      </c>
      <c r="AO189" s="26">
        <f t="shared" si="495"/>
        <v>0</v>
      </c>
      <c r="AP189" s="26">
        <f t="shared" si="496"/>
        <v>0</v>
      </c>
      <c r="AQ189" s="26">
        <f t="shared" si="497"/>
        <v>0</v>
      </c>
      <c r="AR189" s="26">
        <f t="shared" si="498"/>
        <v>0</v>
      </c>
      <c r="AS189" s="26">
        <f t="shared" si="499"/>
        <v>4.0209926466134274</v>
      </c>
      <c r="AT189" s="26">
        <f t="shared" si="500"/>
        <v>2.0506450584894957</v>
      </c>
      <c r="AU189" s="26">
        <f t="shared" si="501"/>
        <v>0.86465177983790231</v>
      </c>
      <c r="AV189" s="47"/>
      <c r="AW189" s="26">
        <f t="shared" si="502"/>
        <v>1.8751544703434366</v>
      </c>
      <c r="AX189" s="26">
        <f t="shared" si="503"/>
        <v>1.9294597353831693E-2</v>
      </c>
      <c r="AY189" s="26">
        <f t="shared" si="504"/>
        <v>0.16478465783835328</v>
      </c>
      <c r="AZ189" s="26">
        <f t="shared" si="505"/>
        <v>2.5351214498060323E-3</v>
      </c>
      <c r="BA189" s="26">
        <f t="shared" si="506"/>
        <v>0.15903169699263967</v>
      </c>
      <c r="BB189" s="26">
        <f t="shared" si="507"/>
        <v>6.2649146989436577E-2</v>
      </c>
      <c r="BC189" s="26">
        <f t="shared" si="508"/>
        <v>6.473632104512155E-3</v>
      </c>
      <c r="BD189" s="26">
        <f t="shared" si="509"/>
        <v>0.84993903846089347</v>
      </c>
      <c r="BE189" s="26">
        <f t="shared" si="510"/>
        <v>0.84127057679496042</v>
      </c>
      <c r="BF189" s="26">
        <f t="shared" si="511"/>
        <v>1.8867061672129971E-2</v>
      </c>
      <c r="BG189" s="26">
        <f t="shared" si="512"/>
        <v>0</v>
      </c>
      <c r="BH189" s="26">
        <f t="shared" si="513"/>
        <v>0</v>
      </c>
      <c r="BI189" s="26">
        <f t="shared" si="514"/>
        <v>0</v>
      </c>
      <c r="BJ189" s="26">
        <f t="shared" si="515"/>
        <v>0</v>
      </c>
      <c r="BK189" s="25">
        <f t="shared" si="516"/>
        <v>4</v>
      </c>
      <c r="BL189" s="24">
        <f t="shared" si="517"/>
        <v>6.0000000000000009</v>
      </c>
      <c r="BM189" s="26">
        <f t="shared" si="518"/>
        <v>2.03993912818179</v>
      </c>
      <c r="BN189" s="26">
        <f t="shared" si="519"/>
        <v>0.86013763846709035</v>
      </c>
      <c r="BO189" s="22"/>
      <c r="BP189" s="23">
        <f t="shared" si="520"/>
        <v>0.79313481616568104</v>
      </c>
      <c r="BQ189" s="26">
        <f t="shared" si="521"/>
        <v>0.12484552965656337</v>
      </c>
      <c r="BR189" s="26">
        <f t="shared" si="522"/>
        <v>3.9939128181789907E-2</v>
      </c>
      <c r="BS189" s="26"/>
      <c r="BT189" s="26">
        <f t="shared" si="523"/>
        <v>1.8966079061709162E-2</v>
      </c>
      <c r="BU189" s="26">
        <f t="shared" si="524"/>
        <v>2.1072066509659936E-2</v>
      </c>
      <c r="BV189" s="26">
        <f t="shared" si="525"/>
        <v>2.9403094926959937E-2</v>
      </c>
      <c r="BW189" s="26">
        <f t="shared" si="526"/>
        <v>1.2742130884927534E-3</v>
      </c>
      <c r="BX189" s="26">
        <f t="shared" si="527"/>
        <v>0.79393632625108046</v>
      </c>
      <c r="BY189" s="26">
        <f t="shared" si="528"/>
        <v>0.14165379528295058</v>
      </c>
      <c r="BZ189" s="26">
        <f t="shared" si="529"/>
        <v>1.0063055751208527</v>
      </c>
      <c r="CA189" s="22"/>
      <c r="CB189" s="22">
        <f t="shared" si="530"/>
        <v>1.8867061672129971E-2</v>
      </c>
      <c r="CC189" s="22">
        <f t="shared" si="531"/>
        <v>0</v>
      </c>
      <c r="CD189" s="22">
        <f t="shared" si="532"/>
        <v>4.378208531730661E-2</v>
      </c>
      <c r="CE189" s="22">
        <f t="shared" si="533"/>
        <v>2.5351214498060323E-3</v>
      </c>
      <c r="CF189" s="22">
        <f t="shared" si="534"/>
        <v>3.9939128181789907E-2</v>
      </c>
      <c r="CG189" s="22">
        <f t="shared" si="535"/>
        <v>0.38694065175909387</v>
      </c>
      <c r="CH189" s="22">
        <f t="shared" si="536"/>
        <v>0.51643031324304911</v>
      </c>
      <c r="CI189" s="22">
        <f t="shared" si="537"/>
        <v>9.662903499785698E-2</v>
      </c>
      <c r="CJ189" s="22"/>
      <c r="CK189" s="22">
        <f t="shared" si="538"/>
        <v>0.43830692706486896</v>
      </c>
      <c r="CL189" s="22">
        <f t="shared" si="539"/>
        <v>0.44282324666521644</v>
      </c>
      <c r="CM189" s="22">
        <f t="shared" si="540"/>
        <v>0.11886982626991448</v>
      </c>
      <c r="CN189" s="1"/>
      <c r="CO189" s="26">
        <f t="shared" si="541"/>
        <v>0.83705059920106528</v>
      </c>
      <c r="CP189" s="26">
        <f t="shared" si="542"/>
        <v>8.612919379068603E-3</v>
      </c>
      <c r="CQ189" s="26">
        <f t="shared" si="543"/>
        <v>7.3558258140447239E-2</v>
      </c>
      <c r="CR189" s="26">
        <f t="shared" si="544"/>
        <v>1.1316533982498847E-3</v>
      </c>
      <c r="CS189" s="26">
        <f t="shared" si="545"/>
        <v>9.8956158663883104E-2</v>
      </c>
      <c r="CT189" s="26">
        <f t="shared" si="546"/>
        <v>2.8897659994361431E-3</v>
      </c>
      <c r="CU189" s="26">
        <f t="shared" si="547"/>
        <v>0.37940446650124071</v>
      </c>
      <c r="CV189" s="26">
        <f t="shared" si="548"/>
        <v>0.37553495007132665</v>
      </c>
      <c r="CW189" s="26">
        <f t="shared" si="549"/>
        <v>8.4220716360116181E-3</v>
      </c>
      <c r="CX189" s="26">
        <f t="shared" si="550"/>
        <v>0</v>
      </c>
      <c r="CY189" s="26">
        <f t="shared" si="551"/>
        <v>0</v>
      </c>
      <c r="CZ189" s="26">
        <f t="shared" si="552"/>
        <v>0</v>
      </c>
      <c r="DA189" s="26">
        <f t="shared" si="553"/>
        <v>0</v>
      </c>
      <c r="DB189" s="26">
        <f t="shared" si="554"/>
        <v>1.7855608429907295</v>
      </c>
      <c r="DC189" s="26">
        <f t="shared" si="555"/>
        <v>2.6643582815222056</v>
      </c>
      <c r="DD189" s="26">
        <f t="shared" si="556"/>
        <v>2.2401924950931331</v>
      </c>
      <c r="DE189" s="26">
        <f t="shared" si="557"/>
        <v>5.9686754265052819</v>
      </c>
      <c r="DF189" s="1"/>
      <c r="DG189" s="22"/>
      <c r="DH189" s="14"/>
      <c r="DI189" s="14"/>
      <c r="DJ189" s="14"/>
      <c r="DK189" s="14"/>
      <c r="DL189" s="14"/>
      <c r="DM189" s="96"/>
      <c r="DN189" s="14"/>
      <c r="DO189" s="96"/>
      <c r="DP189" s="22"/>
      <c r="DQ189" s="14"/>
      <c r="DR189" s="22"/>
      <c r="DS189" s="22"/>
      <c r="DT189" s="22"/>
      <c r="DU189" s="22"/>
      <c r="DV189" s="22"/>
      <c r="DW189" s="22"/>
      <c r="DX189" s="22"/>
      <c r="DY189" s="22"/>
      <c r="DZ189" s="22"/>
      <c r="EA189" s="22"/>
      <c r="EB189" s="22"/>
      <c r="EC189" s="22"/>
      <c r="ED189" s="22"/>
      <c r="EE189" s="22"/>
      <c r="EF189" s="22"/>
      <c r="EG189" s="22"/>
      <c r="EH189" s="22"/>
      <c r="EI189" s="22"/>
      <c r="EJ189" s="22"/>
      <c r="EK189" s="22"/>
      <c r="EL189" s="22"/>
      <c r="EM189" s="22"/>
      <c r="EN189" s="22"/>
      <c r="EO189" s="22"/>
      <c r="EP189" s="22"/>
      <c r="EQ189" s="22"/>
      <c r="ER189" s="22"/>
      <c r="ES189" s="22"/>
      <c r="ET189" s="22"/>
      <c r="EU189" s="22"/>
      <c r="EV189" s="22"/>
      <c r="EW189" s="22"/>
      <c r="EX189" s="22"/>
      <c r="EY189" s="22"/>
      <c r="EZ189" s="22"/>
      <c r="FA189" s="22"/>
      <c r="FB189" s="22"/>
      <c r="FC189" s="22"/>
      <c r="FD189" s="22"/>
      <c r="FE189" s="22"/>
      <c r="FF189" s="22"/>
      <c r="FG189" s="22"/>
      <c r="FH189" s="22"/>
      <c r="FI189" s="22"/>
      <c r="FJ189" s="22"/>
      <c r="FK189" s="22"/>
      <c r="FL189" s="22"/>
      <c r="FM189" s="22"/>
      <c r="FN189" s="22"/>
      <c r="FO189" s="22"/>
      <c r="FP189" s="22"/>
      <c r="FQ189" s="46">
        <f t="shared" ref="FQ189" si="622" xml:space="preserve">  -0.73306   +   1.025016   *  FS189     +N("316 NN Nd")</f>
        <v>-1.8037704708729994</v>
      </c>
      <c r="FR189" s="46">
        <f t="shared" ref="FR189" si="623" xml:space="preserve">  -0.33671   +   1.013871 *  FS189    +N("340 NN")</f>
        <v>-1.3957786348451915</v>
      </c>
      <c r="FS189" s="46">
        <f t="shared" ref="FS189" si="624">-0.42496     +   1.017678*FT189                 + N("361 NN")</f>
        <v>-1.0445792757117931</v>
      </c>
      <c r="FT189" s="46">
        <f xml:space="preserve"> 0.68509  -3.34181 * BP189 + 0.03095*(100*CK189) +N("642 cpx Mg# Wo R2 0.59")</f>
        <v>-0.60885592074486539</v>
      </c>
      <c r="FU189" s="46">
        <f t="shared" ref="FU189" si="625" xml:space="preserve"> -0.06599 + 0.926002 * FT189  + N("409 NN")</f>
        <v>-0.62979180032158688</v>
      </c>
      <c r="FV189" s="46">
        <f t="shared" ref="FV189" si="626">0.1453     +   0.925549*FT189     +N("424 LnD Sm")</f>
        <v>-0.41822598858948945</v>
      </c>
      <c r="FW189" s="46">
        <f t="shared" ref="FW189" si="627" xml:space="preserve">  0.053547 + 0.932974 * FV189  +  N("445 NN")</f>
        <v>-0.33664697347829031</v>
      </c>
      <c r="FX189" s="46">
        <f t="shared" ref="FX189" si="628" xml:space="preserve">  0.027177  +  0.867603 * FV189 + N("464 NN Gd")</f>
        <v>-0.33567712237820679</v>
      </c>
      <c r="FY189" s="46">
        <f t="shared" ref="FY189" si="629" xml:space="preserve">  -0.06187  +  0.953618 * FX189   + N("505 NN Dy")</f>
        <v>-0.38197774608806079</v>
      </c>
      <c r="FZ189" s="46">
        <f t="shared" ref="FZ189" si="630" xml:space="preserve"> -0.05652 + 0.972005*FY189   +N("533 NN")</f>
        <v>-0.42780427908632557</v>
      </c>
      <c r="GA189" s="46">
        <f t="shared" ref="GA189" si="631" xml:space="preserve">     0.018586 + 0.960264 * FZ189    +N("549 LnD Er")</f>
        <v>-0.39221904825255133</v>
      </c>
      <c r="GB189" s="46">
        <f t="shared" ref="GB189" si="632" xml:space="preserve"> -0.02011 + 0.936315 * FZ189    +N("574 NN Er")</f>
        <v>-0.42066956357271296</v>
      </c>
      <c r="GC189" s="46">
        <f t="shared" ref="GC189" si="633" xml:space="preserve">   0.01732 + 1.006083 * GB189  +N("597 NN Yb")</f>
        <v>-0.40590849652792577</v>
      </c>
      <c r="GD189" s="46">
        <f>(-1.72947 +0 ) * (3.46258+0) * BQ189   - (1.87473 + 0) *BP189   + (0.03253+0) * (CK189*100)    +N("eqn625 aliv mg# wo")</f>
        <v>-0.80872969467753331</v>
      </c>
      <c r="GE189" s="46"/>
      <c r="GF189" s="46"/>
      <c r="GG189" s="46"/>
      <c r="GH189" s="46"/>
    </row>
    <row r="190" spans="1:190" x14ac:dyDescent="0.25">
      <c r="A190" s="5" t="s">
        <v>91</v>
      </c>
      <c r="B190" s="1">
        <v>1452</v>
      </c>
      <c r="C190" s="98" t="s">
        <v>96</v>
      </c>
      <c r="D190" s="98" t="s">
        <v>104</v>
      </c>
      <c r="E190" s="1">
        <v>459</v>
      </c>
      <c r="F190" s="22">
        <v>49.78</v>
      </c>
      <c r="G190" s="22">
        <v>0.81599999999999995</v>
      </c>
      <c r="H190" s="22">
        <v>3.63</v>
      </c>
      <c r="I190" s="22">
        <v>0.12</v>
      </c>
      <c r="J190" s="22">
        <v>7.42</v>
      </c>
      <c r="K190" s="22">
        <v>0.219</v>
      </c>
      <c r="L190" s="22">
        <v>15.3</v>
      </c>
      <c r="M190" s="22">
        <v>21.01</v>
      </c>
      <c r="N190" s="22">
        <v>0.29899999999999999</v>
      </c>
      <c r="O190" s="22">
        <v>0</v>
      </c>
      <c r="P190" s="22">
        <v>0</v>
      </c>
      <c r="Q190" s="22"/>
      <c r="R190" s="22"/>
      <c r="S190" s="22">
        <f t="shared" si="482"/>
        <v>98.594000000000023</v>
      </c>
      <c r="T190" s="3"/>
      <c r="U190" s="22">
        <f t="shared" si="483"/>
        <v>4.4617129338951624</v>
      </c>
      <c r="V190" s="22">
        <f t="shared" si="484"/>
        <v>3.287544416562306</v>
      </c>
      <c r="W190" s="22">
        <f t="shared" si="485"/>
        <v>98.923257350457476</v>
      </c>
      <c r="X190" s="1">
        <v>19</v>
      </c>
      <c r="Y190" s="1">
        <v>15</v>
      </c>
      <c r="Z190" s="1">
        <v>420</v>
      </c>
      <c r="AA190" s="1" t="s">
        <v>258</v>
      </c>
      <c r="AC190" s="1">
        <v>6</v>
      </c>
      <c r="AD190" s="1">
        <v>4</v>
      </c>
      <c r="AE190" s="1"/>
      <c r="AF190" s="26">
        <f t="shared" si="486"/>
        <v>1.8744277594684076</v>
      </c>
      <c r="AG190" s="26">
        <f t="shared" si="487"/>
        <v>2.3109781623950418E-2</v>
      </c>
      <c r="AH190" s="26">
        <f t="shared" si="488"/>
        <v>0.16108330551388397</v>
      </c>
      <c r="AI190" s="26">
        <f t="shared" si="489"/>
        <v>3.5722345435287143E-3</v>
      </c>
      <c r="AJ190" s="26">
        <f t="shared" si="490"/>
        <v>0.23362583784332497</v>
      </c>
      <c r="AK190" s="26">
        <f t="shared" si="491"/>
        <v>6.9838784119991967E-3</v>
      </c>
      <c r="AL190" s="26">
        <f t="shared" si="492"/>
        <v>0.85887532077597384</v>
      </c>
      <c r="AM190" s="26">
        <f t="shared" si="493"/>
        <v>0.84754308822011903</v>
      </c>
      <c r="AN190" s="26">
        <f t="shared" si="494"/>
        <v>2.1826964955497456E-2</v>
      </c>
      <c r="AO190" s="26">
        <f t="shared" si="495"/>
        <v>0</v>
      </c>
      <c r="AP190" s="26">
        <f t="shared" si="496"/>
        <v>0</v>
      </c>
      <c r="AQ190" s="26">
        <f t="shared" si="497"/>
        <v>0</v>
      </c>
      <c r="AR190" s="26">
        <f t="shared" si="498"/>
        <v>0</v>
      </c>
      <c r="AS190" s="26">
        <f t="shared" si="499"/>
        <v>4.0310481713566855</v>
      </c>
      <c r="AT190" s="26">
        <f t="shared" si="500"/>
        <v>2.0355110649822916</v>
      </c>
      <c r="AU190" s="26">
        <f t="shared" si="501"/>
        <v>0.86937005317561644</v>
      </c>
      <c r="AV190" s="47"/>
      <c r="AW190" s="26">
        <f t="shared" si="502"/>
        <v>1.8599904340389484</v>
      </c>
      <c r="AX190" s="26">
        <f t="shared" si="503"/>
        <v>2.2931784133130434E-2</v>
      </c>
      <c r="AY190" s="26">
        <f t="shared" si="504"/>
        <v>0.15984260040203882</v>
      </c>
      <c r="AZ190" s="26">
        <f t="shared" si="505"/>
        <v>3.5447202729174503E-3</v>
      </c>
      <c r="BA190" s="26">
        <f t="shared" si="506"/>
        <v>0.13939930043156876</v>
      </c>
      <c r="BB190" s="26">
        <f t="shared" si="507"/>
        <v>9.2427091029981145E-2</v>
      </c>
      <c r="BC190" s="26">
        <f t="shared" si="508"/>
        <v>6.9300867815218501E-3</v>
      </c>
      <c r="BD190" s="26">
        <f t="shared" si="509"/>
        <v>0.85226004182124349</v>
      </c>
      <c r="BE190" s="26">
        <f t="shared" si="510"/>
        <v>0.84101509303955635</v>
      </c>
      <c r="BF190" s="26">
        <f t="shared" si="511"/>
        <v>2.165884804909329E-2</v>
      </c>
      <c r="BG190" s="26">
        <f t="shared" si="512"/>
        <v>0</v>
      </c>
      <c r="BH190" s="26">
        <f t="shared" si="513"/>
        <v>0</v>
      </c>
      <c r="BI190" s="26">
        <f t="shared" si="514"/>
        <v>0</v>
      </c>
      <c r="BJ190" s="26">
        <f t="shared" si="515"/>
        <v>0</v>
      </c>
      <c r="BK190" s="25">
        <f t="shared" si="516"/>
        <v>4.0000000000000009</v>
      </c>
      <c r="BL190" s="24">
        <f t="shared" si="517"/>
        <v>6.0000000000000009</v>
      </c>
      <c r="BM190" s="26">
        <f t="shared" si="518"/>
        <v>2.0198330344409872</v>
      </c>
      <c r="BN190" s="26">
        <f t="shared" si="519"/>
        <v>0.86267394108864959</v>
      </c>
      <c r="BO190" s="22"/>
      <c r="BP190" s="23">
        <f t="shared" si="520"/>
        <v>0.78615506628974119</v>
      </c>
      <c r="BQ190" s="26">
        <f t="shared" si="521"/>
        <v>0.14000956596105163</v>
      </c>
      <c r="BR190" s="26">
        <f t="shared" si="522"/>
        <v>1.9833034440987191E-2</v>
      </c>
      <c r="BS190" s="26"/>
      <c r="BT190" s="26">
        <f t="shared" si="523"/>
        <v>1.9833034440987191E-2</v>
      </c>
      <c r="BU190" s="26">
        <f t="shared" si="524"/>
        <v>0</v>
      </c>
      <c r="BV190" s="26">
        <f t="shared" si="525"/>
        <v>1.9833034440987191E-2</v>
      </c>
      <c r="BW190" s="26">
        <f t="shared" si="526"/>
        <v>1.7861172717643572E-3</v>
      </c>
      <c r="BX190" s="26">
        <f t="shared" si="527"/>
        <v>0.82592393650736751</v>
      </c>
      <c r="BY190" s="26">
        <f t="shared" si="528"/>
        <v>0.13328861105596562</v>
      </c>
      <c r="BZ190" s="26">
        <f t="shared" si="529"/>
        <v>1.0006647337170718</v>
      </c>
      <c r="CA190" s="22"/>
      <c r="CB190" s="22">
        <f t="shared" si="530"/>
        <v>2.165884804909329E-2</v>
      </c>
      <c r="CC190" s="22">
        <f t="shared" si="531"/>
        <v>0</v>
      </c>
      <c r="CD190" s="22">
        <f t="shared" si="532"/>
        <v>7.0768242980887852E-2</v>
      </c>
      <c r="CE190" s="22">
        <f t="shared" si="533"/>
        <v>3.5447202729174503E-3</v>
      </c>
      <c r="CF190" s="22">
        <f t="shared" si="534"/>
        <v>1.9833034440987191E-2</v>
      </c>
      <c r="CG190" s="22">
        <f t="shared" si="535"/>
        <v>0.38426397169692855</v>
      </c>
      <c r="CH190" s="22">
        <f t="shared" si="536"/>
        <v>0.5291809302580428</v>
      </c>
      <c r="CI190" s="22">
        <f t="shared" si="537"/>
        <v>8.6555098045028644E-2</v>
      </c>
      <c r="CJ190" s="22"/>
      <c r="CK190" s="22">
        <f t="shared" si="538"/>
        <v>0.43530089639084024</v>
      </c>
      <c r="CL190" s="22">
        <f t="shared" si="539"/>
        <v>0.44112116801860196</v>
      </c>
      <c r="CM190" s="22">
        <f t="shared" si="540"/>
        <v>0.12357793559055781</v>
      </c>
      <c r="CN190" s="1"/>
      <c r="CO190" s="26">
        <f t="shared" si="541"/>
        <v>0.82856191744340879</v>
      </c>
      <c r="CP190" s="26">
        <f t="shared" si="542"/>
        <v>1.0215322984476714E-2</v>
      </c>
      <c r="CQ190" s="26">
        <f t="shared" si="543"/>
        <v>7.1204393879952921E-2</v>
      </c>
      <c r="CR190" s="26">
        <f t="shared" si="544"/>
        <v>1.5790512533719323E-3</v>
      </c>
      <c r="CS190" s="26">
        <f t="shared" si="545"/>
        <v>0.10327070285316632</v>
      </c>
      <c r="CT190" s="26">
        <f t="shared" si="546"/>
        <v>3.0871158725683679E-3</v>
      </c>
      <c r="CU190" s="26">
        <f t="shared" si="547"/>
        <v>0.3796526054590571</v>
      </c>
      <c r="CV190" s="26">
        <f t="shared" si="548"/>
        <v>0.37464336661911557</v>
      </c>
      <c r="CW190" s="26">
        <f t="shared" si="549"/>
        <v>9.6482736366569864E-3</v>
      </c>
      <c r="CX190" s="26">
        <f t="shared" si="550"/>
        <v>0</v>
      </c>
      <c r="CY190" s="26">
        <f t="shared" si="551"/>
        <v>0</v>
      </c>
      <c r="CZ190" s="26">
        <f t="shared" si="552"/>
        <v>0</v>
      </c>
      <c r="DA190" s="26">
        <f t="shared" si="553"/>
        <v>0</v>
      </c>
      <c r="DB190" s="26">
        <f t="shared" si="554"/>
        <v>1.7818627500017747</v>
      </c>
      <c r="DC190" s="26">
        <f t="shared" si="555"/>
        <v>2.652207576177994</v>
      </c>
      <c r="DD190" s="26">
        <f t="shared" si="556"/>
        <v>2.2448418095030136</v>
      </c>
      <c r="DE190" s="26">
        <f t="shared" si="557"/>
        <v>5.9537864544850096</v>
      </c>
      <c r="DF190" s="1"/>
      <c r="DG190" s="22"/>
      <c r="DH190" s="14"/>
      <c r="DI190" s="14"/>
      <c r="DJ190" s="14"/>
      <c r="DK190" s="14"/>
      <c r="DL190" s="14"/>
      <c r="DM190" s="96"/>
      <c r="DN190" s="14"/>
      <c r="DO190" s="96"/>
      <c r="DP190" s="22"/>
      <c r="DQ190" s="14"/>
      <c r="DR190" s="22"/>
      <c r="DS190" s="22"/>
      <c r="DT190" s="22"/>
      <c r="DU190" s="22"/>
      <c r="DV190" s="22"/>
      <c r="DW190" s="22"/>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46"/>
      <c r="FR190" s="46"/>
      <c r="FS190" s="46"/>
      <c r="FT190" s="46"/>
      <c r="FU190" s="46"/>
      <c r="FV190" s="46"/>
      <c r="FW190" s="46"/>
      <c r="FX190" s="46"/>
      <c r="FY190" s="46"/>
      <c r="FZ190" s="46"/>
      <c r="GA190" s="46"/>
      <c r="GB190" s="46"/>
      <c r="GC190" s="46"/>
      <c r="GD190" s="46"/>
      <c r="GE190" s="46"/>
      <c r="GF190" s="46"/>
      <c r="GG190" s="46"/>
      <c r="GH190" s="46"/>
    </row>
    <row r="191" spans="1:190" x14ac:dyDescent="0.25">
      <c r="A191" s="5" t="s">
        <v>91</v>
      </c>
      <c r="B191" s="1">
        <v>1453</v>
      </c>
      <c r="C191" s="98" t="s">
        <v>96</v>
      </c>
      <c r="D191" s="98" t="s">
        <v>104</v>
      </c>
      <c r="E191" s="1">
        <v>460</v>
      </c>
      <c r="F191" s="22">
        <v>50.07</v>
      </c>
      <c r="G191" s="22">
        <v>0.70099999999999996</v>
      </c>
      <c r="H191" s="22">
        <v>2.92</v>
      </c>
      <c r="I191" s="22">
        <v>0.13600000000000001</v>
      </c>
      <c r="J191" s="22">
        <v>7.44</v>
      </c>
      <c r="K191" s="22">
        <v>0.222</v>
      </c>
      <c r="L191" s="22">
        <v>15.06</v>
      </c>
      <c r="M191" s="22">
        <v>20.96</v>
      </c>
      <c r="N191" s="22">
        <v>0.28199999999999997</v>
      </c>
      <c r="O191" s="22">
        <v>6.7000000000000004E-2</v>
      </c>
      <c r="P191" s="22">
        <v>0</v>
      </c>
      <c r="Q191" s="22"/>
      <c r="R191" s="22"/>
      <c r="S191" s="22">
        <f t="shared" si="482"/>
        <v>97.858000000000004</v>
      </c>
      <c r="T191" s="3"/>
      <c r="U191" s="22">
        <f t="shared" si="483"/>
        <v>5.0684132311565273</v>
      </c>
      <c r="V191" s="22">
        <f t="shared" si="484"/>
        <v>2.6355443762157513</v>
      </c>
      <c r="W191" s="22">
        <f t="shared" si="485"/>
        <v>98.121957607372281</v>
      </c>
      <c r="X191" s="1">
        <v>19</v>
      </c>
      <c r="Y191" s="1">
        <v>16</v>
      </c>
      <c r="Z191" s="1">
        <v>450</v>
      </c>
      <c r="AA191" s="1" t="s">
        <v>258</v>
      </c>
      <c r="AC191" s="1">
        <v>6</v>
      </c>
      <c r="AD191" s="1">
        <v>4</v>
      </c>
      <c r="AE191" s="1"/>
      <c r="AF191" s="26">
        <f t="shared" si="486"/>
        <v>1.8995930045990945</v>
      </c>
      <c r="AG191" s="26">
        <f t="shared" si="487"/>
        <v>2.0002895032866813E-2</v>
      </c>
      <c r="AH191" s="26">
        <f t="shared" si="488"/>
        <v>0.13055572309854308</v>
      </c>
      <c r="AI191" s="26">
        <f t="shared" si="489"/>
        <v>4.0791228327236142E-3</v>
      </c>
      <c r="AJ191" s="26">
        <f t="shared" si="490"/>
        <v>0.23602557116192469</v>
      </c>
      <c r="AK191" s="26">
        <f t="shared" si="491"/>
        <v>7.1330404118816748E-3</v>
      </c>
      <c r="AL191" s="26">
        <f t="shared" si="492"/>
        <v>0.85179055456736896</v>
      </c>
      <c r="AM191" s="26">
        <f t="shared" si="493"/>
        <v>0.85191480861670021</v>
      </c>
      <c r="AN191" s="26">
        <f t="shared" si="494"/>
        <v>2.0741512676702718E-2</v>
      </c>
      <c r="AO191" s="26">
        <f t="shared" si="495"/>
        <v>3.2424014858997876E-3</v>
      </c>
      <c r="AP191" s="26">
        <f t="shared" si="496"/>
        <v>0</v>
      </c>
      <c r="AQ191" s="26">
        <f t="shared" si="497"/>
        <v>0</v>
      </c>
      <c r="AR191" s="26">
        <f t="shared" si="498"/>
        <v>0</v>
      </c>
      <c r="AS191" s="26">
        <f t="shared" si="499"/>
        <v>4.0250786344837071</v>
      </c>
      <c r="AT191" s="26">
        <f t="shared" si="500"/>
        <v>2.0301487276976378</v>
      </c>
      <c r="AU191" s="26">
        <f t="shared" si="501"/>
        <v>0.87589872277930281</v>
      </c>
      <c r="AV191" s="47"/>
      <c r="AW191" s="26">
        <f t="shared" si="502"/>
        <v>1.8877574100787766</v>
      </c>
      <c r="AX191" s="26">
        <f t="shared" si="503"/>
        <v>1.9878265096734016E-2</v>
      </c>
      <c r="AY191" s="26">
        <f t="shared" si="504"/>
        <v>0.12974228327371734</v>
      </c>
      <c r="AZ191" s="26">
        <f t="shared" si="505"/>
        <v>4.0537074707330187E-3</v>
      </c>
      <c r="BA191" s="26">
        <f t="shared" si="506"/>
        <v>0.15978785242433166</v>
      </c>
      <c r="BB191" s="26">
        <f t="shared" si="507"/>
        <v>7.4767139013443895E-2</v>
      </c>
      <c r="BC191" s="26">
        <f t="shared" si="508"/>
        <v>7.0885973265430386E-3</v>
      </c>
      <c r="BD191" s="26">
        <f t="shared" si="509"/>
        <v>0.84648339266706296</v>
      </c>
      <c r="BE191" s="26">
        <f t="shared" si="510"/>
        <v>0.84660687253974598</v>
      </c>
      <c r="BF191" s="26">
        <f t="shared" si="511"/>
        <v>2.061228071323205E-2</v>
      </c>
      <c r="BG191" s="26">
        <f t="shared" si="512"/>
        <v>3.2221993956803169E-3</v>
      </c>
      <c r="BH191" s="26">
        <f t="shared" si="513"/>
        <v>0</v>
      </c>
      <c r="BI191" s="26">
        <f t="shared" si="514"/>
        <v>0</v>
      </c>
      <c r="BJ191" s="26">
        <f t="shared" si="515"/>
        <v>0</v>
      </c>
      <c r="BK191" s="25">
        <f t="shared" si="516"/>
        <v>4.0000000000000009</v>
      </c>
      <c r="BL191" s="24">
        <f t="shared" si="517"/>
        <v>6.0000000000000018</v>
      </c>
      <c r="BM191" s="26">
        <f t="shared" si="518"/>
        <v>2.017499693352494</v>
      </c>
      <c r="BN191" s="26">
        <f t="shared" si="519"/>
        <v>0.87044135264865841</v>
      </c>
      <c r="BO191" s="22"/>
      <c r="BP191" s="23">
        <f t="shared" si="520"/>
        <v>0.78302806367786792</v>
      </c>
      <c r="BQ191" s="26">
        <f t="shared" si="521"/>
        <v>0.11224258992122338</v>
      </c>
      <c r="BR191" s="26">
        <f t="shared" si="522"/>
        <v>1.7499693352493961E-2</v>
      </c>
      <c r="BS191" s="26"/>
      <c r="BT191" s="26">
        <f t="shared" si="523"/>
        <v>1.7499693352493961E-2</v>
      </c>
      <c r="BU191" s="26">
        <f t="shared" si="524"/>
        <v>0</v>
      </c>
      <c r="BV191" s="26">
        <f t="shared" si="525"/>
        <v>1.7499693352493961E-2</v>
      </c>
      <c r="BW191" s="26">
        <f t="shared" si="526"/>
        <v>2.0395614163618071E-3</v>
      </c>
      <c r="BX191" s="26">
        <f t="shared" si="527"/>
        <v>0.83237555384784445</v>
      </c>
      <c r="BY191" s="26">
        <f t="shared" si="528"/>
        <v>0.12772028594072465</v>
      </c>
      <c r="BZ191" s="26">
        <f t="shared" si="529"/>
        <v>0.99713478790991883</v>
      </c>
      <c r="CA191" s="22"/>
      <c r="CB191" s="22">
        <f t="shared" si="530"/>
        <v>2.061228071323205E-2</v>
      </c>
      <c r="CC191" s="22">
        <f t="shared" si="531"/>
        <v>0</v>
      </c>
      <c r="CD191" s="22">
        <f t="shared" si="532"/>
        <v>5.4154858300211842E-2</v>
      </c>
      <c r="CE191" s="22">
        <f t="shared" si="533"/>
        <v>4.0537074707330187E-3</v>
      </c>
      <c r="CF191" s="22">
        <f t="shared" si="534"/>
        <v>1.7499693352493961E-2</v>
      </c>
      <c r="CG191" s="22">
        <f t="shared" si="535"/>
        <v>0.39575544706476962</v>
      </c>
      <c r="CH191" s="22">
        <f t="shared" si="536"/>
        <v>0.50829533454744702</v>
      </c>
      <c r="CI191" s="22">
        <f t="shared" si="537"/>
        <v>9.5949218387783308E-2</v>
      </c>
      <c r="CJ191" s="22"/>
      <c r="CK191" s="22">
        <f t="shared" si="538"/>
        <v>0.43758311811314388</v>
      </c>
      <c r="CL191" s="22">
        <f t="shared" si="539"/>
        <v>0.43751929544708074</v>
      </c>
      <c r="CM191" s="22">
        <f t="shared" si="540"/>
        <v>0.12489758643977535</v>
      </c>
      <c r="CN191" s="1"/>
      <c r="CO191" s="26">
        <f t="shared" si="541"/>
        <v>0.83338881491344874</v>
      </c>
      <c r="CP191" s="26">
        <f t="shared" si="542"/>
        <v>8.7756634952428636E-3</v>
      </c>
      <c r="CQ191" s="26">
        <f t="shared" si="543"/>
        <v>5.727736367202825E-2</v>
      </c>
      <c r="CR191" s="26">
        <f t="shared" si="544"/>
        <v>1.7895914204881899E-3</v>
      </c>
      <c r="CS191" s="26">
        <f t="shared" si="545"/>
        <v>0.10354906054279751</v>
      </c>
      <c r="CT191" s="26">
        <f t="shared" si="546"/>
        <v>3.1294051310967017E-3</v>
      </c>
      <c r="CU191" s="26">
        <f t="shared" si="547"/>
        <v>0.37369727047146406</v>
      </c>
      <c r="CV191" s="26">
        <f t="shared" si="548"/>
        <v>0.37375178316690444</v>
      </c>
      <c r="CW191" s="26">
        <f t="shared" si="549"/>
        <v>9.0997095837366884E-3</v>
      </c>
      <c r="CX191" s="26">
        <f t="shared" si="550"/>
        <v>1.4225053078556263E-3</v>
      </c>
      <c r="CY191" s="26">
        <f t="shared" si="551"/>
        <v>0</v>
      </c>
      <c r="CZ191" s="26">
        <f t="shared" si="552"/>
        <v>0</v>
      </c>
      <c r="DA191" s="26">
        <f t="shared" si="553"/>
        <v>0</v>
      </c>
      <c r="DB191" s="26">
        <f t="shared" si="554"/>
        <v>1.7658811677050628</v>
      </c>
      <c r="DC191" s="26">
        <f t="shared" si="555"/>
        <v>2.6323180162142168</v>
      </c>
      <c r="DD191" s="26">
        <f t="shared" si="556"/>
        <v>2.2651580826349691</v>
      </c>
      <c r="DE191" s="26">
        <f t="shared" si="557"/>
        <v>5.9626164304932807</v>
      </c>
      <c r="DF191" s="1"/>
      <c r="DG191" s="22"/>
      <c r="DH191" s="14"/>
      <c r="DI191" s="14"/>
      <c r="DJ191" s="14"/>
      <c r="DK191" s="14"/>
      <c r="DL191" s="14"/>
      <c r="DM191" s="96"/>
      <c r="DN191" s="14"/>
      <c r="DO191" s="96"/>
      <c r="DP191" s="22"/>
      <c r="DQ191" s="14"/>
      <c r="DR191" s="22"/>
      <c r="DS191" s="22"/>
      <c r="DT191" s="22"/>
      <c r="DU191" s="22"/>
      <c r="DV191" s="22"/>
      <c r="DW191" s="22"/>
      <c r="DX191" s="22"/>
      <c r="DY191" s="22"/>
      <c r="DZ191" s="22"/>
      <c r="EA191" s="22"/>
      <c r="EB191" s="22"/>
      <c r="EC191" s="22"/>
      <c r="ED191" s="22"/>
      <c r="EE191" s="22"/>
      <c r="EF191" s="22"/>
      <c r="EG191" s="22"/>
      <c r="EH191" s="22"/>
      <c r="EI191" s="22"/>
      <c r="EJ191" s="22"/>
      <c r="EK191" s="22"/>
      <c r="EL191" s="22"/>
      <c r="EM191" s="22"/>
      <c r="EN191" s="22"/>
      <c r="EO191" s="22"/>
      <c r="EP191" s="22"/>
      <c r="EQ191" s="22"/>
      <c r="ER191" s="22"/>
      <c r="ES191" s="22"/>
      <c r="ET191" s="22"/>
      <c r="EU191" s="22"/>
      <c r="EV191" s="22"/>
      <c r="EW191" s="22"/>
      <c r="EX191" s="22"/>
      <c r="EY191" s="22"/>
      <c r="EZ191" s="22"/>
      <c r="FA191" s="22"/>
      <c r="FB191" s="22"/>
      <c r="FC191" s="22"/>
      <c r="FD191" s="22"/>
      <c r="FE191" s="22"/>
      <c r="FF191" s="22"/>
      <c r="FG191" s="22"/>
      <c r="FH191" s="22"/>
      <c r="FI191" s="22"/>
      <c r="FJ191" s="22"/>
      <c r="FK191" s="22"/>
      <c r="FL191" s="22"/>
      <c r="FM191" s="22"/>
      <c r="FN191" s="22"/>
      <c r="FO191" s="22"/>
      <c r="FP191" s="22"/>
      <c r="FQ191" s="46"/>
      <c r="FR191" s="46"/>
      <c r="FS191" s="46"/>
      <c r="FT191" s="46"/>
      <c r="FU191" s="46"/>
      <c r="FV191" s="46"/>
      <c r="FW191" s="46"/>
      <c r="FX191" s="46"/>
      <c r="FY191" s="46"/>
      <c r="FZ191" s="46"/>
      <c r="GA191" s="46"/>
      <c r="GB191" s="46"/>
      <c r="GC191" s="46"/>
      <c r="GD191" s="46"/>
      <c r="GE191" s="46"/>
      <c r="GF191" s="46"/>
      <c r="GG191" s="46"/>
      <c r="GH191" s="46"/>
    </row>
    <row r="192" spans="1:190" x14ac:dyDescent="0.25">
      <c r="A192" s="5" t="s">
        <v>91</v>
      </c>
      <c r="B192" s="1">
        <v>1454</v>
      </c>
      <c r="C192" s="98" t="s">
        <v>96</v>
      </c>
      <c r="D192" s="98" t="s">
        <v>104</v>
      </c>
      <c r="E192" s="1">
        <v>461</v>
      </c>
      <c r="F192" s="22">
        <v>50.13</v>
      </c>
      <c r="G192" s="22">
        <v>0.72299999999999998</v>
      </c>
      <c r="H192" s="22">
        <v>2.29</v>
      </c>
      <c r="I192" s="22">
        <v>0</v>
      </c>
      <c r="J192" s="22">
        <v>11.45</v>
      </c>
      <c r="K192" s="22">
        <v>0.28999999999999998</v>
      </c>
      <c r="L192" s="22">
        <v>14.75</v>
      </c>
      <c r="M192" s="22">
        <v>18.37</v>
      </c>
      <c r="N192" s="22">
        <v>0.29499999999999998</v>
      </c>
      <c r="O192" s="22">
        <v>0.01</v>
      </c>
      <c r="P192" s="22">
        <v>0</v>
      </c>
      <c r="Q192" s="22"/>
      <c r="R192" s="22"/>
      <c r="S192" s="22">
        <f t="shared" si="482"/>
        <v>98.308000000000021</v>
      </c>
      <c r="T192" s="3"/>
      <c r="U192" s="22">
        <f t="shared" si="483"/>
        <v>9.0757217754423714</v>
      </c>
      <c r="V192" s="22">
        <f t="shared" si="484"/>
        <v>2.6385353909508926</v>
      </c>
      <c r="W192" s="22">
        <f t="shared" si="485"/>
        <v>98.572257166393271</v>
      </c>
      <c r="X192" s="1">
        <v>19</v>
      </c>
      <c r="Y192" s="1">
        <v>17</v>
      </c>
      <c r="Z192" s="1">
        <v>480</v>
      </c>
      <c r="AA192" s="1" t="s">
        <v>258</v>
      </c>
      <c r="AC192" s="1">
        <v>6</v>
      </c>
      <c r="AD192" s="1">
        <v>4</v>
      </c>
      <c r="AE192" s="1"/>
      <c r="AF192" s="26">
        <f t="shared" si="486"/>
        <v>1.9136283710689785</v>
      </c>
      <c r="AG192" s="26">
        <f t="shared" si="487"/>
        <v>2.0758217668102721E-2</v>
      </c>
      <c r="AH192" s="26">
        <f t="shared" si="488"/>
        <v>0.10302093133860495</v>
      </c>
      <c r="AI192" s="26">
        <f t="shared" si="489"/>
        <v>0</v>
      </c>
      <c r="AJ192" s="26">
        <f t="shared" si="490"/>
        <v>0.36548413915393735</v>
      </c>
      <c r="AK192" s="26">
        <f t="shared" si="491"/>
        <v>9.3755474094979283E-3</v>
      </c>
      <c r="AL192" s="26">
        <f t="shared" si="492"/>
        <v>0.83941513349356556</v>
      </c>
      <c r="AM192" s="26">
        <f t="shared" si="493"/>
        <v>0.75126122112690707</v>
      </c>
      <c r="AN192" s="26">
        <f t="shared" si="494"/>
        <v>2.1831835998574179E-2</v>
      </c>
      <c r="AO192" s="26">
        <f t="shared" si="495"/>
        <v>4.8693266947051985E-4</v>
      </c>
      <c r="AP192" s="26">
        <f t="shared" si="496"/>
        <v>0</v>
      </c>
      <c r="AQ192" s="26">
        <f t="shared" si="497"/>
        <v>0</v>
      </c>
      <c r="AR192" s="26">
        <f t="shared" si="498"/>
        <v>0</v>
      </c>
      <c r="AS192" s="26">
        <f t="shared" si="499"/>
        <v>4.0252623299276387</v>
      </c>
      <c r="AT192" s="26">
        <f t="shared" si="500"/>
        <v>2.0166493024075836</v>
      </c>
      <c r="AU192" s="26">
        <f t="shared" si="501"/>
        <v>0.77357998979495179</v>
      </c>
      <c r="AV192" s="47"/>
      <c r="AW192" s="26">
        <f t="shared" si="502"/>
        <v>1.901618542315854</v>
      </c>
      <c r="AX192" s="26">
        <f t="shared" si="503"/>
        <v>2.0627940210272842E-2</v>
      </c>
      <c r="AY192" s="26">
        <f t="shared" si="504"/>
        <v>0.102374377513385</v>
      </c>
      <c r="AZ192" s="26">
        <f t="shared" si="505"/>
        <v>0</v>
      </c>
      <c r="BA192" s="26">
        <f t="shared" si="506"/>
        <v>0.2878790256397819</v>
      </c>
      <c r="BB192" s="26">
        <f t="shared" si="507"/>
        <v>7.5311354710417611E-2</v>
      </c>
      <c r="BC192" s="26">
        <f t="shared" si="508"/>
        <v>9.3167069781178412E-3</v>
      </c>
      <c r="BD192" s="26">
        <f t="shared" si="509"/>
        <v>0.83414700925457996</v>
      </c>
      <c r="BE192" s="26">
        <f t="shared" si="510"/>
        <v>0.74654634610153459</v>
      </c>
      <c r="BF192" s="26">
        <f t="shared" si="511"/>
        <v>2.1694820569835155E-2</v>
      </c>
      <c r="BG192" s="26">
        <f t="shared" si="512"/>
        <v>4.8387670622130442E-4</v>
      </c>
      <c r="BH192" s="26">
        <f t="shared" si="513"/>
        <v>0</v>
      </c>
      <c r="BI192" s="26">
        <f t="shared" si="514"/>
        <v>0</v>
      </c>
      <c r="BJ192" s="26">
        <f t="shared" si="515"/>
        <v>0</v>
      </c>
      <c r="BK192" s="25">
        <f t="shared" si="516"/>
        <v>4.0000000000000009</v>
      </c>
      <c r="BL192" s="24">
        <f t="shared" si="517"/>
        <v>6</v>
      </c>
      <c r="BM192" s="26">
        <f t="shared" si="518"/>
        <v>2.0039929198292392</v>
      </c>
      <c r="BN192" s="26">
        <f t="shared" si="519"/>
        <v>0.76872504337759107</v>
      </c>
      <c r="BO192" s="22"/>
      <c r="BP192" s="23">
        <f t="shared" si="520"/>
        <v>0.69666830460369866</v>
      </c>
      <c r="BQ192" s="26">
        <f t="shared" si="521"/>
        <v>9.8381457684145968E-2</v>
      </c>
      <c r="BR192" s="26">
        <f t="shared" si="522"/>
        <v>3.9929198292390361E-3</v>
      </c>
      <c r="BS192" s="26"/>
      <c r="BT192" s="26">
        <f t="shared" si="523"/>
        <v>3.9929198292390361E-3</v>
      </c>
      <c r="BU192" s="26">
        <f t="shared" si="524"/>
        <v>0</v>
      </c>
      <c r="BV192" s="26">
        <f t="shared" si="525"/>
        <v>3.9929198292390361E-3</v>
      </c>
      <c r="BW192" s="26">
        <f t="shared" si="526"/>
        <v>0</v>
      </c>
      <c r="BX192" s="26">
        <f t="shared" si="527"/>
        <v>0.74726830129766808</v>
      </c>
      <c r="BY192" s="26">
        <f t="shared" si="528"/>
        <v>0.22881548567491744</v>
      </c>
      <c r="BZ192" s="26">
        <f t="shared" si="529"/>
        <v>0.98406962663106357</v>
      </c>
      <c r="CA192" s="22"/>
      <c r="CB192" s="22">
        <f t="shared" si="530"/>
        <v>2.1694820569835155E-2</v>
      </c>
      <c r="CC192" s="22">
        <f t="shared" si="531"/>
        <v>0</v>
      </c>
      <c r="CD192" s="22">
        <f t="shared" si="532"/>
        <v>5.3616534140582456E-2</v>
      </c>
      <c r="CE192" s="22">
        <f t="shared" si="533"/>
        <v>0</v>
      </c>
      <c r="CF192" s="22">
        <f t="shared" si="534"/>
        <v>3.9929198292390361E-3</v>
      </c>
      <c r="CG192" s="22">
        <f t="shared" si="535"/>
        <v>0.35531585635077412</v>
      </c>
      <c r="CH192" s="22">
        <f t="shared" si="536"/>
        <v>0.47927706988499752</v>
      </c>
      <c r="CI192" s="22">
        <f t="shared" si="537"/>
        <v>0.16540707376422834</v>
      </c>
      <c r="CJ192" s="22"/>
      <c r="CK192" s="22">
        <f t="shared" si="538"/>
        <v>0.38221696544134465</v>
      </c>
      <c r="CL192" s="22">
        <f t="shared" si="539"/>
        <v>0.42706677257770242</v>
      </c>
      <c r="CM192" s="22">
        <f t="shared" si="540"/>
        <v>0.19071626198095293</v>
      </c>
      <c r="CN192" s="1"/>
      <c r="CO192" s="26">
        <f t="shared" si="541"/>
        <v>0.83438748335552604</v>
      </c>
      <c r="CP192" s="26">
        <f t="shared" si="542"/>
        <v>9.0510766149223838E-3</v>
      </c>
      <c r="CQ192" s="26">
        <f t="shared" si="543"/>
        <v>4.4919576304433113E-2</v>
      </c>
      <c r="CR192" s="26">
        <f t="shared" si="544"/>
        <v>0</v>
      </c>
      <c r="CS192" s="26">
        <f t="shared" si="545"/>
        <v>0.15935977731384829</v>
      </c>
      <c r="CT192" s="26">
        <f t="shared" si="546"/>
        <v>4.0879616577389338E-3</v>
      </c>
      <c r="CU192" s="26">
        <f t="shared" si="547"/>
        <v>0.36600496277915634</v>
      </c>
      <c r="CV192" s="26">
        <f t="shared" si="548"/>
        <v>0.32756776034236806</v>
      </c>
      <c r="CW192" s="26">
        <f t="shared" si="549"/>
        <v>9.5191997418522106E-3</v>
      </c>
      <c r="CX192" s="26">
        <f t="shared" si="550"/>
        <v>2.1231422505307856E-4</v>
      </c>
      <c r="CY192" s="26">
        <f t="shared" si="551"/>
        <v>0</v>
      </c>
      <c r="CZ192" s="26">
        <f t="shared" si="552"/>
        <v>0</v>
      </c>
      <c r="DA192" s="26">
        <f t="shared" si="553"/>
        <v>0</v>
      </c>
      <c r="DB192" s="26">
        <f t="shared" si="554"/>
        <v>1.7551101123348984</v>
      </c>
      <c r="DC192" s="26">
        <f t="shared" si="555"/>
        <v>2.6161427034741105</v>
      </c>
      <c r="DD192" s="26">
        <f t="shared" si="556"/>
        <v>2.2790592863023438</v>
      </c>
      <c r="DE192" s="26">
        <f t="shared" si="557"/>
        <v>5.9623443226447908</v>
      </c>
      <c r="DF192" s="1"/>
      <c r="DG192" s="22"/>
      <c r="DH192" s="14"/>
      <c r="DI192" s="14"/>
      <c r="DJ192" s="14"/>
      <c r="DK192" s="14"/>
      <c r="DL192" s="14"/>
      <c r="DM192" s="96"/>
      <c r="DN192" s="14"/>
      <c r="DO192" s="96"/>
      <c r="DP192" s="22"/>
      <c r="DQ192" s="14"/>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46"/>
      <c r="FR192" s="46"/>
      <c r="FS192" s="46"/>
      <c r="FT192" s="46"/>
      <c r="FU192" s="46"/>
      <c r="FV192" s="46"/>
      <c r="FW192" s="46"/>
      <c r="FX192" s="46"/>
      <c r="FY192" s="46"/>
      <c r="FZ192" s="46"/>
      <c r="GA192" s="46"/>
      <c r="GB192" s="46"/>
      <c r="GC192" s="46"/>
      <c r="GD192" s="46"/>
      <c r="GE192" s="46"/>
      <c r="GF192" s="46"/>
      <c r="GG192" s="46"/>
      <c r="GH192" s="46"/>
    </row>
    <row r="193" spans="1:190" x14ac:dyDescent="0.25">
      <c r="A193" s="5" t="s">
        <v>91</v>
      </c>
      <c r="B193" s="1">
        <v>1455</v>
      </c>
      <c r="C193" s="98" t="s">
        <v>96</v>
      </c>
      <c r="D193" s="98" t="s">
        <v>104</v>
      </c>
      <c r="E193" s="1">
        <v>462</v>
      </c>
      <c r="F193" s="22">
        <v>48.66</v>
      </c>
      <c r="G193" s="22">
        <v>0.80300000000000005</v>
      </c>
      <c r="H193" s="22">
        <v>2.8</v>
      </c>
      <c r="I193" s="22">
        <v>1.6E-2</v>
      </c>
      <c r="J193" s="22">
        <v>11.49</v>
      </c>
      <c r="K193" s="22">
        <v>0.41099999999999998</v>
      </c>
      <c r="L193" s="22">
        <v>14.07</v>
      </c>
      <c r="M193" s="22">
        <v>17.63</v>
      </c>
      <c r="N193" s="22">
        <v>0.29699999999999999</v>
      </c>
      <c r="O193" s="22">
        <v>0</v>
      </c>
      <c r="P193" s="22">
        <v>0</v>
      </c>
      <c r="Q193" s="22"/>
      <c r="R193" s="22"/>
      <c r="S193" s="22">
        <f t="shared" si="482"/>
        <v>96.176999999999992</v>
      </c>
      <c r="T193" s="3"/>
      <c r="U193" s="22">
        <f t="shared" si="483"/>
        <v>9.4488314566058254</v>
      </c>
      <c r="V193" s="22">
        <f t="shared" si="484"/>
        <v>2.2683506022739461</v>
      </c>
      <c r="W193" s="22">
        <f t="shared" si="485"/>
        <v>96.404182058879755</v>
      </c>
      <c r="X193" s="1">
        <v>19</v>
      </c>
      <c r="Y193" s="1">
        <v>18</v>
      </c>
      <c r="Z193" s="1">
        <v>510</v>
      </c>
      <c r="AA193" s="1" t="s">
        <v>186</v>
      </c>
      <c r="AC193" s="1">
        <v>6</v>
      </c>
      <c r="AD193" s="1">
        <v>4</v>
      </c>
      <c r="AE193" s="1"/>
      <c r="AF193" s="26">
        <f t="shared" si="486"/>
        <v>1.9007358638538974</v>
      </c>
      <c r="AG193" s="26">
        <f t="shared" si="487"/>
        <v>2.3591582707079211E-2</v>
      </c>
      <c r="AH193" s="26">
        <f t="shared" si="488"/>
        <v>0.12889550988901866</v>
      </c>
      <c r="AI193" s="26">
        <f t="shared" si="489"/>
        <v>4.9409965649184972E-4</v>
      </c>
      <c r="AJ193" s="26">
        <f t="shared" si="490"/>
        <v>0.3752950574196916</v>
      </c>
      <c r="AK193" s="26">
        <f t="shared" si="491"/>
        <v>1.359659703216215E-2</v>
      </c>
      <c r="AL193" s="26">
        <f t="shared" si="492"/>
        <v>0.81934845652765298</v>
      </c>
      <c r="AM193" s="26">
        <f t="shared" si="493"/>
        <v>0.73777493408476713</v>
      </c>
      <c r="AN193" s="26">
        <f t="shared" si="494"/>
        <v>2.2491294991013516E-2</v>
      </c>
      <c r="AO193" s="26">
        <f t="shared" si="495"/>
        <v>0</v>
      </c>
      <c r="AP193" s="26">
        <f t="shared" si="496"/>
        <v>0</v>
      </c>
      <c r="AQ193" s="26">
        <f t="shared" si="497"/>
        <v>0</v>
      </c>
      <c r="AR193" s="26">
        <f t="shared" si="498"/>
        <v>0</v>
      </c>
      <c r="AS193" s="26">
        <f t="shared" si="499"/>
        <v>4.0222233961617748</v>
      </c>
      <c r="AT193" s="26">
        <f t="shared" si="500"/>
        <v>2.0296313737429159</v>
      </c>
      <c r="AU193" s="26">
        <f t="shared" si="501"/>
        <v>0.76026622907578068</v>
      </c>
      <c r="AV193" s="47"/>
      <c r="AW193" s="26">
        <f t="shared" si="502"/>
        <v>1.8902340090485115</v>
      </c>
      <c r="AX193" s="26">
        <f t="shared" si="503"/>
        <v>2.3461235623651922E-2</v>
      </c>
      <c r="AY193" s="26">
        <f t="shared" si="504"/>
        <v>0.12818334258809971</v>
      </c>
      <c r="AZ193" s="26">
        <f t="shared" si="505"/>
        <v>4.9136968072270343E-4</v>
      </c>
      <c r="BA193" s="26">
        <f t="shared" si="506"/>
        <v>0.30691966958262268</v>
      </c>
      <c r="BB193" s="26">
        <f t="shared" si="507"/>
        <v>6.6301825551455362E-2</v>
      </c>
      <c r="BC193" s="26">
        <f t="shared" si="508"/>
        <v>1.3521473765118832E-2</v>
      </c>
      <c r="BD193" s="26">
        <f t="shared" si="509"/>
        <v>0.81482143165844056</v>
      </c>
      <c r="BE193" s="26">
        <f t="shared" si="510"/>
        <v>0.73369861533677361</v>
      </c>
      <c r="BF193" s="26">
        <f t="shared" si="511"/>
        <v>2.2367027164603481E-2</v>
      </c>
      <c r="BG193" s="26">
        <f t="shared" si="512"/>
        <v>0</v>
      </c>
      <c r="BH193" s="26">
        <f t="shared" si="513"/>
        <v>0</v>
      </c>
      <c r="BI193" s="26">
        <f t="shared" si="514"/>
        <v>0</v>
      </c>
      <c r="BJ193" s="26">
        <f t="shared" si="515"/>
        <v>0</v>
      </c>
      <c r="BK193" s="25">
        <f t="shared" si="516"/>
        <v>4.0000000000000009</v>
      </c>
      <c r="BL193" s="24">
        <f t="shared" si="517"/>
        <v>6.0000000000000018</v>
      </c>
      <c r="BM193" s="26">
        <f t="shared" si="518"/>
        <v>2.0184173516366113</v>
      </c>
      <c r="BN193" s="26">
        <f t="shared" si="519"/>
        <v>0.75606564250137709</v>
      </c>
      <c r="BO193" s="22"/>
      <c r="BP193" s="23">
        <f t="shared" si="520"/>
        <v>0.68585184363522755</v>
      </c>
      <c r="BQ193" s="26">
        <f t="shared" si="521"/>
        <v>0.10976599095148853</v>
      </c>
      <c r="BR193" s="26">
        <f t="shared" si="522"/>
        <v>1.8417351636611179E-2</v>
      </c>
      <c r="BS193" s="26"/>
      <c r="BT193" s="26">
        <f t="shared" si="523"/>
        <v>1.8417351636611179E-2</v>
      </c>
      <c r="BU193" s="26">
        <f t="shared" si="524"/>
        <v>0</v>
      </c>
      <c r="BV193" s="26">
        <f t="shared" si="525"/>
        <v>1.8417351636611179E-2</v>
      </c>
      <c r="BW193" s="26">
        <f t="shared" si="526"/>
        <v>2.4704982824592486E-4</v>
      </c>
      <c r="BX193" s="26">
        <f t="shared" si="527"/>
        <v>0.71911053261990998</v>
      </c>
      <c r="BY193" s="26">
        <f t="shared" si="528"/>
        <v>0.2377664906637173</v>
      </c>
      <c r="BZ193" s="26">
        <f t="shared" si="529"/>
        <v>0.99395877638509567</v>
      </c>
      <c r="CA193" s="22"/>
      <c r="CB193" s="22">
        <f t="shared" si="530"/>
        <v>2.2367027164603481E-2</v>
      </c>
      <c r="CC193" s="22">
        <f t="shared" si="531"/>
        <v>0</v>
      </c>
      <c r="CD193" s="22">
        <f t="shared" si="532"/>
        <v>4.3934798386851881E-2</v>
      </c>
      <c r="CE193" s="22">
        <f t="shared" si="533"/>
        <v>4.9136968072270343E-4</v>
      </c>
      <c r="CF193" s="22">
        <f t="shared" si="534"/>
        <v>1.8417351636611179E-2</v>
      </c>
      <c r="CG193" s="22">
        <f t="shared" si="535"/>
        <v>0.34661106139859565</v>
      </c>
      <c r="CH193" s="22">
        <f t="shared" si="536"/>
        <v>0.47461514050965753</v>
      </c>
      <c r="CI193" s="22">
        <f t="shared" si="537"/>
        <v>0.17877379809174684</v>
      </c>
      <c r="CJ193" s="22"/>
      <c r="CK193" s="22">
        <f t="shared" si="538"/>
        <v>0.37912087882157131</v>
      </c>
      <c r="CL193" s="22">
        <f t="shared" si="539"/>
        <v>0.42103911714649211</v>
      </c>
      <c r="CM193" s="22">
        <f t="shared" si="540"/>
        <v>0.19984000403193658</v>
      </c>
      <c r="CN193" s="1"/>
      <c r="CO193" s="26">
        <f t="shared" si="541"/>
        <v>0.80992010652463375</v>
      </c>
      <c r="CP193" s="26">
        <f t="shared" si="542"/>
        <v>1.0052578868302455E-2</v>
      </c>
      <c r="CQ193" s="26">
        <f t="shared" si="543"/>
        <v>5.4923499411533933E-2</v>
      </c>
      <c r="CR193" s="26">
        <f t="shared" si="544"/>
        <v>2.1054016711625763E-4</v>
      </c>
      <c r="CS193" s="26">
        <f t="shared" si="545"/>
        <v>0.15991649269311067</v>
      </c>
      <c r="CT193" s="26">
        <f t="shared" si="546"/>
        <v>5.7936284183817306E-3</v>
      </c>
      <c r="CU193" s="26">
        <f t="shared" si="547"/>
        <v>0.34913151364764272</v>
      </c>
      <c r="CV193" s="26">
        <f t="shared" si="548"/>
        <v>0.31437232524964337</v>
      </c>
      <c r="CW193" s="26">
        <f t="shared" si="549"/>
        <v>9.5837366892545985E-3</v>
      </c>
      <c r="CX193" s="26">
        <f t="shared" si="550"/>
        <v>0</v>
      </c>
      <c r="CY193" s="26">
        <f t="shared" si="551"/>
        <v>0</v>
      </c>
      <c r="CZ193" s="26">
        <f t="shared" si="552"/>
        <v>0</v>
      </c>
      <c r="DA193" s="26">
        <f t="shared" si="553"/>
        <v>0</v>
      </c>
      <c r="DB193" s="26">
        <f t="shared" si="554"/>
        <v>1.7139044216696195</v>
      </c>
      <c r="DC193" s="26">
        <f t="shared" si="555"/>
        <v>2.5566522585072535</v>
      </c>
      <c r="DD193" s="26">
        <f t="shared" si="556"/>
        <v>2.3338524304076156</v>
      </c>
      <c r="DE193" s="26">
        <f t="shared" si="557"/>
        <v>5.966849087224273</v>
      </c>
      <c r="DF193" s="1"/>
      <c r="DG193" s="22"/>
      <c r="DH193" s="14"/>
      <c r="DI193" s="14"/>
      <c r="DJ193" s="14"/>
      <c r="DK193" s="14"/>
      <c r="DL193" s="14"/>
      <c r="DM193" s="96"/>
      <c r="DN193" s="14"/>
      <c r="DO193" s="96"/>
      <c r="DP193" s="22"/>
      <c r="DQ193" s="14"/>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46"/>
      <c r="FR193" s="46"/>
      <c r="FS193" s="46"/>
      <c r="FT193" s="46"/>
      <c r="FU193" s="46"/>
      <c r="FV193" s="46"/>
      <c r="FW193" s="46"/>
      <c r="FX193" s="46"/>
      <c r="FY193" s="46"/>
      <c r="FZ193" s="46"/>
      <c r="GA193" s="46"/>
      <c r="GB193" s="46"/>
      <c r="GC193" s="46"/>
      <c r="GD193" s="46"/>
      <c r="GE193" s="46"/>
      <c r="GF193" s="46"/>
      <c r="GG193" s="46"/>
      <c r="GH193" s="46"/>
    </row>
    <row r="194" spans="1:190" x14ac:dyDescent="0.25">
      <c r="A194" s="5" t="s">
        <v>91</v>
      </c>
      <c r="B194" s="1">
        <v>1456</v>
      </c>
      <c r="C194" s="98" t="s">
        <v>96</v>
      </c>
      <c r="D194" s="98" t="s">
        <v>104</v>
      </c>
      <c r="E194" s="1">
        <v>463</v>
      </c>
      <c r="F194" s="22">
        <v>49.76</v>
      </c>
      <c r="G194" s="22">
        <v>0.61599999999999999</v>
      </c>
      <c r="H194" s="22">
        <v>2.21</v>
      </c>
      <c r="I194" s="22">
        <v>0</v>
      </c>
      <c r="J194" s="22">
        <v>11.4</v>
      </c>
      <c r="K194" s="22">
        <v>0.42</v>
      </c>
      <c r="L194" s="22">
        <v>14.31</v>
      </c>
      <c r="M194" s="22">
        <v>18.45</v>
      </c>
      <c r="N194" s="22">
        <v>0.26</v>
      </c>
      <c r="O194" s="22">
        <v>0</v>
      </c>
      <c r="P194" s="22">
        <v>0</v>
      </c>
      <c r="Q194" s="22"/>
      <c r="R194" s="22"/>
      <c r="S194" s="22">
        <f t="shared" ref="S194:S257" si="634">SUM(F194:R194)</f>
        <v>97.426000000000002</v>
      </c>
      <c r="T194" s="3"/>
      <c r="U194" s="22">
        <f t="shared" ref="U194:U211" si="635">J194*BA194/(BA194+BB194)</f>
        <v>9.2800993186249254</v>
      </c>
      <c r="V194" s="22">
        <f t="shared" ref="V194:V211" si="636">1.1113*J194*BB194/(BA194+BB194)</f>
        <v>2.3558456272121204</v>
      </c>
      <c r="W194" s="22">
        <f t="shared" ref="W194:W257" si="637">SUM(F194:I194)+SUM(K194:R194)+SUM(U194:V194)</f>
        <v>97.661944945837035</v>
      </c>
      <c r="X194" s="1">
        <v>19</v>
      </c>
      <c r="Y194" s="1">
        <v>19</v>
      </c>
      <c r="Z194" s="1">
        <v>540</v>
      </c>
      <c r="AA194" s="1" t="s">
        <v>186</v>
      </c>
      <c r="AC194" s="1">
        <v>6</v>
      </c>
      <c r="AD194" s="1">
        <v>4</v>
      </c>
      <c r="AE194" s="1"/>
      <c r="AF194" s="26">
        <f t="shared" ref="AF194:AF211" si="638">CO194*($AC194/$DC194)</f>
        <v>1.9188498226533353</v>
      </c>
      <c r="AG194" s="26">
        <f t="shared" ref="AG194:AG211" si="639">CP194*($AC194/$DC194)</f>
        <v>1.7866241274222334E-2</v>
      </c>
      <c r="AH194" s="26">
        <f t="shared" ref="AH194:AH211" si="640">CQ194*($AC194/$DC194)</f>
        <v>0.10043451372885551</v>
      </c>
      <c r="AI194" s="26">
        <f t="shared" ref="AI194:AI211" si="641">CR194*($AC194/$DC194)</f>
        <v>0</v>
      </c>
      <c r="AJ194" s="26">
        <f t="shared" ref="AJ194:AJ211" si="642">CS194*($AC194/$DC194)</f>
        <v>0.36759417220281326</v>
      </c>
      <c r="AK194" s="26">
        <f t="shared" ref="AK194:AK211" si="643">CT194*($AC194/$DC194)</f>
        <v>1.3716668564198425E-2</v>
      </c>
      <c r="AL194" s="26">
        <f t="shared" ref="AL194:AL211" si="644">CU194*($AC194/$DC194)</f>
        <v>0.82266898831868274</v>
      </c>
      <c r="AM194" s="26">
        <f t="shared" ref="AM194:AM211" si="645">CV194*($AC194/$DC194)</f>
        <v>0.76221747985748078</v>
      </c>
      <c r="AN194" s="26">
        <f t="shared" ref="AN194:AN211" si="646">CW194*($AC194/$DC194)</f>
        <v>1.9437585216851939E-2</v>
      </c>
      <c r="AO194" s="26">
        <f t="shared" ref="AO194:AO211" si="647">CX194*($AC194/$DC194)</f>
        <v>0</v>
      </c>
      <c r="AP194" s="26">
        <f t="shared" ref="AP194:AP211" si="648">CY194*($AC194/$DC194)</f>
        <v>0</v>
      </c>
      <c r="AQ194" s="26">
        <f t="shared" ref="AQ194:AQ211" si="649">CZ194*($AC194/$DC194)</f>
        <v>0</v>
      </c>
      <c r="AR194" s="26">
        <f t="shared" ref="AR194:AR211" si="650">DA194*($AC194/$DC194)</f>
        <v>0</v>
      </c>
      <c r="AS194" s="26">
        <f t="shared" ref="AS194:AS211" si="651">SUM(AF194:AQ194)</f>
        <v>4.02278547181644</v>
      </c>
      <c r="AT194" s="26">
        <f t="shared" ref="AT194:AT211" si="652">AF194+AH194</f>
        <v>2.0192843363821908</v>
      </c>
      <c r="AU194" s="26">
        <f t="shared" ref="AU194:AU211" si="653">SUM(AM194:AO194)</f>
        <v>0.78165506507433269</v>
      </c>
      <c r="AV194" s="47"/>
      <c r="AW194" s="26">
        <f t="shared" ref="AW194:AW211" si="654">IF($AD194&gt;0,CO194*$DD194,"")</f>
        <v>1.9079812593505285</v>
      </c>
      <c r="AX194" s="26">
        <f t="shared" ref="AX194:AX211" si="655">IF($AD194&gt;0,CP194*$DD194,"")</f>
        <v>1.7765045040947759E-2</v>
      </c>
      <c r="AY194" s="26">
        <f t="shared" ref="AY194:AY211" si="656">IF($AD194&gt;0,CQ194*$DD194,"")</f>
        <v>9.9865642284429873E-2</v>
      </c>
      <c r="AZ194" s="26">
        <f t="shared" ref="AZ194:AZ211" si="657">IF($AD194&gt;0,CR194*$DD194,"")</f>
        <v>0</v>
      </c>
      <c r="BA194" s="26">
        <f t="shared" ref="BA194:BA257" si="658">IF($AD194&gt;0 +N("so a blank cell if no ideal cations set"),                         CS194*DD194-BB194,"")</f>
        <v>0.29754284323630698</v>
      </c>
      <c r="BB194" s="26">
        <f t="shared" ref="BB194:BB211" si="659">IF($AD194&gt;0 +N("so a blank cell if no ideal cations set"),                                                                     IF(AS194&gt;AD194,                          IF(  2*AC194*(1-(AD194/AS194))   &lt;   CS194*DD194,    2*AC194*(1-(AD194/AS194)),    CS194*DD194),0),"")</f>
        <v>6.7969237662036885E-2</v>
      </c>
      <c r="BC194" s="26">
        <f t="shared" ref="BC194:BC211" si="660">IF($AD194&gt;0,CT194*$DD194,"")</f>
        <v>1.3638975938734145E-2</v>
      </c>
      <c r="BD194" s="26">
        <f t="shared" ref="BD194:BD211" si="661">IF($AD194&gt;0,CU194*$DD194,"")</f>
        <v>0.8180093063199978</v>
      </c>
      <c r="BE194" s="26">
        <f t="shared" ref="BE194:BE211" si="662">IF($AD194&gt;0,CV194*$DD194,"")</f>
        <v>0.75790020143759829</v>
      </c>
      <c r="BF194" s="26">
        <f t="shared" ref="BF194:BF211" si="663">IF($AD194&gt;0,CW194*$DD194,"")</f>
        <v>1.932748872942025E-2</v>
      </c>
      <c r="BG194" s="26">
        <f t="shared" ref="BG194:BG211" si="664">IF($AD194&gt;0,CX194*$DD194,"")</f>
        <v>0</v>
      </c>
      <c r="BH194" s="26">
        <f t="shared" ref="BH194:BH211" si="665">IF($AD194&gt;0,CY194*$DD194,"")</f>
        <v>0</v>
      </c>
      <c r="BI194" s="26">
        <f t="shared" ref="BI194:BI211" si="666">IF($AD194&gt;0,CZ194*$DD194,"")</f>
        <v>0</v>
      </c>
      <c r="BJ194" s="26">
        <f t="shared" ref="BJ194:BJ211" si="667">IF($AD194&gt;0,DA194*$DD194,"")</f>
        <v>0</v>
      </c>
      <c r="BK194" s="25">
        <f t="shared" ref="BK194:BK211" si="668">IF(AD194&gt;0,SUM(AW194:BI194),"")</f>
        <v>4.0000000000000009</v>
      </c>
      <c r="BL194" s="24">
        <f t="shared" ref="BL194:BL211" si="669">(AW194+AX194)*2+(AY194+AZ194+BB194)*1.5+BA194+BC194+BD194+BE194+(BF194+BG194)*0.5+BH194*2.5+BI194*3  -(0.5*(BJ194))</f>
        <v>6.0000000000000009</v>
      </c>
      <c r="BM194" s="26">
        <f t="shared" ref="BM194:BM211" si="670">IF(AD194&gt;0,AW194+AY194,"")</f>
        <v>2.0078469016349585</v>
      </c>
      <c r="BN194" s="26">
        <f t="shared" ref="BN194:BN211" si="671">IF(AD194&gt;0,SUM(BE194:BG194),"")</f>
        <v>0.77722769016701854</v>
      </c>
      <c r="BO194" s="22"/>
      <c r="BP194" s="23">
        <f t="shared" ref="BP194:BP211" si="672">AL194/(AL194+AJ194)</f>
        <v>0.69116563093345063</v>
      </c>
      <c r="BQ194" s="26">
        <f t="shared" ref="BQ194:BQ211" si="673">IF(2-AW194&gt;0,2-AW194,0)</f>
        <v>9.2018740649471464E-2</v>
      </c>
      <c r="BR194" s="26">
        <f t="shared" ref="BR194:BR257" si="674">IF(AY194-BQ194&gt;0,AY194-BQ194,0)</f>
        <v>7.8469016349584086E-3</v>
      </c>
      <c r="BS194" s="26"/>
      <c r="BT194" s="26">
        <f t="shared" ref="BT194:BT211" si="675">IF(AN194&lt;BR194,AN194,BR194)</f>
        <v>7.8469016349584086E-3</v>
      </c>
      <c r="BU194" s="26">
        <f t="shared" ref="BU194:BU211" si="676">IF(AN194&lt;BR194,BR194-BF194,0)</f>
        <v>0</v>
      </c>
      <c r="BV194" s="26">
        <f t="shared" ref="BV194:BV257" si="677">IF(BR194&gt;BU194,BR194-BU194/2,0)</f>
        <v>7.8469016349584086E-3</v>
      </c>
      <c r="BW194" s="26">
        <f t="shared" ref="BW194:BW211" si="678">AI194/2</f>
        <v>0</v>
      </c>
      <c r="BX194" s="26">
        <f t="shared" ref="BX194:BX257" si="679">IF(AM194-BU194-BV194-BW194&gt;0,AM194-BU194-BV194-BW194,0)</f>
        <v>0.7543705782225224</v>
      </c>
      <c r="BY194" s="26">
        <f t="shared" ref="BY194:BY257" si="680">((AJ194+AL194)-BX194)/2</f>
        <v>0.21794629114948677</v>
      </c>
      <c r="BZ194" s="26">
        <f t="shared" ref="BZ194:BZ257" si="681">SUM(BT194:BY194)</f>
        <v>0.98801067264192599</v>
      </c>
      <c r="CA194" s="22"/>
      <c r="CB194" s="22">
        <f t="shared" ref="CB194:CB211" si="682">IF($BB194&gt;0,IF($BB194&lt;$BF194,$BB194,$BF194),0)</f>
        <v>1.932748872942025E-2</v>
      </c>
      <c r="CC194" s="22">
        <f t="shared" ref="CC194:CC257" si="683">IF(BR194&lt;(BF194-CB194),BR194,(BF194-CB194))</f>
        <v>0</v>
      </c>
      <c r="CD194" s="22">
        <f t="shared" ref="CD194:CD211" si="684">IF($BB194&gt;0,$BB194-$CB194,0)</f>
        <v>4.8641748932616635E-2</v>
      </c>
      <c r="CE194" s="22">
        <f t="shared" ref="CE194:CE211" si="685">AZ194</f>
        <v>0</v>
      </c>
      <c r="CF194" s="22">
        <f t="shared" ref="CF194:CF211" si="686">BR194-CC194</f>
        <v>7.8469016349584086E-3</v>
      </c>
      <c r="CG194" s="22">
        <f t="shared" ref="CG194:CG257" si="687">(BE194+CB194-SUM(CD194:CF194))/2</f>
        <v>0.36036951979972176</v>
      </c>
      <c r="CH194" s="22">
        <f t="shared" ref="CH194:CH257" si="688">(1-CG194)*(1-(BA194/(BA194+BD194)))</f>
        <v>0.4690266480306291</v>
      </c>
      <c r="CI194" s="22">
        <f t="shared" ref="CI194:CI211" si="689">(1-CG194)*(BA194/(BA194+BD194))</f>
        <v>0.17060383216964911</v>
      </c>
      <c r="CJ194" s="22"/>
      <c r="CK194" s="22">
        <f t="shared" ref="CK194:CK211" si="690">BE194/(BE194+BD194+BA194+BB194+BC194)</f>
        <v>0.3876607278377216</v>
      </c>
      <c r="CL194" s="22">
        <f t="shared" ref="CL194:CL211" si="691">BD194/(BE194+BD194+BA194+BB194+BC194)</f>
        <v>0.41840612057437138</v>
      </c>
      <c r="CM194" s="22">
        <f t="shared" ref="CM194:CM211" si="692">(BA194+BB194+BC194)/(BE194+BD194+BA194+BB194+BC194)</f>
        <v>0.193933151587907</v>
      </c>
      <c r="CN194" s="1"/>
      <c r="CO194" s="26">
        <f t="shared" ref="CO194:CO211" si="693">F194/60.08</f>
        <v>0.82822902796271636</v>
      </c>
      <c r="CP194" s="26">
        <f t="shared" ref="CP194:CP211" si="694">G194/79.88</f>
        <v>7.7115673510265402E-3</v>
      </c>
      <c r="CQ194" s="26">
        <f t="shared" ref="CQ194:CQ211" si="695">H194/101.96*2</f>
        <v>4.3350333464103573E-2</v>
      </c>
      <c r="CR194" s="26">
        <f t="shared" ref="CR194:CR211" si="696">I194/151.99*2</f>
        <v>0</v>
      </c>
      <c r="CS194" s="26">
        <f t="shared" ref="CS194:CS211" si="697">J194/71.85</f>
        <v>0.15866388308977036</v>
      </c>
      <c r="CT194" s="26">
        <f t="shared" ref="CT194:CT211" si="698">K194/70.94</f>
        <v>5.9204961939667324E-3</v>
      </c>
      <c r="CU194" s="26">
        <f t="shared" ref="CU194:CU211" si="699">L194/40.3</f>
        <v>0.35508684863523576</v>
      </c>
      <c r="CV194" s="26">
        <f t="shared" ref="CV194:CV211" si="700">M194/56.08</f>
        <v>0.32899429386590584</v>
      </c>
      <c r="CW194" s="26">
        <f t="shared" ref="CW194:CW211" si="701">N194/61.98*2</f>
        <v>8.3898031623104233E-3</v>
      </c>
      <c r="CX194" s="26">
        <f t="shared" ref="CX194:CX211" si="702">O194/94.2*2</f>
        <v>0</v>
      </c>
      <c r="CY194" s="26">
        <f t="shared" ref="CY194:CY211" si="703">P194/141.94*2</f>
        <v>0</v>
      </c>
      <c r="CZ194" s="26">
        <f t="shared" ref="CZ194:CZ211" si="704">Q194/80.06</f>
        <v>0</v>
      </c>
      <c r="DA194" s="26">
        <f t="shared" ref="DA194:DA211" si="705">R194/35.45</f>
        <v>0</v>
      </c>
      <c r="DB194" s="26">
        <f t="shared" ref="DB194:DB211" si="706">SUM(CO194:CZ194)</f>
        <v>1.7363462537250354</v>
      </c>
      <c r="DC194" s="26">
        <f t="shared" ref="DC194:DC211" si="707">(CO194+CP194)*2+(CQ194+CR194)*1.5+CS194+CT194+CU194+CV194+(CW194+CX194)*0.5+CY194*2.5+CZ194*3+     -(0.5*(DA194))</f>
        <v>2.5897671141896752</v>
      </c>
      <c r="DD194" s="26">
        <f t="shared" ref="DD194:DD211" si="708">AD194/DB194</f>
        <v>2.3036879835566673</v>
      </c>
      <c r="DE194" s="26">
        <f t="shared" ref="DE194:DE257" si="709">DC194*DD194</f>
        <v>5.9660153811689822</v>
      </c>
      <c r="DF194" s="1"/>
      <c r="DG194" s="22">
        <v>14.810182169213624</v>
      </c>
      <c r="DH194" s="14">
        <v>2029.471557079675</v>
      </c>
      <c r="DI194" s="14">
        <v>87007.562514922422</v>
      </c>
      <c r="DJ194" s="14">
        <v>14026.594441674066</v>
      </c>
      <c r="DK194" s="14">
        <v>233643.48513058809</v>
      </c>
      <c r="DL194" s="14">
        <v>130281.48699874632</v>
      </c>
      <c r="DM194" s="96">
        <v>152.03900345393021</v>
      </c>
      <c r="DN194" s="14">
        <v>4131.6734238326762</v>
      </c>
      <c r="DO194" s="96">
        <v>452.42798217558141</v>
      </c>
      <c r="DP194" s="22">
        <v>189.05600189993669</v>
      </c>
      <c r="DQ194" s="14">
        <v>2437.9473263504865</v>
      </c>
      <c r="DR194" s="22">
        <v>48.370258554876202</v>
      </c>
      <c r="DS194" s="22">
        <v>50.168119685704994</v>
      </c>
      <c r="DT194" s="22">
        <v>1.4808496807214964</v>
      </c>
      <c r="DU194" s="22">
        <v>71.642030135683868</v>
      </c>
      <c r="DV194" s="22">
        <v>1.31002729558897</v>
      </c>
      <c r="DW194" s="22">
        <v>12.719525471807138</v>
      </c>
      <c r="DX194" s="22">
        <v>12.959007535624355</v>
      </c>
      <c r="DY194" s="22">
        <v>37.279292145314592</v>
      </c>
      <c r="DZ194" s="22">
        <v>29.646244861519733</v>
      </c>
      <c r="EA194" s="22">
        <v>0</v>
      </c>
      <c r="EB194" s="22">
        <v>0.4573112828783315</v>
      </c>
      <c r="EC194" s="22">
        <v>3.7921047690972771</v>
      </c>
      <c r="ED194" s="22">
        <v>1.8299989064216382</v>
      </c>
      <c r="EE194" s="22">
        <v>7.5959815469929053</v>
      </c>
      <c r="EF194" s="22">
        <v>1.5060489950088263</v>
      </c>
      <c r="EG194" s="22">
        <v>9.7409869491198116</v>
      </c>
      <c r="EH194" s="22">
        <v>3.9245465483630881</v>
      </c>
      <c r="EI194" s="22">
        <v>0.9203255183793394</v>
      </c>
      <c r="EJ194" s="22">
        <v>5.9535042260520301</v>
      </c>
      <c r="EK194" s="22">
        <v>1.0024364413295321</v>
      </c>
      <c r="EL194" s="22">
        <v>6.6814886373965594</v>
      </c>
      <c r="EM194" s="22">
        <v>1.6114475762992799</v>
      </c>
      <c r="EN194" s="22">
        <v>4.0610609415963204</v>
      </c>
      <c r="EO194" s="22">
        <v>0.55353138586712325</v>
      </c>
      <c r="EP194" s="22">
        <v>4.1431416055909036</v>
      </c>
      <c r="EQ194" s="22">
        <v>0.65169130279482701</v>
      </c>
      <c r="ER194" s="22">
        <v>1.4244434576535707</v>
      </c>
      <c r="ES194" s="22">
        <v>4.4020406512662862E-2</v>
      </c>
      <c r="ET194" s="22">
        <v>2.1294283549320201</v>
      </c>
      <c r="EU194" s="22">
        <v>6.8914525703550444E-2</v>
      </c>
      <c r="EV194" s="22">
        <v>1.5184552082508381E-2</v>
      </c>
      <c r="EW194" s="22">
        <f>(EI194/0.05883)/SQRT((EH194/0.1536)*(EJ194/0.2069))</f>
        <v>0.57694895825215342</v>
      </c>
      <c r="EX194" s="22"/>
      <c r="EY194" s="22"/>
      <c r="EZ194" s="22"/>
      <c r="FA194" s="22"/>
      <c r="FB194" s="22"/>
      <c r="FC194" s="22"/>
      <c r="FD194" s="22"/>
      <c r="FE194" s="22"/>
      <c r="FF194" s="22"/>
      <c r="FG194" s="22"/>
      <c r="FH194" s="22"/>
      <c r="FI194" s="22">
        <f>-0.50354-2.23025*BP194+ N("eqn 18 Mg# R2 0.28 best")</f>
        <v>-2.0450121483893282</v>
      </c>
      <c r="FJ194" s="22"/>
      <c r="FK194" s="22">
        <f xml:space="preserve"> -0.03692  +  0.931085 + FX194   + N("488 NN Dy")</f>
        <v>0.8941650000000001</v>
      </c>
      <c r="FL194" s="22">
        <f>-0.48986  +   0    +   (1.071278 + 0) * GD194  +N("eqn 119 LnD Hf  (which has R2 of 0.51 for TS")</f>
        <v>-0.48986000000000002</v>
      </c>
      <c r="FM194" s="22"/>
      <c r="FN194" s="22"/>
      <c r="FO194" s="22">
        <f>3.94011-11.9214*BP194</f>
        <v>-4.299551952610039</v>
      </c>
      <c r="FP194" s="22">
        <f xml:space="preserve">  -0.49862 +   1.013256 * FQ194 + N("294 NN")</f>
        <v>-0.49862000000000001</v>
      </c>
      <c r="FQ194" s="46"/>
      <c r="FR194" s="46"/>
      <c r="FS194" s="46"/>
      <c r="FT194" s="46"/>
      <c r="FU194" s="46"/>
      <c r="FV194" s="46"/>
      <c r="FW194" s="46"/>
      <c r="FX194" s="46"/>
      <c r="FY194" s="46"/>
      <c r="FZ194" s="46"/>
      <c r="GA194" s="46"/>
      <c r="GB194" s="46"/>
      <c r="GC194" s="46"/>
      <c r="GD194" s="46"/>
      <c r="GE194" s="46"/>
      <c r="GF194" s="46"/>
      <c r="GG194" s="46"/>
      <c r="GH194" s="46"/>
    </row>
    <row r="195" spans="1:190" x14ac:dyDescent="0.25">
      <c r="A195" s="5" t="s">
        <v>91</v>
      </c>
      <c r="B195" s="1">
        <v>1457</v>
      </c>
      <c r="C195" s="98" t="s">
        <v>96</v>
      </c>
      <c r="D195" s="98" t="s">
        <v>104</v>
      </c>
      <c r="E195" s="1">
        <v>464</v>
      </c>
      <c r="F195" s="22">
        <v>50.24</v>
      </c>
      <c r="G195" s="22">
        <v>0.69199999999999995</v>
      </c>
      <c r="H195" s="22">
        <v>2.0299999999999998</v>
      </c>
      <c r="I195" s="22">
        <v>2.8000000000000001E-2</v>
      </c>
      <c r="J195" s="22">
        <v>11.64</v>
      </c>
      <c r="K195" s="22">
        <v>0.35699999999999998</v>
      </c>
      <c r="L195" s="22">
        <v>14.23</v>
      </c>
      <c r="M195" s="22">
        <v>18.62</v>
      </c>
      <c r="N195" s="22">
        <v>0.34499999999999997</v>
      </c>
      <c r="O195" s="22">
        <v>0</v>
      </c>
      <c r="P195" s="22">
        <v>0</v>
      </c>
      <c r="Q195" s="22"/>
      <c r="R195" s="22"/>
      <c r="S195" s="22">
        <f t="shared" si="634"/>
        <v>98.182000000000002</v>
      </c>
      <c r="T195" s="3"/>
      <c r="U195" s="22">
        <f t="shared" si="635"/>
        <v>9.5169842063104095</v>
      </c>
      <c r="V195" s="22">
        <f t="shared" si="636"/>
        <v>2.3593074515272408</v>
      </c>
      <c r="W195" s="22">
        <f t="shared" si="637"/>
        <v>98.418291657837656</v>
      </c>
      <c r="X195" s="1">
        <v>19</v>
      </c>
      <c r="Y195" s="1">
        <v>20</v>
      </c>
      <c r="Z195" s="1">
        <v>570</v>
      </c>
      <c r="AA195" s="1" t="s">
        <v>186</v>
      </c>
      <c r="AC195" s="1">
        <v>6</v>
      </c>
      <c r="AD195" s="1">
        <v>4</v>
      </c>
      <c r="AE195" s="1"/>
      <c r="AF195" s="26">
        <f t="shared" si="638"/>
        <v>1.9239812414428448</v>
      </c>
      <c r="AG195" s="26">
        <f t="shared" si="639"/>
        <v>1.9931921355917526E-2</v>
      </c>
      <c r="AH195" s="26">
        <f t="shared" si="640"/>
        <v>9.1617267231587626E-2</v>
      </c>
      <c r="AI195" s="26">
        <f t="shared" si="641"/>
        <v>8.4772333632953832E-4</v>
      </c>
      <c r="AJ195" s="26">
        <f t="shared" si="642"/>
        <v>0.37274114462291902</v>
      </c>
      <c r="AK195" s="26">
        <f t="shared" si="643"/>
        <v>1.1578656195949137E-2</v>
      </c>
      <c r="AL195" s="26">
        <f t="shared" si="644"/>
        <v>0.81242070033524405</v>
      </c>
      <c r="AM195" s="26">
        <f t="shared" si="645"/>
        <v>0.76392865082028494</v>
      </c>
      <c r="AN195" s="26">
        <f t="shared" si="646"/>
        <v>2.561407315240553E-2</v>
      </c>
      <c r="AO195" s="26">
        <f t="shared" si="647"/>
        <v>0</v>
      </c>
      <c r="AP195" s="26">
        <f t="shared" si="648"/>
        <v>0</v>
      </c>
      <c r="AQ195" s="26">
        <f t="shared" si="649"/>
        <v>0</v>
      </c>
      <c r="AR195" s="26">
        <f t="shared" si="650"/>
        <v>0</v>
      </c>
      <c r="AS195" s="26">
        <f t="shared" si="651"/>
        <v>4.0226613784934822</v>
      </c>
      <c r="AT195" s="26">
        <f t="shared" si="652"/>
        <v>2.0155985086744326</v>
      </c>
      <c r="AU195" s="26">
        <f t="shared" si="653"/>
        <v>0.78954272397269043</v>
      </c>
      <c r="AV195" s="47"/>
      <c r="AW195" s="26">
        <f t="shared" si="654"/>
        <v>1.9131426291351332</v>
      </c>
      <c r="AX195" s="26">
        <f t="shared" si="655"/>
        <v>1.9819636286047212E-2</v>
      </c>
      <c r="AY195" s="26">
        <f t="shared" si="656"/>
        <v>9.1101147833526089E-2</v>
      </c>
      <c r="AZ195" s="26">
        <f t="shared" si="657"/>
        <v>8.4294774684417248E-4</v>
      </c>
      <c r="BA195" s="26">
        <f t="shared" si="658"/>
        <v>0.30304018207628186</v>
      </c>
      <c r="BB195" s="26">
        <f t="shared" si="659"/>
        <v>6.7601151659359093E-2</v>
      </c>
      <c r="BC195" s="26">
        <f t="shared" si="660"/>
        <v>1.1513428654822976E-2</v>
      </c>
      <c r="BD195" s="26">
        <f t="shared" si="661"/>
        <v>0.80784398575403038</v>
      </c>
      <c r="BE195" s="26">
        <f t="shared" si="662"/>
        <v>0.75962511277186573</v>
      </c>
      <c r="BF195" s="26">
        <f t="shared" si="663"/>
        <v>2.5469778082089726E-2</v>
      </c>
      <c r="BG195" s="26">
        <f t="shared" si="664"/>
        <v>0</v>
      </c>
      <c r="BH195" s="26">
        <f t="shared" si="665"/>
        <v>0</v>
      </c>
      <c r="BI195" s="26">
        <f t="shared" si="666"/>
        <v>0</v>
      </c>
      <c r="BJ195" s="26">
        <f t="shared" si="667"/>
        <v>0</v>
      </c>
      <c r="BK195" s="25">
        <f t="shared" si="668"/>
        <v>4.0000000000000009</v>
      </c>
      <c r="BL195" s="24">
        <f t="shared" si="669"/>
        <v>6.0000000000000009</v>
      </c>
      <c r="BM195" s="26">
        <f t="shared" si="670"/>
        <v>2.0042437769686594</v>
      </c>
      <c r="BN195" s="26">
        <f t="shared" si="671"/>
        <v>0.78509489085395545</v>
      </c>
      <c r="BO195" s="22"/>
      <c r="BP195" s="23">
        <f t="shared" si="672"/>
        <v>0.6854934655476721</v>
      </c>
      <c r="BQ195" s="26">
        <f t="shared" si="673"/>
        <v>8.6857370864866779E-2</v>
      </c>
      <c r="BR195" s="26">
        <f t="shared" si="674"/>
        <v>4.2437769686593102E-3</v>
      </c>
      <c r="BS195" s="26"/>
      <c r="BT195" s="26">
        <f t="shared" si="675"/>
        <v>4.2437769686593102E-3</v>
      </c>
      <c r="BU195" s="26">
        <f t="shared" si="676"/>
        <v>0</v>
      </c>
      <c r="BV195" s="26">
        <f t="shared" si="677"/>
        <v>4.2437769686593102E-3</v>
      </c>
      <c r="BW195" s="26">
        <f t="shared" si="678"/>
        <v>4.2386166816476916E-4</v>
      </c>
      <c r="BX195" s="26">
        <f t="shared" si="679"/>
        <v>0.75926101218346087</v>
      </c>
      <c r="BY195" s="26">
        <f t="shared" si="680"/>
        <v>0.21295041638735113</v>
      </c>
      <c r="BZ195" s="26">
        <f t="shared" si="681"/>
        <v>0.98112284417629536</v>
      </c>
      <c r="CA195" s="22"/>
      <c r="CB195" s="22">
        <f t="shared" si="682"/>
        <v>2.5469778082089726E-2</v>
      </c>
      <c r="CC195" s="22">
        <f t="shared" si="683"/>
        <v>0</v>
      </c>
      <c r="CD195" s="22">
        <f t="shared" si="684"/>
        <v>4.2131373577269371E-2</v>
      </c>
      <c r="CE195" s="22">
        <f t="shared" si="685"/>
        <v>8.4294774684417248E-4</v>
      </c>
      <c r="CF195" s="22">
        <f t="shared" si="686"/>
        <v>4.2437769686593102E-3</v>
      </c>
      <c r="CG195" s="22">
        <f t="shared" si="687"/>
        <v>0.36893839628059127</v>
      </c>
      <c r="CH195" s="22">
        <f t="shared" si="688"/>
        <v>0.4589131216089935</v>
      </c>
      <c r="CI195" s="22">
        <f t="shared" si="689"/>
        <v>0.17214848211041528</v>
      </c>
      <c r="CJ195" s="22"/>
      <c r="CK195" s="22">
        <f t="shared" si="690"/>
        <v>0.38962649565379631</v>
      </c>
      <c r="CL195" s="22">
        <f t="shared" si="691"/>
        <v>0.41435889350181038</v>
      </c>
      <c r="CM195" s="22">
        <f t="shared" si="692"/>
        <v>0.19601461084439331</v>
      </c>
      <c r="CN195" s="1"/>
      <c r="CO195" s="26">
        <f t="shared" si="693"/>
        <v>0.83621837549933431</v>
      </c>
      <c r="CP195" s="26">
        <f t="shared" si="694"/>
        <v>8.6629944917376057E-3</v>
      </c>
      <c r="CQ195" s="26">
        <f t="shared" si="695"/>
        <v>3.9819537073362103E-2</v>
      </c>
      <c r="CR195" s="26">
        <f t="shared" si="696"/>
        <v>3.6844529245345085E-4</v>
      </c>
      <c r="CS195" s="26">
        <f t="shared" si="697"/>
        <v>0.16200417536534448</v>
      </c>
      <c r="CT195" s="26">
        <f t="shared" si="698"/>
        <v>5.0324217648717228E-3</v>
      </c>
      <c r="CU195" s="26">
        <f t="shared" si="699"/>
        <v>0.35310173697270475</v>
      </c>
      <c r="CV195" s="26">
        <f t="shared" si="700"/>
        <v>0.33202567760342372</v>
      </c>
      <c r="CW195" s="26">
        <f t="shared" si="701"/>
        <v>1.1132623426911906E-2</v>
      </c>
      <c r="CX195" s="26">
        <f t="shared" si="702"/>
        <v>0</v>
      </c>
      <c r="CY195" s="26">
        <f t="shared" si="703"/>
        <v>0</v>
      </c>
      <c r="CZ195" s="26">
        <f t="shared" si="704"/>
        <v>0</v>
      </c>
      <c r="DA195" s="26">
        <f t="shared" si="705"/>
        <v>0</v>
      </c>
      <c r="DB195" s="26">
        <f t="shared" si="706"/>
        <v>1.7483659874901438</v>
      </c>
      <c r="DC195" s="26">
        <f t="shared" si="707"/>
        <v>2.6077750369506676</v>
      </c>
      <c r="DD195" s="26">
        <f t="shared" si="708"/>
        <v>2.2878505007651033</v>
      </c>
      <c r="DE195" s="26">
        <f t="shared" si="709"/>
        <v>5.9661994241703207</v>
      </c>
      <c r="DF195" s="1"/>
      <c r="DG195" s="22"/>
      <c r="DH195" s="14"/>
      <c r="DI195" s="14"/>
      <c r="DJ195" s="14"/>
      <c r="DK195" s="14"/>
      <c r="DL195" s="14"/>
      <c r="DM195" s="96"/>
      <c r="DN195" s="14"/>
      <c r="DO195" s="96"/>
      <c r="DP195" s="22"/>
      <c r="DQ195" s="14"/>
      <c r="DR195" s="22"/>
      <c r="DS195" s="22"/>
      <c r="DT195" s="22"/>
      <c r="DU195" s="22"/>
      <c r="DV195" s="22"/>
      <c r="DW195" s="22"/>
      <c r="DX195" s="22"/>
      <c r="DY195" s="22"/>
      <c r="DZ195" s="22"/>
      <c r="EA195" s="22"/>
      <c r="EB195" s="22"/>
      <c r="EC195" s="22"/>
      <c r="ED195" s="22"/>
      <c r="EE195" s="22"/>
      <c r="EF195" s="22"/>
      <c r="EG195" s="22"/>
      <c r="EH195" s="22"/>
      <c r="EI195" s="22"/>
      <c r="EJ195" s="22"/>
      <c r="EK195" s="22"/>
      <c r="EL195" s="22"/>
      <c r="EM195" s="22"/>
      <c r="EN195" s="22"/>
      <c r="EO195" s="22"/>
      <c r="EP195" s="22"/>
      <c r="EQ195" s="22"/>
      <c r="ER195" s="22"/>
      <c r="ES195" s="22"/>
      <c r="ET195" s="22"/>
      <c r="EU195" s="22"/>
      <c r="EV195" s="22"/>
      <c r="EW195" s="22"/>
      <c r="EX195" s="22"/>
      <c r="EY195" s="22"/>
      <c r="EZ195" s="22"/>
      <c r="FA195" s="22"/>
      <c r="FB195" s="22"/>
      <c r="FC195" s="22"/>
      <c r="FD195" s="22"/>
      <c r="FE195" s="22"/>
      <c r="FF195" s="22"/>
      <c r="FG195" s="22"/>
      <c r="FH195" s="22"/>
      <c r="FI195" s="22"/>
      <c r="FJ195" s="22"/>
      <c r="FK195" s="22"/>
      <c r="FL195" s="22"/>
      <c r="FM195" s="22"/>
      <c r="FN195" s="22"/>
      <c r="FO195" s="22"/>
      <c r="FP195" s="22"/>
      <c r="FQ195" s="46"/>
      <c r="FR195" s="46"/>
      <c r="FS195" s="46"/>
      <c r="FT195" s="46"/>
      <c r="FU195" s="46"/>
      <c r="FV195" s="46"/>
      <c r="FW195" s="46"/>
      <c r="FX195" s="46"/>
      <c r="FY195" s="46"/>
      <c r="FZ195" s="46"/>
      <c r="GA195" s="46"/>
      <c r="GB195" s="46"/>
      <c r="GC195" s="46"/>
      <c r="GD195" s="46"/>
      <c r="GE195" s="46"/>
      <c r="GF195" s="46"/>
      <c r="GG195" s="46"/>
      <c r="GH195" s="46"/>
    </row>
    <row r="196" spans="1:190" x14ac:dyDescent="0.25">
      <c r="A196" s="5" t="s">
        <v>91</v>
      </c>
      <c r="B196" s="1">
        <v>1458</v>
      </c>
      <c r="C196" s="98" t="s">
        <v>96</v>
      </c>
      <c r="D196" s="98" t="s">
        <v>104</v>
      </c>
      <c r="E196" s="1">
        <v>465</v>
      </c>
      <c r="F196" s="22">
        <v>50.22</v>
      </c>
      <c r="G196" s="22">
        <v>0.74</v>
      </c>
      <c r="H196" s="22">
        <v>1.89</v>
      </c>
      <c r="I196" s="22">
        <v>0</v>
      </c>
      <c r="J196" s="22">
        <v>11.98</v>
      </c>
      <c r="K196" s="22">
        <v>0.45</v>
      </c>
      <c r="L196" s="22">
        <v>14.25</v>
      </c>
      <c r="M196" s="22">
        <v>18.22</v>
      </c>
      <c r="N196" s="22">
        <v>0.29399999999999998</v>
      </c>
      <c r="O196" s="22">
        <v>0</v>
      </c>
      <c r="P196" s="22">
        <v>0</v>
      </c>
      <c r="Q196" s="22"/>
      <c r="R196" s="22"/>
      <c r="S196" s="22">
        <f t="shared" si="634"/>
        <v>98.043999999999997</v>
      </c>
      <c r="T196" s="3"/>
      <c r="U196" s="22">
        <f t="shared" si="635"/>
        <v>10.155358442589543</v>
      </c>
      <c r="V196" s="22">
        <f t="shared" si="636"/>
        <v>2.0277241627502418</v>
      </c>
      <c r="W196" s="22">
        <f t="shared" si="637"/>
        <v>98.247082605339784</v>
      </c>
      <c r="X196" s="1">
        <v>19</v>
      </c>
      <c r="Y196" s="1">
        <v>21</v>
      </c>
      <c r="Z196" s="1">
        <v>600</v>
      </c>
      <c r="AA196" s="1" t="s">
        <v>186</v>
      </c>
      <c r="AC196" s="1">
        <v>6</v>
      </c>
      <c r="AD196" s="1">
        <v>4</v>
      </c>
      <c r="AE196" s="1"/>
      <c r="AF196" s="26">
        <f t="shared" si="638"/>
        <v>1.9273186915202776</v>
      </c>
      <c r="AG196" s="26">
        <f t="shared" si="639"/>
        <v>2.1359958887464593E-2</v>
      </c>
      <c r="AH196" s="26">
        <f t="shared" si="640"/>
        <v>8.5480828335143866E-2</v>
      </c>
      <c r="AI196" s="26">
        <f t="shared" si="641"/>
        <v>0</v>
      </c>
      <c r="AJ196" s="26">
        <f t="shared" si="642"/>
        <v>0.3844472817026735</v>
      </c>
      <c r="AK196" s="26">
        <f t="shared" si="643"/>
        <v>1.4626084513155432E-2</v>
      </c>
      <c r="AL196" s="26">
        <f t="shared" si="644"/>
        <v>0.81529835698518105</v>
      </c>
      <c r="AM196" s="26">
        <f t="shared" si="645"/>
        <v>0.74911262530980927</v>
      </c>
      <c r="AN196" s="26">
        <f t="shared" si="646"/>
        <v>2.1874216341959369E-2</v>
      </c>
      <c r="AO196" s="26">
        <f t="shared" si="647"/>
        <v>0</v>
      </c>
      <c r="AP196" s="26">
        <f t="shared" si="648"/>
        <v>0</v>
      </c>
      <c r="AQ196" s="26">
        <f t="shared" si="649"/>
        <v>0</v>
      </c>
      <c r="AR196" s="26">
        <f t="shared" si="650"/>
        <v>0</v>
      </c>
      <c r="AS196" s="26">
        <f t="shared" si="651"/>
        <v>4.0195180435956646</v>
      </c>
      <c r="AT196" s="26">
        <f t="shared" si="652"/>
        <v>2.0127995198554216</v>
      </c>
      <c r="AU196" s="26">
        <f t="shared" si="653"/>
        <v>0.77098684165176867</v>
      </c>
      <c r="AV196" s="47"/>
      <c r="AW196" s="26">
        <f t="shared" si="654"/>
        <v>1.9179599848704176</v>
      </c>
      <c r="AX196" s="26">
        <f t="shared" si="655"/>
        <v>2.1256238838382742E-2</v>
      </c>
      <c r="AY196" s="26">
        <f t="shared" si="656"/>
        <v>8.5065749085357412E-2</v>
      </c>
      <c r="AZ196" s="26">
        <f t="shared" si="657"/>
        <v>0</v>
      </c>
      <c r="BA196" s="26">
        <f t="shared" si="658"/>
        <v>0.32431067344994613</v>
      </c>
      <c r="BB196" s="26">
        <f t="shared" si="659"/>
        <v>5.8269802649885793E-2</v>
      </c>
      <c r="BC196" s="26">
        <f t="shared" si="660"/>
        <v>1.4555062924978591E-2</v>
      </c>
      <c r="BD196" s="26">
        <f t="shared" si="661"/>
        <v>0.81133941745498939</v>
      </c>
      <c r="BE196" s="26">
        <f t="shared" si="662"/>
        <v>0.7454750715731977</v>
      </c>
      <c r="BF196" s="26">
        <f t="shared" si="663"/>
        <v>2.1767999152845465E-2</v>
      </c>
      <c r="BG196" s="26">
        <f t="shared" si="664"/>
        <v>0</v>
      </c>
      <c r="BH196" s="26">
        <f t="shared" si="665"/>
        <v>0</v>
      </c>
      <c r="BI196" s="26">
        <f t="shared" si="666"/>
        <v>0</v>
      </c>
      <c r="BJ196" s="26">
        <f t="shared" si="667"/>
        <v>0</v>
      </c>
      <c r="BK196" s="25">
        <f t="shared" si="668"/>
        <v>4.0000000000000009</v>
      </c>
      <c r="BL196" s="24">
        <f t="shared" si="669"/>
        <v>6.0000000000000009</v>
      </c>
      <c r="BM196" s="26">
        <f t="shared" si="670"/>
        <v>2.0030257339557749</v>
      </c>
      <c r="BN196" s="26">
        <f t="shared" si="671"/>
        <v>0.76724307072604314</v>
      </c>
      <c r="BO196" s="22"/>
      <c r="BP196" s="23">
        <f t="shared" si="672"/>
        <v>0.67955934215927771</v>
      </c>
      <c r="BQ196" s="26">
        <f t="shared" si="673"/>
        <v>8.2040015129582367E-2</v>
      </c>
      <c r="BR196" s="26">
        <f t="shared" si="674"/>
        <v>3.0257339557750451E-3</v>
      </c>
      <c r="BS196" s="26"/>
      <c r="BT196" s="26">
        <f t="shared" si="675"/>
        <v>3.0257339557750451E-3</v>
      </c>
      <c r="BU196" s="26">
        <f t="shared" si="676"/>
        <v>0</v>
      </c>
      <c r="BV196" s="26">
        <f t="shared" si="677"/>
        <v>3.0257339557750451E-3</v>
      </c>
      <c r="BW196" s="26">
        <f t="shared" si="678"/>
        <v>0</v>
      </c>
      <c r="BX196" s="26">
        <f t="shared" si="679"/>
        <v>0.74608689135403417</v>
      </c>
      <c r="BY196" s="26">
        <f t="shared" si="680"/>
        <v>0.22682937366691025</v>
      </c>
      <c r="BZ196" s="26">
        <f t="shared" si="681"/>
        <v>0.97896773293249451</v>
      </c>
      <c r="CA196" s="22"/>
      <c r="CB196" s="22">
        <f t="shared" si="682"/>
        <v>2.1767999152845465E-2</v>
      </c>
      <c r="CC196" s="22">
        <f t="shared" si="683"/>
        <v>0</v>
      </c>
      <c r="CD196" s="22">
        <f t="shared" si="684"/>
        <v>3.6501803497040325E-2</v>
      </c>
      <c r="CE196" s="22">
        <f t="shared" si="685"/>
        <v>0</v>
      </c>
      <c r="CF196" s="22">
        <f t="shared" si="686"/>
        <v>3.0257339557750451E-3</v>
      </c>
      <c r="CG196" s="22">
        <f t="shared" si="687"/>
        <v>0.3638577666366139</v>
      </c>
      <c r="CH196" s="22">
        <f t="shared" si="688"/>
        <v>0.45447737218450179</v>
      </c>
      <c r="CI196" s="22">
        <f t="shared" si="689"/>
        <v>0.18166486117888439</v>
      </c>
      <c r="CJ196" s="22"/>
      <c r="CK196" s="22">
        <f t="shared" si="690"/>
        <v>0.38152207624062018</v>
      </c>
      <c r="CL196" s="22">
        <f t="shared" si="691"/>
        <v>0.41523038245939381</v>
      </c>
      <c r="CM196" s="22">
        <f t="shared" si="692"/>
        <v>0.20324754129998604</v>
      </c>
      <c r="CN196" s="1"/>
      <c r="CO196" s="26">
        <f t="shared" si="693"/>
        <v>0.83588548601864177</v>
      </c>
      <c r="CP196" s="26">
        <f t="shared" si="694"/>
        <v>9.2638958437656488E-3</v>
      </c>
      <c r="CQ196" s="26">
        <f t="shared" si="695"/>
        <v>3.7073362102785404E-2</v>
      </c>
      <c r="CR196" s="26">
        <f t="shared" si="696"/>
        <v>0</v>
      </c>
      <c r="CS196" s="26">
        <f t="shared" si="697"/>
        <v>0.16673625608907447</v>
      </c>
      <c r="CT196" s="26">
        <f t="shared" si="698"/>
        <v>6.3433887792500709E-3</v>
      </c>
      <c r="CU196" s="26">
        <f t="shared" si="699"/>
        <v>0.35359801488833748</v>
      </c>
      <c r="CV196" s="26">
        <f t="shared" si="700"/>
        <v>0.32489300998573467</v>
      </c>
      <c r="CW196" s="26">
        <f t="shared" si="701"/>
        <v>9.4869312681510158E-3</v>
      </c>
      <c r="CX196" s="26">
        <f t="shared" si="702"/>
        <v>0</v>
      </c>
      <c r="CY196" s="26">
        <f t="shared" si="703"/>
        <v>0</v>
      </c>
      <c r="CZ196" s="26">
        <f t="shared" si="704"/>
        <v>0</v>
      </c>
      <c r="DA196" s="26">
        <f t="shared" si="705"/>
        <v>0</v>
      </c>
      <c r="DB196" s="26">
        <f t="shared" si="706"/>
        <v>1.7432803449757404</v>
      </c>
      <c r="DC196" s="26">
        <f t="shared" si="707"/>
        <v>2.6022229422554655</v>
      </c>
      <c r="DD196" s="26">
        <f t="shared" si="708"/>
        <v>2.2945248086621803</v>
      </c>
      <c r="DE196" s="26">
        <f t="shared" si="709"/>
        <v>5.9708650986750582</v>
      </c>
      <c r="DF196" s="1"/>
      <c r="DG196" s="22"/>
      <c r="DH196" s="14"/>
      <c r="DI196" s="14"/>
      <c r="DJ196" s="14"/>
      <c r="DK196" s="14"/>
      <c r="DL196" s="14"/>
      <c r="DM196" s="96"/>
      <c r="DN196" s="14"/>
      <c r="DO196" s="96"/>
      <c r="DP196" s="22"/>
      <c r="DQ196" s="14"/>
      <c r="DR196" s="22"/>
      <c r="DS196" s="22"/>
      <c r="DT196" s="22"/>
      <c r="DU196" s="22"/>
      <c r="DV196" s="22"/>
      <c r="DW196" s="22"/>
      <c r="DX196" s="22"/>
      <c r="DY196" s="22"/>
      <c r="DZ196" s="22"/>
      <c r="EA196" s="22"/>
      <c r="EB196" s="22"/>
      <c r="EC196" s="22"/>
      <c r="ED196" s="22"/>
      <c r="EE196" s="22"/>
      <c r="EF196" s="22"/>
      <c r="EG196" s="22"/>
      <c r="EH196" s="22"/>
      <c r="EI196" s="22"/>
      <c r="EJ196" s="22"/>
      <c r="EK196" s="22"/>
      <c r="EL196" s="22"/>
      <c r="EM196" s="22"/>
      <c r="EN196" s="22"/>
      <c r="EO196" s="22"/>
      <c r="EP196" s="22"/>
      <c r="EQ196" s="22"/>
      <c r="ER196" s="22"/>
      <c r="ES196" s="22"/>
      <c r="ET196" s="22"/>
      <c r="EU196" s="22"/>
      <c r="EV196" s="22"/>
      <c r="EW196" s="22"/>
      <c r="EX196" s="22"/>
      <c r="EY196" s="22"/>
      <c r="EZ196" s="22"/>
      <c r="FA196" s="22"/>
      <c r="FB196" s="22"/>
      <c r="FC196" s="22"/>
      <c r="FD196" s="22"/>
      <c r="FE196" s="22"/>
      <c r="FF196" s="22"/>
      <c r="FG196" s="22"/>
      <c r="FH196" s="22"/>
      <c r="FI196" s="22"/>
      <c r="FJ196" s="22"/>
      <c r="FK196" s="22"/>
      <c r="FL196" s="22"/>
      <c r="FM196" s="22"/>
      <c r="FN196" s="22"/>
      <c r="FO196" s="22"/>
      <c r="FP196" s="22"/>
      <c r="FQ196" s="46"/>
      <c r="FR196" s="46"/>
      <c r="FS196" s="46"/>
      <c r="FT196" s="46"/>
      <c r="FU196" s="46"/>
      <c r="FV196" s="46"/>
      <c r="FW196" s="46"/>
      <c r="FX196" s="46"/>
      <c r="FY196" s="46"/>
      <c r="FZ196" s="46"/>
      <c r="GA196" s="46"/>
      <c r="GB196" s="46"/>
      <c r="GC196" s="46"/>
      <c r="GD196" s="46"/>
      <c r="GE196" s="46"/>
      <c r="GF196" s="46"/>
      <c r="GG196" s="46"/>
      <c r="GH196" s="46"/>
    </row>
    <row r="197" spans="1:190" x14ac:dyDescent="0.25">
      <c r="A197" s="5" t="s">
        <v>91</v>
      </c>
      <c r="B197" s="1">
        <v>1469</v>
      </c>
      <c r="C197" s="98" t="s">
        <v>96</v>
      </c>
      <c r="D197" s="98" t="s">
        <v>104</v>
      </c>
      <c r="E197" s="1">
        <v>476</v>
      </c>
      <c r="F197" s="22">
        <v>51.15</v>
      </c>
      <c r="G197" s="22">
        <v>0.63800000000000001</v>
      </c>
      <c r="H197" s="22">
        <v>2.06</v>
      </c>
      <c r="I197" s="22">
        <v>0</v>
      </c>
      <c r="J197" s="22">
        <v>8.99</v>
      </c>
      <c r="K197" s="22">
        <v>0.35399999999999998</v>
      </c>
      <c r="L197" s="22">
        <v>15.27</v>
      </c>
      <c r="M197" s="22">
        <v>19.73</v>
      </c>
      <c r="N197" s="22">
        <v>0.34100000000000003</v>
      </c>
      <c r="O197" s="22">
        <v>1.6E-2</v>
      </c>
      <c r="P197" s="22">
        <v>0</v>
      </c>
      <c r="Q197" s="22"/>
      <c r="R197" s="22"/>
      <c r="S197" s="22">
        <f t="shared" si="634"/>
        <v>98.549000000000007</v>
      </c>
      <c r="T197" s="3"/>
      <c r="U197" s="22">
        <f t="shared" si="635"/>
        <v>7.2531261167208774</v>
      </c>
      <c r="V197" s="22">
        <f t="shared" si="636"/>
        <v>1.93018794648809</v>
      </c>
      <c r="W197" s="22">
        <f t="shared" si="637"/>
        <v>98.742314063208966</v>
      </c>
      <c r="X197" s="1"/>
      <c r="Y197" s="1"/>
      <c r="Z197" s="1"/>
      <c r="AA197" s="1" t="s">
        <v>185</v>
      </c>
      <c r="AC197" s="1">
        <v>6</v>
      </c>
      <c r="AD197" s="1">
        <v>4</v>
      </c>
      <c r="AE197" s="1"/>
      <c r="AF197" s="26">
        <f t="shared" si="638"/>
        <v>1.9306593327169368</v>
      </c>
      <c r="AG197" s="26">
        <f t="shared" si="639"/>
        <v>1.8112256387696458E-2</v>
      </c>
      <c r="AH197" s="26">
        <f t="shared" si="640"/>
        <v>9.1634143296508735E-2</v>
      </c>
      <c r="AI197" s="26">
        <f t="shared" si="641"/>
        <v>0</v>
      </c>
      <c r="AJ197" s="26">
        <f t="shared" si="642"/>
        <v>0.28374149584187375</v>
      </c>
      <c r="AK197" s="26">
        <f t="shared" si="643"/>
        <v>1.131623642939493E-2</v>
      </c>
      <c r="AL197" s="26">
        <f t="shared" si="644"/>
        <v>0.85925867531932043</v>
      </c>
      <c r="AM197" s="26">
        <f t="shared" si="645"/>
        <v>0.79782752427445158</v>
      </c>
      <c r="AN197" s="26">
        <f t="shared" si="646"/>
        <v>2.4952998324111773E-2</v>
      </c>
      <c r="AO197" s="26">
        <f t="shared" si="647"/>
        <v>7.703516377475753E-4</v>
      </c>
      <c r="AP197" s="26">
        <f t="shared" si="648"/>
        <v>0</v>
      </c>
      <c r="AQ197" s="26">
        <f t="shared" si="649"/>
        <v>0</v>
      </c>
      <c r="AR197" s="26">
        <f t="shared" si="650"/>
        <v>0</v>
      </c>
      <c r="AS197" s="26">
        <f t="shared" si="651"/>
        <v>4.0182730142280425</v>
      </c>
      <c r="AT197" s="26">
        <f t="shared" si="652"/>
        <v>2.0222934760134454</v>
      </c>
      <c r="AU197" s="26">
        <f t="shared" si="653"/>
        <v>0.8235508742363109</v>
      </c>
      <c r="AV197" s="47"/>
      <c r="AW197" s="26">
        <f t="shared" si="654"/>
        <v>1.9218796989460807</v>
      </c>
      <c r="AX197" s="26">
        <f t="shared" si="655"/>
        <v>1.8029891272757177E-2</v>
      </c>
      <c r="AY197" s="26">
        <f t="shared" si="656"/>
        <v>9.1217438906761553E-2</v>
      </c>
      <c r="AZ197" s="26">
        <f t="shared" si="657"/>
        <v>0</v>
      </c>
      <c r="BA197" s="26">
        <f t="shared" si="658"/>
        <v>0.22788143299090935</v>
      </c>
      <c r="BB197" s="26">
        <f t="shared" si="659"/>
        <v>5.4569754210350485E-2</v>
      </c>
      <c r="BC197" s="26">
        <f t="shared" si="660"/>
        <v>1.126477607601674E-2</v>
      </c>
      <c r="BD197" s="26">
        <f t="shared" si="661"/>
        <v>0.85535121409304671</v>
      </c>
      <c r="BE197" s="26">
        <f t="shared" si="662"/>
        <v>0.79419941994929277</v>
      </c>
      <c r="BF197" s="26">
        <f t="shared" si="663"/>
        <v>2.483952507533194E-2</v>
      </c>
      <c r="BG197" s="26">
        <f t="shared" si="664"/>
        <v>7.6684847945362327E-4</v>
      </c>
      <c r="BH197" s="26">
        <f t="shared" si="665"/>
        <v>0</v>
      </c>
      <c r="BI197" s="26">
        <f t="shared" si="666"/>
        <v>0</v>
      </c>
      <c r="BJ197" s="26">
        <f t="shared" si="667"/>
        <v>0</v>
      </c>
      <c r="BK197" s="25">
        <f t="shared" si="668"/>
        <v>4.0000000000000018</v>
      </c>
      <c r="BL197" s="24">
        <f t="shared" si="669"/>
        <v>6.0000000000000027</v>
      </c>
      <c r="BM197" s="26">
        <f t="shared" si="670"/>
        <v>2.0130971378528422</v>
      </c>
      <c r="BN197" s="26">
        <f t="shared" si="671"/>
        <v>0.81980579350407834</v>
      </c>
      <c r="BO197" s="22"/>
      <c r="BP197" s="23">
        <f t="shared" si="672"/>
        <v>0.7517572586593616</v>
      </c>
      <c r="BQ197" s="26">
        <f t="shared" si="673"/>
        <v>7.8120301053919317E-2</v>
      </c>
      <c r="BR197" s="26">
        <f t="shared" si="674"/>
        <v>1.3097137852842236E-2</v>
      </c>
      <c r="BS197" s="26"/>
      <c r="BT197" s="26">
        <f t="shared" si="675"/>
        <v>1.3097137852842236E-2</v>
      </c>
      <c r="BU197" s="26">
        <f t="shared" si="676"/>
        <v>0</v>
      </c>
      <c r="BV197" s="26">
        <f t="shared" si="677"/>
        <v>1.3097137852842236E-2</v>
      </c>
      <c r="BW197" s="26">
        <f t="shared" si="678"/>
        <v>0</v>
      </c>
      <c r="BX197" s="26">
        <f t="shared" si="679"/>
        <v>0.78473038642160931</v>
      </c>
      <c r="BY197" s="26">
        <f t="shared" si="680"/>
        <v>0.17913489236979241</v>
      </c>
      <c r="BZ197" s="26">
        <f t="shared" si="681"/>
        <v>0.99005955449708616</v>
      </c>
      <c r="CA197" s="22"/>
      <c r="CB197" s="22">
        <f t="shared" si="682"/>
        <v>2.483952507533194E-2</v>
      </c>
      <c r="CC197" s="22">
        <f t="shared" si="683"/>
        <v>0</v>
      </c>
      <c r="CD197" s="22">
        <f t="shared" si="684"/>
        <v>2.9730229135018545E-2</v>
      </c>
      <c r="CE197" s="22">
        <f t="shared" si="685"/>
        <v>0</v>
      </c>
      <c r="CF197" s="22">
        <f t="shared" si="686"/>
        <v>1.3097137852842236E-2</v>
      </c>
      <c r="CG197" s="22">
        <f t="shared" si="687"/>
        <v>0.38810578901838194</v>
      </c>
      <c r="CH197" s="22">
        <f t="shared" si="688"/>
        <v>0.48316901975635246</v>
      </c>
      <c r="CI197" s="22">
        <f t="shared" si="689"/>
        <v>0.12872519122526568</v>
      </c>
      <c r="CJ197" s="22"/>
      <c r="CK197" s="22">
        <f t="shared" si="690"/>
        <v>0.40869298172713248</v>
      </c>
      <c r="CL197" s="22">
        <f t="shared" si="691"/>
        <v>0.44016153793455237</v>
      </c>
      <c r="CM197" s="22">
        <f t="shared" si="692"/>
        <v>0.15114548033831512</v>
      </c>
      <c r="CN197" s="1"/>
      <c r="CO197" s="26">
        <f t="shared" si="693"/>
        <v>0.85136484687083891</v>
      </c>
      <c r="CP197" s="26">
        <f t="shared" si="694"/>
        <v>7.9869804707060604E-3</v>
      </c>
      <c r="CQ197" s="26">
        <f t="shared" si="695"/>
        <v>4.0408003138485686E-2</v>
      </c>
      <c r="CR197" s="26">
        <f t="shared" si="696"/>
        <v>0</v>
      </c>
      <c r="CS197" s="26">
        <f t="shared" si="697"/>
        <v>0.12512178148921366</v>
      </c>
      <c r="CT197" s="26">
        <f t="shared" si="698"/>
        <v>4.9901325063433886E-3</v>
      </c>
      <c r="CU197" s="26">
        <f t="shared" si="699"/>
        <v>0.37890818858560793</v>
      </c>
      <c r="CV197" s="26">
        <f t="shared" si="700"/>
        <v>0.35181883024251071</v>
      </c>
      <c r="CW197" s="26">
        <f t="shared" si="701"/>
        <v>1.1003549532107132E-2</v>
      </c>
      <c r="CX197" s="26">
        <f t="shared" si="702"/>
        <v>3.3970276008492571E-4</v>
      </c>
      <c r="CY197" s="26">
        <f t="shared" si="703"/>
        <v>0</v>
      </c>
      <c r="CZ197" s="26">
        <f t="shared" si="704"/>
        <v>0</v>
      </c>
      <c r="DA197" s="26">
        <f t="shared" si="705"/>
        <v>0</v>
      </c>
      <c r="DB197" s="26">
        <f t="shared" si="706"/>
        <v>1.771942015595898</v>
      </c>
      <c r="DC197" s="26">
        <f t="shared" si="707"/>
        <v>2.6458262183605901</v>
      </c>
      <c r="DD197" s="26">
        <f t="shared" si="708"/>
        <v>2.2574102113916035</v>
      </c>
      <c r="DE197" s="26">
        <f t="shared" si="709"/>
        <v>5.9727151228948268</v>
      </c>
      <c r="DF197" s="1"/>
      <c r="DG197" s="22"/>
      <c r="DH197" s="14"/>
      <c r="DI197" s="14"/>
      <c r="DJ197" s="14"/>
      <c r="DK197" s="14"/>
      <c r="DL197" s="14"/>
      <c r="DM197" s="96"/>
      <c r="DN197" s="14"/>
      <c r="DO197" s="96"/>
      <c r="DP197" s="22"/>
      <c r="DQ197" s="14"/>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46"/>
      <c r="FR197" s="46"/>
      <c r="FS197" s="46"/>
      <c r="FT197" s="46"/>
      <c r="FU197" s="46"/>
      <c r="FV197" s="46"/>
      <c r="FW197" s="46"/>
      <c r="FX197" s="46"/>
      <c r="FY197" s="46"/>
      <c r="FZ197" s="46"/>
      <c r="GA197" s="46"/>
      <c r="GB197" s="46"/>
      <c r="GC197" s="46"/>
      <c r="GD197" s="46"/>
      <c r="GE197" s="46"/>
      <c r="GF197" s="46"/>
      <c r="GG197" s="46"/>
      <c r="GH197" s="46"/>
    </row>
    <row r="198" spans="1:190" x14ac:dyDescent="0.25">
      <c r="A198" s="5" t="s">
        <v>91</v>
      </c>
      <c r="B198" s="1">
        <v>1470</v>
      </c>
      <c r="C198" s="98" t="s">
        <v>96</v>
      </c>
      <c r="D198" s="98" t="s">
        <v>104</v>
      </c>
      <c r="E198" s="1">
        <v>477</v>
      </c>
      <c r="F198" s="22">
        <v>51.46</v>
      </c>
      <c r="G198" s="22">
        <v>0.35</v>
      </c>
      <c r="H198" s="22">
        <v>2.4500000000000002</v>
      </c>
      <c r="I198" s="22">
        <v>8.5999999999999993E-2</v>
      </c>
      <c r="J198" s="22">
        <v>7.1</v>
      </c>
      <c r="K198" s="22">
        <v>0.20399999999999999</v>
      </c>
      <c r="L198" s="22">
        <v>15.69</v>
      </c>
      <c r="M198" s="22">
        <v>20.29</v>
      </c>
      <c r="N198" s="22">
        <v>0.26200000000000001</v>
      </c>
      <c r="O198" s="22">
        <v>0</v>
      </c>
      <c r="P198" s="22">
        <v>0</v>
      </c>
      <c r="Q198" s="22"/>
      <c r="R198" s="22"/>
      <c r="S198" s="22">
        <f t="shared" si="634"/>
        <v>97.891999999999996</v>
      </c>
      <c r="T198" s="3"/>
      <c r="U198" s="22">
        <f t="shared" si="635"/>
        <v>6.4655851094912276</v>
      </c>
      <c r="V198" s="22">
        <f t="shared" si="636"/>
        <v>0.70502526782239794</v>
      </c>
      <c r="W198" s="22">
        <f t="shared" si="637"/>
        <v>97.962610377313624</v>
      </c>
      <c r="X198" s="1"/>
      <c r="Y198" s="1"/>
      <c r="Z198" s="1"/>
      <c r="AA198" s="1" t="s">
        <v>185</v>
      </c>
      <c r="AC198" s="1">
        <v>6</v>
      </c>
      <c r="AD198" s="1">
        <v>4</v>
      </c>
      <c r="AE198" s="1"/>
      <c r="AF198" s="26">
        <f t="shared" si="638"/>
        <v>1.937362675461737</v>
      </c>
      <c r="AG198" s="26">
        <f t="shared" si="639"/>
        <v>9.9106253481488753E-3</v>
      </c>
      <c r="AH198" s="26">
        <f t="shared" si="640"/>
        <v>0.10870194722775454</v>
      </c>
      <c r="AI198" s="26">
        <f t="shared" si="641"/>
        <v>2.5596730890818519E-3</v>
      </c>
      <c r="AJ198" s="26">
        <f t="shared" si="642"/>
        <v>0.22351292752567609</v>
      </c>
      <c r="AK198" s="26">
        <f t="shared" si="643"/>
        <v>6.5044421270799057E-3</v>
      </c>
      <c r="AL198" s="26">
        <f t="shared" si="644"/>
        <v>0.88062085867358919</v>
      </c>
      <c r="AM198" s="26">
        <f t="shared" si="645"/>
        <v>0.81836135492753115</v>
      </c>
      <c r="AN198" s="26">
        <f t="shared" si="646"/>
        <v>1.9122769302194687E-2</v>
      </c>
      <c r="AO198" s="26">
        <f t="shared" si="647"/>
        <v>0</v>
      </c>
      <c r="AP198" s="26">
        <f t="shared" si="648"/>
        <v>0</v>
      </c>
      <c r="AQ198" s="26">
        <f t="shared" si="649"/>
        <v>0</v>
      </c>
      <c r="AR198" s="26">
        <f t="shared" si="650"/>
        <v>0</v>
      </c>
      <c r="AS198" s="26">
        <f t="shared" si="651"/>
        <v>4.0066572736827935</v>
      </c>
      <c r="AT198" s="26">
        <f t="shared" si="652"/>
        <v>2.0460646226894914</v>
      </c>
      <c r="AU198" s="26">
        <f t="shared" si="653"/>
        <v>0.83748412422972585</v>
      </c>
      <c r="AV198" s="47"/>
      <c r="AW198" s="26">
        <f t="shared" si="654"/>
        <v>1.9341436445658096</v>
      </c>
      <c r="AX198" s="26">
        <f t="shared" si="655"/>
        <v>9.8941583182025842E-3</v>
      </c>
      <c r="AY198" s="26">
        <f t="shared" si="656"/>
        <v>0.10852133317391445</v>
      </c>
      <c r="AZ198" s="26">
        <f t="shared" si="657"/>
        <v>2.5554200564093478E-3</v>
      </c>
      <c r="BA198" s="26">
        <f t="shared" si="658"/>
        <v>0.20320291212750288</v>
      </c>
      <c r="BB198" s="26">
        <f t="shared" si="659"/>
        <v>1.9938636807856902E-2</v>
      </c>
      <c r="BC198" s="26">
        <f t="shared" si="660"/>
        <v>6.4936346513124413E-3</v>
      </c>
      <c r="BD198" s="26">
        <f t="shared" si="661"/>
        <v>0.87915766038471277</v>
      </c>
      <c r="BE198" s="26">
        <f t="shared" si="662"/>
        <v>0.81700160410807399</v>
      </c>
      <c r="BF198" s="26">
        <f t="shared" si="663"/>
        <v>1.9090995806204943E-2</v>
      </c>
      <c r="BG198" s="26">
        <f t="shared" si="664"/>
        <v>0</v>
      </c>
      <c r="BH198" s="26">
        <f t="shared" si="665"/>
        <v>0</v>
      </c>
      <c r="BI198" s="26">
        <f t="shared" si="666"/>
        <v>0</v>
      </c>
      <c r="BJ198" s="26">
        <f t="shared" si="667"/>
        <v>0</v>
      </c>
      <c r="BK198" s="25">
        <f t="shared" si="668"/>
        <v>4</v>
      </c>
      <c r="BL198" s="24">
        <f t="shared" si="669"/>
        <v>6</v>
      </c>
      <c r="BM198" s="26">
        <f t="shared" si="670"/>
        <v>2.0426649777397241</v>
      </c>
      <c r="BN198" s="26">
        <f t="shared" si="671"/>
        <v>0.83609259991427898</v>
      </c>
      <c r="BO198" s="22"/>
      <c r="BP198" s="23">
        <f t="shared" si="672"/>
        <v>0.79756716955916218</v>
      </c>
      <c r="BQ198" s="26">
        <f t="shared" si="673"/>
        <v>6.5856355434190439E-2</v>
      </c>
      <c r="BR198" s="26">
        <f t="shared" si="674"/>
        <v>4.2664977739724011E-2</v>
      </c>
      <c r="BS198" s="26"/>
      <c r="BT198" s="26">
        <f t="shared" si="675"/>
        <v>1.9122769302194687E-2</v>
      </c>
      <c r="BU198" s="26">
        <f t="shared" si="676"/>
        <v>2.3573981933519068E-2</v>
      </c>
      <c r="BV198" s="26">
        <f t="shared" si="677"/>
        <v>3.0877986772964477E-2</v>
      </c>
      <c r="BW198" s="26">
        <f t="shared" si="678"/>
        <v>1.2798365445409259E-3</v>
      </c>
      <c r="BX198" s="26">
        <f t="shared" si="679"/>
        <v>0.76262954967650665</v>
      </c>
      <c r="BY198" s="26">
        <f t="shared" si="680"/>
        <v>0.17075211826137932</v>
      </c>
      <c r="BZ198" s="26">
        <f t="shared" si="681"/>
        <v>1.0082362424911051</v>
      </c>
      <c r="CA198" s="22"/>
      <c r="CB198" s="22">
        <f t="shared" si="682"/>
        <v>1.9090995806204943E-2</v>
      </c>
      <c r="CC198" s="22">
        <f t="shared" si="683"/>
        <v>0</v>
      </c>
      <c r="CD198" s="22">
        <f t="shared" si="684"/>
        <v>8.4764100165195949E-4</v>
      </c>
      <c r="CE198" s="22">
        <f t="shared" si="685"/>
        <v>2.5554200564093478E-3</v>
      </c>
      <c r="CF198" s="22">
        <f t="shared" si="686"/>
        <v>4.2664977739724011E-2</v>
      </c>
      <c r="CG198" s="22">
        <f t="shared" si="687"/>
        <v>0.39501228055824683</v>
      </c>
      <c r="CH198" s="22">
        <f t="shared" si="688"/>
        <v>0.49140702414110882</v>
      </c>
      <c r="CI198" s="22">
        <f t="shared" si="689"/>
        <v>0.11358069530064435</v>
      </c>
      <c r="CJ198" s="22"/>
      <c r="CK198" s="22">
        <f t="shared" si="690"/>
        <v>0.42424133319256724</v>
      </c>
      <c r="CL198" s="22">
        <f t="shared" si="691"/>
        <v>0.45651687347082764</v>
      </c>
      <c r="CM198" s="22">
        <f t="shared" si="692"/>
        <v>0.11924179333660505</v>
      </c>
      <c r="CN198" s="1"/>
      <c r="CO198" s="26">
        <f t="shared" si="693"/>
        <v>0.85652463382157129</v>
      </c>
      <c r="CP198" s="26">
        <f t="shared" si="694"/>
        <v>4.3815723585378065E-3</v>
      </c>
      <c r="CQ198" s="26">
        <f t="shared" si="695"/>
        <v>4.8058061985092201E-2</v>
      </c>
      <c r="CR198" s="26">
        <f t="shared" si="696"/>
        <v>1.1316533982498847E-3</v>
      </c>
      <c r="CS198" s="26">
        <f t="shared" si="697"/>
        <v>9.8816979819067507E-2</v>
      </c>
      <c r="CT198" s="26">
        <f t="shared" si="698"/>
        <v>2.8756695799266986E-3</v>
      </c>
      <c r="CU198" s="26">
        <f t="shared" si="699"/>
        <v>0.38933002481389578</v>
      </c>
      <c r="CV198" s="26">
        <f t="shared" si="700"/>
        <v>0.36180456490727531</v>
      </c>
      <c r="CW198" s="26">
        <f t="shared" si="701"/>
        <v>8.4543401097128112E-3</v>
      </c>
      <c r="CX198" s="26">
        <f t="shared" si="702"/>
        <v>0</v>
      </c>
      <c r="CY198" s="26">
        <f t="shared" si="703"/>
        <v>0</v>
      </c>
      <c r="CZ198" s="26">
        <f t="shared" si="704"/>
        <v>0</v>
      </c>
      <c r="DA198" s="26">
        <f t="shared" si="705"/>
        <v>0</v>
      </c>
      <c r="DB198" s="26">
        <f t="shared" si="706"/>
        <v>1.7713775007933292</v>
      </c>
      <c r="DC198" s="26">
        <f t="shared" si="707"/>
        <v>2.652651394610253</v>
      </c>
      <c r="DD198" s="26">
        <f t="shared" si="708"/>
        <v>2.258129618451493</v>
      </c>
      <c r="DE198" s="26">
        <f t="shared" si="709"/>
        <v>5.9900306815960711</v>
      </c>
      <c r="DF198" s="1"/>
      <c r="DG198" s="22"/>
      <c r="DH198" s="14"/>
      <c r="DI198" s="14"/>
      <c r="DJ198" s="14"/>
      <c r="DK198" s="14"/>
      <c r="DL198" s="14"/>
      <c r="DM198" s="96"/>
      <c r="DN198" s="14"/>
      <c r="DO198" s="96"/>
      <c r="DP198" s="22"/>
      <c r="DQ198" s="14"/>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46"/>
      <c r="FR198" s="46"/>
      <c r="FS198" s="46"/>
      <c r="FT198" s="46"/>
      <c r="FU198" s="46"/>
      <c r="FV198" s="46"/>
      <c r="FW198" s="46"/>
      <c r="FX198" s="46"/>
      <c r="FY198" s="46"/>
      <c r="FZ198" s="46"/>
      <c r="GA198" s="46"/>
      <c r="GB198" s="46"/>
      <c r="GC198" s="46"/>
      <c r="GD198" s="46"/>
      <c r="GE198" s="46"/>
      <c r="GF198" s="46"/>
      <c r="GG198" s="46"/>
      <c r="GH198" s="46"/>
    </row>
    <row r="199" spans="1:190" x14ac:dyDescent="0.25">
      <c r="A199" s="5" t="s">
        <v>91</v>
      </c>
      <c r="B199" s="1">
        <v>1471</v>
      </c>
      <c r="C199" s="98" t="s">
        <v>96</v>
      </c>
      <c r="D199" s="98" t="s">
        <v>104</v>
      </c>
      <c r="E199" s="1">
        <v>478</v>
      </c>
      <c r="F199" s="22">
        <v>51.02</v>
      </c>
      <c r="G199" s="22">
        <v>0.71099999999999997</v>
      </c>
      <c r="H199" s="22">
        <v>2.72</v>
      </c>
      <c r="I199" s="22">
        <v>4.5999999999999999E-2</v>
      </c>
      <c r="J199" s="22">
        <v>7.18</v>
      </c>
      <c r="K199" s="22">
        <v>0.155</v>
      </c>
      <c r="L199" s="22">
        <v>15.79</v>
      </c>
      <c r="M199" s="22">
        <v>20.3</v>
      </c>
      <c r="N199" s="22">
        <v>0.28499999999999998</v>
      </c>
      <c r="O199" s="22">
        <v>0</v>
      </c>
      <c r="P199" s="22">
        <v>0</v>
      </c>
      <c r="Q199" s="22"/>
      <c r="R199" s="22"/>
      <c r="S199" s="22">
        <f t="shared" si="634"/>
        <v>98.206999999999994</v>
      </c>
      <c r="T199" s="3"/>
      <c r="U199" s="22">
        <f t="shared" si="635"/>
        <v>6.0159750291629059</v>
      </c>
      <c r="V199" s="22">
        <f t="shared" si="636"/>
        <v>1.2935809500912621</v>
      </c>
      <c r="W199" s="22">
        <f t="shared" si="637"/>
        <v>98.336555979254157</v>
      </c>
      <c r="X199" s="1"/>
      <c r="Y199" s="1"/>
      <c r="Z199" s="1"/>
      <c r="AA199" s="1" t="s">
        <v>185</v>
      </c>
      <c r="AC199" s="1">
        <v>6</v>
      </c>
      <c r="AD199" s="1">
        <v>4</v>
      </c>
      <c r="AE199" s="1"/>
      <c r="AF199" s="26">
        <f t="shared" si="638"/>
        <v>1.9171840980209001</v>
      </c>
      <c r="AG199" s="26">
        <f t="shared" si="639"/>
        <v>2.0094852945104404E-2</v>
      </c>
      <c r="AH199" s="26">
        <f t="shared" si="640"/>
        <v>0.12045431458610767</v>
      </c>
      <c r="AI199" s="26">
        <f t="shared" si="641"/>
        <v>1.3665518051187062E-3</v>
      </c>
      <c r="AJ199" s="26">
        <f t="shared" si="642"/>
        <v>0.22560616314404161</v>
      </c>
      <c r="AK199" s="26">
        <f t="shared" si="643"/>
        <v>4.9328033447277528E-3</v>
      </c>
      <c r="AL199" s="26">
        <f t="shared" si="644"/>
        <v>0.88456626332378807</v>
      </c>
      <c r="AM199" s="26">
        <f t="shared" si="645"/>
        <v>0.81722439214511911</v>
      </c>
      <c r="AN199" s="26">
        <f t="shared" si="646"/>
        <v>2.0762353046949848E-2</v>
      </c>
      <c r="AO199" s="26">
        <f t="shared" si="647"/>
        <v>0</v>
      </c>
      <c r="AP199" s="26">
        <f t="shared" si="648"/>
        <v>0</v>
      </c>
      <c r="AQ199" s="26">
        <f t="shared" si="649"/>
        <v>0</v>
      </c>
      <c r="AR199" s="26">
        <f t="shared" si="650"/>
        <v>0</v>
      </c>
      <c r="AS199" s="26">
        <f t="shared" si="651"/>
        <v>4.0121917923618575</v>
      </c>
      <c r="AT199" s="26">
        <f t="shared" si="652"/>
        <v>2.0376384126070075</v>
      </c>
      <c r="AU199" s="26">
        <f t="shared" si="653"/>
        <v>0.83798674519206895</v>
      </c>
      <c r="AV199" s="47"/>
      <c r="AW199" s="26">
        <f t="shared" si="654"/>
        <v>1.9113583769058171</v>
      </c>
      <c r="AX199" s="26">
        <f t="shared" si="655"/>
        <v>2.0033790990111332E-2</v>
      </c>
      <c r="AY199" s="26">
        <f t="shared" si="656"/>
        <v>0.12008829170671308</v>
      </c>
      <c r="AZ199" s="26">
        <f t="shared" si="657"/>
        <v>1.3623992828261662E-3</v>
      </c>
      <c r="BA199" s="26">
        <f t="shared" si="658"/>
        <v>0.18845638079249666</v>
      </c>
      <c r="BB199" s="26">
        <f t="shared" si="659"/>
        <v>3.6464235987125448E-2</v>
      </c>
      <c r="BC199" s="26">
        <f t="shared" si="660"/>
        <v>4.9178141026244007E-3</v>
      </c>
      <c r="BD199" s="26">
        <f t="shared" si="661"/>
        <v>0.88187834390944742</v>
      </c>
      <c r="BE199" s="26">
        <f t="shared" si="662"/>
        <v>0.81474110355431795</v>
      </c>
      <c r="BF199" s="26">
        <f t="shared" si="663"/>
        <v>2.0699262768520518E-2</v>
      </c>
      <c r="BG199" s="26">
        <f t="shared" si="664"/>
        <v>0</v>
      </c>
      <c r="BH199" s="26">
        <f t="shared" si="665"/>
        <v>0</v>
      </c>
      <c r="BI199" s="26">
        <f t="shared" si="666"/>
        <v>0</v>
      </c>
      <c r="BJ199" s="26">
        <f t="shared" si="667"/>
        <v>0</v>
      </c>
      <c r="BK199" s="25">
        <f t="shared" si="668"/>
        <v>4</v>
      </c>
      <c r="BL199" s="24">
        <f t="shared" si="669"/>
        <v>6</v>
      </c>
      <c r="BM199" s="26">
        <f t="shared" si="670"/>
        <v>2.0314466686125301</v>
      </c>
      <c r="BN199" s="26">
        <f t="shared" si="671"/>
        <v>0.83544036632283847</v>
      </c>
      <c r="BO199" s="22"/>
      <c r="BP199" s="23">
        <f t="shared" si="672"/>
        <v>0.79678277196827929</v>
      </c>
      <c r="BQ199" s="26">
        <f t="shared" si="673"/>
        <v>8.8641623094182886E-2</v>
      </c>
      <c r="BR199" s="26">
        <f t="shared" si="674"/>
        <v>3.144666861253019E-2</v>
      </c>
      <c r="BS199" s="26"/>
      <c r="BT199" s="26">
        <f t="shared" si="675"/>
        <v>2.0762353046949848E-2</v>
      </c>
      <c r="BU199" s="26">
        <f t="shared" si="676"/>
        <v>1.0747405844009673E-2</v>
      </c>
      <c r="BV199" s="26">
        <f t="shared" si="677"/>
        <v>2.6072965690525356E-2</v>
      </c>
      <c r="BW199" s="26">
        <f t="shared" si="678"/>
        <v>6.8327590255935311E-4</v>
      </c>
      <c r="BX199" s="26">
        <f t="shared" si="679"/>
        <v>0.77972074470802477</v>
      </c>
      <c r="BY199" s="26">
        <f t="shared" si="680"/>
        <v>0.16522584087990244</v>
      </c>
      <c r="BZ199" s="26">
        <f t="shared" si="681"/>
        <v>1.0032125860719714</v>
      </c>
      <c r="CA199" s="22"/>
      <c r="CB199" s="22">
        <f t="shared" si="682"/>
        <v>2.0699262768520518E-2</v>
      </c>
      <c r="CC199" s="22">
        <f t="shared" si="683"/>
        <v>0</v>
      </c>
      <c r="CD199" s="22">
        <f t="shared" si="684"/>
        <v>1.5764973218604931E-2</v>
      </c>
      <c r="CE199" s="22">
        <f t="shared" si="685"/>
        <v>1.3623992828261662E-3</v>
      </c>
      <c r="CF199" s="22">
        <f t="shared" si="686"/>
        <v>3.144666861253019E-2</v>
      </c>
      <c r="CG199" s="22">
        <f t="shared" si="687"/>
        <v>0.39343316260443861</v>
      </c>
      <c r="CH199" s="22">
        <f t="shared" si="688"/>
        <v>0.49976717160302098</v>
      </c>
      <c r="CI199" s="22">
        <f t="shared" si="689"/>
        <v>0.10679966579254035</v>
      </c>
      <c r="CJ199" s="22"/>
      <c r="CK199" s="22">
        <f t="shared" si="690"/>
        <v>0.42292183634652092</v>
      </c>
      <c r="CL199" s="22">
        <f t="shared" si="691"/>
        <v>0.45777193149252599</v>
      </c>
      <c r="CM199" s="22">
        <f t="shared" si="692"/>
        <v>0.11930623216095314</v>
      </c>
      <c r="CN199" s="1"/>
      <c r="CO199" s="26">
        <f t="shared" si="693"/>
        <v>0.84920106524633832</v>
      </c>
      <c r="CP199" s="26">
        <f t="shared" si="694"/>
        <v>8.9008512769153739E-3</v>
      </c>
      <c r="CQ199" s="26">
        <f t="shared" si="695"/>
        <v>5.3354256571204399E-2</v>
      </c>
      <c r="CR199" s="26">
        <f t="shared" si="696"/>
        <v>6.0530298045924065E-4</v>
      </c>
      <c r="CS199" s="26">
        <f t="shared" si="697"/>
        <v>9.9930410577592207E-2</v>
      </c>
      <c r="CT199" s="26">
        <f t="shared" si="698"/>
        <v>2.1849450239639131E-3</v>
      </c>
      <c r="CU199" s="26">
        <f t="shared" si="699"/>
        <v>0.39181141439205958</v>
      </c>
      <c r="CV199" s="26">
        <f t="shared" si="700"/>
        <v>0.36198288159771758</v>
      </c>
      <c r="CW199" s="26">
        <f t="shared" si="701"/>
        <v>9.1965150048402711E-3</v>
      </c>
      <c r="CX199" s="26">
        <f t="shared" si="702"/>
        <v>0</v>
      </c>
      <c r="CY199" s="26">
        <f t="shared" si="703"/>
        <v>0</v>
      </c>
      <c r="CZ199" s="26">
        <f t="shared" si="704"/>
        <v>0</v>
      </c>
      <c r="DA199" s="26">
        <f t="shared" si="705"/>
        <v>0</v>
      </c>
      <c r="DB199" s="26">
        <f t="shared" si="706"/>
        <v>1.7771676426710907</v>
      </c>
      <c r="DC199" s="26">
        <f t="shared" si="707"/>
        <v>2.6576510814677565</v>
      </c>
      <c r="DD199" s="26">
        <f t="shared" si="708"/>
        <v>2.2507724673559677</v>
      </c>
      <c r="DE199" s="26">
        <f t="shared" si="709"/>
        <v>5.9817678820064382</v>
      </c>
      <c r="DF199" s="1"/>
      <c r="DG199" s="22"/>
      <c r="DH199" s="14"/>
      <c r="DI199" s="14"/>
      <c r="DJ199" s="14"/>
      <c r="DK199" s="14"/>
      <c r="DL199" s="14"/>
      <c r="DM199" s="96"/>
      <c r="DN199" s="14"/>
      <c r="DO199" s="96"/>
      <c r="DP199" s="22"/>
      <c r="DQ199" s="14"/>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46"/>
      <c r="FR199" s="46"/>
      <c r="FS199" s="46"/>
      <c r="FT199" s="46"/>
      <c r="FU199" s="46"/>
      <c r="FV199" s="46"/>
      <c r="FW199" s="46"/>
      <c r="FX199" s="46"/>
      <c r="FY199" s="46"/>
      <c r="FZ199" s="46"/>
      <c r="GA199" s="46"/>
      <c r="GB199" s="46"/>
      <c r="GC199" s="46"/>
      <c r="GD199" s="46"/>
      <c r="GE199" s="46"/>
      <c r="GF199" s="46"/>
      <c r="GG199" s="46"/>
      <c r="GH199" s="46"/>
    </row>
    <row r="200" spans="1:190" x14ac:dyDescent="0.25">
      <c r="A200" s="5" t="s">
        <v>91</v>
      </c>
      <c r="B200" s="1">
        <v>1472</v>
      </c>
      <c r="C200" s="98" t="s">
        <v>96</v>
      </c>
      <c r="D200" s="98" t="s">
        <v>104</v>
      </c>
      <c r="E200" s="1">
        <v>479</v>
      </c>
      <c r="F200" s="22">
        <v>50.86</v>
      </c>
      <c r="G200" s="22">
        <v>0.61299999999999999</v>
      </c>
      <c r="H200" s="22">
        <v>2.4300000000000002</v>
      </c>
      <c r="I200" s="22">
        <v>1.7999999999999999E-2</v>
      </c>
      <c r="J200" s="22">
        <v>9.35</v>
      </c>
      <c r="K200" s="22">
        <v>0.27200000000000002</v>
      </c>
      <c r="L200" s="22">
        <v>15.46</v>
      </c>
      <c r="M200" s="22">
        <v>19.12</v>
      </c>
      <c r="N200" s="22">
        <v>0.31900000000000001</v>
      </c>
      <c r="O200" s="22">
        <v>0</v>
      </c>
      <c r="P200" s="22">
        <v>0</v>
      </c>
      <c r="Q200" s="22"/>
      <c r="R200" s="22"/>
      <c r="S200" s="22">
        <f t="shared" si="634"/>
        <v>98.442000000000007</v>
      </c>
      <c r="T200" s="3"/>
      <c r="U200" s="22">
        <f t="shared" si="635"/>
        <v>7.5604958008642074</v>
      </c>
      <c r="V200" s="22">
        <f t="shared" si="636"/>
        <v>1.9886760164996053</v>
      </c>
      <c r="W200" s="22">
        <f t="shared" si="637"/>
        <v>98.641171817363826</v>
      </c>
      <c r="X200" s="1"/>
      <c r="Y200" s="1"/>
      <c r="Z200" s="1"/>
      <c r="AA200" s="1" t="s">
        <v>185</v>
      </c>
      <c r="AC200" s="1">
        <v>6</v>
      </c>
      <c r="AD200" s="1">
        <v>4</v>
      </c>
      <c r="AE200" s="1"/>
      <c r="AF200" s="26">
        <f t="shared" si="638"/>
        <v>1.9210715938221297</v>
      </c>
      <c r="AG200" s="26">
        <f t="shared" si="639"/>
        <v>1.7414841927593259E-2</v>
      </c>
      <c r="AH200" s="26">
        <f t="shared" si="640"/>
        <v>0.10816918584385661</v>
      </c>
      <c r="AI200" s="26">
        <f t="shared" si="641"/>
        <v>5.3750759375688058E-4</v>
      </c>
      <c r="AJ200" s="26">
        <f t="shared" si="642"/>
        <v>0.29531258613131622</v>
      </c>
      <c r="AK200" s="26">
        <f t="shared" si="643"/>
        <v>8.7011135919358527E-3</v>
      </c>
      <c r="AL200" s="26">
        <f t="shared" si="644"/>
        <v>0.87056571963549367</v>
      </c>
      <c r="AM200" s="26">
        <f t="shared" si="645"/>
        <v>0.77370784683986693</v>
      </c>
      <c r="AN200" s="26">
        <f t="shared" si="646"/>
        <v>2.3359644291043299E-2</v>
      </c>
      <c r="AO200" s="26">
        <f t="shared" si="647"/>
        <v>0</v>
      </c>
      <c r="AP200" s="26">
        <f t="shared" si="648"/>
        <v>0</v>
      </c>
      <c r="AQ200" s="26">
        <f t="shared" si="649"/>
        <v>0</v>
      </c>
      <c r="AR200" s="26">
        <f t="shared" si="650"/>
        <v>0</v>
      </c>
      <c r="AS200" s="26">
        <f t="shared" si="651"/>
        <v>4.0188400396769923</v>
      </c>
      <c r="AT200" s="26">
        <f t="shared" si="652"/>
        <v>2.0292407796659861</v>
      </c>
      <c r="AU200" s="26">
        <f t="shared" si="653"/>
        <v>0.79706749113091024</v>
      </c>
      <c r="AV200" s="47"/>
      <c r="AW200" s="26">
        <f t="shared" si="654"/>
        <v>1.9120657451960019</v>
      </c>
      <c r="AX200" s="26">
        <f t="shared" si="655"/>
        <v>1.7333202372486513E-2</v>
      </c>
      <c r="AY200" s="26">
        <f t="shared" si="656"/>
        <v>0.10766209630234552</v>
      </c>
      <c r="AZ200" s="26">
        <f t="shared" si="657"/>
        <v>5.3498779593136715E-4</v>
      </c>
      <c r="BA200" s="26">
        <f t="shared" si="658"/>
        <v>0.23767302479601171</v>
      </c>
      <c r="BB200" s="26">
        <f t="shared" si="659"/>
        <v>5.6255156684982488E-2</v>
      </c>
      <c r="BC200" s="26">
        <f t="shared" si="660"/>
        <v>8.6603233828985039E-3</v>
      </c>
      <c r="BD200" s="26">
        <f t="shared" si="661"/>
        <v>0.86648456872193791</v>
      </c>
      <c r="BE200" s="26">
        <f t="shared" si="662"/>
        <v>0.77008075882716887</v>
      </c>
      <c r="BF200" s="26">
        <f t="shared" si="663"/>
        <v>2.3250135920235122E-2</v>
      </c>
      <c r="BG200" s="26">
        <f t="shared" si="664"/>
        <v>0</v>
      </c>
      <c r="BH200" s="26">
        <f t="shared" si="665"/>
        <v>0</v>
      </c>
      <c r="BI200" s="26">
        <f t="shared" si="666"/>
        <v>0</v>
      </c>
      <c r="BJ200" s="26">
        <f t="shared" si="667"/>
        <v>0</v>
      </c>
      <c r="BK200" s="25">
        <f t="shared" si="668"/>
        <v>4</v>
      </c>
      <c r="BL200" s="24">
        <f t="shared" si="669"/>
        <v>6.0000000000000009</v>
      </c>
      <c r="BM200" s="26">
        <f t="shared" si="670"/>
        <v>2.0197278414983475</v>
      </c>
      <c r="BN200" s="26">
        <f t="shared" si="671"/>
        <v>0.79333089474740404</v>
      </c>
      <c r="BO200" s="22"/>
      <c r="BP200" s="23">
        <f t="shared" si="672"/>
        <v>0.74670376430318242</v>
      </c>
      <c r="BQ200" s="26">
        <f t="shared" si="673"/>
        <v>8.793425480399808E-2</v>
      </c>
      <c r="BR200" s="26">
        <f t="shared" si="674"/>
        <v>1.9727841498347443E-2</v>
      </c>
      <c r="BS200" s="26"/>
      <c r="BT200" s="26">
        <f t="shared" si="675"/>
        <v>1.9727841498347443E-2</v>
      </c>
      <c r="BU200" s="26">
        <f t="shared" si="676"/>
        <v>0</v>
      </c>
      <c r="BV200" s="26">
        <f t="shared" si="677"/>
        <v>1.9727841498347443E-2</v>
      </c>
      <c r="BW200" s="26">
        <f t="shared" si="678"/>
        <v>2.6875379687844029E-4</v>
      </c>
      <c r="BX200" s="26">
        <f t="shared" si="679"/>
        <v>0.75371125154464114</v>
      </c>
      <c r="BY200" s="26">
        <f t="shared" si="680"/>
        <v>0.20608352711108435</v>
      </c>
      <c r="BZ200" s="26">
        <f t="shared" si="681"/>
        <v>0.99951921544929878</v>
      </c>
      <c r="CA200" s="22"/>
      <c r="CB200" s="22">
        <f t="shared" si="682"/>
        <v>2.3250135920235122E-2</v>
      </c>
      <c r="CC200" s="22">
        <f t="shared" si="683"/>
        <v>0</v>
      </c>
      <c r="CD200" s="22">
        <f t="shared" si="684"/>
        <v>3.3005020764747366E-2</v>
      </c>
      <c r="CE200" s="22">
        <f t="shared" si="685"/>
        <v>5.3498779593136715E-4</v>
      </c>
      <c r="CF200" s="22">
        <f t="shared" si="686"/>
        <v>1.9727841498347443E-2</v>
      </c>
      <c r="CG200" s="22">
        <f t="shared" si="687"/>
        <v>0.3700315223441889</v>
      </c>
      <c r="CH200" s="22">
        <f t="shared" si="688"/>
        <v>0.49436599256710867</v>
      </c>
      <c r="CI200" s="22">
        <f t="shared" si="689"/>
        <v>0.13560248508870243</v>
      </c>
      <c r="CJ200" s="22"/>
      <c r="CK200" s="22">
        <f t="shared" si="690"/>
        <v>0.39712205703088216</v>
      </c>
      <c r="CL200" s="22">
        <f t="shared" si="691"/>
        <v>0.44683642640342869</v>
      </c>
      <c r="CM200" s="22">
        <f t="shared" si="692"/>
        <v>0.15604151656568918</v>
      </c>
      <c r="CN200" s="1"/>
      <c r="CO200" s="26">
        <f t="shared" si="693"/>
        <v>0.84653794940079896</v>
      </c>
      <c r="CP200" s="26">
        <f t="shared" si="694"/>
        <v>7.6740110165247873E-3</v>
      </c>
      <c r="CQ200" s="26">
        <f t="shared" si="695"/>
        <v>4.7665751275009813E-2</v>
      </c>
      <c r="CR200" s="26">
        <f t="shared" si="696"/>
        <v>2.3685768800578983E-4</v>
      </c>
      <c r="CS200" s="26">
        <f t="shared" si="697"/>
        <v>0.13013221990257481</v>
      </c>
      <c r="CT200" s="26">
        <f t="shared" si="698"/>
        <v>3.8342261065689321E-3</v>
      </c>
      <c r="CU200" s="26">
        <f t="shared" si="699"/>
        <v>0.38362282878411913</v>
      </c>
      <c r="CV200" s="26">
        <f t="shared" si="700"/>
        <v>0.34094151212553497</v>
      </c>
      <c r="CW200" s="26">
        <f t="shared" si="701"/>
        <v>1.0293643110680865E-2</v>
      </c>
      <c r="CX200" s="26">
        <f t="shared" si="702"/>
        <v>0</v>
      </c>
      <c r="CY200" s="26">
        <f t="shared" si="703"/>
        <v>0</v>
      </c>
      <c r="CZ200" s="26">
        <f t="shared" si="704"/>
        <v>0</v>
      </c>
      <c r="DA200" s="26">
        <f t="shared" si="705"/>
        <v>0</v>
      </c>
      <c r="DB200" s="26">
        <f t="shared" si="706"/>
        <v>1.7709389994098181</v>
      </c>
      <c r="DC200" s="26">
        <f t="shared" si="707"/>
        <v>2.6439554427533092</v>
      </c>
      <c r="DD200" s="26">
        <f t="shared" si="708"/>
        <v>2.258688752878014</v>
      </c>
      <c r="DE200" s="26">
        <f t="shared" si="709"/>
        <v>5.9718724216575092</v>
      </c>
      <c r="DF200" s="1"/>
      <c r="DG200" s="22"/>
      <c r="DH200" s="14"/>
      <c r="DI200" s="14"/>
      <c r="DJ200" s="14"/>
      <c r="DK200" s="14"/>
      <c r="DL200" s="14"/>
      <c r="DM200" s="96"/>
      <c r="DN200" s="14"/>
      <c r="DO200" s="96"/>
      <c r="DP200" s="22"/>
      <c r="DQ200" s="14"/>
      <c r="DR200" s="22"/>
      <c r="DS200" s="22"/>
      <c r="DT200" s="22"/>
      <c r="DU200" s="22"/>
      <c r="DV200" s="22"/>
      <c r="DW200" s="22"/>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46"/>
      <c r="FR200" s="46"/>
      <c r="FS200" s="46"/>
      <c r="FT200" s="46"/>
      <c r="FU200" s="46"/>
      <c r="FV200" s="46"/>
      <c r="FW200" s="46"/>
      <c r="FX200" s="46"/>
      <c r="FY200" s="46"/>
      <c r="FZ200" s="46"/>
      <c r="GA200" s="46"/>
      <c r="GB200" s="46"/>
      <c r="GC200" s="46"/>
      <c r="GD200" s="46"/>
      <c r="GE200" s="46"/>
      <c r="GF200" s="46"/>
      <c r="GG200" s="46"/>
      <c r="GH200" s="46"/>
    </row>
    <row r="201" spans="1:190" x14ac:dyDescent="0.25">
      <c r="A201" s="5" t="s">
        <v>91</v>
      </c>
      <c r="B201" s="1">
        <v>1473</v>
      </c>
      <c r="C201" s="98" t="s">
        <v>96</v>
      </c>
      <c r="D201" s="98" t="s">
        <v>104</v>
      </c>
      <c r="E201" s="1">
        <v>480</v>
      </c>
      <c r="F201" s="22">
        <v>50.82</v>
      </c>
      <c r="G201" s="22">
        <v>0.61599999999999999</v>
      </c>
      <c r="H201" s="22">
        <v>1.8069999999999999</v>
      </c>
      <c r="I201" s="22">
        <v>1.2999999999999999E-2</v>
      </c>
      <c r="J201" s="22">
        <v>11.61</v>
      </c>
      <c r="K201" s="22">
        <v>0.378</v>
      </c>
      <c r="L201" s="22">
        <v>14.74</v>
      </c>
      <c r="M201" s="22">
        <v>18.440000000000001</v>
      </c>
      <c r="N201" s="22">
        <v>0.318</v>
      </c>
      <c r="O201" s="22">
        <v>0</v>
      </c>
      <c r="P201" s="22">
        <v>0</v>
      </c>
      <c r="Q201" s="22"/>
      <c r="R201" s="22"/>
      <c r="S201" s="22">
        <f t="shared" si="634"/>
        <v>98.74199999999999</v>
      </c>
      <c r="T201" s="3"/>
      <c r="U201" s="22">
        <f t="shared" si="635"/>
        <v>9.5675273869059545</v>
      </c>
      <c r="V201" s="22">
        <f t="shared" si="636"/>
        <v>2.2697998149314116</v>
      </c>
      <c r="W201" s="22">
        <f t="shared" si="637"/>
        <v>98.969327201837373</v>
      </c>
      <c r="X201" s="1"/>
      <c r="Y201" s="1"/>
      <c r="Z201" s="1"/>
      <c r="AA201" s="1" t="s">
        <v>185</v>
      </c>
      <c r="AC201" s="1">
        <v>6</v>
      </c>
      <c r="AD201" s="1">
        <v>4</v>
      </c>
      <c r="AE201" s="1"/>
      <c r="AF201" s="26">
        <f t="shared" si="638"/>
        <v>1.9317953084074793</v>
      </c>
      <c r="AG201" s="26">
        <f t="shared" si="639"/>
        <v>1.7611608644652034E-2</v>
      </c>
      <c r="AH201" s="26">
        <f t="shared" si="640"/>
        <v>8.0949597131686202E-2</v>
      </c>
      <c r="AI201" s="26">
        <f t="shared" si="641"/>
        <v>3.9067417458582912E-4</v>
      </c>
      <c r="AJ201" s="26">
        <f t="shared" si="642"/>
        <v>0.36903012263981327</v>
      </c>
      <c r="AK201" s="26">
        <f t="shared" si="643"/>
        <v>1.2169058698913203E-2</v>
      </c>
      <c r="AL201" s="26">
        <f t="shared" si="644"/>
        <v>0.83531216768727312</v>
      </c>
      <c r="AM201" s="26">
        <f t="shared" si="645"/>
        <v>0.75094699203427484</v>
      </c>
      <c r="AN201" s="26">
        <f t="shared" si="646"/>
        <v>2.3434835752110434E-2</v>
      </c>
      <c r="AO201" s="26">
        <f t="shared" si="647"/>
        <v>0</v>
      </c>
      <c r="AP201" s="26">
        <f t="shared" si="648"/>
        <v>0</v>
      </c>
      <c r="AQ201" s="26">
        <f t="shared" si="649"/>
        <v>0</v>
      </c>
      <c r="AR201" s="26">
        <f t="shared" si="650"/>
        <v>0</v>
      </c>
      <c r="AS201" s="26">
        <f t="shared" si="651"/>
        <v>4.0216403651707884</v>
      </c>
      <c r="AT201" s="26">
        <f t="shared" si="652"/>
        <v>2.0127449055391655</v>
      </c>
      <c r="AU201" s="26">
        <f t="shared" si="653"/>
        <v>0.77438182778638531</v>
      </c>
      <c r="AV201" s="47"/>
      <c r="AW201" s="26">
        <f t="shared" si="654"/>
        <v>1.9214003570659319</v>
      </c>
      <c r="AX201" s="26">
        <f t="shared" si="655"/>
        <v>1.7516840936028469E-2</v>
      </c>
      <c r="AY201" s="26">
        <f t="shared" si="656"/>
        <v>8.0514008992694702E-2</v>
      </c>
      <c r="AZ201" s="26">
        <f t="shared" si="657"/>
        <v>3.8857196478257278E-4</v>
      </c>
      <c r="BA201" s="26">
        <f t="shared" si="658"/>
        <v>0.30247262262550301</v>
      </c>
      <c r="BB201" s="26">
        <f t="shared" si="659"/>
        <v>6.4571756415228609E-2</v>
      </c>
      <c r="BC201" s="26">
        <f t="shared" si="660"/>
        <v>1.2103577241070801E-2</v>
      </c>
      <c r="BD201" s="26">
        <f t="shared" si="661"/>
        <v>0.83081736986872501</v>
      </c>
      <c r="BE201" s="26">
        <f t="shared" si="662"/>
        <v>0.74690616151340949</v>
      </c>
      <c r="BF201" s="26">
        <f t="shared" si="663"/>
        <v>2.3308733376625757E-2</v>
      </c>
      <c r="BG201" s="26">
        <f t="shared" si="664"/>
        <v>0</v>
      </c>
      <c r="BH201" s="26">
        <f t="shared" si="665"/>
        <v>0</v>
      </c>
      <c r="BI201" s="26">
        <f t="shared" si="666"/>
        <v>0</v>
      </c>
      <c r="BJ201" s="26">
        <f t="shared" si="667"/>
        <v>0</v>
      </c>
      <c r="BK201" s="25">
        <f t="shared" si="668"/>
        <v>4</v>
      </c>
      <c r="BL201" s="24">
        <f t="shared" si="669"/>
        <v>6</v>
      </c>
      <c r="BM201" s="26">
        <f t="shared" si="670"/>
        <v>2.0019143660586267</v>
      </c>
      <c r="BN201" s="26">
        <f t="shared" si="671"/>
        <v>0.77021489489003525</v>
      </c>
      <c r="BO201" s="22"/>
      <c r="BP201" s="23">
        <f t="shared" si="672"/>
        <v>0.69358368828882633</v>
      </c>
      <c r="BQ201" s="26">
        <f t="shared" si="673"/>
        <v>7.859964293406807E-2</v>
      </c>
      <c r="BR201" s="26">
        <f t="shared" si="674"/>
        <v>1.914366058626632E-3</v>
      </c>
      <c r="BS201" s="26"/>
      <c r="BT201" s="26">
        <f t="shared" si="675"/>
        <v>1.914366058626632E-3</v>
      </c>
      <c r="BU201" s="26">
        <f t="shared" si="676"/>
        <v>0</v>
      </c>
      <c r="BV201" s="26">
        <f t="shared" si="677"/>
        <v>1.914366058626632E-3</v>
      </c>
      <c r="BW201" s="26">
        <f t="shared" si="678"/>
        <v>1.9533708729291456E-4</v>
      </c>
      <c r="BX201" s="26">
        <f t="shared" si="679"/>
        <v>0.74883728888835532</v>
      </c>
      <c r="BY201" s="26">
        <f t="shared" si="680"/>
        <v>0.22775250071936554</v>
      </c>
      <c r="BZ201" s="26">
        <f t="shared" si="681"/>
        <v>0.98061385881226704</v>
      </c>
      <c r="CA201" s="22"/>
      <c r="CB201" s="22">
        <f t="shared" si="682"/>
        <v>2.3308733376625757E-2</v>
      </c>
      <c r="CC201" s="22">
        <f t="shared" si="683"/>
        <v>0</v>
      </c>
      <c r="CD201" s="22">
        <f t="shared" si="684"/>
        <v>4.1263023038602853E-2</v>
      </c>
      <c r="CE201" s="22">
        <f t="shared" si="685"/>
        <v>3.8857196478257278E-4</v>
      </c>
      <c r="CF201" s="22">
        <f t="shared" si="686"/>
        <v>1.914366058626632E-3</v>
      </c>
      <c r="CG201" s="22">
        <f t="shared" si="687"/>
        <v>0.3633244669140116</v>
      </c>
      <c r="CH201" s="22">
        <f t="shared" si="688"/>
        <v>0.46674822451585651</v>
      </c>
      <c r="CI201" s="22">
        <f t="shared" si="689"/>
        <v>0.16992730857013183</v>
      </c>
      <c r="CJ201" s="22"/>
      <c r="CK201" s="22">
        <f t="shared" si="690"/>
        <v>0.38168380817130049</v>
      </c>
      <c r="CL201" s="22">
        <f t="shared" si="691"/>
        <v>0.42456409381309629</v>
      </c>
      <c r="CM201" s="22">
        <f t="shared" si="692"/>
        <v>0.19375209801560325</v>
      </c>
      <c r="CN201" s="1"/>
      <c r="CO201" s="26">
        <f t="shared" si="693"/>
        <v>0.8458721704394141</v>
      </c>
      <c r="CP201" s="26">
        <f t="shared" si="694"/>
        <v>7.7115673510265402E-3</v>
      </c>
      <c r="CQ201" s="26">
        <f t="shared" si="695"/>
        <v>3.5445272655943508E-2</v>
      </c>
      <c r="CR201" s="26">
        <f t="shared" si="696"/>
        <v>1.7106388578195931E-4</v>
      </c>
      <c r="CS201" s="26">
        <f t="shared" si="697"/>
        <v>0.16158663883089772</v>
      </c>
      <c r="CT201" s="26">
        <f t="shared" si="698"/>
        <v>5.3284465745700596E-3</v>
      </c>
      <c r="CU201" s="26">
        <f t="shared" si="699"/>
        <v>0.36575682382134</v>
      </c>
      <c r="CV201" s="26">
        <f t="shared" si="700"/>
        <v>0.32881597717546368</v>
      </c>
      <c r="CW201" s="26">
        <f t="shared" si="701"/>
        <v>1.0261374636979672E-2</v>
      </c>
      <c r="CX201" s="26">
        <f t="shared" si="702"/>
        <v>0</v>
      </c>
      <c r="CY201" s="26">
        <f t="shared" si="703"/>
        <v>0</v>
      </c>
      <c r="CZ201" s="26">
        <f t="shared" si="704"/>
        <v>0</v>
      </c>
      <c r="DA201" s="26">
        <f t="shared" si="705"/>
        <v>0</v>
      </c>
      <c r="DB201" s="26">
        <f t="shared" si="706"/>
        <v>1.7609493353714172</v>
      </c>
      <c r="DC201" s="26">
        <f t="shared" si="707"/>
        <v>2.6272105541142308</v>
      </c>
      <c r="DD201" s="26">
        <f t="shared" si="708"/>
        <v>2.2715020356655096</v>
      </c>
      <c r="DE201" s="26">
        <f t="shared" si="709"/>
        <v>5.9677141217923868</v>
      </c>
      <c r="DF201" s="1"/>
      <c r="DG201" s="22"/>
      <c r="DH201" s="14"/>
      <c r="DI201" s="14"/>
      <c r="DJ201" s="14"/>
      <c r="DK201" s="14"/>
      <c r="DL201" s="14"/>
      <c r="DM201" s="96"/>
      <c r="DN201" s="14"/>
      <c r="DO201" s="96"/>
      <c r="DP201" s="22"/>
      <c r="DQ201" s="14"/>
      <c r="DR201" s="22"/>
      <c r="DS201" s="22"/>
      <c r="DT201" s="22"/>
      <c r="DU201" s="22"/>
      <c r="DV201" s="22"/>
      <c r="DW201" s="22"/>
      <c r="DX201" s="22"/>
      <c r="DY201" s="22"/>
      <c r="DZ201" s="22"/>
      <c r="EA201" s="22"/>
      <c r="EB201" s="22"/>
      <c r="EC201" s="22"/>
      <c r="ED201" s="22"/>
      <c r="EE201" s="22"/>
      <c r="EF201" s="22"/>
      <c r="EG201" s="22"/>
      <c r="EH201" s="22"/>
      <c r="EI201" s="22"/>
      <c r="EJ201" s="22"/>
      <c r="EK201" s="22"/>
      <c r="EL201" s="22"/>
      <c r="EM201" s="22"/>
      <c r="EN201" s="22"/>
      <c r="EO201" s="22"/>
      <c r="EP201" s="22"/>
      <c r="EQ201" s="22"/>
      <c r="ER201" s="22"/>
      <c r="ES201" s="22"/>
      <c r="ET201" s="22"/>
      <c r="EU201" s="22"/>
      <c r="EV201" s="22"/>
      <c r="EW201" s="22"/>
      <c r="EX201" s="22"/>
      <c r="EY201" s="22"/>
      <c r="EZ201" s="22"/>
      <c r="FA201" s="22"/>
      <c r="FB201" s="22"/>
      <c r="FC201" s="22"/>
      <c r="FD201" s="22"/>
      <c r="FE201" s="22"/>
      <c r="FF201" s="22"/>
      <c r="FG201" s="22"/>
      <c r="FH201" s="22"/>
      <c r="FI201" s="22"/>
      <c r="FJ201" s="22"/>
      <c r="FK201" s="22"/>
      <c r="FL201" s="22"/>
      <c r="FM201" s="22"/>
      <c r="FN201" s="22"/>
      <c r="FO201" s="22"/>
      <c r="FP201" s="22"/>
      <c r="FQ201" s="46"/>
      <c r="FR201" s="46"/>
      <c r="FS201" s="46"/>
      <c r="FT201" s="46"/>
      <c r="FU201" s="46"/>
      <c r="FV201" s="46"/>
      <c r="FW201" s="46"/>
      <c r="FX201" s="46"/>
      <c r="FY201" s="46"/>
      <c r="FZ201" s="46"/>
      <c r="GA201" s="46"/>
      <c r="GB201" s="46"/>
      <c r="GC201" s="46"/>
      <c r="GD201" s="46"/>
      <c r="GE201" s="46"/>
      <c r="GF201" s="46"/>
      <c r="GG201" s="46"/>
      <c r="GH201" s="46"/>
    </row>
    <row r="202" spans="1:190" x14ac:dyDescent="0.25">
      <c r="A202" s="5" t="s">
        <v>91</v>
      </c>
      <c r="B202" s="1">
        <v>1474</v>
      </c>
      <c r="C202" s="98" t="s">
        <v>96</v>
      </c>
      <c r="D202" s="98" t="s">
        <v>104</v>
      </c>
      <c r="E202" s="1">
        <v>481</v>
      </c>
      <c r="F202" s="22">
        <v>50.44</v>
      </c>
      <c r="G202" s="22">
        <v>0.627</v>
      </c>
      <c r="H202" s="22">
        <v>2.5</v>
      </c>
      <c r="I202" s="22">
        <v>2.9000000000000001E-2</v>
      </c>
      <c r="J202" s="22">
        <v>9.0299999999999994</v>
      </c>
      <c r="K202" s="22">
        <v>0.25600000000000001</v>
      </c>
      <c r="L202" s="22">
        <v>15.06</v>
      </c>
      <c r="M202" s="22">
        <v>19.760000000000002</v>
      </c>
      <c r="N202" s="22">
        <v>0.312</v>
      </c>
      <c r="O202" s="22">
        <v>0</v>
      </c>
      <c r="P202" s="22">
        <v>0</v>
      </c>
      <c r="Q202" s="22"/>
      <c r="R202" s="22"/>
      <c r="S202" s="22">
        <f t="shared" si="634"/>
        <v>98.01400000000001</v>
      </c>
      <c r="T202" s="3"/>
      <c r="U202" s="22">
        <f t="shared" si="635"/>
        <v>7.0126521438788441</v>
      </c>
      <c r="V202" s="22">
        <f t="shared" si="636"/>
        <v>2.2418786725074407</v>
      </c>
      <c r="W202" s="22">
        <f t="shared" si="637"/>
        <v>98.238530816386287</v>
      </c>
      <c r="X202" s="1"/>
      <c r="Y202" s="1"/>
      <c r="Z202" s="1"/>
      <c r="AA202" s="1" t="s">
        <v>185</v>
      </c>
      <c r="AC202" s="1">
        <v>6</v>
      </c>
      <c r="AD202" s="1">
        <v>4</v>
      </c>
      <c r="AE202" s="1"/>
      <c r="AF202" s="26">
        <f t="shared" si="638"/>
        <v>1.9158298948942245</v>
      </c>
      <c r="AG202" s="26">
        <f t="shared" si="639"/>
        <v>1.7911884349484333E-2</v>
      </c>
      <c r="AH202" s="26">
        <f t="shared" si="640"/>
        <v>0.11190563846822443</v>
      </c>
      <c r="AI202" s="26">
        <f t="shared" si="641"/>
        <v>8.7081273254394293E-4</v>
      </c>
      <c r="AJ202" s="26">
        <f t="shared" si="642"/>
        <v>0.28679578858991805</v>
      </c>
      <c r="AK202" s="26">
        <f t="shared" si="643"/>
        <v>8.2349425371986522E-3</v>
      </c>
      <c r="AL202" s="26">
        <f t="shared" si="644"/>
        <v>0.85276961492404801</v>
      </c>
      <c r="AM202" s="26">
        <f t="shared" si="645"/>
        <v>0.80406420195731254</v>
      </c>
      <c r="AN202" s="26">
        <f t="shared" si="646"/>
        <v>2.2974433405903136E-2</v>
      </c>
      <c r="AO202" s="26">
        <f t="shared" si="647"/>
        <v>0</v>
      </c>
      <c r="AP202" s="26">
        <f t="shared" si="648"/>
        <v>0</v>
      </c>
      <c r="AQ202" s="26">
        <f t="shared" si="649"/>
        <v>0</v>
      </c>
      <c r="AR202" s="26">
        <f t="shared" si="650"/>
        <v>0</v>
      </c>
      <c r="AS202" s="26">
        <f t="shared" si="651"/>
        <v>4.0213572118588576</v>
      </c>
      <c r="AT202" s="26">
        <f t="shared" si="652"/>
        <v>2.0277355333624492</v>
      </c>
      <c r="AU202" s="26">
        <f t="shared" si="653"/>
        <v>0.82703863536321565</v>
      </c>
      <c r="AV202" s="47"/>
      <c r="AW202" s="26">
        <f t="shared" si="654"/>
        <v>1.9056550253675566</v>
      </c>
      <c r="AX202" s="26">
        <f t="shared" si="655"/>
        <v>1.7816755295115529E-2</v>
      </c>
      <c r="AY202" s="26">
        <f t="shared" si="656"/>
        <v>0.11131131364129322</v>
      </c>
      <c r="AZ202" s="26">
        <f t="shared" si="657"/>
        <v>8.6618789295906686E-4</v>
      </c>
      <c r="BA202" s="26">
        <f t="shared" si="658"/>
        <v>0.22154127701616677</v>
      </c>
      <c r="BB202" s="26">
        <f t="shared" si="659"/>
        <v>6.3731354566191722E-2</v>
      </c>
      <c r="BC202" s="26">
        <f t="shared" si="660"/>
        <v>8.1912072003094503E-3</v>
      </c>
      <c r="BD202" s="26">
        <f t="shared" si="661"/>
        <v>0.84824060136638135</v>
      </c>
      <c r="BE202" s="26">
        <f t="shared" si="662"/>
        <v>0.79979386022823551</v>
      </c>
      <c r="BF202" s="26">
        <f t="shared" si="663"/>
        <v>2.2852417425790719E-2</v>
      </c>
      <c r="BG202" s="26">
        <f t="shared" si="664"/>
        <v>0</v>
      </c>
      <c r="BH202" s="26">
        <f t="shared" si="665"/>
        <v>0</v>
      </c>
      <c r="BI202" s="26">
        <f t="shared" si="666"/>
        <v>0</v>
      </c>
      <c r="BJ202" s="26">
        <f t="shared" si="667"/>
        <v>0</v>
      </c>
      <c r="BK202" s="25">
        <f t="shared" si="668"/>
        <v>4</v>
      </c>
      <c r="BL202" s="24">
        <f t="shared" si="669"/>
        <v>5.9999999999999982</v>
      </c>
      <c r="BM202" s="26">
        <f t="shared" si="670"/>
        <v>2.0169663390088499</v>
      </c>
      <c r="BN202" s="26">
        <f t="shared" si="671"/>
        <v>0.8226462776540262</v>
      </c>
      <c r="BO202" s="22"/>
      <c r="BP202" s="23">
        <f t="shared" si="672"/>
        <v>0.74832880350214748</v>
      </c>
      <c r="BQ202" s="26">
        <f t="shared" si="673"/>
        <v>9.4344974632443401E-2</v>
      </c>
      <c r="BR202" s="26">
        <f t="shared" si="674"/>
        <v>1.6966339008849821E-2</v>
      </c>
      <c r="BS202" s="26"/>
      <c r="BT202" s="26">
        <f t="shared" si="675"/>
        <v>1.6966339008849821E-2</v>
      </c>
      <c r="BU202" s="26">
        <f t="shared" si="676"/>
        <v>0</v>
      </c>
      <c r="BV202" s="26">
        <f t="shared" si="677"/>
        <v>1.6966339008849821E-2</v>
      </c>
      <c r="BW202" s="26">
        <f t="shared" si="678"/>
        <v>4.3540636627197146E-4</v>
      </c>
      <c r="BX202" s="26">
        <f t="shared" si="679"/>
        <v>0.78666245658219081</v>
      </c>
      <c r="BY202" s="26">
        <f t="shared" si="680"/>
        <v>0.17645147346588758</v>
      </c>
      <c r="BZ202" s="26">
        <f t="shared" si="681"/>
        <v>0.99748201443204998</v>
      </c>
      <c r="CA202" s="22"/>
      <c r="CB202" s="22">
        <f t="shared" si="682"/>
        <v>2.2852417425790719E-2</v>
      </c>
      <c r="CC202" s="22">
        <f t="shared" si="683"/>
        <v>0</v>
      </c>
      <c r="CD202" s="22">
        <f t="shared" si="684"/>
        <v>4.0878937140401E-2</v>
      </c>
      <c r="CE202" s="22">
        <f t="shared" si="685"/>
        <v>8.6618789295906686E-4</v>
      </c>
      <c r="CF202" s="22">
        <f t="shared" si="686"/>
        <v>1.6966339008849821E-2</v>
      </c>
      <c r="CG202" s="22">
        <f t="shared" si="687"/>
        <v>0.38196740680590818</v>
      </c>
      <c r="CH202" s="22">
        <f t="shared" si="688"/>
        <v>0.49004413807009267</v>
      </c>
      <c r="CI202" s="22">
        <f t="shared" si="689"/>
        <v>0.12798845512399906</v>
      </c>
      <c r="CJ202" s="22"/>
      <c r="CK202" s="22">
        <f t="shared" si="690"/>
        <v>0.41194672180388436</v>
      </c>
      <c r="CL202" s="22">
        <f t="shared" si="691"/>
        <v>0.43689999687434478</v>
      </c>
      <c r="CM202" s="22">
        <f t="shared" si="692"/>
        <v>0.151153281321771</v>
      </c>
      <c r="CN202" s="1"/>
      <c r="CO202" s="26">
        <f t="shared" si="693"/>
        <v>0.83954727030625831</v>
      </c>
      <c r="CP202" s="26">
        <f t="shared" si="694"/>
        <v>7.8492739108662994E-3</v>
      </c>
      <c r="CQ202" s="26">
        <f t="shared" si="695"/>
        <v>4.9038838760298159E-2</v>
      </c>
      <c r="CR202" s="26">
        <f t="shared" si="696"/>
        <v>3.8160405289821696E-4</v>
      </c>
      <c r="CS202" s="26">
        <f t="shared" si="697"/>
        <v>0.12567849686847599</v>
      </c>
      <c r="CT202" s="26">
        <f t="shared" si="698"/>
        <v>3.608683394417818E-3</v>
      </c>
      <c r="CU202" s="26">
        <f t="shared" si="699"/>
        <v>0.37369727047146406</v>
      </c>
      <c r="CV202" s="26">
        <f t="shared" si="700"/>
        <v>0.35235378031383741</v>
      </c>
      <c r="CW202" s="26">
        <f t="shared" si="701"/>
        <v>1.0067763794772507E-2</v>
      </c>
      <c r="CX202" s="26">
        <f t="shared" si="702"/>
        <v>0</v>
      </c>
      <c r="CY202" s="26">
        <f t="shared" si="703"/>
        <v>0</v>
      </c>
      <c r="CZ202" s="26">
        <f t="shared" si="704"/>
        <v>0</v>
      </c>
      <c r="DA202" s="26">
        <f t="shared" si="705"/>
        <v>0</v>
      </c>
      <c r="DB202" s="26">
        <f t="shared" si="706"/>
        <v>1.7622229818732889</v>
      </c>
      <c r="DC202" s="26">
        <f t="shared" si="707"/>
        <v>2.6292958655996257</v>
      </c>
      <c r="DD202" s="26">
        <f t="shared" si="708"/>
        <v>2.2698603077732513</v>
      </c>
      <c r="DE202" s="26">
        <f t="shared" si="709"/>
        <v>5.9681343227169039</v>
      </c>
      <c r="DF202" s="1"/>
      <c r="DG202" s="22"/>
      <c r="DH202" s="14"/>
      <c r="DI202" s="14"/>
      <c r="DJ202" s="14"/>
      <c r="DK202" s="14"/>
      <c r="DL202" s="14"/>
      <c r="DM202" s="96"/>
      <c r="DN202" s="14"/>
      <c r="DO202" s="96"/>
      <c r="DP202" s="22"/>
      <c r="DQ202" s="14"/>
      <c r="DR202" s="22"/>
      <c r="DS202" s="22"/>
      <c r="DT202" s="22"/>
      <c r="DU202" s="22"/>
      <c r="DV202" s="22"/>
      <c r="DW202" s="22"/>
      <c r="DX202" s="22"/>
      <c r="DY202" s="22"/>
      <c r="DZ202" s="22"/>
      <c r="EA202" s="22"/>
      <c r="EB202" s="22"/>
      <c r="EC202" s="22"/>
      <c r="ED202" s="22"/>
      <c r="EE202" s="22"/>
      <c r="EF202" s="22"/>
      <c r="EG202" s="22"/>
      <c r="EH202" s="22"/>
      <c r="EI202" s="22"/>
      <c r="EJ202" s="22"/>
      <c r="EK202" s="22"/>
      <c r="EL202" s="22"/>
      <c r="EM202" s="22"/>
      <c r="EN202" s="22"/>
      <c r="EO202" s="22"/>
      <c r="EP202" s="22"/>
      <c r="EQ202" s="22"/>
      <c r="ER202" s="22"/>
      <c r="ES202" s="22"/>
      <c r="ET202" s="22"/>
      <c r="EU202" s="22"/>
      <c r="EV202" s="22"/>
      <c r="EW202" s="22"/>
      <c r="EX202" s="22"/>
      <c r="EY202" s="22"/>
      <c r="EZ202" s="22"/>
      <c r="FA202" s="22"/>
      <c r="FB202" s="22"/>
      <c r="FC202" s="22"/>
      <c r="FD202" s="22"/>
      <c r="FE202" s="22"/>
      <c r="FF202" s="22"/>
      <c r="FG202" s="22"/>
      <c r="FH202" s="22"/>
      <c r="FI202" s="22"/>
      <c r="FJ202" s="22"/>
      <c r="FK202" s="22"/>
      <c r="FL202" s="22"/>
      <c r="FM202" s="22"/>
      <c r="FN202" s="22"/>
      <c r="FO202" s="22"/>
      <c r="FP202" s="22"/>
      <c r="FQ202" s="46"/>
      <c r="FR202" s="46"/>
      <c r="FS202" s="46"/>
      <c r="FT202" s="46"/>
      <c r="FU202" s="46"/>
      <c r="FV202" s="46"/>
      <c r="FW202" s="46"/>
      <c r="FX202" s="46"/>
      <c r="FY202" s="46"/>
      <c r="FZ202" s="46"/>
      <c r="GA202" s="46"/>
      <c r="GB202" s="46"/>
      <c r="GC202" s="46"/>
      <c r="GD202" s="46"/>
      <c r="GE202" s="46"/>
      <c r="GF202" s="46"/>
      <c r="GG202" s="46"/>
      <c r="GH202" s="46"/>
    </row>
    <row r="203" spans="1:190" x14ac:dyDescent="0.25">
      <c r="A203" s="5" t="s">
        <v>89</v>
      </c>
      <c r="B203" s="1">
        <v>619</v>
      </c>
      <c r="C203" s="98" t="s">
        <v>97</v>
      </c>
      <c r="D203" s="98" t="s">
        <v>106</v>
      </c>
      <c r="E203" s="1">
        <v>130</v>
      </c>
      <c r="F203" s="22">
        <v>49.76</v>
      </c>
      <c r="G203" s="22">
        <v>0.93300000000000005</v>
      </c>
      <c r="H203" s="22">
        <v>3.86</v>
      </c>
      <c r="I203" s="22">
        <v>0</v>
      </c>
      <c r="J203" s="22">
        <v>9.98</v>
      </c>
      <c r="K203" s="22">
        <v>0.32100000000000001</v>
      </c>
      <c r="L203" s="22">
        <v>13.96</v>
      </c>
      <c r="M203" s="22">
        <v>19.73</v>
      </c>
      <c r="N203" s="22">
        <v>0.33600000000000002</v>
      </c>
      <c r="O203" s="22">
        <v>6.0000000000000001E-3</v>
      </c>
      <c r="P203" s="22">
        <v>0</v>
      </c>
      <c r="Q203" s="22"/>
      <c r="R203" s="22"/>
      <c r="S203" s="22">
        <f t="shared" si="634"/>
        <v>98.885999999999996</v>
      </c>
      <c r="T203" s="3"/>
      <c r="U203" s="22">
        <f t="shared" si="635"/>
        <v>8.2788509080860209</v>
      </c>
      <c r="V203" s="22">
        <f t="shared" si="636"/>
        <v>1.8904869858440063</v>
      </c>
      <c r="W203" s="22">
        <f t="shared" si="637"/>
        <v>99.075337893930026</v>
      </c>
      <c r="X203" s="1"/>
      <c r="Y203" s="1"/>
      <c r="Z203" s="1"/>
      <c r="AA203" s="1" t="s">
        <v>185</v>
      </c>
      <c r="AC203" s="1">
        <v>6</v>
      </c>
      <c r="AD203" s="1">
        <v>4</v>
      </c>
      <c r="AE203" s="1"/>
      <c r="AF203" s="26">
        <f t="shared" si="638"/>
        <v>1.8819658015466638</v>
      </c>
      <c r="AG203" s="26">
        <f t="shared" si="639"/>
        <v>2.6540241304986441E-2</v>
      </c>
      <c r="AH203" s="26">
        <f t="shared" si="640"/>
        <v>0.17204765324626273</v>
      </c>
      <c r="AI203" s="26">
        <f t="shared" si="641"/>
        <v>0</v>
      </c>
      <c r="AJ203" s="26">
        <f t="shared" si="642"/>
        <v>0.31562038731271197</v>
      </c>
      <c r="AK203" s="26">
        <f t="shared" si="643"/>
        <v>1.0281941483647151E-2</v>
      </c>
      <c r="AL203" s="26">
        <f t="shared" si="644"/>
        <v>0.78712127631123341</v>
      </c>
      <c r="AM203" s="26">
        <f t="shared" si="645"/>
        <v>0.79942984911458803</v>
      </c>
      <c r="AN203" s="26">
        <f t="shared" si="646"/>
        <v>2.4636498367333462E-2</v>
      </c>
      <c r="AO203" s="26">
        <f t="shared" si="647"/>
        <v>2.8946204291919314E-4</v>
      </c>
      <c r="AP203" s="26">
        <f t="shared" si="648"/>
        <v>0</v>
      </c>
      <c r="AQ203" s="26">
        <f t="shared" si="649"/>
        <v>0</v>
      </c>
      <c r="AR203" s="26">
        <f t="shared" si="650"/>
        <v>0</v>
      </c>
      <c r="AS203" s="26">
        <f t="shared" si="651"/>
        <v>4.017933110730346</v>
      </c>
      <c r="AT203" s="26">
        <f t="shared" si="652"/>
        <v>2.0540134547929267</v>
      </c>
      <c r="AU203" s="26">
        <f t="shared" si="653"/>
        <v>0.82435580952484078</v>
      </c>
      <c r="AV203" s="47"/>
      <c r="AW203" s="26">
        <f t="shared" si="654"/>
        <v>1.8735660845330258</v>
      </c>
      <c r="AX203" s="26">
        <f t="shared" si="655"/>
        <v>2.6421785105488902E-2</v>
      </c>
      <c r="AY203" s="26">
        <f t="shared" si="656"/>
        <v>0.17127975852737809</v>
      </c>
      <c r="AZ203" s="26">
        <f t="shared" si="657"/>
        <v>0</v>
      </c>
      <c r="BA203" s="26">
        <f t="shared" si="658"/>
        <v>0.26065247768555544</v>
      </c>
      <c r="BB203" s="26">
        <f t="shared" si="659"/>
        <v>5.3559211373988003E-2</v>
      </c>
      <c r="BC203" s="26">
        <f t="shared" si="660"/>
        <v>1.0236050427209015E-2</v>
      </c>
      <c r="BD203" s="26">
        <f t="shared" si="661"/>
        <v>0.7836081434099903</v>
      </c>
      <c r="BE203" s="26">
        <f t="shared" si="662"/>
        <v>0.79586177975897099</v>
      </c>
      <c r="BF203" s="26">
        <f t="shared" si="663"/>
        <v>2.4526539082035885E-2</v>
      </c>
      <c r="BG203" s="26">
        <f t="shared" si="664"/>
        <v>2.8817009635740516E-4</v>
      </c>
      <c r="BH203" s="26">
        <f t="shared" si="665"/>
        <v>0</v>
      </c>
      <c r="BI203" s="26">
        <f t="shared" si="666"/>
        <v>0</v>
      </c>
      <c r="BJ203" s="26">
        <f t="shared" si="667"/>
        <v>0</v>
      </c>
      <c r="BK203" s="25">
        <f t="shared" si="668"/>
        <v>3.9999999999999996</v>
      </c>
      <c r="BL203" s="24">
        <f t="shared" si="669"/>
        <v>6.0000000000000009</v>
      </c>
      <c r="BM203" s="26">
        <f t="shared" si="670"/>
        <v>2.0448458430604037</v>
      </c>
      <c r="BN203" s="26">
        <f t="shared" si="671"/>
        <v>0.82067648893736422</v>
      </c>
      <c r="BO203" s="22"/>
      <c r="BP203" s="23">
        <f t="shared" si="672"/>
        <v>0.71378574173439036</v>
      </c>
      <c r="BQ203" s="26">
        <f t="shared" si="673"/>
        <v>0.12643391546697424</v>
      </c>
      <c r="BR203" s="26">
        <f t="shared" si="674"/>
        <v>4.4845843060403845E-2</v>
      </c>
      <c r="BS203" s="26"/>
      <c r="BT203" s="26">
        <f t="shared" si="675"/>
        <v>2.4636498367333462E-2</v>
      </c>
      <c r="BU203" s="26">
        <f t="shared" si="676"/>
        <v>2.031930397836796E-2</v>
      </c>
      <c r="BV203" s="26">
        <f t="shared" si="677"/>
        <v>3.4686191071219868E-2</v>
      </c>
      <c r="BW203" s="26">
        <f t="shared" si="678"/>
        <v>0</v>
      </c>
      <c r="BX203" s="26">
        <f t="shared" si="679"/>
        <v>0.74442435406500018</v>
      </c>
      <c r="BY203" s="26">
        <f t="shared" si="680"/>
        <v>0.17915865477947257</v>
      </c>
      <c r="BZ203" s="26">
        <f t="shared" si="681"/>
        <v>1.003225002261394</v>
      </c>
      <c r="CA203" s="22"/>
      <c r="CB203" s="22">
        <f t="shared" si="682"/>
        <v>2.4526539082035885E-2</v>
      </c>
      <c r="CC203" s="22">
        <f t="shared" si="683"/>
        <v>0</v>
      </c>
      <c r="CD203" s="22">
        <f t="shared" si="684"/>
        <v>2.9032672291952118E-2</v>
      </c>
      <c r="CE203" s="22">
        <f t="shared" si="685"/>
        <v>0</v>
      </c>
      <c r="CF203" s="22">
        <f t="shared" si="686"/>
        <v>4.4845843060403845E-2</v>
      </c>
      <c r="CG203" s="22">
        <f t="shared" si="687"/>
        <v>0.37325490174432541</v>
      </c>
      <c r="CH203" s="22">
        <f t="shared" si="688"/>
        <v>0.47030650482654301</v>
      </c>
      <c r="CI203" s="22">
        <f t="shared" si="689"/>
        <v>0.15643859342913158</v>
      </c>
      <c r="CJ203" s="22"/>
      <c r="CK203" s="22">
        <f t="shared" si="690"/>
        <v>0.41801270893660858</v>
      </c>
      <c r="CL203" s="22">
        <f t="shared" si="691"/>
        <v>0.41157669723855622</v>
      </c>
      <c r="CM203" s="22">
        <f t="shared" si="692"/>
        <v>0.1704105938248352</v>
      </c>
      <c r="CN203" s="1"/>
      <c r="CO203" s="26">
        <f t="shared" si="693"/>
        <v>0.82822902796271636</v>
      </c>
      <c r="CP203" s="26">
        <f t="shared" si="694"/>
        <v>1.1680020030045068E-2</v>
      </c>
      <c r="CQ203" s="26">
        <f t="shared" si="695"/>
        <v>7.5715967045900362E-2</v>
      </c>
      <c r="CR203" s="26">
        <f t="shared" si="696"/>
        <v>0</v>
      </c>
      <c r="CS203" s="26">
        <f t="shared" si="697"/>
        <v>0.13890048712595687</v>
      </c>
      <c r="CT203" s="26">
        <f t="shared" si="698"/>
        <v>4.5249506625317168E-3</v>
      </c>
      <c r="CU203" s="26">
        <f t="shared" si="699"/>
        <v>0.34640198511166259</v>
      </c>
      <c r="CV203" s="26">
        <f t="shared" si="700"/>
        <v>0.35181883024251071</v>
      </c>
      <c r="CW203" s="26">
        <f t="shared" si="701"/>
        <v>1.0842207163601163E-2</v>
      </c>
      <c r="CX203" s="26">
        <f t="shared" si="702"/>
        <v>1.2738853503184712E-4</v>
      </c>
      <c r="CY203" s="26">
        <f t="shared" si="703"/>
        <v>0</v>
      </c>
      <c r="CZ203" s="26">
        <f t="shared" si="704"/>
        <v>0</v>
      </c>
      <c r="DA203" s="26">
        <f t="shared" si="705"/>
        <v>0</v>
      </c>
      <c r="DB203" s="26">
        <f t="shared" si="706"/>
        <v>1.7682408638799569</v>
      </c>
      <c r="DC203" s="26">
        <f t="shared" si="707"/>
        <v>2.6405230975463514</v>
      </c>
      <c r="DD203" s="26">
        <f t="shared" si="708"/>
        <v>2.2621352564056307</v>
      </c>
      <c r="DE203" s="26">
        <f t="shared" si="709"/>
        <v>5.9732203943130058</v>
      </c>
      <c r="DF203" s="1"/>
      <c r="DG203" s="22">
        <v>33.783937842699693</v>
      </c>
      <c r="DH203" s="14">
        <v>2424.1959852783098</v>
      </c>
      <c r="DI203" s="14">
        <v>86491.321537629236</v>
      </c>
      <c r="DJ203" s="14">
        <v>21983.162918495411</v>
      </c>
      <c r="DK203" s="14">
        <v>234919.0261944565</v>
      </c>
      <c r="DL203" s="14">
        <v>137479.43050658848</v>
      </c>
      <c r="DM203" s="96">
        <v>154.34067336050731</v>
      </c>
      <c r="DN203" s="14">
        <v>5161.8078813321763</v>
      </c>
      <c r="DO203" s="96">
        <v>487.03497699004464</v>
      </c>
      <c r="DP203" s="22">
        <v>0</v>
      </c>
      <c r="DQ203" s="14">
        <v>2565.3932653032316</v>
      </c>
      <c r="DR203" s="22">
        <v>43.836708189551992</v>
      </c>
      <c r="DS203" s="22">
        <v>0</v>
      </c>
      <c r="DT203" s="22">
        <v>3.05922185047489</v>
      </c>
      <c r="DU203" s="22">
        <v>67.375483675260284</v>
      </c>
      <c r="DV203" s="22">
        <v>1.5662994324359885</v>
      </c>
      <c r="DW203" s="22">
        <v>16.216556755737763</v>
      </c>
      <c r="DX203" s="22">
        <v>14.717002436878888</v>
      </c>
      <c r="DY203" s="22">
        <v>40.329827598069436</v>
      </c>
      <c r="DZ203" s="22">
        <v>52.818142108269953</v>
      </c>
      <c r="EA203" s="22">
        <v>0.16367210880299593</v>
      </c>
      <c r="EB203" s="22">
        <v>0.14323727253074622</v>
      </c>
      <c r="EC203" s="22">
        <v>5.0171577588917771</v>
      </c>
      <c r="ED203" s="22">
        <v>4.1989676140468895</v>
      </c>
      <c r="EE203" s="22">
        <v>15.016125516586087</v>
      </c>
      <c r="EF203" s="22">
        <v>2.5580944117352868</v>
      </c>
      <c r="EG203" s="22">
        <v>15.00008369028407</v>
      </c>
      <c r="EH203" s="22">
        <v>4.2359761980191921</v>
      </c>
      <c r="EI203" s="22">
        <v>1.2922939545856644</v>
      </c>
      <c r="EJ203" s="22">
        <v>8.0724545374293104</v>
      </c>
      <c r="EK203" s="22">
        <v>1.1589211332323068</v>
      </c>
      <c r="EL203" s="22">
        <v>8.3498001200649927</v>
      </c>
      <c r="EM203" s="22">
        <v>1.8558222759937224</v>
      </c>
      <c r="EN203" s="22">
        <v>4.5909004215585716</v>
      </c>
      <c r="EO203" s="22">
        <v>0.68797802967758759</v>
      </c>
      <c r="EP203" s="22">
        <v>4.4849461516532907</v>
      </c>
      <c r="EQ203" s="22">
        <v>0.6762007054937037</v>
      </c>
      <c r="ER203" s="22">
        <v>3.4677221431481495</v>
      </c>
      <c r="ES203" s="22">
        <v>0</v>
      </c>
      <c r="ET203" s="22">
        <v>1.9038782381140811</v>
      </c>
      <c r="EU203" s="22">
        <v>0.31759386154586894</v>
      </c>
      <c r="EV203" s="22">
        <v>7.6027568062086839E-2</v>
      </c>
      <c r="EW203" s="22">
        <f>(EI203/0.05883)/SQRT((EH203/0.1536)*(EJ203/0.2069))</f>
        <v>0.66966678379343991</v>
      </c>
      <c r="EX203" s="22"/>
      <c r="EY203" s="22"/>
      <c r="EZ203" s="22"/>
      <c r="FA203" s="22"/>
      <c r="FB203" s="22"/>
      <c r="FC203" s="22"/>
      <c r="FD203" s="22"/>
      <c r="FE203" s="22"/>
      <c r="FF203" s="22"/>
      <c r="FG203" s="22"/>
      <c r="FH203" s="22"/>
      <c r="FI203" s="22">
        <f>-0.50354-2.23025*BP203+ N("eqn 18 Mg# R2 0.28 best")</f>
        <v>-2.0954606505031239</v>
      </c>
      <c r="FJ203" s="22"/>
      <c r="FK203" s="22">
        <f xml:space="preserve"> -0.03692  +  0.931085 + FX203   + N("488 NN Dy")</f>
        <v>0.72098393390214377</v>
      </c>
      <c r="FL203" s="22">
        <f>-0.48986  +   0    +   (1.071278 + 0) * GD203  +N("eqn 119 LnD Hf  (which has R2 of 0.51 for TS")</f>
        <v>-1.2777856443031372</v>
      </c>
      <c r="FM203" s="22"/>
      <c r="FN203" s="22"/>
      <c r="FO203" s="22">
        <f>3.94011-11.9214*BP203</f>
        <v>-4.5692153415123622</v>
      </c>
      <c r="FP203" s="22">
        <f xml:space="preserve">  -0.49862 +   1.013256 * FQ203 + N("294 NN")</f>
        <v>-2.1124151436343883</v>
      </c>
      <c r="FQ203" s="46">
        <f t="shared" ref="FQ203" si="710" xml:space="preserve">  -0.73306   +   1.025016   *  FS203     +N("316 NN Nd")</f>
        <v>-1.5926825438333339</v>
      </c>
      <c r="FR203" s="46">
        <f t="shared" ref="FR203" si="711" xml:space="preserve">  -0.33671   +   1.013871 *  FS203    +N("340 NN")</f>
        <v>-1.1869858670487545</v>
      </c>
      <c r="FS203" s="46">
        <f t="shared" ref="FS203" si="712">-0.42496     +   1.017678*FT203                 + N("361 NN")</f>
        <v>-0.83864304931175127</v>
      </c>
      <c r="FT203" s="46">
        <f xml:space="preserve"> 0.68509  -3.34181 * BP203 + 0.03095*(100*CK203) +N("642 cpx Mg# Wo R2 0.59")</f>
        <v>-0.40649699542659978</v>
      </c>
      <c r="FU203" s="46">
        <f t="shared" ref="FU203" si="713" xml:space="preserve"> -0.06599 + 0.926002 * FT203  + N("409 NN")</f>
        <v>-0.44240703075902227</v>
      </c>
      <c r="FV203" s="46">
        <f t="shared" ref="FV203" si="714">0.1453     +   0.925549*FT203     +N("424 LnD Sm")</f>
        <v>-0.23093288762009398</v>
      </c>
      <c r="FW203" s="46">
        <f t="shared" ref="FW203" si="715" xml:space="preserve">  0.053547 + 0.932974 * FV203  +  N("445 NN")</f>
        <v>-0.16190737989446957</v>
      </c>
      <c r="FX203" s="46">
        <f t="shared" ref="FX203" si="716" xml:space="preserve">  0.027177  +  0.867603 * FV203 + N("464 NN Gd")</f>
        <v>-0.17318106609785638</v>
      </c>
      <c r="FY203" s="46">
        <f t="shared" ref="FY203" si="717" xml:space="preserve">  -0.06187  +  0.953618 * FX203   + N("505 NN Dy")</f>
        <v>-0.22701858189010563</v>
      </c>
      <c r="FZ203" s="46">
        <f t="shared" ref="FZ203" si="718" xml:space="preserve"> -0.05652 + 0.972005*FY203   +N("533 NN")</f>
        <v>-0.27718319669009212</v>
      </c>
      <c r="GA203" s="46">
        <f t="shared" ref="GA203" si="719" xml:space="preserve">     0.018586 + 0.960264 * FZ203    +N("549 LnD Er")</f>
        <v>-0.24758304518641461</v>
      </c>
      <c r="GB203" s="46">
        <f t="shared" ref="GB203" si="720" xml:space="preserve"> -0.02011 + 0.936315 * FZ203    +N("574 NN Er")</f>
        <v>-0.2796407848088836</v>
      </c>
      <c r="GC203" s="46">
        <f t="shared" ref="GC203" si="721" xml:space="preserve">   0.01732 + 1.006083 * GB203  +N("597 NN Yb")</f>
        <v>-0.26402183970287607</v>
      </c>
      <c r="GD203" s="46">
        <f>(-1.72947 +0 ) * (3.46258+0) * BQ203   - (1.87473 + 0) *BP203   + (0.03253+0) * (CK203*100)    +N("eqn625 aliv mg# wo")</f>
        <v>-0.73550063037151636</v>
      </c>
      <c r="GE203" s="46"/>
      <c r="GF203" s="46"/>
      <c r="GG203" s="46"/>
      <c r="GH203" s="46"/>
    </row>
    <row r="204" spans="1:190" x14ac:dyDescent="0.25">
      <c r="A204" s="5" t="s">
        <v>89</v>
      </c>
      <c r="B204" s="1">
        <v>620</v>
      </c>
      <c r="C204" s="98" t="s">
        <v>97</v>
      </c>
      <c r="D204" s="98" t="s">
        <v>106</v>
      </c>
      <c r="E204" s="1">
        <v>131</v>
      </c>
      <c r="F204" s="22">
        <v>53.2</v>
      </c>
      <c r="G204" s="22">
        <v>0.08</v>
      </c>
      <c r="H204" s="22">
        <v>0.58899999999999997</v>
      </c>
      <c r="I204" s="22">
        <v>0</v>
      </c>
      <c r="J204" s="22">
        <v>10.64</v>
      </c>
      <c r="K204" s="22">
        <v>0.65200000000000002</v>
      </c>
      <c r="L204" s="22">
        <v>12.82</v>
      </c>
      <c r="M204" s="22">
        <v>21.55</v>
      </c>
      <c r="N204" s="22">
        <v>0.436</v>
      </c>
      <c r="O204" s="22">
        <v>4.9000000000000002E-2</v>
      </c>
      <c r="P204" s="22">
        <v>0</v>
      </c>
      <c r="Q204" s="22"/>
      <c r="R204" s="22"/>
      <c r="S204" s="22">
        <f t="shared" si="634"/>
        <v>100.01600000000001</v>
      </c>
      <c r="T204" s="3"/>
      <c r="U204" s="22">
        <f t="shared" si="635"/>
        <v>10.396066677388831</v>
      </c>
      <c r="V204" s="22">
        <f t="shared" si="636"/>
        <v>0.27108310141779157</v>
      </c>
      <c r="W204" s="22">
        <f t="shared" si="637"/>
        <v>100.04314977880662</v>
      </c>
      <c r="X204" s="1"/>
      <c r="Y204" s="1"/>
      <c r="Z204" s="1"/>
      <c r="AA204" s="1" t="s">
        <v>185</v>
      </c>
      <c r="AC204" s="1">
        <v>6</v>
      </c>
      <c r="AD204" s="1">
        <v>4</v>
      </c>
      <c r="AE204" s="1"/>
      <c r="AF204" s="26">
        <f t="shared" si="638"/>
        <v>1.9991979173880001</v>
      </c>
      <c r="AG204" s="26">
        <f t="shared" si="639"/>
        <v>2.2611325047095275E-3</v>
      </c>
      <c r="AH204" s="26">
        <f t="shared" si="640"/>
        <v>2.6084922218634773E-2</v>
      </c>
      <c r="AI204" s="26">
        <f t="shared" si="641"/>
        <v>0</v>
      </c>
      <c r="AJ204" s="26">
        <f t="shared" si="642"/>
        <v>0.33434046173046922</v>
      </c>
      <c r="AK204" s="26">
        <f t="shared" si="643"/>
        <v>2.0750592126881955E-2</v>
      </c>
      <c r="AL204" s="26">
        <f t="shared" si="644"/>
        <v>0.7182192836801633</v>
      </c>
      <c r="AM204" s="26">
        <f t="shared" si="645"/>
        <v>0.86758763138865158</v>
      </c>
      <c r="AN204" s="26">
        <f t="shared" si="646"/>
        <v>3.1764278521951399E-2</v>
      </c>
      <c r="AO204" s="26">
        <f t="shared" si="647"/>
        <v>2.3488173989738999E-3</v>
      </c>
      <c r="AP204" s="26">
        <f t="shared" si="648"/>
        <v>0</v>
      </c>
      <c r="AQ204" s="26">
        <f t="shared" si="649"/>
        <v>0</v>
      </c>
      <c r="AR204" s="26">
        <f t="shared" si="650"/>
        <v>0</v>
      </c>
      <c r="AS204" s="26">
        <f t="shared" si="651"/>
        <v>4.0025550369584355</v>
      </c>
      <c r="AT204" s="26">
        <f t="shared" si="652"/>
        <v>2.0252828396066347</v>
      </c>
      <c r="AU204" s="26">
        <f t="shared" si="653"/>
        <v>0.90170072730957684</v>
      </c>
      <c r="AV204" s="47"/>
      <c r="AW204" s="26">
        <f t="shared" si="654"/>
        <v>1.9979217264252307</v>
      </c>
      <c r="AX204" s="26">
        <f t="shared" si="655"/>
        <v>2.2596891074135239E-3</v>
      </c>
      <c r="AY204" s="26">
        <f t="shared" si="656"/>
        <v>2.6068270869756091E-2</v>
      </c>
      <c r="AZ204" s="26">
        <f t="shared" si="657"/>
        <v>0</v>
      </c>
      <c r="BA204" s="26">
        <f t="shared" si="658"/>
        <v>0.32646681715927611</v>
      </c>
      <c r="BB204" s="26">
        <f t="shared" si="659"/>
        <v>7.6602178403839538E-3</v>
      </c>
      <c r="BC204" s="26">
        <f t="shared" si="660"/>
        <v>2.0737345955547885E-2</v>
      </c>
      <c r="BD204" s="26">
        <f t="shared" si="661"/>
        <v>0.71776080733265035</v>
      </c>
      <c r="BE204" s="26">
        <f t="shared" si="662"/>
        <v>0.86703380553431331</v>
      </c>
      <c r="BF204" s="26">
        <f t="shared" si="663"/>
        <v>3.1744001747533002E-2</v>
      </c>
      <c r="BG204" s="26">
        <f t="shared" si="664"/>
        <v>2.3473180278952813E-3</v>
      </c>
      <c r="BH204" s="26">
        <f t="shared" si="665"/>
        <v>0</v>
      </c>
      <c r="BI204" s="26">
        <f t="shared" si="666"/>
        <v>0</v>
      </c>
      <c r="BJ204" s="26">
        <f t="shared" si="667"/>
        <v>0</v>
      </c>
      <c r="BK204" s="25">
        <f t="shared" si="668"/>
        <v>4</v>
      </c>
      <c r="BL204" s="24">
        <f t="shared" si="669"/>
        <v>6.0000000000000009</v>
      </c>
      <c r="BM204" s="26">
        <f t="shared" si="670"/>
        <v>2.0239899972949869</v>
      </c>
      <c r="BN204" s="26">
        <f t="shared" si="671"/>
        <v>0.90112512530974154</v>
      </c>
      <c r="BO204" s="22"/>
      <c r="BP204" s="23">
        <f t="shared" si="672"/>
        <v>0.68235488466259575</v>
      </c>
      <c r="BQ204" s="26">
        <f t="shared" si="673"/>
        <v>2.0782735747693071E-3</v>
      </c>
      <c r="BR204" s="26">
        <f t="shared" si="674"/>
        <v>2.3989997294986784E-2</v>
      </c>
      <c r="BS204" s="26"/>
      <c r="BT204" s="26">
        <f t="shared" si="675"/>
        <v>2.3989997294986784E-2</v>
      </c>
      <c r="BU204" s="26">
        <f t="shared" si="676"/>
        <v>0</v>
      </c>
      <c r="BV204" s="26">
        <f t="shared" si="677"/>
        <v>2.3989997294986784E-2</v>
      </c>
      <c r="BW204" s="26">
        <f t="shared" si="678"/>
        <v>0</v>
      </c>
      <c r="BX204" s="26">
        <f t="shared" si="679"/>
        <v>0.84359763409366484</v>
      </c>
      <c r="BY204" s="26">
        <f t="shared" si="680"/>
        <v>0.10448105565848387</v>
      </c>
      <c r="BZ204" s="26">
        <f t="shared" si="681"/>
        <v>0.9960586843421223</v>
      </c>
      <c r="CA204" s="22"/>
      <c r="CB204" s="22">
        <f t="shared" si="682"/>
        <v>7.6602178403839538E-3</v>
      </c>
      <c r="CC204" s="22">
        <f t="shared" si="683"/>
        <v>2.3989997294986784E-2</v>
      </c>
      <c r="CD204" s="22">
        <f t="shared" si="684"/>
        <v>0</v>
      </c>
      <c r="CE204" s="22">
        <f t="shared" si="685"/>
        <v>0</v>
      </c>
      <c r="CF204" s="22">
        <f t="shared" si="686"/>
        <v>0</v>
      </c>
      <c r="CG204" s="22">
        <f t="shared" si="687"/>
        <v>0.43734701168734863</v>
      </c>
      <c r="CH204" s="22">
        <f t="shared" si="688"/>
        <v>0.38674543142441004</v>
      </c>
      <c r="CI204" s="22">
        <f t="shared" si="689"/>
        <v>0.17590755688824136</v>
      </c>
      <c r="CJ204" s="22"/>
      <c r="CK204" s="22">
        <f t="shared" si="690"/>
        <v>0.44700321463505821</v>
      </c>
      <c r="CL204" s="22">
        <f t="shared" si="691"/>
        <v>0.37004484273716348</v>
      </c>
      <c r="CM204" s="22">
        <f t="shared" si="692"/>
        <v>0.1829519426277782</v>
      </c>
      <c r="CN204" s="1"/>
      <c r="CO204" s="26">
        <f t="shared" si="693"/>
        <v>0.88548601864181098</v>
      </c>
      <c r="CP204" s="26">
        <f t="shared" si="694"/>
        <v>1.0015022533800702E-3</v>
      </c>
      <c r="CQ204" s="26">
        <f t="shared" si="695"/>
        <v>1.1553550411926246E-2</v>
      </c>
      <c r="CR204" s="26">
        <f t="shared" si="696"/>
        <v>0</v>
      </c>
      <c r="CS204" s="26">
        <f t="shared" si="697"/>
        <v>0.14808629088378569</v>
      </c>
      <c r="CT204" s="26">
        <f t="shared" si="698"/>
        <v>9.1908655201578798E-3</v>
      </c>
      <c r="CU204" s="26">
        <f t="shared" si="699"/>
        <v>0.31811414392059556</v>
      </c>
      <c r="CV204" s="26">
        <f t="shared" si="700"/>
        <v>0.38427246790299574</v>
      </c>
      <c r="CW204" s="26">
        <f t="shared" si="701"/>
        <v>1.4069054533720555E-2</v>
      </c>
      <c r="CX204" s="26">
        <f t="shared" si="702"/>
        <v>1.0403397027600849E-3</v>
      </c>
      <c r="CY204" s="26">
        <f t="shared" si="703"/>
        <v>0</v>
      </c>
      <c r="CZ204" s="26">
        <f t="shared" si="704"/>
        <v>0</v>
      </c>
      <c r="DA204" s="26">
        <f t="shared" si="705"/>
        <v>0</v>
      </c>
      <c r="DB204" s="26">
        <f t="shared" si="706"/>
        <v>1.7728142337711326</v>
      </c>
      <c r="DC204" s="26">
        <f t="shared" si="707"/>
        <v>2.6575238327540465</v>
      </c>
      <c r="DD204" s="26">
        <f t="shared" si="708"/>
        <v>2.2562995737524032</v>
      </c>
      <c r="DE204" s="26">
        <f t="shared" si="709"/>
        <v>5.9961698910798082</v>
      </c>
      <c r="DF204" s="1"/>
      <c r="DG204" s="22"/>
      <c r="DH204" s="14"/>
      <c r="DI204" s="14"/>
      <c r="DJ204" s="14"/>
      <c r="DK204" s="14"/>
      <c r="DL204" s="14"/>
      <c r="DM204" s="96"/>
      <c r="DN204" s="14"/>
      <c r="DO204" s="96"/>
      <c r="DP204" s="22"/>
      <c r="DQ204" s="14"/>
      <c r="DR204" s="22"/>
      <c r="DS204" s="22"/>
      <c r="DT204" s="22"/>
      <c r="DU204" s="22"/>
      <c r="DV204" s="22"/>
      <c r="DW204" s="22"/>
      <c r="DX204" s="22"/>
      <c r="DY204" s="22"/>
      <c r="DZ204" s="22"/>
      <c r="EA204" s="22"/>
      <c r="EB204" s="22"/>
      <c r="EC204" s="22"/>
      <c r="ED204" s="22"/>
      <c r="EE204" s="22"/>
      <c r="EF204" s="22"/>
      <c r="EG204" s="22"/>
      <c r="EH204" s="22"/>
      <c r="EI204" s="22"/>
      <c r="EJ204" s="22"/>
      <c r="EK204" s="22"/>
      <c r="EL204" s="22"/>
      <c r="EM204" s="22"/>
      <c r="EN204" s="22"/>
      <c r="EO204" s="22"/>
      <c r="EP204" s="22"/>
      <c r="EQ204" s="22"/>
      <c r="ER204" s="22"/>
      <c r="ES204" s="22"/>
      <c r="ET204" s="22"/>
      <c r="EU204" s="22"/>
      <c r="EV204" s="22"/>
      <c r="EW204" s="22"/>
      <c r="EX204" s="22"/>
      <c r="EY204" s="22"/>
      <c r="EZ204" s="22"/>
      <c r="FA204" s="22"/>
      <c r="FB204" s="22"/>
      <c r="FC204" s="22"/>
      <c r="FD204" s="22"/>
      <c r="FE204" s="22"/>
      <c r="FF204" s="22"/>
      <c r="FG204" s="22"/>
      <c r="FH204" s="22"/>
      <c r="FI204" s="22"/>
      <c r="FJ204" s="22"/>
      <c r="FK204" s="22"/>
      <c r="FL204" s="22"/>
      <c r="FM204" s="22"/>
      <c r="FN204" s="22"/>
      <c r="FO204" s="22"/>
      <c r="FP204" s="22"/>
      <c r="FQ204" s="46"/>
      <c r="FR204" s="46"/>
      <c r="FS204" s="46"/>
      <c r="FT204" s="46"/>
      <c r="FU204" s="46"/>
      <c r="FV204" s="46"/>
      <c r="FW204" s="46"/>
      <c r="FX204" s="46"/>
      <c r="FY204" s="46"/>
      <c r="FZ204" s="46"/>
      <c r="GA204" s="46"/>
      <c r="GB204" s="46"/>
      <c r="GC204" s="46"/>
      <c r="GD204" s="46"/>
      <c r="GE204" s="46"/>
      <c r="GF204" s="46"/>
      <c r="GG204" s="46"/>
      <c r="GH204" s="46"/>
    </row>
    <row r="205" spans="1:190" x14ac:dyDescent="0.25">
      <c r="A205" s="5" t="s">
        <v>89</v>
      </c>
      <c r="B205" s="1">
        <v>633</v>
      </c>
      <c r="C205" s="98" t="s">
        <v>97</v>
      </c>
      <c r="D205" s="98" t="s">
        <v>106</v>
      </c>
      <c r="E205" s="1">
        <v>144</v>
      </c>
      <c r="F205" s="22">
        <v>51.7</v>
      </c>
      <c r="G205" s="22">
        <v>0.51200000000000001</v>
      </c>
      <c r="H205" s="22">
        <v>1.72</v>
      </c>
      <c r="I205" s="22">
        <v>0.03</v>
      </c>
      <c r="J205" s="22">
        <v>11.57</v>
      </c>
      <c r="K205" s="22">
        <v>0.66</v>
      </c>
      <c r="L205" s="22">
        <v>13.39</v>
      </c>
      <c r="M205" s="22">
        <v>19.09</v>
      </c>
      <c r="N205" s="22">
        <v>0.55700000000000005</v>
      </c>
      <c r="O205" s="22">
        <v>7.0000000000000007E-2</v>
      </c>
      <c r="P205" s="22">
        <v>0</v>
      </c>
      <c r="Q205" s="22"/>
      <c r="R205" s="22"/>
      <c r="S205" s="22">
        <f t="shared" si="634"/>
        <v>99.299000000000007</v>
      </c>
      <c r="T205" s="3"/>
      <c r="U205" s="22">
        <f t="shared" si="635"/>
        <v>10.493058762240262</v>
      </c>
      <c r="V205" s="22">
        <f t="shared" si="636"/>
        <v>1.196804797522397</v>
      </c>
      <c r="W205" s="22">
        <f t="shared" si="637"/>
        <v>99.41886355976267</v>
      </c>
      <c r="X205" s="1"/>
      <c r="Y205" s="1"/>
      <c r="Z205" s="1"/>
      <c r="AA205" s="1" t="s">
        <v>185</v>
      </c>
      <c r="AC205" s="1">
        <v>6</v>
      </c>
      <c r="AD205" s="1">
        <v>4</v>
      </c>
      <c r="AE205" s="1"/>
      <c r="AF205" s="26">
        <f t="shared" si="638"/>
        <v>1.9573671245581532</v>
      </c>
      <c r="AG205" s="26">
        <f t="shared" si="639"/>
        <v>1.4579531730828441E-2</v>
      </c>
      <c r="AH205" s="26">
        <f t="shared" si="640"/>
        <v>7.6743267534938264E-2</v>
      </c>
      <c r="AI205" s="26">
        <f t="shared" si="641"/>
        <v>8.9794121528753094E-4</v>
      </c>
      <c r="AJ205" s="26">
        <f t="shared" si="642"/>
        <v>0.36628426050908253</v>
      </c>
      <c r="AK205" s="26">
        <f t="shared" si="643"/>
        <v>2.1162375788371445E-2</v>
      </c>
      <c r="AL205" s="26">
        <f t="shared" si="644"/>
        <v>0.75576574124138918</v>
      </c>
      <c r="AM205" s="26">
        <f t="shared" si="645"/>
        <v>0.77430059694410502</v>
      </c>
      <c r="AN205" s="26">
        <f t="shared" si="646"/>
        <v>4.0883238420207801E-2</v>
      </c>
      <c r="AO205" s="26">
        <f t="shared" si="647"/>
        <v>3.3805612072925085E-3</v>
      </c>
      <c r="AP205" s="26">
        <f t="shared" si="648"/>
        <v>0</v>
      </c>
      <c r="AQ205" s="26">
        <f t="shared" si="649"/>
        <v>0</v>
      </c>
      <c r="AR205" s="26">
        <f t="shared" si="650"/>
        <v>0</v>
      </c>
      <c r="AS205" s="26">
        <f t="shared" si="651"/>
        <v>4.0113646391496562</v>
      </c>
      <c r="AT205" s="26">
        <f t="shared" si="652"/>
        <v>2.0341103920930914</v>
      </c>
      <c r="AU205" s="26">
        <f t="shared" si="653"/>
        <v>0.81856439657160529</v>
      </c>
      <c r="AV205" s="47"/>
      <c r="AW205" s="26">
        <f t="shared" si="654"/>
        <v>1.9518216872680847</v>
      </c>
      <c r="AX205" s="26">
        <f t="shared" si="655"/>
        <v>1.4538226306865052E-2</v>
      </c>
      <c r="AY205" s="26">
        <f t="shared" si="656"/>
        <v>7.6525845380345778E-2</v>
      </c>
      <c r="AZ205" s="26">
        <f t="shared" si="657"/>
        <v>8.953972486309596E-4</v>
      </c>
      <c r="BA205" s="26">
        <f t="shared" si="658"/>
        <v>0.33124921112186234</v>
      </c>
      <c r="BB205" s="26">
        <f t="shared" si="659"/>
        <v>3.3997325614552487E-2</v>
      </c>
      <c r="BC205" s="26">
        <f t="shared" si="660"/>
        <v>2.1102420440000214E-2</v>
      </c>
      <c r="BD205" s="26">
        <f t="shared" si="661"/>
        <v>0.75362457340861366</v>
      </c>
      <c r="BE205" s="26">
        <f t="shared" si="662"/>
        <v>0.77210691781761742</v>
      </c>
      <c r="BF205" s="26">
        <f t="shared" si="663"/>
        <v>4.07674116894787E-2</v>
      </c>
      <c r="BG205" s="26">
        <f t="shared" si="664"/>
        <v>3.3709837039488212E-3</v>
      </c>
      <c r="BH205" s="26">
        <f t="shared" si="665"/>
        <v>0</v>
      </c>
      <c r="BI205" s="26">
        <f t="shared" si="666"/>
        <v>0</v>
      </c>
      <c r="BJ205" s="26">
        <f t="shared" si="667"/>
        <v>0</v>
      </c>
      <c r="BK205" s="25">
        <f t="shared" si="668"/>
        <v>4</v>
      </c>
      <c r="BL205" s="24">
        <f t="shared" si="669"/>
        <v>6</v>
      </c>
      <c r="BM205" s="26">
        <f t="shared" si="670"/>
        <v>2.0283475326484304</v>
      </c>
      <c r="BN205" s="26">
        <f t="shared" si="671"/>
        <v>0.81624531321104499</v>
      </c>
      <c r="BO205" s="22"/>
      <c r="BP205" s="23">
        <f t="shared" si="672"/>
        <v>0.67355798766752373</v>
      </c>
      <c r="BQ205" s="26">
        <f t="shared" si="673"/>
        <v>4.8178312731915307E-2</v>
      </c>
      <c r="BR205" s="26">
        <f t="shared" si="674"/>
        <v>2.8347532648430471E-2</v>
      </c>
      <c r="BS205" s="26"/>
      <c r="BT205" s="26">
        <f t="shared" si="675"/>
        <v>2.8347532648430471E-2</v>
      </c>
      <c r="BU205" s="26">
        <f t="shared" si="676"/>
        <v>0</v>
      </c>
      <c r="BV205" s="26">
        <f t="shared" si="677"/>
        <v>2.8347532648430471E-2</v>
      </c>
      <c r="BW205" s="26">
        <f t="shared" si="678"/>
        <v>4.4897060764376547E-4</v>
      </c>
      <c r="BX205" s="26">
        <f t="shared" si="679"/>
        <v>0.74550409368803072</v>
      </c>
      <c r="BY205" s="26">
        <f t="shared" si="680"/>
        <v>0.18827295403122052</v>
      </c>
      <c r="BZ205" s="26">
        <f t="shared" si="681"/>
        <v>0.99092108362375586</v>
      </c>
      <c r="CA205" s="22"/>
      <c r="CB205" s="22">
        <f t="shared" si="682"/>
        <v>3.3997325614552487E-2</v>
      </c>
      <c r="CC205" s="22">
        <f t="shared" si="683"/>
        <v>6.7700860749262126E-3</v>
      </c>
      <c r="CD205" s="22">
        <f t="shared" si="684"/>
        <v>0</v>
      </c>
      <c r="CE205" s="22">
        <f t="shared" si="685"/>
        <v>8.953972486309596E-4</v>
      </c>
      <c r="CF205" s="22">
        <f t="shared" si="686"/>
        <v>2.1577446573504258E-2</v>
      </c>
      <c r="CG205" s="22">
        <f t="shared" si="687"/>
        <v>0.39181569980501735</v>
      </c>
      <c r="CH205" s="22">
        <f t="shared" si="688"/>
        <v>0.42248475382472883</v>
      </c>
      <c r="CI205" s="22">
        <f t="shared" si="689"/>
        <v>0.18569954637025385</v>
      </c>
      <c r="CJ205" s="22"/>
      <c r="CK205" s="22">
        <f t="shared" si="690"/>
        <v>0.40380461944613066</v>
      </c>
      <c r="CL205" s="22">
        <f t="shared" si="691"/>
        <v>0.394138528030132</v>
      </c>
      <c r="CM205" s="22">
        <f t="shared" si="692"/>
        <v>0.20205685252373734</v>
      </c>
      <c r="CN205" s="1"/>
      <c r="CO205" s="26">
        <f t="shared" si="693"/>
        <v>0.86051930758988027</v>
      </c>
      <c r="CP205" s="26">
        <f t="shared" si="694"/>
        <v>6.4096144216324496E-3</v>
      </c>
      <c r="CQ205" s="26">
        <f t="shared" si="695"/>
        <v>3.3738721067085135E-2</v>
      </c>
      <c r="CR205" s="26">
        <f t="shared" si="696"/>
        <v>3.9476281334298308E-4</v>
      </c>
      <c r="CS205" s="26">
        <f t="shared" si="697"/>
        <v>0.16102992345163536</v>
      </c>
      <c r="CT205" s="26">
        <f t="shared" si="698"/>
        <v>9.303636876233437E-3</v>
      </c>
      <c r="CU205" s="26">
        <f t="shared" si="699"/>
        <v>0.33225806451612905</v>
      </c>
      <c r="CV205" s="26">
        <f t="shared" si="700"/>
        <v>0.34040656205420827</v>
      </c>
      <c r="CW205" s="26">
        <f t="shared" si="701"/>
        <v>1.7973539851565024E-2</v>
      </c>
      <c r="CX205" s="26">
        <f t="shared" si="702"/>
        <v>1.48619957537155E-3</v>
      </c>
      <c r="CY205" s="26">
        <f t="shared" si="703"/>
        <v>0</v>
      </c>
      <c r="CZ205" s="26">
        <f t="shared" si="704"/>
        <v>0</v>
      </c>
      <c r="DA205" s="26">
        <f t="shared" si="705"/>
        <v>0</v>
      </c>
      <c r="DB205" s="26">
        <f t="shared" si="706"/>
        <v>1.7635203322170836</v>
      </c>
      <c r="DC205" s="26">
        <f t="shared" si="707"/>
        <v>2.6377861264553419</v>
      </c>
      <c r="DD205" s="26">
        <f t="shared" si="708"/>
        <v>2.2681904636569925</v>
      </c>
      <c r="DE205" s="26">
        <f t="shared" si="709"/>
        <v>5.9830013371927242</v>
      </c>
      <c r="DF205" s="1"/>
      <c r="DG205" s="22"/>
      <c r="DH205" s="14"/>
      <c r="DI205" s="14"/>
      <c r="DJ205" s="14"/>
      <c r="DK205" s="14"/>
      <c r="DL205" s="14"/>
      <c r="DM205" s="96"/>
      <c r="DN205" s="14"/>
      <c r="DO205" s="96"/>
      <c r="DP205" s="22"/>
      <c r="DQ205" s="14"/>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46"/>
      <c r="FR205" s="46"/>
      <c r="FS205" s="46"/>
      <c r="FT205" s="46"/>
      <c r="FU205" s="46"/>
      <c r="FV205" s="46"/>
      <c r="FW205" s="46"/>
      <c r="FX205" s="46"/>
      <c r="FY205" s="46"/>
      <c r="FZ205" s="46"/>
      <c r="GA205" s="46"/>
      <c r="GB205" s="46"/>
      <c r="GC205" s="46"/>
      <c r="GD205" s="46"/>
      <c r="GE205" s="46"/>
      <c r="GF205" s="46"/>
      <c r="GG205" s="46"/>
      <c r="GH205" s="46"/>
    </row>
    <row r="206" spans="1:190" x14ac:dyDescent="0.25">
      <c r="A206" s="5" t="s">
        <v>89</v>
      </c>
      <c r="B206" s="1">
        <v>635</v>
      </c>
      <c r="C206" s="98" t="s">
        <v>97</v>
      </c>
      <c r="D206" s="98" t="s">
        <v>106</v>
      </c>
      <c r="E206" s="1">
        <v>146</v>
      </c>
      <c r="F206" s="22">
        <v>53.06</v>
      </c>
      <c r="G206" s="22">
        <v>0.153</v>
      </c>
      <c r="H206" s="22">
        <v>0.50800000000000001</v>
      </c>
      <c r="I206" s="22">
        <v>0</v>
      </c>
      <c r="J206" s="22">
        <v>11.24</v>
      </c>
      <c r="K206" s="22">
        <v>0.52100000000000002</v>
      </c>
      <c r="L206" s="22">
        <v>12.87</v>
      </c>
      <c r="M206" s="22">
        <v>21.04</v>
      </c>
      <c r="N206" s="22">
        <v>0.34899999999999998</v>
      </c>
      <c r="O206" s="22">
        <v>0</v>
      </c>
      <c r="P206" s="22">
        <v>0</v>
      </c>
      <c r="Q206" s="22"/>
      <c r="R206" s="22"/>
      <c r="S206" s="22">
        <f t="shared" si="634"/>
        <v>99.741</v>
      </c>
      <c r="T206" s="3"/>
      <c r="U206" s="22">
        <f t="shared" si="635"/>
        <v>11.24</v>
      </c>
      <c r="V206" s="22">
        <f t="shared" si="636"/>
        <v>0</v>
      </c>
      <c r="W206" s="22">
        <f t="shared" si="637"/>
        <v>99.741</v>
      </c>
      <c r="X206" s="1"/>
      <c r="Y206" s="1"/>
      <c r="Z206" s="1"/>
      <c r="AA206" s="1" t="s">
        <v>185</v>
      </c>
      <c r="AC206" s="1">
        <v>6</v>
      </c>
      <c r="AD206" s="1">
        <v>4</v>
      </c>
      <c r="AE206" s="1"/>
      <c r="AF206" s="26">
        <f t="shared" si="638"/>
        <v>2.0003267212144391</v>
      </c>
      <c r="AG206" s="26">
        <f t="shared" si="639"/>
        <v>4.3382741139168747E-3</v>
      </c>
      <c r="AH206" s="26">
        <f t="shared" si="640"/>
        <v>2.2569788844477957E-2</v>
      </c>
      <c r="AI206" s="26">
        <f t="shared" si="641"/>
        <v>0</v>
      </c>
      <c r="AJ206" s="26">
        <f t="shared" si="642"/>
        <v>0.35432610777802359</v>
      </c>
      <c r="AK206" s="26">
        <f t="shared" si="643"/>
        <v>1.6634515421340434E-2</v>
      </c>
      <c r="AL206" s="26">
        <f t="shared" si="644"/>
        <v>0.72333106231811739</v>
      </c>
      <c r="AM206" s="26">
        <f t="shared" si="645"/>
        <v>0.84976990318010515</v>
      </c>
      <c r="AN206" s="26">
        <f t="shared" si="646"/>
        <v>2.550747475796921E-2</v>
      </c>
      <c r="AO206" s="26">
        <f t="shared" si="647"/>
        <v>0</v>
      </c>
      <c r="AP206" s="26">
        <f t="shared" si="648"/>
        <v>0</v>
      </c>
      <c r="AQ206" s="26">
        <f t="shared" si="649"/>
        <v>0</v>
      </c>
      <c r="AR206" s="26">
        <f t="shared" si="650"/>
        <v>0</v>
      </c>
      <c r="AS206" s="26">
        <f t="shared" si="651"/>
        <v>3.99680384762839</v>
      </c>
      <c r="AT206" s="26">
        <f t="shared" si="652"/>
        <v>2.0228965100589171</v>
      </c>
      <c r="AU206" s="26">
        <f t="shared" si="653"/>
        <v>0.87527737793807436</v>
      </c>
      <c r="AV206" s="47"/>
      <c r="AW206" s="26">
        <f t="shared" si="654"/>
        <v>2.0019263366165809</v>
      </c>
      <c r="AX206" s="26">
        <f t="shared" si="655"/>
        <v>4.3417433322289313E-3</v>
      </c>
      <c r="AY206" s="26">
        <f t="shared" si="656"/>
        <v>2.2587837386986449E-2</v>
      </c>
      <c r="AZ206" s="26">
        <f t="shared" si="657"/>
        <v>0</v>
      </c>
      <c r="BA206" s="26">
        <f t="shared" si="658"/>
        <v>0.35460945424006485</v>
      </c>
      <c r="BB206" s="26">
        <f t="shared" si="659"/>
        <v>0</v>
      </c>
      <c r="BC206" s="26">
        <f t="shared" si="660"/>
        <v>1.6647817661815924E-2</v>
      </c>
      <c r="BD206" s="26">
        <f t="shared" si="661"/>
        <v>0.72390949357930112</v>
      </c>
      <c r="BE206" s="26">
        <f t="shared" si="662"/>
        <v>0.85044944468249428</v>
      </c>
      <c r="BF206" s="26">
        <f t="shared" si="663"/>
        <v>2.5527872500527894E-2</v>
      </c>
      <c r="BG206" s="26">
        <f t="shared" si="664"/>
        <v>0</v>
      </c>
      <c r="BH206" s="26">
        <f t="shared" si="665"/>
        <v>0</v>
      </c>
      <c r="BI206" s="26">
        <f t="shared" si="666"/>
        <v>0</v>
      </c>
      <c r="BJ206" s="26">
        <f t="shared" si="667"/>
        <v>0</v>
      </c>
      <c r="BK206" s="25">
        <f t="shared" si="668"/>
        <v>4</v>
      </c>
      <c r="BL206" s="24">
        <f t="shared" si="669"/>
        <v>6.0047980623920401</v>
      </c>
      <c r="BM206" s="26">
        <f t="shared" si="670"/>
        <v>2.0245141740035675</v>
      </c>
      <c r="BN206" s="26">
        <f t="shared" si="671"/>
        <v>0.87597731718302219</v>
      </c>
      <c r="BO206" s="22"/>
      <c r="BP206" s="23">
        <f t="shared" si="672"/>
        <v>0.67120702426504231</v>
      </c>
      <c r="BQ206" s="26">
        <f t="shared" si="673"/>
        <v>0</v>
      </c>
      <c r="BR206" s="26">
        <f t="shared" si="674"/>
        <v>2.2587837386986449E-2</v>
      </c>
      <c r="BS206" s="26"/>
      <c r="BT206" s="26">
        <f t="shared" si="675"/>
        <v>2.2587837386986449E-2</v>
      </c>
      <c r="BU206" s="26">
        <f t="shared" si="676"/>
        <v>0</v>
      </c>
      <c r="BV206" s="26">
        <f t="shared" si="677"/>
        <v>2.2587837386986449E-2</v>
      </c>
      <c r="BW206" s="26">
        <f t="shared" si="678"/>
        <v>0</v>
      </c>
      <c r="BX206" s="26">
        <f t="shared" si="679"/>
        <v>0.8271820657931187</v>
      </c>
      <c r="BY206" s="26">
        <f t="shared" si="680"/>
        <v>0.12523755215151117</v>
      </c>
      <c r="BZ206" s="26">
        <f t="shared" si="681"/>
        <v>0.9975952927186027</v>
      </c>
      <c r="CA206" s="22"/>
      <c r="CB206" s="22">
        <f t="shared" si="682"/>
        <v>0</v>
      </c>
      <c r="CC206" s="22">
        <f t="shared" si="683"/>
        <v>2.2587837386986449E-2</v>
      </c>
      <c r="CD206" s="22">
        <f t="shared" si="684"/>
        <v>0</v>
      </c>
      <c r="CE206" s="22">
        <f t="shared" si="685"/>
        <v>0</v>
      </c>
      <c r="CF206" s="22">
        <f t="shared" si="686"/>
        <v>0</v>
      </c>
      <c r="CG206" s="22">
        <f t="shared" si="687"/>
        <v>0.42522472234124714</v>
      </c>
      <c r="CH206" s="22">
        <f t="shared" si="688"/>
        <v>0.385793203738445</v>
      </c>
      <c r="CI206" s="22">
        <f t="shared" si="689"/>
        <v>0.18898207392030789</v>
      </c>
      <c r="CJ206" s="22"/>
      <c r="CK206" s="22">
        <f t="shared" si="690"/>
        <v>0.4371105875042795</v>
      </c>
      <c r="CL206" s="22">
        <f t="shared" si="691"/>
        <v>0.37207209201777863</v>
      </c>
      <c r="CM206" s="22">
        <f t="shared" si="692"/>
        <v>0.19081732047794181</v>
      </c>
      <c r="CN206" s="1"/>
      <c r="CO206" s="26">
        <f t="shared" si="693"/>
        <v>0.88315579227696406</v>
      </c>
      <c r="CP206" s="26">
        <f t="shared" si="694"/>
        <v>1.9153730595893842E-3</v>
      </c>
      <c r="CQ206" s="26">
        <f t="shared" si="695"/>
        <v>9.9646920360925862E-3</v>
      </c>
      <c r="CR206" s="26">
        <f t="shared" si="696"/>
        <v>0</v>
      </c>
      <c r="CS206" s="26">
        <f t="shared" si="697"/>
        <v>0.15643702157272096</v>
      </c>
      <c r="CT206" s="26">
        <f t="shared" si="698"/>
        <v>7.3442345644206377E-3</v>
      </c>
      <c r="CU206" s="26">
        <f t="shared" si="699"/>
        <v>0.3193548387096774</v>
      </c>
      <c r="CV206" s="26">
        <f t="shared" si="700"/>
        <v>0.37517831669044222</v>
      </c>
      <c r="CW206" s="26">
        <f t="shared" si="701"/>
        <v>1.1261697321716682E-2</v>
      </c>
      <c r="CX206" s="26">
        <f t="shared" si="702"/>
        <v>0</v>
      </c>
      <c r="CY206" s="26">
        <f t="shared" si="703"/>
        <v>0</v>
      </c>
      <c r="CZ206" s="26">
        <f t="shared" si="704"/>
        <v>0</v>
      </c>
      <c r="DA206" s="26">
        <f t="shared" si="705"/>
        <v>0</v>
      </c>
      <c r="DB206" s="26">
        <f t="shared" si="706"/>
        <v>1.7646119662316238</v>
      </c>
      <c r="DC206" s="26">
        <f t="shared" si="707"/>
        <v>2.6490346289253655</v>
      </c>
      <c r="DD206" s="26">
        <f t="shared" si="708"/>
        <v>2.2667873031271046</v>
      </c>
      <c r="DE206" s="26">
        <f t="shared" si="709"/>
        <v>6.0047980623920392</v>
      </c>
      <c r="DF206" s="1"/>
      <c r="DG206" s="22"/>
      <c r="DH206" s="14"/>
      <c r="DI206" s="14"/>
      <c r="DJ206" s="14"/>
      <c r="DK206" s="14"/>
      <c r="DL206" s="14"/>
      <c r="DM206" s="96"/>
      <c r="DN206" s="14"/>
      <c r="DO206" s="96"/>
      <c r="DP206" s="22"/>
      <c r="DQ206" s="14"/>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46"/>
      <c r="FR206" s="46"/>
      <c r="FS206" s="46"/>
      <c r="FT206" s="46"/>
      <c r="FU206" s="46"/>
      <c r="FV206" s="46"/>
      <c r="FW206" s="46"/>
      <c r="FX206" s="46"/>
      <c r="FY206" s="46"/>
      <c r="FZ206" s="46"/>
      <c r="GA206" s="46"/>
      <c r="GB206" s="46"/>
      <c r="GC206" s="46"/>
      <c r="GD206" s="46"/>
      <c r="GE206" s="46"/>
      <c r="GF206" s="46"/>
      <c r="GG206" s="46"/>
      <c r="GH206" s="46"/>
    </row>
    <row r="207" spans="1:190" x14ac:dyDescent="0.25">
      <c r="A207" s="5" t="s">
        <v>89</v>
      </c>
      <c r="B207" s="1">
        <v>640</v>
      </c>
      <c r="C207" s="98" t="s">
        <v>97</v>
      </c>
      <c r="D207" s="98" t="s">
        <v>106</v>
      </c>
      <c r="E207" s="1">
        <v>151</v>
      </c>
      <c r="F207" s="22">
        <v>52.69</v>
      </c>
      <c r="G207" s="22">
        <v>0.29599999999999999</v>
      </c>
      <c r="H207" s="22">
        <v>0.86499999999999999</v>
      </c>
      <c r="I207" s="22">
        <v>0</v>
      </c>
      <c r="J207" s="22">
        <v>10.95</v>
      </c>
      <c r="K207" s="22">
        <v>0.55500000000000005</v>
      </c>
      <c r="L207" s="22">
        <v>13.2</v>
      </c>
      <c r="M207" s="22">
        <v>20.53</v>
      </c>
      <c r="N207" s="22">
        <v>0.34699999999999998</v>
      </c>
      <c r="O207" s="22">
        <v>0</v>
      </c>
      <c r="P207" s="22">
        <v>0</v>
      </c>
      <c r="Q207" s="22"/>
      <c r="R207" s="22"/>
      <c r="S207" s="22">
        <f t="shared" si="634"/>
        <v>99.433000000000007</v>
      </c>
      <c r="T207" s="3"/>
      <c r="U207" s="22">
        <f t="shared" si="635"/>
        <v>10.95</v>
      </c>
      <c r="V207" s="22">
        <f t="shared" si="636"/>
        <v>0</v>
      </c>
      <c r="W207" s="22">
        <f t="shared" si="637"/>
        <v>99.433000000000007</v>
      </c>
      <c r="X207" s="1"/>
      <c r="Y207" s="1"/>
      <c r="Z207" s="1"/>
      <c r="AA207" s="1" t="s">
        <v>185</v>
      </c>
      <c r="AC207" s="1">
        <v>6</v>
      </c>
      <c r="AD207" s="1">
        <v>4</v>
      </c>
      <c r="AE207" s="1"/>
      <c r="AF207" s="26">
        <f t="shared" si="638"/>
        <v>1.9884250373852888</v>
      </c>
      <c r="AG207" s="26">
        <f t="shared" si="639"/>
        <v>8.4016503424827905E-3</v>
      </c>
      <c r="AH207" s="26">
        <f t="shared" si="640"/>
        <v>3.847044630606726E-2</v>
      </c>
      <c r="AI207" s="26">
        <f t="shared" si="641"/>
        <v>0</v>
      </c>
      <c r="AJ207" s="26">
        <f t="shared" si="642"/>
        <v>0.34553997307946843</v>
      </c>
      <c r="AK207" s="26">
        <f t="shared" si="643"/>
        <v>1.7738330702641109E-2</v>
      </c>
      <c r="AL207" s="26">
        <f t="shared" si="644"/>
        <v>0.74264255813823143</v>
      </c>
      <c r="AM207" s="26">
        <f t="shared" si="645"/>
        <v>0.83002637500903609</v>
      </c>
      <c r="AN207" s="26">
        <f t="shared" si="646"/>
        <v>2.5387436311959971E-2</v>
      </c>
      <c r="AO207" s="26">
        <f t="shared" si="647"/>
        <v>0</v>
      </c>
      <c r="AP207" s="26">
        <f t="shared" si="648"/>
        <v>0</v>
      </c>
      <c r="AQ207" s="26">
        <f t="shared" si="649"/>
        <v>0</v>
      </c>
      <c r="AR207" s="26">
        <f t="shared" si="650"/>
        <v>0</v>
      </c>
      <c r="AS207" s="26">
        <f t="shared" si="651"/>
        <v>3.9966318072751768</v>
      </c>
      <c r="AT207" s="26">
        <f t="shared" si="652"/>
        <v>2.026895483691356</v>
      </c>
      <c r="AU207" s="26">
        <f t="shared" si="653"/>
        <v>0.85541381132099603</v>
      </c>
      <c r="AV207" s="47"/>
      <c r="AW207" s="26">
        <f t="shared" si="654"/>
        <v>1.9901007981427814</v>
      </c>
      <c r="AX207" s="26">
        <f t="shared" si="655"/>
        <v>8.4087308990425796E-3</v>
      </c>
      <c r="AY207" s="26">
        <f t="shared" si="656"/>
        <v>3.8502867575680569E-2</v>
      </c>
      <c r="AZ207" s="26">
        <f t="shared" si="657"/>
        <v>0</v>
      </c>
      <c r="BA207" s="26">
        <f t="shared" si="658"/>
        <v>0.34583117959525089</v>
      </c>
      <c r="BB207" s="26">
        <f t="shared" si="659"/>
        <v>0</v>
      </c>
      <c r="BC207" s="26">
        <f t="shared" si="660"/>
        <v>1.7753279819623661E-2</v>
      </c>
      <c r="BD207" s="26">
        <f t="shared" si="661"/>
        <v>0.74326842596446252</v>
      </c>
      <c r="BE207" s="26">
        <f t="shared" si="662"/>
        <v>0.83072588623061727</v>
      </c>
      <c r="BF207" s="26">
        <f t="shared" si="663"/>
        <v>2.5408831772540604E-2</v>
      </c>
      <c r="BG207" s="26">
        <f t="shared" si="664"/>
        <v>0</v>
      </c>
      <c r="BH207" s="26">
        <f t="shared" si="665"/>
        <v>0</v>
      </c>
      <c r="BI207" s="26">
        <f t="shared" si="666"/>
        <v>0</v>
      </c>
      <c r="BJ207" s="26">
        <f t="shared" si="667"/>
        <v>0</v>
      </c>
      <c r="BK207" s="25">
        <f t="shared" si="668"/>
        <v>3.9999999999999996</v>
      </c>
      <c r="BL207" s="24">
        <f t="shared" si="669"/>
        <v>6.0050565469433934</v>
      </c>
      <c r="BM207" s="26">
        <f t="shared" si="670"/>
        <v>2.0286036657184621</v>
      </c>
      <c r="BN207" s="26">
        <f t="shared" si="671"/>
        <v>0.85613471800315788</v>
      </c>
      <c r="BO207" s="22"/>
      <c r="BP207" s="23">
        <f t="shared" si="672"/>
        <v>0.68246138568976877</v>
      </c>
      <c r="BQ207" s="26">
        <f t="shared" si="673"/>
        <v>9.899201857218598E-3</v>
      </c>
      <c r="BR207" s="26">
        <f t="shared" si="674"/>
        <v>2.8603665718461971E-2</v>
      </c>
      <c r="BS207" s="26"/>
      <c r="BT207" s="26">
        <f t="shared" si="675"/>
        <v>2.5387436311959971E-2</v>
      </c>
      <c r="BU207" s="26">
        <f t="shared" si="676"/>
        <v>3.1948339459213666E-3</v>
      </c>
      <c r="BV207" s="26">
        <f t="shared" si="677"/>
        <v>2.7006248745501289E-2</v>
      </c>
      <c r="BW207" s="26">
        <f t="shared" si="678"/>
        <v>0</v>
      </c>
      <c r="BX207" s="26">
        <f t="shared" si="679"/>
        <v>0.79982529231761346</v>
      </c>
      <c r="BY207" s="26">
        <f t="shared" si="680"/>
        <v>0.14417861945004318</v>
      </c>
      <c r="BZ207" s="26">
        <f t="shared" si="681"/>
        <v>0.99959243077103932</v>
      </c>
      <c r="CA207" s="22"/>
      <c r="CB207" s="22">
        <f t="shared" si="682"/>
        <v>0</v>
      </c>
      <c r="CC207" s="22">
        <f t="shared" si="683"/>
        <v>2.5408831772540604E-2</v>
      </c>
      <c r="CD207" s="22">
        <f t="shared" si="684"/>
        <v>0</v>
      </c>
      <c r="CE207" s="22">
        <f t="shared" si="685"/>
        <v>0</v>
      </c>
      <c r="CF207" s="22">
        <f t="shared" si="686"/>
        <v>3.1948339459213666E-3</v>
      </c>
      <c r="CG207" s="22">
        <f t="shared" si="687"/>
        <v>0.41376552614234796</v>
      </c>
      <c r="CH207" s="22">
        <f t="shared" si="688"/>
        <v>0.40008239136800572</v>
      </c>
      <c r="CI207" s="22">
        <f t="shared" si="689"/>
        <v>0.18615208248964635</v>
      </c>
      <c r="CJ207" s="22"/>
      <c r="CK207" s="22">
        <f t="shared" si="690"/>
        <v>0.42874431656802187</v>
      </c>
      <c r="CL207" s="22">
        <f t="shared" si="691"/>
        <v>0.383606817361481</v>
      </c>
      <c r="CM207" s="22">
        <f t="shared" si="692"/>
        <v>0.18764886607049705</v>
      </c>
      <c r="CN207" s="1"/>
      <c r="CO207" s="26">
        <f t="shared" si="693"/>
        <v>0.87699733688415449</v>
      </c>
      <c r="CP207" s="26">
        <f t="shared" si="694"/>
        <v>3.7055583375062593E-3</v>
      </c>
      <c r="CQ207" s="26">
        <f t="shared" si="695"/>
        <v>1.6967438211063161E-2</v>
      </c>
      <c r="CR207" s="26">
        <f t="shared" si="696"/>
        <v>0</v>
      </c>
      <c r="CS207" s="26">
        <f t="shared" si="697"/>
        <v>0.1524008350730689</v>
      </c>
      <c r="CT207" s="26">
        <f t="shared" si="698"/>
        <v>7.8235128277417548E-3</v>
      </c>
      <c r="CU207" s="26">
        <f t="shared" si="699"/>
        <v>0.32754342431761785</v>
      </c>
      <c r="CV207" s="26">
        <f t="shared" si="700"/>
        <v>0.36608416547788875</v>
      </c>
      <c r="CW207" s="26">
        <f t="shared" si="701"/>
        <v>1.1197160374314294E-2</v>
      </c>
      <c r="CX207" s="26">
        <f t="shared" si="702"/>
        <v>0</v>
      </c>
      <c r="CY207" s="26">
        <f t="shared" si="703"/>
        <v>0</v>
      </c>
      <c r="CZ207" s="26">
        <f t="shared" si="704"/>
        <v>0</v>
      </c>
      <c r="DA207" s="26">
        <f t="shared" si="705"/>
        <v>0</v>
      </c>
      <c r="DB207" s="26">
        <f t="shared" si="706"/>
        <v>1.7627194315033556</v>
      </c>
      <c r="DC207" s="26">
        <f t="shared" si="707"/>
        <v>2.6463074656433903</v>
      </c>
      <c r="DD207" s="26">
        <f t="shared" si="708"/>
        <v>2.2692210277551395</v>
      </c>
      <c r="DE207" s="26">
        <f t="shared" si="709"/>
        <v>6.0050565469433925</v>
      </c>
      <c r="DF207" s="1"/>
      <c r="DG207" s="22"/>
      <c r="DH207" s="14"/>
      <c r="DI207" s="14"/>
      <c r="DJ207" s="14"/>
      <c r="DK207" s="14"/>
      <c r="DL207" s="14"/>
      <c r="DM207" s="96"/>
      <c r="DN207" s="14"/>
      <c r="DO207" s="96"/>
      <c r="DP207" s="22"/>
      <c r="DQ207" s="14"/>
      <c r="DR207" s="22"/>
      <c r="DS207" s="22"/>
      <c r="DT207" s="22"/>
      <c r="DU207" s="22"/>
      <c r="DV207" s="22"/>
      <c r="DW207" s="22"/>
      <c r="DX207" s="22"/>
      <c r="DY207" s="22"/>
      <c r="DZ207" s="22"/>
      <c r="EA207" s="22"/>
      <c r="EB207" s="22"/>
      <c r="EC207" s="22"/>
      <c r="ED207" s="22"/>
      <c r="EE207" s="22"/>
      <c r="EF207" s="22"/>
      <c r="EG207" s="22"/>
      <c r="EH207" s="22"/>
      <c r="EI207" s="22"/>
      <c r="EJ207" s="22"/>
      <c r="EK207" s="22"/>
      <c r="EL207" s="22"/>
      <c r="EM207" s="22"/>
      <c r="EN207" s="22"/>
      <c r="EO207" s="22"/>
      <c r="EP207" s="22"/>
      <c r="EQ207" s="22"/>
      <c r="ER207" s="22"/>
      <c r="ES207" s="22"/>
      <c r="ET207" s="22"/>
      <c r="EU207" s="22"/>
      <c r="EV207" s="22"/>
      <c r="EW207" s="22"/>
      <c r="EX207" s="22"/>
      <c r="EY207" s="22"/>
      <c r="EZ207" s="22"/>
      <c r="FA207" s="22"/>
      <c r="FB207" s="22"/>
      <c r="FC207" s="22"/>
      <c r="FD207" s="22"/>
      <c r="FE207" s="22"/>
      <c r="FF207" s="22"/>
      <c r="FG207" s="22"/>
      <c r="FH207" s="22"/>
      <c r="FI207" s="22"/>
      <c r="FJ207" s="22"/>
      <c r="FK207" s="22"/>
      <c r="FL207" s="22"/>
      <c r="FM207" s="22"/>
      <c r="FN207" s="22"/>
      <c r="FO207" s="22"/>
      <c r="FP207" s="22"/>
      <c r="FQ207" s="46"/>
      <c r="FR207" s="46"/>
      <c r="FS207" s="46"/>
      <c r="FT207" s="46"/>
      <c r="FU207" s="46"/>
      <c r="FV207" s="46"/>
      <c r="FW207" s="46"/>
      <c r="FX207" s="46"/>
      <c r="FY207" s="46"/>
      <c r="FZ207" s="46"/>
      <c r="GA207" s="46"/>
      <c r="GB207" s="46"/>
      <c r="GC207" s="46"/>
      <c r="GD207" s="46"/>
      <c r="GE207" s="46"/>
      <c r="GF207" s="46"/>
      <c r="GG207" s="46"/>
      <c r="GH207" s="46"/>
    </row>
    <row r="208" spans="1:190" x14ac:dyDescent="0.25">
      <c r="A208" s="5" t="s">
        <v>89</v>
      </c>
      <c r="B208" s="1">
        <v>641</v>
      </c>
      <c r="C208" s="98" t="s">
        <v>97</v>
      </c>
      <c r="D208" s="98" t="s">
        <v>106</v>
      </c>
      <c r="E208" s="1">
        <v>152</v>
      </c>
      <c r="F208" s="22">
        <v>52.95</v>
      </c>
      <c r="G208" s="22">
        <v>0.255</v>
      </c>
      <c r="H208" s="22">
        <v>1.718</v>
      </c>
      <c r="I208" s="22">
        <v>2.1999999999999999E-2</v>
      </c>
      <c r="J208" s="22">
        <v>7.44</v>
      </c>
      <c r="K208" s="22">
        <v>0.315</v>
      </c>
      <c r="L208" s="22">
        <v>14.59</v>
      </c>
      <c r="M208" s="22">
        <v>22.52</v>
      </c>
      <c r="N208" s="22">
        <v>0.21</v>
      </c>
      <c r="O208" s="22">
        <v>0</v>
      </c>
      <c r="P208" s="22">
        <v>0</v>
      </c>
      <c r="Q208" s="22"/>
      <c r="R208" s="22"/>
      <c r="S208" s="22">
        <f t="shared" si="634"/>
        <v>100.01999999999998</v>
      </c>
      <c r="T208" s="3"/>
      <c r="U208" s="22">
        <f t="shared" si="635"/>
        <v>7.3948114221103012</v>
      </c>
      <c r="V208" s="22">
        <f t="shared" si="636"/>
        <v>5.02180666088222E-2</v>
      </c>
      <c r="W208" s="22">
        <f t="shared" si="637"/>
        <v>100.02502948871913</v>
      </c>
      <c r="X208" s="1"/>
      <c r="Y208" s="1"/>
      <c r="Z208" s="1"/>
      <c r="AA208" s="1" t="s">
        <v>185</v>
      </c>
      <c r="AC208" s="1">
        <v>6</v>
      </c>
      <c r="AD208" s="1">
        <v>4</v>
      </c>
      <c r="AE208" s="1"/>
      <c r="AF208" s="26">
        <f t="shared" si="638"/>
        <v>1.962133795222182</v>
      </c>
      <c r="AG208" s="26">
        <f t="shared" si="639"/>
        <v>7.1071372394573718E-3</v>
      </c>
      <c r="AH208" s="26">
        <f t="shared" si="640"/>
        <v>7.502671057298399E-2</v>
      </c>
      <c r="AI208" s="26">
        <f t="shared" si="641"/>
        <v>6.4451085915780343E-4</v>
      </c>
      <c r="AJ208" s="26">
        <f t="shared" si="642"/>
        <v>0.23053599316646287</v>
      </c>
      <c r="AK208" s="26">
        <f t="shared" si="643"/>
        <v>9.8858028959393617E-3</v>
      </c>
      <c r="AL208" s="26">
        <f t="shared" si="644"/>
        <v>0.8060144416888827</v>
      </c>
      <c r="AM208" s="26">
        <f t="shared" si="645"/>
        <v>0.89403178393125304</v>
      </c>
      <c r="AN208" s="26">
        <f t="shared" si="646"/>
        <v>1.5086562491942311E-2</v>
      </c>
      <c r="AO208" s="26">
        <f t="shared" si="647"/>
        <v>0</v>
      </c>
      <c r="AP208" s="26">
        <f t="shared" si="648"/>
        <v>0</v>
      </c>
      <c r="AQ208" s="26">
        <f t="shared" si="649"/>
        <v>0</v>
      </c>
      <c r="AR208" s="26">
        <f t="shared" si="650"/>
        <v>0</v>
      </c>
      <c r="AS208" s="26">
        <f t="shared" si="651"/>
        <v>4.000466738068261</v>
      </c>
      <c r="AT208" s="26">
        <f t="shared" si="652"/>
        <v>2.0371605057951658</v>
      </c>
      <c r="AU208" s="26">
        <f t="shared" si="653"/>
        <v>0.90911834642319533</v>
      </c>
      <c r="AV208" s="47"/>
      <c r="AW208" s="26">
        <f t="shared" si="654"/>
        <v>1.9619048712997467</v>
      </c>
      <c r="AX208" s="26">
        <f t="shared" si="655"/>
        <v>7.1063080433352195E-3</v>
      </c>
      <c r="AY208" s="26">
        <f t="shared" si="656"/>
        <v>7.5017957138884026E-2</v>
      </c>
      <c r="AZ208" s="26">
        <f t="shared" si="657"/>
        <v>6.4443566349362913E-4</v>
      </c>
      <c r="BA208" s="26">
        <f t="shared" si="658"/>
        <v>0.22910904548335287</v>
      </c>
      <c r="BB208" s="26">
        <f t="shared" si="659"/>
        <v>1.4000508405263012E-3</v>
      </c>
      <c r="BC208" s="26">
        <f t="shared" si="660"/>
        <v>9.8846495103848842E-3</v>
      </c>
      <c r="BD208" s="26">
        <f t="shared" si="661"/>
        <v>0.8059204032558358</v>
      </c>
      <c r="BE208" s="26">
        <f t="shared" si="662"/>
        <v>0.89392747643537396</v>
      </c>
      <c r="BF208" s="26">
        <f t="shared" si="663"/>
        <v>1.5084802329067519E-2</v>
      </c>
      <c r="BG208" s="26">
        <f t="shared" si="664"/>
        <v>0</v>
      </c>
      <c r="BH208" s="26">
        <f t="shared" si="665"/>
        <v>0</v>
      </c>
      <c r="BI208" s="26">
        <f t="shared" si="666"/>
        <v>0</v>
      </c>
      <c r="BJ208" s="26">
        <f t="shared" si="667"/>
        <v>0</v>
      </c>
      <c r="BK208" s="25">
        <f t="shared" si="668"/>
        <v>4.0000000000000009</v>
      </c>
      <c r="BL208" s="24">
        <f t="shared" si="669"/>
        <v>6.0000000000000018</v>
      </c>
      <c r="BM208" s="26">
        <f t="shared" si="670"/>
        <v>2.0369228284386307</v>
      </c>
      <c r="BN208" s="26">
        <f t="shared" si="671"/>
        <v>0.90901227876444146</v>
      </c>
      <c r="BO208" s="22"/>
      <c r="BP208" s="23">
        <f t="shared" si="672"/>
        <v>0.77759307659869437</v>
      </c>
      <c r="BQ208" s="26">
        <f t="shared" si="673"/>
        <v>3.8095128700253333E-2</v>
      </c>
      <c r="BR208" s="26">
        <f t="shared" si="674"/>
        <v>3.6922828438630692E-2</v>
      </c>
      <c r="BS208" s="26"/>
      <c r="BT208" s="26">
        <f t="shared" si="675"/>
        <v>1.5086562491942311E-2</v>
      </c>
      <c r="BU208" s="26">
        <f t="shared" si="676"/>
        <v>2.1838026109563174E-2</v>
      </c>
      <c r="BV208" s="26">
        <f t="shared" si="677"/>
        <v>2.6003815383849105E-2</v>
      </c>
      <c r="BW208" s="26">
        <f t="shared" si="678"/>
        <v>3.2225542957890172E-4</v>
      </c>
      <c r="BX208" s="26">
        <f t="shared" si="679"/>
        <v>0.84586768700826187</v>
      </c>
      <c r="BY208" s="26">
        <f t="shared" si="680"/>
        <v>9.5341373923541861E-2</v>
      </c>
      <c r="BZ208" s="26">
        <f t="shared" si="681"/>
        <v>1.0044597203467371</v>
      </c>
      <c r="CA208" s="22"/>
      <c r="CB208" s="22">
        <f t="shared" si="682"/>
        <v>1.4000508405263012E-3</v>
      </c>
      <c r="CC208" s="22">
        <f t="shared" si="683"/>
        <v>1.3684751488541218E-2</v>
      </c>
      <c r="CD208" s="22">
        <f t="shared" si="684"/>
        <v>0</v>
      </c>
      <c r="CE208" s="22">
        <f t="shared" si="685"/>
        <v>6.4443566349362913E-4</v>
      </c>
      <c r="CF208" s="22">
        <f t="shared" si="686"/>
        <v>2.3238076950089476E-2</v>
      </c>
      <c r="CG208" s="22">
        <f t="shared" si="687"/>
        <v>0.43572250733115858</v>
      </c>
      <c r="CH208" s="22">
        <f t="shared" si="688"/>
        <v>0.43937179274834115</v>
      </c>
      <c r="CI208" s="22">
        <f t="shared" si="689"/>
        <v>0.12490569992050025</v>
      </c>
      <c r="CJ208" s="22"/>
      <c r="CK208" s="22">
        <f t="shared" si="690"/>
        <v>0.46072997541905247</v>
      </c>
      <c r="CL208" s="22">
        <f t="shared" si="691"/>
        <v>0.41537115411466813</v>
      </c>
      <c r="CM208" s="22">
        <f t="shared" si="692"/>
        <v>0.12389887046627941</v>
      </c>
      <c r="CN208" s="1"/>
      <c r="CO208" s="26">
        <f t="shared" si="693"/>
        <v>0.8813249001331559</v>
      </c>
      <c r="CP208" s="26">
        <f t="shared" si="694"/>
        <v>3.1922884326489737E-3</v>
      </c>
      <c r="CQ208" s="26">
        <f t="shared" si="695"/>
        <v>3.3699489996076894E-2</v>
      </c>
      <c r="CR208" s="26">
        <f t="shared" si="696"/>
        <v>2.8949272978485421E-4</v>
      </c>
      <c r="CS208" s="26">
        <f t="shared" si="697"/>
        <v>0.10354906054279751</v>
      </c>
      <c r="CT208" s="26">
        <f t="shared" si="698"/>
        <v>4.4403721454750493E-3</v>
      </c>
      <c r="CU208" s="26">
        <f t="shared" si="699"/>
        <v>0.36203473945409431</v>
      </c>
      <c r="CV208" s="26">
        <f t="shared" si="700"/>
        <v>0.4015691868758916</v>
      </c>
      <c r="CW208" s="26">
        <f t="shared" si="701"/>
        <v>6.7763794772507258E-3</v>
      </c>
      <c r="CX208" s="26">
        <f t="shared" si="702"/>
        <v>0</v>
      </c>
      <c r="CY208" s="26">
        <f t="shared" si="703"/>
        <v>0</v>
      </c>
      <c r="CZ208" s="26">
        <f t="shared" si="704"/>
        <v>0</v>
      </c>
      <c r="DA208" s="26">
        <f t="shared" si="705"/>
        <v>0</v>
      </c>
      <c r="DB208" s="26">
        <f t="shared" si="706"/>
        <v>1.7968759097871756</v>
      </c>
      <c r="DC208" s="26">
        <f t="shared" si="707"/>
        <v>2.6949993999772861</v>
      </c>
      <c r="DD208" s="26">
        <f t="shared" si="708"/>
        <v>2.226085829418107</v>
      </c>
      <c r="DE208" s="26">
        <f t="shared" si="709"/>
        <v>5.9992999745797375</v>
      </c>
      <c r="DF208" s="1"/>
      <c r="DG208" s="22">
        <v>35.148634948115991</v>
      </c>
      <c r="DH208" s="14">
        <v>1673.8823140546265</v>
      </c>
      <c r="DI208" s="14">
        <v>101586.63387933982</v>
      </c>
      <c r="DJ208" s="14">
        <v>10108.625986667588</v>
      </c>
      <c r="DK208" s="14">
        <v>261748.39476715744</v>
      </c>
      <c r="DL208" s="14">
        <v>139199.42389515197</v>
      </c>
      <c r="DM208" s="96">
        <v>136.9937686377551</v>
      </c>
      <c r="DN208" s="14">
        <v>2232.0376426751241</v>
      </c>
      <c r="DO208" s="96">
        <v>282.23008055843269</v>
      </c>
      <c r="DP208" s="22">
        <v>1.7814651327522157</v>
      </c>
      <c r="DQ208" s="14">
        <v>2747.0570984908059</v>
      </c>
      <c r="DR208" s="22">
        <v>50.453055887726833</v>
      </c>
      <c r="DS208" s="22">
        <v>17.404707540631343</v>
      </c>
      <c r="DT208" s="22">
        <v>5.3063287245489787</v>
      </c>
      <c r="DU208" s="22">
        <v>65.0291294608447</v>
      </c>
      <c r="DV208" s="22">
        <v>1.1570179982227538</v>
      </c>
      <c r="DW208" s="22">
        <v>11.372056373650747</v>
      </c>
      <c r="DX208" s="22">
        <v>10.627371083374779</v>
      </c>
      <c r="DY208" s="22">
        <v>20.578423331431587</v>
      </c>
      <c r="DZ208" s="22">
        <v>14.289089951135146</v>
      </c>
      <c r="EA208" s="22">
        <v>0</v>
      </c>
      <c r="EB208" s="22">
        <v>6.5409943966479991E-2</v>
      </c>
      <c r="EC208" s="22">
        <v>3.3932135774194929</v>
      </c>
      <c r="ED208" s="22">
        <v>1.6492654671424993</v>
      </c>
      <c r="EE208" s="22">
        <v>5.6788058710724956</v>
      </c>
      <c r="EF208" s="22">
        <v>1.0957321889848564</v>
      </c>
      <c r="EG208" s="22">
        <v>5.5733318166716463</v>
      </c>
      <c r="EH208" s="22">
        <v>2.3561826013225424</v>
      </c>
      <c r="EI208" s="22">
        <v>0.70855679231827762</v>
      </c>
      <c r="EJ208" s="22">
        <v>2.8499407193879662</v>
      </c>
      <c r="EK208" s="22">
        <v>0.5475507547331232</v>
      </c>
      <c r="EL208" s="22">
        <v>3.9336688654059633</v>
      </c>
      <c r="EM208" s="22">
        <v>0.90177520050798399</v>
      </c>
      <c r="EN208" s="22">
        <v>2.3374986175309158</v>
      </c>
      <c r="EO208" s="22">
        <v>0.32292207925204003</v>
      </c>
      <c r="EP208" s="22">
        <v>2.2645746568017446</v>
      </c>
      <c r="EQ208" s="22">
        <v>0.33656231385799551</v>
      </c>
      <c r="ER208" s="22">
        <v>0.84891871735279056</v>
      </c>
      <c r="ES208" s="22">
        <v>0</v>
      </c>
      <c r="ET208" s="22">
        <v>4.2161531753904207</v>
      </c>
      <c r="EU208" s="22">
        <v>0.15326151873277882</v>
      </c>
      <c r="EV208" s="22">
        <v>7.5081199820307531E-2</v>
      </c>
      <c r="EW208" s="22">
        <f>(EI208/0.05883)/SQRT((EH208/0.1536)*(EJ208/0.2069))</f>
        <v>0.82857015265875333</v>
      </c>
      <c r="EX208" s="22"/>
      <c r="EY208" s="22"/>
      <c r="EZ208" s="22"/>
      <c r="FA208" s="22"/>
      <c r="FB208" s="22"/>
      <c r="FC208" s="22"/>
      <c r="FD208" s="22"/>
      <c r="FE208" s="22"/>
      <c r="FF208" s="22"/>
      <c r="FG208" s="22"/>
      <c r="FH208" s="22"/>
      <c r="FI208" s="22">
        <f>-0.50354-2.23025*BP208+ N("eqn 18 Mg# R2 0.28 best")</f>
        <v>-2.2377669590842379</v>
      </c>
      <c r="FJ208" s="22"/>
      <c r="FK208" s="22">
        <f xml:space="preserve"> -0.03692  +  0.931085 + FX208   + N("488 NN Dy")</f>
        <v>0.8941650000000001</v>
      </c>
      <c r="FL208" s="22">
        <f>-0.48986  +   0    +   (1.071278 + 0) * GD208  +N("eqn 119 LnD Hf  (which has R2 of 0.51 for TS")</f>
        <v>-0.48986000000000002</v>
      </c>
      <c r="FM208" s="22"/>
      <c r="FN208" s="22"/>
      <c r="FO208" s="22">
        <f>3.94011-11.9214*BP208</f>
        <v>-5.3298881033636762</v>
      </c>
      <c r="FP208" s="22">
        <f xml:space="preserve">  -0.49862 +   1.013256 * FQ208 + N("294 NN")</f>
        <v>-0.49862000000000001</v>
      </c>
      <c r="FQ208" s="46"/>
      <c r="FR208" s="46"/>
      <c r="FS208" s="46"/>
      <c r="FT208" s="46"/>
      <c r="FU208" s="46"/>
      <c r="FV208" s="46"/>
      <c r="FW208" s="46"/>
      <c r="FX208" s="46"/>
      <c r="FY208" s="46"/>
      <c r="FZ208" s="46"/>
      <c r="GA208" s="46"/>
      <c r="GB208" s="46"/>
      <c r="GC208" s="46"/>
      <c r="GD208" s="46"/>
      <c r="GE208" s="46"/>
      <c r="GF208" s="46"/>
      <c r="GG208" s="46"/>
      <c r="GH208" s="46"/>
    </row>
    <row r="209" spans="1:190" x14ac:dyDescent="0.25">
      <c r="A209" s="5" t="s">
        <v>89</v>
      </c>
      <c r="B209" s="1">
        <v>642</v>
      </c>
      <c r="C209" s="98" t="s">
        <v>97</v>
      </c>
      <c r="D209" s="98" t="s">
        <v>106</v>
      </c>
      <c r="E209" s="1">
        <v>153</v>
      </c>
      <c r="F209" s="22">
        <v>49.39</v>
      </c>
      <c r="G209" s="22">
        <v>0.81499999999999995</v>
      </c>
      <c r="H209" s="22">
        <v>4.3499999999999996</v>
      </c>
      <c r="I209" s="22">
        <v>0</v>
      </c>
      <c r="J209" s="22">
        <v>10.119999999999999</v>
      </c>
      <c r="K209" s="22">
        <v>0.32600000000000001</v>
      </c>
      <c r="L209" s="22">
        <v>13.57</v>
      </c>
      <c r="M209" s="22">
        <v>20.2</v>
      </c>
      <c r="N209" s="22">
        <v>0.34799999999999998</v>
      </c>
      <c r="O209" s="22">
        <v>1.6E-2</v>
      </c>
      <c r="P209" s="22">
        <v>0</v>
      </c>
      <c r="Q209" s="22"/>
      <c r="R209" s="22"/>
      <c r="S209" s="22">
        <f t="shared" si="634"/>
        <v>99.135000000000005</v>
      </c>
      <c r="T209" s="3"/>
      <c r="U209" s="22">
        <f t="shared" si="635"/>
        <v>7.7321665151342653</v>
      </c>
      <c r="V209" s="22">
        <f t="shared" si="636"/>
        <v>2.6535993517312897</v>
      </c>
      <c r="W209" s="22">
        <f t="shared" si="637"/>
        <v>99.400765866865555</v>
      </c>
      <c r="X209" s="1"/>
      <c r="Y209" s="1"/>
      <c r="Z209" s="1"/>
      <c r="AA209" s="1" t="s">
        <v>185</v>
      </c>
      <c r="AC209" s="1">
        <v>6</v>
      </c>
      <c r="AD209" s="1">
        <v>4</v>
      </c>
      <c r="AE209" s="1"/>
      <c r="AF209" s="26">
        <f t="shared" si="638"/>
        <v>1.8678530361722099</v>
      </c>
      <c r="AG209" s="26">
        <f t="shared" si="639"/>
        <v>2.3182120185435952E-2</v>
      </c>
      <c r="AH209" s="26">
        <f t="shared" si="640"/>
        <v>0.19387554262335316</v>
      </c>
      <c r="AI209" s="26">
        <f t="shared" si="641"/>
        <v>0</v>
      </c>
      <c r="AJ209" s="26">
        <f t="shared" si="642"/>
        <v>0.32002753069193662</v>
      </c>
      <c r="AK209" s="26">
        <f t="shared" si="643"/>
        <v>1.0441430845292494E-2</v>
      </c>
      <c r="AL209" s="26">
        <f t="shared" si="644"/>
        <v>0.76508273558127871</v>
      </c>
      <c r="AM209" s="26">
        <f t="shared" si="645"/>
        <v>0.81842137788118208</v>
      </c>
      <c r="AN209" s="26">
        <f t="shared" si="646"/>
        <v>2.5514747113103697E-2</v>
      </c>
      <c r="AO209" s="26">
        <f t="shared" si="647"/>
        <v>7.7184958687564597E-4</v>
      </c>
      <c r="AP209" s="26">
        <f t="shared" si="648"/>
        <v>0</v>
      </c>
      <c r="AQ209" s="26">
        <f t="shared" si="649"/>
        <v>0</v>
      </c>
      <c r="AR209" s="26">
        <f t="shared" si="650"/>
        <v>0</v>
      </c>
      <c r="AS209" s="26">
        <f t="shared" si="651"/>
        <v>4.0251703706806685</v>
      </c>
      <c r="AT209" s="26">
        <f t="shared" si="652"/>
        <v>2.061728578795563</v>
      </c>
      <c r="AU209" s="26">
        <f t="shared" si="653"/>
        <v>0.84470797458116142</v>
      </c>
      <c r="AV209" s="47"/>
      <c r="AW209" s="26">
        <f t="shared" si="654"/>
        <v>1.8561728962109498</v>
      </c>
      <c r="AX209" s="26">
        <f t="shared" si="655"/>
        <v>2.3037156741781126E-2</v>
      </c>
      <c r="AY209" s="26">
        <f t="shared" si="656"/>
        <v>0.19266319163585435</v>
      </c>
      <c r="AZ209" s="26">
        <f t="shared" si="657"/>
        <v>0</v>
      </c>
      <c r="BA209" s="26">
        <f t="shared" si="658"/>
        <v>0.24298739793076829</v>
      </c>
      <c r="BB209" s="26">
        <f t="shared" si="659"/>
        <v>7.5038922667252983E-2</v>
      </c>
      <c r="BC209" s="26">
        <f t="shared" si="660"/>
        <v>1.0376138035147879E-2</v>
      </c>
      <c r="BD209" s="26">
        <f t="shared" si="661"/>
        <v>0.76029848689550084</v>
      </c>
      <c r="BE209" s="26">
        <f t="shared" si="662"/>
        <v>0.81330358967417771</v>
      </c>
      <c r="BF209" s="26">
        <f t="shared" si="663"/>
        <v>2.5355197185145804E-2</v>
      </c>
      <c r="BG209" s="26">
        <f t="shared" si="664"/>
        <v>7.6702302342061986E-4</v>
      </c>
      <c r="BH209" s="26">
        <f t="shared" si="665"/>
        <v>0</v>
      </c>
      <c r="BI209" s="26">
        <f t="shared" si="666"/>
        <v>0</v>
      </c>
      <c r="BJ209" s="26">
        <f t="shared" si="667"/>
        <v>0</v>
      </c>
      <c r="BK209" s="25">
        <f t="shared" si="668"/>
        <v>3.9999999999999996</v>
      </c>
      <c r="BL209" s="24">
        <f t="shared" si="669"/>
        <v>6.0000000000000009</v>
      </c>
      <c r="BM209" s="26">
        <f t="shared" si="670"/>
        <v>2.0488360878468042</v>
      </c>
      <c r="BN209" s="26">
        <f t="shared" si="671"/>
        <v>0.83942580988274407</v>
      </c>
      <c r="BO209" s="22"/>
      <c r="BP209" s="23">
        <f t="shared" si="672"/>
        <v>0.70507372325297102</v>
      </c>
      <c r="BQ209" s="26">
        <f t="shared" si="673"/>
        <v>0.14382710378905017</v>
      </c>
      <c r="BR209" s="26">
        <f t="shared" si="674"/>
        <v>4.8836087846804183E-2</v>
      </c>
      <c r="BS209" s="26"/>
      <c r="BT209" s="26">
        <f t="shared" si="675"/>
        <v>2.5514747113103697E-2</v>
      </c>
      <c r="BU209" s="26">
        <f t="shared" si="676"/>
        <v>2.3480890661658378E-2</v>
      </c>
      <c r="BV209" s="26">
        <f t="shared" si="677"/>
        <v>3.7095642515974997E-2</v>
      </c>
      <c r="BW209" s="26">
        <f t="shared" si="678"/>
        <v>0</v>
      </c>
      <c r="BX209" s="26">
        <f t="shared" si="679"/>
        <v>0.75784484470354874</v>
      </c>
      <c r="BY209" s="26">
        <f t="shared" si="680"/>
        <v>0.16363271078483327</v>
      </c>
      <c r="BZ209" s="26">
        <f t="shared" si="681"/>
        <v>1.007568835779119</v>
      </c>
      <c r="CA209" s="22"/>
      <c r="CB209" s="22">
        <f t="shared" si="682"/>
        <v>2.5355197185145804E-2</v>
      </c>
      <c r="CC209" s="22">
        <f t="shared" si="683"/>
        <v>0</v>
      </c>
      <c r="CD209" s="22">
        <f t="shared" si="684"/>
        <v>4.9683725482107179E-2</v>
      </c>
      <c r="CE209" s="22">
        <f t="shared" si="685"/>
        <v>0</v>
      </c>
      <c r="CF209" s="22">
        <f t="shared" si="686"/>
        <v>4.8836087846804183E-2</v>
      </c>
      <c r="CG209" s="22">
        <f t="shared" si="687"/>
        <v>0.37006948676520607</v>
      </c>
      <c r="CH209" s="22">
        <f t="shared" si="688"/>
        <v>0.47736664424881586</v>
      </c>
      <c r="CI209" s="22">
        <f t="shared" si="689"/>
        <v>0.15256386898597801</v>
      </c>
      <c r="CJ209" s="22"/>
      <c r="CK209" s="22">
        <f t="shared" si="690"/>
        <v>0.42760339138068315</v>
      </c>
      <c r="CL209" s="22">
        <f t="shared" si="691"/>
        <v>0.39973537014432797</v>
      </c>
      <c r="CM209" s="22">
        <f t="shared" si="692"/>
        <v>0.17266123847498879</v>
      </c>
      <c r="CN209" s="1"/>
      <c r="CO209" s="26">
        <f t="shared" si="693"/>
        <v>0.82207057256990679</v>
      </c>
      <c r="CP209" s="26">
        <f t="shared" si="694"/>
        <v>1.0202804206309464E-2</v>
      </c>
      <c r="CQ209" s="26">
        <f t="shared" si="695"/>
        <v>8.5327579442918786E-2</v>
      </c>
      <c r="CR209" s="26">
        <f t="shared" si="696"/>
        <v>0</v>
      </c>
      <c r="CS209" s="26">
        <f t="shared" si="697"/>
        <v>0.14084899095337508</v>
      </c>
      <c r="CT209" s="26">
        <f t="shared" si="698"/>
        <v>4.5954327600789399E-3</v>
      </c>
      <c r="CU209" s="26">
        <f t="shared" si="699"/>
        <v>0.33672456575682386</v>
      </c>
      <c r="CV209" s="26">
        <f t="shared" si="700"/>
        <v>0.36019971469329531</v>
      </c>
      <c r="CW209" s="26">
        <f t="shared" si="701"/>
        <v>1.1229428848015489E-2</v>
      </c>
      <c r="CX209" s="26">
        <f t="shared" si="702"/>
        <v>3.3970276008492571E-4</v>
      </c>
      <c r="CY209" s="26">
        <f t="shared" si="703"/>
        <v>0</v>
      </c>
      <c r="CZ209" s="26">
        <f t="shared" si="704"/>
        <v>0</v>
      </c>
      <c r="DA209" s="26">
        <f t="shared" si="705"/>
        <v>0</v>
      </c>
      <c r="DB209" s="26">
        <f t="shared" si="706"/>
        <v>1.7715387919908088</v>
      </c>
      <c r="DC209" s="26">
        <f t="shared" si="707"/>
        <v>2.6406913926844338</v>
      </c>
      <c r="DD209" s="26">
        <f t="shared" si="708"/>
        <v>2.2579240251944497</v>
      </c>
      <c r="DE209" s="26">
        <f t="shared" si="709"/>
        <v>5.962480538666374</v>
      </c>
      <c r="DF209" s="1"/>
      <c r="DG209" s="22">
        <v>36.871708432678183</v>
      </c>
      <c r="DH209" s="14">
        <v>2067.8862722162226</v>
      </c>
      <c r="DI209" s="14">
        <v>85558.926881418491</v>
      </c>
      <c r="DJ209" s="14">
        <v>22392.345629254611</v>
      </c>
      <c r="DK209" s="14">
        <v>237008.31483692687</v>
      </c>
      <c r="DL209" s="14">
        <v>134999.86628133652</v>
      </c>
      <c r="DM209" s="96">
        <v>176.9630831307806</v>
      </c>
      <c r="DN209" s="14">
        <v>4720.7441955305712</v>
      </c>
      <c r="DO209" s="96">
        <v>493.30800986182652</v>
      </c>
      <c r="DP209" s="22">
        <v>0</v>
      </c>
      <c r="DQ209" s="14">
        <v>2490.3836146103831</v>
      </c>
      <c r="DR209" s="22">
        <v>45.7296278449789</v>
      </c>
      <c r="DS209" s="22">
        <v>11.74401069879271</v>
      </c>
      <c r="DT209" s="22">
        <v>1.1420673882045467</v>
      </c>
      <c r="DU209" s="22">
        <v>58.775108744780596</v>
      </c>
      <c r="DV209" s="22">
        <v>0</v>
      </c>
      <c r="DW209" s="22">
        <v>15.533329577561291</v>
      </c>
      <c r="DX209" s="22">
        <v>14.084696823492804</v>
      </c>
      <c r="DY209" s="22">
        <v>45.363230117144639</v>
      </c>
      <c r="DZ209" s="22">
        <v>43.104553914610094</v>
      </c>
      <c r="EA209" s="22">
        <v>6.4361118211820084E-2</v>
      </c>
      <c r="EB209" s="22">
        <v>4.8489287282733759E-2</v>
      </c>
      <c r="EC209" s="22">
        <v>0.45391940659361829</v>
      </c>
      <c r="ED209" s="22">
        <v>3.8015435820212709</v>
      </c>
      <c r="EE209" s="22">
        <v>14.987112977241365</v>
      </c>
      <c r="EF209" s="22">
        <v>2.5938639799697305</v>
      </c>
      <c r="EG209" s="22">
        <v>14.892882575472138</v>
      </c>
      <c r="EH209" s="22">
        <v>5.7661662554315329</v>
      </c>
      <c r="EI209" s="22">
        <v>1.3373212811327655</v>
      </c>
      <c r="EJ209" s="22">
        <v>7.9787197557407614</v>
      </c>
      <c r="EK209" s="22">
        <v>1.3680961231942186</v>
      </c>
      <c r="EL209" s="22">
        <v>8.8174364386330346</v>
      </c>
      <c r="EM209" s="22">
        <v>1.9675472434352954</v>
      </c>
      <c r="EN209" s="22">
        <v>5.0726022572010683</v>
      </c>
      <c r="EO209" s="22">
        <v>0.71203792149775358</v>
      </c>
      <c r="EP209" s="22">
        <v>4.2482194728902698</v>
      </c>
      <c r="EQ209" s="22">
        <v>0.70605671550026816</v>
      </c>
      <c r="ER209" s="22">
        <v>2.4075529547887231</v>
      </c>
      <c r="ES209" s="22">
        <v>4.099568843403785E-2</v>
      </c>
      <c r="ET209" s="22">
        <v>0.15248765737279668</v>
      </c>
      <c r="EU209" s="22">
        <v>0.21366911754603204</v>
      </c>
      <c r="EV209" s="22">
        <v>4.0772164195697611E-2</v>
      </c>
      <c r="EW209" s="22">
        <f>(EI209/0.05883)/SQRT((EH209/0.1536)*(EJ209/0.2069))</f>
        <v>0.59745138850634449</v>
      </c>
      <c r="EX209" s="22"/>
      <c r="EY209" s="22"/>
      <c r="EZ209" s="22"/>
      <c r="FA209" s="22"/>
      <c r="FB209" s="22"/>
      <c r="FC209" s="22"/>
      <c r="FD209" s="22"/>
      <c r="FE209" s="22"/>
      <c r="FF209" s="22"/>
      <c r="FG209" s="22"/>
      <c r="FH209" s="22"/>
      <c r="FI209" s="22">
        <f>-0.50354-2.23025*BP209+ N("eqn 18 Mg# R2 0.28 best")</f>
        <v>-2.0760306712849386</v>
      </c>
      <c r="FJ209" s="22"/>
      <c r="FK209" s="22">
        <f xml:space="preserve"> -0.03692  +  0.931085 + FX209   + N("488 NN Dy")</f>
        <v>0.8941650000000001</v>
      </c>
      <c r="FL209" s="22">
        <f>-0.48986  +   0    +   (1.071278 + 0) * GD209  +N("eqn 119 LnD Hf  (which has R2 of 0.51 for TS")</f>
        <v>-0.48986000000000002</v>
      </c>
      <c r="FM209" s="22"/>
      <c r="FN209" s="22"/>
      <c r="FO209" s="22">
        <f>3.94011-11.9214*BP209</f>
        <v>-4.4653558843879688</v>
      </c>
      <c r="FP209" s="22">
        <f xml:space="preserve">  -0.49862 +   1.013256 * FQ209 + N("294 NN")</f>
        <v>-0.49862000000000001</v>
      </c>
      <c r="FQ209" s="46"/>
      <c r="FR209" s="46"/>
      <c r="FS209" s="46"/>
      <c r="FT209" s="46"/>
      <c r="FU209" s="46"/>
      <c r="FV209" s="46"/>
      <c r="FW209" s="46"/>
      <c r="FX209" s="46"/>
      <c r="FY209" s="46"/>
      <c r="FZ209" s="46"/>
      <c r="GA209" s="46"/>
      <c r="GB209" s="46"/>
      <c r="GC209" s="46"/>
      <c r="GD209" s="46"/>
      <c r="GE209" s="46"/>
      <c r="GF209" s="46"/>
      <c r="GG209" s="46"/>
      <c r="GH209" s="46"/>
    </row>
    <row r="210" spans="1:190" x14ac:dyDescent="0.25">
      <c r="A210" s="5" t="s">
        <v>89</v>
      </c>
      <c r="B210" s="1">
        <v>643</v>
      </c>
      <c r="C210" s="98" t="s">
        <v>97</v>
      </c>
      <c r="D210" s="98" t="s">
        <v>106</v>
      </c>
      <c r="E210" s="1">
        <v>154</v>
      </c>
      <c r="F210" s="22">
        <v>52.26</v>
      </c>
      <c r="G210" s="22">
        <v>0.161</v>
      </c>
      <c r="H210" s="22">
        <v>1.3779999999999999</v>
      </c>
      <c r="I210" s="22">
        <v>2.7E-2</v>
      </c>
      <c r="J210" s="22">
        <v>9.58</v>
      </c>
      <c r="K210" s="22">
        <v>0.46</v>
      </c>
      <c r="L210" s="22">
        <v>13.23</v>
      </c>
      <c r="M210" s="22">
        <v>22.34</v>
      </c>
      <c r="N210" s="22">
        <v>0.35799999999999998</v>
      </c>
      <c r="O210" s="22">
        <v>3.5999999999999997E-2</v>
      </c>
      <c r="P210" s="22">
        <v>0</v>
      </c>
      <c r="Q210" s="22"/>
      <c r="R210" s="22"/>
      <c r="S210" s="22">
        <f t="shared" si="634"/>
        <v>99.830000000000013</v>
      </c>
      <c r="T210" s="3"/>
      <c r="U210" s="22">
        <f t="shared" si="635"/>
        <v>8.1974502864703549</v>
      </c>
      <c r="V210" s="22">
        <f t="shared" si="636"/>
        <v>1.5364274966454954</v>
      </c>
      <c r="W210" s="22">
        <f t="shared" si="637"/>
        <v>99.983877783115844</v>
      </c>
      <c r="X210" s="1"/>
      <c r="Y210" s="1"/>
      <c r="Z210" s="1"/>
      <c r="AA210" s="1" t="s">
        <v>185</v>
      </c>
      <c r="AC210" s="1">
        <v>6</v>
      </c>
      <c r="AD210" s="1">
        <v>4</v>
      </c>
      <c r="AE210" s="1"/>
      <c r="AF210" s="26">
        <f t="shared" si="638"/>
        <v>1.9639556874009165</v>
      </c>
      <c r="AG210" s="26">
        <f t="shared" si="639"/>
        <v>4.5507190391276204E-3</v>
      </c>
      <c r="AH210" s="26">
        <f t="shared" si="640"/>
        <v>6.1029749819454068E-2</v>
      </c>
      <c r="AI210" s="26">
        <f t="shared" si="641"/>
        <v>8.0217837107041492E-4</v>
      </c>
      <c r="AJ210" s="26">
        <f t="shared" si="642"/>
        <v>0.30104466819504289</v>
      </c>
      <c r="AK210" s="26">
        <f t="shared" si="643"/>
        <v>1.4640599172158136E-2</v>
      </c>
      <c r="AL210" s="26">
        <f t="shared" si="644"/>
        <v>0.74121978167873781</v>
      </c>
      <c r="AM210" s="26">
        <f t="shared" si="645"/>
        <v>0.89942999565048931</v>
      </c>
      <c r="AN210" s="26">
        <f t="shared" si="646"/>
        <v>2.6082766508670224E-2</v>
      </c>
      <c r="AO210" s="26">
        <f t="shared" si="647"/>
        <v>1.7257337667231757E-3</v>
      </c>
      <c r="AP210" s="26">
        <f t="shared" si="648"/>
        <v>0</v>
      </c>
      <c r="AQ210" s="26">
        <f t="shared" si="649"/>
        <v>0</v>
      </c>
      <c r="AR210" s="26">
        <f t="shared" si="650"/>
        <v>0</v>
      </c>
      <c r="AS210" s="26">
        <f t="shared" si="651"/>
        <v>4.01448187960239</v>
      </c>
      <c r="AT210" s="26">
        <f t="shared" si="652"/>
        <v>2.0249854372203706</v>
      </c>
      <c r="AU210" s="26">
        <f t="shared" si="653"/>
        <v>0.9272384959258827</v>
      </c>
      <c r="AV210" s="47"/>
      <c r="AW210" s="26">
        <f t="shared" si="654"/>
        <v>1.9568708952253973</v>
      </c>
      <c r="AX210" s="26">
        <f t="shared" si="655"/>
        <v>4.5343027325641739E-3</v>
      </c>
      <c r="AY210" s="26">
        <f t="shared" si="656"/>
        <v>6.0809590527282374E-2</v>
      </c>
      <c r="AZ210" s="26">
        <f t="shared" si="657"/>
        <v>7.9928458528737026E-4</v>
      </c>
      <c r="BA210" s="26">
        <f t="shared" si="658"/>
        <v>0.25666976423207766</v>
      </c>
      <c r="BB210" s="26">
        <f t="shared" si="659"/>
        <v>4.3288912602064133E-2</v>
      </c>
      <c r="BC210" s="26">
        <f t="shared" si="660"/>
        <v>1.4587784537324348E-2</v>
      </c>
      <c r="BD210" s="26">
        <f t="shared" si="661"/>
        <v>0.73854589848306995</v>
      </c>
      <c r="BE210" s="26">
        <f t="shared" si="662"/>
        <v>0.89618538344437326</v>
      </c>
      <c r="BF210" s="26">
        <f t="shared" si="663"/>
        <v>2.5988675292019061E-2</v>
      </c>
      <c r="BG210" s="26">
        <f t="shared" si="664"/>
        <v>1.7195083385396659E-3</v>
      </c>
      <c r="BH210" s="26">
        <f t="shared" si="665"/>
        <v>0</v>
      </c>
      <c r="BI210" s="26">
        <f t="shared" si="666"/>
        <v>0</v>
      </c>
      <c r="BJ210" s="26">
        <f t="shared" si="667"/>
        <v>0</v>
      </c>
      <c r="BK210" s="25">
        <f t="shared" si="668"/>
        <v>3.9999999999999996</v>
      </c>
      <c r="BL210" s="24">
        <f t="shared" si="669"/>
        <v>5.9999999999999973</v>
      </c>
      <c r="BM210" s="26">
        <f t="shared" si="670"/>
        <v>2.0176804857526798</v>
      </c>
      <c r="BN210" s="26">
        <f t="shared" si="671"/>
        <v>0.92389356707493198</v>
      </c>
      <c r="BO210" s="22"/>
      <c r="BP210" s="23">
        <f t="shared" si="672"/>
        <v>0.71116287403691092</v>
      </c>
      <c r="BQ210" s="26">
        <f t="shared" si="673"/>
        <v>4.3129104774602744E-2</v>
      </c>
      <c r="BR210" s="26">
        <f t="shared" si="674"/>
        <v>1.768048575267963E-2</v>
      </c>
      <c r="BS210" s="26"/>
      <c r="BT210" s="26">
        <f t="shared" si="675"/>
        <v>1.768048575267963E-2</v>
      </c>
      <c r="BU210" s="26">
        <f t="shared" si="676"/>
        <v>0</v>
      </c>
      <c r="BV210" s="26">
        <f t="shared" si="677"/>
        <v>1.768048575267963E-2</v>
      </c>
      <c r="BW210" s="26">
        <f t="shared" si="678"/>
        <v>4.0108918553520746E-4</v>
      </c>
      <c r="BX210" s="26">
        <f t="shared" si="679"/>
        <v>0.88134842071227448</v>
      </c>
      <c r="BY210" s="26">
        <f t="shared" si="680"/>
        <v>8.0458014580753134E-2</v>
      </c>
      <c r="BZ210" s="26">
        <f t="shared" si="681"/>
        <v>0.99756849598392217</v>
      </c>
      <c r="CA210" s="22"/>
      <c r="CB210" s="22">
        <f t="shared" si="682"/>
        <v>2.5988675292019061E-2</v>
      </c>
      <c r="CC210" s="22">
        <f t="shared" si="683"/>
        <v>0</v>
      </c>
      <c r="CD210" s="22">
        <f t="shared" si="684"/>
        <v>1.7300237310045073E-2</v>
      </c>
      <c r="CE210" s="22">
        <f t="shared" si="685"/>
        <v>7.9928458528737026E-4</v>
      </c>
      <c r="CF210" s="22">
        <f t="shared" si="686"/>
        <v>1.768048575267963E-2</v>
      </c>
      <c r="CG210" s="22">
        <f t="shared" si="687"/>
        <v>0.44319702554419016</v>
      </c>
      <c r="CH210" s="22">
        <f t="shared" si="688"/>
        <v>0.41320144814201276</v>
      </c>
      <c r="CI210" s="22">
        <f t="shared" si="689"/>
        <v>0.14360152631379708</v>
      </c>
      <c r="CJ210" s="22"/>
      <c r="CK210" s="22">
        <f t="shared" si="690"/>
        <v>0.45975253476587252</v>
      </c>
      <c r="CL210" s="22">
        <f t="shared" si="691"/>
        <v>0.37888181970065138</v>
      </c>
      <c r="CM210" s="22">
        <f t="shared" si="692"/>
        <v>0.16136564553347615</v>
      </c>
      <c r="CN210" s="1"/>
      <c r="CO210" s="26">
        <f t="shared" si="693"/>
        <v>0.86984021304926762</v>
      </c>
      <c r="CP210" s="26">
        <f t="shared" si="694"/>
        <v>2.0155232849273911E-3</v>
      </c>
      <c r="CQ210" s="26">
        <f t="shared" si="695"/>
        <v>2.7030207924676343E-2</v>
      </c>
      <c r="CR210" s="26">
        <f t="shared" si="696"/>
        <v>3.5528653200868473E-4</v>
      </c>
      <c r="CS210" s="26">
        <f t="shared" si="697"/>
        <v>0.13333333333333333</v>
      </c>
      <c r="CT210" s="26">
        <f t="shared" si="698"/>
        <v>6.484352974344517E-3</v>
      </c>
      <c r="CU210" s="26">
        <f t="shared" si="699"/>
        <v>0.32828784119106702</v>
      </c>
      <c r="CV210" s="26">
        <f t="shared" si="700"/>
        <v>0.39835948644793151</v>
      </c>
      <c r="CW210" s="26">
        <f t="shared" si="701"/>
        <v>1.1552113585027429E-2</v>
      </c>
      <c r="CX210" s="26">
        <f t="shared" si="702"/>
        <v>7.6433121019108268E-4</v>
      </c>
      <c r="CY210" s="26">
        <f t="shared" si="703"/>
        <v>0</v>
      </c>
      <c r="CZ210" s="26">
        <f t="shared" si="704"/>
        <v>0</v>
      </c>
      <c r="DA210" s="26">
        <f t="shared" si="705"/>
        <v>0</v>
      </c>
      <c r="DB210" s="26">
        <f t="shared" si="706"/>
        <v>1.7780226895327751</v>
      </c>
      <c r="DC210" s="26">
        <f t="shared" si="707"/>
        <v>2.6574129506977031</v>
      </c>
      <c r="DD210" s="26">
        <f t="shared" si="708"/>
        <v>2.2496900762560634</v>
      </c>
      <c r="DE210" s="26">
        <f t="shared" si="709"/>
        <v>5.9783555436989664</v>
      </c>
      <c r="DF210" s="1"/>
      <c r="DG210" s="22"/>
      <c r="DH210" s="14"/>
      <c r="DI210" s="14"/>
      <c r="DJ210" s="14"/>
      <c r="DK210" s="14"/>
      <c r="DL210" s="14"/>
      <c r="DM210" s="96"/>
      <c r="DN210" s="14"/>
      <c r="DO210" s="96"/>
      <c r="DP210" s="22"/>
      <c r="DQ210" s="14"/>
      <c r="DR210" s="22"/>
      <c r="DS210" s="22"/>
      <c r="DT210" s="22"/>
      <c r="DU210" s="22"/>
      <c r="DV210" s="22"/>
      <c r="DW210" s="22"/>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c r="EZ210" s="22"/>
      <c r="FA210" s="22"/>
      <c r="FB210" s="22"/>
      <c r="FC210" s="22"/>
      <c r="FD210" s="22"/>
      <c r="FE210" s="22"/>
      <c r="FF210" s="22"/>
      <c r="FG210" s="22"/>
      <c r="FH210" s="22"/>
      <c r="FI210" s="22"/>
      <c r="FJ210" s="22"/>
      <c r="FK210" s="22"/>
      <c r="FL210" s="22"/>
      <c r="FM210" s="22"/>
      <c r="FN210" s="22"/>
      <c r="FO210" s="22"/>
      <c r="FP210" s="22"/>
      <c r="FQ210" s="46"/>
      <c r="FR210" s="46"/>
      <c r="FS210" s="46"/>
      <c r="FT210" s="46"/>
      <c r="FU210" s="46"/>
      <c r="FV210" s="46"/>
      <c r="FW210" s="46"/>
      <c r="FX210" s="46"/>
      <c r="FY210" s="46"/>
      <c r="FZ210" s="46"/>
      <c r="GA210" s="46"/>
      <c r="GB210" s="46"/>
      <c r="GC210" s="46"/>
      <c r="GD210" s="46"/>
      <c r="GE210" s="46"/>
      <c r="GF210" s="46"/>
      <c r="GG210" s="46"/>
      <c r="GH210" s="46"/>
    </row>
    <row r="211" spans="1:190" x14ac:dyDescent="0.25">
      <c r="A211" s="5" t="s">
        <v>89</v>
      </c>
      <c r="B211" s="1">
        <v>647</v>
      </c>
      <c r="C211" s="98" t="s">
        <v>97</v>
      </c>
      <c r="D211" s="98" t="s">
        <v>106</v>
      </c>
      <c r="E211" s="1">
        <v>158</v>
      </c>
      <c r="F211" s="22">
        <v>50.45</v>
      </c>
      <c r="G211" s="22">
        <v>0.38600000000000001</v>
      </c>
      <c r="H211" s="22">
        <v>1.038</v>
      </c>
      <c r="I211" s="22">
        <v>0</v>
      </c>
      <c r="J211" s="22">
        <v>11.41</v>
      </c>
      <c r="K211" s="22">
        <v>0.55000000000000004</v>
      </c>
      <c r="L211" s="22">
        <v>12.5</v>
      </c>
      <c r="M211" s="22">
        <v>19.91</v>
      </c>
      <c r="N211" s="22">
        <v>0.39900000000000002</v>
      </c>
      <c r="O211" s="22">
        <v>3.5000000000000003E-2</v>
      </c>
      <c r="P211" s="22">
        <v>0</v>
      </c>
      <c r="Q211" s="22"/>
      <c r="R211" s="22"/>
      <c r="S211" s="22">
        <f t="shared" si="634"/>
        <v>96.677999999999997</v>
      </c>
      <c r="T211" s="3"/>
      <c r="U211" s="22">
        <f t="shared" si="635"/>
        <v>10.371853807981509</v>
      </c>
      <c r="V211" s="22">
        <f t="shared" si="636"/>
        <v>1.1536918631901485</v>
      </c>
      <c r="W211" s="22">
        <f t="shared" si="637"/>
        <v>96.793545671171657</v>
      </c>
      <c r="X211" s="1"/>
      <c r="Y211" s="1"/>
      <c r="Z211" s="1"/>
      <c r="AA211" s="1" t="s">
        <v>185</v>
      </c>
      <c r="AC211" s="1">
        <v>6</v>
      </c>
      <c r="AD211" s="1">
        <v>4</v>
      </c>
      <c r="AE211" s="1"/>
      <c r="AF211" s="26">
        <f t="shared" si="638"/>
        <v>1.9694632240781191</v>
      </c>
      <c r="AG211" s="26">
        <f t="shared" si="639"/>
        <v>1.1333547718507584E-2</v>
      </c>
      <c r="AH211" s="26">
        <f t="shared" si="640"/>
        <v>4.7754483412221625E-2</v>
      </c>
      <c r="AI211" s="26">
        <f t="shared" si="641"/>
        <v>0</v>
      </c>
      <c r="AJ211" s="26">
        <f t="shared" si="642"/>
        <v>0.37245645122493765</v>
      </c>
      <c r="AK211" s="26">
        <f t="shared" si="643"/>
        <v>1.8183946057637273E-2</v>
      </c>
      <c r="AL211" s="26">
        <f t="shared" si="644"/>
        <v>0.7274809008170473</v>
      </c>
      <c r="AM211" s="26">
        <f t="shared" si="645"/>
        <v>0.83268335639269131</v>
      </c>
      <c r="AN211" s="26">
        <f t="shared" si="646"/>
        <v>3.0197288521117457E-2</v>
      </c>
      <c r="AO211" s="26">
        <f t="shared" si="647"/>
        <v>1.7428650710869557E-3</v>
      </c>
      <c r="AP211" s="26">
        <f t="shared" si="648"/>
        <v>0</v>
      </c>
      <c r="AQ211" s="26">
        <f t="shared" si="649"/>
        <v>0</v>
      </c>
      <c r="AR211" s="26">
        <f t="shared" si="650"/>
        <v>0</v>
      </c>
      <c r="AS211" s="26">
        <f t="shared" si="651"/>
        <v>4.011296063293365</v>
      </c>
      <c r="AT211" s="26">
        <f t="shared" si="652"/>
        <v>2.0172177074903406</v>
      </c>
      <c r="AU211" s="26">
        <f t="shared" si="653"/>
        <v>0.86462350998489579</v>
      </c>
      <c r="AV211" s="47"/>
      <c r="AW211" s="26">
        <f t="shared" si="654"/>
        <v>1.9639170911370174</v>
      </c>
      <c r="AX211" s="26">
        <f t="shared" si="655"/>
        <v>1.1301631731667778E-2</v>
      </c>
      <c r="AY211" s="26">
        <f t="shared" si="656"/>
        <v>4.7620003768073002E-2</v>
      </c>
      <c r="AZ211" s="26">
        <f t="shared" si="657"/>
        <v>0</v>
      </c>
      <c r="BA211" s="26">
        <f t="shared" si="658"/>
        <v>0.3376148317178761</v>
      </c>
      <c r="BB211" s="26">
        <f t="shared" si="659"/>
        <v>3.3792758595108552E-2</v>
      </c>
      <c r="BC211" s="26">
        <f t="shared" si="660"/>
        <v>1.813273891601792E-2</v>
      </c>
      <c r="BD211" s="26">
        <f t="shared" si="661"/>
        <v>0.72543226861172527</v>
      </c>
      <c r="BE211" s="26">
        <f t="shared" si="662"/>
        <v>0.83033846742196249</v>
      </c>
      <c r="BF211" s="26">
        <f t="shared" si="663"/>
        <v>3.0112251047682372E-2</v>
      </c>
      <c r="BG211" s="26">
        <f t="shared" si="664"/>
        <v>1.7379570528693645E-3</v>
      </c>
      <c r="BH211" s="26">
        <f t="shared" si="665"/>
        <v>0</v>
      </c>
      <c r="BI211" s="26">
        <f t="shared" si="666"/>
        <v>0</v>
      </c>
      <c r="BJ211" s="26">
        <f t="shared" si="667"/>
        <v>0</v>
      </c>
      <c r="BK211" s="25">
        <f t="shared" si="668"/>
        <v>4.0000000000000009</v>
      </c>
      <c r="BL211" s="24">
        <f t="shared" si="669"/>
        <v>6.0000000000000009</v>
      </c>
      <c r="BM211" s="26">
        <f t="shared" si="670"/>
        <v>2.0115370949050906</v>
      </c>
      <c r="BN211" s="26">
        <f t="shared" si="671"/>
        <v>0.86218867552251421</v>
      </c>
      <c r="BO211" s="22"/>
      <c r="BP211" s="23">
        <f t="shared" si="672"/>
        <v>0.6613839410640171</v>
      </c>
      <c r="BQ211" s="26">
        <f t="shared" si="673"/>
        <v>3.6082908862982599E-2</v>
      </c>
      <c r="BR211" s="26">
        <f t="shared" si="674"/>
        <v>1.1537094905090403E-2</v>
      </c>
      <c r="BS211" s="26"/>
      <c r="BT211" s="26">
        <f t="shared" si="675"/>
        <v>1.1537094905090403E-2</v>
      </c>
      <c r="BU211" s="26">
        <f t="shared" si="676"/>
        <v>0</v>
      </c>
      <c r="BV211" s="26">
        <f t="shared" si="677"/>
        <v>1.1537094905090403E-2</v>
      </c>
      <c r="BW211" s="26">
        <f t="shared" si="678"/>
        <v>0</v>
      </c>
      <c r="BX211" s="26">
        <f t="shared" si="679"/>
        <v>0.82114626148760095</v>
      </c>
      <c r="BY211" s="26">
        <f t="shared" si="680"/>
        <v>0.13939554527719206</v>
      </c>
      <c r="BZ211" s="26">
        <f t="shared" si="681"/>
        <v>0.98361599657497378</v>
      </c>
      <c r="CA211" s="22"/>
      <c r="CB211" s="22">
        <f t="shared" si="682"/>
        <v>3.0112251047682372E-2</v>
      </c>
      <c r="CC211" s="22">
        <f t="shared" si="683"/>
        <v>0</v>
      </c>
      <c r="CD211" s="22">
        <f t="shared" si="684"/>
        <v>3.6805075474261803E-3</v>
      </c>
      <c r="CE211" s="22">
        <f t="shared" si="685"/>
        <v>0</v>
      </c>
      <c r="CF211" s="22">
        <f t="shared" si="686"/>
        <v>1.1537094905090403E-2</v>
      </c>
      <c r="CG211" s="22">
        <f t="shared" si="687"/>
        <v>0.42261655800856412</v>
      </c>
      <c r="CH211" s="22">
        <f t="shared" si="688"/>
        <v>0.39401130961443487</v>
      </c>
      <c r="CI211" s="22">
        <f t="shared" si="689"/>
        <v>0.18337213237700098</v>
      </c>
      <c r="CJ211" s="22"/>
      <c r="CK211" s="22">
        <f t="shared" si="690"/>
        <v>0.42684097276228439</v>
      </c>
      <c r="CL211" s="22">
        <f t="shared" si="691"/>
        <v>0.37291324845970819</v>
      </c>
      <c r="CM211" s="22">
        <f t="shared" si="692"/>
        <v>0.20024577877800737</v>
      </c>
      <c r="CN211" s="1"/>
      <c r="CO211" s="26">
        <f t="shared" si="693"/>
        <v>0.83971371504660464</v>
      </c>
      <c r="CP211" s="26">
        <f t="shared" si="694"/>
        <v>4.8322483725588387E-3</v>
      </c>
      <c r="CQ211" s="26">
        <f t="shared" si="695"/>
        <v>2.0360925853275796E-2</v>
      </c>
      <c r="CR211" s="26">
        <f t="shared" si="696"/>
        <v>0</v>
      </c>
      <c r="CS211" s="26">
        <f t="shared" si="697"/>
        <v>0.15880306193458596</v>
      </c>
      <c r="CT211" s="26">
        <f t="shared" si="698"/>
        <v>7.7530307301945317E-3</v>
      </c>
      <c r="CU211" s="26">
        <f t="shared" si="699"/>
        <v>0.3101736972704715</v>
      </c>
      <c r="CV211" s="26">
        <f t="shared" si="700"/>
        <v>0.35502853067047074</v>
      </c>
      <c r="CW211" s="26">
        <f t="shared" si="701"/>
        <v>1.2875121006776381E-2</v>
      </c>
      <c r="CX211" s="26">
        <f t="shared" si="702"/>
        <v>7.43099787685775E-4</v>
      </c>
      <c r="CY211" s="26">
        <f t="shared" si="703"/>
        <v>0</v>
      </c>
      <c r="CZ211" s="26">
        <f t="shared" si="704"/>
        <v>0</v>
      </c>
      <c r="DA211" s="26">
        <f t="shared" si="705"/>
        <v>0</v>
      </c>
      <c r="DB211" s="26">
        <f t="shared" si="706"/>
        <v>1.7102834306726242</v>
      </c>
      <c r="DC211" s="26">
        <f t="shared" si="707"/>
        <v>2.558200746621194</v>
      </c>
      <c r="DD211" s="26">
        <f t="shared" si="708"/>
        <v>2.3387936340042019</v>
      </c>
      <c r="DE211" s="26">
        <f t="shared" si="709"/>
        <v>5.9831036207024448</v>
      </c>
      <c r="DF211" s="1"/>
      <c r="DG211" s="22"/>
      <c r="DH211" s="14"/>
      <c r="DI211" s="14"/>
      <c r="DJ211" s="14"/>
      <c r="DK211" s="14"/>
      <c r="DL211" s="14"/>
      <c r="DM211" s="96"/>
      <c r="DN211" s="14"/>
      <c r="DO211" s="96"/>
      <c r="DP211" s="22"/>
      <c r="DQ211" s="14"/>
      <c r="DR211" s="22"/>
      <c r="DS211" s="22"/>
      <c r="DT211" s="22"/>
      <c r="DU211" s="22"/>
      <c r="DV211" s="22"/>
      <c r="DW211" s="22"/>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c r="EZ211" s="22"/>
      <c r="FA211" s="22"/>
      <c r="FB211" s="22"/>
      <c r="FC211" s="22"/>
      <c r="FD211" s="22"/>
      <c r="FE211" s="22"/>
      <c r="FF211" s="22"/>
      <c r="FG211" s="22"/>
      <c r="FH211" s="22"/>
      <c r="FI211" s="22"/>
      <c r="FJ211" s="22"/>
      <c r="FK211" s="22"/>
      <c r="FL211" s="22"/>
      <c r="FM211" s="22"/>
      <c r="FN211" s="22"/>
      <c r="FO211" s="22"/>
      <c r="FP211" s="22"/>
      <c r="FQ211" s="46"/>
      <c r="FR211" s="46"/>
      <c r="FS211" s="46"/>
      <c r="FT211" s="46"/>
      <c r="FU211" s="46"/>
      <c r="FV211" s="46"/>
      <c r="FW211" s="46"/>
      <c r="FX211" s="46"/>
      <c r="FY211" s="46"/>
      <c r="FZ211" s="46"/>
      <c r="GA211" s="46"/>
      <c r="GB211" s="46"/>
      <c r="GC211" s="46"/>
      <c r="GD211" s="46"/>
      <c r="GE211" s="46"/>
      <c r="GF211" s="46"/>
      <c r="GG211" s="46"/>
      <c r="GH211" s="46"/>
    </row>
  </sheetData>
  <autoFilter ref="A1:FP211" xr:uid="{00000000-0009-0000-0000-000002000000}">
    <sortState xmlns:xlrd2="http://schemas.microsoft.com/office/spreadsheetml/2017/richdata2" ref="A2:FP211">
      <sortCondition ref="A1:A211"/>
    </sortState>
  </autoFilter>
  <conditionalFormatting sqref="F1:Q211">
    <cfRule type="colorScale" priority="2059">
      <colorScale>
        <cfvo type="min"/>
        <cfvo type="max"/>
        <color rgb="FFFCFCFF"/>
        <color rgb="FF63BE7B"/>
      </colorScale>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O749"/>
  <sheetViews>
    <sheetView zoomScaleNormal="100" workbookViewId="0">
      <pane ySplit="1" topLeftCell="A2" activePane="bottomLeft" state="frozen"/>
      <selection pane="bottomLeft"/>
    </sheetView>
  </sheetViews>
  <sheetFormatPr defaultRowHeight="15" x14ac:dyDescent="0.25"/>
  <cols>
    <col min="1" max="1" width="14.7109375" customWidth="1"/>
    <col min="3" max="3" width="9.140625" style="99"/>
    <col min="4" max="4" width="14.7109375" style="99" customWidth="1"/>
    <col min="28" max="28" width="9" style="1"/>
    <col min="48" max="48" width="9"/>
    <col min="73" max="90" width="0" hidden="1" customWidth="1"/>
    <col min="93" max="93" width="9.140625" style="100"/>
    <col min="94" max="97" width="9.140625" style="101"/>
    <col min="99" max="99" width="9.140625" style="101"/>
    <col min="102" max="102" width="9.140625" style="101"/>
  </cols>
  <sheetData>
    <row r="1" spans="1:171" x14ac:dyDescent="0.25">
      <c r="A1" s="5" t="s">
        <v>81</v>
      </c>
      <c r="B1" s="1" t="s">
        <v>114</v>
      </c>
      <c r="C1" s="98" t="s">
        <v>94</v>
      </c>
      <c r="D1" s="98" t="s">
        <v>102</v>
      </c>
      <c r="E1" s="31" t="s">
        <v>115</v>
      </c>
      <c r="F1" s="22" t="s">
        <v>117</v>
      </c>
      <c r="G1" s="22" t="s">
        <v>118</v>
      </c>
      <c r="H1" s="22" t="s">
        <v>119</v>
      </c>
      <c r="I1" s="22" t="s">
        <v>120</v>
      </c>
      <c r="J1" s="22" t="s">
        <v>21</v>
      </c>
      <c r="K1" s="22" t="s">
        <v>22</v>
      </c>
      <c r="L1" s="22" t="s">
        <v>23</v>
      </c>
      <c r="M1" s="22" t="s">
        <v>24</v>
      </c>
      <c r="N1" s="22" t="s">
        <v>121</v>
      </c>
      <c r="O1" s="22" t="s">
        <v>122</v>
      </c>
      <c r="P1" s="22" t="s">
        <v>123</v>
      </c>
      <c r="Q1" s="22" t="s">
        <v>124</v>
      </c>
      <c r="R1" s="22" t="s">
        <v>29</v>
      </c>
      <c r="S1" s="1" t="s">
        <v>31</v>
      </c>
      <c r="T1" s="8"/>
      <c r="U1" s="1" t="s">
        <v>125</v>
      </c>
      <c r="V1" s="1" t="s">
        <v>126</v>
      </c>
      <c r="W1" s="1" t="s">
        <v>127</v>
      </c>
      <c r="X1" s="1" t="s">
        <v>128</v>
      </c>
      <c r="Y1" s="1" t="s">
        <v>129</v>
      </c>
      <c r="Z1" s="1" t="s">
        <v>130</v>
      </c>
      <c r="AA1" s="1" t="s">
        <v>131</v>
      </c>
      <c r="AB1" s="1" t="s">
        <v>132</v>
      </c>
      <c r="AC1" s="1" t="s">
        <v>133</v>
      </c>
      <c r="AD1" s="1" t="s">
        <v>134</v>
      </c>
      <c r="AE1" s="4" t="s">
        <v>135</v>
      </c>
      <c r="AF1" s="26" t="s">
        <v>136</v>
      </c>
      <c r="AG1" s="26" t="s">
        <v>137</v>
      </c>
      <c r="AH1" s="26" t="s">
        <v>138</v>
      </c>
      <c r="AI1" s="26" t="s">
        <v>139</v>
      </c>
      <c r="AJ1" s="26" t="s">
        <v>140</v>
      </c>
      <c r="AK1" s="26" t="s">
        <v>141</v>
      </c>
      <c r="AL1" s="26" t="s">
        <v>142</v>
      </c>
      <c r="AM1" s="26" t="s">
        <v>143</v>
      </c>
      <c r="AN1" s="26" t="s">
        <v>144</v>
      </c>
      <c r="AO1" s="26" t="s">
        <v>145</v>
      </c>
      <c r="AP1" s="26" t="s">
        <v>146</v>
      </c>
      <c r="AQ1" s="26" t="s">
        <v>30</v>
      </c>
      <c r="AR1" s="26" t="s">
        <v>29</v>
      </c>
      <c r="AS1" s="26" t="s">
        <v>147</v>
      </c>
      <c r="AT1" s="26" t="s">
        <v>189</v>
      </c>
      <c r="AU1" s="26" t="s">
        <v>190</v>
      </c>
      <c r="AV1" s="4" t="s">
        <v>148</v>
      </c>
      <c r="AW1" s="26" t="s">
        <v>136</v>
      </c>
      <c r="AX1" s="26" t="s">
        <v>137</v>
      </c>
      <c r="AY1" s="26" t="s">
        <v>138</v>
      </c>
      <c r="AZ1" s="26" t="s">
        <v>139</v>
      </c>
      <c r="BA1" s="26" t="s">
        <v>149</v>
      </c>
      <c r="BB1" s="26" t="s">
        <v>150</v>
      </c>
      <c r="BC1" s="26" t="s">
        <v>141</v>
      </c>
      <c r="BD1" s="26" t="s">
        <v>142</v>
      </c>
      <c r="BE1" s="26" t="s">
        <v>143</v>
      </c>
      <c r="BF1" s="26" t="s">
        <v>144</v>
      </c>
      <c r="BG1" s="26" t="s">
        <v>145</v>
      </c>
      <c r="BH1" s="26" t="s">
        <v>146</v>
      </c>
      <c r="BI1" s="26" t="s">
        <v>30</v>
      </c>
      <c r="BJ1" s="26" t="s">
        <v>29</v>
      </c>
      <c r="BK1" s="26" t="s">
        <v>147</v>
      </c>
      <c r="BL1" s="26" t="s">
        <v>151</v>
      </c>
      <c r="BM1" s="26" t="s">
        <v>189</v>
      </c>
      <c r="BN1" s="26" t="s">
        <v>190</v>
      </c>
      <c r="BO1" s="4" t="s">
        <v>259</v>
      </c>
      <c r="BP1" s="1" t="s">
        <v>191</v>
      </c>
      <c r="BQ1" s="1" t="s">
        <v>210</v>
      </c>
      <c r="BR1" s="1" t="s">
        <v>211</v>
      </c>
      <c r="BS1" s="1" t="s">
        <v>212</v>
      </c>
      <c r="BT1" s="1" t="s">
        <v>213</v>
      </c>
      <c r="BU1" s="4" t="s">
        <v>153</v>
      </c>
      <c r="BV1" s="1" t="s">
        <v>136</v>
      </c>
      <c r="BW1" s="1" t="s">
        <v>137</v>
      </c>
      <c r="BX1" s="32" t="s">
        <v>138</v>
      </c>
      <c r="BY1" s="1" t="s">
        <v>139</v>
      </c>
      <c r="BZ1" s="1" t="s">
        <v>140</v>
      </c>
      <c r="CA1" s="1" t="s">
        <v>141</v>
      </c>
      <c r="CB1" s="1" t="s">
        <v>142</v>
      </c>
      <c r="CC1" s="1" t="s">
        <v>143</v>
      </c>
      <c r="CD1" s="1" t="s">
        <v>144</v>
      </c>
      <c r="CE1" s="1" t="s">
        <v>145</v>
      </c>
      <c r="CF1" s="1" t="s">
        <v>146</v>
      </c>
      <c r="CG1" s="1" t="s">
        <v>30</v>
      </c>
      <c r="CH1" s="1" t="s">
        <v>29</v>
      </c>
      <c r="CI1" s="1" t="s">
        <v>147</v>
      </c>
      <c r="CJ1" s="1" t="s">
        <v>151</v>
      </c>
      <c r="CK1" s="1" t="s">
        <v>154</v>
      </c>
      <c r="CL1" s="1" t="s">
        <v>155</v>
      </c>
      <c r="CM1" s="4" t="s">
        <v>156</v>
      </c>
      <c r="CN1" s="22" t="s">
        <v>157</v>
      </c>
      <c r="CO1" s="96" t="s">
        <v>144</v>
      </c>
      <c r="CP1" s="14" t="s">
        <v>142</v>
      </c>
      <c r="CQ1" s="14" t="s">
        <v>138</v>
      </c>
      <c r="CR1" s="14" t="s">
        <v>136</v>
      </c>
      <c r="CS1" s="14" t="s">
        <v>143</v>
      </c>
      <c r="CT1" s="22" t="s">
        <v>108</v>
      </c>
      <c r="CU1" s="14" t="s">
        <v>137</v>
      </c>
      <c r="CV1" s="22" t="s">
        <v>158</v>
      </c>
      <c r="CW1" s="22" t="s">
        <v>139</v>
      </c>
      <c r="CX1" s="14" t="s">
        <v>141</v>
      </c>
      <c r="CY1" s="22" t="s">
        <v>159</v>
      </c>
      <c r="CZ1" s="22" t="s">
        <v>160</v>
      </c>
      <c r="DA1" s="22" t="s">
        <v>161</v>
      </c>
      <c r="DB1" s="22" t="s">
        <v>162</v>
      </c>
      <c r="DC1" s="22" t="s">
        <v>163</v>
      </c>
      <c r="DD1" s="22" t="s">
        <v>109</v>
      </c>
      <c r="DE1" s="22" t="s">
        <v>109</v>
      </c>
      <c r="DF1" s="22" t="s">
        <v>110</v>
      </c>
      <c r="DG1" s="22" t="s">
        <v>111</v>
      </c>
      <c r="DH1" s="22" t="s">
        <v>112</v>
      </c>
      <c r="DI1" s="22" t="s">
        <v>164</v>
      </c>
      <c r="DJ1" s="22" t="s">
        <v>113</v>
      </c>
      <c r="DK1" s="22" t="s">
        <v>165</v>
      </c>
      <c r="DL1" s="22" t="s">
        <v>166</v>
      </c>
      <c r="DM1" s="22" t="s">
        <v>167</v>
      </c>
      <c r="DN1" s="22" t="s">
        <v>168</v>
      </c>
      <c r="DO1" s="22" t="s">
        <v>169</v>
      </c>
      <c r="DP1" s="22" t="s">
        <v>170</v>
      </c>
      <c r="DQ1" s="22" t="s">
        <v>171</v>
      </c>
      <c r="DR1" s="22" t="s">
        <v>172</v>
      </c>
      <c r="DS1" s="22" t="s">
        <v>173</v>
      </c>
      <c r="DT1" s="22" t="s">
        <v>174</v>
      </c>
      <c r="DU1" s="22" t="s">
        <v>175</v>
      </c>
      <c r="DV1" s="22" t="s">
        <v>176</v>
      </c>
      <c r="DW1" s="22" t="s">
        <v>177</v>
      </c>
      <c r="DX1" s="22" t="s">
        <v>178</v>
      </c>
      <c r="DY1" s="22" t="s">
        <v>179</v>
      </c>
      <c r="DZ1" s="22" t="s">
        <v>180</v>
      </c>
      <c r="EA1" s="22" t="s">
        <v>181</v>
      </c>
      <c r="EB1" s="22" t="s">
        <v>182</v>
      </c>
      <c r="EC1" s="22" t="s">
        <v>183</v>
      </c>
      <c r="ED1" s="22" t="s">
        <v>214</v>
      </c>
      <c r="EE1" s="22"/>
      <c r="EF1" s="22" t="s">
        <v>215</v>
      </c>
      <c r="EG1" s="22" t="s">
        <v>216</v>
      </c>
      <c r="EH1" s="22" t="s">
        <v>217</v>
      </c>
      <c r="EI1" s="22" t="s">
        <v>218</v>
      </c>
      <c r="EJ1" s="22"/>
      <c r="EK1" s="22" t="s">
        <v>219</v>
      </c>
      <c r="EL1" s="22" t="s">
        <v>220</v>
      </c>
      <c r="EM1" s="22" t="s">
        <v>221</v>
      </c>
      <c r="EN1" s="22" t="s">
        <v>222</v>
      </c>
      <c r="EO1" s="22" t="s">
        <v>223</v>
      </c>
      <c r="EP1" s="22" t="s">
        <v>224</v>
      </c>
      <c r="EQ1" s="22" t="s">
        <v>224</v>
      </c>
      <c r="ER1" s="22" t="s">
        <v>225</v>
      </c>
      <c r="ES1" s="22" t="s">
        <v>226</v>
      </c>
      <c r="ET1" s="22" t="s">
        <v>227</v>
      </c>
      <c r="EU1" s="22" t="s">
        <v>228</v>
      </c>
      <c r="EV1" s="22" t="s">
        <v>229</v>
      </c>
      <c r="EW1" s="22" t="s">
        <v>230</v>
      </c>
      <c r="EX1" s="22" t="s">
        <v>231</v>
      </c>
      <c r="EY1" s="22" t="s">
        <v>232</v>
      </c>
      <c r="EZ1" s="22" t="s">
        <v>233</v>
      </c>
      <c r="FA1" s="22" t="s">
        <v>234</v>
      </c>
      <c r="FB1" s="22" t="s">
        <v>235</v>
      </c>
      <c r="FC1" s="22" t="s">
        <v>236</v>
      </c>
      <c r="FD1" s="22" t="s">
        <v>237</v>
      </c>
      <c r="FE1" s="46" t="s">
        <v>238</v>
      </c>
      <c r="FF1" s="46" t="s">
        <v>239</v>
      </c>
      <c r="FG1" s="46" t="s">
        <v>240</v>
      </c>
      <c r="FH1" s="46" t="s">
        <v>241</v>
      </c>
      <c r="FI1" s="46" t="s">
        <v>242</v>
      </c>
      <c r="FJ1" s="46" t="s">
        <v>243</v>
      </c>
      <c r="FK1" s="46" t="s">
        <v>244</v>
      </c>
      <c r="FL1" s="46" t="s">
        <v>245</v>
      </c>
      <c r="FM1" s="46" t="s">
        <v>246</v>
      </c>
      <c r="FN1" s="46" t="s">
        <v>247</v>
      </c>
      <c r="FO1" s="46" t="s">
        <v>248</v>
      </c>
    </row>
    <row r="2" spans="1:171" x14ac:dyDescent="0.25">
      <c r="A2" s="5" t="s">
        <v>257</v>
      </c>
      <c r="B2" s="1">
        <v>1244</v>
      </c>
      <c r="C2" s="98" t="s">
        <v>101</v>
      </c>
      <c r="D2" s="98" t="s">
        <v>104</v>
      </c>
      <c r="E2" s="1">
        <v>77</v>
      </c>
      <c r="F2" s="22">
        <v>51.61</v>
      </c>
      <c r="G2" s="22">
        <v>0.81599999999999995</v>
      </c>
      <c r="H2" s="22">
        <v>3.42</v>
      </c>
      <c r="I2" s="22">
        <v>9.6000000000000002E-2</v>
      </c>
      <c r="J2" s="22">
        <v>16.22</v>
      </c>
      <c r="K2" s="22">
        <v>0.46899999999999997</v>
      </c>
      <c r="L2" s="22">
        <v>22.44</v>
      </c>
      <c r="M2" s="22">
        <v>3.49</v>
      </c>
      <c r="N2" s="22">
        <v>0.63500000000000001</v>
      </c>
      <c r="O2" s="22">
        <v>0.311</v>
      </c>
      <c r="P2" s="22">
        <v>0</v>
      </c>
      <c r="Q2" s="22"/>
      <c r="R2" s="22"/>
      <c r="S2" s="22">
        <f t="shared" ref="S2:S33" si="0">SUM(F2:R2)</f>
        <v>99.507000000000005</v>
      </c>
      <c r="T2" s="3"/>
      <c r="U2" s="22">
        <f t="shared" ref="U2:U33" si="1">J2*BA2/(BA2+BB2)</f>
        <v>13.607107797822133</v>
      </c>
      <c r="V2" s="22">
        <f t="shared" ref="V2:V33" si="2">1.1113*J2*BB2/(BA2+BB2)</f>
        <v>2.9037071042802625</v>
      </c>
      <c r="W2" s="22">
        <f t="shared" ref="W2:W33" si="3">SUM(F2:I2)+SUM(K2:R2)+SUM(U2:V2)</f>
        <v>99.797814902102402</v>
      </c>
      <c r="X2" s="1"/>
      <c r="Y2" s="1"/>
      <c r="Z2" s="1"/>
      <c r="AA2" s="1" t="s">
        <v>185</v>
      </c>
      <c r="AC2" s="1">
        <v>6</v>
      </c>
      <c r="AD2" s="1">
        <v>4</v>
      </c>
      <c r="AE2" s="1"/>
      <c r="AF2" s="26">
        <f t="shared" ref="AF2:AF33" si="4">BV2*($AC2/$CJ2)</f>
        <v>1.9047329852371233</v>
      </c>
      <c r="AG2" s="26">
        <f t="shared" ref="AG2:AG33" si="5">BW2*($AC2/$CJ2)</f>
        <v>2.2650733493789859E-2</v>
      </c>
      <c r="AH2" s="26">
        <f t="shared" ref="AH2:AH33" si="6">BX2*($AC2/$CJ2)</f>
        <v>0.14874981785617233</v>
      </c>
      <c r="AI2" s="26">
        <f t="shared" ref="AI2:AI33" si="7">BY2*($AC2/$CJ2)</f>
        <v>2.8010211066268813E-3</v>
      </c>
      <c r="AJ2" s="26">
        <f t="shared" ref="AJ2:AJ33" si="8">BZ2*($AC2/$CJ2)</f>
        <v>0.50055781369597285</v>
      </c>
      <c r="AK2" s="26">
        <f t="shared" ref="AK2:AK33" si="9">CA2*($AC2/$CJ2)</f>
        <v>1.4659252527093544E-2</v>
      </c>
      <c r="AL2" s="26">
        <f t="shared" ref="AL2:AL33" si="10">CB2*($AC2/$CJ2)</f>
        <v>1.2346616939406498</v>
      </c>
      <c r="AM2" s="26">
        <f t="shared" ref="AM2:AM33" si="11">CC2*($AC2/$CJ2)</f>
        <v>0.13798999206925441</v>
      </c>
      <c r="AN2" s="26">
        <f t="shared" ref="AN2:AN33" si="12">CD2*($AC2/$CJ2)</f>
        <v>4.5434140503589793E-2</v>
      </c>
      <c r="AO2" s="26">
        <f t="shared" ref="AO2:AO33" si="13">CE2*($AC2/$CJ2)</f>
        <v>1.4640963218420951E-2</v>
      </c>
      <c r="AP2" s="26">
        <f t="shared" ref="AP2:AP33" si="14">CF2*($AC2/$CJ2)</f>
        <v>0</v>
      </c>
      <c r="AQ2" s="26">
        <f t="shared" ref="AQ2:AQ33" si="15">CG2*($AC2/$CJ2)</f>
        <v>0</v>
      </c>
      <c r="AR2" s="26">
        <f t="shared" ref="AR2:AR33" si="16">CH2*($AC2/$CJ2)</f>
        <v>0</v>
      </c>
      <c r="AS2" s="26">
        <f t="shared" ref="AS2:AS33" si="17">SUM(AF2:AQ2)</f>
        <v>4.026878413648693</v>
      </c>
      <c r="AT2" s="26">
        <f t="shared" ref="AT2:AT33" si="18">AF2+AH2</f>
        <v>2.0534828030932957</v>
      </c>
      <c r="AU2" s="26">
        <f t="shared" ref="AU2:AU33" si="19">SUM(AM2:AO2)</f>
        <v>0.19806509579126516</v>
      </c>
      <c r="AV2" s="47"/>
      <c r="AW2" s="26">
        <f t="shared" ref="AW2:AW33" si="20">IF($AD2&gt;0,BV2*$CK2,"")</f>
        <v>1.8920193654531261</v>
      </c>
      <c r="AX2" s="26">
        <f t="shared" ref="AX2:AX33" si="21">IF($AD2&gt;0,BW2*$CK2,"")</f>
        <v>2.2499545471268766E-2</v>
      </c>
      <c r="AY2" s="26">
        <f t="shared" ref="AY2:AY33" si="22">IF($AD2&gt;0,BX2*$CK2,"")</f>
        <v>0.14775694975244344</v>
      </c>
      <c r="AZ2" s="26">
        <f t="shared" ref="AZ2:AZ33" si="23">IF($AD2&gt;0,BY2*$CK2,"")</f>
        <v>2.7823249861561312E-3</v>
      </c>
      <c r="BA2" s="26">
        <f t="shared" ref="BA2:BA33" si="24">IF($AD2&gt;0 +N("so a blank cell if no ideal cations set"),                         BZ2*CK2-BB2,"")</f>
        <v>0.41711969383193553</v>
      </c>
      <c r="BB2" s="26">
        <f t="shared" ref="BB2:BB33" si="25">IF($AD2&gt;0 +N("so a blank cell if no ideal cations set"),                                                                     IF(AS2&gt;AD2,                          IF(  2*AC2*(1-(AD2/AS2))   &lt;   BZ2*CK2,    2*AC2*(1-(AD2/AS2)),    BZ2*CK2),0),"")</f>
        <v>8.0097020732261992E-2</v>
      </c>
      <c r="BC2" s="26">
        <f t="shared" ref="BC2:BC33" si="26">IF($AD2&gt;0,CA2*$CK2,"")</f>
        <v>1.4561405655961701E-2</v>
      </c>
      <c r="BD2" s="26">
        <f t="shared" ref="BD2:BD33" si="27">IF($AD2&gt;0,CB2*$CK2,"")</f>
        <v>1.2264206336659085</v>
      </c>
      <c r="BE2" s="26">
        <f t="shared" ref="BE2:BE33" si="28">IF($AD2&gt;0,CC2*$CK2,"")</f>
        <v>0.1370689431312864</v>
      </c>
      <c r="BF2" s="26">
        <f t="shared" ref="BF2:BF33" si="29">IF($AD2&gt;0,CD2*$CK2,"")</f>
        <v>4.5130878895767404E-2</v>
      </c>
      <c r="BG2" s="26">
        <f t="shared" ref="BG2:BG33" si="30">IF($AD2&gt;0,CE2*$CK2,"")</f>
        <v>1.4543238423883768E-2</v>
      </c>
      <c r="BH2" s="26">
        <f t="shared" ref="BH2:BH33" si="31">IF($AD2&gt;0,CF2*$CK2,"")</f>
        <v>0</v>
      </c>
      <c r="BI2" s="26">
        <f t="shared" ref="BI2:BI33" si="32">IF($AD2&gt;0,CG2*$CK2,"")</f>
        <v>0</v>
      </c>
      <c r="BJ2" s="26">
        <f t="shared" ref="BJ2:BJ33" si="33">IF($AD2&gt;0,CH2*$CK2,"")</f>
        <v>0</v>
      </c>
      <c r="BK2" s="25">
        <f t="shared" ref="BK2:BK33" si="34">IF(AD2&gt;0,SUM(AW2:BI2),"")</f>
        <v>4</v>
      </c>
      <c r="BL2" s="24">
        <f t="shared" ref="BL2:BL33" si="35">(AW2+AX2)*2+(AY2+AZ2+BB2)*1.5+BA2+BC2+BD2+BE2+(BF2+BG2)*0.5+BH2*2.5+BI2*3  -(0.5*(BJ2))</f>
        <v>6</v>
      </c>
      <c r="BM2" s="26">
        <f t="shared" ref="BM2:BM33" si="36">IF(AD2&gt;0,AW2+AY2,"")</f>
        <v>2.0397763152055695</v>
      </c>
      <c r="BN2" s="26">
        <f t="shared" ref="BN2:BN33" si="37">IF(AD2&gt;0,SUM(BE2:BG2),"")</f>
        <v>0.19674306045093759</v>
      </c>
      <c r="BO2" s="22"/>
      <c r="BP2" s="26">
        <f t="shared" ref="BP2:BP33" si="38">AL2/(AL2+AJ2)</f>
        <v>0.71153055190248804</v>
      </c>
      <c r="BQ2" s="22"/>
      <c r="BR2" s="22">
        <f t="shared" ref="BR2:BR33" si="39">BE2/(BE2+BD2+BA2+BB2+BC2)</f>
        <v>7.3093000721602006E-2</v>
      </c>
      <c r="BS2" s="22">
        <f t="shared" ref="BS2:BS33" si="40">BD2/(BE2+BD2+BA2+BB2+BC2)</f>
        <v>0.6539976322402139</v>
      </c>
      <c r="BT2" s="22">
        <f t="shared" ref="BT2:BT33" si="41">(BA2+BB2+BC2)/(BE2+BD2+BA2+BB2+BC2)</f>
        <v>0.27290936703818408</v>
      </c>
      <c r="BU2" s="1"/>
      <c r="BV2" s="26">
        <f t="shared" ref="BV2:BV33" si="42">F2/60.08</f>
        <v>0.85902130492676432</v>
      </c>
      <c r="BW2" s="26">
        <f t="shared" ref="BW2:BW33" si="43">G2/79.88</f>
        <v>1.0215322984476714E-2</v>
      </c>
      <c r="BX2" s="26">
        <f t="shared" ref="BX2:BX33" si="44">H2/101.96*2</f>
        <v>6.7085131424087882E-2</v>
      </c>
      <c r="BY2" s="26">
        <f t="shared" ref="BY2:BY33" si="45">I2/151.99*2</f>
        <v>1.2632410026975458E-3</v>
      </c>
      <c r="BZ2" s="26">
        <f t="shared" ref="BZ2:BZ33" si="46">J2/71.85</f>
        <v>0.22574808629088378</v>
      </c>
      <c r="CA2" s="26">
        <f t="shared" ref="CA2:CA33" si="47">K2/70.94</f>
        <v>6.6112207499295179E-3</v>
      </c>
      <c r="CB2" s="26">
        <f t="shared" ref="CB2:CB33" si="48">L2/40.3</f>
        <v>0.55682382133995045</v>
      </c>
      <c r="CC2" s="26">
        <f t="shared" ref="CC2:CC33" si="49">M2/56.08</f>
        <v>6.223252496433667E-2</v>
      </c>
      <c r="CD2" s="26">
        <f t="shared" ref="CD2:CD33" si="50">N2/61.98*2</f>
        <v>2.049048080025815E-2</v>
      </c>
      <c r="CE2" s="26">
        <f t="shared" ref="CE2:CE33" si="51">O2/94.2*2</f>
        <v>6.6029723991507432E-3</v>
      </c>
      <c r="CF2" s="26">
        <f t="shared" ref="CF2:CF33" si="52">P2/141.94*2</f>
        <v>0</v>
      </c>
      <c r="CG2" s="26">
        <f t="shared" ref="CG2:CG33" si="53">Q2/80.06</f>
        <v>0</v>
      </c>
      <c r="CH2" s="26">
        <f t="shared" ref="CH2:CH33" si="54">R2/35.45</f>
        <v>0</v>
      </c>
      <c r="CI2" s="26">
        <f t="shared" ref="CI2:CI33" si="55">SUM(BV2:CG2)</f>
        <v>1.8160941068825358</v>
      </c>
      <c r="CJ2" s="26">
        <f t="shared" ref="CJ2:CJ33" si="56">(BV2+BW2)*2+(BX2+BY2)*1.5+BZ2+CA2+CB2+CC2+(CD2+CE2)*0.5+CF2*2.5+CG2*3+     -(0.5*(CH2))</f>
        <v>2.7059581944074647</v>
      </c>
      <c r="CK2" s="26">
        <f t="shared" ref="CK2:CK33" si="57">AD2/CI2</f>
        <v>2.2025290346139084</v>
      </c>
      <c r="CL2" s="26">
        <f t="shared" ref="CL2:CL33" si="58">CJ2*CK2</f>
        <v>5.9599514896338679</v>
      </c>
      <c r="CM2" s="1"/>
      <c r="CN2" s="22"/>
      <c r="CO2" s="96"/>
      <c r="CP2" s="14"/>
      <c r="CQ2" s="14"/>
      <c r="CR2" s="14"/>
      <c r="CS2" s="14"/>
      <c r="CT2" s="22"/>
      <c r="CU2" s="14"/>
      <c r="CV2" s="22"/>
      <c r="CW2" s="22"/>
      <c r="CX2" s="14"/>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46"/>
      <c r="FF2" s="46"/>
      <c r="FG2" s="46"/>
      <c r="FH2" s="46"/>
      <c r="FI2" s="46"/>
      <c r="FJ2" s="46"/>
      <c r="FK2" s="46"/>
      <c r="FL2" s="46"/>
      <c r="FM2" s="46"/>
      <c r="FN2" s="46"/>
      <c r="FO2" s="46"/>
    </row>
    <row r="3" spans="1:171" x14ac:dyDescent="0.25">
      <c r="A3" s="5" t="s">
        <v>257</v>
      </c>
      <c r="B3" s="1">
        <v>1245</v>
      </c>
      <c r="C3" s="98" t="s">
        <v>101</v>
      </c>
      <c r="D3" s="98" t="s">
        <v>104</v>
      </c>
      <c r="E3" s="1">
        <v>78</v>
      </c>
      <c r="F3" s="22">
        <v>53.66</v>
      </c>
      <c r="G3" s="22">
        <v>0.20799999999999999</v>
      </c>
      <c r="H3" s="22">
        <v>0.70199999999999996</v>
      </c>
      <c r="I3" s="22">
        <v>2.8000000000000001E-2</v>
      </c>
      <c r="J3" s="22">
        <v>17.690000000000001</v>
      </c>
      <c r="K3" s="22">
        <v>0.629</v>
      </c>
      <c r="L3" s="22">
        <v>25.61</v>
      </c>
      <c r="M3" s="22">
        <v>0.90600000000000003</v>
      </c>
      <c r="N3" s="22">
        <v>2.7E-2</v>
      </c>
      <c r="O3" s="22">
        <v>0</v>
      </c>
      <c r="P3" s="22">
        <v>0</v>
      </c>
      <c r="Q3" s="22"/>
      <c r="R3" s="22"/>
      <c r="S3" s="22">
        <f t="shared" si="0"/>
        <v>99.460000000000008</v>
      </c>
      <c r="T3" s="3"/>
      <c r="U3" s="22">
        <f t="shared" si="1"/>
        <v>16.776822245708125</v>
      </c>
      <c r="V3" s="22">
        <f t="shared" si="2"/>
        <v>1.0148144383445603</v>
      </c>
      <c r="W3" s="22">
        <f t="shared" si="3"/>
        <v>99.561636684052687</v>
      </c>
      <c r="X3" s="1"/>
      <c r="Y3" s="1"/>
      <c r="Z3" s="1"/>
      <c r="AA3" s="1" t="s">
        <v>185</v>
      </c>
      <c r="AC3" s="1">
        <v>6</v>
      </c>
      <c r="AD3" s="1">
        <v>4</v>
      </c>
      <c r="AE3" s="1"/>
      <c r="AF3" s="26">
        <f t="shared" si="4"/>
        <v>1.970276169936158</v>
      </c>
      <c r="AG3" s="26">
        <f t="shared" si="5"/>
        <v>5.7442275965828614E-3</v>
      </c>
      <c r="AH3" s="26">
        <f t="shared" si="6"/>
        <v>3.0376913277770822E-2</v>
      </c>
      <c r="AI3" s="26">
        <f t="shared" si="7"/>
        <v>8.1279191012193928E-4</v>
      </c>
      <c r="AJ3" s="26">
        <f t="shared" si="8"/>
        <v>0.5431345383238344</v>
      </c>
      <c r="AK3" s="26">
        <f t="shared" si="9"/>
        <v>1.95598635873937E-2</v>
      </c>
      <c r="AL3" s="26">
        <f t="shared" si="10"/>
        <v>1.4018801703126966</v>
      </c>
      <c r="AM3" s="26">
        <f t="shared" si="11"/>
        <v>3.5639085627676925E-2</v>
      </c>
      <c r="AN3" s="26">
        <f t="shared" si="12"/>
        <v>1.92197860215548E-3</v>
      </c>
      <c r="AO3" s="26">
        <f t="shared" si="13"/>
        <v>0</v>
      </c>
      <c r="AP3" s="26">
        <f t="shared" si="14"/>
        <v>0</v>
      </c>
      <c r="AQ3" s="26">
        <f t="shared" si="15"/>
        <v>0</v>
      </c>
      <c r="AR3" s="26">
        <f t="shared" si="16"/>
        <v>0</v>
      </c>
      <c r="AS3" s="26">
        <f t="shared" si="17"/>
        <v>4.0093457391743907</v>
      </c>
      <c r="AT3" s="26">
        <f t="shared" si="18"/>
        <v>2.0006530832139289</v>
      </c>
      <c r="AU3" s="26">
        <f t="shared" si="19"/>
        <v>3.7561064229832408E-2</v>
      </c>
      <c r="AV3" s="47"/>
      <c r="AW3" s="26">
        <f t="shared" si="20"/>
        <v>1.9656834786634083</v>
      </c>
      <c r="AX3" s="26">
        <f t="shared" si="21"/>
        <v>5.7308378675925498E-3</v>
      </c>
      <c r="AY3" s="26">
        <f t="shared" si="22"/>
        <v>3.0306105039498109E-2</v>
      </c>
      <c r="AZ3" s="26">
        <f t="shared" si="23"/>
        <v>8.1089730145279045E-4</v>
      </c>
      <c r="BA3" s="26">
        <f t="shared" si="24"/>
        <v>0.51389663482274972</v>
      </c>
      <c r="BB3" s="26">
        <f t="shared" si="25"/>
        <v>2.7971863089009119E-2</v>
      </c>
      <c r="BC3" s="26">
        <f t="shared" si="26"/>
        <v>1.9514269768534844E-2</v>
      </c>
      <c r="BD3" s="26">
        <f t="shared" si="27"/>
        <v>1.3986124036300978</v>
      </c>
      <c r="BE3" s="26">
        <f t="shared" si="28"/>
        <v>3.5556011325694012E-2</v>
      </c>
      <c r="BF3" s="26">
        <f t="shared" si="29"/>
        <v>1.9174984919621883E-3</v>
      </c>
      <c r="BG3" s="26">
        <f t="shared" si="30"/>
        <v>0</v>
      </c>
      <c r="BH3" s="26">
        <f t="shared" si="31"/>
        <v>0</v>
      </c>
      <c r="BI3" s="26">
        <f t="shared" si="32"/>
        <v>0</v>
      </c>
      <c r="BJ3" s="26">
        <f t="shared" si="33"/>
        <v>0</v>
      </c>
      <c r="BK3" s="25">
        <f t="shared" si="34"/>
        <v>3.9999999999999991</v>
      </c>
      <c r="BL3" s="24">
        <f t="shared" si="35"/>
        <v>6</v>
      </c>
      <c r="BM3" s="26">
        <f t="shared" si="36"/>
        <v>1.9959895837029065</v>
      </c>
      <c r="BN3" s="26">
        <f t="shared" si="37"/>
        <v>3.7473509817656202E-2</v>
      </c>
      <c r="BO3" s="22"/>
      <c r="BP3" s="26">
        <f t="shared" si="38"/>
        <v>0.72075556245814942</v>
      </c>
      <c r="BQ3" s="22"/>
      <c r="BR3" s="22">
        <f t="shared" si="39"/>
        <v>1.7817639374563769E-2</v>
      </c>
      <c r="BS3" s="22">
        <f t="shared" si="40"/>
        <v>0.70086521247856803</v>
      </c>
      <c r="BT3" s="22">
        <f t="shared" si="41"/>
        <v>0.2813171481468682</v>
      </c>
      <c r="BU3" s="1"/>
      <c r="BV3" s="26">
        <f t="shared" si="42"/>
        <v>0.89314247669773628</v>
      </c>
      <c r="BW3" s="26">
        <f t="shared" si="43"/>
        <v>2.6039058587881822E-3</v>
      </c>
      <c r="BX3" s="26">
        <f t="shared" si="44"/>
        <v>1.3770105923891723E-2</v>
      </c>
      <c r="BY3" s="26">
        <f t="shared" si="45"/>
        <v>3.6844529245345085E-4</v>
      </c>
      <c r="BZ3" s="26">
        <f t="shared" si="46"/>
        <v>0.24620737647877527</v>
      </c>
      <c r="CA3" s="26">
        <f t="shared" si="47"/>
        <v>8.8666478714406541E-3</v>
      </c>
      <c r="CB3" s="26">
        <f t="shared" si="48"/>
        <v>0.63548387096774195</v>
      </c>
      <c r="CC3" s="26">
        <f t="shared" si="49"/>
        <v>1.6155492154065622E-2</v>
      </c>
      <c r="CD3" s="26">
        <f t="shared" si="50"/>
        <v>8.7124878993223619E-4</v>
      </c>
      <c r="CE3" s="26">
        <f t="shared" si="51"/>
        <v>0</v>
      </c>
      <c r="CF3" s="26">
        <f t="shared" si="52"/>
        <v>0</v>
      </c>
      <c r="CG3" s="26">
        <f t="shared" si="53"/>
        <v>0</v>
      </c>
      <c r="CH3" s="26">
        <f t="shared" si="54"/>
        <v>0</v>
      </c>
      <c r="CI3" s="26">
        <f t="shared" si="55"/>
        <v>1.8174695700348256</v>
      </c>
      <c r="CJ3" s="26">
        <f t="shared" si="56"/>
        <v>2.7198496038045561</v>
      </c>
      <c r="CK3" s="26">
        <f t="shared" si="57"/>
        <v>2.2008621579966006</v>
      </c>
      <c r="CL3" s="26">
        <f t="shared" si="58"/>
        <v>5.9860140684554946</v>
      </c>
      <c r="CM3" s="1"/>
      <c r="CN3" s="22"/>
      <c r="CO3" s="96"/>
      <c r="CP3" s="14"/>
      <c r="CQ3" s="14"/>
      <c r="CR3" s="14"/>
      <c r="CS3" s="14"/>
      <c r="CT3" s="22"/>
      <c r="CU3" s="14"/>
      <c r="CV3" s="22"/>
      <c r="CW3" s="22"/>
      <c r="CX3" s="14"/>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46"/>
      <c r="FF3" s="46"/>
      <c r="FG3" s="46"/>
      <c r="FH3" s="46"/>
      <c r="FI3" s="46"/>
      <c r="FJ3" s="46"/>
      <c r="FK3" s="46"/>
      <c r="FL3" s="46"/>
      <c r="FM3" s="46"/>
      <c r="FN3" s="46"/>
      <c r="FO3" s="46"/>
    </row>
    <row r="4" spans="1:171" x14ac:dyDescent="0.25">
      <c r="A4" s="5" t="s">
        <v>257</v>
      </c>
      <c r="B4" s="1">
        <v>1247</v>
      </c>
      <c r="C4" s="98" t="s">
        <v>101</v>
      </c>
      <c r="D4" s="98" t="s">
        <v>104</v>
      </c>
      <c r="E4" s="1">
        <v>80</v>
      </c>
      <c r="F4" s="22">
        <v>54.06</v>
      </c>
      <c r="G4" s="22">
        <v>3.5999999999999997E-2</v>
      </c>
      <c r="H4" s="22">
        <v>0.77600000000000002</v>
      </c>
      <c r="I4" s="22">
        <v>0</v>
      </c>
      <c r="J4" s="22">
        <v>16.989999999999998</v>
      </c>
      <c r="K4" s="22">
        <v>0.55800000000000005</v>
      </c>
      <c r="L4" s="22">
        <v>25.86</v>
      </c>
      <c r="M4" s="22">
        <v>0.89900000000000002</v>
      </c>
      <c r="N4" s="22">
        <v>2.1000000000000001E-2</v>
      </c>
      <c r="O4" s="22">
        <v>8.0000000000000002E-3</v>
      </c>
      <c r="P4" s="22">
        <v>0</v>
      </c>
      <c r="Q4" s="22"/>
      <c r="R4" s="22"/>
      <c r="S4" s="22">
        <f t="shared" si="0"/>
        <v>99.208000000000013</v>
      </c>
      <c r="T4" s="3"/>
      <c r="U4" s="22">
        <f t="shared" si="1"/>
        <v>16.739048704462313</v>
      </c>
      <c r="V4" s="22">
        <f t="shared" si="2"/>
        <v>0.2788821747310315</v>
      </c>
      <c r="W4" s="22">
        <f t="shared" si="3"/>
        <v>99.235930879193347</v>
      </c>
      <c r="X4" s="1"/>
      <c r="Y4" s="1"/>
      <c r="Z4" s="1"/>
      <c r="AA4" s="1" t="s">
        <v>185</v>
      </c>
      <c r="AC4" s="1">
        <v>6</v>
      </c>
      <c r="AD4" s="1">
        <v>4</v>
      </c>
      <c r="AE4" s="1"/>
      <c r="AF4" s="26">
        <f t="shared" si="4"/>
        <v>1.9806251942430122</v>
      </c>
      <c r="AG4" s="26">
        <f t="shared" si="5"/>
        <v>9.9202045301681843E-4</v>
      </c>
      <c r="AH4" s="26">
        <f t="shared" si="6"/>
        <v>3.350565187802361E-2</v>
      </c>
      <c r="AI4" s="26">
        <f t="shared" si="7"/>
        <v>0</v>
      </c>
      <c r="AJ4" s="26">
        <f t="shared" si="8"/>
        <v>0.52050246208955742</v>
      </c>
      <c r="AK4" s="26">
        <f t="shared" si="9"/>
        <v>1.7314071098086324E-2</v>
      </c>
      <c r="AL4" s="26">
        <f t="shared" si="10"/>
        <v>1.4124713780889113</v>
      </c>
      <c r="AM4" s="26">
        <f t="shared" si="11"/>
        <v>3.5286441895753161E-2</v>
      </c>
      <c r="AN4" s="26">
        <f t="shared" si="12"/>
        <v>1.4916052396173076E-3</v>
      </c>
      <c r="AO4" s="26">
        <f t="shared" si="13"/>
        <v>3.7387399757953985E-4</v>
      </c>
      <c r="AP4" s="26">
        <f t="shared" si="14"/>
        <v>0</v>
      </c>
      <c r="AQ4" s="26">
        <f t="shared" si="15"/>
        <v>0</v>
      </c>
      <c r="AR4" s="26">
        <f t="shared" si="16"/>
        <v>0</v>
      </c>
      <c r="AS4" s="26">
        <f t="shared" si="17"/>
        <v>4.0025626989835574</v>
      </c>
      <c r="AT4" s="26">
        <f t="shared" si="18"/>
        <v>2.0141308461210357</v>
      </c>
      <c r="AU4" s="26">
        <f t="shared" si="19"/>
        <v>3.7151921132950003E-2</v>
      </c>
      <c r="AV4" s="47"/>
      <c r="AW4" s="26">
        <f t="shared" si="20"/>
        <v>1.979357070155066</v>
      </c>
      <c r="AX4" s="26">
        <f t="shared" si="21"/>
        <v>9.9138529749326831E-4</v>
      </c>
      <c r="AY4" s="26">
        <f t="shared" si="22"/>
        <v>3.3484199397083574E-2</v>
      </c>
      <c r="AZ4" s="26">
        <f t="shared" si="23"/>
        <v>0</v>
      </c>
      <c r="BA4" s="26">
        <f t="shared" si="24"/>
        <v>0.51248602828294254</v>
      </c>
      <c r="BB4" s="26">
        <f t="shared" si="25"/>
        <v>7.6831745347800684E-3</v>
      </c>
      <c r="BC4" s="26">
        <f t="shared" si="26"/>
        <v>1.7302985512240139E-2</v>
      </c>
      <c r="BD4" s="26">
        <f t="shared" si="27"/>
        <v>1.4115670227453079</v>
      </c>
      <c r="BE4" s="26">
        <f t="shared" si="28"/>
        <v>3.5263849238103454E-2</v>
      </c>
      <c r="BF4" s="26">
        <f t="shared" si="29"/>
        <v>1.4906502176678931E-3</v>
      </c>
      <c r="BG4" s="26">
        <f t="shared" si="30"/>
        <v>3.7363461931475483E-4</v>
      </c>
      <c r="BH4" s="26">
        <f t="shared" si="31"/>
        <v>0</v>
      </c>
      <c r="BI4" s="26">
        <f t="shared" si="32"/>
        <v>0</v>
      </c>
      <c r="BJ4" s="26">
        <f t="shared" si="33"/>
        <v>0</v>
      </c>
      <c r="BK4" s="25">
        <f t="shared" si="34"/>
        <v>3.9999999999999996</v>
      </c>
      <c r="BL4" s="24">
        <f t="shared" si="35"/>
        <v>5.9999999999999982</v>
      </c>
      <c r="BM4" s="26">
        <f t="shared" si="36"/>
        <v>2.0128412695521494</v>
      </c>
      <c r="BN4" s="26">
        <f t="shared" si="37"/>
        <v>3.7128134075086104E-2</v>
      </c>
      <c r="BO4" s="22"/>
      <c r="BP4" s="26">
        <f t="shared" si="38"/>
        <v>0.73072451821619067</v>
      </c>
      <c r="BQ4" s="22"/>
      <c r="BR4" s="22">
        <f t="shared" si="39"/>
        <v>1.7771402939092559E-2</v>
      </c>
      <c r="BS4" s="22">
        <f t="shared" si="40"/>
        <v>0.71136665108120334</v>
      </c>
      <c r="BT4" s="22">
        <f t="shared" si="41"/>
        <v>0.2708619459797042</v>
      </c>
      <c r="BU4" s="1"/>
      <c r="BV4" s="26">
        <f t="shared" si="42"/>
        <v>0.89980026631158461</v>
      </c>
      <c r="BW4" s="26">
        <f t="shared" si="43"/>
        <v>4.5067601402103152E-4</v>
      </c>
      <c r="BX4" s="26">
        <f t="shared" si="44"/>
        <v>1.5221655551196549E-2</v>
      </c>
      <c r="BY4" s="26">
        <f t="shared" si="45"/>
        <v>0</v>
      </c>
      <c r="BZ4" s="26">
        <f t="shared" si="46"/>
        <v>0.23646485734168407</v>
      </c>
      <c r="CA4" s="26">
        <f t="shared" si="47"/>
        <v>7.8658020862700882E-3</v>
      </c>
      <c r="CB4" s="26">
        <f t="shared" si="48"/>
        <v>0.64168734491315138</v>
      </c>
      <c r="CC4" s="26">
        <f t="shared" si="49"/>
        <v>1.6030670470756063E-2</v>
      </c>
      <c r="CD4" s="26">
        <f t="shared" si="50"/>
        <v>6.7763794772507271E-4</v>
      </c>
      <c r="CE4" s="26">
        <f t="shared" si="51"/>
        <v>1.6985138004246286E-4</v>
      </c>
      <c r="CF4" s="26">
        <f t="shared" si="52"/>
        <v>0</v>
      </c>
      <c r="CG4" s="26">
        <f t="shared" si="53"/>
        <v>0</v>
      </c>
      <c r="CH4" s="26">
        <f t="shared" si="54"/>
        <v>0</v>
      </c>
      <c r="CI4" s="26">
        <f t="shared" si="55"/>
        <v>1.8183687620164315</v>
      </c>
      <c r="CJ4" s="26">
        <f t="shared" si="56"/>
        <v>2.7258067874537515</v>
      </c>
      <c r="CK4" s="26">
        <f t="shared" si="57"/>
        <v>2.199773821215619</v>
      </c>
      <c r="CL4" s="26">
        <f t="shared" si="58"/>
        <v>5.9961584127326093</v>
      </c>
      <c r="CM4" s="1"/>
      <c r="CN4" s="22"/>
      <c r="CO4" s="96"/>
      <c r="CP4" s="14"/>
      <c r="CQ4" s="14"/>
      <c r="CR4" s="14"/>
      <c r="CS4" s="14"/>
      <c r="CT4" s="22"/>
      <c r="CU4" s="14"/>
      <c r="CV4" s="22"/>
      <c r="CW4" s="22"/>
      <c r="CX4" s="14"/>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46"/>
      <c r="FF4" s="46"/>
      <c r="FG4" s="46"/>
      <c r="FH4" s="46"/>
      <c r="FI4" s="46"/>
      <c r="FJ4" s="46"/>
      <c r="FK4" s="46"/>
      <c r="FL4" s="46"/>
      <c r="FM4" s="46"/>
      <c r="FN4" s="46"/>
      <c r="FO4" s="46"/>
    </row>
    <row r="5" spans="1:171" x14ac:dyDescent="0.25">
      <c r="A5" s="5" t="s">
        <v>257</v>
      </c>
      <c r="B5" s="1">
        <v>1250</v>
      </c>
      <c r="C5" s="98" t="s">
        <v>101</v>
      </c>
      <c r="D5" s="98" t="s">
        <v>104</v>
      </c>
      <c r="E5" s="1">
        <v>83</v>
      </c>
      <c r="F5" s="22">
        <v>54.35</v>
      </c>
      <c r="G5" s="22">
        <v>0.13</v>
      </c>
      <c r="H5" s="22">
        <v>0.66600000000000004</v>
      </c>
      <c r="I5" s="22">
        <v>5.7000000000000002E-2</v>
      </c>
      <c r="J5" s="22">
        <v>17.559999999999999</v>
      </c>
      <c r="K5" s="22">
        <v>0.55600000000000005</v>
      </c>
      <c r="L5" s="22">
        <v>25.57</v>
      </c>
      <c r="M5" s="22">
        <v>0.97599999999999998</v>
      </c>
      <c r="N5" s="22">
        <v>1.6E-2</v>
      </c>
      <c r="O5" s="22">
        <v>0</v>
      </c>
      <c r="P5" s="22">
        <v>0</v>
      </c>
      <c r="Q5" s="22"/>
      <c r="R5" s="22"/>
      <c r="S5" s="22">
        <f t="shared" si="0"/>
        <v>99.881000000000014</v>
      </c>
      <c r="T5" s="3"/>
      <c r="U5" s="22">
        <f t="shared" si="1"/>
        <v>17.559999999999999</v>
      </c>
      <c r="V5" s="22">
        <f t="shared" si="2"/>
        <v>0</v>
      </c>
      <c r="W5" s="22">
        <f t="shared" si="3"/>
        <v>99.881</v>
      </c>
      <c r="X5" s="1"/>
      <c r="Y5" s="1"/>
      <c r="Z5" s="1"/>
      <c r="AA5" s="1" t="s">
        <v>185</v>
      </c>
      <c r="AC5" s="1">
        <v>6</v>
      </c>
      <c r="AD5" s="1">
        <v>4</v>
      </c>
      <c r="AE5" s="1"/>
      <c r="AF5" s="26">
        <f t="shared" si="4"/>
        <v>1.9826582553171734</v>
      </c>
      <c r="AG5" s="26">
        <f t="shared" si="5"/>
        <v>3.5668392278687699E-3</v>
      </c>
      <c r="AH5" s="26">
        <f t="shared" si="6"/>
        <v>2.8632062689705889E-2</v>
      </c>
      <c r="AI5" s="26">
        <f t="shared" si="7"/>
        <v>1.6438722890436078E-3</v>
      </c>
      <c r="AJ5" s="26">
        <f t="shared" si="8"/>
        <v>0.53564367043403271</v>
      </c>
      <c r="AK5" s="26">
        <f t="shared" si="9"/>
        <v>1.7177574693925474E-2</v>
      </c>
      <c r="AL5" s="26">
        <f t="shared" si="10"/>
        <v>1.3906054275704454</v>
      </c>
      <c r="AM5" s="26">
        <f t="shared" si="11"/>
        <v>3.8143456971033898E-2</v>
      </c>
      <c r="AN5" s="26">
        <f t="shared" si="12"/>
        <v>1.1315575447053683E-3</v>
      </c>
      <c r="AO5" s="26">
        <f t="shared" si="13"/>
        <v>0</v>
      </c>
      <c r="AP5" s="26">
        <f t="shared" si="14"/>
        <v>0</v>
      </c>
      <c r="AQ5" s="26">
        <f t="shared" si="15"/>
        <v>0</v>
      </c>
      <c r="AR5" s="26">
        <f t="shared" si="16"/>
        <v>0</v>
      </c>
      <c r="AS5" s="26">
        <f t="shared" si="17"/>
        <v>3.9992027167379347</v>
      </c>
      <c r="AT5" s="26">
        <f t="shared" si="18"/>
        <v>2.0112903180068793</v>
      </c>
      <c r="AU5" s="26">
        <f t="shared" si="19"/>
        <v>3.9275014515739268E-2</v>
      </c>
      <c r="AV5" s="47"/>
      <c r="AW5" s="26">
        <f t="shared" si="20"/>
        <v>1.9830535191618253</v>
      </c>
      <c r="AX5" s="26">
        <f t="shared" si="21"/>
        <v>3.5675503149069326E-3</v>
      </c>
      <c r="AY5" s="26">
        <f t="shared" si="22"/>
        <v>2.8637770793535026E-2</v>
      </c>
      <c r="AZ5" s="26">
        <f t="shared" si="23"/>
        <v>1.6442000123309377E-3</v>
      </c>
      <c r="BA5" s="26">
        <f t="shared" si="24"/>
        <v>0.53575045665196586</v>
      </c>
      <c r="BB5" s="26">
        <f t="shared" si="25"/>
        <v>0</v>
      </c>
      <c r="BC5" s="26">
        <f t="shared" si="26"/>
        <v>1.7180999224702325E-2</v>
      </c>
      <c r="BD5" s="26">
        <f t="shared" si="27"/>
        <v>1.3908826594364119</v>
      </c>
      <c r="BE5" s="26">
        <f t="shared" si="28"/>
        <v>3.815106127167938E-2</v>
      </c>
      <c r="BF5" s="26">
        <f t="shared" si="29"/>
        <v>1.1317831326423543E-3</v>
      </c>
      <c r="BG5" s="26">
        <f t="shared" si="30"/>
        <v>0</v>
      </c>
      <c r="BH5" s="26">
        <f t="shared" si="31"/>
        <v>0</v>
      </c>
      <c r="BI5" s="26">
        <f t="shared" si="32"/>
        <v>0</v>
      </c>
      <c r="BJ5" s="26">
        <f t="shared" si="33"/>
        <v>0</v>
      </c>
      <c r="BK5" s="25">
        <f t="shared" si="34"/>
        <v>4</v>
      </c>
      <c r="BL5" s="24">
        <f t="shared" si="35"/>
        <v>6.0011961633133444</v>
      </c>
      <c r="BM5" s="26">
        <f t="shared" si="36"/>
        <v>2.0116912899553605</v>
      </c>
      <c r="BN5" s="26">
        <f t="shared" si="37"/>
        <v>3.9282844404321733E-2</v>
      </c>
      <c r="BO5" s="22"/>
      <c r="BP5" s="26">
        <f t="shared" si="38"/>
        <v>0.72192398636866872</v>
      </c>
      <c r="BQ5" s="22"/>
      <c r="BR5" s="22">
        <f t="shared" si="39"/>
        <v>1.924910776556615E-2</v>
      </c>
      <c r="BS5" s="22">
        <f t="shared" si="40"/>
        <v>0.70176947398900491</v>
      </c>
      <c r="BT5" s="22">
        <f t="shared" si="41"/>
        <v>0.27898141824542894</v>
      </c>
      <c r="BU5" s="1"/>
      <c r="BV5" s="26">
        <f t="shared" si="42"/>
        <v>0.90462716378162455</v>
      </c>
      <c r="BW5" s="26">
        <f t="shared" si="43"/>
        <v>1.627441161742614E-3</v>
      </c>
      <c r="BX5" s="26">
        <f t="shared" si="44"/>
        <v>1.3063946645743431E-2</v>
      </c>
      <c r="BY5" s="26">
        <f t="shared" si="45"/>
        <v>7.5004934535166786E-4</v>
      </c>
      <c r="BZ5" s="26">
        <f t="shared" si="46"/>
        <v>0.24439805149617258</v>
      </c>
      <c r="CA5" s="26">
        <f t="shared" si="47"/>
        <v>7.8376092472511993E-3</v>
      </c>
      <c r="CB5" s="26">
        <f t="shared" si="48"/>
        <v>0.6344913151364765</v>
      </c>
      <c r="CC5" s="26">
        <f t="shared" si="49"/>
        <v>1.7403708987161197E-2</v>
      </c>
      <c r="CD5" s="26">
        <f t="shared" si="50"/>
        <v>5.1629557921910297E-4</v>
      </c>
      <c r="CE5" s="26">
        <f t="shared" si="51"/>
        <v>0</v>
      </c>
      <c r="CF5" s="26">
        <f t="shared" si="52"/>
        <v>0</v>
      </c>
      <c r="CG5" s="26">
        <f t="shared" si="53"/>
        <v>0</v>
      </c>
      <c r="CH5" s="26">
        <f t="shared" si="54"/>
        <v>0</v>
      </c>
      <c r="CI5" s="26">
        <f t="shared" si="55"/>
        <v>1.824715581380743</v>
      </c>
      <c r="CJ5" s="26">
        <f t="shared" si="56"/>
        <v>2.7376190365300483</v>
      </c>
      <c r="CK5" s="26">
        <f t="shared" si="57"/>
        <v>2.1921224550366598</v>
      </c>
      <c r="CL5" s="26">
        <f t="shared" si="58"/>
        <v>6.0011961633133453</v>
      </c>
      <c r="CM5" s="1"/>
      <c r="CN5" s="22"/>
      <c r="CO5" s="96"/>
      <c r="CP5" s="14"/>
      <c r="CQ5" s="14"/>
      <c r="CR5" s="14"/>
      <c r="CS5" s="14"/>
      <c r="CT5" s="22"/>
      <c r="CU5" s="14"/>
      <c r="CV5" s="22"/>
      <c r="CW5" s="22"/>
      <c r="CX5" s="14"/>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46"/>
      <c r="FF5" s="46"/>
      <c r="FG5" s="46"/>
      <c r="FH5" s="46"/>
      <c r="FI5" s="46"/>
      <c r="FJ5" s="46"/>
      <c r="FK5" s="46"/>
      <c r="FL5" s="46"/>
      <c r="FM5" s="46"/>
      <c r="FN5" s="46"/>
      <c r="FO5" s="46"/>
    </row>
    <row r="6" spans="1:171" x14ac:dyDescent="0.25">
      <c r="A6" s="5" t="s">
        <v>87</v>
      </c>
      <c r="B6" s="1">
        <v>411</v>
      </c>
      <c r="C6" s="98" t="s">
        <v>99</v>
      </c>
      <c r="D6" s="98" t="s">
        <v>106</v>
      </c>
      <c r="E6" s="1">
        <v>93</v>
      </c>
      <c r="F6" s="22">
        <v>50.82</v>
      </c>
      <c r="G6" s="22">
        <v>0.20899999999999999</v>
      </c>
      <c r="H6" s="22">
        <v>0.49099999999999999</v>
      </c>
      <c r="I6" s="22">
        <v>0.01</v>
      </c>
      <c r="J6" s="22">
        <v>29.57</v>
      </c>
      <c r="K6" s="22">
        <v>0.84799999999999998</v>
      </c>
      <c r="L6" s="22">
        <v>15.93</v>
      </c>
      <c r="M6" s="22">
        <v>1.77</v>
      </c>
      <c r="N6" s="22">
        <v>3.3000000000000002E-2</v>
      </c>
      <c r="O6" s="22">
        <v>0</v>
      </c>
      <c r="P6" s="22">
        <v>0</v>
      </c>
      <c r="Q6" s="22"/>
      <c r="R6" s="22"/>
      <c r="S6" s="22">
        <f t="shared" si="0"/>
        <v>99.680999999999983</v>
      </c>
      <c r="T6" s="3"/>
      <c r="U6" s="22">
        <f t="shared" si="1"/>
        <v>29.283020605490126</v>
      </c>
      <c r="V6" s="22">
        <f t="shared" si="2"/>
        <v>0.31892020111882163</v>
      </c>
      <c r="W6" s="22">
        <f t="shared" si="3"/>
        <v>99.712940806608955</v>
      </c>
      <c r="X6" s="1"/>
      <c r="Y6" s="1"/>
      <c r="Z6" s="1"/>
      <c r="AA6" s="1" t="s">
        <v>185</v>
      </c>
      <c r="AC6" s="1">
        <v>6</v>
      </c>
      <c r="AD6" s="1">
        <v>4</v>
      </c>
      <c r="AE6" s="1"/>
      <c r="AF6" s="26">
        <f t="shared" si="4"/>
        <v>1.9805734344223485</v>
      </c>
      <c r="AG6" s="26">
        <f t="shared" si="5"/>
        <v>6.1262461518625322E-3</v>
      </c>
      <c r="AH6" s="26">
        <f t="shared" si="6"/>
        <v>2.2551107425737134E-2</v>
      </c>
      <c r="AI6" s="26">
        <f t="shared" si="7"/>
        <v>3.0810673619032414E-4</v>
      </c>
      <c r="AJ6" s="26">
        <f t="shared" si="8"/>
        <v>0.96363100458495998</v>
      </c>
      <c r="AK6" s="26">
        <f t="shared" si="9"/>
        <v>2.7989225488345881E-2</v>
      </c>
      <c r="AL6" s="26">
        <f t="shared" si="10"/>
        <v>0.92554372870809964</v>
      </c>
      <c r="AM6" s="26">
        <f t="shared" si="11"/>
        <v>7.3901197232002724E-2</v>
      </c>
      <c r="AN6" s="26">
        <f t="shared" si="12"/>
        <v>2.4933231905577983E-3</v>
      </c>
      <c r="AO6" s="26">
        <f t="shared" si="13"/>
        <v>0</v>
      </c>
      <c r="AP6" s="26">
        <f t="shared" si="14"/>
        <v>0</v>
      </c>
      <c r="AQ6" s="26">
        <f t="shared" si="15"/>
        <v>0</v>
      </c>
      <c r="AR6" s="26">
        <f t="shared" si="16"/>
        <v>0</v>
      </c>
      <c r="AS6" s="26">
        <f t="shared" si="17"/>
        <v>4.0031173739401051</v>
      </c>
      <c r="AT6" s="26">
        <f t="shared" si="18"/>
        <v>2.0031245418480856</v>
      </c>
      <c r="AU6" s="26">
        <f t="shared" si="19"/>
        <v>7.6394520422560522E-2</v>
      </c>
      <c r="AV6" s="47"/>
      <c r="AW6" s="26">
        <f t="shared" si="20"/>
        <v>1.979031089436132</v>
      </c>
      <c r="AX6" s="26">
        <f t="shared" si="21"/>
        <v>6.1214754198753041E-3</v>
      </c>
      <c r="AY6" s="26">
        <f t="shared" si="22"/>
        <v>2.2533546053425859E-2</v>
      </c>
      <c r="AZ6" s="26">
        <f t="shared" si="23"/>
        <v>3.0786680220377081E-4</v>
      </c>
      <c r="BA6" s="26">
        <f t="shared" si="24"/>
        <v>0.95353575088944909</v>
      </c>
      <c r="BB6" s="26">
        <f t="shared" si="25"/>
        <v>9.3448389809371868E-3</v>
      </c>
      <c r="BC6" s="26">
        <f t="shared" si="26"/>
        <v>2.7967429254563404E-2</v>
      </c>
      <c r="BD6" s="26">
        <f t="shared" si="27"/>
        <v>0.92482297394855029</v>
      </c>
      <c r="BE6" s="26">
        <f t="shared" si="28"/>
        <v>7.384364766628343E-2</v>
      </c>
      <c r="BF6" s="26">
        <f t="shared" si="29"/>
        <v>2.4913815485791985E-3</v>
      </c>
      <c r="BG6" s="26">
        <f t="shared" si="30"/>
        <v>0</v>
      </c>
      <c r="BH6" s="26">
        <f t="shared" si="31"/>
        <v>0</v>
      </c>
      <c r="BI6" s="26">
        <f t="shared" si="32"/>
        <v>0</v>
      </c>
      <c r="BJ6" s="26">
        <f t="shared" si="33"/>
        <v>0</v>
      </c>
      <c r="BK6" s="25">
        <f t="shared" si="34"/>
        <v>3.9999999999999991</v>
      </c>
      <c r="BL6" s="24">
        <f t="shared" si="35"/>
        <v>6</v>
      </c>
      <c r="BM6" s="26">
        <f t="shared" si="36"/>
        <v>2.001564635489558</v>
      </c>
      <c r="BN6" s="26">
        <f t="shared" si="37"/>
        <v>7.6335029214862626E-2</v>
      </c>
      <c r="BO6" s="22"/>
      <c r="BP6" s="26">
        <f t="shared" si="38"/>
        <v>0.48991959949345987</v>
      </c>
      <c r="BQ6" s="22"/>
      <c r="BR6" s="22">
        <f t="shared" si="39"/>
        <v>3.7116413297076982E-2</v>
      </c>
      <c r="BS6" s="22">
        <f t="shared" si="40"/>
        <v>0.46484853894046396</v>
      </c>
      <c r="BT6" s="22">
        <f t="shared" si="41"/>
        <v>0.49803504776245916</v>
      </c>
      <c r="BU6" s="1"/>
      <c r="BV6" s="26">
        <f t="shared" si="42"/>
        <v>0.8458721704394141</v>
      </c>
      <c r="BW6" s="26">
        <f t="shared" si="43"/>
        <v>2.6164246369554333E-3</v>
      </c>
      <c r="BX6" s="26">
        <f t="shared" si="44"/>
        <v>9.6312279325225583E-3</v>
      </c>
      <c r="BY6" s="26">
        <f t="shared" si="45"/>
        <v>1.3158760444766102E-4</v>
      </c>
      <c r="BZ6" s="26">
        <f t="shared" si="46"/>
        <v>0.41155184411969387</v>
      </c>
      <c r="CA6" s="26">
        <f t="shared" si="47"/>
        <v>1.1953763744009022E-2</v>
      </c>
      <c r="CB6" s="26">
        <f t="shared" si="48"/>
        <v>0.39528535980148888</v>
      </c>
      <c r="CC6" s="26">
        <f t="shared" si="49"/>
        <v>3.1562054208273897E-2</v>
      </c>
      <c r="CD6" s="26">
        <f t="shared" si="50"/>
        <v>1.0648596321393999E-3</v>
      </c>
      <c r="CE6" s="26">
        <f t="shared" si="51"/>
        <v>0</v>
      </c>
      <c r="CF6" s="26">
        <f t="shared" si="52"/>
        <v>0</v>
      </c>
      <c r="CG6" s="26">
        <f t="shared" si="53"/>
        <v>0</v>
      </c>
      <c r="CH6" s="26">
        <f t="shared" si="54"/>
        <v>0</v>
      </c>
      <c r="CI6" s="26">
        <f t="shared" si="55"/>
        <v>1.7096692921189449</v>
      </c>
      <c r="CJ6" s="26">
        <f t="shared" si="56"/>
        <v>2.5625068651477299</v>
      </c>
      <c r="CK6" s="26">
        <f t="shared" si="57"/>
        <v>2.3396337633475563</v>
      </c>
      <c r="CL6" s="26">
        <f t="shared" si="58"/>
        <v>5.9953275805095325</v>
      </c>
      <c r="CM6" s="1"/>
      <c r="CN6" s="22"/>
      <c r="CO6" s="96"/>
      <c r="CP6" s="14"/>
      <c r="CQ6" s="14"/>
      <c r="CR6" s="14"/>
      <c r="CS6" s="14"/>
      <c r="CT6" s="22"/>
      <c r="CU6" s="14"/>
      <c r="CV6" s="22"/>
      <c r="CW6" s="22"/>
      <c r="CX6" s="14"/>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46"/>
      <c r="FF6" s="46"/>
      <c r="FG6" s="46"/>
      <c r="FH6" s="46"/>
      <c r="FI6" s="46"/>
      <c r="FJ6" s="46"/>
      <c r="FK6" s="46"/>
      <c r="FL6" s="46"/>
      <c r="FM6" s="46"/>
      <c r="FN6" s="46"/>
      <c r="FO6" s="46"/>
    </row>
    <row r="7" spans="1:171" x14ac:dyDescent="0.25">
      <c r="A7" s="5" t="s">
        <v>87</v>
      </c>
      <c r="B7" s="1">
        <v>412</v>
      </c>
      <c r="C7" s="98" t="s">
        <v>99</v>
      </c>
      <c r="D7" s="98" t="s">
        <v>106</v>
      </c>
      <c r="E7" s="1">
        <v>94</v>
      </c>
      <c r="F7" s="22">
        <v>50.59</v>
      </c>
      <c r="G7" s="22">
        <v>0.38200000000000001</v>
      </c>
      <c r="H7" s="22">
        <v>0.45200000000000001</v>
      </c>
      <c r="I7" s="22">
        <v>2.3E-2</v>
      </c>
      <c r="J7" s="22">
        <v>30.12</v>
      </c>
      <c r="K7" s="22">
        <v>0.86199999999999999</v>
      </c>
      <c r="L7" s="22">
        <v>15.86</v>
      </c>
      <c r="M7" s="22">
        <v>1.65</v>
      </c>
      <c r="N7" s="22">
        <v>2.1000000000000001E-2</v>
      </c>
      <c r="O7" s="22">
        <v>1.4E-2</v>
      </c>
      <c r="P7" s="22">
        <v>0</v>
      </c>
      <c r="Q7" s="22"/>
      <c r="R7" s="22"/>
      <c r="S7" s="22">
        <f t="shared" si="0"/>
        <v>99.974000000000004</v>
      </c>
      <c r="T7" s="3"/>
      <c r="U7" s="22">
        <f t="shared" si="1"/>
        <v>29.440868319591566</v>
      </c>
      <c r="V7" s="22">
        <f t="shared" si="2"/>
        <v>0.75471903643789739</v>
      </c>
      <c r="W7" s="22">
        <f t="shared" si="3"/>
        <v>100.04958735602946</v>
      </c>
      <c r="X7" s="1"/>
      <c r="Y7" s="1"/>
      <c r="Z7" s="1"/>
      <c r="AA7" s="1" t="s">
        <v>185</v>
      </c>
      <c r="AC7" s="1">
        <v>6</v>
      </c>
      <c r="AD7" s="1">
        <v>4</v>
      </c>
      <c r="AE7" s="1"/>
      <c r="AF7" s="26">
        <f t="shared" si="4"/>
        <v>1.9718294528537739</v>
      </c>
      <c r="AG7" s="26">
        <f t="shared" si="5"/>
        <v>1.1198501193054582E-2</v>
      </c>
      <c r="AH7" s="26">
        <f t="shared" si="6"/>
        <v>2.0762191745255936E-2</v>
      </c>
      <c r="AI7" s="26">
        <f t="shared" si="7"/>
        <v>7.0872444184387972E-4</v>
      </c>
      <c r="AJ7" s="26">
        <f t="shared" si="8"/>
        <v>0.981663828878231</v>
      </c>
      <c r="AK7" s="26">
        <f t="shared" si="9"/>
        <v>2.8454481455076494E-2</v>
      </c>
      <c r="AL7" s="26">
        <f t="shared" si="10"/>
        <v>0.92157934121555807</v>
      </c>
      <c r="AM7" s="26">
        <f t="shared" si="11"/>
        <v>6.8898621558160164E-2</v>
      </c>
      <c r="AN7" s="26">
        <f t="shared" si="12"/>
        <v>1.5868369784312454E-3</v>
      </c>
      <c r="AO7" s="26">
        <f t="shared" si="13"/>
        <v>6.9605205890423615E-4</v>
      </c>
      <c r="AP7" s="26">
        <f t="shared" si="14"/>
        <v>0</v>
      </c>
      <c r="AQ7" s="26">
        <f t="shared" si="15"/>
        <v>0</v>
      </c>
      <c r="AR7" s="26">
        <f t="shared" si="16"/>
        <v>0</v>
      </c>
      <c r="AS7" s="26">
        <f t="shared" si="17"/>
        <v>4.0073780323782895</v>
      </c>
      <c r="AT7" s="26">
        <f t="shared" si="18"/>
        <v>1.9925916445990297</v>
      </c>
      <c r="AU7" s="26">
        <f t="shared" si="19"/>
        <v>7.1181510595495642E-2</v>
      </c>
      <c r="AV7" s="47"/>
      <c r="AW7" s="26">
        <f t="shared" si="20"/>
        <v>1.9681990936937257</v>
      </c>
      <c r="AX7" s="26">
        <f t="shared" si="21"/>
        <v>1.1177883496465164E-2</v>
      </c>
      <c r="AY7" s="26">
        <f t="shared" si="22"/>
        <v>2.0723966221808165E-2</v>
      </c>
      <c r="AZ7" s="26">
        <f t="shared" si="23"/>
        <v>7.074196006641954E-4</v>
      </c>
      <c r="BA7" s="26">
        <f t="shared" si="24"/>
        <v>0.95776312989758294</v>
      </c>
      <c r="BB7" s="26">
        <f t="shared" si="25"/>
        <v>2.2093345779742091E-2</v>
      </c>
      <c r="BC7" s="26">
        <f t="shared" si="26"/>
        <v>2.8402093563595639E-2</v>
      </c>
      <c r="BD7" s="26">
        <f t="shared" si="27"/>
        <v>0.91988261029481289</v>
      </c>
      <c r="BE7" s="26">
        <f t="shared" si="28"/>
        <v>6.8771771469007509E-2</v>
      </c>
      <c r="BF7" s="26">
        <f t="shared" si="29"/>
        <v>1.5839154335928651E-3</v>
      </c>
      <c r="BG7" s="26">
        <f t="shared" si="30"/>
        <v>6.9477054900273015E-4</v>
      </c>
      <c r="BH7" s="26">
        <f t="shared" si="31"/>
        <v>0</v>
      </c>
      <c r="BI7" s="26">
        <f t="shared" si="32"/>
        <v>0</v>
      </c>
      <c r="BJ7" s="26">
        <f t="shared" si="33"/>
        <v>0</v>
      </c>
      <c r="BK7" s="25">
        <f t="shared" si="34"/>
        <v>4</v>
      </c>
      <c r="BL7" s="24">
        <f t="shared" si="35"/>
        <v>6.0000000000000009</v>
      </c>
      <c r="BM7" s="26">
        <f t="shared" si="36"/>
        <v>1.9889230599155339</v>
      </c>
      <c r="BN7" s="26">
        <f t="shared" si="37"/>
        <v>7.10504574516031E-2</v>
      </c>
      <c r="BO7" s="22"/>
      <c r="BP7" s="26">
        <f t="shared" si="38"/>
        <v>0.48421523623286877</v>
      </c>
      <c r="BQ7" s="22"/>
      <c r="BR7" s="22">
        <f t="shared" si="39"/>
        <v>3.4439043241421809E-2</v>
      </c>
      <c r="BS7" s="22">
        <f t="shared" si="40"/>
        <v>0.46065233330875871</v>
      </c>
      <c r="BT7" s="22">
        <f t="shared" si="41"/>
        <v>0.50490862344981957</v>
      </c>
      <c r="BU7" s="1"/>
      <c r="BV7" s="26">
        <f t="shared" si="42"/>
        <v>0.84204394141145145</v>
      </c>
      <c r="BW7" s="26">
        <f t="shared" si="43"/>
        <v>4.7821732598898352E-3</v>
      </c>
      <c r="BX7" s="26">
        <f t="shared" si="44"/>
        <v>8.8662220478619071E-3</v>
      </c>
      <c r="BY7" s="26">
        <f t="shared" si="45"/>
        <v>3.0265149022962033E-4</v>
      </c>
      <c r="BZ7" s="26">
        <f t="shared" si="46"/>
        <v>0.41920668058455118</v>
      </c>
      <c r="CA7" s="26">
        <f t="shared" si="47"/>
        <v>1.2151113617141246E-2</v>
      </c>
      <c r="CB7" s="26">
        <f t="shared" si="48"/>
        <v>0.3935483870967742</v>
      </c>
      <c r="CC7" s="26">
        <f t="shared" si="49"/>
        <v>2.9422253922967188E-2</v>
      </c>
      <c r="CD7" s="26">
        <f t="shared" si="50"/>
        <v>6.7763794772507271E-4</v>
      </c>
      <c r="CE7" s="26">
        <f t="shared" si="51"/>
        <v>2.9723991507430998E-4</v>
      </c>
      <c r="CF7" s="26">
        <f t="shared" si="52"/>
        <v>0</v>
      </c>
      <c r="CG7" s="26">
        <f t="shared" si="53"/>
        <v>0</v>
      </c>
      <c r="CH7" s="26">
        <f t="shared" si="54"/>
        <v>0</v>
      </c>
      <c r="CI7" s="26">
        <f t="shared" si="55"/>
        <v>1.711298301293666</v>
      </c>
      <c r="CJ7" s="26">
        <f t="shared" si="56"/>
        <v>2.5622214138026536</v>
      </c>
      <c r="CK7" s="26">
        <f t="shared" si="57"/>
        <v>2.3374066327163279</v>
      </c>
      <c r="CL7" s="26">
        <f t="shared" si="58"/>
        <v>5.9889533271101296</v>
      </c>
      <c r="CM7" s="1"/>
      <c r="CN7" s="22"/>
      <c r="CO7" s="96"/>
      <c r="CP7" s="14"/>
      <c r="CQ7" s="14"/>
      <c r="CR7" s="14"/>
      <c r="CS7" s="14"/>
      <c r="CT7" s="22"/>
      <c r="CU7" s="14"/>
      <c r="CV7" s="22"/>
      <c r="CW7" s="22"/>
      <c r="CX7" s="14"/>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46"/>
      <c r="FF7" s="46"/>
      <c r="FG7" s="46"/>
      <c r="FH7" s="46"/>
      <c r="FI7" s="46"/>
      <c r="FJ7" s="46"/>
      <c r="FK7" s="46"/>
      <c r="FL7" s="46"/>
      <c r="FM7" s="46"/>
      <c r="FN7" s="46"/>
      <c r="FO7" s="46"/>
    </row>
    <row r="8" spans="1:171" x14ac:dyDescent="0.25">
      <c r="A8" s="5" t="s">
        <v>87</v>
      </c>
      <c r="B8" s="1">
        <v>419</v>
      </c>
      <c r="C8" s="98" t="s">
        <v>99</v>
      </c>
      <c r="D8" s="98" t="s">
        <v>106</v>
      </c>
      <c r="E8" s="1">
        <v>101</v>
      </c>
      <c r="F8" s="22">
        <v>50.36</v>
      </c>
      <c r="G8" s="22">
        <v>0.252</v>
      </c>
      <c r="H8" s="22">
        <v>0.52400000000000002</v>
      </c>
      <c r="I8" s="22">
        <v>1.4999999999999999E-2</v>
      </c>
      <c r="J8" s="22">
        <v>29.97</v>
      </c>
      <c r="K8" s="22">
        <v>0.874</v>
      </c>
      <c r="L8" s="22">
        <v>15.67</v>
      </c>
      <c r="M8" s="22">
        <v>1.65</v>
      </c>
      <c r="N8" s="22">
        <v>0</v>
      </c>
      <c r="O8" s="22">
        <v>0</v>
      </c>
      <c r="P8" s="22">
        <v>0</v>
      </c>
      <c r="Q8" s="22"/>
      <c r="R8" s="22"/>
      <c r="S8" s="22">
        <f t="shared" si="0"/>
        <v>99.315000000000012</v>
      </c>
      <c r="T8" s="3"/>
      <c r="U8" s="22">
        <f t="shared" si="1"/>
        <v>29.515561330707559</v>
      </c>
      <c r="V8" s="22">
        <f t="shared" si="2"/>
        <v>0.50501769318469047</v>
      </c>
      <c r="W8" s="22">
        <f t="shared" si="3"/>
        <v>99.365579023892252</v>
      </c>
      <c r="X8" s="1"/>
      <c r="Y8" s="1"/>
      <c r="Z8" s="1"/>
      <c r="AA8" s="1" t="s">
        <v>185</v>
      </c>
      <c r="AC8" s="1">
        <v>6</v>
      </c>
      <c r="AD8" s="1">
        <v>4</v>
      </c>
      <c r="AE8" s="1"/>
      <c r="AF8" s="26">
        <f t="shared" si="4"/>
        <v>1.975254479349557</v>
      </c>
      <c r="AG8" s="26">
        <f t="shared" si="5"/>
        <v>7.4341230019346416E-3</v>
      </c>
      <c r="AH8" s="26">
        <f t="shared" si="6"/>
        <v>2.4221370548887716E-2</v>
      </c>
      <c r="AI8" s="26">
        <f t="shared" si="7"/>
        <v>4.6512908539921103E-4</v>
      </c>
      <c r="AJ8" s="26">
        <f t="shared" si="8"/>
        <v>0.98294049714873011</v>
      </c>
      <c r="AK8" s="26">
        <f t="shared" si="9"/>
        <v>2.9032705342029883E-2</v>
      </c>
      <c r="AL8" s="26">
        <f t="shared" si="10"/>
        <v>0.91628633171180718</v>
      </c>
      <c r="AM8" s="26">
        <f t="shared" si="11"/>
        <v>6.9333511643017737E-2</v>
      </c>
      <c r="AN8" s="26">
        <f t="shared" si="12"/>
        <v>0</v>
      </c>
      <c r="AO8" s="26">
        <f t="shared" si="13"/>
        <v>0</v>
      </c>
      <c r="AP8" s="26">
        <f t="shared" si="14"/>
        <v>0</v>
      </c>
      <c r="AQ8" s="26">
        <f t="shared" si="15"/>
        <v>0</v>
      </c>
      <c r="AR8" s="26">
        <f t="shared" si="16"/>
        <v>0</v>
      </c>
      <c r="AS8" s="26">
        <f t="shared" si="17"/>
        <v>4.0049681478313639</v>
      </c>
      <c r="AT8" s="26">
        <f t="shared" si="18"/>
        <v>1.9994758498984446</v>
      </c>
      <c r="AU8" s="26">
        <f t="shared" si="19"/>
        <v>6.9333511643017737E-2</v>
      </c>
      <c r="AV8" s="47"/>
      <c r="AW8" s="26">
        <f t="shared" si="20"/>
        <v>1.9728041836428898</v>
      </c>
      <c r="AX8" s="26">
        <f t="shared" si="21"/>
        <v>7.4249010004837322E-3</v>
      </c>
      <c r="AY8" s="26">
        <f t="shared" si="22"/>
        <v>2.419132403038288E-2</v>
      </c>
      <c r="AZ8" s="26">
        <f t="shared" si="23"/>
        <v>4.6455209452896372E-4</v>
      </c>
      <c r="BA8" s="26">
        <f t="shared" si="24"/>
        <v>0.96683520859342398</v>
      </c>
      <c r="BB8" s="26">
        <f t="shared" si="25"/>
        <v>1.4885954588339967E-2</v>
      </c>
      <c r="BC8" s="26">
        <f t="shared" si="26"/>
        <v>2.8996690380921713E-2</v>
      </c>
      <c r="BD8" s="26">
        <f t="shared" si="27"/>
        <v>0.91514968198482582</v>
      </c>
      <c r="BE8" s="26">
        <f t="shared" si="28"/>
        <v>6.9247503684203737E-2</v>
      </c>
      <c r="BF8" s="26">
        <f t="shared" si="29"/>
        <v>0</v>
      </c>
      <c r="BG8" s="26">
        <f t="shared" si="30"/>
        <v>0</v>
      </c>
      <c r="BH8" s="26">
        <f t="shared" si="31"/>
        <v>0</v>
      </c>
      <c r="BI8" s="26">
        <f t="shared" si="32"/>
        <v>0</v>
      </c>
      <c r="BJ8" s="26">
        <f t="shared" si="33"/>
        <v>0</v>
      </c>
      <c r="BK8" s="25">
        <f t="shared" si="34"/>
        <v>4</v>
      </c>
      <c r="BL8" s="24">
        <f t="shared" si="35"/>
        <v>5.9999999999999991</v>
      </c>
      <c r="BM8" s="26">
        <f t="shared" si="36"/>
        <v>1.9969955076732726</v>
      </c>
      <c r="BN8" s="26">
        <f t="shared" si="37"/>
        <v>6.9247503684203737E-2</v>
      </c>
      <c r="BO8" s="22"/>
      <c r="BP8" s="26">
        <f t="shared" si="38"/>
        <v>0.48245228942008134</v>
      </c>
      <c r="BQ8" s="22"/>
      <c r="BR8" s="22">
        <f t="shared" si="39"/>
        <v>3.4708526737821481E-2</v>
      </c>
      <c r="BS8" s="22">
        <f t="shared" si="40"/>
        <v>0.45869519500852163</v>
      </c>
      <c r="BT8" s="22">
        <f t="shared" si="41"/>
        <v>0.50659627825365694</v>
      </c>
      <c r="BU8" s="1"/>
      <c r="BV8" s="26">
        <f t="shared" si="42"/>
        <v>0.83821571238348869</v>
      </c>
      <c r="BW8" s="26">
        <f t="shared" si="43"/>
        <v>3.1547320981472212E-3</v>
      </c>
      <c r="BX8" s="26">
        <f t="shared" si="44"/>
        <v>1.0278540604158495E-2</v>
      </c>
      <c r="BY8" s="26">
        <f t="shared" si="45"/>
        <v>1.9738140667149154E-4</v>
      </c>
      <c r="BZ8" s="26">
        <f t="shared" si="46"/>
        <v>0.41711899791231732</v>
      </c>
      <c r="CA8" s="26">
        <f t="shared" si="47"/>
        <v>1.2320270651254581E-2</v>
      </c>
      <c r="CB8" s="26">
        <f t="shared" si="48"/>
        <v>0.38883374689826306</v>
      </c>
      <c r="CC8" s="26">
        <f t="shared" si="49"/>
        <v>2.9422253922967188E-2</v>
      </c>
      <c r="CD8" s="26">
        <f t="shared" si="50"/>
        <v>0</v>
      </c>
      <c r="CE8" s="26">
        <f t="shared" si="51"/>
        <v>0</v>
      </c>
      <c r="CF8" s="26">
        <f t="shared" si="52"/>
        <v>0</v>
      </c>
      <c r="CG8" s="26">
        <f t="shared" si="53"/>
        <v>0</v>
      </c>
      <c r="CH8" s="26">
        <f t="shared" si="54"/>
        <v>0</v>
      </c>
      <c r="CI8" s="26">
        <f t="shared" si="55"/>
        <v>1.6995416358772679</v>
      </c>
      <c r="CJ8" s="26">
        <f t="shared" si="56"/>
        <v>2.5461500413643194</v>
      </c>
      <c r="CK8" s="26">
        <f t="shared" si="57"/>
        <v>2.3535757615819066</v>
      </c>
      <c r="CL8" s="26">
        <f t="shared" si="58"/>
        <v>5.9925570227058316</v>
      </c>
      <c r="CM8" s="1"/>
      <c r="CN8" s="22"/>
      <c r="CO8" s="96"/>
      <c r="CP8" s="14"/>
      <c r="CQ8" s="14"/>
      <c r="CR8" s="14"/>
      <c r="CS8" s="14"/>
      <c r="CT8" s="22"/>
      <c r="CU8" s="14"/>
      <c r="CV8" s="22"/>
      <c r="CW8" s="22"/>
      <c r="CX8" s="14"/>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46"/>
      <c r="FF8" s="46"/>
      <c r="FG8" s="46"/>
      <c r="FH8" s="46"/>
      <c r="FI8" s="46"/>
      <c r="FJ8" s="46"/>
      <c r="FK8" s="46"/>
      <c r="FL8" s="46"/>
      <c r="FM8" s="46"/>
      <c r="FN8" s="46"/>
      <c r="FO8" s="46"/>
    </row>
    <row r="9" spans="1:171" x14ac:dyDescent="0.25">
      <c r="A9" s="5" t="s">
        <v>87</v>
      </c>
      <c r="B9" s="1">
        <v>420</v>
      </c>
      <c r="C9" s="98" t="s">
        <v>99</v>
      </c>
      <c r="D9" s="98" t="s">
        <v>106</v>
      </c>
      <c r="E9" s="1">
        <v>102</v>
      </c>
      <c r="F9" s="22">
        <v>50.61</v>
      </c>
      <c r="G9" s="22">
        <v>0.28100000000000003</v>
      </c>
      <c r="H9" s="22">
        <v>0.51600000000000001</v>
      </c>
      <c r="I9" s="22">
        <v>0</v>
      </c>
      <c r="J9" s="22">
        <v>30.43</v>
      </c>
      <c r="K9" s="22">
        <v>0.93799999999999994</v>
      </c>
      <c r="L9" s="22">
        <v>15.73</v>
      </c>
      <c r="M9" s="22">
        <v>1.55</v>
      </c>
      <c r="N9" s="22">
        <v>1.9E-2</v>
      </c>
      <c r="O9" s="22">
        <v>0</v>
      </c>
      <c r="P9" s="22">
        <v>0</v>
      </c>
      <c r="Q9" s="22"/>
      <c r="R9" s="22"/>
      <c r="S9" s="22">
        <f t="shared" si="0"/>
        <v>100.074</v>
      </c>
      <c r="T9" s="3"/>
      <c r="U9" s="22">
        <f t="shared" si="1"/>
        <v>29.708846695832008</v>
      </c>
      <c r="V9" s="22">
        <f t="shared" si="2"/>
        <v>0.80141766692188887</v>
      </c>
      <c r="W9" s="22">
        <f t="shared" si="3"/>
        <v>100.15426436275389</v>
      </c>
      <c r="X9" s="1"/>
      <c r="Y9" s="1"/>
      <c r="Z9" s="1"/>
      <c r="AA9" s="1" t="s">
        <v>185</v>
      </c>
      <c r="AC9" s="1">
        <v>6</v>
      </c>
      <c r="AD9" s="1">
        <v>4</v>
      </c>
      <c r="AE9" s="1"/>
      <c r="AF9" s="26">
        <f t="shared" si="4"/>
        <v>1.9727921502783525</v>
      </c>
      <c r="AG9" s="26">
        <f t="shared" si="5"/>
        <v>8.2384058257983905E-3</v>
      </c>
      <c r="AH9" s="26">
        <f t="shared" si="6"/>
        <v>2.3704171924250814E-2</v>
      </c>
      <c r="AI9" s="26">
        <f t="shared" si="7"/>
        <v>0</v>
      </c>
      <c r="AJ9" s="26">
        <f t="shared" si="8"/>
        <v>0.9918593639680392</v>
      </c>
      <c r="AK9" s="26">
        <f t="shared" si="9"/>
        <v>3.0966104291840997E-2</v>
      </c>
      <c r="AL9" s="26">
        <f t="shared" si="10"/>
        <v>0.9141102828738128</v>
      </c>
      <c r="AM9" s="26">
        <f t="shared" si="11"/>
        <v>6.4728957292543562E-2</v>
      </c>
      <c r="AN9" s="26">
        <f t="shared" si="12"/>
        <v>1.4358429581727927E-3</v>
      </c>
      <c r="AO9" s="26">
        <f t="shared" si="13"/>
        <v>0</v>
      </c>
      <c r="AP9" s="26">
        <f t="shared" si="14"/>
        <v>0</v>
      </c>
      <c r="AQ9" s="26">
        <f t="shared" si="15"/>
        <v>0</v>
      </c>
      <c r="AR9" s="26">
        <f t="shared" si="16"/>
        <v>0</v>
      </c>
      <c r="AS9" s="26">
        <f t="shared" si="17"/>
        <v>4.0078352794128111</v>
      </c>
      <c r="AT9" s="26">
        <f t="shared" si="18"/>
        <v>1.9964963222026033</v>
      </c>
      <c r="AU9" s="26">
        <f t="shared" si="19"/>
        <v>6.616480025071636E-2</v>
      </c>
      <c r="AV9" s="47"/>
      <c r="AW9" s="26">
        <f t="shared" si="20"/>
        <v>1.9689353606043278</v>
      </c>
      <c r="AX9" s="26">
        <f t="shared" si="21"/>
        <v>8.2222998216687215E-3</v>
      </c>
      <c r="AY9" s="26">
        <f t="shared" si="22"/>
        <v>2.3657830496191169E-2</v>
      </c>
      <c r="AZ9" s="26">
        <f t="shared" si="23"/>
        <v>0</v>
      </c>
      <c r="BA9" s="26">
        <f t="shared" si="24"/>
        <v>0.9664604039031065</v>
      </c>
      <c r="BB9" s="26">
        <f t="shared" si="25"/>
        <v>2.3459884550820931E-2</v>
      </c>
      <c r="BC9" s="26">
        <f t="shared" si="26"/>
        <v>3.0905565855868056E-2</v>
      </c>
      <c r="BD9" s="26">
        <f t="shared" si="27"/>
        <v>0.91232320606523454</v>
      </c>
      <c r="BE9" s="26">
        <f t="shared" si="28"/>
        <v>6.4602412803778722E-2</v>
      </c>
      <c r="BF9" s="26">
        <f t="shared" si="29"/>
        <v>1.4330358990034724E-3</v>
      </c>
      <c r="BG9" s="26">
        <f t="shared" si="30"/>
        <v>0</v>
      </c>
      <c r="BH9" s="26">
        <f t="shared" si="31"/>
        <v>0</v>
      </c>
      <c r="BI9" s="26">
        <f t="shared" si="32"/>
        <v>0</v>
      </c>
      <c r="BJ9" s="26">
        <f t="shared" si="33"/>
        <v>0</v>
      </c>
      <c r="BK9" s="25">
        <f t="shared" si="34"/>
        <v>3.9999999999999996</v>
      </c>
      <c r="BL9" s="24">
        <f t="shared" si="35"/>
        <v>6</v>
      </c>
      <c r="BM9" s="26">
        <f t="shared" si="36"/>
        <v>1.992593191100519</v>
      </c>
      <c r="BN9" s="26">
        <f t="shared" si="37"/>
        <v>6.603544870278219E-2</v>
      </c>
      <c r="BO9" s="22"/>
      <c r="BP9" s="26">
        <f t="shared" si="38"/>
        <v>0.47960379872180686</v>
      </c>
      <c r="BQ9" s="22"/>
      <c r="BR9" s="22">
        <f t="shared" si="39"/>
        <v>3.2337562340016092E-2</v>
      </c>
      <c r="BS9" s="22">
        <f t="shared" si="40"/>
        <v>0.45667502605494364</v>
      </c>
      <c r="BT9" s="22">
        <f t="shared" si="41"/>
        <v>0.51098741160504024</v>
      </c>
      <c r="BU9" s="1"/>
      <c r="BV9" s="26">
        <f t="shared" si="42"/>
        <v>0.84237683089214377</v>
      </c>
      <c r="BW9" s="26">
        <f t="shared" si="43"/>
        <v>3.517776664997497E-3</v>
      </c>
      <c r="BX9" s="26">
        <f t="shared" si="44"/>
        <v>1.0121616320125541E-2</v>
      </c>
      <c r="BY9" s="26">
        <f t="shared" si="45"/>
        <v>0</v>
      </c>
      <c r="BZ9" s="26">
        <f t="shared" si="46"/>
        <v>0.42352122477383441</v>
      </c>
      <c r="CA9" s="26">
        <f t="shared" si="47"/>
        <v>1.3222441499859036E-2</v>
      </c>
      <c r="CB9" s="26">
        <f t="shared" si="48"/>
        <v>0.39032258064516134</v>
      </c>
      <c r="CC9" s="26">
        <f t="shared" si="49"/>
        <v>2.7639087018544936E-2</v>
      </c>
      <c r="CD9" s="26">
        <f t="shared" si="50"/>
        <v>6.1310100032268471E-4</v>
      </c>
      <c r="CE9" s="26">
        <f t="shared" si="51"/>
        <v>0</v>
      </c>
      <c r="CF9" s="26">
        <f t="shared" si="52"/>
        <v>0</v>
      </c>
      <c r="CG9" s="26">
        <f t="shared" si="53"/>
        <v>0</v>
      </c>
      <c r="CH9" s="26">
        <f t="shared" si="54"/>
        <v>0</v>
      </c>
      <c r="CI9" s="26">
        <f t="shared" si="55"/>
        <v>1.7113346588149894</v>
      </c>
      <c r="CJ9" s="26">
        <f t="shared" si="56"/>
        <v>2.5619835240320317</v>
      </c>
      <c r="CK9" s="26">
        <f t="shared" si="57"/>
        <v>2.3373569742167164</v>
      </c>
      <c r="CL9" s="26">
        <f t="shared" si="58"/>
        <v>5.9882700577245895</v>
      </c>
      <c r="CM9" s="1"/>
      <c r="CN9" s="22"/>
      <c r="CO9" s="96"/>
      <c r="CP9" s="14"/>
      <c r="CQ9" s="14"/>
      <c r="CR9" s="14"/>
      <c r="CS9" s="14"/>
      <c r="CT9" s="22"/>
      <c r="CU9" s="14"/>
      <c r="CV9" s="22"/>
      <c r="CW9" s="22"/>
      <c r="CX9" s="14"/>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46"/>
      <c r="FF9" s="46"/>
      <c r="FG9" s="46"/>
      <c r="FH9" s="46"/>
      <c r="FI9" s="46"/>
      <c r="FJ9" s="46"/>
      <c r="FK9" s="46"/>
      <c r="FL9" s="46"/>
      <c r="FM9" s="46"/>
      <c r="FN9" s="46"/>
      <c r="FO9" s="46"/>
    </row>
    <row r="10" spans="1:171" x14ac:dyDescent="0.25">
      <c r="A10" s="5" t="s">
        <v>87</v>
      </c>
      <c r="B10" s="1">
        <v>421</v>
      </c>
      <c r="C10" s="98" t="s">
        <v>99</v>
      </c>
      <c r="D10" s="98" t="s">
        <v>106</v>
      </c>
      <c r="E10" s="1">
        <v>103</v>
      </c>
      <c r="F10" s="22">
        <v>50.45</v>
      </c>
      <c r="G10" s="22">
        <v>0.33100000000000002</v>
      </c>
      <c r="H10" s="22">
        <v>0.46500000000000002</v>
      </c>
      <c r="I10" s="22">
        <v>0</v>
      </c>
      <c r="J10" s="22">
        <v>30.5</v>
      </c>
      <c r="K10" s="22">
        <v>0.90400000000000003</v>
      </c>
      <c r="L10" s="22">
        <v>15.85</v>
      </c>
      <c r="M10" s="22">
        <v>1.71</v>
      </c>
      <c r="N10" s="22">
        <v>2.4E-2</v>
      </c>
      <c r="O10" s="22">
        <v>0</v>
      </c>
      <c r="P10" s="22">
        <v>0</v>
      </c>
      <c r="Q10" s="22"/>
      <c r="R10" s="22"/>
      <c r="S10" s="22">
        <f t="shared" si="0"/>
        <v>100.23399999999999</v>
      </c>
      <c r="T10" s="3"/>
      <c r="U10" s="22">
        <f t="shared" si="1"/>
        <v>29.154788500999462</v>
      </c>
      <c r="V10" s="22">
        <f t="shared" si="2"/>
        <v>1.4949335388392992</v>
      </c>
      <c r="W10" s="22">
        <f t="shared" si="3"/>
        <v>100.38372203983877</v>
      </c>
      <c r="X10" s="1"/>
      <c r="Y10" s="1"/>
      <c r="Z10" s="1"/>
      <c r="AA10" s="1" t="s">
        <v>185</v>
      </c>
      <c r="AC10" s="1">
        <v>6</v>
      </c>
      <c r="AD10" s="1">
        <v>4</v>
      </c>
      <c r="AE10" s="1"/>
      <c r="AF10" s="26">
        <f t="shared" si="4"/>
        <v>1.9659173084356218</v>
      </c>
      <c r="AG10" s="26">
        <f t="shared" si="5"/>
        <v>9.7011660294849655E-3</v>
      </c>
      <c r="AH10" s="26">
        <f t="shared" si="6"/>
        <v>2.1354387612012742E-2</v>
      </c>
      <c r="AI10" s="26">
        <f t="shared" si="7"/>
        <v>0</v>
      </c>
      <c r="AJ10" s="26">
        <f t="shared" si="8"/>
        <v>0.99381847648678123</v>
      </c>
      <c r="AK10" s="26">
        <f t="shared" si="9"/>
        <v>2.9833983561337919E-2</v>
      </c>
      <c r="AL10" s="26">
        <f t="shared" si="10"/>
        <v>0.9207849667972724</v>
      </c>
      <c r="AM10" s="26">
        <f t="shared" si="11"/>
        <v>7.1387488825000373E-2</v>
      </c>
      <c r="AN10" s="26">
        <f t="shared" si="12"/>
        <v>1.8131079627524539E-3</v>
      </c>
      <c r="AO10" s="26">
        <f t="shared" si="13"/>
        <v>0</v>
      </c>
      <c r="AP10" s="26">
        <f t="shared" si="14"/>
        <v>0</v>
      </c>
      <c r="AQ10" s="26">
        <f t="shared" si="15"/>
        <v>0</v>
      </c>
      <c r="AR10" s="26">
        <f t="shared" si="16"/>
        <v>0</v>
      </c>
      <c r="AS10" s="26">
        <f t="shared" si="17"/>
        <v>4.0146108857102645</v>
      </c>
      <c r="AT10" s="26">
        <f t="shared" si="18"/>
        <v>1.9872716960476347</v>
      </c>
      <c r="AU10" s="26">
        <f t="shared" si="19"/>
        <v>7.3200596787752828E-2</v>
      </c>
      <c r="AV10" s="47"/>
      <c r="AW10" s="26">
        <f t="shared" si="20"/>
        <v>1.9587624946997195</v>
      </c>
      <c r="AX10" s="26">
        <f t="shared" si="21"/>
        <v>9.6658593379653403E-3</v>
      </c>
      <c r="AY10" s="26">
        <f t="shared" si="22"/>
        <v>2.127666986409292E-2</v>
      </c>
      <c r="AZ10" s="26">
        <f t="shared" si="23"/>
        <v>0</v>
      </c>
      <c r="BA10" s="26">
        <f t="shared" si="24"/>
        <v>0.94652841473368954</v>
      </c>
      <c r="BB10" s="26">
        <f t="shared" si="25"/>
        <v>4.3673131348109795E-2</v>
      </c>
      <c r="BC10" s="26">
        <f t="shared" si="26"/>
        <v>2.9725404937778616E-2</v>
      </c>
      <c r="BD10" s="26">
        <f t="shared" si="27"/>
        <v>0.91743383656408073</v>
      </c>
      <c r="BE10" s="26">
        <f t="shared" si="28"/>
        <v>7.1127679226994894E-2</v>
      </c>
      <c r="BF10" s="26">
        <f t="shared" si="29"/>
        <v>1.8065092875686548E-3</v>
      </c>
      <c r="BG10" s="26">
        <f t="shared" si="30"/>
        <v>0</v>
      </c>
      <c r="BH10" s="26">
        <f t="shared" si="31"/>
        <v>0</v>
      </c>
      <c r="BI10" s="26">
        <f t="shared" si="32"/>
        <v>0</v>
      </c>
      <c r="BJ10" s="26">
        <f t="shared" si="33"/>
        <v>0</v>
      </c>
      <c r="BK10" s="25">
        <f t="shared" si="34"/>
        <v>3.9999999999999996</v>
      </c>
      <c r="BL10" s="24">
        <f t="shared" si="35"/>
        <v>6.0000000000000027</v>
      </c>
      <c r="BM10" s="26">
        <f t="shared" si="36"/>
        <v>1.9800391645638125</v>
      </c>
      <c r="BN10" s="26">
        <f t="shared" si="37"/>
        <v>7.2934188514563555E-2</v>
      </c>
      <c r="BO10" s="22"/>
      <c r="BP10" s="26">
        <f t="shared" si="38"/>
        <v>0.48092724894398059</v>
      </c>
      <c r="BQ10" s="22"/>
      <c r="BR10" s="22">
        <f t="shared" si="39"/>
        <v>3.5413536299733366E-2</v>
      </c>
      <c r="BS10" s="22">
        <f t="shared" si="40"/>
        <v>0.45677824479664791</v>
      </c>
      <c r="BT10" s="22">
        <f t="shared" si="41"/>
        <v>0.50780821890361871</v>
      </c>
      <c r="BU10" s="1"/>
      <c r="BV10" s="26">
        <f t="shared" si="42"/>
        <v>0.83971371504660464</v>
      </c>
      <c r="BW10" s="26">
        <f t="shared" si="43"/>
        <v>4.1437155733600401E-3</v>
      </c>
      <c r="BX10" s="26">
        <f t="shared" si="44"/>
        <v>9.1212240094154587E-3</v>
      </c>
      <c r="BY10" s="26">
        <f t="shared" si="45"/>
        <v>0</v>
      </c>
      <c r="BZ10" s="26">
        <f t="shared" si="46"/>
        <v>0.4244954766875435</v>
      </c>
      <c r="CA10" s="26">
        <f t="shared" si="47"/>
        <v>1.274316323653792E-2</v>
      </c>
      <c r="CB10" s="26">
        <f t="shared" si="48"/>
        <v>0.39330024813895781</v>
      </c>
      <c r="CC10" s="26">
        <f t="shared" si="49"/>
        <v>3.0492154065620541E-2</v>
      </c>
      <c r="CD10" s="26">
        <f t="shared" si="50"/>
        <v>7.7444336882865445E-4</v>
      </c>
      <c r="CE10" s="26">
        <f t="shared" si="51"/>
        <v>0</v>
      </c>
      <c r="CF10" s="26">
        <f t="shared" si="52"/>
        <v>0</v>
      </c>
      <c r="CG10" s="26">
        <f t="shared" si="53"/>
        <v>0</v>
      </c>
      <c r="CH10" s="26">
        <f t="shared" si="54"/>
        <v>0</v>
      </c>
      <c r="CI10" s="26">
        <f t="shared" si="55"/>
        <v>1.7147841401268686</v>
      </c>
      <c r="CJ10" s="26">
        <f t="shared" si="56"/>
        <v>2.5628149610671263</v>
      </c>
      <c r="CK10" s="26">
        <f t="shared" si="57"/>
        <v>2.3326551175730255</v>
      </c>
      <c r="CL10" s="26">
        <f t="shared" si="58"/>
        <v>5.9781634343259462</v>
      </c>
      <c r="CM10" s="1"/>
      <c r="CN10" s="22"/>
      <c r="CO10" s="96"/>
      <c r="CP10" s="14"/>
      <c r="CQ10" s="14"/>
      <c r="CR10" s="14"/>
      <c r="CS10" s="14"/>
      <c r="CT10" s="22"/>
      <c r="CU10" s="14"/>
      <c r="CV10" s="22"/>
      <c r="CW10" s="22"/>
      <c r="CX10" s="14"/>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46"/>
      <c r="FF10" s="46"/>
      <c r="FG10" s="46"/>
      <c r="FH10" s="46"/>
      <c r="FI10" s="46"/>
      <c r="FJ10" s="46"/>
      <c r="FK10" s="46"/>
      <c r="FL10" s="46"/>
      <c r="FM10" s="46"/>
      <c r="FN10" s="46"/>
      <c r="FO10" s="46"/>
    </row>
    <row r="11" spans="1:171" x14ac:dyDescent="0.25">
      <c r="A11" s="5" t="s">
        <v>87</v>
      </c>
      <c r="B11" s="1">
        <v>423</v>
      </c>
      <c r="C11" s="98" t="s">
        <v>99</v>
      </c>
      <c r="D11" s="98" t="s">
        <v>106</v>
      </c>
      <c r="E11" s="1">
        <v>105</v>
      </c>
      <c r="F11" s="22">
        <v>51.06</v>
      </c>
      <c r="G11" s="22">
        <v>0.28100000000000003</v>
      </c>
      <c r="H11" s="22">
        <v>0.372</v>
      </c>
      <c r="I11" s="22">
        <v>0</v>
      </c>
      <c r="J11" s="22">
        <v>28.89</v>
      </c>
      <c r="K11" s="22">
        <v>0.85099999999999998</v>
      </c>
      <c r="L11" s="22">
        <v>16.760000000000002</v>
      </c>
      <c r="M11" s="22">
        <v>1.22</v>
      </c>
      <c r="N11" s="22">
        <v>0</v>
      </c>
      <c r="O11" s="22">
        <v>0</v>
      </c>
      <c r="P11" s="22">
        <v>0</v>
      </c>
      <c r="Q11" s="22"/>
      <c r="R11" s="22"/>
      <c r="S11" s="22">
        <f t="shared" si="0"/>
        <v>99.434000000000012</v>
      </c>
      <c r="T11" s="3"/>
      <c r="U11" s="22">
        <f t="shared" si="1"/>
        <v>28.89</v>
      </c>
      <c r="V11" s="22">
        <f t="shared" si="2"/>
        <v>0</v>
      </c>
      <c r="W11" s="22">
        <f t="shared" si="3"/>
        <v>99.433999999999997</v>
      </c>
      <c r="X11" s="1"/>
      <c r="Y11" s="1"/>
      <c r="Z11" s="1"/>
      <c r="AA11" s="1" t="s">
        <v>185</v>
      </c>
      <c r="AB11" s="1" t="s">
        <v>260</v>
      </c>
      <c r="AC11" s="1">
        <v>6</v>
      </c>
      <c r="AD11" s="1">
        <v>4</v>
      </c>
      <c r="AE11" s="1"/>
      <c r="AF11" s="26">
        <f t="shared" si="4"/>
        <v>1.9845620137901143</v>
      </c>
      <c r="AG11" s="26">
        <f t="shared" si="5"/>
        <v>8.2145173563741951E-3</v>
      </c>
      <c r="AH11" s="26">
        <f t="shared" si="6"/>
        <v>1.7039501951844033E-2</v>
      </c>
      <c r="AI11" s="26">
        <f t="shared" si="7"/>
        <v>0</v>
      </c>
      <c r="AJ11" s="26">
        <f t="shared" si="8"/>
        <v>0.93893290070411428</v>
      </c>
      <c r="AK11" s="26">
        <f t="shared" si="9"/>
        <v>2.8012518980478823E-2</v>
      </c>
      <c r="AL11" s="26">
        <f t="shared" si="10"/>
        <v>0.97114204269750715</v>
      </c>
      <c r="AM11" s="26">
        <f t="shared" si="11"/>
        <v>5.0800222397156841E-2</v>
      </c>
      <c r="AN11" s="26">
        <f t="shared" si="12"/>
        <v>0</v>
      </c>
      <c r="AO11" s="26">
        <f t="shared" si="13"/>
        <v>0</v>
      </c>
      <c r="AP11" s="26">
        <f t="shared" si="14"/>
        <v>0</v>
      </c>
      <c r="AQ11" s="26">
        <f t="shared" si="15"/>
        <v>0</v>
      </c>
      <c r="AR11" s="26">
        <f t="shared" si="16"/>
        <v>0</v>
      </c>
      <c r="AS11" s="26">
        <f t="shared" si="17"/>
        <v>3.9987037178775897</v>
      </c>
      <c r="AT11" s="26">
        <f t="shared" si="18"/>
        <v>2.0016015157419584</v>
      </c>
      <c r="AU11" s="26">
        <f t="shared" si="19"/>
        <v>5.0800222397156841E-2</v>
      </c>
      <c r="AV11" s="47"/>
      <c r="AW11" s="26">
        <f t="shared" si="20"/>
        <v>1.985205360344596</v>
      </c>
      <c r="AX11" s="26">
        <f t="shared" si="21"/>
        <v>8.2171803023548349E-3</v>
      </c>
      <c r="AY11" s="26">
        <f t="shared" si="22"/>
        <v>1.7045025742380499E-2</v>
      </c>
      <c r="AZ11" s="26">
        <f t="shared" si="23"/>
        <v>0</v>
      </c>
      <c r="BA11" s="26">
        <f t="shared" si="24"/>
        <v>0.93923727982774963</v>
      </c>
      <c r="BB11" s="26">
        <f t="shared" si="25"/>
        <v>0</v>
      </c>
      <c r="BC11" s="26">
        <f t="shared" si="26"/>
        <v>2.8021599955244648E-2</v>
      </c>
      <c r="BD11" s="26">
        <f t="shared" si="27"/>
        <v>0.97145686323863423</v>
      </c>
      <c r="BE11" s="26">
        <f t="shared" si="28"/>
        <v>5.0816690589039488E-2</v>
      </c>
      <c r="BF11" s="26">
        <f t="shared" si="29"/>
        <v>0</v>
      </c>
      <c r="BG11" s="26">
        <f t="shared" si="30"/>
        <v>0</v>
      </c>
      <c r="BH11" s="26">
        <f t="shared" si="31"/>
        <v>0</v>
      </c>
      <c r="BI11" s="26">
        <f t="shared" si="32"/>
        <v>0</v>
      </c>
      <c r="BJ11" s="26">
        <f t="shared" si="33"/>
        <v>0</v>
      </c>
      <c r="BK11" s="25">
        <f t="shared" si="34"/>
        <v>3.9999999999999991</v>
      </c>
      <c r="BL11" s="24">
        <f t="shared" si="35"/>
        <v>6.0019450535181402</v>
      </c>
      <c r="BM11" s="26">
        <f t="shared" si="36"/>
        <v>2.0022503860869767</v>
      </c>
      <c r="BN11" s="26">
        <f t="shared" si="37"/>
        <v>5.0816690589039488E-2</v>
      </c>
      <c r="BO11" s="22"/>
      <c r="BP11" s="26">
        <f t="shared" si="38"/>
        <v>0.50843138173836044</v>
      </c>
      <c r="BQ11" s="22"/>
      <c r="BR11" s="22">
        <f t="shared" si="39"/>
        <v>2.5542026724749447E-2</v>
      </c>
      <c r="BS11" s="22">
        <f t="shared" si="40"/>
        <v>0.48828400423490598</v>
      </c>
      <c r="BT11" s="22">
        <f t="shared" si="41"/>
        <v>0.48617396904034454</v>
      </c>
      <c r="BU11" s="1"/>
      <c r="BV11" s="26">
        <f t="shared" si="42"/>
        <v>0.84986684420772307</v>
      </c>
      <c r="BW11" s="26">
        <f t="shared" si="43"/>
        <v>3.517776664997497E-3</v>
      </c>
      <c r="BX11" s="26">
        <f t="shared" si="44"/>
        <v>7.2969792075323657E-3</v>
      </c>
      <c r="BY11" s="26">
        <f t="shared" si="45"/>
        <v>0</v>
      </c>
      <c r="BZ11" s="26">
        <f t="shared" si="46"/>
        <v>0.40208768267223388</v>
      </c>
      <c r="CA11" s="26">
        <f t="shared" si="47"/>
        <v>1.1996053002537355E-2</v>
      </c>
      <c r="CB11" s="26">
        <f t="shared" si="48"/>
        <v>0.41588089330024819</v>
      </c>
      <c r="CC11" s="26">
        <f t="shared" si="49"/>
        <v>2.1754636233951498E-2</v>
      </c>
      <c r="CD11" s="26">
        <f t="shared" si="50"/>
        <v>0</v>
      </c>
      <c r="CE11" s="26">
        <f t="shared" si="51"/>
        <v>0</v>
      </c>
      <c r="CF11" s="26">
        <f t="shared" si="52"/>
        <v>0</v>
      </c>
      <c r="CG11" s="26">
        <f t="shared" si="53"/>
        <v>0</v>
      </c>
      <c r="CH11" s="26">
        <f t="shared" si="54"/>
        <v>0</v>
      </c>
      <c r="CI11" s="26">
        <f t="shared" si="55"/>
        <v>1.712400865289224</v>
      </c>
      <c r="CJ11" s="26">
        <f t="shared" si="56"/>
        <v>2.5694339757657105</v>
      </c>
      <c r="CK11" s="26">
        <f t="shared" si="57"/>
        <v>2.3359016460928972</v>
      </c>
      <c r="CL11" s="26">
        <f t="shared" si="58"/>
        <v>6.0019450535181402</v>
      </c>
      <c r="CM11" s="1"/>
      <c r="CN11" s="22"/>
      <c r="CO11" s="96"/>
      <c r="CP11" s="14"/>
      <c r="CQ11" s="14"/>
      <c r="CR11" s="14"/>
      <c r="CS11" s="14"/>
      <c r="CT11" s="22"/>
      <c r="CU11" s="14"/>
      <c r="CV11" s="22"/>
      <c r="CW11" s="22"/>
      <c r="CX11" s="14"/>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46"/>
      <c r="FF11" s="46"/>
      <c r="FG11" s="46"/>
      <c r="FH11" s="46"/>
      <c r="FI11" s="46"/>
      <c r="FJ11" s="46"/>
      <c r="FK11" s="46"/>
      <c r="FL11" s="46"/>
      <c r="FM11" s="46"/>
      <c r="FN11" s="46"/>
      <c r="FO11" s="46"/>
    </row>
    <row r="12" spans="1:171" x14ac:dyDescent="0.25">
      <c r="A12" s="5" t="s">
        <v>87</v>
      </c>
      <c r="B12" s="1">
        <v>424</v>
      </c>
      <c r="C12" s="98" t="s">
        <v>99</v>
      </c>
      <c r="D12" s="98" t="s">
        <v>106</v>
      </c>
      <c r="E12" s="1">
        <v>106</v>
      </c>
      <c r="F12" s="22">
        <v>50.2</v>
      </c>
      <c r="G12" s="22">
        <v>0.27200000000000002</v>
      </c>
      <c r="H12" s="22">
        <v>0.45800000000000002</v>
      </c>
      <c r="I12" s="22">
        <v>2.8000000000000001E-2</v>
      </c>
      <c r="J12" s="22">
        <v>30.27</v>
      </c>
      <c r="K12" s="22">
        <v>0.878</v>
      </c>
      <c r="L12" s="22">
        <v>15.96</v>
      </c>
      <c r="M12" s="22">
        <v>1.7</v>
      </c>
      <c r="N12" s="22">
        <v>4.2000000000000003E-2</v>
      </c>
      <c r="O12" s="22">
        <v>0</v>
      </c>
      <c r="P12" s="22">
        <v>0</v>
      </c>
      <c r="Q12" s="22"/>
      <c r="R12" s="22"/>
      <c r="S12" s="22">
        <f t="shared" si="0"/>
        <v>99.808000000000007</v>
      </c>
      <c r="T12" s="3"/>
      <c r="U12" s="22">
        <f t="shared" si="1"/>
        <v>28.562306473793281</v>
      </c>
      <c r="V12" s="22">
        <f t="shared" si="2"/>
        <v>1.8977598156735267</v>
      </c>
      <c r="W12" s="22">
        <f t="shared" si="3"/>
        <v>99.998066289466806</v>
      </c>
      <c r="X12" s="1"/>
      <c r="Y12" s="1"/>
      <c r="Z12" s="1"/>
      <c r="AA12" s="1" t="s">
        <v>185</v>
      </c>
      <c r="AC12" s="1">
        <v>6</v>
      </c>
      <c r="AD12" s="1">
        <v>4</v>
      </c>
      <c r="AE12" s="1"/>
      <c r="AF12" s="26">
        <f t="shared" si="4"/>
        <v>1.9639757276621863</v>
      </c>
      <c r="AG12" s="26">
        <f t="shared" si="5"/>
        <v>8.0037436601318335E-3</v>
      </c>
      <c r="AH12" s="26">
        <f t="shared" si="6"/>
        <v>2.1116793347136533E-2</v>
      </c>
      <c r="AI12" s="26">
        <f t="shared" si="7"/>
        <v>8.6603478266745787E-4</v>
      </c>
      <c r="AJ12" s="26">
        <f t="shared" si="8"/>
        <v>0.99025711495068292</v>
      </c>
      <c r="AK12" s="26">
        <f t="shared" si="9"/>
        <v>2.9091469191841308E-2</v>
      </c>
      <c r="AL12" s="26">
        <f t="shared" si="10"/>
        <v>0.9308724214894214</v>
      </c>
      <c r="AM12" s="26">
        <f t="shared" si="11"/>
        <v>7.1253013950085903E-2</v>
      </c>
      <c r="AN12" s="26">
        <f t="shared" si="12"/>
        <v>3.1855911572513788E-3</v>
      </c>
      <c r="AO12" s="26">
        <f t="shared" si="13"/>
        <v>0</v>
      </c>
      <c r="AP12" s="26">
        <f t="shared" si="14"/>
        <v>0</v>
      </c>
      <c r="AQ12" s="26">
        <f t="shared" si="15"/>
        <v>0</v>
      </c>
      <c r="AR12" s="26">
        <f t="shared" si="16"/>
        <v>0</v>
      </c>
      <c r="AS12" s="26">
        <f t="shared" si="17"/>
        <v>4.0186219101914045</v>
      </c>
      <c r="AT12" s="26">
        <f t="shared" si="18"/>
        <v>1.9850925210093229</v>
      </c>
      <c r="AU12" s="26">
        <f t="shared" si="19"/>
        <v>7.4438605107337283E-2</v>
      </c>
      <c r="AV12" s="47"/>
      <c r="AW12" s="26">
        <f t="shared" si="20"/>
        <v>1.954874851681325</v>
      </c>
      <c r="AX12" s="26">
        <f t="shared" si="21"/>
        <v>7.9666550762926783E-3</v>
      </c>
      <c r="AY12" s="26">
        <f t="shared" si="22"/>
        <v>2.1018940143220144E-2</v>
      </c>
      <c r="AZ12" s="26">
        <f t="shared" si="23"/>
        <v>8.6202166018271582E-4</v>
      </c>
      <c r="BA12" s="26">
        <f t="shared" si="24"/>
        <v>0.93006150392681797</v>
      </c>
      <c r="BB12" s="26">
        <f t="shared" si="25"/>
        <v>5.5606854113381399E-2</v>
      </c>
      <c r="BC12" s="26">
        <f t="shared" si="26"/>
        <v>2.8956662101566753E-2</v>
      </c>
      <c r="BD12" s="26">
        <f t="shared" si="27"/>
        <v>0.92655884757776019</v>
      </c>
      <c r="BE12" s="26">
        <f t="shared" si="28"/>
        <v>7.0922834287430805E-2</v>
      </c>
      <c r="BF12" s="26">
        <f t="shared" si="29"/>
        <v>3.1708294320225319E-3</v>
      </c>
      <c r="BG12" s="26">
        <f t="shared" si="30"/>
        <v>0</v>
      </c>
      <c r="BH12" s="26">
        <f t="shared" si="31"/>
        <v>0</v>
      </c>
      <c r="BI12" s="26">
        <f t="shared" si="32"/>
        <v>0</v>
      </c>
      <c r="BJ12" s="26">
        <f t="shared" si="33"/>
        <v>0</v>
      </c>
      <c r="BK12" s="25">
        <f t="shared" si="34"/>
        <v>4</v>
      </c>
      <c r="BL12" s="24">
        <f t="shared" si="35"/>
        <v>5.9999999999999982</v>
      </c>
      <c r="BM12" s="26">
        <f t="shared" si="36"/>
        <v>1.9758937918245452</v>
      </c>
      <c r="BN12" s="26">
        <f t="shared" si="37"/>
        <v>7.4093663719453334E-2</v>
      </c>
      <c r="BO12" s="22"/>
      <c r="BP12" s="26">
        <f t="shared" si="38"/>
        <v>0.48454432865279279</v>
      </c>
      <c r="BQ12" s="22"/>
      <c r="BR12" s="22">
        <f t="shared" si="39"/>
        <v>3.5248048334956331E-2</v>
      </c>
      <c r="BS12" s="22">
        <f t="shared" si="40"/>
        <v>0.46049190465573853</v>
      </c>
      <c r="BT12" s="22">
        <f t="shared" si="41"/>
        <v>0.50426004700930516</v>
      </c>
      <c r="BU12" s="1"/>
      <c r="BV12" s="26">
        <f t="shared" si="42"/>
        <v>0.83555259653794944</v>
      </c>
      <c r="BW12" s="26">
        <f t="shared" si="43"/>
        <v>3.4051076614922387E-3</v>
      </c>
      <c r="BX12" s="26">
        <f t="shared" si="44"/>
        <v>8.9839152608866234E-3</v>
      </c>
      <c r="BY12" s="26">
        <f t="shared" si="45"/>
        <v>3.6844529245345085E-4</v>
      </c>
      <c r="BZ12" s="26">
        <f t="shared" si="46"/>
        <v>0.42129436325678499</v>
      </c>
      <c r="CA12" s="26">
        <f t="shared" si="47"/>
        <v>1.2376656329292361E-2</v>
      </c>
      <c r="CB12" s="26">
        <f t="shared" si="48"/>
        <v>0.39602977667493799</v>
      </c>
      <c r="CC12" s="26">
        <f t="shared" si="49"/>
        <v>3.0313837375178315E-2</v>
      </c>
      <c r="CD12" s="26">
        <f t="shared" si="50"/>
        <v>1.3552758954501454E-3</v>
      </c>
      <c r="CE12" s="26">
        <f t="shared" si="51"/>
        <v>0</v>
      </c>
      <c r="CF12" s="26">
        <f t="shared" si="52"/>
        <v>0</v>
      </c>
      <c r="CG12" s="26">
        <f t="shared" si="53"/>
        <v>0</v>
      </c>
      <c r="CH12" s="26">
        <f t="shared" si="54"/>
        <v>0</v>
      </c>
      <c r="CI12" s="26">
        <f t="shared" si="55"/>
        <v>1.7096799742844255</v>
      </c>
      <c r="CJ12" s="26">
        <f t="shared" si="56"/>
        <v>2.5526362208128122</v>
      </c>
      <c r="CK12" s="26">
        <f t="shared" si="57"/>
        <v>2.3396191451994821</v>
      </c>
      <c r="CL12" s="26">
        <f t="shared" si="58"/>
        <v>5.9721965729433082</v>
      </c>
      <c r="CM12" s="1"/>
      <c r="CN12" s="22"/>
      <c r="CO12" s="96"/>
      <c r="CP12" s="14"/>
      <c r="CQ12" s="14"/>
      <c r="CR12" s="14"/>
      <c r="CS12" s="14"/>
      <c r="CT12" s="22"/>
      <c r="CU12" s="14"/>
      <c r="CV12" s="22"/>
      <c r="CW12" s="22"/>
      <c r="CX12" s="14"/>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46"/>
      <c r="FF12" s="46"/>
      <c r="FG12" s="46"/>
      <c r="FH12" s="46"/>
      <c r="FI12" s="46"/>
      <c r="FJ12" s="46"/>
      <c r="FK12" s="46"/>
      <c r="FL12" s="46"/>
      <c r="FM12" s="46"/>
      <c r="FN12" s="46"/>
      <c r="FO12" s="46"/>
    </row>
    <row r="13" spans="1:171" x14ac:dyDescent="0.25">
      <c r="A13" s="5" t="s">
        <v>87</v>
      </c>
      <c r="B13" s="1">
        <v>431</v>
      </c>
      <c r="C13" s="98" t="s">
        <v>99</v>
      </c>
      <c r="D13" s="98" t="s">
        <v>106</v>
      </c>
      <c r="E13" s="1">
        <v>113</v>
      </c>
      <c r="F13" s="22">
        <v>50.62</v>
      </c>
      <c r="G13" s="22">
        <v>0.28000000000000003</v>
      </c>
      <c r="H13" s="22">
        <v>0.52</v>
      </c>
      <c r="I13" s="22">
        <v>0</v>
      </c>
      <c r="J13" s="22">
        <v>28.92</v>
      </c>
      <c r="K13" s="22">
        <v>0.83699999999999997</v>
      </c>
      <c r="L13" s="22">
        <v>16.64</v>
      </c>
      <c r="M13" s="22">
        <v>1.63</v>
      </c>
      <c r="N13" s="22">
        <v>3.5999999999999997E-2</v>
      </c>
      <c r="O13" s="22">
        <v>6.0000000000000001E-3</v>
      </c>
      <c r="P13" s="22">
        <v>0</v>
      </c>
      <c r="Q13" s="22"/>
      <c r="R13" s="22"/>
      <c r="S13" s="22">
        <f t="shared" si="0"/>
        <v>99.489000000000004</v>
      </c>
      <c r="T13" s="3"/>
      <c r="U13" s="22">
        <f t="shared" si="1"/>
        <v>28.000151702738137</v>
      </c>
      <c r="V13" s="22">
        <f t="shared" si="2"/>
        <v>1.0222274127471069</v>
      </c>
      <c r="W13" s="22">
        <f t="shared" si="3"/>
        <v>99.591379115485239</v>
      </c>
      <c r="X13" s="1"/>
      <c r="Y13" s="1"/>
      <c r="Z13" s="1"/>
      <c r="AA13" s="1" t="s">
        <v>185</v>
      </c>
      <c r="AC13" s="1">
        <v>6</v>
      </c>
      <c r="AD13" s="1">
        <v>4</v>
      </c>
      <c r="AE13" s="1"/>
      <c r="AF13" s="26">
        <f t="shared" si="4"/>
        <v>1.971388335092092</v>
      </c>
      <c r="AG13" s="26">
        <f t="shared" si="5"/>
        <v>8.201625613116735E-3</v>
      </c>
      <c r="AH13" s="26">
        <f t="shared" si="6"/>
        <v>2.3866211123927988E-2</v>
      </c>
      <c r="AI13" s="26">
        <f t="shared" si="7"/>
        <v>0</v>
      </c>
      <c r="AJ13" s="26">
        <f t="shared" si="8"/>
        <v>0.94178437702451123</v>
      </c>
      <c r="AK13" s="26">
        <f t="shared" si="9"/>
        <v>2.7606683705430901E-2</v>
      </c>
      <c r="AL13" s="26">
        <f t="shared" si="10"/>
        <v>0.96611370171541355</v>
      </c>
      <c r="AM13" s="26">
        <f t="shared" si="11"/>
        <v>6.800793139777972E-2</v>
      </c>
      <c r="AN13" s="26">
        <f t="shared" si="12"/>
        <v>2.7180715833595545E-3</v>
      </c>
      <c r="AO13" s="26">
        <f t="shared" si="13"/>
        <v>2.9806453775057536E-4</v>
      </c>
      <c r="AP13" s="26">
        <f t="shared" si="14"/>
        <v>0</v>
      </c>
      <c r="AQ13" s="26">
        <f t="shared" si="15"/>
        <v>0</v>
      </c>
      <c r="AR13" s="26">
        <f t="shared" si="16"/>
        <v>0</v>
      </c>
      <c r="AS13" s="26">
        <f t="shared" si="17"/>
        <v>4.0099850017933818</v>
      </c>
      <c r="AT13" s="26">
        <f t="shared" si="18"/>
        <v>1.9952545462160201</v>
      </c>
      <c r="AU13" s="26">
        <f t="shared" si="19"/>
        <v>7.1024067518889858E-2</v>
      </c>
      <c r="AV13" s="47"/>
      <c r="AW13" s="26">
        <f t="shared" si="20"/>
        <v>1.9664795097342553</v>
      </c>
      <c r="AX13" s="26">
        <f t="shared" si="21"/>
        <v>8.1812032807591344E-3</v>
      </c>
      <c r="AY13" s="26">
        <f t="shared" si="22"/>
        <v>2.3806783430116892E-2</v>
      </c>
      <c r="AZ13" s="26">
        <f t="shared" si="23"/>
        <v>0</v>
      </c>
      <c r="BA13" s="26">
        <f t="shared" si="24"/>
        <v>0.90955888487021141</v>
      </c>
      <c r="BB13" s="26">
        <f t="shared" si="25"/>
        <v>2.9880416377367158E-2</v>
      </c>
      <c r="BC13" s="26">
        <f t="shared" si="26"/>
        <v>2.7537942105104518E-2</v>
      </c>
      <c r="BD13" s="26">
        <f t="shared" si="27"/>
        <v>0.96370804507581875</v>
      </c>
      <c r="BE13" s="26">
        <f t="shared" si="28"/>
        <v>6.7838589288852294E-2</v>
      </c>
      <c r="BF13" s="26">
        <f t="shared" si="29"/>
        <v>2.7113034908050316E-3</v>
      </c>
      <c r="BG13" s="26">
        <f t="shared" si="30"/>
        <v>2.9732234670929911E-4</v>
      </c>
      <c r="BH13" s="26">
        <f t="shared" si="31"/>
        <v>0</v>
      </c>
      <c r="BI13" s="26">
        <f t="shared" si="32"/>
        <v>0</v>
      </c>
      <c r="BJ13" s="26">
        <f t="shared" si="33"/>
        <v>0</v>
      </c>
      <c r="BK13" s="25">
        <f t="shared" si="34"/>
        <v>4</v>
      </c>
      <c r="BL13" s="24">
        <f t="shared" si="35"/>
        <v>6</v>
      </c>
      <c r="BM13" s="26">
        <f t="shared" si="36"/>
        <v>1.9902862931643723</v>
      </c>
      <c r="BN13" s="26">
        <f t="shared" si="37"/>
        <v>7.0847215126366631E-2</v>
      </c>
      <c r="BO13" s="22"/>
      <c r="BP13" s="26">
        <f t="shared" si="38"/>
        <v>0.50637594978526601</v>
      </c>
      <c r="BQ13" s="22"/>
      <c r="BR13" s="22">
        <f t="shared" si="39"/>
        <v>3.3944347648392985E-2</v>
      </c>
      <c r="BS13" s="22">
        <f t="shared" si="40"/>
        <v>0.48220992294399467</v>
      </c>
      <c r="BT13" s="22">
        <f t="shared" si="41"/>
        <v>0.48384572940761233</v>
      </c>
      <c r="BU13" s="1"/>
      <c r="BV13" s="26">
        <f t="shared" si="42"/>
        <v>0.84254327563248999</v>
      </c>
      <c r="BW13" s="26">
        <f t="shared" si="43"/>
        <v>3.5052578868302459E-3</v>
      </c>
      <c r="BX13" s="26">
        <f t="shared" si="44"/>
        <v>1.0200078462142017E-2</v>
      </c>
      <c r="BY13" s="26">
        <f t="shared" si="45"/>
        <v>0</v>
      </c>
      <c r="BZ13" s="26">
        <f t="shared" si="46"/>
        <v>0.40250521920668064</v>
      </c>
      <c r="CA13" s="26">
        <f t="shared" si="47"/>
        <v>1.1798703129405131E-2</v>
      </c>
      <c r="CB13" s="26">
        <f t="shared" si="48"/>
        <v>0.41290322580645167</v>
      </c>
      <c r="CC13" s="26">
        <f t="shared" si="49"/>
        <v>2.9065620542082737E-2</v>
      </c>
      <c r="CD13" s="26">
        <f t="shared" si="50"/>
        <v>1.1616650532429815E-3</v>
      </c>
      <c r="CE13" s="26">
        <f t="shared" si="51"/>
        <v>1.2738853503184712E-4</v>
      </c>
      <c r="CF13" s="26">
        <f t="shared" si="52"/>
        <v>0</v>
      </c>
      <c r="CG13" s="26">
        <f t="shared" si="53"/>
        <v>0</v>
      </c>
      <c r="CH13" s="26">
        <f t="shared" si="54"/>
        <v>0</v>
      </c>
      <c r="CI13" s="26">
        <f t="shared" si="55"/>
        <v>1.7138104342543572</v>
      </c>
      <c r="CJ13" s="26">
        <f t="shared" si="56"/>
        <v>2.5643144802106113</v>
      </c>
      <c r="CK13" s="26">
        <f t="shared" si="57"/>
        <v>2.3339804216679982</v>
      </c>
      <c r="CL13" s="26">
        <f t="shared" si="58"/>
        <v>5.9850597918113158</v>
      </c>
      <c r="CM13" s="1"/>
      <c r="CN13" s="22"/>
      <c r="CO13" s="96"/>
      <c r="CP13" s="14"/>
      <c r="CQ13" s="14"/>
      <c r="CR13" s="14"/>
      <c r="CS13" s="14"/>
      <c r="CT13" s="22"/>
      <c r="CU13" s="14"/>
      <c r="CV13" s="22"/>
      <c r="CW13" s="22"/>
      <c r="CX13" s="14"/>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46"/>
      <c r="FF13" s="46"/>
      <c r="FG13" s="46"/>
      <c r="FH13" s="46"/>
      <c r="FI13" s="46"/>
      <c r="FJ13" s="46"/>
      <c r="FK13" s="46"/>
      <c r="FL13" s="46"/>
      <c r="FM13" s="46"/>
      <c r="FN13" s="46"/>
      <c r="FO13" s="46"/>
    </row>
    <row r="14" spans="1:171" x14ac:dyDescent="0.25">
      <c r="A14" s="5" t="s">
        <v>87</v>
      </c>
      <c r="B14" s="1">
        <v>432</v>
      </c>
      <c r="C14" s="98" t="s">
        <v>99</v>
      </c>
      <c r="D14" s="98" t="s">
        <v>106</v>
      </c>
      <c r="E14" s="1">
        <v>114</v>
      </c>
      <c r="F14" s="22">
        <v>49.1</v>
      </c>
      <c r="G14" s="22">
        <v>0.20799999999999999</v>
      </c>
      <c r="H14" s="22">
        <v>1.4710000000000001</v>
      </c>
      <c r="I14" s="22">
        <v>0</v>
      </c>
      <c r="J14" s="22">
        <v>29.01</v>
      </c>
      <c r="K14" s="22">
        <v>0.89500000000000002</v>
      </c>
      <c r="L14" s="22">
        <v>13.95</v>
      </c>
      <c r="M14" s="22">
        <v>3.39</v>
      </c>
      <c r="N14" s="22">
        <v>0.11700000000000001</v>
      </c>
      <c r="O14" s="22">
        <v>0.72499999999999998</v>
      </c>
      <c r="P14" s="22">
        <v>0</v>
      </c>
      <c r="Q14" s="22"/>
      <c r="R14" s="22"/>
      <c r="S14" s="22">
        <f t="shared" si="0"/>
        <v>98.866</v>
      </c>
      <c r="T14" s="3"/>
      <c r="U14" s="22">
        <f t="shared" si="1"/>
        <v>26.030658343601182</v>
      </c>
      <c r="V14" s="22">
        <f t="shared" si="2"/>
        <v>3.3109423827560072</v>
      </c>
      <c r="W14" s="22">
        <f t="shared" si="3"/>
        <v>99.19760072635718</v>
      </c>
      <c r="X14" s="1"/>
      <c r="Y14" s="1"/>
      <c r="Z14" s="1"/>
      <c r="AA14" s="1" t="s">
        <v>185</v>
      </c>
      <c r="AC14" s="1">
        <v>6</v>
      </c>
      <c r="AD14" s="1">
        <v>4</v>
      </c>
      <c r="AE14" s="1"/>
      <c r="AF14" s="26">
        <f t="shared" si="4"/>
        <v>1.9492695130677147</v>
      </c>
      <c r="AG14" s="26">
        <f t="shared" si="5"/>
        <v>6.2107722091748942E-3</v>
      </c>
      <c r="AH14" s="26">
        <f t="shared" si="6"/>
        <v>6.8822930944387892E-2</v>
      </c>
      <c r="AI14" s="26">
        <f t="shared" si="7"/>
        <v>0</v>
      </c>
      <c r="AJ14" s="26">
        <f t="shared" si="8"/>
        <v>0.96303324252171441</v>
      </c>
      <c r="AK14" s="26">
        <f t="shared" si="9"/>
        <v>3.0092077625299349E-2</v>
      </c>
      <c r="AL14" s="26">
        <f t="shared" si="10"/>
        <v>0.82563763990754713</v>
      </c>
      <c r="AM14" s="26">
        <f t="shared" si="11"/>
        <v>0.14418232204281822</v>
      </c>
      <c r="AN14" s="26">
        <f t="shared" si="12"/>
        <v>9.0050184668845103E-3</v>
      </c>
      <c r="AO14" s="26">
        <f t="shared" si="13"/>
        <v>3.6714483397634494E-2</v>
      </c>
      <c r="AP14" s="26">
        <f t="shared" si="14"/>
        <v>0</v>
      </c>
      <c r="AQ14" s="26">
        <f t="shared" si="15"/>
        <v>0</v>
      </c>
      <c r="AR14" s="26">
        <f t="shared" si="16"/>
        <v>0</v>
      </c>
      <c r="AS14" s="26">
        <f t="shared" si="17"/>
        <v>4.0329680001831756</v>
      </c>
      <c r="AT14" s="26">
        <f t="shared" si="18"/>
        <v>2.0180924440121024</v>
      </c>
      <c r="AU14" s="26">
        <f t="shared" si="19"/>
        <v>0.18990182390733723</v>
      </c>
      <c r="AV14" s="47"/>
      <c r="AW14" s="26">
        <f t="shared" si="20"/>
        <v>1.9333349661878596</v>
      </c>
      <c r="AX14" s="26">
        <f t="shared" si="21"/>
        <v>6.1600014767216639E-3</v>
      </c>
      <c r="AY14" s="26">
        <f t="shared" si="22"/>
        <v>6.826032930711276E-2</v>
      </c>
      <c r="AZ14" s="26">
        <f t="shared" si="23"/>
        <v>0</v>
      </c>
      <c r="BA14" s="26">
        <f t="shared" si="24"/>
        <v>0.85706530965079752</v>
      </c>
      <c r="BB14" s="26">
        <f t="shared" si="25"/>
        <v>9.8095497455010339E-2</v>
      </c>
      <c r="BC14" s="26">
        <f t="shared" si="26"/>
        <v>2.9846086181623641E-2</v>
      </c>
      <c r="BD14" s="26">
        <f t="shared" si="27"/>
        <v>0.81888836199052129</v>
      </c>
      <c r="BE14" s="26">
        <f t="shared" si="28"/>
        <v>0.14300368565906751</v>
      </c>
      <c r="BF14" s="26">
        <f t="shared" si="29"/>
        <v>8.9314058197094617E-3</v>
      </c>
      <c r="BG14" s="26">
        <f t="shared" si="30"/>
        <v>3.641435627157661E-2</v>
      </c>
      <c r="BH14" s="26">
        <f t="shared" si="31"/>
        <v>0</v>
      </c>
      <c r="BI14" s="26">
        <f t="shared" si="32"/>
        <v>0</v>
      </c>
      <c r="BJ14" s="26">
        <f t="shared" si="33"/>
        <v>0</v>
      </c>
      <c r="BK14" s="25">
        <f t="shared" si="34"/>
        <v>4</v>
      </c>
      <c r="BL14" s="24">
        <f t="shared" si="35"/>
        <v>6</v>
      </c>
      <c r="BM14" s="26">
        <f t="shared" si="36"/>
        <v>2.0015952954949725</v>
      </c>
      <c r="BN14" s="26">
        <f t="shared" si="37"/>
        <v>0.18834944775035359</v>
      </c>
      <c r="BO14" s="22"/>
      <c r="BP14" s="26">
        <f t="shared" si="38"/>
        <v>0.4615928218086815</v>
      </c>
      <c r="BQ14" s="22"/>
      <c r="BR14" s="22">
        <f t="shared" si="39"/>
        <v>7.3452033206326289E-2</v>
      </c>
      <c r="BS14" s="22">
        <f t="shared" si="40"/>
        <v>0.42061164283976632</v>
      </c>
      <c r="BT14" s="22">
        <f t="shared" si="41"/>
        <v>0.50593632395390742</v>
      </c>
      <c r="BU14" s="1"/>
      <c r="BV14" s="26">
        <f t="shared" si="42"/>
        <v>0.81724367509986684</v>
      </c>
      <c r="BW14" s="26">
        <f t="shared" si="43"/>
        <v>2.6039058587881822E-3</v>
      </c>
      <c r="BX14" s="26">
        <f t="shared" si="44"/>
        <v>2.8854452726559437E-2</v>
      </c>
      <c r="BY14" s="26">
        <f t="shared" si="45"/>
        <v>0</v>
      </c>
      <c r="BZ14" s="26">
        <f t="shared" si="46"/>
        <v>0.40375782881002092</v>
      </c>
      <c r="CA14" s="26">
        <f t="shared" si="47"/>
        <v>1.2616295460952918E-2</v>
      </c>
      <c r="CB14" s="26">
        <f t="shared" si="48"/>
        <v>0.34615384615384615</v>
      </c>
      <c r="CC14" s="26">
        <f t="shared" si="49"/>
        <v>6.0449358059914415E-2</v>
      </c>
      <c r="CD14" s="26">
        <f t="shared" si="50"/>
        <v>3.7754114230396907E-3</v>
      </c>
      <c r="CE14" s="26">
        <f t="shared" si="51"/>
        <v>1.5392781316348194E-2</v>
      </c>
      <c r="CF14" s="26">
        <f t="shared" si="52"/>
        <v>0</v>
      </c>
      <c r="CG14" s="26">
        <f t="shared" si="53"/>
        <v>0</v>
      </c>
      <c r="CH14" s="26">
        <f t="shared" si="54"/>
        <v>0</v>
      </c>
      <c r="CI14" s="26">
        <f t="shared" si="55"/>
        <v>1.6908475549093367</v>
      </c>
      <c r="CJ14" s="26">
        <f t="shared" si="56"/>
        <v>2.5155382658615775</v>
      </c>
      <c r="CK14" s="26">
        <f t="shared" si="57"/>
        <v>2.3656774901948392</v>
      </c>
      <c r="CL14" s="26">
        <f t="shared" si="58"/>
        <v>5.9509522512724944</v>
      </c>
      <c r="CM14" s="1"/>
      <c r="CN14" s="22"/>
      <c r="CO14" s="96"/>
      <c r="CP14" s="14"/>
      <c r="CQ14" s="14"/>
      <c r="CR14" s="14"/>
      <c r="CS14" s="14"/>
      <c r="CT14" s="22"/>
      <c r="CU14" s="14"/>
      <c r="CV14" s="22"/>
      <c r="CW14" s="22"/>
      <c r="CX14" s="14"/>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46">
        <f>7.601647 - 13.20417 * BP14 + N("45d Mg#    r2 0.76")</f>
        <v>1.5066969100584622</v>
      </c>
      <c r="FF14" s="46">
        <f>6.542808 - 11.82852 * BP14 + N("mg#")</f>
        <v>1.0828480753795748</v>
      </c>
      <c r="FG14" s="46">
        <f>3.803999 - 7.570213 * BP14 + N("mg#")</f>
        <v>0.30964301963723617</v>
      </c>
      <c r="FH14" s="46">
        <f>4.421323 - 8.556768 * BP14 + N("mg#")</f>
        <v>0.47158031331777206</v>
      </c>
      <c r="FI14" s="46">
        <f>4.645469 - 8.242464 * BP14 + N("50d mg# r2 0.67")</f>
        <v>0.84080678358352801</v>
      </c>
      <c r="FJ14" s="46">
        <f>5.169659 - 8.510973 * BP14 + N("mg#")</f>
        <v>1.2410549565925009</v>
      </c>
      <c r="FK14" s="46"/>
      <c r="FL14" s="46"/>
      <c r="FM14" s="46"/>
      <c r="FN14" s="46"/>
      <c r="FO14" s="46"/>
    </row>
    <row r="15" spans="1:171" x14ac:dyDescent="0.25">
      <c r="A15" s="5" t="s">
        <v>87</v>
      </c>
      <c r="B15" s="1">
        <v>433</v>
      </c>
      <c r="C15" s="98" t="s">
        <v>99</v>
      </c>
      <c r="D15" s="98" t="s">
        <v>106</v>
      </c>
      <c r="E15" s="1">
        <v>115</v>
      </c>
      <c r="F15" s="22">
        <v>50.87</v>
      </c>
      <c r="G15" s="22">
        <v>0.24199999999999999</v>
      </c>
      <c r="H15" s="22">
        <v>0.47399999999999998</v>
      </c>
      <c r="I15" s="22">
        <v>0</v>
      </c>
      <c r="J15" s="22">
        <v>29.73</v>
      </c>
      <c r="K15" s="22">
        <v>0.96599999999999997</v>
      </c>
      <c r="L15" s="22">
        <v>16.07</v>
      </c>
      <c r="M15" s="22">
        <v>1.72</v>
      </c>
      <c r="N15" s="22">
        <v>0</v>
      </c>
      <c r="O15" s="22">
        <v>0</v>
      </c>
      <c r="P15" s="22">
        <v>0</v>
      </c>
      <c r="Q15" s="22"/>
      <c r="R15" s="22"/>
      <c r="S15" s="22">
        <f t="shared" si="0"/>
        <v>100.07199999999997</v>
      </c>
      <c r="T15" s="3"/>
      <c r="U15" s="22">
        <f t="shared" si="1"/>
        <v>29.220462476418419</v>
      </c>
      <c r="V15" s="22">
        <f t="shared" si="2"/>
        <v>0.56624904995621139</v>
      </c>
      <c r="W15" s="22">
        <f t="shared" si="3"/>
        <v>100.12871152637462</v>
      </c>
      <c r="X15" s="1"/>
      <c r="Y15" s="1"/>
      <c r="Z15" s="1"/>
      <c r="AA15" s="1" t="s">
        <v>185</v>
      </c>
      <c r="AC15" s="1">
        <v>6</v>
      </c>
      <c r="AD15" s="1">
        <v>4</v>
      </c>
      <c r="AE15" s="1"/>
      <c r="AF15" s="26">
        <f t="shared" si="4"/>
        <v>1.9765570830898993</v>
      </c>
      <c r="AG15" s="26">
        <f t="shared" si="5"/>
        <v>7.0722052686839291E-3</v>
      </c>
      <c r="AH15" s="26">
        <f t="shared" si="6"/>
        <v>2.1704813486475967E-2</v>
      </c>
      <c r="AI15" s="26">
        <f t="shared" si="7"/>
        <v>0</v>
      </c>
      <c r="AJ15" s="26">
        <f t="shared" si="8"/>
        <v>0.96593006616868815</v>
      </c>
      <c r="AK15" s="26">
        <f t="shared" si="9"/>
        <v>3.1788020905173513E-2</v>
      </c>
      <c r="AL15" s="26">
        <f t="shared" si="10"/>
        <v>0.93086859430099955</v>
      </c>
      <c r="AM15" s="26">
        <f t="shared" si="11"/>
        <v>7.1597521678258641E-2</v>
      </c>
      <c r="AN15" s="26">
        <f t="shared" si="12"/>
        <v>0</v>
      </c>
      <c r="AO15" s="26">
        <f t="shared" si="13"/>
        <v>0</v>
      </c>
      <c r="AP15" s="26">
        <f t="shared" si="14"/>
        <v>0</v>
      </c>
      <c r="AQ15" s="26">
        <f t="shared" si="15"/>
        <v>0</v>
      </c>
      <c r="AR15" s="26">
        <f t="shared" si="16"/>
        <v>0</v>
      </c>
      <c r="AS15" s="26">
        <f t="shared" si="17"/>
        <v>4.0055183048981791</v>
      </c>
      <c r="AT15" s="26">
        <f t="shared" si="18"/>
        <v>1.9982618965763752</v>
      </c>
      <c r="AU15" s="26">
        <f t="shared" si="19"/>
        <v>7.1597521678258641E-2</v>
      </c>
      <c r="AV15" s="47"/>
      <c r="AW15" s="26">
        <f t="shared" si="20"/>
        <v>1.9738340285928551</v>
      </c>
      <c r="AX15" s="26">
        <f t="shared" si="21"/>
        <v>7.0624620639337761E-3</v>
      </c>
      <c r="AY15" s="26">
        <f t="shared" si="22"/>
        <v>2.1674911294185389E-2</v>
      </c>
      <c r="AZ15" s="26">
        <f t="shared" si="23"/>
        <v>0</v>
      </c>
      <c r="BA15" s="26">
        <f t="shared" si="24"/>
        <v>0.94806722047751002</v>
      </c>
      <c r="BB15" s="26">
        <f t="shared" si="25"/>
        <v>1.6532107392237094E-2</v>
      </c>
      <c r="BC15" s="26">
        <f t="shared" si="26"/>
        <v>3.1744227323890928E-2</v>
      </c>
      <c r="BD15" s="26">
        <f t="shared" si="27"/>
        <v>0.92958615933691247</v>
      </c>
      <c r="BE15" s="26">
        <f t="shared" si="28"/>
        <v>7.1498883518475054E-2</v>
      </c>
      <c r="BF15" s="26">
        <f t="shared" si="29"/>
        <v>0</v>
      </c>
      <c r="BG15" s="26">
        <f t="shared" si="30"/>
        <v>0</v>
      </c>
      <c r="BH15" s="26">
        <f t="shared" si="31"/>
        <v>0</v>
      </c>
      <c r="BI15" s="26">
        <f t="shared" si="32"/>
        <v>0</v>
      </c>
      <c r="BJ15" s="26">
        <f t="shared" si="33"/>
        <v>0</v>
      </c>
      <c r="BK15" s="25">
        <f t="shared" si="34"/>
        <v>3.9999999999999996</v>
      </c>
      <c r="BL15" s="24">
        <f t="shared" si="35"/>
        <v>6</v>
      </c>
      <c r="BM15" s="26">
        <f t="shared" si="36"/>
        <v>1.9955089398870405</v>
      </c>
      <c r="BN15" s="26">
        <f t="shared" si="37"/>
        <v>7.1498883518475054E-2</v>
      </c>
      <c r="BO15" s="22"/>
      <c r="BP15" s="26">
        <f t="shared" si="38"/>
        <v>0.49075772442315868</v>
      </c>
      <c r="BQ15" s="22"/>
      <c r="BR15" s="22">
        <f t="shared" si="39"/>
        <v>3.5795464022248952E-2</v>
      </c>
      <c r="BS15" s="22">
        <f t="shared" si="40"/>
        <v>0.46539143388899068</v>
      </c>
      <c r="BT15" s="22">
        <f t="shared" si="41"/>
        <v>0.49881310208876034</v>
      </c>
      <c r="BU15" s="1"/>
      <c r="BV15" s="26">
        <f t="shared" si="42"/>
        <v>0.84670439414114507</v>
      </c>
      <c r="BW15" s="26">
        <f t="shared" si="43"/>
        <v>3.0295443164747122E-3</v>
      </c>
      <c r="BX15" s="26">
        <f t="shared" si="44"/>
        <v>9.2977638289525304E-3</v>
      </c>
      <c r="BY15" s="26">
        <f t="shared" si="45"/>
        <v>0</v>
      </c>
      <c r="BZ15" s="26">
        <f t="shared" si="46"/>
        <v>0.41377870563674324</v>
      </c>
      <c r="CA15" s="26">
        <f t="shared" si="47"/>
        <v>1.3617141246123485E-2</v>
      </c>
      <c r="CB15" s="26">
        <f t="shared" si="48"/>
        <v>0.39875930521091812</v>
      </c>
      <c r="CC15" s="26">
        <f t="shared" si="49"/>
        <v>3.0670470756062766E-2</v>
      </c>
      <c r="CD15" s="26">
        <f t="shared" si="50"/>
        <v>0</v>
      </c>
      <c r="CE15" s="26">
        <f t="shared" si="51"/>
        <v>0</v>
      </c>
      <c r="CF15" s="26">
        <f t="shared" si="52"/>
        <v>0</v>
      </c>
      <c r="CG15" s="26">
        <f t="shared" si="53"/>
        <v>0</v>
      </c>
      <c r="CH15" s="26">
        <f t="shared" si="54"/>
        <v>0</v>
      </c>
      <c r="CI15" s="26">
        <f t="shared" si="55"/>
        <v>1.71585732513642</v>
      </c>
      <c r="CJ15" s="26">
        <f t="shared" si="56"/>
        <v>2.570240145508516</v>
      </c>
      <c r="CK15" s="26">
        <f t="shared" si="57"/>
        <v>2.3311961556488843</v>
      </c>
      <c r="CL15" s="26">
        <f t="shared" si="58"/>
        <v>5.9917339463038815</v>
      </c>
      <c r="CM15" s="1"/>
      <c r="CN15" s="22"/>
      <c r="CO15" s="96"/>
      <c r="CP15" s="14"/>
      <c r="CQ15" s="14"/>
      <c r="CR15" s="14"/>
      <c r="CS15" s="14"/>
      <c r="CT15" s="22"/>
      <c r="CU15" s="14"/>
      <c r="CV15" s="22"/>
      <c r="CW15" s="22"/>
      <c r="CX15" s="14"/>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46"/>
      <c r="FF15" s="46"/>
      <c r="FG15" s="46"/>
      <c r="FH15" s="46"/>
      <c r="FI15" s="46"/>
      <c r="FJ15" s="46"/>
      <c r="FK15" s="46"/>
      <c r="FL15" s="46"/>
      <c r="FM15" s="46"/>
      <c r="FN15" s="46"/>
      <c r="FO15" s="46"/>
    </row>
    <row r="16" spans="1:171" x14ac:dyDescent="0.25">
      <c r="A16" s="5" t="s">
        <v>87</v>
      </c>
      <c r="B16" s="1">
        <v>437</v>
      </c>
      <c r="C16" s="98" t="s">
        <v>99</v>
      </c>
      <c r="D16" s="98" t="s">
        <v>106</v>
      </c>
      <c r="E16" s="1">
        <v>119</v>
      </c>
      <c r="F16" s="22">
        <v>50.5</v>
      </c>
      <c r="G16" s="22">
        <v>0.312</v>
      </c>
      <c r="H16" s="22">
        <v>0.42499999999999999</v>
      </c>
      <c r="I16" s="22">
        <v>2.4E-2</v>
      </c>
      <c r="J16" s="22">
        <v>30.47</v>
      </c>
      <c r="K16" s="22">
        <v>0.84299999999999997</v>
      </c>
      <c r="L16" s="22">
        <v>15.42</v>
      </c>
      <c r="M16" s="22">
        <v>1.67</v>
      </c>
      <c r="N16" s="22">
        <v>7.1999999999999995E-2</v>
      </c>
      <c r="O16" s="22">
        <v>1.4999999999999999E-2</v>
      </c>
      <c r="P16" s="22">
        <v>0</v>
      </c>
      <c r="Q16" s="22"/>
      <c r="R16" s="22"/>
      <c r="S16" s="22">
        <f t="shared" si="0"/>
        <v>99.751000000000005</v>
      </c>
      <c r="T16" s="3"/>
      <c r="U16" s="22">
        <f t="shared" si="1"/>
        <v>29.80882283474384</v>
      </c>
      <c r="V16" s="22">
        <f t="shared" si="2"/>
        <v>0.73476618374917246</v>
      </c>
      <c r="W16" s="22">
        <f t="shared" si="3"/>
        <v>99.824589018493</v>
      </c>
      <c r="X16" s="1"/>
      <c r="Y16" s="1"/>
      <c r="Z16" s="1"/>
      <c r="AA16" s="1" t="s">
        <v>185</v>
      </c>
      <c r="AC16" s="1">
        <v>6</v>
      </c>
      <c r="AD16" s="1">
        <v>4</v>
      </c>
      <c r="AE16" s="1"/>
      <c r="AF16" s="26">
        <f t="shared" si="4"/>
        <v>1.976535513556553</v>
      </c>
      <c r="AG16" s="26">
        <f t="shared" si="5"/>
        <v>9.1845885511923925E-3</v>
      </c>
      <c r="AH16" s="26">
        <f t="shared" si="6"/>
        <v>1.9603439051289001E-2</v>
      </c>
      <c r="AI16" s="26">
        <f t="shared" si="7"/>
        <v>7.4262470048054607E-4</v>
      </c>
      <c r="AJ16" s="26">
        <f t="shared" si="8"/>
        <v>0.99721510816729997</v>
      </c>
      <c r="AK16" s="26">
        <f t="shared" si="9"/>
        <v>2.7943419995345303E-2</v>
      </c>
      <c r="AL16" s="26">
        <f t="shared" si="10"/>
        <v>0.89975132611947328</v>
      </c>
      <c r="AM16" s="26">
        <f t="shared" si="11"/>
        <v>7.00247608095146E-2</v>
      </c>
      <c r="AN16" s="26">
        <f t="shared" si="12"/>
        <v>5.4632879102632231E-3</v>
      </c>
      <c r="AO16" s="26">
        <f t="shared" si="13"/>
        <v>7.4888222018337444E-4</v>
      </c>
      <c r="AP16" s="26">
        <f t="shared" si="14"/>
        <v>0</v>
      </c>
      <c r="AQ16" s="26">
        <f t="shared" si="15"/>
        <v>0</v>
      </c>
      <c r="AR16" s="26">
        <f t="shared" si="16"/>
        <v>0</v>
      </c>
      <c r="AS16" s="26">
        <f t="shared" si="17"/>
        <v>4.0072129510815957</v>
      </c>
      <c r="AT16" s="26">
        <f t="shared" si="18"/>
        <v>1.9961389526078419</v>
      </c>
      <c r="AU16" s="26">
        <f t="shared" si="19"/>
        <v>7.6236930939961201E-2</v>
      </c>
      <c r="AV16" s="47"/>
      <c r="AW16" s="26">
        <f t="shared" si="20"/>
        <v>1.9729777655295928</v>
      </c>
      <c r="AX16" s="26">
        <f t="shared" si="21"/>
        <v>9.1680563656726666E-3</v>
      </c>
      <c r="AY16" s="26">
        <f t="shared" si="22"/>
        <v>1.9568153018668794E-2</v>
      </c>
      <c r="AZ16" s="26">
        <f t="shared" si="23"/>
        <v>7.4128798199267411E-4</v>
      </c>
      <c r="BA16" s="26">
        <f t="shared" si="24"/>
        <v>0.97382022551029412</v>
      </c>
      <c r="BB16" s="26">
        <f t="shared" si="25"/>
        <v>2.1599903482989902E-2</v>
      </c>
      <c r="BC16" s="26">
        <f t="shared" si="26"/>
        <v>2.7893122064104964E-2</v>
      </c>
      <c r="BD16" s="26">
        <f t="shared" si="27"/>
        <v>0.89813178096923407</v>
      </c>
      <c r="BE16" s="26">
        <f t="shared" si="28"/>
        <v>6.9898716803272531E-2</v>
      </c>
      <c r="BF16" s="26">
        <f t="shared" si="29"/>
        <v>5.4534540359664346E-3</v>
      </c>
      <c r="BG16" s="26">
        <f t="shared" si="30"/>
        <v>7.4753423821036723E-4</v>
      </c>
      <c r="BH16" s="26">
        <f t="shared" si="31"/>
        <v>0</v>
      </c>
      <c r="BI16" s="26">
        <f t="shared" si="32"/>
        <v>0</v>
      </c>
      <c r="BJ16" s="26">
        <f t="shared" si="33"/>
        <v>0</v>
      </c>
      <c r="BK16" s="25">
        <f t="shared" si="34"/>
        <v>3.9999999999999982</v>
      </c>
      <c r="BL16" s="24">
        <f t="shared" si="35"/>
        <v>6.0000000000000018</v>
      </c>
      <c r="BM16" s="26">
        <f t="shared" si="36"/>
        <v>1.9925459185482617</v>
      </c>
      <c r="BN16" s="26">
        <f t="shared" si="37"/>
        <v>7.6099705077449328E-2</v>
      </c>
      <c r="BO16" s="22"/>
      <c r="BP16" s="26">
        <f t="shared" si="38"/>
        <v>0.47431062029190008</v>
      </c>
      <c r="BQ16" s="22"/>
      <c r="BR16" s="22">
        <f t="shared" si="39"/>
        <v>3.51012811546699E-2</v>
      </c>
      <c r="BS16" s="22">
        <f t="shared" si="40"/>
        <v>0.45101795282555918</v>
      </c>
      <c r="BT16" s="22">
        <f t="shared" si="41"/>
        <v>0.51388076601977084</v>
      </c>
      <c r="BU16" s="1"/>
      <c r="BV16" s="26">
        <f t="shared" si="42"/>
        <v>0.84054593874833561</v>
      </c>
      <c r="BW16" s="26">
        <f t="shared" si="43"/>
        <v>3.9058587881822737E-3</v>
      </c>
      <c r="BX16" s="26">
        <f t="shared" si="44"/>
        <v>8.3366025892506867E-3</v>
      </c>
      <c r="BY16" s="26">
        <f t="shared" si="45"/>
        <v>3.1581025067438644E-4</v>
      </c>
      <c r="BZ16" s="26">
        <f t="shared" si="46"/>
        <v>0.42407794015309674</v>
      </c>
      <c r="CA16" s="26">
        <f t="shared" si="47"/>
        <v>1.1883281646461798E-2</v>
      </c>
      <c r="CB16" s="26">
        <f t="shared" si="48"/>
        <v>0.38263027295285362</v>
      </c>
      <c r="CC16" s="26">
        <f t="shared" si="49"/>
        <v>2.9778887303851639E-2</v>
      </c>
      <c r="CD16" s="26">
        <f t="shared" si="50"/>
        <v>2.323330106485963E-3</v>
      </c>
      <c r="CE16" s="26">
        <f t="shared" si="51"/>
        <v>3.1847133757961782E-4</v>
      </c>
      <c r="CF16" s="26">
        <f t="shared" si="52"/>
        <v>0</v>
      </c>
      <c r="CG16" s="26">
        <f t="shared" si="53"/>
        <v>0</v>
      </c>
      <c r="CH16" s="26">
        <f t="shared" si="54"/>
        <v>0</v>
      </c>
      <c r="CI16" s="26">
        <f t="shared" si="55"/>
        <v>1.7041163938767725</v>
      </c>
      <c r="CJ16" s="26">
        <f t="shared" si="56"/>
        <v>2.5515734971112196</v>
      </c>
      <c r="CK16" s="26">
        <f t="shared" si="57"/>
        <v>2.3472575079805531</v>
      </c>
      <c r="CL16" s="26">
        <f t="shared" si="58"/>
        <v>5.9892000482585059</v>
      </c>
      <c r="CM16" s="1"/>
      <c r="CN16" s="22">
        <v>3.3240061369990519</v>
      </c>
      <c r="CO16" s="96">
        <v>169.15838032543562</v>
      </c>
      <c r="CP16" s="14">
        <v>87134.961844202888</v>
      </c>
      <c r="CQ16" s="14">
        <v>2364.4429208395536</v>
      </c>
      <c r="CR16" s="14">
        <v>235826.98846686899</v>
      </c>
      <c r="CS16" s="14">
        <v>12306.250908857779</v>
      </c>
      <c r="CT16" s="22">
        <v>61.900856091759209</v>
      </c>
      <c r="CU16" s="14">
        <v>1581.7592278943498</v>
      </c>
      <c r="CV16" s="22">
        <v>88.218051219324252</v>
      </c>
      <c r="CW16" s="22">
        <v>0.69937682760529485</v>
      </c>
      <c r="CX16" s="14">
        <v>6312.1578318788488</v>
      </c>
      <c r="CY16" s="22">
        <v>95.348430843337326</v>
      </c>
      <c r="CZ16" s="22">
        <v>23.667135114972947</v>
      </c>
      <c r="DA16" s="22">
        <v>0</v>
      </c>
      <c r="DB16" s="22">
        <v>395.8726106165027</v>
      </c>
      <c r="DC16" s="22">
        <v>0</v>
      </c>
      <c r="DD16" s="22">
        <v>0</v>
      </c>
      <c r="DE16" s="22">
        <v>0</v>
      </c>
      <c r="DF16" s="22">
        <v>39.090976397608827</v>
      </c>
      <c r="DG16" s="22">
        <v>5.8500051340905372</v>
      </c>
      <c r="DH16" s="22">
        <v>0</v>
      </c>
      <c r="DI16" s="22">
        <v>0</v>
      </c>
      <c r="DJ16" s="22">
        <v>0</v>
      </c>
      <c r="DK16" s="22">
        <v>9.0719493759765429E-2</v>
      </c>
      <c r="DL16" s="22">
        <v>0.57326866894274253</v>
      </c>
      <c r="DM16" s="22">
        <v>0.11817657691628494</v>
      </c>
      <c r="DN16" s="22">
        <v>0.98149954101982562</v>
      </c>
      <c r="DO16" s="22">
        <v>1.0434924011302933</v>
      </c>
      <c r="DP16" s="22">
        <v>3.7471109291163825E-2</v>
      </c>
      <c r="DQ16" s="22">
        <v>1.892617259444191</v>
      </c>
      <c r="DR16" s="22">
        <v>0.50919875359104094</v>
      </c>
      <c r="DS16" s="22">
        <v>5.0393177427983185</v>
      </c>
      <c r="DT16" s="22">
        <v>1.4395509878196378</v>
      </c>
      <c r="DU16" s="22">
        <v>5.7469122774470192</v>
      </c>
      <c r="DV16" s="22">
        <v>1.0942555442914805</v>
      </c>
      <c r="DW16" s="22">
        <v>8.7789478712819804</v>
      </c>
      <c r="DX16" s="22">
        <v>1.5090579608760695</v>
      </c>
      <c r="DY16" s="22">
        <v>0.24637839775050929</v>
      </c>
      <c r="DZ16" s="22">
        <v>0</v>
      </c>
      <c r="EA16" s="22">
        <v>0</v>
      </c>
      <c r="EB16" s="22">
        <v>1.4357351355355537E-2</v>
      </c>
      <c r="EC16" s="22">
        <v>1.7025343641688638E-2</v>
      </c>
      <c r="ED16" s="22">
        <f>(DP16/0.05883)/SQRT((DO16/0.1536)*(DQ16/0.2069))</f>
        <v>8.0797423371894592E-2</v>
      </c>
      <c r="EE16" s="22"/>
      <c r="EF16" s="22"/>
      <c r="EG16" s="22"/>
      <c r="EH16" s="22"/>
      <c r="EI16" s="22"/>
      <c r="EJ16" s="22"/>
      <c r="EK16" s="22"/>
      <c r="EL16" s="22"/>
      <c r="EM16" s="22"/>
      <c r="EN16" s="22"/>
      <c r="EO16" s="22"/>
      <c r="EP16" s="22"/>
      <c r="EQ16" s="22"/>
      <c r="ER16" s="22">
        <f>3.073297 -6.710523 * BP16 +N("opx mg#")</f>
        <v>-0.10957532661306191</v>
      </c>
      <c r="ES16" s="22" t="e">
        <f>-3.726231 -0.216482*LN(#REF!) + N("31 liquid mgo, liq MgO calculated from equilibrium Fe/Mg of liquid from opx composition, then regression of literature MgO vs Fe/Mg")</f>
        <v>#REF!</v>
      </c>
      <c r="ET16" s="22"/>
      <c r="EU16" s="22"/>
      <c r="EV16" s="22">
        <f>10.033975 - 17.897808 * BP16 + N("66 mg#   R2 0.46")</f>
        <v>1.5448545856546669</v>
      </c>
      <c r="EW16" s="22">
        <f>7.162348 - 16.15931 * BP16 + N("38d mg# r2 0.38")</f>
        <v>-0.50218434958910496</v>
      </c>
      <c r="EX16" s="22">
        <f>4.451575 - 11.66175 * BP16 + N("mg#")</f>
        <v>-1.0797168761890656</v>
      </c>
      <c r="EY16" s="22"/>
      <c r="EZ16" s="22">
        <f>5.675764 - 12.3354 * BP16 + N("mg#")</f>
        <v>-0.17504722554870433</v>
      </c>
      <c r="FA16" s="22">
        <f>5.273598 - 11.10504 * BP16 + N("mg#")</f>
        <v>6.3595892336376636E-3</v>
      </c>
      <c r="FB16" s="22">
        <f>6.313568 - 12.50612 * BP16 + N("mg#")</f>
        <v>0.38178246535506322</v>
      </c>
      <c r="FC16" s="22">
        <f>6.81086 - 13.3177 * BP16 + N("mg#")</f>
        <v>0.49413345213856186</v>
      </c>
      <c r="FD16" s="22">
        <f>8.616762 - 14.50395 * BP16 + N("mg#")</f>
        <v>1.7373844788172956</v>
      </c>
      <c r="FE16" s="46"/>
      <c r="FF16" s="46"/>
      <c r="FG16" s="46"/>
      <c r="FH16" s="46"/>
      <c r="FI16" s="46"/>
      <c r="FJ16" s="46"/>
      <c r="FK16" s="46"/>
      <c r="FL16" s="46"/>
      <c r="FM16" s="46"/>
      <c r="FN16" s="46"/>
      <c r="FO16" s="46"/>
    </row>
    <row r="17" spans="1:171" x14ac:dyDescent="0.25">
      <c r="A17" s="5" t="s">
        <v>87</v>
      </c>
      <c r="B17" s="1">
        <v>442</v>
      </c>
      <c r="C17" s="98" t="s">
        <v>99</v>
      </c>
      <c r="D17" s="98" t="s">
        <v>106</v>
      </c>
      <c r="E17" s="1">
        <v>124</v>
      </c>
      <c r="F17" s="22">
        <v>50.48</v>
      </c>
      <c r="G17" s="22">
        <v>0.16600000000000001</v>
      </c>
      <c r="H17" s="22">
        <v>0.45200000000000001</v>
      </c>
      <c r="I17" s="22">
        <v>0</v>
      </c>
      <c r="J17" s="22">
        <v>29.7</v>
      </c>
      <c r="K17" s="22">
        <v>0.86199999999999999</v>
      </c>
      <c r="L17" s="22">
        <v>16</v>
      </c>
      <c r="M17" s="22">
        <v>1.72</v>
      </c>
      <c r="N17" s="22">
        <v>0.04</v>
      </c>
      <c r="O17" s="22">
        <v>0</v>
      </c>
      <c r="P17" s="22">
        <v>0</v>
      </c>
      <c r="Q17" s="22"/>
      <c r="R17" s="22"/>
      <c r="S17" s="22">
        <f t="shared" si="0"/>
        <v>99.419999999999987</v>
      </c>
      <c r="T17" s="3"/>
      <c r="U17" s="22">
        <f t="shared" si="1"/>
        <v>28.730355694338954</v>
      </c>
      <c r="V17" s="22">
        <f t="shared" si="2"/>
        <v>1.0775657168811166</v>
      </c>
      <c r="W17" s="22">
        <f t="shared" si="3"/>
        <v>99.527921411220063</v>
      </c>
      <c r="X17" s="1"/>
      <c r="Y17" s="1"/>
      <c r="Z17" s="1"/>
      <c r="AA17" s="1" t="s">
        <v>185</v>
      </c>
      <c r="AC17" s="1">
        <v>6</v>
      </c>
      <c r="AD17" s="1">
        <v>4</v>
      </c>
      <c r="AE17" s="1"/>
      <c r="AF17" s="26">
        <f t="shared" si="4"/>
        <v>1.975629907739554</v>
      </c>
      <c r="AG17" s="26">
        <f t="shared" si="5"/>
        <v>4.8863683417015242E-3</v>
      </c>
      <c r="AH17" s="26">
        <f t="shared" si="6"/>
        <v>2.0847537968713598E-2</v>
      </c>
      <c r="AI17" s="26">
        <f t="shared" si="7"/>
        <v>0</v>
      </c>
      <c r="AJ17" s="26">
        <f t="shared" si="8"/>
        <v>0.97195430264800298</v>
      </c>
      <c r="AK17" s="26">
        <f t="shared" si="9"/>
        <v>2.8571448033674431E-2</v>
      </c>
      <c r="AL17" s="26">
        <f t="shared" si="10"/>
        <v>0.93353607733592681</v>
      </c>
      <c r="AM17" s="26">
        <f t="shared" si="11"/>
        <v>7.211682722964638E-2</v>
      </c>
      <c r="AN17" s="26">
        <f t="shared" si="12"/>
        <v>3.034971274333483E-3</v>
      </c>
      <c r="AO17" s="26">
        <f t="shared" si="13"/>
        <v>0</v>
      </c>
      <c r="AP17" s="26">
        <f t="shared" si="14"/>
        <v>0</v>
      </c>
      <c r="AQ17" s="26">
        <f t="shared" si="15"/>
        <v>0</v>
      </c>
      <c r="AR17" s="26">
        <f t="shared" si="16"/>
        <v>0</v>
      </c>
      <c r="AS17" s="26">
        <f t="shared" si="17"/>
        <v>4.0105774405715531</v>
      </c>
      <c r="AT17" s="26">
        <f t="shared" si="18"/>
        <v>1.9964774457082677</v>
      </c>
      <c r="AU17" s="26">
        <f t="shared" si="19"/>
        <v>7.5151798503979864E-2</v>
      </c>
      <c r="AV17" s="47"/>
      <c r="AW17" s="26">
        <f t="shared" si="20"/>
        <v>1.9704194091891207</v>
      </c>
      <c r="AX17" s="26">
        <f t="shared" si="21"/>
        <v>4.8734811025169088E-3</v>
      </c>
      <c r="AY17" s="26">
        <f t="shared" si="22"/>
        <v>2.0792554965095088E-2</v>
      </c>
      <c r="AZ17" s="26">
        <f t="shared" si="23"/>
        <v>0</v>
      </c>
      <c r="BA17" s="26">
        <f t="shared" si="24"/>
        <v>0.93774225269601186</v>
      </c>
      <c r="BB17" s="26">
        <f t="shared" si="25"/>
        <v>3.1648631335379207E-2</v>
      </c>
      <c r="BC17" s="26">
        <f t="shared" si="26"/>
        <v>2.8496094098213121E-2</v>
      </c>
      <c r="BD17" s="26">
        <f t="shared" si="27"/>
        <v>0.93107398240677008</v>
      </c>
      <c r="BE17" s="26">
        <f t="shared" si="28"/>
        <v>7.1926627323140674E-2</v>
      </c>
      <c r="BF17" s="26">
        <f t="shared" si="29"/>
        <v>3.0269668837522457E-3</v>
      </c>
      <c r="BG17" s="26">
        <f t="shared" si="30"/>
        <v>0</v>
      </c>
      <c r="BH17" s="26">
        <f t="shared" si="31"/>
        <v>0</v>
      </c>
      <c r="BI17" s="26">
        <f t="shared" si="32"/>
        <v>0</v>
      </c>
      <c r="BJ17" s="26">
        <f t="shared" si="33"/>
        <v>0</v>
      </c>
      <c r="BK17" s="25">
        <f t="shared" si="34"/>
        <v>4</v>
      </c>
      <c r="BL17" s="24">
        <f t="shared" si="35"/>
        <v>5.9999999999999982</v>
      </c>
      <c r="BM17" s="26">
        <f t="shared" si="36"/>
        <v>1.9912119641542159</v>
      </c>
      <c r="BN17" s="26">
        <f t="shared" si="37"/>
        <v>7.4953594206892918E-2</v>
      </c>
      <c r="BO17" s="22"/>
      <c r="BP17" s="26">
        <f t="shared" si="38"/>
        <v>0.4899190713016352</v>
      </c>
      <c r="BQ17" s="22"/>
      <c r="BR17" s="22">
        <f t="shared" si="39"/>
        <v>3.5947360441215721E-2</v>
      </c>
      <c r="BS17" s="22">
        <f t="shared" si="40"/>
        <v>0.46533048036086977</v>
      </c>
      <c r="BT17" s="22">
        <f t="shared" si="41"/>
        <v>0.49872215919791452</v>
      </c>
      <c r="BU17" s="1"/>
      <c r="BV17" s="26">
        <f t="shared" si="42"/>
        <v>0.84021304926764306</v>
      </c>
      <c r="BW17" s="26">
        <f t="shared" si="43"/>
        <v>2.0781171757636458E-3</v>
      </c>
      <c r="BX17" s="26">
        <f t="shared" si="44"/>
        <v>8.8662220478619071E-3</v>
      </c>
      <c r="BY17" s="26">
        <f t="shared" si="45"/>
        <v>0</v>
      </c>
      <c r="BZ17" s="26">
        <f t="shared" si="46"/>
        <v>0.41336116910229648</v>
      </c>
      <c r="CA17" s="26">
        <f t="shared" si="47"/>
        <v>1.2151113617141246E-2</v>
      </c>
      <c r="CB17" s="26">
        <f t="shared" si="48"/>
        <v>0.3970223325062035</v>
      </c>
      <c r="CC17" s="26">
        <f t="shared" si="49"/>
        <v>3.0670470756062766E-2</v>
      </c>
      <c r="CD17" s="26">
        <f t="shared" si="50"/>
        <v>1.2907389480477575E-3</v>
      </c>
      <c r="CE17" s="26">
        <f t="shared" si="51"/>
        <v>0</v>
      </c>
      <c r="CF17" s="26">
        <f t="shared" si="52"/>
        <v>0</v>
      </c>
      <c r="CG17" s="26">
        <f t="shared" si="53"/>
        <v>0</v>
      </c>
      <c r="CH17" s="26">
        <f t="shared" si="54"/>
        <v>0</v>
      </c>
      <c r="CI17" s="26">
        <f t="shared" si="55"/>
        <v>1.7056532134210203</v>
      </c>
      <c r="CJ17" s="26">
        <f t="shared" si="56"/>
        <v>2.5517321214143345</v>
      </c>
      <c r="CK17" s="26">
        <f t="shared" si="57"/>
        <v>2.345142593187052</v>
      </c>
      <c r="CL17" s="26">
        <f t="shared" si="58"/>
        <v>5.9841756843323095</v>
      </c>
      <c r="CM17" s="1"/>
      <c r="CN17" s="22"/>
      <c r="CO17" s="96"/>
      <c r="CP17" s="14"/>
      <c r="CQ17" s="14"/>
      <c r="CR17" s="14"/>
      <c r="CS17" s="14"/>
      <c r="CT17" s="22"/>
      <c r="CU17" s="14"/>
      <c r="CV17" s="22"/>
      <c r="CW17" s="22"/>
      <c r="CX17" s="14"/>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46"/>
      <c r="FF17" s="46"/>
      <c r="FG17" s="46"/>
      <c r="FH17" s="46"/>
      <c r="FI17" s="46"/>
      <c r="FJ17" s="46"/>
      <c r="FK17" s="46"/>
      <c r="FL17" s="46"/>
      <c r="FM17" s="46"/>
      <c r="FN17" s="46"/>
      <c r="FO17" s="46"/>
    </row>
    <row r="18" spans="1:171" x14ac:dyDescent="0.25">
      <c r="A18" s="5" t="s">
        <v>87</v>
      </c>
      <c r="B18" s="1">
        <v>443</v>
      </c>
      <c r="C18" s="98" t="s">
        <v>99</v>
      </c>
      <c r="D18" s="98" t="s">
        <v>106</v>
      </c>
      <c r="E18" s="1">
        <v>125</v>
      </c>
      <c r="F18" s="22">
        <v>50.45</v>
      </c>
      <c r="G18" s="22">
        <v>0.152</v>
      </c>
      <c r="H18" s="22">
        <v>0.34399999999999997</v>
      </c>
      <c r="I18" s="22">
        <v>0</v>
      </c>
      <c r="J18" s="22">
        <v>30.28</v>
      </c>
      <c r="K18" s="22">
        <v>0.86</v>
      </c>
      <c r="L18" s="22">
        <v>15.79</v>
      </c>
      <c r="M18" s="22">
        <v>1.361</v>
      </c>
      <c r="N18" s="22">
        <v>2.3E-2</v>
      </c>
      <c r="O18" s="22">
        <v>1.6E-2</v>
      </c>
      <c r="P18" s="22">
        <v>0</v>
      </c>
      <c r="Q18" s="22"/>
      <c r="R18" s="22"/>
      <c r="S18" s="22">
        <f t="shared" si="0"/>
        <v>99.27600000000001</v>
      </c>
      <c r="T18" s="3"/>
      <c r="U18" s="22">
        <f t="shared" si="1"/>
        <v>29.548282127441034</v>
      </c>
      <c r="V18" s="22">
        <f t="shared" si="2"/>
        <v>0.81315807177477684</v>
      </c>
      <c r="W18" s="22">
        <f t="shared" si="3"/>
        <v>99.357440199215816</v>
      </c>
      <c r="X18" s="1"/>
      <c r="Y18" s="1"/>
      <c r="Z18" s="1"/>
      <c r="AA18" s="1" t="s">
        <v>185</v>
      </c>
      <c r="AC18" s="1">
        <v>6</v>
      </c>
      <c r="AD18" s="1">
        <v>4</v>
      </c>
      <c r="AE18" s="1"/>
      <c r="AF18" s="26">
        <f t="shared" si="4"/>
        <v>1.9808209033953643</v>
      </c>
      <c r="AG18" s="26">
        <f t="shared" si="5"/>
        <v>4.4886887866862251E-3</v>
      </c>
      <c r="AH18" s="26">
        <f t="shared" si="6"/>
        <v>1.5917416316059252E-2</v>
      </c>
      <c r="AI18" s="26">
        <f t="shared" si="7"/>
        <v>0</v>
      </c>
      <c r="AJ18" s="26">
        <f t="shared" si="8"/>
        <v>0.99412973091724455</v>
      </c>
      <c r="AK18" s="26">
        <f t="shared" si="9"/>
        <v>2.8597049753055426E-2</v>
      </c>
      <c r="AL18" s="26">
        <f t="shared" si="10"/>
        <v>0.92425338053889039</v>
      </c>
      <c r="AM18" s="26">
        <f t="shared" si="11"/>
        <v>5.7248496325943511E-2</v>
      </c>
      <c r="AN18" s="26">
        <f t="shared" si="12"/>
        <v>1.7507342322759891E-3</v>
      </c>
      <c r="AO18" s="26">
        <f t="shared" si="13"/>
        <v>8.0133302107608824E-4</v>
      </c>
      <c r="AP18" s="26">
        <f t="shared" si="14"/>
        <v>0</v>
      </c>
      <c r="AQ18" s="26">
        <f t="shared" si="15"/>
        <v>0</v>
      </c>
      <c r="AR18" s="26">
        <f t="shared" si="16"/>
        <v>0</v>
      </c>
      <c r="AS18" s="26">
        <f t="shared" si="17"/>
        <v>4.008007733286596</v>
      </c>
      <c r="AT18" s="26">
        <f t="shared" si="18"/>
        <v>1.9967383197114237</v>
      </c>
      <c r="AU18" s="26">
        <f t="shared" si="19"/>
        <v>5.9800563579295585E-2</v>
      </c>
      <c r="AV18" s="47"/>
      <c r="AW18" s="26">
        <f t="shared" si="20"/>
        <v>1.9768633547730976</v>
      </c>
      <c r="AX18" s="26">
        <f t="shared" si="21"/>
        <v>4.4797206845760933E-3</v>
      </c>
      <c r="AY18" s="26">
        <f t="shared" si="22"/>
        <v>1.5885614375306466E-2</v>
      </c>
      <c r="AZ18" s="26">
        <f t="shared" si="23"/>
        <v>0</v>
      </c>
      <c r="BA18" s="26">
        <f t="shared" si="24"/>
        <v>0.96816832263141583</v>
      </c>
      <c r="BB18" s="26">
        <f t="shared" si="25"/>
        <v>2.3975203101805231E-2</v>
      </c>
      <c r="BC18" s="26">
        <f t="shared" si="26"/>
        <v>2.8539914746726937E-2</v>
      </c>
      <c r="BD18" s="26">
        <f t="shared" si="27"/>
        <v>0.92240678366256146</v>
      </c>
      <c r="BE18" s="26">
        <f t="shared" si="28"/>
        <v>5.7134117632052901E-2</v>
      </c>
      <c r="BF18" s="26">
        <f t="shared" si="29"/>
        <v>1.7472363815429811E-3</v>
      </c>
      <c r="BG18" s="26">
        <f t="shared" si="30"/>
        <v>7.9973201091504821E-4</v>
      </c>
      <c r="BH18" s="26">
        <f t="shared" si="31"/>
        <v>0</v>
      </c>
      <c r="BI18" s="26">
        <f t="shared" si="32"/>
        <v>0</v>
      </c>
      <c r="BJ18" s="26">
        <f t="shared" si="33"/>
        <v>0</v>
      </c>
      <c r="BK18" s="25">
        <f t="shared" si="34"/>
        <v>4.0000000000000009</v>
      </c>
      <c r="BL18" s="24">
        <f t="shared" si="35"/>
        <v>6.0000000000000009</v>
      </c>
      <c r="BM18" s="26">
        <f t="shared" si="36"/>
        <v>1.9927489691484042</v>
      </c>
      <c r="BN18" s="26">
        <f t="shared" si="37"/>
        <v>5.9681086024510936E-2</v>
      </c>
      <c r="BO18" s="22"/>
      <c r="BP18" s="26">
        <f t="shared" si="38"/>
        <v>0.48178769663862525</v>
      </c>
      <c r="BQ18" s="22"/>
      <c r="BR18" s="22">
        <f t="shared" si="39"/>
        <v>2.8563854783091255E-2</v>
      </c>
      <c r="BS18" s="22">
        <f t="shared" si="40"/>
        <v>0.46115166403995411</v>
      </c>
      <c r="BT18" s="22">
        <f t="shared" si="41"/>
        <v>0.51028448117695457</v>
      </c>
      <c r="BU18" s="1"/>
      <c r="BV18" s="26">
        <f t="shared" si="42"/>
        <v>0.83971371504660464</v>
      </c>
      <c r="BW18" s="26">
        <f t="shared" si="43"/>
        <v>1.9028542814221333E-3</v>
      </c>
      <c r="BX18" s="26">
        <f t="shared" si="44"/>
        <v>6.7477442134170262E-3</v>
      </c>
      <c r="BY18" s="26">
        <f t="shared" si="45"/>
        <v>0</v>
      </c>
      <c r="BZ18" s="26">
        <f t="shared" si="46"/>
        <v>0.42143354210160061</v>
      </c>
      <c r="CA18" s="26">
        <f t="shared" si="47"/>
        <v>1.2122920778122357E-2</v>
      </c>
      <c r="CB18" s="26">
        <f t="shared" si="48"/>
        <v>0.39181141439205958</v>
      </c>
      <c r="CC18" s="26">
        <f t="shared" si="49"/>
        <v>2.4268901569186877E-2</v>
      </c>
      <c r="CD18" s="26">
        <f t="shared" si="50"/>
        <v>7.421748951274605E-4</v>
      </c>
      <c r="CE18" s="26">
        <f t="shared" si="51"/>
        <v>3.3970276008492571E-4</v>
      </c>
      <c r="CF18" s="26">
        <f t="shared" si="52"/>
        <v>0</v>
      </c>
      <c r="CG18" s="26">
        <f t="shared" si="53"/>
        <v>0</v>
      </c>
      <c r="CH18" s="26">
        <f t="shared" si="54"/>
        <v>0</v>
      </c>
      <c r="CI18" s="26">
        <f t="shared" si="55"/>
        <v>1.6990829700376255</v>
      </c>
      <c r="CJ18" s="26">
        <f t="shared" si="56"/>
        <v>2.5435324726447548</v>
      </c>
      <c r="CK18" s="26">
        <f t="shared" si="57"/>
        <v>2.3542111071311731</v>
      </c>
      <c r="CL18" s="26">
        <f t="shared" si="58"/>
        <v>5.9880123984490981</v>
      </c>
      <c r="CM18" s="1"/>
      <c r="CN18" s="22"/>
      <c r="CO18" s="96"/>
      <c r="CP18" s="14"/>
      <c r="CQ18" s="14"/>
      <c r="CR18" s="14"/>
      <c r="CS18" s="14"/>
      <c r="CT18" s="22"/>
      <c r="CU18" s="14"/>
      <c r="CV18" s="22"/>
      <c r="CW18" s="22"/>
      <c r="CX18" s="14"/>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46"/>
      <c r="FF18" s="46"/>
      <c r="FG18" s="46"/>
      <c r="FH18" s="46"/>
      <c r="FI18" s="46"/>
      <c r="FJ18" s="46"/>
      <c r="FK18" s="46"/>
      <c r="FL18" s="46"/>
      <c r="FM18" s="46"/>
      <c r="FN18" s="46"/>
      <c r="FO18" s="46"/>
    </row>
    <row r="19" spans="1:171" x14ac:dyDescent="0.25">
      <c r="A19" s="5" t="s">
        <v>85</v>
      </c>
      <c r="B19" s="1">
        <v>1321</v>
      </c>
      <c r="C19" s="98" t="s">
        <v>98</v>
      </c>
      <c r="D19" s="98" t="s">
        <v>105</v>
      </c>
      <c r="E19" s="1">
        <v>328</v>
      </c>
      <c r="F19" s="22">
        <v>50.83</v>
      </c>
      <c r="G19" s="22">
        <v>0.42599999999999999</v>
      </c>
      <c r="H19" s="22">
        <v>0.65900000000000003</v>
      </c>
      <c r="I19" s="22">
        <v>0</v>
      </c>
      <c r="J19" s="22">
        <v>25.59</v>
      </c>
      <c r="K19" s="22">
        <v>1.1519999999999999</v>
      </c>
      <c r="L19" s="22">
        <v>18.059999999999999</v>
      </c>
      <c r="M19" s="22">
        <v>1.75</v>
      </c>
      <c r="N19" s="22">
        <v>2.5999999999999999E-2</v>
      </c>
      <c r="O19" s="22">
        <v>0</v>
      </c>
      <c r="P19" s="22">
        <v>0</v>
      </c>
      <c r="Q19" s="22"/>
      <c r="R19" s="22"/>
      <c r="S19" s="22">
        <f t="shared" si="0"/>
        <v>98.492999999999995</v>
      </c>
      <c r="T19" s="3"/>
      <c r="U19" s="22">
        <f t="shared" si="1"/>
        <v>25.44281787918953</v>
      </c>
      <c r="V19" s="22">
        <f t="shared" si="2"/>
        <v>0.16356349085667618</v>
      </c>
      <c r="W19" s="22">
        <f t="shared" si="3"/>
        <v>98.509381370046199</v>
      </c>
      <c r="X19" s="1">
        <v>1</v>
      </c>
      <c r="Y19" s="1"/>
      <c r="Z19" s="1"/>
      <c r="AA19" s="1" t="s">
        <v>186</v>
      </c>
      <c r="AC19" s="1">
        <v>6</v>
      </c>
      <c r="AD19" s="1">
        <v>4</v>
      </c>
      <c r="AE19" s="1"/>
      <c r="AF19" s="26">
        <f t="shared" si="4"/>
        <v>1.9718921479339242</v>
      </c>
      <c r="AG19" s="26">
        <f t="shared" si="5"/>
        <v>1.2429810707008944E-2</v>
      </c>
      <c r="AH19" s="26">
        <f t="shared" si="6"/>
        <v>3.0128572515908902E-2</v>
      </c>
      <c r="AI19" s="26">
        <f t="shared" si="7"/>
        <v>0</v>
      </c>
      <c r="AJ19" s="26">
        <f t="shared" si="8"/>
        <v>0.83011160498919001</v>
      </c>
      <c r="AK19" s="26">
        <f t="shared" si="9"/>
        <v>3.7848987563576415E-2</v>
      </c>
      <c r="AL19" s="26">
        <f t="shared" si="10"/>
        <v>1.0444933319191911</v>
      </c>
      <c r="AM19" s="26">
        <f t="shared" si="11"/>
        <v>7.273157891194923E-2</v>
      </c>
      <c r="AN19" s="26">
        <f t="shared" si="12"/>
        <v>1.9554411207289898E-3</v>
      </c>
      <c r="AO19" s="26">
        <f t="shared" si="13"/>
        <v>0</v>
      </c>
      <c r="AP19" s="26">
        <f t="shared" si="14"/>
        <v>0</v>
      </c>
      <c r="AQ19" s="26">
        <f t="shared" si="15"/>
        <v>0</v>
      </c>
      <c r="AR19" s="26">
        <f t="shared" si="16"/>
        <v>0</v>
      </c>
      <c r="AS19" s="26">
        <f t="shared" si="17"/>
        <v>4.0015914756614785</v>
      </c>
      <c r="AT19" s="26">
        <f t="shared" si="18"/>
        <v>2.002020720449833</v>
      </c>
      <c r="AU19" s="26">
        <f t="shared" si="19"/>
        <v>7.4687020032678214E-2</v>
      </c>
      <c r="AV19" s="47"/>
      <c r="AW19" s="26">
        <f t="shared" si="20"/>
        <v>1.9711079053695382</v>
      </c>
      <c r="AX19" s="26">
        <f t="shared" si="21"/>
        <v>1.2424867238557126E-2</v>
      </c>
      <c r="AY19" s="26">
        <f t="shared" si="22"/>
        <v>3.0116590060886742E-2</v>
      </c>
      <c r="AZ19" s="26">
        <f t="shared" si="23"/>
        <v>0</v>
      </c>
      <c r="BA19" s="26">
        <f t="shared" si="24"/>
        <v>0.82500893259557284</v>
      </c>
      <c r="BB19" s="26">
        <f t="shared" si="25"/>
        <v>4.7725281438388834E-3</v>
      </c>
      <c r="BC19" s="26">
        <f t="shared" si="26"/>
        <v>3.7833934617046164E-2</v>
      </c>
      <c r="BD19" s="26">
        <f t="shared" si="27"/>
        <v>1.0440779257673047</v>
      </c>
      <c r="BE19" s="26">
        <f t="shared" si="28"/>
        <v>7.2702652786340638E-2</v>
      </c>
      <c r="BF19" s="26">
        <f t="shared" si="29"/>
        <v>1.9546634209137979E-3</v>
      </c>
      <c r="BG19" s="26">
        <f t="shared" si="30"/>
        <v>0</v>
      </c>
      <c r="BH19" s="26">
        <f t="shared" si="31"/>
        <v>0</v>
      </c>
      <c r="BI19" s="26">
        <f t="shared" si="32"/>
        <v>0</v>
      </c>
      <c r="BJ19" s="26">
        <f t="shared" si="33"/>
        <v>0</v>
      </c>
      <c r="BK19" s="25">
        <f t="shared" si="34"/>
        <v>3.9999999999999987</v>
      </c>
      <c r="BL19" s="24">
        <f t="shared" si="35"/>
        <v>6.0000000000000009</v>
      </c>
      <c r="BM19" s="26">
        <f t="shared" si="36"/>
        <v>2.0012244954304248</v>
      </c>
      <c r="BN19" s="26">
        <f t="shared" si="37"/>
        <v>7.4657316207254437E-2</v>
      </c>
      <c r="BO19" s="22"/>
      <c r="BP19" s="26">
        <f t="shared" si="38"/>
        <v>0.55718050846584288</v>
      </c>
      <c r="BQ19" s="22"/>
      <c r="BR19" s="22">
        <f t="shared" si="39"/>
        <v>3.6637170072002075E-2</v>
      </c>
      <c r="BS19" s="22">
        <f t="shared" si="40"/>
        <v>0.52614394480453797</v>
      </c>
      <c r="BT19" s="22">
        <f t="shared" si="41"/>
        <v>0.43721888512346002</v>
      </c>
      <c r="BU19" s="1"/>
      <c r="BV19" s="26">
        <f t="shared" si="42"/>
        <v>0.84603861517976031</v>
      </c>
      <c r="BW19" s="26">
        <f t="shared" si="43"/>
        <v>5.3329994992488737E-3</v>
      </c>
      <c r="BX19" s="26">
        <f t="shared" si="44"/>
        <v>1.2926637897214596E-2</v>
      </c>
      <c r="BY19" s="26">
        <f t="shared" si="45"/>
        <v>0</v>
      </c>
      <c r="BZ19" s="26">
        <f t="shared" si="46"/>
        <v>0.35615866388308981</v>
      </c>
      <c r="CA19" s="26">
        <f t="shared" si="47"/>
        <v>1.623907527488018E-2</v>
      </c>
      <c r="CB19" s="26">
        <f t="shared" si="48"/>
        <v>0.44813895781637719</v>
      </c>
      <c r="CC19" s="26">
        <f t="shared" si="49"/>
        <v>3.1205420827389446E-2</v>
      </c>
      <c r="CD19" s="26">
        <f t="shared" si="50"/>
        <v>8.3898031623104224E-4</v>
      </c>
      <c r="CE19" s="26">
        <f t="shared" si="51"/>
        <v>0</v>
      </c>
      <c r="CF19" s="26">
        <f t="shared" si="52"/>
        <v>0</v>
      </c>
      <c r="CG19" s="26">
        <f t="shared" si="53"/>
        <v>0</v>
      </c>
      <c r="CH19" s="26">
        <f t="shared" si="54"/>
        <v>0</v>
      </c>
      <c r="CI19" s="26">
        <f t="shared" si="55"/>
        <v>1.7168793506941917</v>
      </c>
      <c r="CJ19" s="26">
        <f t="shared" si="56"/>
        <v>2.5742947941636918</v>
      </c>
      <c r="CK19" s="26">
        <f t="shared" si="57"/>
        <v>2.3298084390045615</v>
      </c>
      <c r="CL19" s="26">
        <f t="shared" si="58"/>
        <v>5.9976137359280797</v>
      </c>
      <c r="CM19" s="1"/>
      <c r="CN19" s="22"/>
      <c r="CO19" s="96"/>
      <c r="CP19" s="14"/>
      <c r="CQ19" s="14"/>
      <c r="CR19" s="14"/>
      <c r="CS19" s="14"/>
      <c r="CT19" s="22"/>
      <c r="CU19" s="14"/>
      <c r="CV19" s="22"/>
      <c r="CW19" s="22"/>
      <c r="CX19" s="14"/>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46"/>
      <c r="FF19" s="46"/>
      <c r="FG19" s="46"/>
      <c r="FH19" s="46"/>
      <c r="FI19" s="46"/>
      <c r="FJ19" s="46"/>
      <c r="FK19" s="46"/>
      <c r="FL19" s="46"/>
      <c r="FM19" s="46"/>
      <c r="FN19" s="46"/>
      <c r="FO19" s="46"/>
    </row>
    <row r="20" spans="1:171" x14ac:dyDescent="0.25">
      <c r="A20" s="5" t="s">
        <v>85</v>
      </c>
      <c r="B20" s="1">
        <v>1322</v>
      </c>
      <c r="C20" s="98" t="s">
        <v>98</v>
      </c>
      <c r="D20" s="98" t="s">
        <v>105</v>
      </c>
      <c r="E20" s="1">
        <v>329</v>
      </c>
      <c r="F20" s="22">
        <v>52.37</v>
      </c>
      <c r="G20" s="22">
        <v>0.32600000000000001</v>
      </c>
      <c r="H20" s="22">
        <v>1.1419999999999999</v>
      </c>
      <c r="I20" s="22">
        <v>0</v>
      </c>
      <c r="J20" s="22">
        <v>18.18</v>
      </c>
      <c r="K20" s="22">
        <v>0.64700000000000002</v>
      </c>
      <c r="L20" s="22">
        <v>23.71</v>
      </c>
      <c r="M20" s="22">
        <v>1.58</v>
      </c>
      <c r="N20" s="22">
        <v>0.05</v>
      </c>
      <c r="O20" s="22">
        <v>8.0000000000000002E-3</v>
      </c>
      <c r="P20" s="22">
        <v>0</v>
      </c>
      <c r="Q20" s="22"/>
      <c r="R20" s="22"/>
      <c r="S20" s="22">
        <f t="shared" si="0"/>
        <v>98.012999999999991</v>
      </c>
      <c r="T20" s="3"/>
      <c r="U20" s="22">
        <f t="shared" si="1"/>
        <v>17.714889613932844</v>
      </c>
      <c r="V20" s="22">
        <f t="shared" si="2"/>
        <v>0.51687717203643091</v>
      </c>
      <c r="W20" s="22">
        <f t="shared" si="3"/>
        <v>98.064766785969269</v>
      </c>
      <c r="X20" s="1">
        <v>1</v>
      </c>
      <c r="Y20" s="1"/>
      <c r="Z20" s="1"/>
      <c r="AA20" s="1" t="s">
        <v>185</v>
      </c>
      <c r="AC20" s="1">
        <v>6</v>
      </c>
      <c r="AD20" s="1">
        <v>4</v>
      </c>
      <c r="AE20" s="1"/>
      <c r="AF20" s="26">
        <f t="shared" si="4"/>
        <v>1.9627394999853445</v>
      </c>
      <c r="AG20" s="26">
        <f t="shared" si="5"/>
        <v>9.189450794932363E-3</v>
      </c>
      <c r="AH20" s="26">
        <f t="shared" si="6"/>
        <v>5.0440140262395884E-2</v>
      </c>
      <c r="AI20" s="26">
        <f t="shared" si="7"/>
        <v>0</v>
      </c>
      <c r="AJ20" s="26">
        <f t="shared" si="8"/>
        <v>0.56974053521077084</v>
      </c>
      <c r="AK20" s="26">
        <f t="shared" si="9"/>
        <v>2.0536342999008087E-2</v>
      </c>
      <c r="AL20" s="26">
        <f t="shared" si="10"/>
        <v>1.3247579079013203</v>
      </c>
      <c r="AM20" s="26">
        <f t="shared" si="11"/>
        <v>6.3439404083601617E-2</v>
      </c>
      <c r="AN20" s="26">
        <f t="shared" si="12"/>
        <v>3.6329418034077745E-3</v>
      </c>
      <c r="AO20" s="26">
        <f t="shared" si="13"/>
        <v>3.8245389889632927E-4</v>
      </c>
      <c r="AP20" s="26">
        <f t="shared" si="14"/>
        <v>0</v>
      </c>
      <c r="AQ20" s="26">
        <f t="shared" si="15"/>
        <v>0</v>
      </c>
      <c r="AR20" s="26">
        <f t="shared" si="16"/>
        <v>0</v>
      </c>
      <c r="AS20" s="26">
        <f t="shared" si="17"/>
        <v>4.0048586769396772</v>
      </c>
      <c r="AT20" s="26">
        <f t="shared" si="18"/>
        <v>2.0131796402477402</v>
      </c>
      <c r="AU20" s="26">
        <f t="shared" si="19"/>
        <v>6.7454799785905711E-2</v>
      </c>
      <c r="AV20" s="47"/>
      <c r="AW20" s="26">
        <f t="shared" si="20"/>
        <v>1.9603583130530602</v>
      </c>
      <c r="AX20" s="26">
        <f t="shared" si="21"/>
        <v>9.1783021936289681E-3</v>
      </c>
      <c r="AY20" s="26">
        <f t="shared" si="22"/>
        <v>5.0378946505987406E-2</v>
      </c>
      <c r="AZ20" s="26">
        <f t="shared" si="23"/>
        <v>0</v>
      </c>
      <c r="BA20" s="26">
        <f t="shared" si="24"/>
        <v>0.55449098125576779</v>
      </c>
      <c r="BB20" s="26">
        <f t="shared" si="25"/>
        <v>1.4558347242524583E-2</v>
      </c>
      <c r="BC20" s="26">
        <f t="shared" si="26"/>
        <v>2.0511428397968823E-2</v>
      </c>
      <c r="BD20" s="26">
        <f t="shared" si="27"/>
        <v>1.3231507174316943</v>
      </c>
      <c r="BE20" s="26">
        <f t="shared" si="28"/>
        <v>6.3362439677475957E-2</v>
      </c>
      <c r="BF20" s="26">
        <f t="shared" si="29"/>
        <v>3.6285343343839494E-3</v>
      </c>
      <c r="BG20" s="26">
        <f t="shared" si="30"/>
        <v>3.8198990750763003E-4</v>
      </c>
      <c r="BH20" s="26">
        <f t="shared" si="31"/>
        <v>0</v>
      </c>
      <c r="BI20" s="26">
        <f t="shared" si="32"/>
        <v>0</v>
      </c>
      <c r="BJ20" s="26">
        <f t="shared" si="33"/>
        <v>0</v>
      </c>
      <c r="BK20" s="25">
        <f t="shared" si="34"/>
        <v>3.9999999999999991</v>
      </c>
      <c r="BL20" s="24">
        <f t="shared" si="35"/>
        <v>5.9999999999999991</v>
      </c>
      <c r="BM20" s="26">
        <f t="shared" si="36"/>
        <v>2.0107372595590478</v>
      </c>
      <c r="BN20" s="26">
        <f t="shared" si="37"/>
        <v>6.7372963919367534E-2</v>
      </c>
      <c r="BO20" s="22"/>
      <c r="BP20" s="26">
        <f t="shared" si="38"/>
        <v>0.69926576752691416</v>
      </c>
      <c r="BQ20" s="22"/>
      <c r="BR20" s="22">
        <f t="shared" si="39"/>
        <v>3.2064812570215324E-2</v>
      </c>
      <c r="BS20" s="22">
        <f t="shared" si="40"/>
        <v>0.66958564052379743</v>
      </c>
      <c r="BT20" s="22">
        <f t="shared" si="41"/>
        <v>0.2983495469059872</v>
      </c>
      <c r="BU20" s="1"/>
      <c r="BV20" s="26">
        <f t="shared" si="42"/>
        <v>0.87167110519307589</v>
      </c>
      <c r="BW20" s="26">
        <f t="shared" si="43"/>
        <v>4.0811216825237858E-3</v>
      </c>
      <c r="BX20" s="26">
        <f t="shared" si="44"/>
        <v>2.2400941545704198E-2</v>
      </c>
      <c r="BY20" s="26">
        <f t="shared" si="45"/>
        <v>0</v>
      </c>
      <c r="BZ20" s="26">
        <f t="shared" si="46"/>
        <v>0.25302713987473907</v>
      </c>
      <c r="CA20" s="26">
        <f t="shared" si="47"/>
        <v>9.1203834226106575E-3</v>
      </c>
      <c r="CB20" s="26">
        <f t="shared" si="48"/>
        <v>0.58833746898263029</v>
      </c>
      <c r="CC20" s="26">
        <f t="shared" si="49"/>
        <v>2.8174037089871613E-2</v>
      </c>
      <c r="CD20" s="26">
        <f t="shared" si="50"/>
        <v>1.6134236850596968E-3</v>
      </c>
      <c r="CE20" s="26">
        <f t="shared" si="51"/>
        <v>1.6985138004246286E-4</v>
      </c>
      <c r="CF20" s="26">
        <f t="shared" si="52"/>
        <v>0</v>
      </c>
      <c r="CG20" s="26">
        <f t="shared" si="53"/>
        <v>0</v>
      </c>
      <c r="CH20" s="26">
        <f t="shared" si="54"/>
        <v>0</v>
      </c>
      <c r="CI20" s="26">
        <f t="shared" si="55"/>
        <v>1.7785954728562579</v>
      </c>
      <c r="CJ20" s="26">
        <f t="shared" si="56"/>
        <v>2.6646565329721583</v>
      </c>
      <c r="CK20" s="26">
        <f t="shared" si="57"/>
        <v>2.2489655804511717</v>
      </c>
      <c r="CL20" s="26">
        <f t="shared" si="58"/>
        <v>5.9927208263787364</v>
      </c>
      <c r="CM20" s="1"/>
      <c r="CN20" s="22"/>
      <c r="CO20" s="96"/>
      <c r="CP20" s="14"/>
      <c r="CQ20" s="14"/>
      <c r="CR20" s="14"/>
      <c r="CS20" s="14"/>
      <c r="CT20" s="22"/>
      <c r="CU20" s="14"/>
      <c r="CV20" s="22"/>
      <c r="CW20" s="22"/>
      <c r="CX20" s="14"/>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46">
        <f>7.601647 - 13.20417 * BP20 + N("45d Mg#    r2 0.76")</f>
        <v>-1.6315770696058536</v>
      </c>
      <c r="FF20" s="46">
        <f>6.542808 - 11.82852 * BP20 + N("mg#")</f>
        <v>-1.7284711165074542</v>
      </c>
      <c r="FG20" s="46">
        <f>3.803999 - 7.570213 * BP20 + N("mg#")</f>
        <v>-1.4895918037872233</v>
      </c>
      <c r="FH20" s="46">
        <f>4.421323 - 8.556768 * BP20 + N("mg#")</f>
        <v>-1.5621319430697378</v>
      </c>
      <c r="FI20" s="46">
        <f>4.645469 - 8.242464 * BP20 + N("50d mg# r2 0.67")</f>
        <v>-1.118203915272959</v>
      </c>
      <c r="FJ20" s="46">
        <f>5.169659 - 8.510973 * BP20 + N("mg#")</f>
        <v>-0.78177306724584295</v>
      </c>
      <c r="FK20" s="46"/>
      <c r="FL20" s="46"/>
      <c r="FM20" s="46"/>
      <c r="FN20" s="46"/>
      <c r="FO20" s="46"/>
    </row>
    <row r="21" spans="1:171" x14ac:dyDescent="0.25">
      <c r="A21" s="5" t="s">
        <v>85</v>
      </c>
      <c r="B21" s="1">
        <v>1323</v>
      </c>
      <c r="C21" s="98" t="s">
        <v>98</v>
      </c>
      <c r="D21" s="98" t="s">
        <v>105</v>
      </c>
      <c r="E21" s="1">
        <v>330</v>
      </c>
      <c r="F21" s="22">
        <v>51.82</v>
      </c>
      <c r="G21" s="22">
        <v>0.371</v>
      </c>
      <c r="H21" s="22">
        <v>1.306</v>
      </c>
      <c r="I21" s="22">
        <v>0.01</v>
      </c>
      <c r="J21" s="22">
        <v>19.36</v>
      </c>
      <c r="K21" s="22">
        <v>0.77</v>
      </c>
      <c r="L21" s="22">
        <v>22.03</v>
      </c>
      <c r="M21" s="22">
        <v>2.12</v>
      </c>
      <c r="N21" s="22">
        <v>3.7999999999999999E-2</v>
      </c>
      <c r="O21" s="22">
        <v>0</v>
      </c>
      <c r="P21" s="22">
        <v>0</v>
      </c>
      <c r="Q21" s="22"/>
      <c r="R21" s="22"/>
      <c r="S21" s="22">
        <f t="shared" si="0"/>
        <v>97.824999999999989</v>
      </c>
      <c r="T21" s="3"/>
      <c r="U21" s="22">
        <f t="shared" si="1"/>
        <v>19.356476342668866</v>
      </c>
      <c r="V21" s="22">
        <f t="shared" si="2"/>
        <v>3.9158403920871625E-3</v>
      </c>
      <c r="W21" s="22">
        <f t="shared" si="3"/>
        <v>97.825392183060956</v>
      </c>
      <c r="X21" s="1">
        <v>1</v>
      </c>
      <c r="Y21" s="1"/>
      <c r="Z21" s="1"/>
      <c r="AA21" s="1" t="s">
        <v>185</v>
      </c>
      <c r="AC21" s="1">
        <v>6</v>
      </c>
      <c r="AD21" s="1">
        <v>4</v>
      </c>
      <c r="AE21" s="1"/>
      <c r="AF21" s="26">
        <f t="shared" si="4"/>
        <v>1.9615153532532494</v>
      </c>
      <c r="AG21" s="26">
        <f t="shared" si="5"/>
        <v>1.0562338475655854E-2</v>
      </c>
      <c r="AH21" s="26">
        <f t="shared" si="6"/>
        <v>5.8259609986613795E-2</v>
      </c>
      <c r="AI21" s="26">
        <f t="shared" si="7"/>
        <v>2.9925347884654404E-4</v>
      </c>
      <c r="AJ21" s="26">
        <f t="shared" si="8"/>
        <v>0.61277749603187015</v>
      </c>
      <c r="AK21" s="26">
        <f t="shared" si="9"/>
        <v>2.4684467798429942E-2</v>
      </c>
      <c r="AL21" s="26">
        <f t="shared" si="10"/>
        <v>1.2431790367059476</v>
      </c>
      <c r="AM21" s="26">
        <f t="shared" si="11"/>
        <v>8.5971020729100234E-2</v>
      </c>
      <c r="AN21" s="26">
        <f t="shared" si="12"/>
        <v>2.7886001573018339E-3</v>
      </c>
      <c r="AO21" s="26">
        <f t="shared" si="13"/>
        <v>0</v>
      </c>
      <c r="AP21" s="26">
        <f t="shared" si="14"/>
        <v>0</v>
      </c>
      <c r="AQ21" s="26">
        <f t="shared" si="15"/>
        <v>0</v>
      </c>
      <c r="AR21" s="26">
        <f t="shared" si="16"/>
        <v>0</v>
      </c>
      <c r="AS21" s="26">
        <f t="shared" si="17"/>
        <v>4.0000371766170151</v>
      </c>
      <c r="AT21" s="26">
        <f t="shared" si="18"/>
        <v>2.0197749632398634</v>
      </c>
      <c r="AU21" s="26">
        <f t="shared" si="19"/>
        <v>8.8759620886402074E-2</v>
      </c>
      <c r="AV21" s="47"/>
      <c r="AW21" s="26">
        <f t="shared" si="20"/>
        <v>1.9614971227964217</v>
      </c>
      <c r="AX21" s="26">
        <f t="shared" si="21"/>
        <v>1.056224030856516E-2</v>
      </c>
      <c r="AY21" s="26">
        <f t="shared" si="22"/>
        <v>5.8259068517844299E-2</v>
      </c>
      <c r="AZ21" s="26">
        <f t="shared" si="23"/>
        <v>2.9925069756440027E-4</v>
      </c>
      <c r="BA21" s="26">
        <f t="shared" si="24"/>
        <v>0.612660272021751</v>
      </c>
      <c r="BB21" s="26">
        <f t="shared" si="25"/>
        <v>1.1152881447973328E-4</v>
      </c>
      <c r="BC21" s="26">
        <f t="shared" si="26"/>
        <v>2.4684238379310806E-2</v>
      </c>
      <c r="BD21" s="26">
        <f t="shared" si="27"/>
        <v>1.2431674825156018</v>
      </c>
      <c r="BE21" s="26">
        <f t="shared" si="28"/>
        <v>8.5970221708598429E-2</v>
      </c>
      <c r="BF21" s="26">
        <f t="shared" si="29"/>
        <v>2.7885742398627003E-3</v>
      </c>
      <c r="BG21" s="26">
        <f t="shared" si="30"/>
        <v>0</v>
      </c>
      <c r="BH21" s="26">
        <f t="shared" si="31"/>
        <v>0</v>
      </c>
      <c r="BI21" s="26">
        <f t="shared" si="32"/>
        <v>0</v>
      </c>
      <c r="BJ21" s="26">
        <f t="shared" si="33"/>
        <v>0</v>
      </c>
      <c r="BK21" s="25">
        <f t="shared" si="34"/>
        <v>3.9999999999999996</v>
      </c>
      <c r="BL21" s="24">
        <f t="shared" si="35"/>
        <v>6</v>
      </c>
      <c r="BM21" s="26">
        <f t="shared" si="36"/>
        <v>2.0197561913142659</v>
      </c>
      <c r="BN21" s="26">
        <f t="shared" si="37"/>
        <v>8.8758795948461131E-2</v>
      </c>
      <c r="BO21" s="22"/>
      <c r="BP21" s="26">
        <f t="shared" si="38"/>
        <v>0.66983197870053013</v>
      </c>
      <c r="BQ21" s="22"/>
      <c r="BR21" s="22">
        <f t="shared" si="39"/>
        <v>4.3715293001100011E-2</v>
      </c>
      <c r="BS21" s="22">
        <f t="shared" si="40"/>
        <v>0.63214249850159432</v>
      </c>
      <c r="BT21" s="22">
        <f t="shared" si="41"/>
        <v>0.32414220849730557</v>
      </c>
      <c r="BU21" s="1"/>
      <c r="BV21" s="26">
        <f t="shared" si="42"/>
        <v>0.86251664447403464</v>
      </c>
      <c r="BW21" s="26">
        <f t="shared" si="43"/>
        <v>4.6444667000500751E-3</v>
      </c>
      <c r="BX21" s="26">
        <f t="shared" si="44"/>
        <v>2.5617889368379759E-2</v>
      </c>
      <c r="BY21" s="26">
        <f t="shared" si="45"/>
        <v>1.3158760444766102E-4</v>
      </c>
      <c r="BZ21" s="26">
        <f t="shared" si="46"/>
        <v>0.26945024356297842</v>
      </c>
      <c r="CA21" s="26">
        <f t="shared" si="47"/>
        <v>1.0854243022272343E-2</v>
      </c>
      <c r="CB21" s="26">
        <f t="shared" si="48"/>
        <v>0.54665012406947899</v>
      </c>
      <c r="CC21" s="26">
        <f t="shared" si="49"/>
        <v>3.7803138373751786E-2</v>
      </c>
      <c r="CD21" s="26">
        <f t="shared" si="50"/>
        <v>1.2262020006453694E-3</v>
      </c>
      <c r="CE21" s="26">
        <f t="shared" si="51"/>
        <v>0</v>
      </c>
      <c r="CF21" s="26">
        <f t="shared" si="52"/>
        <v>0</v>
      </c>
      <c r="CG21" s="26">
        <f t="shared" si="53"/>
        <v>0</v>
      </c>
      <c r="CH21" s="26">
        <f t="shared" si="54"/>
        <v>0</v>
      </c>
      <c r="CI21" s="26">
        <f t="shared" si="55"/>
        <v>1.7588945391760389</v>
      </c>
      <c r="CJ21" s="26">
        <f t="shared" si="56"/>
        <v>2.6383172878362147</v>
      </c>
      <c r="CK21" s="26">
        <f t="shared" si="57"/>
        <v>2.2741556761406603</v>
      </c>
      <c r="CL21" s="26">
        <f t="shared" si="58"/>
        <v>5.9999442355927597</v>
      </c>
      <c r="CM21" s="1"/>
      <c r="CN21" s="22"/>
      <c r="CO21" s="96"/>
      <c r="CP21" s="14"/>
      <c r="CQ21" s="14"/>
      <c r="CR21" s="14"/>
      <c r="CS21" s="14"/>
      <c r="CT21" s="22"/>
      <c r="CU21" s="14"/>
      <c r="CV21" s="22"/>
      <c r="CW21" s="22"/>
      <c r="CX21" s="14"/>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46"/>
      <c r="FF21" s="46"/>
      <c r="FG21" s="46"/>
      <c r="FH21" s="46"/>
      <c r="FI21" s="46"/>
      <c r="FJ21" s="46"/>
      <c r="FK21" s="46"/>
      <c r="FL21" s="46"/>
      <c r="FM21" s="46"/>
      <c r="FN21" s="46"/>
      <c r="FO21" s="46"/>
    </row>
    <row r="22" spans="1:171" x14ac:dyDescent="0.25">
      <c r="A22" s="5" t="s">
        <v>85</v>
      </c>
      <c r="B22" s="1">
        <v>1324</v>
      </c>
      <c r="C22" s="98" t="s">
        <v>98</v>
      </c>
      <c r="D22" s="98" t="s">
        <v>105</v>
      </c>
      <c r="E22" s="1">
        <v>331</v>
      </c>
      <c r="F22" s="22">
        <v>51.12</v>
      </c>
      <c r="G22" s="22">
        <v>0.24099999999999999</v>
      </c>
      <c r="H22" s="22">
        <v>0.871</v>
      </c>
      <c r="I22" s="22">
        <v>0</v>
      </c>
      <c r="J22" s="22">
        <v>26.11</v>
      </c>
      <c r="K22" s="22">
        <v>1.17</v>
      </c>
      <c r="L22" s="22">
        <v>18.04</v>
      </c>
      <c r="M22" s="22">
        <v>1.75</v>
      </c>
      <c r="N22" s="22">
        <v>3.7999999999999999E-2</v>
      </c>
      <c r="O22" s="22">
        <v>0.01</v>
      </c>
      <c r="P22" s="22">
        <v>0</v>
      </c>
      <c r="Q22" s="22"/>
      <c r="R22" s="22"/>
      <c r="S22" s="22">
        <f t="shared" si="0"/>
        <v>99.35</v>
      </c>
      <c r="T22" s="3"/>
      <c r="U22" s="22">
        <f t="shared" si="1"/>
        <v>25.554501092014466</v>
      </c>
      <c r="V22" s="22">
        <f t="shared" si="2"/>
        <v>0.6173259364443241</v>
      </c>
      <c r="W22" s="22">
        <f t="shared" si="3"/>
        <v>99.411827028458802</v>
      </c>
      <c r="X22" s="1">
        <v>1</v>
      </c>
      <c r="Y22" s="1"/>
      <c r="Z22" s="1"/>
      <c r="AA22" s="1" t="s">
        <v>186</v>
      </c>
      <c r="AC22" s="1">
        <v>6</v>
      </c>
      <c r="AD22" s="1">
        <v>4</v>
      </c>
      <c r="AE22" s="1"/>
      <c r="AF22" s="26">
        <f t="shared" si="4"/>
        <v>1.9689512420604844</v>
      </c>
      <c r="AG22" s="26">
        <f t="shared" si="5"/>
        <v>6.9815688762362863E-3</v>
      </c>
      <c r="AH22" s="26">
        <f t="shared" si="6"/>
        <v>3.9535966892655018E-2</v>
      </c>
      <c r="AI22" s="26">
        <f t="shared" si="7"/>
        <v>0</v>
      </c>
      <c r="AJ22" s="26">
        <f t="shared" si="8"/>
        <v>0.84091895096569513</v>
      </c>
      <c r="AK22" s="26">
        <f t="shared" si="9"/>
        <v>3.8165303303796722E-2</v>
      </c>
      <c r="AL22" s="26">
        <f t="shared" si="10"/>
        <v>1.0358706487527087</v>
      </c>
      <c r="AM22" s="26">
        <f t="shared" si="11"/>
        <v>7.2211120539794255E-2</v>
      </c>
      <c r="AN22" s="26">
        <f t="shared" si="12"/>
        <v>2.8375012458419424E-3</v>
      </c>
      <c r="AO22" s="26">
        <f t="shared" si="13"/>
        <v>4.9130720532261597E-4</v>
      </c>
      <c r="AP22" s="26">
        <f t="shared" si="14"/>
        <v>0</v>
      </c>
      <c r="AQ22" s="26">
        <f t="shared" si="15"/>
        <v>0</v>
      </c>
      <c r="AR22" s="26">
        <f t="shared" si="16"/>
        <v>0</v>
      </c>
      <c r="AS22" s="26">
        <f t="shared" si="17"/>
        <v>4.0059636098425351</v>
      </c>
      <c r="AT22" s="26">
        <f t="shared" si="18"/>
        <v>2.0084872089531394</v>
      </c>
      <c r="AU22" s="26">
        <f t="shared" si="19"/>
        <v>7.5539928990958807E-2</v>
      </c>
      <c r="AV22" s="47"/>
      <c r="AW22" s="26">
        <f t="shared" si="20"/>
        <v>1.9660200978589308</v>
      </c>
      <c r="AX22" s="26">
        <f t="shared" si="21"/>
        <v>6.97117553347991E-3</v>
      </c>
      <c r="AY22" s="26">
        <f t="shared" si="22"/>
        <v>3.9477110371663189E-2</v>
      </c>
      <c r="AZ22" s="26">
        <f t="shared" si="23"/>
        <v>0</v>
      </c>
      <c r="BA22" s="26">
        <f t="shared" si="24"/>
        <v>0.82180289348204105</v>
      </c>
      <c r="BB22" s="26">
        <f t="shared" si="25"/>
        <v>1.7864195754198509E-2</v>
      </c>
      <c r="BC22" s="26">
        <f t="shared" si="26"/>
        <v>3.8108487266360271E-2</v>
      </c>
      <c r="BD22" s="26">
        <f t="shared" si="27"/>
        <v>1.0343285657489296</v>
      </c>
      <c r="BE22" s="26">
        <f t="shared" si="28"/>
        <v>7.2103621073714846E-2</v>
      </c>
      <c r="BF22" s="26">
        <f t="shared" si="29"/>
        <v>2.8332771060329003E-3</v>
      </c>
      <c r="BG22" s="26">
        <f t="shared" si="30"/>
        <v>4.9057580464833823E-4</v>
      </c>
      <c r="BH22" s="26">
        <f t="shared" si="31"/>
        <v>0</v>
      </c>
      <c r="BI22" s="26">
        <f t="shared" si="32"/>
        <v>0</v>
      </c>
      <c r="BJ22" s="26">
        <f t="shared" si="33"/>
        <v>0</v>
      </c>
      <c r="BK22" s="25">
        <f t="shared" si="34"/>
        <v>4</v>
      </c>
      <c r="BL22" s="24">
        <f t="shared" si="35"/>
        <v>6</v>
      </c>
      <c r="BM22" s="26">
        <f t="shared" si="36"/>
        <v>2.0054972082305942</v>
      </c>
      <c r="BN22" s="26">
        <f t="shared" si="37"/>
        <v>7.5427473984396087E-2</v>
      </c>
      <c r="BO22" s="22"/>
      <c r="BP22" s="26">
        <f t="shared" si="38"/>
        <v>0.55193754745237944</v>
      </c>
      <c r="BQ22" s="22"/>
      <c r="BR22" s="22">
        <f t="shared" si="39"/>
        <v>3.6338745572126803E-2</v>
      </c>
      <c r="BS22" s="22">
        <f t="shared" si="40"/>
        <v>0.52128037439766139</v>
      </c>
      <c r="BT22" s="22">
        <f t="shared" si="41"/>
        <v>0.44238088003021186</v>
      </c>
      <c r="BU22" s="1"/>
      <c r="BV22" s="26">
        <f t="shared" si="42"/>
        <v>0.85086551264980026</v>
      </c>
      <c r="BW22" s="26">
        <f t="shared" si="43"/>
        <v>3.0170255383074611E-3</v>
      </c>
      <c r="BX22" s="26">
        <f t="shared" si="44"/>
        <v>1.7085131424087879E-2</v>
      </c>
      <c r="BY22" s="26">
        <f t="shared" si="45"/>
        <v>0</v>
      </c>
      <c r="BZ22" s="26">
        <f t="shared" si="46"/>
        <v>0.36339596381350037</v>
      </c>
      <c r="CA22" s="26">
        <f t="shared" si="47"/>
        <v>1.6492810826050183E-2</v>
      </c>
      <c r="CB22" s="26">
        <f t="shared" si="48"/>
        <v>0.44764267990074441</v>
      </c>
      <c r="CC22" s="26">
        <f t="shared" si="49"/>
        <v>3.1205420827389446E-2</v>
      </c>
      <c r="CD22" s="26">
        <f t="shared" si="50"/>
        <v>1.2262020006453694E-3</v>
      </c>
      <c r="CE22" s="26">
        <f t="shared" si="51"/>
        <v>2.1231422505307856E-4</v>
      </c>
      <c r="CF22" s="26">
        <f t="shared" si="52"/>
        <v>0</v>
      </c>
      <c r="CG22" s="26">
        <f t="shared" si="53"/>
        <v>0</v>
      </c>
      <c r="CH22" s="26">
        <f t="shared" si="54"/>
        <v>0</v>
      </c>
      <c r="CI22" s="26">
        <f t="shared" si="55"/>
        <v>1.7311430612055787</v>
      </c>
      <c r="CJ22" s="26">
        <f t="shared" si="56"/>
        <v>2.5928489069928804</v>
      </c>
      <c r="CK22" s="26">
        <f t="shared" si="57"/>
        <v>2.3106120398936731</v>
      </c>
      <c r="CL22" s="26">
        <f t="shared" si="58"/>
        <v>5.9910679021229001</v>
      </c>
      <c r="CM22" s="1"/>
      <c r="CN22" s="22"/>
      <c r="CO22" s="96"/>
      <c r="CP22" s="14"/>
      <c r="CQ22" s="14"/>
      <c r="CR22" s="14"/>
      <c r="CS22" s="14"/>
      <c r="CT22" s="22"/>
      <c r="CU22" s="14"/>
      <c r="CV22" s="22"/>
      <c r="CW22" s="22"/>
      <c r="CX22" s="14"/>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46"/>
      <c r="FF22" s="46"/>
      <c r="FG22" s="46"/>
      <c r="FH22" s="46"/>
      <c r="FI22" s="46"/>
      <c r="FJ22" s="46"/>
      <c r="FK22" s="46"/>
      <c r="FL22" s="46"/>
      <c r="FM22" s="46"/>
      <c r="FN22" s="46"/>
      <c r="FO22" s="46"/>
    </row>
    <row r="23" spans="1:171" x14ac:dyDescent="0.25">
      <c r="A23" s="5" t="s">
        <v>85</v>
      </c>
      <c r="B23" s="1">
        <v>1325</v>
      </c>
      <c r="C23" s="98" t="s">
        <v>98</v>
      </c>
      <c r="D23" s="98" t="s">
        <v>105</v>
      </c>
      <c r="E23" s="1">
        <v>332</v>
      </c>
      <c r="F23" s="22">
        <v>51.04</v>
      </c>
      <c r="G23" s="22">
        <v>0.441</v>
      </c>
      <c r="H23" s="22">
        <v>0.93400000000000005</v>
      </c>
      <c r="I23" s="22">
        <v>0.02</v>
      </c>
      <c r="J23" s="22">
        <v>24</v>
      </c>
      <c r="K23" s="22">
        <v>1.1180000000000001</v>
      </c>
      <c r="L23" s="22">
        <v>19.2</v>
      </c>
      <c r="M23" s="22">
        <v>1.67</v>
      </c>
      <c r="N23" s="22">
        <v>5.3999999999999999E-2</v>
      </c>
      <c r="O23" s="22">
        <v>0</v>
      </c>
      <c r="P23" s="22">
        <v>0</v>
      </c>
      <c r="Q23" s="22"/>
      <c r="R23" s="22"/>
      <c r="S23" s="22">
        <f t="shared" si="0"/>
        <v>98.477000000000004</v>
      </c>
      <c r="T23" s="3"/>
      <c r="U23" s="22">
        <f t="shared" si="1"/>
        <v>23.682065895354302</v>
      </c>
      <c r="V23" s="22">
        <f t="shared" si="2"/>
        <v>0.35332017049276293</v>
      </c>
      <c r="W23" s="22">
        <f t="shared" si="3"/>
        <v>98.512386065847068</v>
      </c>
      <c r="X23" s="1"/>
      <c r="Y23" s="1"/>
      <c r="Z23" s="1"/>
      <c r="AA23" s="1" t="s">
        <v>186</v>
      </c>
      <c r="AC23" s="1">
        <v>6</v>
      </c>
      <c r="AD23" s="1">
        <v>4</v>
      </c>
      <c r="AE23" s="1"/>
      <c r="AF23" s="26">
        <f t="shared" si="4"/>
        <v>1.9643527236295475</v>
      </c>
      <c r="AG23" s="26">
        <f t="shared" si="5"/>
        <v>1.2765542178698954E-2</v>
      </c>
      <c r="AH23" s="26">
        <f t="shared" si="6"/>
        <v>4.2362909185185663E-2</v>
      </c>
      <c r="AI23" s="26">
        <f t="shared" si="7"/>
        <v>6.0853240239398278E-4</v>
      </c>
      <c r="AJ23" s="26">
        <f t="shared" si="8"/>
        <v>0.77236609469612916</v>
      </c>
      <c r="AK23" s="26">
        <f t="shared" si="9"/>
        <v>3.6440921532620914E-2</v>
      </c>
      <c r="AL23" s="26">
        <f t="shared" si="10"/>
        <v>1.1016278690603845</v>
      </c>
      <c r="AM23" s="26">
        <f t="shared" si="11"/>
        <v>6.8856857405745639E-2</v>
      </c>
      <c r="AN23" s="26">
        <f t="shared" si="12"/>
        <v>4.0291266145147777E-3</v>
      </c>
      <c r="AO23" s="26">
        <f t="shared" si="13"/>
        <v>0</v>
      </c>
      <c r="AP23" s="26">
        <f t="shared" si="14"/>
        <v>0</v>
      </c>
      <c r="AQ23" s="26">
        <f t="shared" si="15"/>
        <v>0</v>
      </c>
      <c r="AR23" s="26">
        <f t="shared" si="16"/>
        <v>0</v>
      </c>
      <c r="AS23" s="26">
        <f t="shared" si="17"/>
        <v>4.003410576705221</v>
      </c>
      <c r="AT23" s="26">
        <f t="shared" si="18"/>
        <v>2.0067156328147333</v>
      </c>
      <c r="AU23" s="26">
        <f t="shared" si="19"/>
        <v>7.2885984020260419E-2</v>
      </c>
      <c r="AV23" s="47"/>
      <c r="AW23" s="26">
        <f t="shared" si="20"/>
        <v>1.9626792565914597</v>
      </c>
      <c r="AX23" s="26">
        <f t="shared" si="21"/>
        <v>1.2754666986172482E-2</v>
      </c>
      <c r="AY23" s="26">
        <f t="shared" si="22"/>
        <v>4.2326819469063845E-2</v>
      </c>
      <c r="AZ23" s="26">
        <f t="shared" si="23"/>
        <v>6.0801398281242565E-4</v>
      </c>
      <c r="BA23" s="26">
        <f t="shared" si="24"/>
        <v>0.76148508875419685</v>
      </c>
      <c r="BB23" s="26">
        <f t="shared" si="25"/>
        <v>1.0223013522718372E-2</v>
      </c>
      <c r="BC23" s="26">
        <f t="shared" si="26"/>
        <v>3.6409876863153556E-2</v>
      </c>
      <c r="BD23" s="26">
        <f t="shared" si="27"/>
        <v>1.1006893726768505</v>
      </c>
      <c r="BE23" s="26">
        <f t="shared" si="28"/>
        <v>6.8798197023713065E-2</v>
      </c>
      <c r="BF23" s="26">
        <f t="shared" si="29"/>
        <v>4.025694129859367E-3</v>
      </c>
      <c r="BG23" s="26">
        <f t="shared" si="30"/>
        <v>0</v>
      </c>
      <c r="BH23" s="26">
        <f t="shared" si="31"/>
        <v>0</v>
      </c>
      <c r="BI23" s="26">
        <f t="shared" si="32"/>
        <v>0</v>
      </c>
      <c r="BJ23" s="26">
        <f t="shared" si="33"/>
        <v>0</v>
      </c>
      <c r="BK23" s="25">
        <f t="shared" si="34"/>
        <v>4.0000000000000009</v>
      </c>
      <c r="BL23" s="24">
        <f t="shared" si="35"/>
        <v>6</v>
      </c>
      <c r="BM23" s="26">
        <f t="shared" si="36"/>
        <v>2.0050060760605235</v>
      </c>
      <c r="BN23" s="26">
        <f t="shared" si="37"/>
        <v>7.2823891153572434E-2</v>
      </c>
      <c r="BO23" s="22"/>
      <c r="BP23" s="26">
        <f t="shared" si="38"/>
        <v>0.58785027613008789</v>
      </c>
      <c r="BQ23" s="22"/>
      <c r="BR23" s="22">
        <f t="shared" si="39"/>
        <v>3.4788634702226581E-2</v>
      </c>
      <c r="BS23" s="22">
        <f t="shared" si="40"/>
        <v>0.55657680234672058</v>
      </c>
      <c r="BT23" s="22">
        <f t="shared" si="41"/>
        <v>0.40863456295105283</v>
      </c>
      <c r="BU23" s="1"/>
      <c r="BV23" s="26">
        <f t="shared" si="42"/>
        <v>0.84953395472703064</v>
      </c>
      <c r="BW23" s="26">
        <f t="shared" si="43"/>
        <v>5.5207811717576365E-3</v>
      </c>
      <c r="BX23" s="26">
        <f t="shared" si="44"/>
        <v>1.8320910160847394E-2</v>
      </c>
      <c r="BY23" s="26">
        <f t="shared" si="45"/>
        <v>2.6317520889532203E-4</v>
      </c>
      <c r="BZ23" s="26">
        <f t="shared" si="46"/>
        <v>0.33402922755741132</v>
      </c>
      <c r="CA23" s="26">
        <f t="shared" si="47"/>
        <v>1.5759797011559065E-2</v>
      </c>
      <c r="CB23" s="26">
        <f t="shared" si="48"/>
        <v>0.47642679900744417</v>
      </c>
      <c r="CC23" s="26">
        <f t="shared" si="49"/>
        <v>2.9778887303851639E-2</v>
      </c>
      <c r="CD23" s="26">
        <f t="shared" si="50"/>
        <v>1.7424975798644724E-3</v>
      </c>
      <c r="CE23" s="26">
        <f t="shared" si="51"/>
        <v>0</v>
      </c>
      <c r="CF23" s="26">
        <f t="shared" si="52"/>
        <v>0</v>
      </c>
      <c r="CG23" s="26">
        <f t="shared" si="53"/>
        <v>0</v>
      </c>
      <c r="CH23" s="26">
        <f t="shared" si="54"/>
        <v>0</v>
      </c>
      <c r="CI23" s="26">
        <f t="shared" si="55"/>
        <v>1.7313760297286616</v>
      </c>
      <c r="CJ23" s="26">
        <f t="shared" si="56"/>
        <v>2.5948515595223891</v>
      </c>
      <c r="CK23" s="26">
        <f t="shared" si="57"/>
        <v>2.3103011311915145</v>
      </c>
      <c r="CL23" s="26">
        <f t="shared" si="58"/>
        <v>5.9948884932386406</v>
      </c>
      <c r="CM23" s="1"/>
      <c r="CN23" s="22"/>
      <c r="CO23" s="96"/>
      <c r="CP23" s="14"/>
      <c r="CQ23" s="14"/>
      <c r="CR23" s="14"/>
      <c r="CS23" s="14"/>
      <c r="CT23" s="22"/>
      <c r="CU23" s="14"/>
      <c r="CV23" s="22"/>
      <c r="CW23" s="22"/>
      <c r="CX23" s="14"/>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46"/>
      <c r="FF23" s="46"/>
      <c r="FG23" s="46"/>
      <c r="FH23" s="46"/>
      <c r="FI23" s="46"/>
      <c r="FJ23" s="46"/>
      <c r="FK23" s="46"/>
      <c r="FL23" s="46"/>
      <c r="FM23" s="46"/>
      <c r="FN23" s="46"/>
      <c r="FO23" s="46"/>
    </row>
    <row r="24" spans="1:171" x14ac:dyDescent="0.25">
      <c r="A24" s="5" t="s">
        <v>85</v>
      </c>
      <c r="B24" s="1">
        <v>1326</v>
      </c>
      <c r="C24" s="98" t="s">
        <v>98</v>
      </c>
      <c r="D24" s="98" t="s">
        <v>105</v>
      </c>
      <c r="E24" s="1">
        <v>333</v>
      </c>
      <c r="F24" s="22">
        <v>52.05</v>
      </c>
      <c r="G24" s="22">
        <v>0.51500000000000001</v>
      </c>
      <c r="H24" s="22">
        <v>1.6950000000000001</v>
      </c>
      <c r="I24" s="22">
        <v>2.7E-2</v>
      </c>
      <c r="J24" s="22">
        <v>17.739999999999998</v>
      </c>
      <c r="K24" s="22">
        <v>0.69599999999999995</v>
      </c>
      <c r="L24" s="22">
        <v>23.11</v>
      </c>
      <c r="M24" s="22">
        <v>2.0299999999999998</v>
      </c>
      <c r="N24" s="22">
        <v>4.3999999999999997E-2</v>
      </c>
      <c r="O24" s="22">
        <v>8.0000000000000002E-3</v>
      </c>
      <c r="P24" s="22">
        <v>0</v>
      </c>
      <c r="Q24" s="22"/>
      <c r="R24" s="22"/>
      <c r="S24" s="22">
        <f t="shared" si="0"/>
        <v>97.914999999999992</v>
      </c>
      <c r="T24" s="3"/>
      <c r="U24" s="22">
        <f t="shared" si="1"/>
        <v>17.739999999999998</v>
      </c>
      <c r="V24" s="22">
        <f t="shared" si="2"/>
        <v>0</v>
      </c>
      <c r="W24" s="22">
        <f t="shared" si="3"/>
        <v>97.914999999999992</v>
      </c>
      <c r="X24" s="1"/>
      <c r="Y24" s="1"/>
      <c r="Z24" s="1"/>
      <c r="AA24" s="1" t="s">
        <v>185</v>
      </c>
      <c r="AC24" s="1">
        <v>6</v>
      </c>
      <c r="AD24" s="1">
        <v>4</v>
      </c>
      <c r="AE24" s="1"/>
      <c r="AF24" s="26">
        <f t="shared" si="4"/>
        <v>1.9518527908453178</v>
      </c>
      <c r="AG24" s="26">
        <f t="shared" si="5"/>
        <v>1.452531043734265E-2</v>
      </c>
      <c r="AH24" s="26">
        <f t="shared" si="6"/>
        <v>7.490764119036622E-2</v>
      </c>
      <c r="AI24" s="26">
        <f t="shared" si="7"/>
        <v>8.0045144867970047E-4</v>
      </c>
      <c r="AJ24" s="26">
        <f t="shared" si="8"/>
        <v>0.5562667394130888</v>
      </c>
      <c r="AK24" s="26">
        <f t="shared" si="9"/>
        <v>2.2104174763399449E-2</v>
      </c>
      <c r="AL24" s="26">
        <f t="shared" si="10"/>
        <v>1.2919661926644463</v>
      </c>
      <c r="AM24" s="26">
        <f t="shared" si="11"/>
        <v>8.1553815263974816E-2</v>
      </c>
      <c r="AN24" s="26">
        <f t="shared" si="12"/>
        <v>3.1988019373826795E-3</v>
      </c>
      <c r="AO24" s="26">
        <f t="shared" si="13"/>
        <v>3.8267080501636454E-4</v>
      </c>
      <c r="AP24" s="26">
        <f t="shared" si="14"/>
        <v>0</v>
      </c>
      <c r="AQ24" s="26">
        <f t="shared" si="15"/>
        <v>0</v>
      </c>
      <c r="AR24" s="26">
        <f t="shared" si="16"/>
        <v>0</v>
      </c>
      <c r="AS24" s="26">
        <f t="shared" si="17"/>
        <v>3.997558588769015</v>
      </c>
      <c r="AT24" s="26">
        <f t="shared" si="18"/>
        <v>2.026760432035684</v>
      </c>
      <c r="AU24" s="26">
        <f t="shared" si="19"/>
        <v>8.5135288006373849E-2</v>
      </c>
      <c r="AV24" s="47"/>
      <c r="AW24" s="26">
        <f t="shared" si="20"/>
        <v>1.9530448372453846</v>
      </c>
      <c r="AX24" s="26">
        <f t="shared" si="21"/>
        <v>1.4534181415778061E-2</v>
      </c>
      <c r="AY24" s="26">
        <f t="shared" si="22"/>
        <v>7.4953389201915702E-2</v>
      </c>
      <c r="AZ24" s="26">
        <f t="shared" si="23"/>
        <v>8.0094030484359881E-4</v>
      </c>
      <c r="BA24" s="26">
        <f t="shared" si="24"/>
        <v>0.55660646573225814</v>
      </c>
      <c r="BB24" s="26">
        <f t="shared" si="25"/>
        <v>0</v>
      </c>
      <c r="BC24" s="26">
        <f t="shared" si="26"/>
        <v>2.2117674348038588E-2</v>
      </c>
      <c r="BD24" s="26">
        <f t="shared" si="27"/>
        <v>1.2927552294484685</v>
      </c>
      <c r="BE24" s="26">
        <f t="shared" si="28"/>
        <v>8.1603622263945866E-2</v>
      </c>
      <c r="BF24" s="26">
        <f t="shared" si="29"/>
        <v>3.2007555275058016E-3</v>
      </c>
      <c r="BG24" s="26">
        <f t="shared" si="30"/>
        <v>3.8290451186027714E-4</v>
      </c>
      <c r="BH24" s="26">
        <f t="shared" si="31"/>
        <v>0</v>
      </c>
      <c r="BI24" s="26">
        <f t="shared" si="32"/>
        <v>0</v>
      </c>
      <c r="BJ24" s="26">
        <f t="shared" si="33"/>
        <v>0</v>
      </c>
      <c r="BK24" s="25">
        <f t="shared" si="34"/>
        <v>3.9999999999999996</v>
      </c>
      <c r="BL24" s="24">
        <f t="shared" si="35"/>
        <v>6.0036643533948588</v>
      </c>
      <c r="BM24" s="26">
        <f t="shared" si="36"/>
        <v>2.0279982264473002</v>
      </c>
      <c r="BN24" s="26">
        <f t="shared" si="37"/>
        <v>8.5187282303311948E-2</v>
      </c>
      <c r="BO24" s="22"/>
      <c r="BP24" s="26">
        <f t="shared" si="38"/>
        <v>0.69902779581586161</v>
      </c>
      <c r="BQ24" s="22"/>
      <c r="BR24" s="22">
        <f t="shared" si="39"/>
        <v>4.1781953253836338E-2</v>
      </c>
      <c r="BS24" s="22">
        <f t="shared" si="40"/>
        <v>0.66190491386229533</v>
      </c>
      <c r="BT24" s="22">
        <f t="shared" si="41"/>
        <v>0.29631313288386835</v>
      </c>
      <c r="BU24" s="1"/>
      <c r="BV24" s="26">
        <f t="shared" si="42"/>
        <v>0.86634487350199729</v>
      </c>
      <c r="BW24" s="26">
        <f t="shared" si="43"/>
        <v>6.4471707561342016E-3</v>
      </c>
      <c r="BX24" s="26">
        <f t="shared" si="44"/>
        <v>3.3248332679482157E-2</v>
      </c>
      <c r="BY24" s="26">
        <f t="shared" si="45"/>
        <v>3.5528653200868473E-4</v>
      </c>
      <c r="BZ24" s="26">
        <f t="shared" si="46"/>
        <v>0.24690327070285317</v>
      </c>
      <c r="CA24" s="26">
        <f t="shared" si="47"/>
        <v>9.8111079785734422E-3</v>
      </c>
      <c r="CB24" s="26">
        <f t="shared" si="48"/>
        <v>0.57344913151364763</v>
      </c>
      <c r="CC24" s="26">
        <f t="shared" si="49"/>
        <v>3.6198288159771753E-2</v>
      </c>
      <c r="CD24" s="26">
        <f t="shared" si="50"/>
        <v>1.4198128428525331E-3</v>
      </c>
      <c r="CE24" s="26">
        <f t="shared" si="51"/>
        <v>1.6985138004246286E-4</v>
      </c>
      <c r="CF24" s="26">
        <f t="shared" si="52"/>
        <v>0</v>
      </c>
      <c r="CG24" s="26">
        <f t="shared" si="53"/>
        <v>0</v>
      </c>
      <c r="CH24" s="26">
        <f t="shared" si="54"/>
        <v>0</v>
      </c>
      <c r="CI24" s="26">
        <f t="shared" si="55"/>
        <v>1.7743471260473636</v>
      </c>
      <c r="CJ24" s="26">
        <f t="shared" si="56"/>
        <v>2.6631461477997931</v>
      </c>
      <c r="CK24" s="26">
        <f t="shared" si="57"/>
        <v>2.2543503135773815</v>
      </c>
      <c r="CL24" s="26">
        <f t="shared" si="58"/>
        <v>6.0036643533948588</v>
      </c>
      <c r="CM24" s="1"/>
      <c r="CN24" s="22">
        <v>17.686783728160439</v>
      </c>
      <c r="CO24" s="96">
        <v>196.67289461124486</v>
      </c>
      <c r="CP24" s="14">
        <v>138032.89441861009</v>
      </c>
      <c r="CQ24" s="14">
        <v>9598.7673239040378</v>
      </c>
      <c r="CR24" s="14">
        <v>244851.77801997648</v>
      </c>
      <c r="CS24" s="14">
        <v>12159.145554364164</v>
      </c>
      <c r="CT24" s="22">
        <v>63.985240796750908</v>
      </c>
      <c r="CU24" s="14">
        <v>2511.2750833844029</v>
      </c>
      <c r="CV24" s="22">
        <v>74.589919823284234</v>
      </c>
      <c r="CW24" s="22">
        <v>1.5020209761313164</v>
      </c>
      <c r="CX24" s="14">
        <v>5166.6270231238695</v>
      </c>
      <c r="CY24" s="22">
        <v>50.243143058360545</v>
      </c>
      <c r="CZ24" s="22">
        <v>0</v>
      </c>
      <c r="DA24" s="22">
        <v>1.7638684723771096</v>
      </c>
      <c r="DB24" s="22">
        <v>254.92154823657253</v>
      </c>
      <c r="DC24" s="22">
        <v>1.6042027994771997</v>
      </c>
      <c r="DD24" s="22">
        <v>0</v>
      </c>
      <c r="DE24" s="22">
        <v>0.7938304933858783</v>
      </c>
      <c r="DF24" s="22">
        <v>9.6683630215931462</v>
      </c>
      <c r="DG24" s="22">
        <v>6.5070035158692781</v>
      </c>
      <c r="DH24" s="22">
        <v>0</v>
      </c>
      <c r="DI24" s="22">
        <v>0.31029461126911928</v>
      </c>
      <c r="DJ24" s="22">
        <v>2.9141968728101442</v>
      </c>
      <c r="DK24" s="22">
        <v>9.9806286784988887E-2</v>
      </c>
      <c r="DL24" s="22">
        <v>0.56106784187952685</v>
      </c>
      <c r="DM24" s="22">
        <v>9.6218987389591615E-2</v>
      </c>
      <c r="DN24" s="22">
        <v>0.61007220817954755</v>
      </c>
      <c r="DO24" s="22">
        <v>0.16142977450720711</v>
      </c>
      <c r="DP24" s="22">
        <v>6.1511606700627185E-2</v>
      </c>
      <c r="DQ24" s="22">
        <v>0.55752961102691423</v>
      </c>
      <c r="DR24" s="22">
        <v>8.8200073313967245E-2</v>
      </c>
      <c r="DS24" s="22">
        <v>1.3535275237438325</v>
      </c>
      <c r="DT24" s="22">
        <v>0.40551967664554972</v>
      </c>
      <c r="DU24" s="22">
        <v>1.5063717253624456</v>
      </c>
      <c r="DV24" s="22">
        <v>0.2295175517626305</v>
      </c>
      <c r="DW24" s="22">
        <v>1.9407117908418552</v>
      </c>
      <c r="DX24" s="22">
        <v>0.31937323972766901</v>
      </c>
      <c r="DY24" s="22">
        <v>0.46951459987361122</v>
      </c>
      <c r="DZ24" s="22">
        <v>0</v>
      </c>
      <c r="EA24" s="22">
        <v>0.96356070715922593</v>
      </c>
      <c r="EB24" s="22">
        <v>0.11638312861285009</v>
      </c>
      <c r="EC24" s="22">
        <v>2.5934933841355724E-3</v>
      </c>
      <c r="ED24" s="22">
        <f>(DP24/0.05883)/SQRT((DO24/0.1536)*(DQ24/0.2069))</f>
        <v>0.62130991852219886</v>
      </c>
      <c r="EE24" s="22"/>
      <c r="EF24" s="22"/>
      <c r="EG24" s="22"/>
      <c r="EH24" s="22"/>
      <c r="EI24" s="22"/>
      <c r="EJ24" s="22"/>
      <c r="EK24" s="22"/>
      <c r="EL24" s="22"/>
      <c r="EM24" s="22"/>
      <c r="EN24" s="22"/>
      <c r="EO24" s="22"/>
      <c r="EP24" s="22"/>
      <c r="EQ24" s="22"/>
      <c r="ER24" s="22">
        <f>3.073297 -6.710523 * BP24 +N("opx mg#")</f>
        <v>-1.6175451014616433</v>
      </c>
      <c r="ES24" s="22" t="e">
        <f>-3.726231 -0.216482*LN(#REF!) + N("31 liquid mgo, liq MgO calculated from equilibrium Fe/Mg of liquid from opx composition, then regression of literature MgO vs Fe/Mg")</f>
        <v>#REF!</v>
      </c>
      <c r="ET24" s="22"/>
      <c r="EU24" s="22"/>
      <c r="EV24" s="22">
        <f>10.033975 - 17.897808 * BP24 + N("66 mg#   R2 0.46")</f>
        <v>-2.4770902761754954</v>
      </c>
      <c r="EW24" s="22">
        <f>7.162348 - 16.15931 * BP24 + N("38d mg# r2 0.38")</f>
        <v>-4.1334588512052122</v>
      </c>
      <c r="EX24" s="22">
        <f>4.451575 - 11.66175 * BP24 + N("mg#")</f>
        <v>-3.7003123978556243</v>
      </c>
      <c r="EY24" s="22"/>
      <c r="EZ24" s="22">
        <f>5.675764 - 12.3354 * BP24 + N("mg#")</f>
        <v>-2.9470234725069799</v>
      </c>
      <c r="FA24" s="22">
        <f>5.273598 - 11.10504 * BP24 + N("mg#")</f>
        <v>-2.4891336336469765</v>
      </c>
      <c r="FB24" s="22">
        <f>6.313568 - 12.50612 * BP24 + N("mg#")</f>
        <v>-2.4285574978086633</v>
      </c>
      <c r="FC24" s="22">
        <f>6.81086 - 13.3177 * BP24 + N("mg#")</f>
        <v>-2.4985824763368996</v>
      </c>
      <c r="FD24" s="22">
        <f>8.616762 - 14.50395 * BP24 + N("mg#")</f>
        <v>-1.5219021991234669</v>
      </c>
      <c r="FE24" s="46"/>
      <c r="FF24" s="46"/>
      <c r="FG24" s="46"/>
      <c r="FH24" s="46"/>
      <c r="FI24" s="46"/>
      <c r="FJ24" s="46"/>
      <c r="FK24" s="46"/>
      <c r="FL24" s="46"/>
      <c r="FM24" s="46"/>
      <c r="FN24" s="46"/>
      <c r="FO24" s="46"/>
    </row>
    <row r="25" spans="1:171" x14ac:dyDescent="0.25">
      <c r="A25" s="5" t="s">
        <v>85</v>
      </c>
      <c r="B25" s="1">
        <v>1337</v>
      </c>
      <c r="C25" s="98" t="s">
        <v>98</v>
      </c>
      <c r="D25" s="98" t="s">
        <v>105</v>
      </c>
      <c r="E25" s="1">
        <v>344</v>
      </c>
      <c r="F25" s="22">
        <v>51.53</v>
      </c>
      <c r="G25" s="22">
        <v>0.51400000000000001</v>
      </c>
      <c r="H25" s="22">
        <v>2.72</v>
      </c>
      <c r="I25" s="22">
        <v>1.7000000000000001E-2</v>
      </c>
      <c r="J25" s="22">
        <v>18.84</v>
      </c>
      <c r="K25" s="22">
        <v>0.68500000000000005</v>
      </c>
      <c r="L25" s="22">
        <v>23.11</v>
      </c>
      <c r="M25" s="22">
        <v>1.82</v>
      </c>
      <c r="N25" s="22">
        <v>2.4E-2</v>
      </c>
      <c r="O25" s="22">
        <v>0</v>
      </c>
      <c r="P25" s="22">
        <v>0</v>
      </c>
      <c r="Q25" s="22"/>
      <c r="R25" s="22"/>
      <c r="S25" s="22">
        <f t="shared" si="0"/>
        <v>99.26</v>
      </c>
      <c r="T25" s="3"/>
      <c r="U25" s="22">
        <f t="shared" si="1"/>
        <v>17.748149586490637</v>
      </c>
      <c r="V25" s="22">
        <f t="shared" si="2"/>
        <v>1.2133733645329554</v>
      </c>
      <c r="W25" s="22">
        <f t="shared" si="3"/>
        <v>99.381522951023598</v>
      </c>
      <c r="X25" s="1">
        <v>1</v>
      </c>
      <c r="Y25" s="1"/>
      <c r="Z25" s="1"/>
      <c r="AA25" s="1" t="s">
        <v>185</v>
      </c>
      <c r="AC25" s="1">
        <v>6</v>
      </c>
      <c r="AD25" s="1">
        <v>4</v>
      </c>
      <c r="AE25" s="1"/>
      <c r="AF25" s="26">
        <f t="shared" si="4"/>
        <v>1.915359131897316</v>
      </c>
      <c r="AG25" s="26">
        <f t="shared" si="5"/>
        <v>1.4369612636307665E-2</v>
      </c>
      <c r="AH25" s="26">
        <f t="shared" si="6"/>
        <v>0.11914863493030978</v>
      </c>
      <c r="AI25" s="26">
        <f t="shared" si="7"/>
        <v>4.9955567872452065E-4</v>
      </c>
      <c r="AJ25" s="26">
        <f t="shared" si="8"/>
        <v>0.58556367012974897</v>
      </c>
      <c r="AK25" s="26">
        <f t="shared" si="9"/>
        <v>2.1563506572413241E-2</v>
      </c>
      <c r="AL25" s="26">
        <f t="shared" si="10"/>
        <v>1.280604128194311</v>
      </c>
      <c r="AM25" s="26">
        <f t="shared" si="11"/>
        <v>7.247419183152147E-2</v>
      </c>
      <c r="AN25" s="26">
        <f t="shared" si="12"/>
        <v>1.7294565824119334E-3</v>
      </c>
      <c r="AO25" s="26">
        <f t="shared" si="13"/>
        <v>0</v>
      </c>
      <c r="AP25" s="26">
        <f t="shared" si="14"/>
        <v>0</v>
      </c>
      <c r="AQ25" s="26">
        <f t="shared" si="15"/>
        <v>0</v>
      </c>
      <c r="AR25" s="26">
        <f t="shared" si="16"/>
        <v>0</v>
      </c>
      <c r="AS25" s="26">
        <f t="shared" si="17"/>
        <v>4.011311888453065</v>
      </c>
      <c r="AT25" s="26">
        <f t="shared" si="18"/>
        <v>2.0345077668276259</v>
      </c>
      <c r="AU25" s="26">
        <f t="shared" si="19"/>
        <v>7.4203648413933398E-2</v>
      </c>
      <c r="AV25" s="47"/>
      <c r="AW25" s="26">
        <f t="shared" si="20"/>
        <v>1.909957824432307</v>
      </c>
      <c r="AX25" s="26">
        <f t="shared" si="21"/>
        <v>1.4329090368337535E-2</v>
      </c>
      <c r="AY25" s="26">
        <f t="shared" si="22"/>
        <v>0.11881263610869076</v>
      </c>
      <c r="AZ25" s="26">
        <f t="shared" si="23"/>
        <v>4.9814693308943469E-4</v>
      </c>
      <c r="BA25" s="26">
        <f t="shared" si="24"/>
        <v>0.55007241531975315</v>
      </c>
      <c r="BB25" s="26">
        <f t="shared" si="25"/>
        <v>3.3839966876553884E-2</v>
      </c>
      <c r="BC25" s="26">
        <f t="shared" si="26"/>
        <v>2.1502697543400506E-2</v>
      </c>
      <c r="BD25" s="26">
        <f t="shared" si="27"/>
        <v>1.2769928280876384</v>
      </c>
      <c r="BE25" s="26">
        <f t="shared" si="28"/>
        <v>7.2269814810606167E-2</v>
      </c>
      <c r="BF25" s="26">
        <f t="shared" si="29"/>
        <v>1.7245795196233287E-3</v>
      </c>
      <c r="BG25" s="26">
        <f t="shared" si="30"/>
        <v>0</v>
      </c>
      <c r="BH25" s="26">
        <f t="shared" si="31"/>
        <v>0</v>
      </c>
      <c r="BI25" s="26">
        <f t="shared" si="32"/>
        <v>0</v>
      </c>
      <c r="BJ25" s="26">
        <f t="shared" si="33"/>
        <v>0</v>
      </c>
      <c r="BK25" s="25">
        <f t="shared" si="34"/>
        <v>3.9999999999999996</v>
      </c>
      <c r="BL25" s="24">
        <f t="shared" si="35"/>
        <v>6</v>
      </c>
      <c r="BM25" s="26">
        <f t="shared" si="36"/>
        <v>2.028770460540998</v>
      </c>
      <c r="BN25" s="26">
        <f t="shared" si="37"/>
        <v>7.3994394330229502E-2</v>
      </c>
      <c r="BO25" s="22"/>
      <c r="BP25" s="26">
        <f t="shared" si="38"/>
        <v>0.68622131908201223</v>
      </c>
      <c r="BQ25" s="22"/>
      <c r="BR25" s="22">
        <f t="shared" si="39"/>
        <v>3.6972752067319731E-2</v>
      </c>
      <c r="BS25" s="22">
        <f t="shared" si="40"/>
        <v>0.65330095764546892</v>
      </c>
      <c r="BT25" s="22">
        <f t="shared" si="41"/>
        <v>0.30972629028721133</v>
      </c>
      <c r="BU25" s="1"/>
      <c r="BV25" s="26">
        <f t="shared" si="42"/>
        <v>0.8576897470039947</v>
      </c>
      <c r="BW25" s="26">
        <f t="shared" si="43"/>
        <v>6.4346519779669509E-3</v>
      </c>
      <c r="BX25" s="26">
        <f t="shared" si="44"/>
        <v>5.3354256571204399E-2</v>
      </c>
      <c r="BY25" s="26">
        <f t="shared" si="45"/>
        <v>2.2369892756102374E-4</v>
      </c>
      <c r="BZ25" s="26">
        <f t="shared" si="46"/>
        <v>0.26221294363256786</v>
      </c>
      <c r="CA25" s="26">
        <f t="shared" si="47"/>
        <v>9.6560473639695533E-3</v>
      </c>
      <c r="CB25" s="26">
        <f t="shared" si="48"/>
        <v>0.57344913151364763</v>
      </c>
      <c r="CC25" s="26">
        <f t="shared" si="49"/>
        <v>3.2453637660485021E-2</v>
      </c>
      <c r="CD25" s="26">
        <f t="shared" si="50"/>
        <v>7.7444336882865445E-4</v>
      </c>
      <c r="CE25" s="26">
        <f t="shared" si="51"/>
        <v>0</v>
      </c>
      <c r="CF25" s="26">
        <f t="shared" si="52"/>
        <v>0</v>
      </c>
      <c r="CG25" s="26">
        <f t="shared" si="53"/>
        <v>0</v>
      </c>
      <c r="CH25" s="26">
        <f t="shared" si="54"/>
        <v>0</v>
      </c>
      <c r="CI25" s="26">
        <f t="shared" si="55"/>
        <v>1.7962485580202256</v>
      </c>
      <c r="CJ25" s="26">
        <f t="shared" si="56"/>
        <v>2.6867747130671562</v>
      </c>
      <c r="CK25" s="26">
        <f t="shared" si="57"/>
        <v>2.226863304713623</v>
      </c>
      <c r="CL25" s="26">
        <f t="shared" si="58"/>
        <v>5.9830800165617237</v>
      </c>
      <c r="CM25" s="1"/>
      <c r="CN25" s="22"/>
      <c r="CO25" s="96"/>
      <c r="CP25" s="14"/>
      <c r="CQ25" s="14"/>
      <c r="CR25" s="14"/>
      <c r="CS25" s="14"/>
      <c r="CT25" s="22"/>
      <c r="CU25" s="14"/>
      <c r="CV25" s="22"/>
      <c r="CW25" s="22"/>
      <c r="CX25" s="14"/>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46"/>
      <c r="FF25" s="46"/>
      <c r="FG25" s="46"/>
      <c r="FH25" s="46"/>
      <c r="FI25" s="46"/>
      <c r="FJ25" s="46"/>
      <c r="FK25" s="46"/>
      <c r="FL25" s="46"/>
      <c r="FM25" s="46"/>
      <c r="FN25" s="46"/>
      <c r="FO25" s="46"/>
    </row>
    <row r="26" spans="1:171" x14ac:dyDescent="0.25">
      <c r="A26" s="5" t="s">
        <v>85</v>
      </c>
      <c r="B26" s="1">
        <v>1340</v>
      </c>
      <c r="C26" s="98" t="s">
        <v>98</v>
      </c>
      <c r="D26" s="98" t="s">
        <v>105</v>
      </c>
      <c r="E26" s="1">
        <v>347</v>
      </c>
      <c r="F26" s="22">
        <v>52.31</v>
      </c>
      <c r="G26" s="22">
        <v>0.34699999999999998</v>
      </c>
      <c r="H26" s="22">
        <v>1.4039999999999999</v>
      </c>
      <c r="I26" s="22">
        <v>0</v>
      </c>
      <c r="J26" s="22">
        <v>17.78</v>
      </c>
      <c r="K26" s="22">
        <v>0.628</v>
      </c>
      <c r="L26" s="22">
        <v>24.18</v>
      </c>
      <c r="M26" s="22">
        <v>1.63</v>
      </c>
      <c r="N26" s="22">
        <v>3.5000000000000003E-2</v>
      </c>
      <c r="O26" s="22">
        <v>0</v>
      </c>
      <c r="P26" s="22">
        <v>0</v>
      </c>
      <c r="Q26" s="22"/>
      <c r="R26" s="22"/>
      <c r="S26" s="22">
        <f t="shared" si="0"/>
        <v>98.313999999999993</v>
      </c>
      <c r="T26" s="3"/>
      <c r="U26" s="22">
        <f t="shared" si="1"/>
        <v>16.873217185636221</v>
      </c>
      <c r="V26" s="22">
        <f t="shared" si="2"/>
        <v>1.0077077416024671</v>
      </c>
      <c r="W26" s="22">
        <f t="shared" si="3"/>
        <v>98.414924927238701</v>
      </c>
      <c r="X26" s="1"/>
      <c r="Y26" s="1"/>
      <c r="Z26" s="1"/>
      <c r="AA26" s="1" t="s">
        <v>185</v>
      </c>
      <c r="AC26" s="1">
        <v>6</v>
      </c>
      <c r="AD26" s="1">
        <v>4</v>
      </c>
      <c r="AE26" s="1"/>
      <c r="AF26" s="26">
        <f t="shared" si="4"/>
        <v>1.9512425885826412</v>
      </c>
      <c r="AG26" s="26">
        <f t="shared" si="5"/>
        <v>9.7352674941847024E-3</v>
      </c>
      <c r="AH26" s="26">
        <f t="shared" si="6"/>
        <v>6.1719691571391247E-2</v>
      </c>
      <c r="AI26" s="26">
        <f t="shared" si="7"/>
        <v>0</v>
      </c>
      <c r="AJ26" s="26">
        <f t="shared" si="8"/>
        <v>0.55457648988557773</v>
      </c>
      <c r="AK26" s="26">
        <f t="shared" si="9"/>
        <v>1.9839235378904349E-2</v>
      </c>
      <c r="AL26" s="26">
        <f t="shared" si="10"/>
        <v>1.3446452462861223</v>
      </c>
      <c r="AM26" s="26">
        <f t="shared" si="11"/>
        <v>6.5138247487113013E-2</v>
      </c>
      <c r="AN26" s="26">
        <f t="shared" si="12"/>
        <v>2.5310629030877853E-3</v>
      </c>
      <c r="AO26" s="26">
        <f t="shared" si="13"/>
        <v>0</v>
      </c>
      <c r="AP26" s="26">
        <f t="shared" si="14"/>
        <v>0</v>
      </c>
      <c r="AQ26" s="26">
        <f t="shared" si="15"/>
        <v>0</v>
      </c>
      <c r="AR26" s="26">
        <f t="shared" si="16"/>
        <v>0</v>
      </c>
      <c r="AS26" s="26">
        <f t="shared" si="17"/>
        <v>4.009427829589022</v>
      </c>
      <c r="AT26" s="26">
        <f t="shared" si="18"/>
        <v>2.0129622801540323</v>
      </c>
      <c r="AU26" s="26">
        <f t="shared" si="19"/>
        <v>6.7669310390200799E-2</v>
      </c>
      <c r="AV26" s="47"/>
      <c r="AW26" s="26">
        <f t="shared" si="20"/>
        <v>1.9466544070779785</v>
      </c>
      <c r="AX26" s="26">
        <f t="shared" si="21"/>
        <v>9.7123758381081476E-3</v>
      </c>
      <c r="AY26" s="26">
        <f t="shared" si="22"/>
        <v>6.1574562949764024E-2</v>
      </c>
      <c r="AZ26" s="26">
        <f t="shared" si="23"/>
        <v>0</v>
      </c>
      <c r="BA26" s="26">
        <f t="shared" si="24"/>
        <v>0.52505546774982947</v>
      </c>
      <c r="BB26" s="26">
        <f t="shared" si="25"/>
        <v>2.8216982541336755E-2</v>
      </c>
      <c r="BC26" s="26">
        <f t="shared" si="26"/>
        <v>1.9792585099044347E-2</v>
      </c>
      <c r="BD26" s="26">
        <f t="shared" si="27"/>
        <v>1.3414834269995599</v>
      </c>
      <c r="BE26" s="26">
        <f t="shared" si="28"/>
        <v>6.498508042110325E-2</v>
      </c>
      <c r="BF26" s="26">
        <f t="shared" si="29"/>
        <v>2.5251113232754971E-3</v>
      </c>
      <c r="BG26" s="26">
        <f t="shared" si="30"/>
        <v>0</v>
      </c>
      <c r="BH26" s="26">
        <f t="shared" si="31"/>
        <v>0</v>
      </c>
      <c r="BI26" s="26">
        <f t="shared" si="32"/>
        <v>0</v>
      </c>
      <c r="BJ26" s="26">
        <f t="shared" si="33"/>
        <v>0</v>
      </c>
      <c r="BK26" s="25">
        <f t="shared" si="34"/>
        <v>3.9999999999999996</v>
      </c>
      <c r="BL26" s="24">
        <f t="shared" si="35"/>
        <v>5.9999999999999991</v>
      </c>
      <c r="BM26" s="26">
        <f t="shared" si="36"/>
        <v>2.0082289700277425</v>
      </c>
      <c r="BN26" s="26">
        <f t="shared" si="37"/>
        <v>6.751019174437875E-2</v>
      </c>
      <c r="BO26" s="22"/>
      <c r="BP26" s="26">
        <f t="shared" si="38"/>
        <v>0.70799802923304322</v>
      </c>
      <c r="BQ26" s="22"/>
      <c r="BR26" s="22">
        <f t="shared" si="39"/>
        <v>3.2828481566837472E-2</v>
      </c>
      <c r="BS26" s="22">
        <f t="shared" si="40"/>
        <v>0.67767653236867953</v>
      </c>
      <c r="BT26" s="22">
        <f t="shared" si="41"/>
        <v>0.28949498606448298</v>
      </c>
      <c r="BU26" s="1"/>
      <c r="BV26" s="26">
        <f t="shared" si="42"/>
        <v>0.8706724367509987</v>
      </c>
      <c r="BW26" s="26">
        <f t="shared" si="43"/>
        <v>4.3440160240360544E-3</v>
      </c>
      <c r="BX26" s="26">
        <f t="shared" si="44"/>
        <v>2.7540211847783446E-2</v>
      </c>
      <c r="BY26" s="26">
        <f t="shared" si="45"/>
        <v>0</v>
      </c>
      <c r="BZ26" s="26">
        <f t="shared" si="46"/>
        <v>0.24745998608211556</v>
      </c>
      <c r="CA26" s="26">
        <f t="shared" si="47"/>
        <v>8.8525514519312096E-3</v>
      </c>
      <c r="CB26" s="26">
        <f t="shared" si="48"/>
        <v>0.60000000000000009</v>
      </c>
      <c r="CC26" s="26">
        <f t="shared" si="49"/>
        <v>2.9065620542082737E-2</v>
      </c>
      <c r="CD26" s="26">
        <f t="shared" si="50"/>
        <v>1.1293965795417878E-3</v>
      </c>
      <c r="CE26" s="26">
        <f t="shared" si="51"/>
        <v>0</v>
      </c>
      <c r="CF26" s="26">
        <f t="shared" si="52"/>
        <v>0</v>
      </c>
      <c r="CG26" s="26">
        <f t="shared" si="53"/>
        <v>0</v>
      </c>
      <c r="CH26" s="26">
        <f t="shared" si="54"/>
        <v>0</v>
      </c>
      <c r="CI26" s="26">
        <f t="shared" si="55"/>
        <v>1.7890642192784896</v>
      </c>
      <c r="CJ26" s="26">
        <f t="shared" si="56"/>
        <v>2.677286079687645</v>
      </c>
      <c r="CK26" s="26">
        <f t="shared" si="57"/>
        <v>2.2358057116659329</v>
      </c>
      <c r="CL26" s="26">
        <f t="shared" si="58"/>
        <v>5.9858915087293303</v>
      </c>
      <c r="CM26" s="1"/>
      <c r="CN26" s="22">
        <v>13.362943782260878</v>
      </c>
      <c r="CO26" s="96">
        <v>183.57899498214394</v>
      </c>
      <c r="CP26" s="14">
        <v>145653.46113442568</v>
      </c>
      <c r="CQ26" s="14">
        <v>8861.5822442772769</v>
      </c>
      <c r="CR26" s="14">
        <v>244623.15621147433</v>
      </c>
      <c r="CS26" s="14">
        <v>11508.107656099279</v>
      </c>
      <c r="CT26" s="22">
        <v>63.804470235930616</v>
      </c>
      <c r="CU26" s="14">
        <v>2372.7009934005673</v>
      </c>
      <c r="CV26" s="22">
        <v>65.029817612987699</v>
      </c>
      <c r="CW26" s="22">
        <v>0</v>
      </c>
      <c r="CX26" s="14">
        <v>4933.4781955505432</v>
      </c>
      <c r="CY26" s="22">
        <v>46.799101680529596</v>
      </c>
      <c r="CZ26" s="22">
        <v>19.878484983083116</v>
      </c>
      <c r="DA26" s="22">
        <v>1.534880020926406</v>
      </c>
      <c r="DB26" s="22">
        <v>229.66103041963802</v>
      </c>
      <c r="DC26" s="22">
        <v>0</v>
      </c>
      <c r="DD26" s="22">
        <v>0</v>
      </c>
      <c r="DE26" s="22">
        <v>0.26948128920071246</v>
      </c>
      <c r="DF26" s="22">
        <v>8.2642197318868735</v>
      </c>
      <c r="DG26" s="22">
        <v>4.165139367951074</v>
      </c>
      <c r="DH26" s="22">
        <v>0</v>
      </c>
      <c r="DI26" s="22">
        <v>5.4121487183982381E-2</v>
      </c>
      <c r="DJ26" s="22">
        <v>0.44027982235707019</v>
      </c>
      <c r="DK26" s="22">
        <v>1.3227894428745234E-2</v>
      </c>
      <c r="DL26" s="22">
        <v>9.2213655241302428E-2</v>
      </c>
      <c r="DM26" s="22">
        <v>1.8118608113688726E-2</v>
      </c>
      <c r="DN26" s="22">
        <v>0.22571553387596707</v>
      </c>
      <c r="DO26" s="22">
        <v>0.36736155538719822</v>
      </c>
      <c r="DP26" s="22">
        <v>8.6256348210058328E-2</v>
      </c>
      <c r="DQ26" s="22">
        <v>0.47612750119356978</v>
      </c>
      <c r="DR26" s="22">
        <v>0.11823734089198579</v>
      </c>
      <c r="DS26" s="22">
        <v>0.96540628993366484</v>
      </c>
      <c r="DT26" s="22">
        <v>0.34512994438809513</v>
      </c>
      <c r="DU26" s="22">
        <v>1.2500177202805727</v>
      </c>
      <c r="DV26" s="22">
        <v>0.17404421243513862</v>
      </c>
      <c r="DW26" s="22">
        <v>1.8715010452626499</v>
      </c>
      <c r="DX26" s="22">
        <v>0.33018081911794295</v>
      </c>
      <c r="DY26" s="22">
        <v>0.17205701450783834</v>
      </c>
      <c r="DZ26" s="22">
        <v>0</v>
      </c>
      <c r="EA26" s="22">
        <v>2.3041434383712155E-2</v>
      </c>
      <c r="EB26" s="22">
        <v>1.2880048610188695E-2</v>
      </c>
      <c r="EC26" s="22">
        <v>2.0410517764220082E-3</v>
      </c>
      <c r="ED26" s="22">
        <f>(DP26/0.05883)/SQRT((DO26/0.1536)*(DQ26/0.2069))</f>
        <v>0.62497059813709432</v>
      </c>
      <c r="EE26" s="22"/>
      <c r="EF26" s="22"/>
      <c r="EG26" s="22"/>
      <c r="EH26" s="22"/>
      <c r="EI26" s="22"/>
      <c r="EJ26" s="22"/>
      <c r="EK26" s="22"/>
      <c r="EL26" s="22"/>
      <c r="EM26" s="22"/>
      <c r="EN26" s="22"/>
      <c r="EO26" s="22"/>
      <c r="EP26" s="22"/>
      <c r="EQ26" s="22"/>
      <c r="ER26" s="22">
        <f>3.073297 -6.710523 * BP26 +N("opx mg#")</f>
        <v>-1.6777400591230087</v>
      </c>
      <c r="ES26" s="22" t="e">
        <f>-3.726231 -0.216482*LN(#REF!) + N("31 liquid mgo, liq MgO calculated from equilibrium Fe/Mg of liquid from opx composition, then regression of literature MgO vs Fe/Mg")</f>
        <v>#REF!</v>
      </c>
      <c r="ET26" s="22"/>
      <c r="EU26" s="22"/>
      <c r="EV26" s="22">
        <f>10.033975 - 17.897808 * BP26 + N("66 mg#   R2 0.46")</f>
        <v>-2.6376377915913967</v>
      </c>
      <c r="EW26" s="22">
        <f>7.162348 - 16.15931 * BP26 + N("38d mg# r2 0.38")</f>
        <v>-4.2784116337658098</v>
      </c>
      <c r="EX26" s="22">
        <f>4.451575 - 11.66175 * BP26 + N("mg#")</f>
        <v>-3.8049210174084411</v>
      </c>
      <c r="EY26" s="22"/>
      <c r="EZ26" s="22">
        <f>5.675764 - 12.3354 * BP26 + N("mg#")</f>
        <v>-3.0576748898012811</v>
      </c>
      <c r="FA26" s="22">
        <f>5.273598 - 11.10504 * BP26 + N("mg#")</f>
        <v>-2.5887484345541152</v>
      </c>
      <c r="FB26" s="22">
        <f>6.313568 - 12.50612 * BP26 + N("mg#")</f>
        <v>-2.5407403133519466</v>
      </c>
      <c r="FC26" s="22">
        <f>6.81086 - 13.3177 * BP26 + N("mg#")</f>
        <v>-2.6180453539168997</v>
      </c>
      <c r="FD26" s="22">
        <f>8.616762 - 14.50395 * BP26 + N("mg#")</f>
        <v>-1.6520060160945977</v>
      </c>
      <c r="FE26" s="46"/>
      <c r="FF26" s="46"/>
      <c r="FG26" s="46"/>
      <c r="FH26" s="46"/>
      <c r="FI26" s="46"/>
      <c r="FJ26" s="46"/>
      <c r="FK26" s="46"/>
      <c r="FL26" s="46"/>
      <c r="FM26" s="46"/>
      <c r="FN26" s="46"/>
      <c r="FO26" s="46"/>
    </row>
    <row r="27" spans="1:171" x14ac:dyDescent="0.25">
      <c r="A27" s="5" t="s">
        <v>85</v>
      </c>
      <c r="B27" s="1">
        <v>1344</v>
      </c>
      <c r="C27" s="98" t="s">
        <v>98</v>
      </c>
      <c r="D27" s="98" t="s">
        <v>105</v>
      </c>
      <c r="E27" s="1">
        <v>351</v>
      </c>
      <c r="F27" s="22">
        <v>52.1</v>
      </c>
      <c r="G27" s="22">
        <v>0.40100000000000002</v>
      </c>
      <c r="H27" s="22">
        <v>1.4259999999999999</v>
      </c>
      <c r="I27" s="22">
        <v>0</v>
      </c>
      <c r="J27" s="22">
        <v>18.809999999999999</v>
      </c>
      <c r="K27" s="22">
        <v>0.67200000000000004</v>
      </c>
      <c r="L27" s="22">
        <v>23.71</v>
      </c>
      <c r="M27" s="22">
        <v>1.65</v>
      </c>
      <c r="N27" s="22">
        <v>5.1999999999999998E-2</v>
      </c>
      <c r="O27" s="22">
        <v>0</v>
      </c>
      <c r="P27" s="22">
        <v>0</v>
      </c>
      <c r="Q27" s="22"/>
      <c r="R27" s="22"/>
      <c r="S27" s="22">
        <f t="shared" si="0"/>
        <v>98.821000000000012</v>
      </c>
      <c r="T27" s="3"/>
      <c r="U27" s="22">
        <f t="shared" si="1"/>
        <v>17.359584316715615</v>
      </c>
      <c r="V27" s="22">
        <f t="shared" si="2"/>
        <v>1.6118469488339355</v>
      </c>
      <c r="W27" s="22">
        <f t="shared" si="3"/>
        <v>98.982431265549565</v>
      </c>
      <c r="X27" s="1"/>
      <c r="Y27" s="1"/>
      <c r="Z27" s="1"/>
      <c r="AA27" s="1" t="s">
        <v>185</v>
      </c>
      <c r="AC27" s="1">
        <v>6</v>
      </c>
      <c r="AD27" s="1">
        <v>4</v>
      </c>
      <c r="AE27" s="1"/>
      <c r="AF27" s="26">
        <f t="shared" si="4"/>
        <v>1.9441843111914294</v>
      </c>
      <c r="AG27" s="26">
        <f t="shared" si="5"/>
        <v>1.1254752560695367E-2</v>
      </c>
      <c r="AH27" s="26">
        <f t="shared" si="6"/>
        <v>6.2711809083897799E-2</v>
      </c>
      <c r="AI27" s="26">
        <f t="shared" si="7"/>
        <v>0</v>
      </c>
      <c r="AJ27" s="26">
        <f t="shared" si="8"/>
        <v>0.58693722985002295</v>
      </c>
      <c r="AK27" s="26">
        <f t="shared" si="9"/>
        <v>2.1237711838830057E-2</v>
      </c>
      <c r="AL27" s="26">
        <f t="shared" si="10"/>
        <v>1.3190344631684607</v>
      </c>
      <c r="AM27" s="26">
        <f t="shared" si="11"/>
        <v>6.5963786014847439E-2</v>
      </c>
      <c r="AN27" s="26">
        <f t="shared" si="12"/>
        <v>3.7619359954835382E-3</v>
      </c>
      <c r="AO27" s="26">
        <f t="shared" si="13"/>
        <v>0</v>
      </c>
      <c r="AP27" s="26">
        <f t="shared" si="14"/>
        <v>0</v>
      </c>
      <c r="AQ27" s="26">
        <f t="shared" si="15"/>
        <v>0</v>
      </c>
      <c r="AR27" s="26">
        <f t="shared" si="16"/>
        <v>0</v>
      </c>
      <c r="AS27" s="26">
        <f t="shared" si="17"/>
        <v>4.0150859997036674</v>
      </c>
      <c r="AT27" s="26">
        <f t="shared" si="18"/>
        <v>2.0068961202753273</v>
      </c>
      <c r="AU27" s="26">
        <f t="shared" si="19"/>
        <v>6.9725722010330976E-2</v>
      </c>
      <c r="AV27" s="47"/>
      <c r="AW27" s="26">
        <f t="shared" si="20"/>
        <v>1.9368793707879928</v>
      </c>
      <c r="AX27" s="26">
        <f t="shared" si="21"/>
        <v>1.1212464750718687E-2</v>
      </c>
      <c r="AY27" s="26">
        <f t="shared" si="22"/>
        <v>6.2476180174996239E-2</v>
      </c>
      <c r="AZ27" s="26">
        <f t="shared" si="23"/>
        <v>0</v>
      </c>
      <c r="BA27" s="26">
        <f t="shared" si="24"/>
        <v>0.5396439635703929</v>
      </c>
      <c r="BB27" s="26">
        <f t="shared" si="25"/>
        <v>4.5087949911252867E-2</v>
      </c>
      <c r="BC27" s="26">
        <f t="shared" si="26"/>
        <v>2.1157914764861827E-2</v>
      </c>
      <c r="BD27" s="26">
        <f t="shared" si="27"/>
        <v>1.3140784165179147</v>
      </c>
      <c r="BE27" s="26">
        <f t="shared" si="28"/>
        <v>6.5715938358197945E-2</v>
      </c>
      <c r="BF27" s="26">
        <f t="shared" si="29"/>
        <v>3.7478011636723971E-3</v>
      </c>
      <c r="BG27" s="26">
        <f t="shared" si="30"/>
        <v>0</v>
      </c>
      <c r="BH27" s="26">
        <f t="shared" si="31"/>
        <v>0</v>
      </c>
      <c r="BI27" s="26">
        <f t="shared" si="32"/>
        <v>0</v>
      </c>
      <c r="BJ27" s="26">
        <f t="shared" si="33"/>
        <v>0</v>
      </c>
      <c r="BK27" s="25">
        <f t="shared" si="34"/>
        <v>4</v>
      </c>
      <c r="BL27" s="24">
        <f t="shared" si="35"/>
        <v>6.0000000000000009</v>
      </c>
      <c r="BM27" s="26">
        <f t="shared" si="36"/>
        <v>1.999355550962989</v>
      </c>
      <c r="BN27" s="26">
        <f t="shared" si="37"/>
        <v>6.9463739521870349E-2</v>
      </c>
      <c r="BO27" s="22"/>
      <c r="BP27" s="26">
        <f t="shared" si="38"/>
        <v>0.69205354308253575</v>
      </c>
      <c r="BQ27" s="22"/>
      <c r="BR27" s="22">
        <f t="shared" si="39"/>
        <v>3.3094859150690957E-2</v>
      </c>
      <c r="BS27" s="22">
        <f t="shared" si="40"/>
        <v>0.66177614128518625</v>
      </c>
      <c r="BT27" s="22">
        <f t="shared" si="41"/>
        <v>0.30512899956412287</v>
      </c>
      <c r="BU27" s="1"/>
      <c r="BV27" s="26">
        <f t="shared" si="42"/>
        <v>0.86717709720372838</v>
      </c>
      <c r="BW27" s="26">
        <f t="shared" si="43"/>
        <v>5.0200300450676024E-3</v>
      </c>
      <c r="BX27" s="26">
        <f t="shared" si="44"/>
        <v>2.7971753628874069E-2</v>
      </c>
      <c r="BY27" s="26">
        <f t="shared" si="45"/>
        <v>0</v>
      </c>
      <c r="BZ27" s="26">
        <f t="shared" si="46"/>
        <v>0.2617954070981211</v>
      </c>
      <c r="CA27" s="26">
        <f t="shared" si="47"/>
        <v>9.4727939103467721E-3</v>
      </c>
      <c r="CB27" s="26">
        <f t="shared" si="48"/>
        <v>0.58833746898263029</v>
      </c>
      <c r="CC27" s="26">
        <f t="shared" si="49"/>
        <v>2.9422253922967188E-2</v>
      </c>
      <c r="CD27" s="26">
        <f t="shared" si="50"/>
        <v>1.6779606324620845E-3</v>
      </c>
      <c r="CE27" s="26">
        <f t="shared" si="51"/>
        <v>0</v>
      </c>
      <c r="CF27" s="26">
        <f t="shared" si="52"/>
        <v>0</v>
      </c>
      <c r="CG27" s="26">
        <f t="shared" si="53"/>
        <v>0</v>
      </c>
      <c r="CH27" s="26">
        <f t="shared" si="54"/>
        <v>0</v>
      </c>
      <c r="CI27" s="26">
        <f t="shared" si="55"/>
        <v>1.7908747654241974</v>
      </c>
      <c r="CJ27" s="26">
        <f t="shared" si="56"/>
        <v>2.6762187891711999</v>
      </c>
      <c r="CK27" s="26">
        <f t="shared" si="57"/>
        <v>2.2335453473501459</v>
      </c>
      <c r="CL27" s="26">
        <f t="shared" si="58"/>
        <v>5.9774560250443747</v>
      </c>
      <c r="CM27" s="1"/>
      <c r="CN27" s="22">
        <v>18.680384275216007</v>
      </c>
      <c r="CO27" s="96">
        <v>186.64991620560033</v>
      </c>
      <c r="CP27" s="14">
        <v>139682.69287946599</v>
      </c>
      <c r="CQ27" s="14">
        <v>9621.1825917132028</v>
      </c>
      <c r="CR27" s="14">
        <v>242979.60988004066</v>
      </c>
      <c r="CS27" s="14">
        <v>12662.963511018406</v>
      </c>
      <c r="CT27" s="22">
        <v>71.74660205758147</v>
      </c>
      <c r="CU27" s="14">
        <v>2662.0063297788215</v>
      </c>
      <c r="CV27" s="22">
        <v>75.540469671063008</v>
      </c>
      <c r="CW27" s="22">
        <v>0.50505445342172084</v>
      </c>
      <c r="CX27" s="14">
        <v>5602.4068453419422</v>
      </c>
      <c r="CY27" s="22">
        <v>47.839934848523122</v>
      </c>
      <c r="CZ27" s="22">
        <v>0</v>
      </c>
      <c r="DA27" s="22">
        <v>1.0586040730888135</v>
      </c>
      <c r="DB27" s="22">
        <v>264.60967823940359</v>
      </c>
      <c r="DC27" s="22">
        <v>0</v>
      </c>
      <c r="DD27" s="22">
        <v>1.2872358381315407</v>
      </c>
      <c r="DE27" s="22">
        <v>0.36233073489360662</v>
      </c>
      <c r="DF27" s="22">
        <v>10.804965717000403</v>
      </c>
      <c r="DG27" s="22">
        <v>6.3879187666276156</v>
      </c>
      <c r="DH27" s="22">
        <v>0</v>
      </c>
      <c r="DI27" s="22">
        <v>0</v>
      </c>
      <c r="DJ27" s="22">
        <v>9.0969314977520754E-2</v>
      </c>
      <c r="DK27" s="22">
        <v>1.9855223198437542E-2</v>
      </c>
      <c r="DL27" s="22">
        <v>0.16408124827068657</v>
      </c>
      <c r="DM27" s="22">
        <v>4.1886209187643332E-2</v>
      </c>
      <c r="DN27" s="22">
        <v>0.22202249047474598</v>
      </c>
      <c r="DO27" s="22">
        <v>0.29649352292801795</v>
      </c>
      <c r="DP27" s="22">
        <v>0.10151097482014652</v>
      </c>
      <c r="DQ27" s="22">
        <v>0.57833087177781206</v>
      </c>
      <c r="DR27" s="22">
        <v>0.16293965931100915</v>
      </c>
      <c r="DS27" s="22">
        <v>1.2770185279210844</v>
      </c>
      <c r="DT27" s="22">
        <v>0.35368054691644873</v>
      </c>
      <c r="DU27" s="22">
        <v>1.603744792655204</v>
      </c>
      <c r="DV27" s="22">
        <v>0.32825708332000408</v>
      </c>
      <c r="DW27" s="22">
        <v>2.2149920189375849</v>
      </c>
      <c r="DX27" s="22">
        <v>0.41493811490514093</v>
      </c>
      <c r="DY27" s="22">
        <v>0.24091130887252565</v>
      </c>
      <c r="DZ27" s="22">
        <v>3.444714719708053E-2</v>
      </c>
      <c r="EA27" s="22">
        <v>7.0437114302548412E-2</v>
      </c>
      <c r="EB27" s="22">
        <v>5.6514979852962301E-3</v>
      </c>
      <c r="EC27" s="22">
        <v>4.5633756003146874E-3</v>
      </c>
      <c r="ED27" s="22">
        <f>(DP27/0.05883)/SQRT((DO27/0.1536)*(DQ27/0.2069))</f>
        <v>0.74283816756540222</v>
      </c>
      <c r="EE27" s="22"/>
      <c r="EF27" s="22"/>
      <c r="EG27" s="22"/>
      <c r="EH27" s="22"/>
      <c r="EI27" s="22"/>
      <c r="EJ27" s="22"/>
      <c r="EK27" s="22"/>
      <c r="EL27" s="22"/>
      <c r="EM27" s="22"/>
      <c r="EN27" s="22"/>
      <c r="EO27" s="22"/>
      <c r="EP27" s="22"/>
      <c r="EQ27" s="22"/>
      <c r="ER27" s="22">
        <f>3.073297 -6.710523 * BP27 +N("opx mg#")</f>
        <v>-1.5707442180868467</v>
      </c>
      <c r="ES27" s="22" t="e">
        <f>-3.726231 -0.216482*LN(#REF!) + N("31 liquid mgo, liq MgO calculated from equilibrium Fe/Mg of liquid from opx composition, then regression of literature MgO vs Fe/Mg")</f>
        <v>#REF!</v>
      </c>
      <c r="ET27" s="22"/>
      <c r="EU27" s="22"/>
      <c r="EV27" s="22">
        <f>10.033975 - 17.897808 * BP27 + N("66 mg#   R2 0.46")</f>
        <v>-2.3522664398109541</v>
      </c>
      <c r="EW27" s="22">
        <f>7.162348 - 16.15931 * BP27 + N("38d mg# r2 0.38")</f>
        <v>-4.0207597392690513</v>
      </c>
      <c r="EX27" s="22">
        <f>4.451575 - 11.66175 * BP27 + N("mg#")</f>
        <v>-3.6189804060427608</v>
      </c>
      <c r="EY27" s="22"/>
      <c r="EZ27" s="22">
        <f>5.675764 - 12.3354 * BP27 + N("mg#")</f>
        <v>-2.860993275340312</v>
      </c>
      <c r="FA27" s="22">
        <f>5.273598 - 11.10504 * BP27 + N("mg#")</f>
        <v>-2.4116842780732837</v>
      </c>
      <c r="FB27" s="22">
        <f>6.313568 - 12.50612 * BP27 + N("mg#")</f>
        <v>-2.3413366562153612</v>
      </c>
      <c r="FC27" s="22">
        <f>6.81086 - 13.3177 * BP27 + N("mg#")</f>
        <v>-2.4057014707102873</v>
      </c>
      <c r="FD27" s="22">
        <f>8.616762 - 14.50395 * BP27 + N("mg#")</f>
        <v>-1.4207479861919445</v>
      </c>
      <c r="FE27" s="46"/>
      <c r="FF27" s="46"/>
      <c r="FG27" s="46"/>
      <c r="FH27" s="46"/>
      <c r="FI27" s="46"/>
      <c r="FJ27" s="46"/>
      <c r="FK27" s="46"/>
      <c r="FL27" s="46"/>
      <c r="FM27" s="46"/>
      <c r="FN27" s="46"/>
      <c r="FO27" s="46"/>
    </row>
    <row r="28" spans="1:171" x14ac:dyDescent="0.25">
      <c r="A28" s="5" t="s">
        <v>85</v>
      </c>
      <c r="B28" s="1">
        <v>1352</v>
      </c>
      <c r="C28" s="98" t="s">
        <v>98</v>
      </c>
      <c r="D28" s="98" t="s">
        <v>105</v>
      </c>
      <c r="E28" s="1">
        <v>359</v>
      </c>
      <c r="F28" s="22">
        <v>51.88</v>
      </c>
      <c r="G28" s="22">
        <v>0.40799999999999997</v>
      </c>
      <c r="H28" s="22">
        <v>1.2250000000000001</v>
      </c>
      <c r="I28" s="22">
        <v>0</v>
      </c>
      <c r="J28" s="22">
        <v>20.440000000000001</v>
      </c>
      <c r="K28" s="22">
        <v>0.78200000000000003</v>
      </c>
      <c r="L28" s="22">
        <v>22.37</v>
      </c>
      <c r="M28" s="22">
        <v>1.7</v>
      </c>
      <c r="N28" s="22">
        <v>5.5E-2</v>
      </c>
      <c r="O28" s="22">
        <v>0</v>
      </c>
      <c r="P28" s="22">
        <v>0</v>
      </c>
      <c r="Q28" s="22"/>
      <c r="R28" s="22"/>
      <c r="S28" s="22">
        <f t="shared" si="0"/>
        <v>98.860000000000014</v>
      </c>
      <c r="T28" s="3"/>
      <c r="U28" s="22">
        <f t="shared" si="1"/>
        <v>19.30245624544305</v>
      </c>
      <c r="V28" s="22">
        <f t="shared" si="2"/>
        <v>1.2641523744391414</v>
      </c>
      <c r="W28" s="22">
        <f t="shared" si="3"/>
        <v>98.98660861988219</v>
      </c>
      <c r="X28" s="1">
        <v>1</v>
      </c>
      <c r="Y28" s="1"/>
      <c r="Z28" s="1"/>
      <c r="AA28" s="1" t="s">
        <v>185</v>
      </c>
      <c r="AC28" s="1">
        <v>6</v>
      </c>
      <c r="AD28" s="1">
        <v>4</v>
      </c>
      <c r="AE28" s="1"/>
      <c r="AF28" s="26">
        <f t="shared" si="4"/>
        <v>1.951386381485428</v>
      </c>
      <c r="AG28" s="26">
        <f t="shared" si="5"/>
        <v>1.1542379073200914E-2</v>
      </c>
      <c r="AH28" s="26">
        <f t="shared" si="6"/>
        <v>5.430120709822428E-2</v>
      </c>
      <c r="AI28" s="26">
        <f t="shared" si="7"/>
        <v>0</v>
      </c>
      <c r="AJ28" s="26">
        <f t="shared" si="8"/>
        <v>0.64287619608891722</v>
      </c>
      <c r="AK28" s="26">
        <f t="shared" si="9"/>
        <v>2.4910864261403591E-2</v>
      </c>
      <c r="AL28" s="26">
        <f t="shared" si="10"/>
        <v>1.2543945669133618</v>
      </c>
      <c r="AM28" s="26">
        <f t="shared" si="11"/>
        <v>6.8503717930284785E-2</v>
      </c>
      <c r="AN28" s="26">
        <f t="shared" si="12"/>
        <v>4.010646082876268E-3</v>
      </c>
      <c r="AO28" s="26">
        <f t="shared" si="13"/>
        <v>0</v>
      </c>
      <c r="AP28" s="26">
        <f t="shared" si="14"/>
        <v>0</v>
      </c>
      <c r="AQ28" s="26">
        <f t="shared" si="15"/>
        <v>0</v>
      </c>
      <c r="AR28" s="26">
        <f t="shared" si="16"/>
        <v>0</v>
      </c>
      <c r="AS28" s="26">
        <f t="shared" si="17"/>
        <v>4.0119259589336966</v>
      </c>
      <c r="AT28" s="26">
        <f t="shared" si="18"/>
        <v>2.005687588583652</v>
      </c>
      <c r="AU28" s="26">
        <f t="shared" si="19"/>
        <v>7.2514364013161053E-2</v>
      </c>
      <c r="AV28" s="47"/>
      <c r="AW28" s="26">
        <f t="shared" si="20"/>
        <v>1.9455856378805896</v>
      </c>
      <c r="AX28" s="26">
        <f t="shared" si="21"/>
        <v>1.150806788694444E-2</v>
      </c>
      <c r="AY28" s="26">
        <f t="shared" si="22"/>
        <v>5.4139789870555476E-2</v>
      </c>
      <c r="AZ28" s="26">
        <f t="shared" si="23"/>
        <v>0</v>
      </c>
      <c r="BA28" s="26">
        <f t="shared" si="24"/>
        <v>0.60529364250698581</v>
      </c>
      <c r="BB28" s="26">
        <f t="shared" si="25"/>
        <v>3.567152252291228E-2</v>
      </c>
      <c r="BC28" s="26">
        <f t="shared" si="26"/>
        <v>2.4836813556773103E-2</v>
      </c>
      <c r="BD28" s="26">
        <f t="shared" si="27"/>
        <v>1.2506657199095061</v>
      </c>
      <c r="BE28" s="26">
        <f t="shared" si="28"/>
        <v>6.8300081937197013E-2</v>
      </c>
      <c r="BF28" s="26">
        <f t="shared" si="29"/>
        <v>3.9987239285365394E-3</v>
      </c>
      <c r="BG28" s="26">
        <f t="shared" si="30"/>
        <v>0</v>
      </c>
      <c r="BH28" s="26">
        <f t="shared" si="31"/>
        <v>0</v>
      </c>
      <c r="BI28" s="26">
        <f t="shared" si="32"/>
        <v>0</v>
      </c>
      <c r="BJ28" s="26">
        <f t="shared" si="33"/>
        <v>0</v>
      </c>
      <c r="BK28" s="25">
        <f t="shared" si="34"/>
        <v>4</v>
      </c>
      <c r="BL28" s="24">
        <f t="shared" si="35"/>
        <v>5.9999999999999991</v>
      </c>
      <c r="BM28" s="26">
        <f t="shared" si="36"/>
        <v>1.9997254277511451</v>
      </c>
      <c r="BN28" s="26">
        <f t="shared" si="37"/>
        <v>7.2298805865733548E-2</v>
      </c>
      <c r="BO28" s="22"/>
      <c r="BP28" s="26">
        <f t="shared" si="38"/>
        <v>0.6611573800506908</v>
      </c>
      <c r="BQ28" s="22"/>
      <c r="BR28" s="22">
        <f t="shared" si="39"/>
        <v>3.4412127509588893E-2</v>
      </c>
      <c r="BS28" s="22">
        <f t="shared" si="40"/>
        <v>0.63013201455558843</v>
      </c>
      <c r="BT28" s="22">
        <f t="shared" si="41"/>
        <v>0.33545585793482258</v>
      </c>
      <c r="BU28" s="1"/>
      <c r="BV28" s="26">
        <f t="shared" si="42"/>
        <v>0.86351531291611194</v>
      </c>
      <c r="BW28" s="26">
        <f t="shared" si="43"/>
        <v>5.1076614922383572E-3</v>
      </c>
      <c r="BX28" s="26">
        <f t="shared" si="44"/>
        <v>2.4029030992546101E-2</v>
      </c>
      <c r="BY28" s="26">
        <f t="shared" si="45"/>
        <v>0</v>
      </c>
      <c r="BZ28" s="26">
        <f t="shared" si="46"/>
        <v>0.28448155880306197</v>
      </c>
      <c r="CA28" s="26">
        <f t="shared" si="47"/>
        <v>1.1023400056385678E-2</v>
      </c>
      <c r="CB28" s="26">
        <f t="shared" si="48"/>
        <v>0.55508684863523583</v>
      </c>
      <c r="CC28" s="26">
        <f t="shared" si="49"/>
        <v>3.0313837375178315E-2</v>
      </c>
      <c r="CD28" s="26">
        <f t="shared" si="50"/>
        <v>1.7747660535656665E-3</v>
      </c>
      <c r="CE28" s="26">
        <f t="shared" si="51"/>
        <v>0</v>
      </c>
      <c r="CF28" s="26">
        <f t="shared" si="52"/>
        <v>0</v>
      </c>
      <c r="CG28" s="26">
        <f t="shared" si="53"/>
        <v>0</v>
      </c>
      <c r="CH28" s="26">
        <f t="shared" si="54"/>
        <v>0</v>
      </c>
      <c r="CI28" s="26">
        <f t="shared" si="55"/>
        <v>1.7753324163243238</v>
      </c>
      <c r="CJ28" s="26">
        <f t="shared" si="56"/>
        <v>2.6550825232021644</v>
      </c>
      <c r="CK28" s="26">
        <f t="shared" si="57"/>
        <v>2.2530991735517696</v>
      </c>
      <c r="CL28" s="26">
        <f t="shared" si="58"/>
        <v>5.9821642387385436</v>
      </c>
      <c r="CM28" s="1"/>
      <c r="CN28" s="22">
        <v>10.652903198843438</v>
      </c>
      <c r="CO28" s="96">
        <v>157.54433550160203</v>
      </c>
      <c r="CP28" s="14">
        <v>128678.52961840712</v>
      </c>
      <c r="CQ28" s="14">
        <v>5832.1323669025469</v>
      </c>
      <c r="CR28" s="14">
        <v>242526.16355829555</v>
      </c>
      <c r="CS28" s="14">
        <v>12141.245651868303</v>
      </c>
      <c r="CT28" s="22">
        <v>60.560613857041822</v>
      </c>
      <c r="CU28" s="14">
        <v>2179.6159919467732</v>
      </c>
      <c r="CV28" s="22">
        <v>39.409980492159491</v>
      </c>
      <c r="CW28" s="22">
        <v>0</v>
      </c>
      <c r="CX28" s="14">
        <v>6426.8227543214616</v>
      </c>
      <c r="CY28" s="22">
        <v>44.82141194186287</v>
      </c>
      <c r="CZ28" s="22">
        <v>0</v>
      </c>
      <c r="DA28" s="22">
        <v>1.1557678626818244</v>
      </c>
      <c r="DB28" s="22">
        <v>297.60878360867122</v>
      </c>
      <c r="DC28" s="22">
        <v>0</v>
      </c>
      <c r="DD28" s="22">
        <v>1.0649680309482801</v>
      </c>
      <c r="DE28" s="22">
        <v>0</v>
      </c>
      <c r="DF28" s="22">
        <v>11.086747035808244</v>
      </c>
      <c r="DG28" s="22">
        <v>4.1820002082829895</v>
      </c>
      <c r="DH28" s="22">
        <v>0</v>
      </c>
      <c r="DI28" s="22">
        <v>0</v>
      </c>
      <c r="DJ28" s="22">
        <v>0.22160251440748238</v>
      </c>
      <c r="DK28" s="22">
        <v>3.6780775801989338E-2</v>
      </c>
      <c r="DL28" s="22">
        <v>0.20509957339805926</v>
      </c>
      <c r="DM28" s="22">
        <v>5.0036637495864178E-2</v>
      </c>
      <c r="DN28" s="22">
        <v>0.35570315658584373</v>
      </c>
      <c r="DO28" s="22">
        <v>0.34614914453538159</v>
      </c>
      <c r="DP28" s="22">
        <v>9.0421377142258022E-2</v>
      </c>
      <c r="DQ28" s="22">
        <v>1.0078006985904604</v>
      </c>
      <c r="DR28" s="22">
        <v>0.16526111438724456</v>
      </c>
      <c r="DS28" s="22">
        <v>1.7688653449452156</v>
      </c>
      <c r="DT28" s="22">
        <v>0.46596159825263134</v>
      </c>
      <c r="DU28" s="22">
        <v>1.6249357146492815</v>
      </c>
      <c r="DV28" s="22">
        <v>0.33370201562704349</v>
      </c>
      <c r="DW28" s="22">
        <v>2.2106316817144234</v>
      </c>
      <c r="DX28" s="22">
        <v>0.39380944192715484</v>
      </c>
      <c r="DY28" s="22">
        <v>0.22386287859784795</v>
      </c>
      <c r="DZ28" s="22">
        <v>0</v>
      </c>
      <c r="EA28" s="22">
        <v>1.2179911482777601</v>
      </c>
      <c r="EB28" s="22">
        <v>1.3706155079785898E-2</v>
      </c>
      <c r="EC28" s="22">
        <v>5.9622304063507384E-3</v>
      </c>
      <c r="ED28" s="22">
        <f>(DP28/0.05883)/SQRT((DO28/0.1536)*(DQ28/0.2069))</f>
        <v>0.4639051171910385</v>
      </c>
      <c r="EE28" s="22"/>
      <c r="EF28" s="22"/>
      <c r="EG28" s="22"/>
      <c r="EH28" s="22"/>
      <c r="EI28" s="22"/>
      <c r="EJ28" s="22"/>
      <c r="EK28" s="22"/>
      <c r="EL28" s="22"/>
      <c r="EM28" s="22"/>
      <c r="EN28" s="22"/>
      <c r="EO28" s="22"/>
      <c r="EP28" s="22"/>
      <c r="EQ28" s="22"/>
      <c r="ER28" s="22">
        <f>3.073297 -6.710523 * BP28 +N("opx mg#")</f>
        <v>-1.363414805449902</v>
      </c>
      <c r="ES28" s="22" t="e">
        <f>-3.726231 -0.216482*LN(#REF!) + N("31 liquid mgo, liq MgO calculated from equilibrium Fe/Mg of liquid from opx composition, then regression of literature MgO vs Fe/Mg")</f>
        <v>#REF!</v>
      </c>
      <c r="ET28" s="22"/>
      <c r="EU28" s="22"/>
      <c r="EV28" s="22">
        <f>10.033975 - 17.897808 * BP28 + N("66 mg#   R2 0.46")</f>
        <v>-1.7992928459302959</v>
      </c>
      <c r="EW28" s="22">
        <f>7.162348 - 16.15931 * BP28 + N("38d mg# r2 0.38")</f>
        <v>-3.5214990630269298</v>
      </c>
      <c r="EX28" s="22">
        <f>4.451575 - 11.66175 * BP28 + N("mg#")</f>
        <v>-3.2586770768061433</v>
      </c>
      <c r="EY28" s="22"/>
      <c r="EZ28" s="22">
        <f>5.675764 - 12.3354 * BP28 + N("mg#")</f>
        <v>-2.4798767458772906</v>
      </c>
      <c r="FA28" s="22">
        <f>5.273598 - 11.10504 * BP28 + N("mg#")</f>
        <v>-2.0685811517581243</v>
      </c>
      <c r="FB28" s="22">
        <f>6.313568 - 12.50612 * BP28 + N("mg#")</f>
        <v>-1.9549455337995454</v>
      </c>
      <c r="FC28" s="22">
        <f>6.81086 - 13.3177 * BP28 + N("mg#")</f>
        <v>-1.9942356403010848</v>
      </c>
      <c r="FD28" s="22">
        <f>8.616762 - 14.50395 * BP28 + N("mg#")</f>
        <v>-0.97263158238621727</v>
      </c>
      <c r="FE28" s="46"/>
      <c r="FF28" s="46"/>
      <c r="FG28" s="46"/>
      <c r="FH28" s="46"/>
      <c r="FI28" s="46"/>
      <c r="FJ28" s="46"/>
      <c r="FK28" s="46"/>
      <c r="FL28" s="46"/>
      <c r="FM28" s="46"/>
      <c r="FN28" s="46"/>
      <c r="FO28" s="46"/>
    </row>
    <row r="29" spans="1:171" x14ac:dyDescent="0.25">
      <c r="A29" s="5" t="s">
        <v>85</v>
      </c>
      <c r="B29" s="1">
        <v>1353</v>
      </c>
      <c r="C29" s="98" t="s">
        <v>98</v>
      </c>
      <c r="D29" s="98" t="s">
        <v>105</v>
      </c>
      <c r="E29" s="1">
        <v>360</v>
      </c>
      <c r="F29" s="22">
        <v>50</v>
      </c>
      <c r="G29" s="22">
        <v>0.3</v>
      </c>
      <c r="H29" s="22">
        <v>0.54900000000000004</v>
      </c>
      <c r="I29" s="22">
        <v>0</v>
      </c>
      <c r="J29" s="22">
        <v>29.96</v>
      </c>
      <c r="K29" s="22">
        <v>1.53</v>
      </c>
      <c r="L29" s="22">
        <v>14.9</v>
      </c>
      <c r="M29" s="22">
        <v>1.62</v>
      </c>
      <c r="N29" s="22">
        <v>8.0000000000000002E-3</v>
      </c>
      <c r="O29" s="22">
        <v>7.0000000000000001E-3</v>
      </c>
      <c r="P29" s="22">
        <v>0</v>
      </c>
      <c r="Q29" s="22"/>
      <c r="R29" s="22"/>
      <c r="S29" s="22">
        <f t="shared" si="0"/>
        <v>98.874000000000009</v>
      </c>
      <c r="T29" s="3"/>
      <c r="U29" s="22">
        <f t="shared" si="1"/>
        <v>29.816595143411909</v>
      </c>
      <c r="V29" s="22">
        <f t="shared" si="2"/>
        <v>0.15936581712634595</v>
      </c>
      <c r="W29" s="22">
        <f t="shared" si="3"/>
        <v>98.889960960538261</v>
      </c>
      <c r="X29" s="1">
        <v>1</v>
      </c>
      <c r="Y29" s="1"/>
      <c r="Z29" s="1"/>
      <c r="AA29" s="1" t="s">
        <v>186</v>
      </c>
      <c r="AC29" s="1">
        <v>6</v>
      </c>
      <c r="AD29" s="1">
        <v>4</v>
      </c>
      <c r="AE29" s="1"/>
      <c r="AF29" s="26">
        <f t="shared" si="4"/>
        <v>1.9771876498160204</v>
      </c>
      <c r="AG29" s="26">
        <f t="shared" si="5"/>
        <v>8.9225914372268282E-3</v>
      </c>
      <c r="AH29" s="26">
        <f t="shared" si="6"/>
        <v>2.5584699594554589E-2</v>
      </c>
      <c r="AI29" s="26">
        <f t="shared" si="7"/>
        <v>0</v>
      </c>
      <c r="AJ29" s="26">
        <f t="shared" si="8"/>
        <v>0.99065593393691243</v>
      </c>
      <c r="AK29" s="26">
        <f t="shared" si="9"/>
        <v>5.1239874265984822E-2</v>
      </c>
      <c r="AL29" s="26">
        <f t="shared" si="10"/>
        <v>0.87839333330724723</v>
      </c>
      <c r="AM29" s="26">
        <f t="shared" si="11"/>
        <v>6.8630129486994776E-2</v>
      </c>
      <c r="AN29" s="26">
        <f t="shared" si="12"/>
        <v>6.1330459632628084E-4</v>
      </c>
      <c r="AO29" s="26">
        <f t="shared" si="13"/>
        <v>3.5308961274166687E-4</v>
      </c>
      <c r="AP29" s="26">
        <f t="shared" si="14"/>
        <v>0</v>
      </c>
      <c r="AQ29" s="26">
        <f t="shared" si="15"/>
        <v>0</v>
      </c>
      <c r="AR29" s="26">
        <f t="shared" si="16"/>
        <v>0</v>
      </c>
      <c r="AS29" s="26">
        <f t="shared" si="17"/>
        <v>4.0015806060540093</v>
      </c>
      <c r="AT29" s="26">
        <f t="shared" si="18"/>
        <v>2.0027723494105749</v>
      </c>
      <c r="AU29" s="26">
        <f t="shared" si="19"/>
        <v>6.9596523696062715E-2</v>
      </c>
      <c r="AV29" s="47"/>
      <c r="AW29" s="26">
        <f t="shared" si="20"/>
        <v>1.9764066697291809</v>
      </c>
      <c r="AX29" s="26">
        <f t="shared" si="21"/>
        <v>8.9190670543812609E-3</v>
      </c>
      <c r="AY29" s="26">
        <f t="shared" si="22"/>
        <v>2.5574593755125042E-2</v>
      </c>
      <c r="AZ29" s="26">
        <f t="shared" si="23"/>
        <v>0</v>
      </c>
      <c r="BA29" s="26">
        <f t="shared" si="24"/>
        <v>0.98552468420432704</v>
      </c>
      <c r="BB29" s="26">
        <f t="shared" si="25"/>
        <v>4.7399451655221192E-3</v>
      </c>
      <c r="BC29" s="26">
        <f t="shared" si="26"/>
        <v>5.1219634749792409E-2</v>
      </c>
      <c r="BD29" s="26">
        <f t="shared" si="27"/>
        <v>0.87804637195444424</v>
      </c>
      <c r="BE29" s="26">
        <f t="shared" si="28"/>
        <v>6.8603020899455525E-2</v>
      </c>
      <c r="BF29" s="26">
        <f t="shared" si="29"/>
        <v>6.1306234381325168E-4</v>
      </c>
      <c r="BG29" s="26">
        <f t="shared" si="30"/>
        <v>3.5295014395809099E-4</v>
      </c>
      <c r="BH29" s="26">
        <f t="shared" si="31"/>
        <v>0</v>
      </c>
      <c r="BI29" s="26">
        <f t="shared" si="32"/>
        <v>0</v>
      </c>
      <c r="BJ29" s="26">
        <f t="shared" si="33"/>
        <v>0</v>
      </c>
      <c r="BK29" s="25">
        <f t="shared" si="34"/>
        <v>4</v>
      </c>
      <c r="BL29" s="24">
        <f t="shared" si="35"/>
        <v>6</v>
      </c>
      <c r="BM29" s="26">
        <f t="shared" si="36"/>
        <v>2.0019812634843057</v>
      </c>
      <c r="BN29" s="26">
        <f t="shared" si="37"/>
        <v>6.9569033387226864E-2</v>
      </c>
      <c r="BO29" s="22"/>
      <c r="BP29" s="26">
        <f t="shared" si="38"/>
        <v>0.46996799319388943</v>
      </c>
      <c r="BQ29" s="22"/>
      <c r="BR29" s="22">
        <f t="shared" si="39"/>
        <v>3.450624190120459E-2</v>
      </c>
      <c r="BS29" s="22">
        <f t="shared" si="40"/>
        <v>0.44164353280506308</v>
      </c>
      <c r="BT29" s="22">
        <f t="shared" si="41"/>
        <v>0.52385022529373237</v>
      </c>
      <c r="BU29" s="1"/>
      <c r="BV29" s="26">
        <f t="shared" si="42"/>
        <v>0.83222370173102533</v>
      </c>
      <c r="BW29" s="26">
        <f t="shared" si="43"/>
        <v>3.7556334501752629E-3</v>
      </c>
      <c r="BX29" s="26">
        <f t="shared" si="44"/>
        <v>1.0768928991761477E-2</v>
      </c>
      <c r="BY29" s="26">
        <f t="shared" si="45"/>
        <v>0</v>
      </c>
      <c r="BZ29" s="26">
        <f t="shared" si="46"/>
        <v>0.41697981906750181</v>
      </c>
      <c r="CA29" s="26">
        <f t="shared" si="47"/>
        <v>2.1567521849450242E-2</v>
      </c>
      <c r="CB29" s="26">
        <f t="shared" si="48"/>
        <v>0.36972704714640203</v>
      </c>
      <c r="CC29" s="26">
        <f t="shared" si="49"/>
        <v>2.8887303851640515E-2</v>
      </c>
      <c r="CD29" s="26">
        <f t="shared" si="50"/>
        <v>2.5814778960955148E-4</v>
      </c>
      <c r="CE29" s="26">
        <f t="shared" si="51"/>
        <v>1.4861995753715499E-4</v>
      </c>
      <c r="CF29" s="26">
        <f t="shared" si="52"/>
        <v>0</v>
      </c>
      <c r="CG29" s="26">
        <f t="shared" si="53"/>
        <v>0</v>
      </c>
      <c r="CH29" s="26">
        <f t="shared" si="54"/>
        <v>0</v>
      </c>
      <c r="CI29" s="26">
        <f t="shared" si="55"/>
        <v>1.6843167238351033</v>
      </c>
      <c r="CJ29" s="26">
        <f t="shared" si="56"/>
        <v>2.5254771396386113</v>
      </c>
      <c r="CK29" s="26">
        <f t="shared" si="57"/>
        <v>2.3748502543465837</v>
      </c>
      <c r="CL29" s="26">
        <f t="shared" si="58"/>
        <v>5.9976300274172392</v>
      </c>
      <c r="CM29" s="1"/>
      <c r="CN29" s="22"/>
      <c r="CO29" s="96"/>
      <c r="CP29" s="14"/>
      <c r="CQ29" s="14"/>
      <c r="CR29" s="14"/>
      <c r="CS29" s="14"/>
      <c r="CT29" s="22"/>
      <c r="CU29" s="14"/>
      <c r="CV29" s="22"/>
      <c r="CW29" s="22"/>
      <c r="CX29" s="14"/>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46"/>
      <c r="FF29" s="46"/>
      <c r="FG29" s="46"/>
      <c r="FH29" s="46"/>
      <c r="FI29" s="46"/>
      <c r="FJ29" s="46"/>
      <c r="FK29" s="46"/>
      <c r="FL29" s="46"/>
      <c r="FM29" s="46"/>
      <c r="FN29" s="46"/>
      <c r="FO29" s="46"/>
    </row>
    <row r="30" spans="1:171" x14ac:dyDescent="0.25">
      <c r="A30" s="5" t="s">
        <v>85</v>
      </c>
      <c r="B30" s="1">
        <v>1354</v>
      </c>
      <c r="C30" s="98" t="s">
        <v>98</v>
      </c>
      <c r="D30" s="98" t="s">
        <v>105</v>
      </c>
      <c r="E30" s="1">
        <v>361</v>
      </c>
      <c r="F30" s="22">
        <v>49.87</v>
      </c>
      <c r="G30" s="22">
        <v>0.05</v>
      </c>
      <c r="H30" s="22">
        <v>0.33400000000000002</v>
      </c>
      <c r="I30" s="22">
        <v>3.4000000000000002E-2</v>
      </c>
      <c r="J30" s="22">
        <v>30.75</v>
      </c>
      <c r="K30" s="22">
        <v>1.59</v>
      </c>
      <c r="L30" s="22">
        <v>14.55</v>
      </c>
      <c r="M30" s="22">
        <v>1.45</v>
      </c>
      <c r="N30" s="22">
        <v>2.8000000000000001E-2</v>
      </c>
      <c r="O30" s="22">
        <v>0</v>
      </c>
      <c r="P30" s="22">
        <v>0</v>
      </c>
      <c r="Q30" s="22"/>
      <c r="R30" s="22"/>
      <c r="S30" s="22">
        <f t="shared" si="0"/>
        <v>98.656000000000006</v>
      </c>
      <c r="T30" s="3"/>
      <c r="U30" s="22">
        <f t="shared" si="1"/>
        <v>30.145918676547328</v>
      </c>
      <c r="V30" s="22">
        <f t="shared" si="2"/>
        <v>0.67131557475295478</v>
      </c>
      <c r="W30" s="22">
        <f t="shared" si="3"/>
        <v>98.723234251300283</v>
      </c>
      <c r="X30" s="1">
        <v>1</v>
      </c>
      <c r="Y30" s="1"/>
      <c r="Z30" s="1"/>
      <c r="AA30" s="1" t="s">
        <v>258</v>
      </c>
      <c r="AC30" s="1">
        <v>6</v>
      </c>
      <c r="AD30" s="1">
        <v>4</v>
      </c>
      <c r="AE30" s="1"/>
      <c r="AF30" s="26">
        <f t="shared" si="4"/>
        <v>1.9845166635297282</v>
      </c>
      <c r="AG30" s="26">
        <f t="shared" si="5"/>
        <v>1.4965018354791322E-3</v>
      </c>
      <c r="AH30" s="26">
        <f t="shared" si="6"/>
        <v>1.5663612887578032E-2</v>
      </c>
      <c r="AI30" s="26">
        <f t="shared" si="7"/>
        <v>1.0696438621000024E-3</v>
      </c>
      <c r="AJ30" s="26">
        <f t="shared" si="8"/>
        <v>1.0232073551860117</v>
      </c>
      <c r="AK30" s="26">
        <f t="shared" si="9"/>
        <v>5.3585988419153144E-2</v>
      </c>
      <c r="AL30" s="26">
        <f t="shared" si="10"/>
        <v>0.86318374406598664</v>
      </c>
      <c r="AM30" s="26">
        <f t="shared" si="11"/>
        <v>6.1816626817477155E-2</v>
      </c>
      <c r="AN30" s="26">
        <f t="shared" si="12"/>
        <v>2.1601393128790232E-3</v>
      </c>
      <c r="AO30" s="26">
        <f t="shared" si="13"/>
        <v>0</v>
      </c>
      <c r="AP30" s="26">
        <f t="shared" si="14"/>
        <v>0</v>
      </c>
      <c r="AQ30" s="26">
        <f t="shared" si="15"/>
        <v>0</v>
      </c>
      <c r="AR30" s="26">
        <f t="shared" si="16"/>
        <v>0</v>
      </c>
      <c r="AS30" s="26">
        <f t="shared" si="17"/>
        <v>4.0067002759163932</v>
      </c>
      <c r="AT30" s="26">
        <f t="shared" si="18"/>
        <v>2.0001802764173062</v>
      </c>
      <c r="AU30" s="26">
        <f t="shared" si="19"/>
        <v>6.3976766130356175E-2</v>
      </c>
      <c r="AV30" s="47"/>
      <c r="AW30" s="26">
        <f t="shared" si="20"/>
        <v>1.9811980201846662</v>
      </c>
      <c r="AX30" s="26">
        <f t="shared" si="21"/>
        <v>1.493999283624338E-3</v>
      </c>
      <c r="AY30" s="26">
        <f t="shared" si="22"/>
        <v>1.5637419131877068E-2</v>
      </c>
      <c r="AZ30" s="26">
        <f t="shared" si="23"/>
        <v>1.0678551310957329E-3</v>
      </c>
      <c r="BA30" s="26">
        <f t="shared" si="24"/>
        <v>1.0014290646758262</v>
      </c>
      <c r="BB30" s="26">
        <f t="shared" si="25"/>
        <v>2.0067213781876703E-2</v>
      </c>
      <c r="BC30" s="26">
        <f t="shared" si="26"/>
        <v>5.3496378295376457E-2</v>
      </c>
      <c r="BD30" s="26">
        <f t="shared" si="27"/>
        <v>0.86174026967221895</v>
      </c>
      <c r="BE30" s="26">
        <f t="shared" si="28"/>
        <v>6.1713252862008759E-2</v>
      </c>
      <c r="BF30" s="26">
        <f t="shared" si="29"/>
        <v>2.1565269814298417E-3</v>
      </c>
      <c r="BG30" s="26">
        <f t="shared" si="30"/>
        <v>0</v>
      </c>
      <c r="BH30" s="26">
        <f t="shared" si="31"/>
        <v>0</v>
      </c>
      <c r="BI30" s="26">
        <f t="shared" si="32"/>
        <v>0</v>
      </c>
      <c r="BJ30" s="26">
        <f t="shared" si="33"/>
        <v>0</v>
      </c>
      <c r="BK30" s="25">
        <f t="shared" si="34"/>
        <v>4</v>
      </c>
      <c r="BL30" s="24">
        <f t="shared" si="35"/>
        <v>6.0000000000000009</v>
      </c>
      <c r="BM30" s="26">
        <f t="shared" si="36"/>
        <v>1.9968354393165433</v>
      </c>
      <c r="BN30" s="26">
        <f t="shared" si="37"/>
        <v>6.3869779843438598E-2</v>
      </c>
      <c r="BO30" s="22"/>
      <c r="BP30" s="26">
        <f t="shared" si="38"/>
        <v>0.45758472058538696</v>
      </c>
      <c r="BQ30" s="22"/>
      <c r="BR30" s="22">
        <f t="shared" si="39"/>
        <v>3.0880617902863491E-2</v>
      </c>
      <c r="BS30" s="22">
        <f t="shared" si="40"/>
        <v>0.43120514257708747</v>
      </c>
      <c r="BT30" s="22">
        <f t="shared" si="41"/>
        <v>0.53791423952004902</v>
      </c>
      <c r="BU30" s="1"/>
      <c r="BV30" s="26">
        <f t="shared" si="42"/>
        <v>0.83005992010652463</v>
      </c>
      <c r="BW30" s="26">
        <f t="shared" si="43"/>
        <v>6.2593890836254386E-4</v>
      </c>
      <c r="BX30" s="26">
        <f t="shared" si="44"/>
        <v>6.5515888583758345E-3</v>
      </c>
      <c r="BY30" s="26">
        <f t="shared" si="45"/>
        <v>4.4739785512204748E-4</v>
      </c>
      <c r="BZ30" s="26">
        <f t="shared" si="46"/>
        <v>0.42797494780793321</v>
      </c>
      <c r="CA30" s="26">
        <f t="shared" si="47"/>
        <v>2.2413307020016919E-2</v>
      </c>
      <c r="CB30" s="26">
        <f t="shared" si="48"/>
        <v>0.36104218362282881</v>
      </c>
      <c r="CC30" s="26">
        <f t="shared" si="49"/>
        <v>2.5855920114122681E-2</v>
      </c>
      <c r="CD30" s="26">
        <f t="shared" si="50"/>
        <v>9.0351726363343025E-4</v>
      </c>
      <c r="CE30" s="26">
        <f t="shared" si="51"/>
        <v>0</v>
      </c>
      <c r="CF30" s="26">
        <f t="shared" si="52"/>
        <v>0</v>
      </c>
      <c r="CG30" s="26">
        <f t="shared" si="53"/>
        <v>0</v>
      </c>
      <c r="CH30" s="26">
        <f t="shared" si="54"/>
        <v>0</v>
      </c>
      <c r="CI30" s="26">
        <f t="shared" si="55"/>
        <v>1.6758747215569201</v>
      </c>
      <c r="CJ30" s="26">
        <f t="shared" si="56"/>
        <v>2.5096083152967394</v>
      </c>
      <c r="CK30" s="26">
        <f t="shared" si="57"/>
        <v>2.3868132555182422</v>
      </c>
      <c r="CL30" s="26">
        <f t="shared" si="58"/>
        <v>5.9899663931090616</v>
      </c>
      <c r="CM30" s="1"/>
      <c r="CN30" s="22"/>
      <c r="CO30" s="96"/>
      <c r="CP30" s="14"/>
      <c r="CQ30" s="14"/>
      <c r="CR30" s="14"/>
      <c r="CS30" s="14"/>
      <c r="CT30" s="22"/>
      <c r="CU30" s="14"/>
      <c r="CV30" s="22"/>
      <c r="CW30" s="22"/>
      <c r="CX30" s="14"/>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46">
        <f>7.601647 - 13.20417 * BP30 + N("45d Mg#    r2 0.76")</f>
        <v>1.5596205599880513</v>
      </c>
      <c r="FF30" s="46">
        <f>6.542808 - 11.82852 * BP30 + N("mg#")</f>
        <v>1.1302579808613391</v>
      </c>
      <c r="FG30" s="46">
        <f>3.803999 - 7.570213 * BP30 + N("mg#")</f>
        <v>0.33998519962313623</v>
      </c>
      <c r="FH30" s="46">
        <f>4.421323 - 8.556768 * BP30 + N("mg#")</f>
        <v>0.50587670560601961</v>
      </c>
      <c r="FI30" s="46">
        <f>4.645469 - 8.242464 * BP30 + N("50d mg# r2 0.67")</f>
        <v>0.87384341362488938</v>
      </c>
      <c r="FJ30" s="46">
        <f>5.169659 - 8.510973 * BP30 + N("mg#")</f>
        <v>1.2751677978852278</v>
      </c>
      <c r="FK30" s="46"/>
      <c r="FL30" s="46"/>
      <c r="FM30" s="46"/>
      <c r="FN30" s="46"/>
      <c r="FO30" s="46"/>
    </row>
    <row r="31" spans="1:171" x14ac:dyDescent="0.25">
      <c r="A31" s="5" t="s">
        <v>85</v>
      </c>
      <c r="B31" s="1">
        <v>1355</v>
      </c>
      <c r="C31" s="98" t="s">
        <v>98</v>
      </c>
      <c r="D31" s="98" t="s">
        <v>105</v>
      </c>
      <c r="E31" s="1">
        <v>362</v>
      </c>
      <c r="F31" s="22">
        <v>51.71</v>
      </c>
      <c r="G31" s="22">
        <v>0.23799999999999999</v>
      </c>
      <c r="H31" s="22">
        <v>0.39400000000000002</v>
      </c>
      <c r="I31" s="22">
        <v>7.0000000000000001E-3</v>
      </c>
      <c r="J31" s="22">
        <v>23.89</v>
      </c>
      <c r="K31" s="22">
        <v>1.0149999999999999</v>
      </c>
      <c r="L31" s="22">
        <v>19.34</v>
      </c>
      <c r="M31" s="22">
        <v>1.61</v>
      </c>
      <c r="N31" s="22">
        <v>3.5999999999999997E-2</v>
      </c>
      <c r="O31" s="22">
        <v>0</v>
      </c>
      <c r="P31" s="22">
        <v>0</v>
      </c>
      <c r="Q31" s="22"/>
      <c r="R31" s="22"/>
      <c r="S31" s="22">
        <f t="shared" si="0"/>
        <v>98.240000000000009</v>
      </c>
      <c r="T31" s="3"/>
      <c r="U31" s="22">
        <f t="shared" si="1"/>
        <v>23.889999999999997</v>
      </c>
      <c r="V31" s="22">
        <f t="shared" si="2"/>
        <v>0</v>
      </c>
      <c r="W31" s="22">
        <f t="shared" si="3"/>
        <v>98.24</v>
      </c>
      <c r="X31" s="1"/>
      <c r="Y31" s="1"/>
      <c r="Z31" s="1"/>
      <c r="AA31" s="1" t="s">
        <v>185</v>
      </c>
      <c r="AC31" s="1">
        <v>6</v>
      </c>
      <c r="AD31" s="1">
        <v>4</v>
      </c>
      <c r="AE31" s="1"/>
      <c r="AF31" s="26">
        <f t="shared" si="4"/>
        <v>1.9899803208199045</v>
      </c>
      <c r="AG31" s="26">
        <f t="shared" si="5"/>
        <v>6.8887919499188467E-3</v>
      </c>
      <c r="AH31" s="26">
        <f t="shared" si="6"/>
        <v>1.7869012743343897E-2</v>
      </c>
      <c r="AI31" s="26">
        <f t="shared" si="7"/>
        <v>2.1296939077242597E-4</v>
      </c>
      <c r="AJ31" s="26">
        <f t="shared" si="8"/>
        <v>0.76876489803821413</v>
      </c>
      <c r="AK31" s="26">
        <f t="shared" si="9"/>
        <v>3.3081030215729126E-2</v>
      </c>
      <c r="AL31" s="26">
        <f t="shared" si="10"/>
        <v>1.1095722622929987</v>
      </c>
      <c r="AM31" s="26">
        <f t="shared" si="11"/>
        <v>6.6377675390560234E-2</v>
      </c>
      <c r="AN31" s="26">
        <f t="shared" si="12"/>
        <v>2.6858706433550844E-3</v>
      </c>
      <c r="AO31" s="26">
        <f t="shared" si="13"/>
        <v>0</v>
      </c>
      <c r="AP31" s="26">
        <f t="shared" si="14"/>
        <v>0</v>
      </c>
      <c r="AQ31" s="26">
        <f t="shared" si="15"/>
        <v>0</v>
      </c>
      <c r="AR31" s="26">
        <f t="shared" si="16"/>
        <v>0</v>
      </c>
      <c r="AS31" s="26">
        <f t="shared" si="17"/>
        <v>3.9954328314847971</v>
      </c>
      <c r="AT31" s="26">
        <f t="shared" si="18"/>
        <v>2.0078493335632484</v>
      </c>
      <c r="AU31" s="26">
        <f t="shared" si="19"/>
        <v>6.9063546033915318E-2</v>
      </c>
      <c r="AV31" s="47"/>
      <c r="AW31" s="26">
        <f t="shared" si="20"/>
        <v>1.9922550619682231</v>
      </c>
      <c r="AX31" s="26">
        <f t="shared" si="21"/>
        <v>6.8966665094543052E-3</v>
      </c>
      <c r="AY31" s="26">
        <f t="shared" si="22"/>
        <v>1.7889438763712965E-2</v>
      </c>
      <c r="AZ31" s="26">
        <f t="shared" si="23"/>
        <v>2.1321283550977031E-4</v>
      </c>
      <c r="BA31" s="26">
        <f t="shared" si="24"/>
        <v>0.76964367112388465</v>
      </c>
      <c r="BB31" s="26">
        <f t="shared" si="25"/>
        <v>0</v>
      </c>
      <c r="BC31" s="26">
        <f t="shared" si="26"/>
        <v>3.311884505232484E-2</v>
      </c>
      <c r="BD31" s="26">
        <f t="shared" si="27"/>
        <v>1.1108406113594012</v>
      </c>
      <c r="BE31" s="26">
        <f t="shared" si="28"/>
        <v>6.645355153263105E-2</v>
      </c>
      <c r="BF31" s="26">
        <f t="shared" si="29"/>
        <v>2.6889408548579716E-3</v>
      </c>
      <c r="BG31" s="26">
        <f t="shared" si="30"/>
        <v>0</v>
      </c>
      <c r="BH31" s="26">
        <f t="shared" si="31"/>
        <v>0</v>
      </c>
      <c r="BI31" s="26">
        <f t="shared" si="32"/>
        <v>0</v>
      </c>
      <c r="BJ31" s="26">
        <f t="shared" si="33"/>
        <v>0</v>
      </c>
      <c r="BK31" s="25">
        <f t="shared" si="34"/>
        <v>4</v>
      </c>
      <c r="BL31" s="24">
        <f t="shared" si="35"/>
        <v>6.0068585838498603</v>
      </c>
      <c r="BM31" s="26">
        <f t="shared" si="36"/>
        <v>2.0101445007319363</v>
      </c>
      <c r="BN31" s="26">
        <f t="shared" si="37"/>
        <v>6.9142492387489027E-2</v>
      </c>
      <c r="BO31" s="22"/>
      <c r="BP31" s="26">
        <f t="shared" si="38"/>
        <v>0.59072049774990576</v>
      </c>
      <c r="BQ31" s="22"/>
      <c r="BR31" s="22">
        <f t="shared" si="39"/>
        <v>3.3561439041180481E-2</v>
      </c>
      <c r="BS31" s="22">
        <f t="shared" si="40"/>
        <v>0.56101455231177078</v>
      </c>
      <c r="BT31" s="22">
        <f t="shared" si="41"/>
        <v>0.40542400864704881</v>
      </c>
      <c r="BU31" s="1"/>
      <c r="BV31" s="26">
        <f t="shared" si="42"/>
        <v>0.86068575233022637</v>
      </c>
      <c r="BW31" s="26">
        <f t="shared" si="43"/>
        <v>2.9794692038057086E-3</v>
      </c>
      <c r="BX31" s="26">
        <f t="shared" si="44"/>
        <v>7.7285209886229899E-3</v>
      </c>
      <c r="BY31" s="26">
        <f t="shared" si="45"/>
        <v>9.2111323113362712E-5</v>
      </c>
      <c r="BZ31" s="26">
        <f t="shared" si="46"/>
        <v>0.33249826026443985</v>
      </c>
      <c r="CA31" s="26">
        <f t="shared" si="47"/>
        <v>1.4307865802086268E-2</v>
      </c>
      <c r="CB31" s="26">
        <f t="shared" si="48"/>
        <v>0.47990074441687347</v>
      </c>
      <c r="CC31" s="26">
        <f t="shared" si="49"/>
        <v>2.8708987161198289E-2</v>
      </c>
      <c r="CD31" s="26">
        <f t="shared" si="50"/>
        <v>1.1616650532429815E-3</v>
      </c>
      <c r="CE31" s="26">
        <f t="shared" si="51"/>
        <v>0</v>
      </c>
      <c r="CF31" s="26">
        <f t="shared" si="52"/>
        <v>0</v>
      </c>
      <c r="CG31" s="26">
        <f t="shared" si="53"/>
        <v>0</v>
      </c>
      <c r="CH31" s="26">
        <f t="shared" si="54"/>
        <v>0</v>
      </c>
      <c r="CI31" s="26">
        <f t="shared" si="55"/>
        <v>1.7280633765436093</v>
      </c>
      <c r="CJ31" s="26">
        <f t="shared" si="56"/>
        <v>2.5950580817068878</v>
      </c>
      <c r="CK31" s="26">
        <f t="shared" si="57"/>
        <v>2.3147299192235709</v>
      </c>
      <c r="CL31" s="26">
        <f t="shared" si="58"/>
        <v>6.0068585838498594</v>
      </c>
      <c r="CM31" s="1"/>
      <c r="CN31" s="22"/>
      <c r="CO31" s="96"/>
      <c r="CP31" s="14"/>
      <c r="CQ31" s="14"/>
      <c r="CR31" s="14"/>
      <c r="CS31" s="14"/>
      <c r="CT31" s="22"/>
      <c r="CU31" s="14"/>
      <c r="CV31" s="22"/>
      <c r="CW31" s="22"/>
      <c r="CX31" s="14"/>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46"/>
      <c r="FF31" s="46"/>
      <c r="FG31" s="46"/>
      <c r="FH31" s="46"/>
      <c r="FI31" s="46"/>
      <c r="FJ31" s="46"/>
      <c r="FK31" s="46"/>
      <c r="FL31" s="46"/>
      <c r="FM31" s="46"/>
      <c r="FN31" s="46"/>
      <c r="FO31" s="46"/>
    </row>
    <row r="32" spans="1:171" x14ac:dyDescent="0.25">
      <c r="A32" s="5" t="s">
        <v>85</v>
      </c>
      <c r="B32" s="1">
        <v>1359</v>
      </c>
      <c r="C32" s="98" t="s">
        <v>98</v>
      </c>
      <c r="D32" s="98" t="s">
        <v>105</v>
      </c>
      <c r="E32" s="1">
        <v>366</v>
      </c>
      <c r="F32" s="22">
        <v>52.41</v>
      </c>
      <c r="G32" s="22">
        <v>0.48099999999999998</v>
      </c>
      <c r="H32" s="22">
        <v>0.98399999999999999</v>
      </c>
      <c r="I32" s="22">
        <v>0</v>
      </c>
      <c r="J32" s="22">
        <v>20.62</v>
      </c>
      <c r="K32" s="22">
        <v>0.88900000000000001</v>
      </c>
      <c r="L32" s="22">
        <v>22.44</v>
      </c>
      <c r="M32" s="22">
        <v>1.69</v>
      </c>
      <c r="N32" s="22">
        <v>0.06</v>
      </c>
      <c r="O32" s="22">
        <v>0</v>
      </c>
      <c r="P32" s="22">
        <v>0</v>
      </c>
      <c r="Q32" s="22"/>
      <c r="R32" s="22"/>
      <c r="S32" s="22">
        <f t="shared" si="0"/>
        <v>99.573999999999998</v>
      </c>
      <c r="T32" s="3"/>
      <c r="U32" s="22">
        <f t="shared" si="1"/>
        <v>19.758400854997085</v>
      </c>
      <c r="V32" s="22">
        <f t="shared" si="2"/>
        <v>0.95749512984174134</v>
      </c>
      <c r="W32" s="22">
        <f t="shared" si="3"/>
        <v>99.669895984838831</v>
      </c>
      <c r="X32" s="1"/>
      <c r="Y32" s="1"/>
      <c r="Z32" s="1"/>
      <c r="AA32" s="1" t="s">
        <v>185</v>
      </c>
      <c r="AC32" s="1">
        <v>6</v>
      </c>
      <c r="AD32" s="1">
        <v>4</v>
      </c>
      <c r="AE32" s="1"/>
      <c r="AF32" s="26">
        <f t="shared" si="4"/>
        <v>1.9580230579721967</v>
      </c>
      <c r="AG32" s="26">
        <f t="shared" si="5"/>
        <v>1.3515763575803594E-2</v>
      </c>
      <c r="AH32" s="26">
        <f t="shared" si="6"/>
        <v>4.3324028554845941E-2</v>
      </c>
      <c r="AI32" s="26">
        <f t="shared" si="7"/>
        <v>0</v>
      </c>
      <c r="AJ32" s="26">
        <f t="shared" si="8"/>
        <v>0.64416252354259762</v>
      </c>
      <c r="AK32" s="26">
        <f t="shared" si="9"/>
        <v>2.8128342590848201E-2</v>
      </c>
      <c r="AL32" s="26">
        <f t="shared" si="10"/>
        <v>1.2498312305899977</v>
      </c>
      <c r="AM32" s="26">
        <f t="shared" si="11"/>
        <v>6.76413498460572E-2</v>
      </c>
      <c r="AN32" s="26">
        <f t="shared" si="12"/>
        <v>4.3457350044586495E-3</v>
      </c>
      <c r="AO32" s="26">
        <f t="shared" si="13"/>
        <v>0</v>
      </c>
      <c r="AP32" s="26">
        <f t="shared" si="14"/>
        <v>0</v>
      </c>
      <c r="AQ32" s="26">
        <f t="shared" si="15"/>
        <v>0</v>
      </c>
      <c r="AR32" s="26">
        <f t="shared" si="16"/>
        <v>0</v>
      </c>
      <c r="AS32" s="26">
        <f t="shared" si="17"/>
        <v>4.008972031676806</v>
      </c>
      <c r="AT32" s="26">
        <f t="shared" si="18"/>
        <v>2.0013470865270424</v>
      </c>
      <c r="AU32" s="26">
        <f t="shared" si="19"/>
        <v>7.1987084850515845E-2</v>
      </c>
      <c r="AV32" s="47"/>
      <c r="AW32" s="26">
        <f t="shared" si="20"/>
        <v>1.9536410256803187</v>
      </c>
      <c r="AX32" s="26">
        <f t="shared" si="21"/>
        <v>1.3485515457837152E-2</v>
      </c>
      <c r="AY32" s="26">
        <f t="shared" si="22"/>
        <v>4.3227069894748144E-2</v>
      </c>
      <c r="AZ32" s="26">
        <f t="shared" si="23"/>
        <v>0</v>
      </c>
      <c r="BA32" s="26">
        <f t="shared" si="24"/>
        <v>0.61586503835399209</v>
      </c>
      <c r="BB32" s="26">
        <f t="shared" si="25"/>
        <v>2.6855857130198224E-2</v>
      </c>
      <c r="BC32" s="26">
        <f t="shared" si="26"/>
        <v>2.8065391695020776E-2</v>
      </c>
      <c r="BD32" s="26">
        <f t="shared" si="27"/>
        <v>1.247034123176199</v>
      </c>
      <c r="BE32" s="26">
        <f t="shared" si="28"/>
        <v>6.7489969310427236E-2</v>
      </c>
      <c r="BF32" s="26">
        <f t="shared" si="29"/>
        <v>4.3360093012581955E-3</v>
      </c>
      <c r="BG32" s="26">
        <f t="shared" si="30"/>
        <v>0</v>
      </c>
      <c r="BH32" s="26">
        <f t="shared" si="31"/>
        <v>0</v>
      </c>
      <c r="BI32" s="26">
        <f t="shared" si="32"/>
        <v>0</v>
      </c>
      <c r="BJ32" s="26">
        <f t="shared" si="33"/>
        <v>0</v>
      </c>
      <c r="BK32" s="25">
        <f t="shared" si="34"/>
        <v>3.9999999999999991</v>
      </c>
      <c r="BL32" s="24">
        <f t="shared" si="35"/>
        <v>6.0000000000000009</v>
      </c>
      <c r="BM32" s="26">
        <f t="shared" si="36"/>
        <v>1.9968680955750668</v>
      </c>
      <c r="BN32" s="26">
        <f t="shared" si="37"/>
        <v>7.1825978611685437E-2</v>
      </c>
      <c r="BO32" s="22"/>
      <c r="BP32" s="26">
        <f t="shared" si="38"/>
        <v>0.65989194941267959</v>
      </c>
      <c r="BQ32" s="22"/>
      <c r="BR32" s="22">
        <f t="shared" si="39"/>
        <v>3.3994669046049607E-2</v>
      </c>
      <c r="BS32" s="22">
        <f t="shared" si="40"/>
        <v>0.62813056132114553</v>
      </c>
      <c r="BT32" s="22">
        <f t="shared" si="41"/>
        <v>0.33787476963280483</v>
      </c>
      <c r="BU32" s="1"/>
      <c r="BV32" s="26">
        <f t="shared" si="42"/>
        <v>0.87233688415446065</v>
      </c>
      <c r="BW32" s="26">
        <f t="shared" si="43"/>
        <v>6.0215322984476715E-3</v>
      </c>
      <c r="BX32" s="26">
        <f t="shared" si="44"/>
        <v>1.9301686936053355E-2</v>
      </c>
      <c r="BY32" s="26">
        <f t="shared" si="45"/>
        <v>0</v>
      </c>
      <c r="BZ32" s="26">
        <f t="shared" si="46"/>
        <v>0.28698677800974254</v>
      </c>
      <c r="CA32" s="26">
        <f t="shared" si="47"/>
        <v>1.2531716943896251E-2</v>
      </c>
      <c r="CB32" s="26">
        <f t="shared" si="48"/>
        <v>0.55682382133995045</v>
      </c>
      <c r="CC32" s="26">
        <f t="shared" si="49"/>
        <v>3.013552068473609E-2</v>
      </c>
      <c r="CD32" s="26">
        <f t="shared" si="50"/>
        <v>1.9361084220716361E-3</v>
      </c>
      <c r="CE32" s="26">
        <f t="shared" si="51"/>
        <v>0</v>
      </c>
      <c r="CF32" s="26">
        <f t="shared" si="52"/>
        <v>0</v>
      </c>
      <c r="CG32" s="26">
        <f t="shared" si="53"/>
        <v>0</v>
      </c>
      <c r="CH32" s="26">
        <f t="shared" si="54"/>
        <v>0</v>
      </c>
      <c r="CI32" s="26">
        <f t="shared" si="55"/>
        <v>1.7860740487893589</v>
      </c>
      <c r="CJ32" s="26">
        <f t="shared" si="56"/>
        <v>2.6731152544992582</v>
      </c>
      <c r="CK32" s="26">
        <f t="shared" si="57"/>
        <v>2.2395488040998579</v>
      </c>
      <c r="CL32" s="26">
        <f t="shared" si="58"/>
        <v>5.9865720714349013</v>
      </c>
      <c r="CM32" s="1"/>
      <c r="CN32" s="22"/>
      <c r="CO32" s="96"/>
      <c r="CP32" s="14"/>
      <c r="CQ32" s="14"/>
      <c r="CR32" s="14"/>
      <c r="CS32" s="14"/>
      <c r="CT32" s="22"/>
      <c r="CU32" s="14"/>
      <c r="CV32" s="22"/>
      <c r="CW32" s="22"/>
      <c r="CX32" s="14"/>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46"/>
      <c r="FF32" s="46"/>
      <c r="FG32" s="46"/>
      <c r="FH32" s="46"/>
      <c r="FI32" s="46"/>
      <c r="FJ32" s="46"/>
      <c r="FK32" s="46"/>
      <c r="FL32" s="46"/>
      <c r="FM32" s="46"/>
      <c r="FN32" s="46"/>
      <c r="FO32" s="46"/>
    </row>
    <row r="33" spans="1:171" x14ac:dyDescent="0.25">
      <c r="A33" s="5" t="s">
        <v>85</v>
      </c>
      <c r="B33" s="1">
        <v>1361</v>
      </c>
      <c r="C33" s="98" t="s">
        <v>98</v>
      </c>
      <c r="D33" s="98" t="s">
        <v>105</v>
      </c>
      <c r="E33" s="1">
        <v>368</v>
      </c>
      <c r="F33" s="22">
        <v>51.51</v>
      </c>
      <c r="G33" s="22">
        <v>0.46300000000000002</v>
      </c>
      <c r="H33" s="22">
        <v>1.3029999999999999</v>
      </c>
      <c r="I33" s="22">
        <v>2.4E-2</v>
      </c>
      <c r="J33" s="22">
        <v>20.440000000000001</v>
      </c>
      <c r="K33" s="22">
        <v>0.80300000000000005</v>
      </c>
      <c r="L33" s="22">
        <v>21.52</v>
      </c>
      <c r="M33" s="22">
        <v>2.2599999999999998</v>
      </c>
      <c r="N33" s="22">
        <v>3.5000000000000003E-2</v>
      </c>
      <c r="O33" s="22">
        <v>0</v>
      </c>
      <c r="P33" s="22">
        <v>0</v>
      </c>
      <c r="Q33" s="22"/>
      <c r="R33" s="22"/>
      <c r="S33" s="22">
        <f t="shared" si="0"/>
        <v>98.35799999999999</v>
      </c>
      <c r="T33" s="3"/>
      <c r="U33" s="22">
        <f t="shared" si="1"/>
        <v>19.778884132393173</v>
      </c>
      <c r="V33" s="22">
        <f t="shared" si="2"/>
        <v>0.73469806367146728</v>
      </c>
      <c r="W33" s="22">
        <f t="shared" si="3"/>
        <v>98.431582196064625</v>
      </c>
      <c r="X33" s="1"/>
      <c r="Y33" s="1"/>
      <c r="Z33" s="1"/>
      <c r="AA33" s="1" t="s">
        <v>185</v>
      </c>
      <c r="AC33" s="1">
        <v>6</v>
      </c>
      <c r="AD33" s="1">
        <v>4</v>
      </c>
      <c r="AE33" s="1"/>
      <c r="AF33" s="26">
        <f t="shared" si="4"/>
        <v>1.9516589898707153</v>
      </c>
      <c r="AG33" s="26">
        <f t="shared" si="5"/>
        <v>1.3194266304230489E-2</v>
      </c>
      <c r="AH33" s="26">
        <f t="shared" si="6"/>
        <v>5.8181765435208851E-2</v>
      </c>
      <c r="AI33" s="26">
        <f t="shared" si="7"/>
        <v>7.1890008158620043E-4</v>
      </c>
      <c r="AJ33" s="26">
        <f t="shared" si="8"/>
        <v>0.64758447642712214</v>
      </c>
      <c r="AK33" s="26">
        <f t="shared" si="9"/>
        <v>2.5767166969278662E-2</v>
      </c>
      <c r="AL33" s="26">
        <f t="shared" si="10"/>
        <v>1.2155687632207239</v>
      </c>
      <c r="AM33" s="26">
        <f t="shared" si="11"/>
        <v>9.1736622118940112E-2</v>
      </c>
      <c r="AN33" s="26">
        <f t="shared" si="12"/>
        <v>2.5709212777038507E-3</v>
      </c>
      <c r="AO33" s="26">
        <f t="shared" si="13"/>
        <v>0</v>
      </c>
      <c r="AP33" s="26">
        <f t="shared" si="14"/>
        <v>0</v>
      </c>
      <c r="AQ33" s="26">
        <f t="shared" si="15"/>
        <v>0</v>
      </c>
      <c r="AR33" s="26">
        <f t="shared" si="16"/>
        <v>0</v>
      </c>
      <c r="AS33" s="26">
        <f t="shared" si="17"/>
        <v>4.0069818717055092</v>
      </c>
      <c r="AT33" s="26">
        <f t="shared" si="18"/>
        <v>2.0098407553059241</v>
      </c>
      <c r="AU33" s="26">
        <f t="shared" si="19"/>
        <v>9.4307543396643961E-2</v>
      </c>
      <c r="AV33" s="47"/>
      <c r="AW33" s="26">
        <f t="shared" si="20"/>
        <v>1.9482583673781606</v>
      </c>
      <c r="AX33" s="26">
        <f t="shared" si="21"/>
        <v>1.317127626396229E-2</v>
      </c>
      <c r="AY33" s="26">
        <f t="shared" si="22"/>
        <v>5.8080387980836756E-2</v>
      </c>
      <c r="AZ33" s="26">
        <f t="shared" si="23"/>
        <v>7.1764745097807191E-4</v>
      </c>
      <c r="BA33" s="26">
        <f t="shared" si="24"/>
        <v>0.62554698910467021</v>
      </c>
      <c r="BB33" s="26">
        <f t="shared" si="25"/>
        <v>2.0909118920084069E-2</v>
      </c>
      <c r="BC33" s="26">
        <f t="shared" si="26"/>
        <v>2.5722269572745805E-2</v>
      </c>
      <c r="BD33" s="26">
        <f t="shared" si="27"/>
        <v>1.2134507239019139</v>
      </c>
      <c r="BE33" s="26">
        <f t="shared" si="28"/>
        <v>9.1576777790505812E-2</v>
      </c>
      <c r="BF33" s="26">
        <f t="shared" si="29"/>
        <v>2.5664416361430441E-3</v>
      </c>
      <c r="BG33" s="26">
        <f t="shared" si="30"/>
        <v>0</v>
      </c>
      <c r="BH33" s="26">
        <f t="shared" si="31"/>
        <v>0</v>
      </c>
      <c r="BI33" s="26">
        <f t="shared" si="32"/>
        <v>0</v>
      </c>
      <c r="BJ33" s="26">
        <f t="shared" si="33"/>
        <v>0</v>
      </c>
      <c r="BK33" s="25">
        <f t="shared" si="34"/>
        <v>4</v>
      </c>
      <c r="BL33" s="24">
        <f t="shared" si="35"/>
        <v>6.0000000000000009</v>
      </c>
      <c r="BM33" s="26">
        <f t="shared" si="36"/>
        <v>2.0063387553589975</v>
      </c>
      <c r="BN33" s="26">
        <f t="shared" si="37"/>
        <v>9.4143219426648855E-2</v>
      </c>
      <c r="BO33" s="22"/>
      <c r="BP33" s="26">
        <f t="shared" si="38"/>
        <v>0.65242554254446516</v>
      </c>
      <c r="BQ33" s="22"/>
      <c r="BR33" s="22">
        <f t="shared" si="39"/>
        <v>4.6316258084056511E-2</v>
      </c>
      <c r="BS33" s="22">
        <f t="shared" si="40"/>
        <v>0.61371996543814866</v>
      </c>
      <c r="BT33" s="22">
        <f t="shared" si="41"/>
        <v>0.33996377647779485</v>
      </c>
      <c r="BU33" s="1"/>
      <c r="BV33" s="26">
        <f t="shared" si="42"/>
        <v>0.85735685752330226</v>
      </c>
      <c r="BW33" s="26">
        <f t="shared" si="43"/>
        <v>5.7961942914371567E-3</v>
      </c>
      <c r="BX33" s="26">
        <f t="shared" si="44"/>
        <v>2.55590427618674E-2</v>
      </c>
      <c r="BY33" s="26">
        <f t="shared" si="45"/>
        <v>3.1581025067438644E-4</v>
      </c>
      <c r="BZ33" s="26">
        <f t="shared" si="46"/>
        <v>0.28448155880306197</v>
      </c>
      <c r="CA33" s="26">
        <f t="shared" si="47"/>
        <v>1.1319424866084015E-2</v>
      </c>
      <c r="CB33" s="26">
        <f t="shared" si="48"/>
        <v>0.53399503722084374</v>
      </c>
      <c r="CC33" s="26">
        <f t="shared" si="49"/>
        <v>4.0299572039942937E-2</v>
      </c>
      <c r="CD33" s="26">
        <f t="shared" si="50"/>
        <v>1.1293965795417878E-3</v>
      </c>
      <c r="CE33" s="26">
        <f t="shared" si="51"/>
        <v>0</v>
      </c>
      <c r="CF33" s="26">
        <f t="shared" si="52"/>
        <v>0</v>
      </c>
      <c r="CG33" s="26">
        <f t="shared" si="53"/>
        <v>0</v>
      </c>
      <c r="CH33" s="26">
        <f t="shared" si="54"/>
        <v>0</v>
      </c>
      <c r="CI33" s="26">
        <f t="shared" si="55"/>
        <v>1.7602528943367555</v>
      </c>
      <c r="CJ33" s="26">
        <f t="shared" si="56"/>
        <v>2.635778674367995</v>
      </c>
      <c r="CK33" s="26">
        <f t="shared" si="57"/>
        <v>2.2724007515449407</v>
      </c>
      <c r="CL33" s="26">
        <f t="shared" si="58"/>
        <v>5.9895454405399589</v>
      </c>
      <c r="CM33" s="1"/>
      <c r="CN33" s="22"/>
      <c r="CO33" s="96"/>
      <c r="CP33" s="14"/>
      <c r="CQ33" s="14"/>
      <c r="CR33" s="14"/>
      <c r="CS33" s="14"/>
      <c r="CT33" s="22"/>
      <c r="CU33" s="14"/>
      <c r="CV33" s="22"/>
      <c r="CW33" s="22"/>
      <c r="CX33" s="14"/>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46">
        <f>7.601647 - 13.20417 * BP33 + N("45d Mg#    r2 0.76")</f>
        <v>-1.0130907760993502</v>
      </c>
      <c r="FF33" s="46">
        <f>6.542808 - 11.82852 * BP33 + N("mg#")</f>
        <v>-1.174420578498057</v>
      </c>
      <c r="FG33" s="46">
        <f>3.803999 - 7.570213 * BP33 + N("mg#")</f>
        <v>-1.1350013237021628</v>
      </c>
      <c r="FH33" s="46">
        <f>4.421323 - 8.556768 * BP33 + N("mg#")</f>
        <v>-1.1613310048271179</v>
      </c>
      <c r="FI33" s="46">
        <f>4.645469 - 8.242464 * BP33 + N("50d mg# r2 0.67")</f>
        <v>-0.73212504710322257</v>
      </c>
      <c r="FJ33" s="46">
        <f>5.169659 - 8.510973 * BP33 + N("mg#")</f>
        <v>-0.38311717710629445</v>
      </c>
      <c r="FK33" s="46"/>
      <c r="FL33" s="46"/>
      <c r="FM33" s="46"/>
      <c r="FN33" s="46"/>
      <c r="FO33" s="46"/>
    </row>
    <row r="34" spans="1:171" x14ac:dyDescent="0.25">
      <c r="A34" s="5" t="s">
        <v>85</v>
      </c>
      <c r="B34" s="1">
        <v>1362</v>
      </c>
      <c r="C34" s="98" t="s">
        <v>98</v>
      </c>
      <c r="D34" s="98" t="s">
        <v>105</v>
      </c>
      <c r="E34" s="1">
        <v>369</v>
      </c>
      <c r="F34" s="22">
        <v>52.95</v>
      </c>
      <c r="G34" s="22">
        <v>0.29299999999999998</v>
      </c>
      <c r="H34" s="22">
        <v>0.73599999999999999</v>
      </c>
      <c r="I34" s="22">
        <v>8.0000000000000002E-3</v>
      </c>
      <c r="J34" s="22">
        <v>18.34</v>
      </c>
      <c r="K34" s="22">
        <v>0.76200000000000001</v>
      </c>
      <c r="L34" s="22">
        <v>24.69</v>
      </c>
      <c r="M34" s="22">
        <v>1.7</v>
      </c>
      <c r="N34" s="22">
        <v>3.5999999999999997E-2</v>
      </c>
      <c r="O34" s="22">
        <v>0.01</v>
      </c>
      <c r="P34" s="22">
        <v>0</v>
      </c>
      <c r="Q34" s="22"/>
      <c r="R34" s="22"/>
      <c r="S34" s="22">
        <f t="shared" ref="S34:S65" si="59">SUM(F34:R34)</f>
        <v>99.525000000000006</v>
      </c>
      <c r="T34" s="3"/>
      <c r="U34" s="22">
        <f t="shared" ref="U34:U65" si="60">J34*BA34/(BA34+BB34)</f>
        <v>16.42020725149473</v>
      </c>
      <c r="V34" s="22">
        <f t="shared" ref="V34:V65" si="61">1.1113*J34*BB34/(BA34+BB34)</f>
        <v>2.1334656814139072</v>
      </c>
      <c r="W34" s="22">
        <f t="shared" ref="W34:W65" si="62">SUM(F34:I34)+SUM(K34:R34)+SUM(U34:V34)</f>
        <v>99.738672932908642</v>
      </c>
      <c r="X34" s="1"/>
      <c r="Y34" s="1"/>
      <c r="Z34" s="1"/>
      <c r="AA34" s="1" t="s">
        <v>185</v>
      </c>
      <c r="AC34" s="1">
        <v>6</v>
      </c>
      <c r="AD34" s="1">
        <v>4</v>
      </c>
      <c r="AE34" s="1"/>
      <c r="AF34" s="26">
        <f t="shared" ref="AF34:AF65" si="63">BV34*($AC34/$CJ34)</f>
        <v>1.9574480865171076</v>
      </c>
      <c r="AG34" s="26">
        <f t="shared" ref="AG34:AG65" si="64">BW34*($AC34/$CJ34)</f>
        <v>8.1467385081679909E-3</v>
      </c>
      <c r="AH34" s="26">
        <f t="shared" ref="AH34:AH65" si="65">BX34*($AC34/$CJ34)</f>
        <v>3.2065070248781885E-2</v>
      </c>
      <c r="AI34" s="26">
        <f t="shared" ref="AI34:AI65" si="66">BY34*($AC34/$CJ34)</f>
        <v>2.3380789944460023E-4</v>
      </c>
      <c r="AJ34" s="26">
        <f t="shared" ref="AJ34:AJ65" si="67">BZ34*($AC34/$CJ34)</f>
        <v>0.56692651770612834</v>
      </c>
      <c r="AK34" s="26">
        <f t="shared" ref="AK34:AK65" si="68">CA34*($AC34/$CJ34)</f>
        <v>2.3857119157983518E-2</v>
      </c>
      <c r="AL34" s="26">
        <f t="shared" ref="AL34:AL65" si="69">CB34*($AC34/$CJ34)</f>
        <v>1.3607246626818839</v>
      </c>
      <c r="AM34" s="26">
        <f t="shared" ref="AM34:AM65" si="70">CC34*($AC34/$CJ34)</f>
        <v>6.7327909328408236E-2</v>
      </c>
      <c r="AN34" s="26">
        <f t="shared" ref="AN34:AN65" si="71">CD34*($AC34/$CJ34)</f>
        <v>2.5800916725497187E-3</v>
      </c>
      <c r="AO34" s="26">
        <f t="shared" ref="AO34:AO65" si="72">CE34*($AC34/$CJ34)</f>
        <v>4.7155603286338637E-4</v>
      </c>
      <c r="AP34" s="26">
        <f t="shared" ref="AP34:AP65" si="73">CF34*($AC34/$CJ34)</f>
        <v>0</v>
      </c>
      <c r="AQ34" s="26">
        <f t="shared" ref="AQ34:AQ65" si="74">CG34*($AC34/$CJ34)</f>
        <v>0</v>
      </c>
      <c r="AR34" s="26">
        <f t="shared" ref="AR34:AR65" si="75">CH34*($AC34/$CJ34)</f>
        <v>0</v>
      </c>
      <c r="AS34" s="26">
        <f t="shared" ref="AS34:AS65" si="76">SUM(AF34:AQ34)</f>
        <v>4.0197815597533184</v>
      </c>
      <c r="AT34" s="26">
        <f t="shared" ref="AT34:AT65" si="77">AF34+AH34</f>
        <v>1.9895131567658895</v>
      </c>
      <c r="AU34" s="26">
        <f t="shared" ref="AU34:AU65" si="78">SUM(AM34:AO34)</f>
        <v>7.0379557033821344E-2</v>
      </c>
      <c r="AV34" s="47"/>
      <c r="AW34" s="26">
        <f t="shared" ref="AW34:AW65" si="79">IF($AD34&gt;0,BV34*$CK34,"")</f>
        <v>1.9478153799354505</v>
      </c>
      <c r="AX34" s="26">
        <f t="shared" ref="AX34:AX65" si="80">IF($AD34&gt;0,BW34*$CK34,"")</f>
        <v>8.1066479728494779E-3</v>
      </c>
      <c r="AY34" s="26">
        <f t="shared" ref="AY34:AY65" si="81">IF($AD34&gt;0,BX34*$CK34,"")</f>
        <v>3.1907276325482334E-2</v>
      </c>
      <c r="AZ34" s="26">
        <f t="shared" ref="AZ34:AZ65" si="82">IF($AD34&gt;0,BY34*$CK34,"")</f>
        <v>2.326573182836813E-4</v>
      </c>
      <c r="BA34" s="26">
        <f t="shared" ref="BA34:BA65" si="83">IF($AD34&gt;0 +N("so a blank cell if no ideal cations set"),                         BZ34*CK34-BB34,"")</f>
        <v>0.50508400110907736</v>
      </c>
      <c r="BB34" s="26">
        <f t="shared" ref="BB34:BB65" si="84">IF($AD34&gt;0 +N("so a blank cell if no ideal cations set"),                                                                     IF(AS34&gt;AD34,                          IF(  2*AC34*(1-(AD34/AS34))   &lt;   BZ34*CK34,    2*AC34*(1-(AD34/AS34)),    BZ34*CK34),0),"")</f>
        <v>5.9052640923698885E-2</v>
      </c>
      <c r="BC34" s="26">
        <f t="shared" ref="BC34:BC65" si="85">IF($AD34&gt;0,CA34*$CK34,"")</f>
        <v>2.3739717000390986E-2</v>
      </c>
      <c r="BD34" s="26">
        <f t="shared" ref="BD34:BD65" si="86">IF($AD34&gt;0,CB34*$CK34,"")</f>
        <v>1.3540284639401023</v>
      </c>
      <c r="BE34" s="26">
        <f t="shared" ref="BE34:BE65" si="87">IF($AD34&gt;0,CC34*$CK34,"")</f>
        <v>6.6996585090598734E-2</v>
      </c>
      <c r="BF34" s="26">
        <f t="shared" ref="BF34:BF65" si="88">IF($AD34&gt;0,CD34*$CK34,"")</f>
        <v>2.5673949036256094E-3</v>
      </c>
      <c r="BG34" s="26">
        <f t="shared" ref="BG34:BG65" si="89">IF($AD34&gt;0,CE34*$CK34,"")</f>
        <v>4.692354804397124E-4</v>
      </c>
      <c r="BH34" s="26">
        <f t="shared" ref="BH34:BH65" si="90">IF($AD34&gt;0,CF34*$CK34,"")</f>
        <v>0</v>
      </c>
      <c r="BI34" s="26">
        <f t="shared" ref="BI34:BI65" si="91">IF($AD34&gt;0,CG34*$CK34,"")</f>
        <v>0</v>
      </c>
      <c r="BJ34" s="26">
        <f t="shared" ref="BJ34:BJ65" si="92">IF($AD34&gt;0,CH34*$CK34,"")</f>
        <v>0</v>
      </c>
      <c r="BK34" s="25">
        <f t="shared" ref="BK34:BK65" si="93">IF(AD34&gt;0,SUM(AW34:BI34),"")</f>
        <v>4</v>
      </c>
      <c r="BL34" s="24">
        <f t="shared" ref="BL34:BL65" si="94">(AW34+AX34)*2+(AY34+AZ34+BB34)*1.5+BA34+BC34+BD34+BE34+(BF34+BG34)*0.5+BH34*2.5+BI34*3  -(0.5*(BJ34))</f>
        <v>5.9999999999999982</v>
      </c>
      <c r="BM34" s="26">
        <f t="shared" ref="BM34:BM65" si="95">IF(AD34&gt;0,AW34+AY34,"")</f>
        <v>1.9797226562609329</v>
      </c>
      <c r="BN34" s="26">
        <f t="shared" ref="BN34:BN65" si="96">IF(AD34&gt;0,SUM(BE34:BG34),"")</f>
        <v>7.0033215474664054E-2</v>
      </c>
      <c r="BO34" s="22"/>
      <c r="BP34" s="26">
        <f t="shared" ref="BP34:BP65" si="97">AL34/(AL34+AJ34)</f>
        <v>0.70589776642472579</v>
      </c>
      <c r="BQ34" s="22"/>
      <c r="BR34" s="22">
        <f t="shared" ref="BR34:BR65" si="98">BE34/(BE34+BD34+BA34+BB34+BC34)</f>
        <v>3.3349862179233802E-2</v>
      </c>
      <c r="BS34" s="22">
        <f t="shared" ref="BS34:BS65" si="99">BD34/(BE34+BD34+BA34+BB34+BC34)</f>
        <v>0.67401439339180058</v>
      </c>
      <c r="BT34" s="22">
        <f t="shared" ref="BT34:BT65" si="100">(BA34+BB34+BC34)/(BE34+BD34+BA34+BB34+BC34)</f>
        <v>0.29263574442896556</v>
      </c>
      <c r="BU34" s="1"/>
      <c r="BV34" s="26">
        <f t="shared" ref="BV34:BV65" si="101">F34/60.08</f>
        <v>0.8813249001331559</v>
      </c>
      <c r="BW34" s="26">
        <f t="shared" ref="BW34:BW65" si="102">G34/79.88</f>
        <v>3.6680020030045069E-3</v>
      </c>
      <c r="BX34" s="26">
        <f t="shared" ref="BX34:BX65" si="103">H34/101.96*2</f>
        <v>1.4437034131031777E-2</v>
      </c>
      <c r="BY34" s="26">
        <f t="shared" ref="BY34:BY65" si="104">I34/151.99*2</f>
        <v>1.0527008355812881E-4</v>
      </c>
      <c r="BZ34" s="26">
        <f t="shared" ref="BZ34:BZ65" si="105">J34/71.85</f>
        <v>0.25525400139178844</v>
      </c>
      <c r="CA34" s="26">
        <f t="shared" ref="CA34:CA65" si="106">K34/70.94</f>
        <v>1.0741471666196786E-2</v>
      </c>
      <c r="CB34" s="26">
        <f t="shared" ref="CB34:CB65" si="107">L34/40.3</f>
        <v>0.61265508684863534</v>
      </c>
      <c r="CC34" s="26">
        <f t="shared" ref="CC34:CC65" si="108">M34/56.08</f>
        <v>3.0313837375178315E-2</v>
      </c>
      <c r="CD34" s="26">
        <f t="shared" ref="CD34:CD65" si="109">N34/61.98*2</f>
        <v>1.1616650532429815E-3</v>
      </c>
      <c r="CE34" s="26">
        <f t="shared" ref="CE34:CE65" si="110">O34/94.2*2</f>
        <v>2.1231422505307856E-4</v>
      </c>
      <c r="CF34" s="26">
        <f t="shared" ref="CF34:CF65" si="111">P34/141.94*2</f>
        <v>0</v>
      </c>
      <c r="CG34" s="26">
        <f t="shared" ref="CG34:CG65" si="112">Q34/80.06</f>
        <v>0</v>
      </c>
      <c r="CH34" s="26">
        <f t="shared" ref="CH34:CH65" si="113">R34/35.45</f>
        <v>0</v>
      </c>
      <c r="CI34" s="26">
        <f t="shared" ref="CI34:CI65" si="114">SUM(BV34:CG34)</f>
        <v>1.8098735829108454</v>
      </c>
      <c r="CJ34" s="26">
        <f t="shared" ref="CJ34:CJ65" si="115">(BV34+BW34)*2+(BX34+BY34)*1.5+BZ34+CA34+CB34+CC34+(CD34+CE34)*0.5+CF34*2.5+CG34*3+     -(0.5*(CH34))</f>
        <v>2.7014506475151521</v>
      </c>
      <c r="CK34" s="26">
        <f t="shared" ref="CK34:CK65" si="116">AD34/CI34</f>
        <v>2.2100991128710454</v>
      </c>
      <c r="CL34" s="26">
        <f t="shared" ref="CL34:CL65" si="117">CJ34*CK34</f>
        <v>5.9704736795381486</v>
      </c>
      <c r="CM34" s="1"/>
      <c r="CN34" s="22"/>
      <c r="CO34" s="96"/>
      <c r="CP34" s="14"/>
      <c r="CQ34" s="14"/>
      <c r="CR34" s="14"/>
      <c r="CS34" s="14"/>
      <c r="CT34" s="22"/>
      <c r="CU34" s="14"/>
      <c r="CV34" s="22"/>
      <c r="CW34" s="22"/>
      <c r="CX34" s="14"/>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46"/>
      <c r="FF34" s="46"/>
      <c r="FG34" s="46"/>
      <c r="FH34" s="46"/>
      <c r="FI34" s="46"/>
      <c r="FJ34" s="46"/>
      <c r="FK34" s="46"/>
      <c r="FL34" s="46"/>
      <c r="FM34" s="46"/>
      <c r="FN34" s="46"/>
      <c r="FO34" s="46"/>
    </row>
    <row r="35" spans="1:171" x14ac:dyDescent="0.25">
      <c r="A35" s="5" t="s">
        <v>92</v>
      </c>
      <c r="B35" s="1">
        <v>968</v>
      </c>
      <c r="C35" s="98" t="s">
        <v>255</v>
      </c>
      <c r="D35" s="98" t="s">
        <v>106</v>
      </c>
      <c r="E35" s="1">
        <v>126</v>
      </c>
      <c r="F35" s="22">
        <v>52.64</v>
      </c>
      <c r="G35" s="22">
        <v>0.23499999999999999</v>
      </c>
      <c r="H35" s="22">
        <v>0.65800000000000003</v>
      </c>
      <c r="I35" s="22">
        <v>0</v>
      </c>
      <c r="J35" s="22">
        <v>24.51</v>
      </c>
      <c r="K35" s="22">
        <v>0.81100000000000005</v>
      </c>
      <c r="L35" s="22">
        <v>20.149999999999999</v>
      </c>
      <c r="M35" s="22">
        <v>1.68</v>
      </c>
      <c r="N35" s="22">
        <v>1.2999999999999999E-2</v>
      </c>
      <c r="O35" s="22">
        <v>0</v>
      </c>
      <c r="P35" s="22">
        <v>0</v>
      </c>
      <c r="Q35" s="22"/>
      <c r="R35" s="22"/>
      <c r="S35" s="22">
        <f t="shared" si="59"/>
        <v>100.69700000000003</v>
      </c>
      <c r="T35" s="3"/>
      <c r="U35" s="22">
        <f t="shared" si="60"/>
        <v>24.204730680543282</v>
      </c>
      <c r="V35" s="22">
        <f t="shared" si="61"/>
        <v>0.33924579471225164</v>
      </c>
      <c r="W35" s="22">
        <f t="shared" si="62"/>
        <v>100.73097647525553</v>
      </c>
      <c r="X35" s="1">
        <v>128</v>
      </c>
      <c r="Y35" s="1"/>
      <c r="Z35" s="1"/>
      <c r="AA35" s="1" t="s">
        <v>185</v>
      </c>
      <c r="AC35" s="1">
        <v>6</v>
      </c>
      <c r="AD35" s="1">
        <v>4</v>
      </c>
      <c r="AE35" s="1"/>
      <c r="AF35" s="26">
        <f t="shared" si="63"/>
        <v>1.9760886162236682</v>
      </c>
      <c r="AG35" s="26">
        <f t="shared" si="64"/>
        <v>6.6351426728663288E-3</v>
      </c>
      <c r="AH35" s="26">
        <f t="shared" si="65"/>
        <v>2.9110289344526773E-2</v>
      </c>
      <c r="AI35" s="26">
        <f t="shared" si="66"/>
        <v>0</v>
      </c>
      <c r="AJ35" s="26">
        <f t="shared" si="67"/>
        <v>0.76937310124975888</v>
      </c>
      <c r="AK35" s="26">
        <f t="shared" si="68"/>
        <v>2.5783990338292723E-2</v>
      </c>
      <c r="AL35" s="26">
        <f t="shared" si="69"/>
        <v>1.1276919078905583</v>
      </c>
      <c r="AM35" s="26">
        <f t="shared" si="70"/>
        <v>6.7564993054783806E-2</v>
      </c>
      <c r="AN35" s="26">
        <f t="shared" si="71"/>
        <v>9.4611131349320798E-4</v>
      </c>
      <c r="AO35" s="26">
        <f t="shared" si="72"/>
        <v>0</v>
      </c>
      <c r="AP35" s="26">
        <f t="shared" si="73"/>
        <v>0</v>
      </c>
      <c r="AQ35" s="26">
        <f t="shared" si="74"/>
        <v>0</v>
      </c>
      <c r="AR35" s="26">
        <f t="shared" si="75"/>
        <v>0</v>
      </c>
      <c r="AS35" s="26">
        <f t="shared" si="76"/>
        <v>4.0031941520879482</v>
      </c>
      <c r="AT35" s="26">
        <f t="shared" si="77"/>
        <v>2.0051989055681951</v>
      </c>
      <c r="AU35" s="26">
        <f t="shared" si="78"/>
        <v>6.8511104368277009E-2</v>
      </c>
      <c r="AV35" s="47"/>
      <c r="AW35" s="26">
        <f t="shared" si="79"/>
        <v>1.9745118934019208</v>
      </c>
      <c r="AX35" s="26">
        <f t="shared" si="80"/>
        <v>6.6298484867696288E-3</v>
      </c>
      <c r="AY35" s="26">
        <f t="shared" si="81"/>
        <v>2.9087062219396678E-2</v>
      </c>
      <c r="AZ35" s="26">
        <f t="shared" si="82"/>
        <v>0</v>
      </c>
      <c r="BA35" s="26">
        <f t="shared" si="83"/>
        <v>0.75918440737092929</v>
      </c>
      <c r="BB35" s="26">
        <f t="shared" si="84"/>
        <v>9.5748104136754719E-3</v>
      </c>
      <c r="BC35" s="26">
        <f t="shared" si="85"/>
        <v>2.5763417270026283E-2</v>
      </c>
      <c r="BD35" s="26">
        <f t="shared" si="86"/>
        <v>1.1267921215386341</v>
      </c>
      <c r="BE35" s="26">
        <f t="shared" si="87"/>
        <v>6.7511082888192048E-2</v>
      </c>
      <c r="BF35" s="26">
        <f t="shared" si="88"/>
        <v>9.4535641045513023E-4</v>
      </c>
      <c r="BG35" s="26">
        <f t="shared" si="89"/>
        <v>0</v>
      </c>
      <c r="BH35" s="26">
        <f t="shared" si="90"/>
        <v>0</v>
      </c>
      <c r="BI35" s="26">
        <f t="shared" si="91"/>
        <v>0</v>
      </c>
      <c r="BJ35" s="26">
        <f t="shared" si="92"/>
        <v>0</v>
      </c>
      <c r="BK35" s="25">
        <f t="shared" si="93"/>
        <v>3.9999999999999996</v>
      </c>
      <c r="BL35" s="24">
        <f t="shared" si="94"/>
        <v>5.9999999999999982</v>
      </c>
      <c r="BM35" s="26">
        <f t="shared" si="95"/>
        <v>2.0035989556213174</v>
      </c>
      <c r="BN35" s="26">
        <f t="shared" si="96"/>
        <v>6.8456439298647184E-2</v>
      </c>
      <c r="BO35" s="22"/>
      <c r="BP35" s="26">
        <f t="shared" si="97"/>
        <v>0.59444030776867707</v>
      </c>
      <c r="BQ35" s="22"/>
      <c r="BR35" s="22">
        <f t="shared" si="98"/>
        <v>3.3945195978444288E-2</v>
      </c>
      <c r="BS35" s="22">
        <f t="shared" si="99"/>
        <v>0.56656148525927263</v>
      </c>
      <c r="BT35" s="22">
        <f t="shared" si="100"/>
        <v>0.39949331876228311</v>
      </c>
      <c r="BU35" s="1"/>
      <c r="BV35" s="26">
        <f t="shared" si="101"/>
        <v>0.87616511318242352</v>
      </c>
      <c r="BW35" s="26">
        <f t="shared" si="102"/>
        <v>2.9419128693039557E-3</v>
      </c>
      <c r="BX35" s="26">
        <f t="shared" si="103"/>
        <v>1.2907022361710476E-2</v>
      </c>
      <c r="BY35" s="26">
        <f t="shared" si="104"/>
        <v>0</v>
      </c>
      <c r="BZ35" s="26">
        <f t="shared" si="105"/>
        <v>0.34112734864300631</v>
      </c>
      <c r="CA35" s="26">
        <f t="shared" si="106"/>
        <v>1.1432196222159572E-2</v>
      </c>
      <c r="CB35" s="26">
        <f t="shared" si="107"/>
        <v>0.5</v>
      </c>
      <c r="CC35" s="26">
        <f t="shared" si="108"/>
        <v>2.9957203994293864E-2</v>
      </c>
      <c r="CD35" s="26">
        <f t="shared" si="109"/>
        <v>4.1949015811552112E-4</v>
      </c>
      <c r="CE35" s="26">
        <f t="shared" si="110"/>
        <v>0</v>
      </c>
      <c r="CF35" s="26">
        <f t="shared" si="111"/>
        <v>0</v>
      </c>
      <c r="CG35" s="26">
        <f t="shared" si="112"/>
        <v>0</v>
      </c>
      <c r="CH35" s="26">
        <f t="shared" si="113"/>
        <v>0</v>
      </c>
      <c r="CI35" s="26">
        <f t="shared" si="114"/>
        <v>1.7749502874310135</v>
      </c>
      <c r="CJ35" s="26">
        <f t="shared" si="115"/>
        <v>2.6603010795845385</v>
      </c>
      <c r="CK35" s="26">
        <f t="shared" si="116"/>
        <v>2.2535842430772681</v>
      </c>
      <c r="CL35" s="26">
        <f t="shared" si="117"/>
        <v>5.9952125947931618</v>
      </c>
      <c r="CM35" s="1"/>
      <c r="CN35" s="22">
        <v>13.942771823434029</v>
      </c>
      <c r="CO35" s="96">
        <v>171.70930191306667</v>
      </c>
      <c r="CP35" s="14">
        <v>120534.58473530764</v>
      </c>
      <c r="CQ35" s="14">
        <v>3705.1969827889757</v>
      </c>
      <c r="CR35" s="14">
        <v>246173.05878159477</v>
      </c>
      <c r="CS35" s="14">
        <v>11854.340090346159</v>
      </c>
      <c r="CT35" s="22">
        <v>57.529911699875178</v>
      </c>
      <c r="CU35" s="14">
        <v>1504.1562298513215</v>
      </c>
      <c r="CV35" s="22">
        <v>88.231650155743296</v>
      </c>
      <c r="CW35" s="22">
        <v>2.5355626951905195</v>
      </c>
      <c r="CX35" s="14">
        <v>5639.7264124959775</v>
      </c>
      <c r="CY35" s="22">
        <v>83.999828564157113</v>
      </c>
      <c r="CZ35" s="22">
        <v>29.007228874791824</v>
      </c>
      <c r="DA35" s="22">
        <v>0</v>
      </c>
      <c r="DB35" s="22">
        <v>302.27363269687089</v>
      </c>
      <c r="DC35" s="22">
        <v>0</v>
      </c>
      <c r="DD35" s="22">
        <v>1.0888123449089184</v>
      </c>
      <c r="DE35" s="22">
        <v>0.21908537512791998</v>
      </c>
      <c r="DF35" s="22">
        <v>13.529918113402752</v>
      </c>
      <c r="DG35" s="22">
        <v>2.9863850717540692</v>
      </c>
      <c r="DH35" s="22">
        <v>0</v>
      </c>
      <c r="DI35" s="22">
        <v>0</v>
      </c>
      <c r="DJ35" s="22">
        <v>6.3440678353348129E-2</v>
      </c>
      <c r="DK35" s="22">
        <v>1.0077739473067933</v>
      </c>
      <c r="DL35" s="22">
        <v>2.4163076551702662</v>
      </c>
      <c r="DM35" s="22">
        <v>0.34341303922795335</v>
      </c>
      <c r="DN35" s="22">
        <v>1.3857563065949139</v>
      </c>
      <c r="DO35" s="22">
        <v>0.65387903680822712</v>
      </c>
      <c r="DP35" s="22">
        <v>9.6463752747417836E-2</v>
      </c>
      <c r="DQ35" s="22">
        <v>0.88065637822518317</v>
      </c>
      <c r="DR35" s="22">
        <v>0.25109761244805939</v>
      </c>
      <c r="DS35" s="22">
        <v>1.9343939802327366</v>
      </c>
      <c r="DT35" s="22">
        <v>0.53891869673229265</v>
      </c>
      <c r="DU35" s="22">
        <v>1.9894065682767257</v>
      </c>
      <c r="DV35" s="22">
        <v>0.3003650147057268</v>
      </c>
      <c r="DW35" s="22">
        <v>2.7239449023890621</v>
      </c>
      <c r="DX35" s="22">
        <v>0.50624198495531314</v>
      </c>
      <c r="DY35" s="22">
        <v>0.15915058028211049</v>
      </c>
      <c r="DZ35" s="22">
        <v>0</v>
      </c>
      <c r="EA35" s="22">
        <v>5.3780425016034861E-2</v>
      </c>
      <c r="EB35" s="22">
        <v>9.6058514742110176E-2</v>
      </c>
      <c r="EC35" s="22">
        <v>2.8868574917378653E-2</v>
      </c>
      <c r="ED35" s="22">
        <f>(DP35/0.05883)/SQRT((DO35/0.1536)*(DQ35/0.2069))</f>
        <v>0.38520259892832859</v>
      </c>
      <c r="EE35" s="22"/>
      <c r="EF35" s="22"/>
      <c r="EG35" s="22"/>
      <c r="EH35" s="22"/>
      <c r="EI35" s="22"/>
      <c r="EJ35" s="22"/>
      <c r="EK35" s="22"/>
      <c r="EL35" s="22"/>
      <c r="EM35" s="22"/>
      <c r="EN35" s="22"/>
      <c r="EO35" s="22"/>
      <c r="EP35" s="22"/>
      <c r="EQ35" s="22"/>
      <c r="ER35" s="22">
        <f>3.073297 -6.710523 * BP35 +N("opx mg#")</f>
        <v>-0.91570835740878609</v>
      </c>
      <c r="ES35" s="22" t="e">
        <f>-3.726231 -0.216482*LN(#REF!) + N("31 liquid mgo, liq MgO calculated from equilibrium Fe/Mg of liquid from opx composition, then regression of literature MgO vs Fe/Mg")</f>
        <v>#REF!</v>
      </c>
      <c r="ET35" s="22"/>
      <c r="EU35" s="22"/>
      <c r="EV35" s="22">
        <f>10.033975 - 17.897808 * BP35 + N("66 mg#   R2 0.46")</f>
        <v>-0.60520349590469102</v>
      </c>
      <c r="EW35" s="22">
        <f>7.162348 - 16.15931 * BP35 + N("38d mg# r2 0.38")</f>
        <v>-2.4433972097294614</v>
      </c>
      <c r="EX35" s="22">
        <f>4.451575 - 11.66175 * BP35 + N("mg#")</f>
        <v>-2.4806392591213697</v>
      </c>
      <c r="EY35" s="22"/>
      <c r="EZ35" s="22">
        <f>5.675764 - 12.3354 * BP35 + N("mg#")</f>
        <v>-1.6568949724497388</v>
      </c>
      <c r="FA35" s="22">
        <f>5.273598 - 11.10504 * BP35 + N("mg#")</f>
        <v>-1.3276853953834706</v>
      </c>
      <c r="FB35" s="22">
        <f>6.313568 - 12.50612 * BP35 + N("mg#")</f>
        <v>-1.1205738217920072</v>
      </c>
      <c r="FC35" s="22">
        <f>6.81086 - 13.3177 * BP35 + N("mg#")</f>
        <v>-1.1057176867709106</v>
      </c>
      <c r="FD35" s="22">
        <f>8.616762 - 14.50395 * BP35 + N("mg#")</f>
        <v>-4.9705018615036067E-3</v>
      </c>
      <c r="FE35" s="46"/>
      <c r="FF35" s="46"/>
      <c r="FG35" s="46"/>
      <c r="FH35" s="46"/>
      <c r="FI35" s="46"/>
      <c r="FJ35" s="46"/>
      <c r="FK35" s="46"/>
      <c r="FL35" s="46"/>
      <c r="FM35" s="46"/>
      <c r="FN35" s="46"/>
      <c r="FO35" s="46"/>
    </row>
    <row r="36" spans="1:171" x14ac:dyDescent="0.25">
      <c r="A36" s="5" t="s">
        <v>92</v>
      </c>
      <c r="B36" s="1">
        <v>979</v>
      </c>
      <c r="C36" s="98" t="s">
        <v>255</v>
      </c>
      <c r="D36" s="98" t="s">
        <v>106</v>
      </c>
      <c r="E36" s="1">
        <v>137</v>
      </c>
      <c r="F36" s="22">
        <v>52.88</v>
      </c>
      <c r="G36" s="22">
        <v>0.29199999999999998</v>
      </c>
      <c r="H36" s="22">
        <v>0.74099999999999999</v>
      </c>
      <c r="I36" s="22">
        <v>4.1000000000000002E-2</v>
      </c>
      <c r="J36" s="22">
        <v>23.16</v>
      </c>
      <c r="K36" s="22">
        <v>0.78500000000000003</v>
      </c>
      <c r="L36" s="22">
        <v>20.71</v>
      </c>
      <c r="M36" s="22">
        <v>1.64</v>
      </c>
      <c r="N36" s="22">
        <v>2.5000000000000001E-2</v>
      </c>
      <c r="O36" s="22">
        <v>1.2999999999999999E-2</v>
      </c>
      <c r="P36" s="22">
        <v>0</v>
      </c>
      <c r="Q36" s="22"/>
      <c r="R36" s="22"/>
      <c r="S36" s="22">
        <f t="shared" si="59"/>
        <v>100.28700000000002</v>
      </c>
      <c r="T36" s="3"/>
      <c r="U36" s="22">
        <f t="shared" si="60"/>
        <v>23.16</v>
      </c>
      <c r="V36" s="22">
        <f t="shared" si="61"/>
        <v>0</v>
      </c>
      <c r="W36" s="22">
        <f t="shared" si="62"/>
        <v>100.28700000000001</v>
      </c>
      <c r="X36" s="1"/>
      <c r="Y36" s="1"/>
      <c r="Z36" s="1"/>
      <c r="AA36" s="1" t="s">
        <v>185</v>
      </c>
      <c r="AC36" s="1">
        <v>6</v>
      </c>
      <c r="AD36" s="1">
        <v>4</v>
      </c>
      <c r="AE36" s="1"/>
      <c r="AF36" s="26">
        <f t="shared" si="63"/>
        <v>1.9798689253714961</v>
      </c>
      <c r="AG36" s="26">
        <f t="shared" si="64"/>
        <v>8.2227997136128939E-3</v>
      </c>
      <c r="AH36" s="26">
        <f t="shared" si="65"/>
        <v>3.269589979366324E-2</v>
      </c>
      <c r="AI36" s="26">
        <f t="shared" si="66"/>
        <v>1.2135949321674605E-3</v>
      </c>
      <c r="AJ36" s="26">
        <f t="shared" si="67"/>
        <v>0.72508129114202435</v>
      </c>
      <c r="AK36" s="26">
        <f t="shared" si="68"/>
        <v>2.4891633016221864E-2</v>
      </c>
      <c r="AL36" s="26">
        <f t="shared" si="69"/>
        <v>1.1559790665611998</v>
      </c>
      <c r="AM36" s="26">
        <f t="shared" si="70"/>
        <v>6.5782558395196963E-2</v>
      </c>
      <c r="AN36" s="26">
        <f t="shared" si="71"/>
        <v>1.8146519898249271E-3</v>
      </c>
      <c r="AO36" s="26">
        <f t="shared" si="72"/>
        <v>6.2086526296455905E-4</v>
      </c>
      <c r="AP36" s="26">
        <f t="shared" si="73"/>
        <v>0</v>
      </c>
      <c r="AQ36" s="26">
        <f t="shared" si="74"/>
        <v>0</v>
      </c>
      <c r="AR36" s="26">
        <f t="shared" si="75"/>
        <v>0</v>
      </c>
      <c r="AS36" s="26">
        <f t="shared" si="76"/>
        <v>3.9961712861783716</v>
      </c>
      <c r="AT36" s="26">
        <f t="shared" si="77"/>
        <v>2.0125648251651591</v>
      </c>
      <c r="AU36" s="26">
        <f t="shared" si="78"/>
        <v>6.8218075647986459E-2</v>
      </c>
      <c r="AV36" s="47"/>
      <c r="AW36" s="26">
        <f t="shared" si="79"/>
        <v>1.9817658289266062</v>
      </c>
      <c r="AX36" s="26">
        <f t="shared" si="80"/>
        <v>8.2306779412116143E-3</v>
      </c>
      <c r="AY36" s="26">
        <f t="shared" si="81"/>
        <v>3.2727225588902176E-2</v>
      </c>
      <c r="AZ36" s="26">
        <f t="shared" si="82"/>
        <v>1.2147576720396771E-3</v>
      </c>
      <c r="BA36" s="26">
        <f t="shared" si="83"/>
        <v>0.72577598828145906</v>
      </c>
      <c r="BB36" s="26">
        <f t="shared" si="84"/>
        <v>0</v>
      </c>
      <c r="BC36" s="26">
        <f t="shared" si="85"/>
        <v>2.4915481578394794E-2</v>
      </c>
      <c r="BD36" s="26">
        <f t="shared" si="86"/>
        <v>1.1570866049304793</v>
      </c>
      <c r="BE36" s="26">
        <f t="shared" si="87"/>
        <v>6.584558436993955E-2</v>
      </c>
      <c r="BF36" s="26">
        <f t="shared" si="88"/>
        <v>1.8163905997736342E-3</v>
      </c>
      <c r="BG36" s="26">
        <f t="shared" si="89"/>
        <v>6.2146011119388863E-4</v>
      </c>
      <c r="BH36" s="26">
        <f t="shared" si="90"/>
        <v>0</v>
      </c>
      <c r="BI36" s="26">
        <f t="shared" si="91"/>
        <v>0</v>
      </c>
      <c r="BJ36" s="26">
        <f t="shared" si="92"/>
        <v>0</v>
      </c>
      <c r="BK36" s="25">
        <f t="shared" si="93"/>
        <v>4.0000000000000009</v>
      </c>
      <c r="BL36" s="24">
        <f t="shared" si="94"/>
        <v>6.0057485731428049</v>
      </c>
      <c r="BM36" s="26">
        <f t="shared" si="95"/>
        <v>2.0144930545155084</v>
      </c>
      <c r="BN36" s="26">
        <f t="shared" si="96"/>
        <v>6.8283435080907076E-2</v>
      </c>
      <c r="BO36" s="22"/>
      <c r="BP36" s="26">
        <f t="shared" si="97"/>
        <v>0.61453587165733004</v>
      </c>
      <c r="BQ36" s="22"/>
      <c r="BR36" s="22">
        <f t="shared" si="98"/>
        <v>3.3362786296327232E-2</v>
      </c>
      <c r="BS36" s="22">
        <f t="shared" si="99"/>
        <v>0.58627519971198083</v>
      </c>
      <c r="BT36" s="22">
        <f t="shared" si="100"/>
        <v>0.38036201399169195</v>
      </c>
      <c r="BU36" s="1"/>
      <c r="BV36" s="26">
        <f t="shared" si="101"/>
        <v>0.88015978695073238</v>
      </c>
      <c r="BW36" s="26">
        <f t="shared" si="102"/>
        <v>3.6554832248372558E-3</v>
      </c>
      <c r="BX36" s="26">
        <f t="shared" si="103"/>
        <v>1.4535111808552374E-2</v>
      </c>
      <c r="BY36" s="26">
        <f t="shared" si="104"/>
        <v>5.3950917823541024E-4</v>
      </c>
      <c r="BZ36" s="26">
        <f t="shared" si="105"/>
        <v>0.32233820459290191</v>
      </c>
      <c r="CA36" s="26">
        <f t="shared" si="106"/>
        <v>1.1065689314914013E-2</v>
      </c>
      <c r="CB36" s="26">
        <f t="shared" si="107"/>
        <v>0.51389578163771721</v>
      </c>
      <c r="CC36" s="26">
        <f t="shared" si="108"/>
        <v>2.9243937232524962E-2</v>
      </c>
      <c r="CD36" s="26">
        <f t="shared" si="109"/>
        <v>8.067118425298484E-4</v>
      </c>
      <c r="CE36" s="26">
        <f t="shared" si="110"/>
        <v>2.7600849256900208E-4</v>
      </c>
      <c r="CF36" s="26">
        <f t="shared" si="111"/>
        <v>0</v>
      </c>
      <c r="CG36" s="26">
        <f t="shared" si="112"/>
        <v>0</v>
      </c>
      <c r="CH36" s="26">
        <f t="shared" si="113"/>
        <v>0</v>
      </c>
      <c r="CI36" s="26">
        <f t="shared" si="114"/>
        <v>1.7765162242755144</v>
      </c>
      <c r="CJ36" s="26">
        <f t="shared" si="115"/>
        <v>2.667327444776928</v>
      </c>
      <c r="CK36" s="26">
        <f t="shared" si="116"/>
        <v>2.2515977874793967</v>
      </c>
      <c r="CL36" s="26">
        <f t="shared" si="117"/>
        <v>6.005748573142804</v>
      </c>
      <c r="CM36" s="1"/>
      <c r="CN36" s="22"/>
      <c r="CO36" s="96"/>
      <c r="CP36" s="14"/>
      <c r="CQ36" s="14"/>
      <c r="CR36" s="14"/>
      <c r="CS36" s="14"/>
      <c r="CT36" s="22"/>
      <c r="CU36" s="14"/>
      <c r="CV36" s="22"/>
      <c r="CW36" s="22"/>
      <c r="CX36" s="14"/>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46"/>
      <c r="FF36" s="46"/>
      <c r="FG36" s="46"/>
      <c r="FH36" s="46"/>
      <c r="FI36" s="46"/>
      <c r="FJ36" s="46"/>
      <c r="FK36" s="46"/>
      <c r="FL36" s="46"/>
      <c r="FM36" s="46"/>
      <c r="FN36" s="46"/>
      <c r="FO36" s="46"/>
    </row>
    <row r="37" spans="1:171" x14ac:dyDescent="0.25">
      <c r="A37" s="5" t="s">
        <v>92</v>
      </c>
      <c r="B37" s="1">
        <v>980</v>
      </c>
      <c r="C37" s="98" t="s">
        <v>255</v>
      </c>
      <c r="D37" s="98" t="s">
        <v>106</v>
      </c>
      <c r="E37" s="1">
        <v>138</v>
      </c>
      <c r="F37" s="22">
        <v>53.31</v>
      </c>
      <c r="G37" s="22">
        <v>0.39700000000000002</v>
      </c>
      <c r="H37" s="22">
        <v>0.77</v>
      </c>
      <c r="I37" s="22">
        <v>0</v>
      </c>
      <c r="J37" s="22">
        <v>22.83</v>
      </c>
      <c r="K37" s="22">
        <v>0.81100000000000005</v>
      </c>
      <c r="L37" s="22">
        <v>20.92</v>
      </c>
      <c r="M37" s="22">
        <v>1.7</v>
      </c>
      <c r="N37" s="22">
        <v>5.7000000000000002E-2</v>
      </c>
      <c r="O37" s="22">
        <v>0</v>
      </c>
      <c r="P37" s="22">
        <v>0</v>
      </c>
      <c r="Q37" s="22"/>
      <c r="R37" s="22"/>
      <c r="S37" s="22">
        <f t="shared" si="59"/>
        <v>100.79500000000002</v>
      </c>
      <c r="T37" s="3"/>
      <c r="U37" s="22">
        <f t="shared" si="60"/>
        <v>22.83</v>
      </c>
      <c r="V37" s="22">
        <f t="shared" si="61"/>
        <v>0</v>
      </c>
      <c r="W37" s="22">
        <f t="shared" si="62"/>
        <v>100.795</v>
      </c>
      <c r="X37" s="1"/>
      <c r="Y37" s="1"/>
      <c r="Z37" s="1"/>
      <c r="AA37" s="1" t="s">
        <v>185</v>
      </c>
      <c r="AC37" s="1">
        <v>6</v>
      </c>
      <c r="AD37" s="1">
        <v>4</v>
      </c>
      <c r="AE37" s="1"/>
      <c r="AF37" s="26">
        <f t="shared" si="63"/>
        <v>1.9815415245243095</v>
      </c>
      <c r="AG37" s="26">
        <f t="shared" si="64"/>
        <v>1.1098821575307049E-2</v>
      </c>
      <c r="AH37" s="26">
        <f t="shared" si="65"/>
        <v>3.3729920160588275E-2</v>
      </c>
      <c r="AI37" s="26">
        <f t="shared" si="66"/>
        <v>0</v>
      </c>
      <c r="AJ37" s="26">
        <f t="shared" si="67"/>
        <v>0.70958358157836798</v>
      </c>
      <c r="AK37" s="26">
        <f t="shared" si="68"/>
        <v>2.5530192488568845E-2</v>
      </c>
      <c r="AL37" s="26">
        <f t="shared" si="69"/>
        <v>1.1592605400773308</v>
      </c>
      <c r="AM37" s="26">
        <f t="shared" si="70"/>
        <v>6.7696362817439446E-2</v>
      </c>
      <c r="AN37" s="26">
        <f t="shared" si="71"/>
        <v>4.1075011963577299E-3</v>
      </c>
      <c r="AO37" s="26">
        <f t="shared" si="72"/>
        <v>0</v>
      </c>
      <c r="AP37" s="26">
        <f t="shared" si="73"/>
        <v>0</v>
      </c>
      <c r="AQ37" s="26">
        <f t="shared" si="74"/>
        <v>0</v>
      </c>
      <c r="AR37" s="26">
        <f t="shared" si="75"/>
        <v>0</v>
      </c>
      <c r="AS37" s="26">
        <f t="shared" si="76"/>
        <v>3.9925484444182691</v>
      </c>
      <c r="AT37" s="26">
        <f t="shared" si="77"/>
        <v>2.0152714446848976</v>
      </c>
      <c r="AU37" s="26">
        <f t="shared" si="78"/>
        <v>7.1803864013797181E-2</v>
      </c>
      <c r="AV37" s="47"/>
      <c r="AW37" s="26">
        <f t="shared" si="79"/>
        <v>1.9852398057131435</v>
      </c>
      <c r="AX37" s="26">
        <f t="shared" si="80"/>
        <v>1.1119536035509964E-2</v>
      </c>
      <c r="AY37" s="26">
        <f t="shared" si="81"/>
        <v>3.3792872527564646E-2</v>
      </c>
      <c r="AZ37" s="26">
        <f t="shared" si="82"/>
        <v>0</v>
      </c>
      <c r="BA37" s="26">
        <f t="shared" si="83"/>
        <v>0.71090792405576664</v>
      </c>
      <c r="BB37" s="26">
        <f t="shared" si="84"/>
        <v>0</v>
      </c>
      <c r="BC37" s="26">
        <f t="shared" si="85"/>
        <v>2.5577841164843976E-2</v>
      </c>
      <c r="BD37" s="26">
        <f t="shared" si="86"/>
        <v>1.1614241442184829</v>
      </c>
      <c r="BE37" s="26">
        <f t="shared" si="87"/>
        <v>6.7822708988872979E-2</v>
      </c>
      <c r="BF37" s="26">
        <f t="shared" si="88"/>
        <v>4.1151672958159536E-3</v>
      </c>
      <c r="BG37" s="26">
        <f t="shared" si="89"/>
        <v>0</v>
      </c>
      <c r="BH37" s="26">
        <f t="shared" si="90"/>
        <v>0</v>
      </c>
      <c r="BI37" s="26">
        <f t="shared" si="91"/>
        <v>0</v>
      </c>
      <c r="BJ37" s="26">
        <f t="shared" si="92"/>
        <v>0</v>
      </c>
      <c r="BK37" s="25">
        <f t="shared" si="93"/>
        <v>4</v>
      </c>
      <c r="BL37" s="24">
        <f t="shared" si="94"/>
        <v>6.0111981943645274</v>
      </c>
      <c r="BM37" s="26">
        <f t="shared" si="95"/>
        <v>2.0190326782407082</v>
      </c>
      <c r="BN37" s="26">
        <f t="shared" si="96"/>
        <v>7.1937876284688937E-2</v>
      </c>
      <c r="BO37" s="22"/>
      <c r="BP37" s="26">
        <f t="shared" si="97"/>
        <v>0.62030884579623802</v>
      </c>
      <c r="BQ37" s="22"/>
      <c r="BR37" s="22">
        <f t="shared" si="98"/>
        <v>3.4502509829191362E-2</v>
      </c>
      <c r="BS37" s="22">
        <f t="shared" si="99"/>
        <v>0.59083526077279824</v>
      </c>
      <c r="BT37" s="22">
        <f t="shared" si="100"/>
        <v>0.37466222939801053</v>
      </c>
      <c r="BU37" s="1"/>
      <c r="BV37" s="26">
        <f t="shared" si="101"/>
        <v>0.88731691078561925</v>
      </c>
      <c r="BW37" s="26">
        <f t="shared" si="102"/>
        <v>4.9699549323985988E-3</v>
      </c>
      <c r="BX37" s="26">
        <f t="shared" si="103"/>
        <v>1.5103962338171833E-2</v>
      </c>
      <c r="BY37" s="26">
        <f t="shared" si="104"/>
        <v>0</v>
      </c>
      <c r="BZ37" s="26">
        <f t="shared" si="105"/>
        <v>0.31774530271398749</v>
      </c>
      <c r="CA37" s="26">
        <f t="shared" si="106"/>
        <v>1.1432196222159572E-2</v>
      </c>
      <c r="CB37" s="26">
        <f t="shared" si="107"/>
        <v>0.51910669975186108</v>
      </c>
      <c r="CC37" s="26">
        <f t="shared" si="108"/>
        <v>3.0313837375178315E-2</v>
      </c>
      <c r="CD37" s="26">
        <f t="shared" si="109"/>
        <v>1.8393030009680544E-3</v>
      </c>
      <c r="CE37" s="26">
        <f t="shared" si="110"/>
        <v>0</v>
      </c>
      <c r="CF37" s="26">
        <f t="shared" si="111"/>
        <v>0</v>
      </c>
      <c r="CG37" s="26">
        <f t="shared" si="112"/>
        <v>0</v>
      </c>
      <c r="CH37" s="26">
        <f t="shared" si="113"/>
        <v>0</v>
      </c>
      <c r="CI37" s="26">
        <f t="shared" si="114"/>
        <v>1.787828167120344</v>
      </c>
      <c r="CJ37" s="26">
        <f t="shared" si="115"/>
        <v>2.6867473625069636</v>
      </c>
      <c r="CK37" s="26">
        <f t="shared" si="116"/>
        <v>2.2373514824094101</v>
      </c>
      <c r="CL37" s="26">
        <f t="shared" si="117"/>
        <v>6.0111981943645274</v>
      </c>
      <c r="CM37" s="1"/>
      <c r="CN37" s="22"/>
      <c r="CO37" s="96"/>
      <c r="CP37" s="14"/>
      <c r="CQ37" s="14"/>
      <c r="CR37" s="14"/>
      <c r="CS37" s="14"/>
      <c r="CT37" s="22"/>
      <c r="CU37" s="14"/>
      <c r="CV37" s="22"/>
      <c r="CW37" s="22"/>
      <c r="CX37" s="14"/>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46"/>
      <c r="FF37" s="46"/>
      <c r="FG37" s="46"/>
      <c r="FH37" s="46"/>
      <c r="FI37" s="46"/>
      <c r="FJ37" s="46"/>
      <c r="FK37" s="46"/>
      <c r="FL37" s="46"/>
      <c r="FM37" s="46"/>
      <c r="FN37" s="46"/>
      <c r="FO37" s="46"/>
    </row>
    <row r="38" spans="1:171" x14ac:dyDescent="0.25">
      <c r="A38" s="5" t="s">
        <v>92</v>
      </c>
      <c r="B38" s="1">
        <v>981</v>
      </c>
      <c r="C38" s="98" t="s">
        <v>255</v>
      </c>
      <c r="D38" s="98" t="s">
        <v>106</v>
      </c>
      <c r="E38" s="1">
        <v>139</v>
      </c>
      <c r="F38" s="22">
        <v>52.59</v>
      </c>
      <c r="G38" s="22">
        <v>0.184</v>
      </c>
      <c r="H38" s="22">
        <v>0.65400000000000003</v>
      </c>
      <c r="I38" s="22">
        <v>0</v>
      </c>
      <c r="J38" s="22">
        <v>25.07</v>
      </c>
      <c r="K38" s="22">
        <v>0.88800000000000001</v>
      </c>
      <c r="L38" s="22">
        <v>19.489999999999998</v>
      </c>
      <c r="M38" s="22">
        <v>1.52</v>
      </c>
      <c r="N38" s="22">
        <v>8.5999999999999993E-2</v>
      </c>
      <c r="O38" s="22">
        <v>1.7999999999999999E-2</v>
      </c>
      <c r="P38" s="22">
        <v>0</v>
      </c>
      <c r="Q38" s="22"/>
      <c r="R38" s="22"/>
      <c r="S38" s="22">
        <f t="shared" si="59"/>
        <v>100.5</v>
      </c>
      <c r="T38" s="3"/>
      <c r="U38" s="22">
        <f t="shared" si="60"/>
        <v>25.009350392450074</v>
      </c>
      <c r="V38" s="22">
        <f t="shared" si="61"/>
        <v>6.7399908870234532E-2</v>
      </c>
      <c r="W38" s="22">
        <f t="shared" si="62"/>
        <v>100.50675030132032</v>
      </c>
      <c r="X38" s="1"/>
      <c r="Y38" s="1"/>
      <c r="Z38" s="1"/>
      <c r="AA38" s="1" t="s">
        <v>185</v>
      </c>
      <c r="AC38" s="1">
        <v>6</v>
      </c>
      <c r="AD38" s="1">
        <v>4</v>
      </c>
      <c r="AE38" s="1"/>
      <c r="AF38" s="26">
        <f t="shared" si="63"/>
        <v>1.9831878760433312</v>
      </c>
      <c r="AG38" s="26">
        <f t="shared" si="64"/>
        <v>5.2187966959599255E-3</v>
      </c>
      <c r="AH38" s="26">
        <f t="shared" si="65"/>
        <v>2.9064879659534467E-2</v>
      </c>
      <c r="AI38" s="26">
        <f t="shared" si="66"/>
        <v>0</v>
      </c>
      <c r="AJ38" s="26">
        <f t="shared" si="67"/>
        <v>0.79052966819741455</v>
      </c>
      <c r="AK38" s="26">
        <f t="shared" si="68"/>
        <v>2.836040272130395E-2</v>
      </c>
      <c r="AL38" s="26">
        <f t="shared" si="69"/>
        <v>1.0957144900512736</v>
      </c>
      <c r="AM38" s="26">
        <f t="shared" si="70"/>
        <v>6.1408175598464128E-2</v>
      </c>
      <c r="AN38" s="26">
        <f t="shared" si="71"/>
        <v>6.2873478271921477E-3</v>
      </c>
      <c r="AO38" s="26">
        <f t="shared" si="72"/>
        <v>8.6584910012450582E-4</v>
      </c>
      <c r="AP38" s="26">
        <f t="shared" si="73"/>
        <v>0</v>
      </c>
      <c r="AQ38" s="26">
        <f t="shared" si="74"/>
        <v>0</v>
      </c>
      <c r="AR38" s="26">
        <f t="shared" si="75"/>
        <v>0</v>
      </c>
      <c r="AS38" s="26">
        <f t="shared" si="76"/>
        <v>4.0006374858945986</v>
      </c>
      <c r="AT38" s="26">
        <f t="shared" si="77"/>
        <v>2.0122527557028658</v>
      </c>
      <c r="AU38" s="26">
        <f t="shared" si="78"/>
        <v>6.8561372525780789E-2</v>
      </c>
      <c r="AV38" s="47"/>
      <c r="AW38" s="26">
        <f t="shared" si="79"/>
        <v>1.9828718628324931</v>
      </c>
      <c r="AX38" s="26">
        <f t="shared" si="80"/>
        <v>5.2179651011722986E-3</v>
      </c>
      <c r="AY38" s="26">
        <f t="shared" si="81"/>
        <v>2.9060248284940669E-2</v>
      </c>
      <c r="AZ38" s="26">
        <f t="shared" si="82"/>
        <v>0</v>
      </c>
      <c r="BA38" s="26">
        <f t="shared" si="83"/>
        <v>0.78849154745374128</v>
      </c>
      <c r="BB38" s="26">
        <f t="shared" si="84"/>
        <v>1.9121529411632032E-3</v>
      </c>
      <c r="BC38" s="26">
        <f t="shared" si="85"/>
        <v>2.8355883602347604E-2</v>
      </c>
      <c r="BD38" s="26">
        <f t="shared" si="86"/>
        <v>1.0955398922442046</v>
      </c>
      <c r="BE38" s="26">
        <f t="shared" si="87"/>
        <v>6.1398390446498953E-2</v>
      </c>
      <c r="BF38" s="26">
        <f t="shared" si="88"/>
        <v>6.2863459629721574E-3</v>
      </c>
      <c r="BG38" s="26">
        <f t="shared" si="89"/>
        <v>8.6571113046588855E-4</v>
      </c>
      <c r="BH38" s="26">
        <f t="shared" si="90"/>
        <v>0</v>
      </c>
      <c r="BI38" s="26">
        <f t="shared" si="91"/>
        <v>0</v>
      </c>
      <c r="BJ38" s="26">
        <f t="shared" si="92"/>
        <v>0</v>
      </c>
      <c r="BK38" s="25">
        <f t="shared" si="93"/>
        <v>3.9999999999999991</v>
      </c>
      <c r="BL38" s="24">
        <f t="shared" si="94"/>
        <v>5.9999999999999982</v>
      </c>
      <c r="BM38" s="26">
        <f t="shared" si="95"/>
        <v>2.0119321111174338</v>
      </c>
      <c r="BN38" s="26">
        <f t="shared" si="96"/>
        <v>6.8550447539936998E-2</v>
      </c>
      <c r="BO38" s="22"/>
      <c r="BP38" s="26">
        <f t="shared" si="97"/>
        <v>0.58089748628756854</v>
      </c>
      <c r="BQ38" s="22"/>
      <c r="BR38" s="22">
        <f t="shared" si="98"/>
        <v>3.1076811632856968E-2</v>
      </c>
      <c r="BS38" s="22">
        <f t="shared" si="99"/>
        <v>0.554507807451733</v>
      </c>
      <c r="BT38" s="22">
        <f t="shared" si="100"/>
        <v>0.41441538091541003</v>
      </c>
      <c r="BU38" s="1"/>
      <c r="BV38" s="26">
        <f t="shared" si="101"/>
        <v>0.87533288948069254</v>
      </c>
      <c r="BW38" s="26">
        <f t="shared" si="102"/>
        <v>2.3034551827741615E-3</v>
      </c>
      <c r="BX38" s="26">
        <f t="shared" si="103"/>
        <v>1.2828560219693998E-2</v>
      </c>
      <c r="BY38" s="26">
        <f t="shared" si="104"/>
        <v>0</v>
      </c>
      <c r="BZ38" s="26">
        <f t="shared" si="105"/>
        <v>0.3489213639526792</v>
      </c>
      <c r="CA38" s="26">
        <f t="shared" si="106"/>
        <v>1.2517620524386807E-2</v>
      </c>
      <c r="CB38" s="26">
        <f t="shared" si="107"/>
        <v>0.48362282878411911</v>
      </c>
      <c r="CC38" s="26">
        <f t="shared" si="108"/>
        <v>2.710413694721826E-2</v>
      </c>
      <c r="CD38" s="26">
        <f t="shared" si="109"/>
        <v>2.7750887383026783E-3</v>
      </c>
      <c r="CE38" s="26">
        <f t="shared" si="110"/>
        <v>3.8216560509554134E-4</v>
      </c>
      <c r="CF38" s="26">
        <f t="shared" si="111"/>
        <v>0</v>
      </c>
      <c r="CG38" s="26">
        <f t="shared" si="112"/>
        <v>0</v>
      </c>
      <c r="CH38" s="26">
        <f t="shared" si="113"/>
        <v>0</v>
      </c>
      <c r="CI38" s="26">
        <f t="shared" si="114"/>
        <v>1.7657881094349623</v>
      </c>
      <c r="CJ38" s="26">
        <f t="shared" si="115"/>
        <v>2.6482601070365774</v>
      </c>
      <c r="CK38" s="26">
        <f t="shared" si="116"/>
        <v>2.2652774580524087</v>
      </c>
      <c r="CL38" s="26">
        <f t="shared" si="117"/>
        <v>5.9990439235294177</v>
      </c>
      <c r="CM38" s="1"/>
      <c r="CN38" s="22">
        <v>13.208367139558471</v>
      </c>
      <c r="CO38" s="96">
        <v>155.91314741971931</v>
      </c>
      <c r="CP38" s="14">
        <v>120463.99922117431</v>
      </c>
      <c r="CQ38" s="14">
        <v>4038.5492416759562</v>
      </c>
      <c r="CR38" s="14">
        <v>245531.38002013124</v>
      </c>
      <c r="CS38" s="14">
        <v>11334.528202498055</v>
      </c>
      <c r="CT38" s="22">
        <v>59.657044645512663</v>
      </c>
      <c r="CU38" s="14">
        <v>1669.7738670686849</v>
      </c>
      <c r="CV38" s="22">
        <v>95.039952088202327</v>
      </c>
      <c r="CW38" s="22">
        <v>1.6142302850439172</v>
      </c>
      <c r="CX38" s="14">
        <v>5844.0326087718668</v>
      </c>
      <c r="CY38" s="22">
        <v>83.798403316417918</v>
      </c>
      <c r="CZ38" s="22">
        <v>29.639740600799502</v>
      </c>
      <c r="DA38" s="22">
        <v>0</v>
      </c>
      <c r="DB38" s="22">
        <v>303.55820588553229</v>
      </c>
      <c r="DC38" s="22">
        <v>0</v>
      </c>
      <c r="DD38" s="22">
        <v>0</v>
      </c>
      <c r="DE38" s="22">
        <v>0</v>
      </c>
      <c r="DF38" s="22">
        <v>12.307184348908402</v>
      </c>
      <c r="DG38" s="22">
        <v>3.4533364092664112</v>
      </c>
      <c r="DH38" s="22">
        <v>0</v>
      </c>
      <c r="DI38" s="22">
        <v>0</v>
      </c>
      <c r="DJ38" s="22">
        <v>0</v>
      </c>
      <c r="DK38" s="22">
        <v>2.6028024069633476E-2</v>
      </c>
      <c r="DL38" s="22">
        <v>0.15156756212144143</v>
      </c>
      <c r="DM38" s="22">
        <v>5.5936050975797333E-2</v>
      </c>
      <c r="DN38" s="22">
        <v>0.42141832401901408</v>
      </c>
      <c r="DO38" s="22">
        <v>0.27449468192439402</v>
      </c>
      <c r="DP38" s="22">
        <v>0.11819894406561481</v>
      </c>
      <c r="DQ38" s="22">
        <v>0.72305533194947491</v>
      </c>
      <c r="DR38" s="22">
        <v>0.19944487490117938</v>
      </c>
      <c r="DS38" s="22">
        <v>1.660329674857653</v>
      </c>
      <c r="DT38" s="22">
        <v>0.44246108157404634</v>
      </c>
      <c r="DU38" s="22">
        <v>2.0351300623023874</v>
      </c>
      <c r="DV38" s="22">
        <v>0.31480993791052952</v>
      </c>
      <c r="DW38" s="22">
        <v>3.0027453420865196</v>
      </c>
      <c r="DX38" s="22">
        <v>0.55441038930106423</v>
      </c>
      <c r="DY38" s="22">
        <v>0.1723489203998908</v>
      </c>
      <c r="DZ38" s="22">
        <v>0</v>
      </c>
      <c r="EA38" s="22">
        <v>0</v>
      </c>
      <c r="EB38" s="22">
        <v>1.1053408317969388E-3</v>
      </c>
      <c r="EC38" s="22">
        <v>0</v>
      </c>
      <c r="ED38" s="22">
        <f>(DP38/0.05883)/SQRT((DO38/0.1536)*(DQ38/0.2069))</f>
        <v>0.80396634241500009</v>
      </c>
      <c r="EE38" s="22"/>
      <c r="EF38" s="22"/>
      <c r="EG38" s="22"/>
      <c r="EH38" s="22"/>
      <c r="EI38" s="22"/>
      <c r="EJ38" s="22"/>
      <c r="EK38" s="22"/>
      <c r="EL38" s="22"/>
      <c r="EM38" s="22"/>
      <c r="EN38" s="22"/>
      <c r="EO38" s="22"/>
      <c r="EP38" s="22"/>
      <c r="EQ38" s="22"/>
      <c r="ER38" s="22">
        <f>3.073297 -6.710523 * BP38 +N("opx mg#")</f>
        <v>-0.82482894237491333</v>
      </c>
      <c r="ES38" s="22" t="e">
        <f>-3.726231 -0.216482*LN(#REF!) + N("31 liquid mgo, liq MgO calculated from equilibrium Fe/Mg of liquid from opx composition, then regression of literature MgO vs Fe/Mg")</f>
        <v>#REF!</v>
      </c>
      <c r="ET38" s="22"/>
      <c r="EU38" s="22"/>
      <c r="EV38" s="22">
        <f>10.033975 - 17.897808 * BP38 + N("66 mg#   R2 0.46")</f>
        <v>-0.36281667725753586</v>
      </c>
      <c r="EW38" s="22">
        <f>7.162348 - 16.15931 * BP38 + N("38d mg# r2 0.38")</f>
        <v>-2.2245545591415699</v>
      </c>
      <c r="EX38" s="22">
        <f>4.451575 - 11.66175 * BP38 + N("mg#")</f>
        <v>-2.3227062607140523</v>
      </c>
      <c r="EY38" s="22"/>
      <c r="EZ38" s="22">
        <f>5.675764 - 12.3354 * BP38 + N("mg#")</f>
        <v>-1.4898388523516726</v>
      </c>
      <c r="FA38" s="22">
        <f>5.273598 - 11.10504 * BP38 + N("mg#")</f>
        <v>-1.1772918211229007</v>
      </c>
      <c r="FB38" s="22">
        <f>6.313568 - 12.50612 * BP38 + N("mg#")</f>
        <v>-0.951205671210686</v>
      </c>
      <c r="FC38" s="22">
        <f>6.81086 - 13.3177 * BP38 + N("mg#")</f>
        <v>-0.92535845313195164</v>
      </c>
      <c r="FD38" s="22">
        <f>8.616762 - 14.50395 * BP38 + N("mg#")</f>
        <v>0.19145390375942029</v>
      </c>
      <c r="FE38" s="46"/>
      <c r="FF38" s="46"/>
      <c r="FG38" s="46"/>
      <c r="FH38" s="46"/>
      <c r="FI38" s="46"/>
      <c r="FJ38" s="46"/>
      <c r="FK38" s="46"/>
      <c r="FL38" s="46"/>
      <c r="FM38" s="46"/>
      <c r="FN38" s="46"/>
      <c r="FO38" s="46"/>
    </row>
    <row r="39" spans="1:171" x14ac:dyDescent="0.25">
      <c r="A39" s="5" t="s">
        <v>92</v>
      </c>
      <c r="B39" s="1">
        <v>997</v>
      </c>
      <c r="C39" s="98" t="s">
        <v>255</v>
      </c>
      <c r="D39" s="98" t="s">
        <v>106</v>
      </c>
      <c r="E39" s="1">
        <v>155</v>
      </c>
      <c r="F39" s="22">
        <v>52.85</v>
      </c>
      <c r="G39" s="22">
        <v>0.33</v>
      </c>
      <c r="H39" s="22">
        <v>0.53700000000000003</v>
      </c>
      <c r="I39" s="22">
        <v>0</v>
      </c>
      <c r="J39" s="22">
        <v>24.75</v>
      </c>
      <c r="K39" s="22">
        <v>0.80300000000000005</v>
      </c>
      <c r="L39" s="22">
        <v>19.690000000000001</v>
      </c>
      <c r="M39" s="22">
        <v>1.64</v>
      </c>
      <c r="N39" s="22">
        <v>0</v>
      </c>
      <c r="O39" s="22">
        <v>0</v>
      </c>
      <c r="P39" s="22">
        <v>0</v>
      </c>
      <c r="Q39" s="22"/>
      <c r="R39" s="22"/>
      <c r="S39" s="22">
        <f t="shared" si="59"/>
        <v>100.6</v>
      </c>
      <c r="T39" s="3"/>
      <c r="U39" s="22">
        <f t="shared" si="60"/>
        <v>24.75</v>
      </c>
      <c r="V39" s="22">
        <f t="shared" si="61"/>
        <v>0</v>
      </c>
      <c r="W39" s="22">
        <f t="shared" si="62"/>
        <v>100.6</v>
      </c>
      <c r="X39" s="1"/>
      <c r="Y39" s="1"/>
      <c r="Z39" s="1"/>
      <c r="AA39" s="1" t="s">
        <v>185</v>
      </c>
      <c r="AC39" s="1">
        <v>6</v>
      </c>
      <c r="AD39" s="1">
        <v>4</v>
      </c>
      <c r="AE39" s="1"/>
      <c r="AF39" s="26">
        <f t="shared" si="63"/>
        <v>1.9864366848710715</v>
      </c>
      <c r="AG39" s="26">
        <f t="shared" si="64"/>
        <v>9.3290096660903869E-3</v>
      </c>
      <c r="AH39" s="26">
        <f t="shared" si="65"/>
        <v>2.3786695547413729E-2</v>
      </c>
      <c r="AI39" s="26">
        <f t="shared" si="66"/>
        <v>0</v>
      </c>
      <c r="AJ39" s="26">
        <f t="shared" si="67"/>
        <v>0.77787191245020881</v>
      </c>
      <c r="AK39" s="26">
        <f t="shared" si="68"/>
        <v>2.5561363746496053E-2</v>
      </c>
      <c r="AL39" s="26">
        <f t="shared" si="69"/>
        <v>1.1033170495515858</v>
      </c>
      <c r="AM39" s="26">
        <f t="shared" si="70"/>
        <v>6.6038241856264418E-2</v>
      </c>
      <c r="AN39" s="26">
        <f t="shared" si="71"/>
        <v>0</v>
      </c>
      <c r="AO39" s="26">
        <f t="shared" si="72"/>
        <v>0</v>
      </c>
      <c r="AP39" s="26">
        <f t="shared" si="73"/>
        <v>0</v>
      </c>
      <c r="AQ39" s="26">
        <f t="shared" si="74"/>
        <v>0</v>
      </c>
      <c r="AR39" s="26">
        <f t="shared" si="75"/>
        <v>0</v>
      </c>
      <c r="AS39" s="26">
        <f t="shared" si="76"/>
        <v>3.9923409576891311</v>
      </c>
      <c r="AT39" s="26">
        <f t="shared" si="77"/>
        <v>2.010223380418485</v>
      </c>
      <c r="AU39" s="26">
        <f t="shared" si="78"/>
        <v>6.6038241856264418E-2</v>
      </c>
      <c r="AV39" s="47"/>
      <c r="AW39" s="26">
        <f t="shared" si="79"/>
        <v>1.9902475323859834</v>
      </c>
      <c r="AX39" s="26">
        <f t="shared" si="80"/>
        <v>9.3469067546678251E-3</v>
      </c>
      <c r="AY39" s="26">
        <f t="shared" si="81"/>
        <v>2.3832328750981308E-2</v>
      </c>
      <c r="AZ39" s="26">
        <f t="shared" si="82"/>
        <v>0</v>
      </c>
      <c r="BA39" s="26">
        <f t="shared" si="83"/>
        <v>0.77936420831196851</v>
      </c>
      <c r="BB39" s="26">
        <f t="shared" si="84"/>
        <v>0</v>
      </c>
      <c r="BC39" s="26">
        <f t="shared" si="85"/>
        <v>2.5610401533732358E-2</v>
      </c>
      <c r="BD39" s="26">
        <f t="shared" si="86"/>
        <v>1.1054336904032505</v>
      </c>
      <c r="BE39" s="26">
        <f t="shared" si="87"/>
        <v>6.6164931859416187E-2</v>
      </c>
      <c r="BF39" s="26">
        <f t="shared" si="88"/>
        <v>0</v>
      </c>
      <c r="BG39" s="26">
        <f t="shared" si="89"/>
        <v>0</v>
      </c>
      <c r="BH39" s="26">
        <f t="shared" si="90"/>
        <v>0</v>
      </c>
      <c r="BI39" s="26">
        <f t="shared" si="91"/>
        <v>0</v>
      </c>
      <c r="BJ39" s="26">
        <f t="shared" si="92"/>
        <v>0</v>
      </c>
      <c r="BK39" s="25">
        <f t="shared" si="93"/>
        <v>4</v>
      </c>
      <c r="BL39" s="24">
        <f t="shared" si="94"/>
        <v>6.0115106035161414</v>
      </c>
      <c r="BM39" s="26">
        <f t="shared" si="95"/>
        <v>2.0140798611369646</v>
      </c>
      <c r="BN39" s="26">
        <f t="shared" si="96"/>
        <v>6.6164931859416187E-2</v>
      </c>
      <c r="BO39" s="22"/>
      <c r="BP39" s="26">
        <f t="shared" si="97"/>
        <v>0.58649985293212314</v>
      </c>
      <c r="BQ39" s="22"/>
      <c r="BR39" s="22">
        <f t="shared" si="98"/>
        <v>3.3474566378114662E-2</v>
      </c>
      <c r="BS39" s="22">
        <f t="shared" si="99"/>
        <v>0.55926776324098471</v>
      </c>
      <c r="BT39" s="22">
        <f t="shared" si="100"/>
        <v>0.4072576703809006</v>
      </c>
      <c r="BU39" s="1"/>
      <c r="BV39" s="26">
        <f t="shared" si="101"/>
        <v>0.87966045272969384</v>
      </c>
      <c r="BW39" s="26">
        <f t="shared" si="102"/>
        <v>4.1311967951927894E-3</v>
      </c>
      <c r="BX39" s="26">
        <f t="shared" si="103"/>
        <v>1.0533542565712045E-2</v>
      </c>
      <c r="BY39" s="26">
        <f t="shared" si="104"/>
        <v>0</v>
      </c>
      <c r="BZ39" s="26">
        <f t="shared" si="105"/>
        <v>0.3444676409185804</v>
      </c>
      <c r="CA39" s="26">
        <f t="shared" si="106"/>
        <v>1.1319424866084015E-2</v>
      </c>
      <c r="CB39" s="26">
        <f t="shared" si="107"/>
        <v>0.4885856079404467</v>
      </c>
      <c r="CC39" s="26">
        <f t="shared" si="108"/>
        <v>2.9243937232524962E-2</v>
      </c>
      <c r="CD39" s="26">
        <f t="shared" si="109"/>
        <v>0</v>
      </c>
      <c r="CE39" s="26">
        <f t="shared" si="110"/>
        <v>0</v>
      </c>
      <c r="CF39" s="26">
        <f t="shared" si="111"/>
        <v>0</v>
      </c>
      <c r="CG39" s="26">
        <f t="shared" si="112"/>
        <v>0</v>
      </c>
      <c r="CH39" s="26">
        <f t="shared" si="113"/>
        <v>0</v>
      </c>
      <c r="CI39" s="26">
        <f t="shared" si="114"/>
        <v>1.7679418030482348</v>
      </c>
      <c r="CJ39" s="26">
        <f t="shared" si="115"/>
        <v>2.6570002238559778</v>
      </c>
      <c r="CK39" s="26">
        <f t="shared" si="116"/>
        <v>2.2625179138268661</v>
      </c>
      <c r="CL39" s="26">
        <f t="shared" si="117"/>
        <v>6.0115106035161432</v>
      </c>
      <c r="CM39" s="1"/>
      <c r="CN39" s="22">
        <v>14.395446287858453</v>
      </c>
      <c r="CO39" s="96">
        <v>164.9346962124682</v>
      </c>
      <c r="CP39" s="14">
        <v>119018.17023471587</v>
      </c>
      <c r="CQ39" s="14">
        <v>2898.6692531032581</v>
      </c>
      <c r="CR39" s="14">
        <v>246982.95478206794</v>
      </c>
      <c r="CS39" s="14">
        <v>11831.091430960694</v>
      </c>
      <c r="CT39" s="22">
        <v>48.46939834627598</v>
      </c>
      <c r="CU39" s="14">
        <v>1254.2430104779246</v>
      </c>
      <c r="CV39" s="22">
        <v>69.601001487203234</v>
      </c>
      <c r="CW39" s="22">
        <v>1.1006355746631014</v>
      </c>
      <c r="CX39" s="14">
        <v>6133.5215938864249</v>
      </c>
      <c r="CY39" s="22">
        <v>86.116736161776188</v>
      </c>
      <c r="CZ39" s="22">
        <v>35.007651354993804</v>
      </c>
      <c r="DA39" s="22">
        <v>1.6538767572517035</v>
      </c>
      <c r="DB39" s="22">
        <v>335.49644029937349</v>
      </c>
      <c r="DC39" s="22">
        <v>0</v>
      </c>
      <c r="DD39" s="22">
        <v>0</v>
      </c>
      <c r="DE39" s="22">
        <v>0</v>
      </c>
      <c r="DF39" s="22">
        <v>12.982606964654636</v>
      </c>
      <c r="DG39" s="22">
        <v>2.9350066534451842</v>
      </c>
      <c r="DH39" s="22">
        <v>0</v>
      </c>
      <c r="DI39" s="22">
        <v>0</v>
      </c>
      <c r="DJ39" s="22">
        <v>0.14165370592027643</v>
      </c>
      <c r="DK39" s="22">
        <v>5.3741399974651112E-2</v>
      </c>
      <c r="DL39" s="22">
        <v>0.15721117914677632</v>
      </c>
      <c r="DM39" s="22">
        <v>3.9499547627789136E-2</v>
      </c>
      <c r="DN39" s="22">
        <v>0.36742161884639174</v>
      </c>
      <c r="DO39" s="22">
        <v>0.29662744107819278</v>
      </c>
      <c r="DP39" s="22">
        <v>3.1275286757189692E-2</v>
      </c>
      <c r="DQ39" s="22">
        <v>0.69076476857814251</v>
      </c>
      <c r="DR39" s="22">
        <v>0.14597306934830817</v>
      </c>
      <c r="DS39" s="22">
        <v>1.7558007273894438</v>
      </c>
      <c r="DT39" s="22">
        <v>0.49336725010444782</v>
      </c>
      <c r="DU39" s="22">
        <v>1.7592282893740612</v>
      </c>
      <c r="DV39" s="22">
        <v>0.34460391902913079</v>
      </c>
      <c r="DW39" s="22">
        <v>2.8751842330577508</v>
      </c>
      <c r="DX39" s="22">
        <v>0.46705361997335043</v>
      </c>
      <c r="DY39" s="22">
        <v>8.8784432887801051E-2</v>
      </c>
      <c r="DZ39" s="22">
        <v>0</v>
      </c>
      <c r="EA39" s="22">
        <v>3.635638392622681E-2</v>
      </c>
      <c r="EB39" s="22">
        <v>2.5278863878264108E-3</v>
      </c>
      <c r="EC39" s="22">
        <v>3.095147279373176E-3</v>
      </c>
      <c r="ED39" s="22">
        <f>(DP39/0.05883)/SQRT((DO39/0.1536)*(DQ39/0.2069))</f>
        <v>0.20936667359679395</v>
      </c>
      <c r="EE39" s="22"/>
      <c r="EF39" s="22"/>
      <c r="EG39" s="22"/>
      <c r="EH39" s="22"/>
      <c r="EI39" s="22"/>
      <c r="EJ39" s="22"/>
      <c r="EK39" s="22"/>
      <c r="EL39" s="22"/>
      <c r="EM39" s="22"/>
      <c r="EN39" s="22"/>
      <c r="EO39" s="22"/>
      <c r="EP39" s="22"/>
      <c r="EQ39" s="22"/>
      <c r="ER39" s="22">
        <f>3.073297 -6.710523 * BP39 +N("opx mg#")</f>
        <v>-0.86242375259762971</v>
      </c>
      <c r="ES39" s="22" t="e">
        <f>-3.726231 -0.216482*LN(#REF!) + N("31 liquid mgo, liq MgO calculated from equilibrium Fe/Mg of liquid from opx composition, then regression of literature MgO vs Fe/Mg")</f>
        <v>#REF!</v>
      </c>
      <c r="ET39" s="22"/>
      <c r="EU39" s="22"/>
      <c r="EV39" s="22">
        <f>10.033975 - 17.897808 * BP39 + N("66 mg#   R2 0.46")</f>
        <v>-0.46308675980737846</v>
      </c>
      <c r="EW39" s="22">
        <f>7.162348 - 16.15931 * BP39 + N("38d mg# r2 0.38")</f>
        <v>-2.3150849384845884</v>
      </c>
      <c r="EX39" s="22">
        <f>4.451575 - 11.66175 * BP39 + N("mg#")</f>
        <v>-2.3880396599311871</v>
      </c>
      <c r="EY39" s="22"/>
      <c r="EZ39" s="22">
        <f>5.675764 - 12.3354 * BP39 + N("mg#")</f>
        <v>-1.5589462858589114</v>
      </c>
      <c r="FA39" s="22">
        <f>5.273598 - 11.10504 * BP39 + N("mg#")</f>
        <v>-1.239506326805345</v>
      </c>
      <c r="FB39" s="22">
        <f>6.313568 - 12.50612 * BP39 + N("mg#")</f>
        <v>-1.0212695407514838</v>
      </c>
      <c r="FC39" s="22">
        <f>6.81086 - 13.3177 * BP39 + N("mg#")</f>
        <v>-0.99996909139413681</v>
      </c>
      <c r="FD39" s="22">
        <f>8.616762 - 14.50395 * BP39 + N("mg#")</f>
        <v>0.11019745806513193</v>
      </c>
      <c r="FE39" s="46"/>
      <c r="FF39" s="46"/>
      <c r="FG39" s="46"/>
      <c r="FH39" s="46"/>
      <c r="FI39" s="46"/>
      <c r="FJ39" s="46"/>
      <c r="FK39" s="46"/>
      <c r="FL39" s="46"/>
      <c r="FM39" s="46"/>
      <c r="FN39" s="46"/>
      <c r="FO39" s="46"/>
    </row>
    <row r="40" spans="1:171" x14ac:dyDescent="0.25">
      <c r="A40" s="5" t="s">
        <v>92</v>
      </c>
      <c r="B40" s="1">
        <v>1001</v>
      </c>
      <c r="C40" s="98" t="s">
        <v>255</v>
      </c>
      <c r="D40" s="98" t="s">
        <v>106</v>
      </c>
      <c r="E40" s="1">
        <v>159</v>
      </c>
      <c r="F40" s="22">
        <v>54.05</v>
      </c>
      <c r="G40" s="22">
        <v>0.08</v>
      </c>
      <c r="H40" s="22">
        <v>0.121</v>
      </c>
      <c r="I40" s="22">
        <v>0</v>
      </c>
      <c r="J40" s="22">
        <v>21.69</v>
      </c>
      <c r="K40" s="22">
        <v>1.161</v>
      </c>
      <c r="L40" s="22">
        <v>21.73</v>
      </c>
      <c r="M40" s="22">
        <v>1.2270000000000001</v>
      </c>
      <c r="N40" s="22">
        <v>3.5000000000000003E-2</v>
      </c>
      <c r="O40" s="22">
        <v>1.2999999999999999E-2</v>
      </c>
      <c r="P40" s="22">
        <v>0</v>
      </c>
      <c r="Q40" s="22"/>
      <c r="R40" s="22"/>
      <c r="S40" s="22">
        <f t="shared" si="59"/>
        <v>100.10700000000001</v>
      </c>
      <c r="T40" s="3"/>
      <c r="U40" s="22">
        <f t="shared" si="60"/>
        <v>21.69</v>
      </c>
      <c r="V40" s="22">
        <f t="shared" si="61"/>
        <v>0</v>
      </c>
      <c r="W40" s="22">
        <f t="shared" si="62"/>
        <v>100.107</v>
      </c>
      <c r="X40" s="1"/>
      <c r="Y40" s="1"/>
      <c r="Z40" s="1"/>
      <c r="AA40" s="1" t="s">
        <v>185</v>
      </c>
      <c r="AC40" s="1">
        <v>6</v>
      </c>
      <c r="AD40" s="1">
        <v>4</v>
      </c>
      <c r="AE40" s="1"/>
      <c r="AF40" s="26">
        <f t="shared" si="63"/>
        <v>2.0104568610999887</v>
      </c>
      <c r="AG40" s="26">
        <f t="shared" si="64"/>
        <v>2.2381073592792028E-3</v>
      </c>
      <c r="AH40" s="26">
        <f t="shared" si="65"/>
        <v>5.3041344446268018E-3</v>
      </c>
      <c r="AI40" s="26">
        <f t="shared" si="66"/>
        <v>0</v>
      </c>
      <c r="AJ40" s="26">
        <f t="shared" si="67"/>
        <v>0.67462396381115874</v>
      </c>
      <c r="AK40" s="26">
        <f t="shared" si="68"/>
        <v>3.657379447641626E-2</v>
      </c>
      <c r="AL40" s="26">
        <f t="shared" si="69"/>
        <v>1.2049906155772052</v>
      </c>
      <c r="AM40" s="26">
        <f t="shared" si="70"/>
        <v>4.8895122917989094E-2</v>
      </c>
      <c r="AN40" s="26">
        <f t="shared" si="71"/>
        <v>2.5239192300229086E-3</v>
      </c>
      <c r="AO40" s="26">
        <f t="shared" si="72"/>
        <v>6.1681003348457934E-4</v>
      </c>
      <c r="AP40" s="26">
        <f t="shared" si="73"/>
        <v>0</v>
      </c>
      <c r="AQ40" s="26">
        <f t="shared" si="74"/>
        <v>0</v>
      </c>
      <c r="AR40" s="26">
        <f t="shared" si="75"/>
        <v>0</v>
      </c>
      <c r="AS40" s="26">
        <f t="shared" si="76"/>
        <v>3.9862233289501714</v>
      </c>
      <c r="AT40" s="26">
        <f t="shared" si="77"/>
        <v>2.0157609955446154</v>
      </c>
      <c r="AU40" s="26">
        <f t="shared" si="78"/>
        <v>5.2035852181496582E-2</v>
      </c>
      <c r="AV40" s="47"/>
      <c r="AW40" s="26">
        <f t="shared" si="79"/>
        <v>2.0174051428568318</v>
      </c>
      <c r="AX40" s="26">
        <f t="shared" si="80"/>
        <v>2.2458424173325384E-3</v>
      </c>
      <c r="AY40" s="26">
        <f t="shared" si="81"/>
        <v>5.3224659101312527E-3</v>
      </c>
      <c r="AZ40" s="26">
        <f t="shared" si="82"/>
        <v>0</v>
      </c>
      <c r="BA40" s="26">
        <f t="shared" si="83"/>
        <v>0.6769555121627675</v>
      </c>
      <c r="BB40" s="26">
        <f t="shared" si="84"/>
        <v>0</v>
      </c>
      <c r="BC40" s="26">
        <f t="shared" si="85"/>
        <v>3.6700196108729807E-2</v>
      </c>
      <c r="BD40" s="26">
        <f t="shared" si="86"/>
        <v>1.2091551487603749</v>
      </c>
      <c r="BE40" s="26">
        <f t="shared" si="87"/>
        <v>4.9064107936838873E-2</v>
      </c>
      <c r="BF40" s="26">
        <f t="shared" si="88"/>
        <v>2.532642074208741E-3</v>
      </c>
      <c r="BG40" s="26">
        <f t="shared" si="89"/>
        <v>6.1894177278524435E-4</v>
      </c>
      <c r="BH40" s="26">
        <f t="shared" si="90"/>
        <v>0</v>
      </c>
      <c r="BI40" s="26">
        <f t="shared" si="91"/>
        <v>0</v>
      </c>
      <c r="BJ40" s="26">
        <f t="shared" si="92"/>
        <v>0</v>
      </c>
      <c r="BK40" s="25">
        <f t="shared" si="93"/>
        <v>4.0000000000000009</v>
      </c>
      <c r="BL40" s="24">
        <f t="shared" si="94"/>
        <v>6.0207364263057341</v>
      </c>
      <c r="BM40" s="26">
        <f t="shared" si="95"/>
        <v>2.0227276087669632</v>
      </c>
      <c r="BN40" s="26">
        <f t="shared" si="96"/>
        <v>5.2215691783832854E-2</v>
      </c>
      <c r="BO40" s="22"/>
      <c r="BP40" s="26">
        <f t="shared" si="97"/>
        <v>0.64108388431915397</v>
      </c>
      <c r="BQ40" s="22"/>
      <c r="BR40" s="22">
        <f t="shared" si="98"/>
        <v>2.4881956923479377E-2</v>
      </c>
      <c r="BS40" s="22">
        <f t="shared" si="99"/>
        <v>0.61320072024929906</v>
      </c>
      <c r="BT40" s="22">
        <f t="shared" si="100"/>
        <v>0.36191732282722161</v>
      </c>
      <c r="BU40" s="1"/>
      <c r="BV40" s="26">
        <f t="shared" si="101"/>
        <v>0.89963382157123828</v>
      </c>
      <c r="BW40" s="26">
        <f t="shared" si="102"/>
        <v>1.0015022533800702E-3</v>
      </c>
      <c r="BX40" s="26">
        <f t="shared" si="103"/>
        <v>2.3734797959984308E-3</v>
      </c>
      <c r="BY40" s="26">
        <f t="shared" si="104"/>
        <v>0</v>
      </c>
      <c r="BZ40" s="26">
        <f t="shared" si="105"/>
        <v>0.30187891440501047</v>
      </c>
      <c r="CA40" s="26">
        <f t="shared" si="106"/>
        <v>1.6365943050465181E-2</v>
      </c>
      <c r="CB40" s="26">
        <f t="shared" si="107"/>
        <v>0.53920595533498761</v>
      </c>
      <c r="CC40" s="26">
        <f t="shared" si="108"/>
        <v>2.1879457917261057E-2</v>
      </c>
      <c r="CD40" s="26">
        <f t="shared" si="109"/>
        <v>1.1293965795417878E-3</v>
      </c>
      <c r="CE40" s="26">
        <f t="shared" si="110"/>
        <v>2.7600849256900208E-4</v>
      </c>
      <c r="CF40" s="26">
        <f t="shared" si="111"/>
        <v>0</v>
      </c>
      <c r="CG40" s="26">
        <f t="shared" si="112"/>
        <v>0</v>
      </c>
      <c r="CH40" s="26">
        <f t="shared" si="113"/>
        <v>0</v>
      </c>
      <c r="CI40" s="26">
        <f t="shared" si="114"/>
        <v>1.7837444794004518</v>
      </c>
      <c r="CJ40" s="26">
        <f t="shared" si="115"/>
        <v>2.6848638405870142</v>
      </c>
      <c r="CK40" s="26">
        <f t="shared" si="116"/>
        <v>2.2424736537065395</v>
      </c>
      <c r="CL40" s="26">
        <f t="shared" si="117"/>
        <v>6.0207364263057341</v>
      </c>
      <c r="CM40" s="1"/>
      <c r="CN40" s="22"/>
      <c r="CO40" s="96"/>
      <c r="CP40" s="14"/>
      <c r="CQ40" s="14"/>
      <c r="CR40" s="14"/>
      <c r="CS40" s="14"/>
      <c r="CT40" s="22"/>
      <c r="CU40" s="14"/>
      <c r="CV40" s="22"/>
      <c r="CW40" s="22"/>
      <c r="CX40" s="14"/>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46"/>
      <c r="FF40" s="46"/>
      <c r="FG40" s="46"/>
      <c r="FH40" s="46"/>
      <c r="FI40" s="46"/>
      <c r="FJ40" s="46"/>
      <c r="FK40" s="46"/>
      <c r="FL40" s="46"/>
      <c r="FM40" s="46"/>
      <c r="FN40" s="46"/>
      <c r="FO40" s="46"/>
    </row>
    <row r="41" spans="1:171" x14ac:dyDescent="0.25">
      <c r="A41" s="5" t="s">
        <v>92</v>
      </c>
      <c r="B41" s="1">
        <v>1010</v>
      </c>
      <c r="C41" s="98" t="s">
        <v>255</v>
      </c>
      <c r="D41" s="98" t="s">
        <v>106</v>
      </c>
      <c r="E41" s="1">
        <v>168</v>
      </c>
      <c r="F41" s="22">
        <v>52.96</v>
      </c>
      <c r="G41" s="22">
        <v>8.1000000000000003E-2</v>
      </c>
      <c r="H41" s="22">
        <v>0.58099999999999996</v>
      </c>
      <c r="I41" s="22">
        <v>0</v>
      </c>
      <c r="J41" s="22">
        <v>23.57</v>
      </c>
      <c r="K41" s="22">
        <v>0.83099999999999996</v>
      </c>
      <c r="L41" s="22">
        <v>20.72</v>
      </c>
      <c r="M41" s="22">
        <v>1.73</v>
      </c>
      <c r="N41" s="22">
        <v>3.7999999999999999E-2</v>
      </c>
      <c r="O41" s="22">
        <v>0</v>
      </c>
      <c r="P41" s="22">
        <v>0</v>
      </c>
      <c r="Q41" s="22"/>
      <c r="R41" s="22"/>
      <c r="S41" s="22">
        <f t="shared" si="59"/>
        <v>100.51100000000001</v>
      </c>
      <c r="T41" s="3"/>
      <c r="U41" s="22">
        <f t="shared" si="60"/>
        <v>23.2324193865675</v>
      </c>
      <c r="V41" s="22">
        <f t="shared" si="61"/>
        <v>0.37515333570753517</v>
      </c>
      <c r="W41" s="22">
        <f t="shared" si="62"/>
        <v>100.54857272227504</v>
      </c>
      <c r="X41" s="1"/>
      <c r="Y41" s="1"/>
      <c r="Z41" s="1"/>
      <c r="AA41" s="1" t="s">
        <v>185</v>
      </c>
      <c r="AC41" s="1">
        <v>6</v>
      </c>
      <c r="AD41" s="1">
        <v>4</v>
      </c>
      <c r="AE41" s="1"/>
      <c r="AF41" s="26">
        <f t="shared" si="63"/>
        <v>1.982758114585518</v>
      </c>
      <c r="AG41" s="26">
        <f t="shared" si="64"/>
        <v>2.2808600905200637E-3</v>
      </c>
      <c r="AH41" s="26">
        <f t="shared" si="65"/>
        <v>2.5634684974950597E-2</v>
      </c>
      <c r="AI41" s="26">
        <f t="shared" si="66"/>
        <v>0</v>
      </c>
      <c r="AJ41" s="26">
        <f t="shared" si="67"/>
        <v>0.73787788379504704</v>
      </c>
      <c r="AK41" s="26">
        <f t="shared" si="68"/>
        <v>2.6348841387356929E-2</v>
      </c>
      <c r="AL41" s="26">
        <f t="shared" si="69"/>
        <v>1.1564753716009522</v>
      </c>
      <c r="AM41" s="26">
        <f t="shared" si="70"/>
        <v>6.9388864667138839E-2</v>
      </c>
      <c r="AN41" s="26">
        <f t="shared" si="71"/>
        <v>2.7581234700035538E-3</v>
      </c>
      <c r="AO41" s="26">
        <f t="shared" si="72"/>
        <v>0</v>
      </c>
      <c r="AP41" s="26">
        <f t="shared" si="73"/>
        <v>0</v>
      </c>
      <c r="AQ41" s="26">
        <f t="shared" si="74"/>
        <v>0</v>
      </c>
      <c r="AR41" s="26">
        <f t="shared" si="75"/>
        <v>0</v>
      </c>
      <c r="AS41" s="26">
        <f t="shared" si="76"/>
        <v>4.0035227445714865</v>
      </c>
      <c r="AT41" s="26">
        <f t="shared" si="77"/>
        <v>2.0083927995604687</v>
      </c>
      <c r="AU41" s="26">
        <f t="shared" si="78"/>
        <v>7.214698813714239E-2</v>
      </c>
      <c r="AV41" s="47"/>
      <c r="AW41" s="26">
        <f t="shared" si="79"/>
        <v>1.9810134634793892</v>
      </c>
      <c r="AX41" s="26">
        <f t="shared" si="80"/>
        <v>2.278853136141424E-3</v>
      </c>
      <c r="AY41" s="26">
        <f t="shared" si="81"/>
        <v>2.5612128728090315E-2</v>
      </c>
      <c r="AZ41" s="26">
        <f t="shared" si="82"/>
        <v>0</v>
      </c>
      <c r="BA41" s="26">
        <f t="shared" si="83"/>
        <v>0.72666968216106342</v>
      </c>
      <c r="BB41" s="26">
        <f t="shared" si="84"/>
        <v>1.0558934607067361E-2</v>
      </c>
      <c r="BC41" s="26">
        <f t="shared" si="85"/>
        <v>2.6325656746258499E-2</v>
      </c>
      <c r="BD41" s="26">
        <f t="shared" si="86"/>
        <v>1.1554577759490003</v>
      </c>
      <c r="BE41" s="26">
        <f t="shared" si="87"/>
        <v>6.9327808626765575E-2</v>
      </c>
      <c r="BF41" s="26">
        <f t="shared" si="88"/>
        <v>2.7556965662237213E-3</v>
      </c>
      <c r="BG41" s="26">
        <f t="shared" si="89"/>
        <v>0</v>
      </c>
      <c r="BH41" s="26">
        <f t="shared" si="90"/>
        <v>0</v>
      </c>
      <c r="BI41" s="26">
        <f t="shared" si="91"/>
        <v>0</v>
      </c>
      <c r="BJ41" s="26">
        <f t="shared" si="92"/>
        <v>0</v>
      </c>
      <c r="BK41" s="25">
        <f t="shared" si="93"/>
        <v>4</v>
      </c>
      <c r="BL41" s="24">
        <f t="shared" si="94"/>
        <v>5.9999999999999982</v>
      </c>
      <c r="BM41" s="26">
        <f t="shared" si="95"/>
        <v>2.0066255922074796</v>
      </c>
      <c r="BN41" s="26">
        <f t="shared" si="96"/>
        <v>7.2083505192989297E-2</v>
      </c>
      <c r="BO41" s="22"/>
      <c r="BP41" s="26">
        <f t="shared" si="97"/>
        <v>0.61048559359600563</v>
      </c>
      <c r="BQ41" s="22"/>
      <c r="BR41" s="22">
        <f t="shared" si="98"/>
        <v>3.4867182461129402E-2</v>
      </c>
      <c r="BS41" s="22">
        <f t="shared" si="99"/>
        <v>0.58111684038705713</v>
      </c>
      <c r="BT41" s="22">
        <f t="shared" si="100"/>
        <v>0.38401597715181363</v>
      </c>
      <c r="BU41" s="1"/>
      <c r="BV41" s="26">
        <f t="shared" si="101"/>
        <v>0.881491344873502</v>
      </c>
      <c r="BW41" s="26">
        <f t="shared" si="102"/>
        <v>1.0140210315473211E-3</v>
      </c>
      <c r="BX41" s="26">
        <f t="shared" si="103"/>
        <v>1.1396626127893291E-2</v>
      </c>
      <c r="BY41" s="26">
        <f t="shared" si="104"/>
        <v>0</v>
      </c>
      <c r="BZ41" s="26">
        <f t="shared" si="105"/>
        <v>0.32804453723034099</v>
      </c>
      <c r="CA41" s="26">
        <f t="shared" si="106"/>
        <v>1.1714124612348463E-2</v>
      </c>
      <c r="CB41" s="26">
        <f t="shared" si="107"/>
        <v>0.51414392059553349</v>
      </c>
      <c r="CC41" s="26">
        <f t="shared" si="108"/>
        <v>3.0848787446504995E-2</v>
      </c>
      <c r="CD41" s="26">
        <f t="shared" si="109"/>
        <v>1.2262020006453694E-3</v>
      </c>
      <c r="CE41" s="26">
        <f t="shared" si="110"/>
        <v>0</v>
      </c>
      <c r="CF41" s="26">
        <f t="shared" si="111"/>
        <v>0</v>
      </c>
      <c r="CG41" s="26">
        <f t="shared" si="112"/>
        <v>0</v>
      </c>
      <c r="CH41" s="26">
        <f t="shared" si="113"/>
        <v>0</v>
      </c>
      <c r="CI41" s="26">
        <f t="shared" si="114"/>
        <v>1.779879563918316</v>
      </c>
      <c r="CJ41" s="26">
        <f t="shared" si="115"/>
        <v>2.6674701418869895</v>
      </c>
      <c r="CK41" s="26">
        <f t="shared" si="116"/>
        <v>2.2473430680861348</v>
      </c>
      <c r="CL41" s="26">
        <f t="shared" si="117"/>
        <v>5.9947205326964648</v>
      </c>
      <c r="CM41" s="1"/>
      <c r="CN41" s="22"/>
      <c r="CO41" s="96"/>
      <c r="CP41" s="14"/>
      <c r="CQ41" s="14"/>
      <c r="CR41" s="14"/>
      <c r="CS41" s="14"/>
      <c r="CT41" s="22"/>
      <c r="CU41" s="14"/>
      <c r="CV41" s="22"/>
      <c r="CW41" s="22"/>
      <c r="CX41" s="14"/>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46"/>
      <c r="FF41" s="46"/>
      <c r="FG41" s="46"/>
      <c r="FH41" s="46"/>
      <c r="FI41" s="46"/>
      <c r="FJ41" s="46"/>
      <c r="FK41" s="46"/>
      <c r="FL41" s="46"/>
      <c r="FM41" s="46"/>
      <c r="FN41" s="46"/>
      <c r="FO41" s="46"/>
    </row>
    <row r="42" spans="1:171" x14ac:dyDescent="0.25">
      <c r="A42" s="5" t="s">
        <v>92</v>
      </c>
      <c r="B42" s="1">
        <v>1011</v>
      </c>
      <c r="C42" s="98" t="s">
        <v>255</v>
      </c>
      <c r="D42" s="98" t="s">
        <v>106</v>
      </c>
      <c r="E42" s="1">
        <v>169</v>
      </c>
      <c r="F42" s="22">
        <v>52.83</v>
      </c>
      <c r="G42" s="22">
        <v>0.125</v>
      </c>
      <c r="H42" s="22">
        <v>0.66500000000000004</v>
      </c>
      <c r="I42" s="22">
        <v>0.05</v>
      </c>
      <c r="J42" s="22">
        <v>23.84</v>
      </c>
      <c r="K42" s="22">
        <v>0.752</v>
      </c>
      <c r="L42" s="22">
        <v>20.14</v>
      </c>
      <c r="M42" s="22">
        <v>1.69</v>
      </c>
      <c r="N42" s="22">
        <v>4.5999999999999999E-2</v>
      </c>
      <c r="O42" s="22">
        <v>0</v>
      </c>
      <c r="P42" s="22">
        <v>0</v>
      </c>
      <c r="Q42" s="22"/>
      <c r="R42" s="22"/>
      <c r="S42" s="22">
        <f t="shared" si="59"/>
        <v>100.13799999999999</v>
      </c>
      <c r="T42" s="3"/>
      <c r="U42" s="22">
        <f t="shared" si="60"/>
        <v>23.84</v>
      </c>
      <c r="V42" s="22">
        <f t="shared" si="61"/>
        <v>0</v>
      </c>
      <c r="W42" s="22">
        <f t="shared" si="62"/>
        <v>100.13800000000001</v>
      </c>
      <c r="X42" s="1"/>
      <c r="Y42" s="1"/>
      <c r="Z42" s="1"/>
      <c r="AA42" s="1" t="s">
        <v>185</v>
      </c>
      <c r="AC42" s="1">
        <v>6</v>
      </c>
      <c r="AD42" s="1">
        <v>4</v>
      </c>
      <c r="AE42" s="1"/>
      <c r="AF42" s="26">
        <f t="shared" si="63"/>
        <v>1.9869035495341214</v>
      </c>
      <c r="AG42" s="26">
        <f t="shared" si="64"/>
        <v>3.5358843814181557E-3</v>
      </c>
      <c r="AH42" s="26">
        <f t="shared" si="65"/>
        <v>2.9474599532021768E-2</v>
      </c>
      <c r="AI42" s="26">
        <f t="shared" si="66"/>
        <v>1.4866580400693847E-3</v>
      </c>
      <c r="AJ42" s="26">
        <f t="shared" si="67"/>
        <v>0.74973118822016371</v>
      </c>
      <c r="AK42" s="26">
        <f t="shared" si="68"/>
        <v>2.3952605151343336E-2</v>
      </c>
      <c r="AL42" s="26">
        <f t="shared" si="69"/>
        <v>1.1292250898199347</v>
      </c>
      <c r="AM42" s="26">
        <f t="shared" si="70"/>
        <v>6.8093365337401277E-2</v>
      </c>
      <c r="AN42" s="26">
        <f t="shared" si="71"/>
        <v>3.3539945638808347E-3</v>
      </c>
      <c r="AO42" s="26">
        <f t="shared" si="72"/>
        <v>0</v>
      </c>
      <c r="AP42" s="26">
        <f t="shared" si="73"/>
        <v>0</v>
      </c>
      <c r="AQ42" s="26">
        <f t="shared" si="74"/>
        <v>0</v>
      </c>
      <c r="AR42" s="26">
        <f t="shared" si="75"/>
        <v>0</v>
      </c>
      <c r="AS42" s="26">
        <f t="shared" si="76"/>
        <v>3.9957569345803545</v>
      </c>
      <c r="AT42" s="26">
        <f t="shared" si="77"/>
        <v>2.016378149066143</v>
      </c>
      <c r="AU42" s="26">
        <f t="shared" si="78"/>
        <v>7.1447359901282106E-2</v>
      </c>
      <c r="AV42" s="47"/>
      <c r="AW42" s="26">
        <f t="shared" si="79"/>
        <v>1.9890134280580725</v>
      </c>
      <c r="AX42" s="26">
        <f t="shared" si="80"/>
        <v>3.5396391114961589E-3</v>
      </c>
      <c r="AY42" s="26">
        <f t="shared" si="81"/>
        <v>2.950589839631201E-2</v>
      </c>
      <c r="AZ42" s="26">
        <f t="shared" si="82"/>
        <v>1.4882367115010889E-3</v>
      </c>
      <c r="BA42" s="26">
        <f t="shared" si="83"/>
        <v>0.75052732235215658</v>
      </c>
      <c r="BB42" s="26">
        <f t="shared" si="84"/>
        <v>0</v>
      </c>
      <c r="BC42" s="26">
        <f t="shared" si="85"/>
        <v>2.3978040249696925E-2</v>
      </c>
      <c r="BD42" s="26">
        <f t="shared" si="86"/>
        <v>1.130424205784208</v>
      </c>
      <c r="BE42" s="26">
        <f t="shared" si="87"/>
        <v>6.8165673190081197E-2</v>
      </c>
      <c r="BF42" s="26">
        <f t="shared" si="88"/>
        <v>3.3575561464757419E-3</v>
      </c>
      <c r="BG42" s="26">
        <f t="shared" si="89"/>
        <v>0</v>
      </c>
      <c r="BH42" s="26">
        <f t="shared" si="90"/>
        <v>0</v>
      </c>
      <c r="BI42" s="26">
        <f t="shared" si="91"/>
        <v>0</v>
      </c>
      <c r="BJ42" s="26">
        <f t="shared" si="92"/>
        <v>0</v>
      </c>
      <c r="BK42" s="25">
        <f t="shared" si="93"/>
        <v>4</v>
      </c>
      <c r="BL42" s="24">
        <f t="shared" si="94"/>
        <v>6.006371356650237</v>
      </c>
      <c r="BM42" s="26">
        <f t="shared" si="95"/>
        <v>2.0185193264543844</v>
      </c>
      <c r="BN42" s="26">
        <f t="shared" si="96"/>
        <v>7.1523229336556943E-2</v>
      </c>
      <c r="BO42" s="22"/>
      <c r="BP42" s="26">
        <f t="shared" si="97"/>
        <v>0.60098529328090944</v>
      </c>
      <c r="BQ42" s="22"/>
      <c r="BR42" s="22">
        <f t="shared" si="98"/>
        <v>3.4547583793081003E-2</v>
      </c>
      <c r="BS42" s="22">
        <f t="shared" si="99"/>
        <v>0.57291922962685038</v>
      </c>
      <c r="BT42" s="22">
        <f t="shared" si="100"/>
        <v>0.39253318658006853</v>
      </c>
      <c r="BU42" s="1"/>
      <c r="BV42" s="26">
        <f t="shared" si="101"/>
        <v>0.8793275632490013</v>
      </c>
      <c r="BW42" s="26">
        <f t="shared" si="102"/>
        <v>1.5648472709063597E-3</v>
      </c>
      <c r="BX42" s="26">
        <f t="shared" si="103"/>
        <v>1.3044331110239312E-2</v>
      </c>
      <c r="BY42" s="26">
        <f t="shared" si="104"/>
        <v>6.5793802223830511E-4</v>
      </c>
      <c r="BZ42" s="26">
        <f t="shared" si="105"/>
        <v>0.3318023660403619</v>
      </c>
      <c r="CA42" s="26">
        <f t="shared" si="106"/>
        <v>1.060050747110234E-2</v>
      </c>
      <c r="CB42" s="26">
        <f t="shared" si="107"/>
        <v>0.49975186104218366</v>
      </c>
      <c r="CC42" s="26">
        <f t="shared" si="108"/>
        <v>3.013552068473609E-2</v>
      </c>
      <c r="CD42" s="26">
        <f t="shared" si="109"/>
        <v>1.484349790254921E-3</v>
      </c>
      <c r="CE42" s="26">
        <f t="shared" si="110"/>
        <v>0</v>
      </c>
      <c r="CF42" s="26">
        <f t="shared" si="111"/>
        <v>0</v>
      </c>
      <c r="CG42" s="26">
        <f t="shared" si="112"/>
        <v>0</v>
      </c>
      <c r="CH42" s="26">
        <f t="shared" si="113"/>
        <v>0</v>
      </c>
      <c r="CI42" s="26">
        <f t="shared" si="114"/>
        <v>1.7683692846810242</v>
      </c>
      <c r="CJ42" s="26">
        <f t="shared" si="115"/>
        <v>2.6553706548720433</v>
      </c>
      <c r="CK42" s="26">
        <f t="shared" si="116"/>
        <v>2.2619709778105053</v>
      </c>
      <c r="CL42" s="26">
        <f t="shared" si="117"/>
        <v>6.006371356650237</v>
      </c>
      <c r="CM42" s="1"/>
      <c r="CN42" s="22"/>
      <c r="CO42" s="96"/>
      <c r="CP42" s="14"/>
      <c r="CQ42" s="14"/>
      <c r="CR42" s="14"/>
      <c r="CS42" s="14"/>
      <c r="CT42" s="22"/>
      <c r="CU42" s="14"/>
      <c r="CV42" s="22"/>
      <c r="CW42" s="22"/>
      <c r="CX42" s="14"/>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46"/>
      <c r="FF42" s="46"/>
      <c r="FG42" s="46"/>
      <c r="FH42" s="46"/>
      <c r="FI42" s="46"/>
      <c r="FJ42" s="46"/>
      <c r="FK42" s="46"/>
      <c r="FL42" s="46"/>
      <c r="FM42" s="46"/>
      <c r="FN42" s="46"/>
      <c r="FO42" s="46"/>
    </row>
    <row r="43" spans="1:171" x14ac:dyDescent="0.25">
      <c r="A43" s="5" t="s">
        <v>92</v>
      </c>
      <c r="B43" s="1">
        <v>1013</v>
      </c>
      <c r="C43" s="98" t="s">
        <v>255</v>
      </c>
      <c r="D43" s="98" t="s">
        <v>106</v>
      </c>
      <c r="E43" s="1">
        <v>171</v>
      </c>
      <c r="F43" s="22">
        <v>53.39</v>
      </c>
      <c r="G43" s="22">
        <v>0.27300000000000002</v>
      </c>
      <c r="H43" s="22">
        <v>0.56599999999999995</v>
      </c>
      <c r="I43" s="22">
        <v>0</v>
      </c>
      <c r="J43" s="22">
        <v>21.96</v>
      </c>
      <c r="K43" s="22">
        <v>0.75800000000000001</v>
      </c>
      <c r="L43" s="22">
        <v>21.66</v>
      </c>
      <c r="M43" s="22">
        <v>1.67</v>
      </c>
      <c r="N43" s="22">
        <v>0.03</v>
      </c>
      <c r="O43" s="22">
        <v>0</v>
      </c>
      <c r="P43" s="22">
        <v>0</v>
      </c>
      <c r="Q43" s="22"/>
      <c r="R43" s="22"/>
      <c r="S43" s="22">
        <f t="shared" si="59"/>
        <v>100.307</v>
      </c>
      <c r="T43" s="3"/>
      <c r="U43" s="22">
        <f t="shared" si="60"/>
        <v>21.96</v>
      </c>
      <c r="V43" s="22">
        <f t="shared" si="61"/>
        <v>0</v>
      </c>
      <c r="W43" s="22">
        <f t="shared" si="62"/>
        <v>100.30700000000002</v>
      </c>
      <c r="X43" s="1"/>
      <c r="Y43" s="1"/>
      <c r="Z43" s="1"/>
      <c r="AA43" s="1" t="s">
        <v>185</v>
      </c>
      <c r="AC43" s="1">
        <v>6</v>
      </c>
      <c r="AD43" s="1">
        <v>4</v>
      </c>
      <c r="AE43" s="1"/>
      <c r="AF43" s="26">
        <f t="shared" si="63"/>
        <v>1.9859253411511144</v>
      </c>
      <c r="AG43" s="26">
        <f t="shared" si="64"/>
        <v>7.6376105874268411E-3</v>
      </c>
      <c r="AH43" s="26">
        <f t="shared" si="65"/>
        <v>2.4811300049260809E-2</v>
      </c>
      <c r="AI43" s="26">
        <f t="shared" si="66"/>
        <v>0</v>
      </c>
      <c r="AJ43" s="26">
        <f t="shared" si="67"/>
        <v>0.68302796314929037</v>
      </c>
      <c r="AK43" s="26">
        <f t="shared" si="68"/>
        <v>2.3878714456241269E-2</v>
      </c>
      <c r="AL43" s="26">
        <f t="shared" si="69"/>
        <v>1.2011198018937084</v>
      </c>
      <c r="AM43" s="26">
        <f t="shared" si="70"/>
        <v>6.654897747582636E-2</v>
      </c>
      <c r="AN43" s="26">
        <f t="shared" si="71"/>
        <v>2.1633789479188819E-3</v>
      </c>
      <c r="AO43" s="26">
        <f t="shared" si="72"/>
        <v>0</v>
      </c>
      <c r="AP43" s="26">
        <f t="shared" si="73"/>
        <v>0</v>
      </c>
      <c r="AQ43" s="26">
        <f t="shared" si="74"/>
        <v>0</v>
      </c>
      <c r="AR43" s="26">
        <f t="shared" si="75"/>
        <v>0</v>
      </c>
      <c r="AS43" s="26">
        <f t="shared" si="76"/>
        <v>3.995113087710787</v>
      </c>
      <c r="AT43" s="26">
        <f t="shared" si="77"/>
        <v>2.0107366412003751</v>
      </c>
      <c r="AU43" s="26">
        <f t="shared" si="78"/>
        <v>6.8712356423745236E-2</v>
      </c>
      <c r="AV43" s="47"/>
      <c r="AW43" s="26">
        <f t="shared" si="79"/>
        <v>1.9883545697466665</v>
      </c>
      <c r="AX43" s="26">
        <f t="shared" si="80"/>
        <v>7.6469530846779788E-3</v>
      </c>
      <c r="AY43" s="26">
        <f t="shared" si="81"/>
        <v>2.4841649790171786E-2</v>
      </c>
      <c r="AZ43" s="26">
        <f t="shared" si="82"/>
        <v>0</v>
      </c>
      <c r="BA43" s="26">
        <f t="shared" si="83"/>
        <v>0.68386345833395934</v>
      </c>
      <c r="BB43" s="26">
        <f t="shared" si="84"/>
        <v>0</v>
      </c>
      <c r="BC43" s="26">
        <f t="shared" si="85"/>
        <v>2.3907923437455285E-2</v>
      </c>
      <c r="BD43" s="26">
        <f t="shared" si="86"/>
        <v>1.20258903868171</v>
      </c>
      <c r="BE43" s="26">
        <f t="shared" si="87"/>
        <v>6.66303816835975E-2</v>
      </c>
      <c r="BF43" s="26">
        <f t="shared" si="88"/>
        <v>2.1660252417620603E-3</v>
      </c>
      <c r="BG43" s="26">
        <f t="shared" si="89"/>
        <v>0</v>
      </c>
      <c r="BH43" s="26">
        <f t="shared" si="90"/>
        <v>0</v>
      </c>
      <c r="BI43" s="26">
        <f t="shared" si="91"/>
        <v>0</v>
      </c>
      <c r="BJ43" s="26">
        <f t="shared" si="92"/>
        <v>0</v>
      </c>
      <c r="BK43" s="25">
        <f t="shared" si="93"/>
        <v>4.0000000000000009</v>
      </c>
      <c r="BL43" s="24">
        <f t="shared" si="94"/>
        <v>6.0073393351055495</v>
      </c>
      <c r="BM43" s="26">
        <f t="shared" si="95"/>
        <v>2.0131962195368382</v>
      </c>
      <c r="BN43" s="26">
        <f t="shared" si="96"/>
        <v>6.8796406925359557E-2</v>
      </c>
      <c r="BO43" s="22"/>
      <c r="BP43" s="26">
        <f t="shared" si="97"/>
        <v>0.63748705073898349</v>
      </c>
      <c r="BQ43" s="22"/>
      <c r="BR43" s="22">
        <f t="shared" si="98"/>
        <v>3.370292952884945E-2</v>
      </c>
      <c r="BS43" s="22">
        <f t="shared" si="99"/>
        <v>0.60829268268823378</v>
      </c>
      <c r="BT43" s="22">
        <f t="shared" si="100"/>
        <v>0.35800438778291671</v>
      </c>
      <c r="BU43" s="1"/>
      <c r="BV43" s="26">
        <f t="shared" si="101"/>
        <v>0.88864846870838887</v>
      </c>
      <c r="BW43" s="26">
        <f t="shared" si="102"/>
        <v>3.4176264396594898E-3</v>
      </c>
      <c r="BX43" s="26">
        <f t="shared" si="103"/>
        <v>1.1102393095331502E-2</v>
      </c>
      <c r="BY43" s="26">
        <f t="shared" si="104"/>
        <v>0</v>
      </c>
      <c r="BZ43" s="26">
        <f t="shared" si="105"/>
        <v>0.30563674321503137</v>
      </c>
      <c r="CA43" s="26">
        <f t="shared" si="106"/>
        <v>1.0685085988159008E-2</v>
      </c>
      <c r="CB43" s="26">
        <f t="shared" si="107"/>
        <v>0.53746898263027298</v>
      </c>
      <c r="CC43" s="26">
        <f t="shared" si="108"/>
        <v>2.9778887303851639E-2</v>
      </c>
      <c r="CD43" s="26">
        <f t="shared" si="109"/>
        <v>9.6805421103581804E-4</v>
      </c>
      <c r="CE43" s="26">
        <f t="shared" si="110"/>
        <v>0</v>
      </c>
      <c r="CF43" s="26">
        <f t="shared" si="111"/>
        <v>0</v>
      </c>
      <c r="CG43" s="26">
        <f t="shared" si="112"/>
        <v>0</v>
      </c>
      <c r="CH43" s="26">
        <f t="shared" si="113"/>
        <v>0</v>
      </c>
      <c r="CI43" s="26">
        <f t="shared" si="114"/>
        <v>1.7877062415917306</v>
      </c>
      <c r="CJ43" s="26">
        <f t="shared" si="115"/>
        <v>2.6848395061819272</v>
      </c>
      <c r="CK43" s="26">
        <f t="shared" si="116"/>
        <v>2.2375040747402082</v>
      </c>
      <c r="CL43" s="26">
        <f t="shared" si="117"/>
        <v>6.0073393351055504</v>
      </c>
      <c r="CM43" s="1"/>
      <c r="CN43" s="22"/>
      <c r="CO43" s="96"/>
      <c r="CP43" s="14"/>
      <c r="CQ43" s="14"/>
      <c r="CR43" s="14"/>
      <c r="CS43" s="14"/>
      <c r="CT43" s="22"/>
      <c r="CU43" s="14"/>
      <c r="CV43" s="22"/>
      <c r="CW43" s="22"/>
      <c r="CX43" s="14"/>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46"/>
      <c r="FF43" s="46"/>
      <c r="FG43" s="46"/>
      <c r="FH43" s="46"/>
      <c r="FI43" s="46"/>
      <c r="FJ43" s="46"/>
      <c r="FK43" s="46"/>
      <c r="FL43" s="46"/>
      <c r="FM43" s="46"/>
      <c r="FN43" s="46"/>
      <c r="FO43" s="46"/>
    </row>
    <row r="44" spans="1:171" x14ac:dyDescent="0.25">
      <c r="A44" s="5" t="s">
        <v>92</v>
      </c>
      <c r="B44" s="1">
        <v>1014</v>
      </c>
      <c r="C44" s="98" t="s">
        <v>255</v>
      </c>
      <c r="D44" s="98" t="s">
        <v>106</v>
      </c>
      <c r="E44" s="1">
        <v>172</v>
      </c>
      <c r="F44" s="22">
        <v>53.24</v>
      </c>
      <c r="G44" s="22">
        <v>0.28299999999999997</v>
      </c>
      <c r="H44" s="22">
        <v>0.84899999999999998</v>
      </c>
      <c r="I44" s="22">
        <v>2.4E-2</v>
      </c>
      <c r="J44" s="22">
        <v>22.27</v>
      </c>
      <c r="K44" s="22">
        <v>0.72299999999999998</v>
      </c>
      <c r="L44" s="22">
        <v>21.54</v>
      </c>
      <c r="M44" s="22">
        <v>1.72</v>
      </c>
      <c r="N44" s="22">
        <v>3.5999999999999997E-2</v>
      </c>
      <c r="O44" s="22">
        <v>0</v>
      </c>
      <c r="P44" s="22">
        <v>0</v>
      </c>
      <c r="Q44" s="22"/>
      <c r="R44" s="22"/>
      <c r="S44" s="22">
        <f t="shared" si="59"/>
        <v>100.685</v>
      </c>
      <c r="T44" s="3"/>
      <c r="U44" s="22">
        <f t="shared" si="60"/>
        <v>22.27</v>
      </c>
      <c r="V44" s="22">
        <f t="shared" si="61"/>
        <v>0</v>
      </c>
      <c r="W44" s="22">
        <f t="shared" si="62"/>
        <v>100.68499999999999</v>
      </c>
      <c r="X44" s="1"/>
      <c r="Y44" s="1"/>
      <c r="Z44" s="1"/>
      <c r="AA44" s="1" t="s">
        <v>185</v>
      </c>
      <c r="AC44" s="1">
        <v>6</v>
      </c>
      <c r="AD44" s="1">
        <v>4</v>
      </c>
      <c r="AE44" s="1"/>
      <c r="AF44" s="26">
        <f t="shared" si="63"/>
        <v>1.9760112976661544</v>
      </c>
      <c r="AG44" s="26">
        <f t="shared" si="64"/>
        <v>7.9000470865366549E-3</v>
      </c>
      <c r="AH44" s="26">
        <f t="shared" si="65"/>
        <v>3.7135490070962028E-2</v>
      </c>
      <c r="AI44" s="26">
        <f t="shared" si="66"/>
        <v>7.0421865073144578E-4</v>
      </c>
      <c r="AJ44" s="26">
        <f t="shared" si="67"/>
        <v>0.6911538714852864</v>
      </c>
      <c r="AK44" s="26">
        <f t="shared" si="68"/>
        <v>2.2726283167682253E-2</v>
      </c>
      <c r="AL44" s="26">
        <f t="shared" si="69"/>
        <v>1.1918509673746096</v>
      </c>
      <c r="AM44" s="26">
        <f t="shared" si="70"/>
        <v>6.8391439122101091E-2</v>
      </c>
      <c r="AN44" s="26">
        <f t="shared" si="71"/>
        <v>2.5903725247984621E-3</v>
      </c>
      <c r="AO44" s="26">
        <f t="shared" si="72"/>
        <v>0</v>
      </c>
      <c r="AP44" s="26">
        <f t="shared" si="73"/>
        <v>0</v>
      </c>
      <c r="AQ44" s="26">
        <f t="shared" si="74"/>
        <v>0</v>
      </c>
      <c r="AR44" s="26">
        <f t="shared" si="75"/>
        <v>0</v>
      </c>
      <c r="AS44" s="26">
        <f t="shared" si="76"/>
        <v>3.9984639871488623</v>
      </c>
      <c r="AT44" s="26">
        <f t="shared" si="77"/>
        <v>2.0131467877371163</v>
      </c>
      <c r="AU44" s="26">
        <f t="shared" si="78"/>
        <v>7.0981811646899554E-2</v>
      </c>
      <c r="AV44" s="47"/>
      <c r="AW44" s="26">
        <f t="shared" si="79"/>
        <v>1.9767703838444881</v>
      </c>
      <c r="AX44" s="26">
        <f t="shared" si="80"/>
        <v>7.9030818953753808E-3</v>
      </c>
      <c r="AY44" s="26">
        <f t="shared" si="81"/>
        <v>3.7149755696503653E-2</v>
      </c>
      <c r="AZ44" s="26">
        <f t="shared" si="82"/>
        <v>7.0448917683872388E-4</v>
      </c>
      <c r="BA44" s="26">
        <f t="shared" si="83"/>
        <v>0.69141937874810722</v>
      </c>
      <c r="BB44" s="26">
        <f t="shared" si="84"/>
        <v>0</v>
      </c>
      <c r="BC44" s="26">
        <f t="shared" si="85"/>
        <v>2.2735013485903545E-2</v>
      </c>
      <c r="BD44" s="26">
        <f t="shared" si="86"/>
        <v>1.1923088177912728</v>
      </c>
      <c r="BE44" s="26">
        <f t="shared" si="87"/>
        <v>6.8417711743221879E-2</v>
      </c>
      <c r="BF44" s="26">
        <f t="shared" si="88"/>
        <v>2.5913676182893913E-3</v>
      </c>
      <c r="BG44" s="26">
        <f t="shared" si="89"/>
        <v>0</v>
      </c>
      <c r="BH44" s="26">
        <f t="shared" si="90"/>
        <v>0</v>
      </c>
      <c r="BI44" s="26">
        <f t="shared" si="91"/>
        <v>0</v>
      </c>
      <c r="BJ44" s="26">
        <f t="shared" si="92"/>
        <v>0</v>
      </c>
      <c r="BK44" s="25">
        <f t="shared" si="93"/>
        <v>4.0000000000000009</v>
      </c>
      <c r="BL44" s="24">
        <f t="shared" si="94"/>
        <v>6.0023049043673913</v>
      </c>
      <c r="BM44" s="26">
        <f t="shared" si="95"/>
        <v>2.0139201395409918</v>
      </c>
      <c r="BN44" s="26">
        <f t="shared" si="96"/>
        <v>7.1009079361511268E-2</v>
      </c>
      <c r="BO44" s="22"/>
      <c r="BP44" s="26">
        <f t="shared" si="97"/>
        <v>0.63295162220413648</v>
      </c>
      <c r="BQ44" s="22"/>
      <c r="BR44" s="22">
        <f t="shared" si="98"/>
        <v>3.4643968144648353E-2</v>
      </c>
      <c r="BS44" s="22">
        <f t="shared" si="99"/>
        <v>0.60373706821956674</v>
      </c>
      <c r="BT44" s="22">
        <f t="shared" si="100"/>
        <v>0.36161896363578505</v>
      </c>
      <c r="BU44" s="1"/>
      <c r="BV44" s="26">
        <f t="shared" si="101"/>
        <v>0.88615179760319585</v>
      </c>
      <c r="BW44" s="26">
        <f t="shared" si="102"/>
        <v>3.5428142213319979E-3</v>
      </c>
      <c r="BX44" s="26">
        <f t="shared" si="103"/>
        <v>1.6653589642997256E-2</v>
      </c>
      <c r="BY44" s="26">
        <f t="shared" si="104"/>
        <v>3.1581025067438644E-4</v>
      </c>
      <c r="BZ44" s="26">
        <f t="shared" si="105"/>
        <v>0.30995128740431455</v>
      </c>
      <c r="CA44" s="26">
        <f t="shared" si="106"/>
        <v>1.0191711305328447E-2</v>
      </c>
      <c r="CB44" s="26">
        <f t="shared" si="107"/>
        <v>0.53449131513647641</v>
      </c>
      <c r="CC44" s="26">
        <f t="shared" si="108"/>
        <v>3.0670470756062766E-2</v>
      </c>
      <c r="CD44" s="26">
        <f t="shared" si="109"/>
        <v>1.1616650532429815E-3</v>
      </c>
      <c r="CE44" s="26">
        <f t="shared" si="110"/>
        <v>0</v>
      </c>
      <c r="CF44" s="26">
        <f t="shared" si="111"/>
        <v>0</v>
      </c>
      <c r="CG44" s="26">
        <f t="shared" si="112"/>
        <v>0</v>
      </c>
      <c r="CH44" s="26">
        <f t="shared" si="113"/>
        <v>0</v>
      </c>
      <c r="CI44" s="26">
        <f t="shared" si="114"/>
        <v>1.7931304613736243</v>
      </c>
      <c r="CJ44" s="26">
        <f t="shared" si="115"/>
        <v>2.6907289406183668</v>
      </c>
      <c r="CK44" s="26">
        <f t="shared" si="116"/>
        <v>2.2307356247441179</v>
      </c>
      <c r="CL44" s="26">
        <f t="shared" si="117"/>
        <v>6.0023049043673913</v>
      </c>
      <c r="CM44" s="1"/>
      <c r="CN44" s="22"/>
      <c r="CO44" s="96"/>
      <c r="CP44" s="14"/>
      <c r="CQ44" s="14"/>
      <c r="CR44" s="14"/>
      <c r="CS44" s="14"/>
      <c r="CT44" s="22"/>
      <c r="CU44" s="14"/>
      <c r="CV44" s="22"/>
      <c r="CW44" s="22"/>
      <c r="CX44" s="14"/>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46"/>
      <c r="FF44" s="46"/>
      <c r="FG44" s="46"/>
      <c r="FH44" s="46"/>
      <c r="FI44" s="46"/>
      <c r="FJ44" s="46"/>
      <c r="FK44" s="46"/>
      <c r="FL44" s="46"/>
      <c r="FM44" s="46"/>
      <c r="FN44" s="46"/>
      <c r="FO44" s="46"/>
    </row>
    <row r="45" spans="1:171" x14ac:dyDescent="0.25">
      <c r="A45" s="5" t="s">
        <v>92</v>
      </c>
      <c r="B45" s="1">
        <v>1015</v>
      </c>
      <c r="C45" s="98" t="s">
        <v>255</v>
      </c>
      <c r="D45" s="98" t="s">
        <v>106</v>
      </c>
      <c r="E45" s="1">
        <v>173</v>
      </c>
      <c r="F45" s="22">
        <v>52.83</v>
      </c>
      <c r="G45" s="22">
        <v>0.35899999999999999</v>
      </c>
      <c r="H45" s="22">
        <v>0.90800000000000003</v>
      </c>
      <c r="I45" s="22">
        <v>2.1999999999999999E-2</v>
      </c>
      <c r="J45" s="22">
        <v>22.67</v>
      </c>
      <c r="K45" s="22">
        <v>0.76300000000000001</v>
      </c>
      <c r="L45" s="22">
        <v>20.73</v>
      </c>
      <c r="M45" s="22">
        <v>1.64</v>
      </c>
      <c r="N45" s="22">
        <v>5.5E-2</v>
      </c>
      <c r="O45" s="22">
        <v>1.2E-2</v>
      </c>
      <c r="P45" s="22">
        <v>0</v>
      </c>
      <c r="Q45" s="22"/>
      <c r="R45" s="22"/>
      <c r="S45" s="22">
        <f t="shared" si="59"/>
        <v>99.989000000000019</v>
      </c>
      <c r="T45" s="3"/>
      <c r="U45" s="22">
        <f t="shared" si="60"/>
        <v>22.67</v>
      </c>
      <c r="V45" s="22">
        <f t="shared" si="61"/>
        <v>0</v>
      </c>
      <c r="W45" s="22">
        <f t="shared" si="62"/>
        <v>99.989000000000004</v>
      </c>
      <c r="X45" s="1"/>
      <c r="Y45" s="1"/>
      <c r="Z45" s="1"/>
      <c r="AA45" s="1" t="s">
        <v>185</v>
      </c>
      <c r="AC45" s="1">
        <v>6</v>
      </c>
      <c r="AD45" s="1">
        <v>4</v>
      </c>
      <c r="AE45" s="1"/>
      <c r="AF45" s="26">
        <f t="shared" si="63"/>
        <v>1.9791903830001449</v>
      </c>
      <c r="AG45" s="26">
        <f t="shared" si="64"/>
        <v>1.0115637965187154E-2</v>
      </c>
      <c r="AH45" s="26">
        <f t="shared" si="65"/>
        <v>4.0088785808105869E-2</v>
      </c>
      <c r="AI45" s="26">
        <f t="shared" si="66"/>
        <v>6.5159020447582208E-4</v>
      </c>
      <c r="AJ45" s="26">
        <f t="shared" si="67"/>
        <v>0.71016887287012487</v>
      </c>
      <c r="AK45" s="26">
        <f t="shared" si="68"/>
        <v>2.4208631468663595E-2</v>
      </c>
      <c r="AL45" s="26">
        <f t="shared" si="69"/>
        <v>1.1577935912732624</v>
      </c>
      <c r="AM45" s="26">
        <f t="shared" si="70"/>
        <v>6.5822250718283751E-2</v>
      </c>
      <c r="AN45" s="26">
        <f t="shared" si="71"/>
        <v>3.9946432388786798E-3</v>
      </c>
      <c r="AO45" s="26">
        <f t="shared" si="72"/>
        <v>5.7345220137973484E-4</v>
      </c>
      <c r="AP45" s="26">
        <f t="shared" si="73"/>
        <v>0</v>
      </c>
      <c r="AQ45" s="26">
        <f t="shared" si="74"/>
        <v>0</v>
      </c>
      <c r="AR45" s="26">
        <f t="shared" si="75"/>
        <v>0</v>
      </c>
      <c r="AS45" s="26">
        <f t="shared" si="76"/>
        <v>3.9926078387485071</v>
      </c>
      <c r="AT45" s="26">
        <f t="shared" si="77"/>
        <v>2.019279168808251</v>
      </c>
      <c r="AU45" s="26">
        <f t="shared" si="78"/>
        <v>7.0390346158542158E-2</v>
      </c>
      <c r="AV45" s="47"/>
      <c r="AW45" s="26">
        <f t="shared" si="79"/>
        <v>1.9828547785655075</v>
      </c>
      <c r="AX45" s="26">
        <f t="shared" si="80"/>
        <v>1.013436668336345E-2</v>
      </c>
      <c r="AY45" s="26">
        <f t="shared" si="81"/>
        <v>4.0163008667209149E-2</v>
      </c>
      <c r="AZ45" s="26">
        <f t="shared" si="82"/>
        <v>6.5279659890670827E-4</v>
      </c>
      <c r="BA45" s="26">
        <f t="shared" si="83"/>
        <v>0.71148372347305622</v>
      </c>
      <c r="BB45" s="26">
        <f t="shared" si="84"/>
        <v>0</v>
      </c>
      <c r="BC45" s="26">
        <f t="shared" si="85"/>
        <v>2.425345282721466E-2</v>
      </c>
      <c r="BD45" s="26">
        <f t="shared" si="86"/>
        <v>1.1599372019829282</v>
      </c>
      <c r="BE45" s="26">
        <f t="shared" si="87"/>
        <v>6.594411810694227E-2</v>
      </c>
      <c r="BF45" s="26">
        <f t="shared" si="88"/>
        <v>4.0020391685959425E-3</v>
      </c>
      <c r="BG45" s="26">
        <f t="shared" si="89"/>
        <v>5.7451392627579957E-4</v>
      </c>
      <c r="BH45" s="26">
        <f t="shared" si="90"/>
        <v>0</v>
      </c>
      <c r="BI45" s="26">
        <f t="shared" si="91"/>
        <v>0</v>
      </c>
      <c r="BJ45" s="26">
        <f t="shared" si="92"/>
        <v>0</v>
      </c>
      <c r="BK45" s="25">
        <f t="shared" si="93"/>
        <v>3.9999999999999996</v>
      </c>
      <c r="BL45" s="24">
        <f t="shared" si="94"/>
        <v>6.0111087713344924</v>
      </c>
      <c r="BM45" s="26">
        <f t="shared" si="95"/>
        <v>2.0230177872327166</v>
      </c>
      <c r="BN45" s="26">
        <f t="shared" si="96"/>
        <v>7.0520671201814017E-2</v>
      </c>
      <c r="BO45" s="22"/>
      <c r="BP45" s="26">
        <f t="shared" si="97"/>
        <v>0.61981630439464153</v>
      </c>
      <c r="BQ45" s="22"/>
      <c r="BR45" s="22">
        <f t="shared" si="98"/>
        <v>3.3617198363644921E-2</v>
      </c>
      <c r="BS45" s="22">
        <f t="shared" si="99"/>
        <v>0.59131640740413938</v>
      </c>
      <c r="BT45" s="22">
        <f t="shared" si="100"/>
        <v>0.37506639423221572</v>
      </c>
      <c r="BU45" s="1"/>
      <c r="BV45" s="26">
        <f t="shared" si="101"/>
        <v>0.8793275632490013</v>
      </c>
      <c r="BW45" s="26">
        <f t="shared" si="102"/>
        <v>4.4942413620430643E-3</v>
      </c>
      <c r="BX45" s="26">
        <f t="shared" si="103"/>
        <v>1.7810906237740291E-2</v>
      </c>
      <c r="BY45" s="26">
        <f t="shared" si="104"/>
        <v>2.8949272978485421E-4</v>
      </c>
      <c r="BZ45" s="26">
        <f t="shared" si="105"/>
        <v>0.31551844119693812</v>
      </c>
      <c r="CA45" s="26">
        <f t="shared" si="106"/>
        <v>1.075556808570623E-2</v>
      </c>
      <c r="CB45" s="26">
        <f t="shared" si="107"/>
        <v>0.51439205955334988</v>
      </c>
      <c r="CC45" s="26">
        <f t="shared" si="108"/>
        <v>2.9243937232524962E-2</v>
      </c>
      <c r="CD45" s="26">
        <f t="shared" si="109"/>
        <v>1.7747660535656665E-3</v>
      </c>
      <c r="CE45" s="26">
        <f t="shared" si="110"/>
        <v>2.5477707006369424E-4</v>
      </c>
      <c r="CF45" s="26">
        <f t="shared" si="111"/>
        <v>0</v>
      </c>
      <c r="CG45" s="26">
        <f t="shared" si="112"/>
        <v>0</v>
      </c>
      <c r="CH45" s="26">
        <f t="shared" si="113"/>
        <v>0</v>
      </c>
      <c r="CI45" s="26">
        <f t="shared" si="114"/>
        <v>1.7738617527707181</v>
      </c>
      <c r="CJ45" s="26">
        <f t="shared" si="115"/>
        <v>2.6657189853037098</v>
      </c>
      <c r="CK45" s="26">
        <f t="shared" si="116"/>
        <v>2.2549671606325137</v>
      </c>
      <c r="CL45" s="26">
        <f t="shared" si="117"/>
        <v>6.0111087713344915</v>
      </c>
      <c r="CM45" s="1"/>
      <c r="CN45" s="22"/>
      <c r="CO45" s="96"/>
      <c r="CP45" s="14"/>
      <c r="CQ45" s="14"/>
      <c r="CR45" s="14"/>
      <c r="CS45" s="14"/>
      <c r="CT45" s="22"/>
      <c r="CU45" s="14"/>
      <c r="CV45" s="22"/>
      <c r="CW45" s="22"/>
      <c r="CX45" s="14"/>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46"/>
      <c r="FF45" s="46"/>
      <c r="FG45" s="46"/>
      <c r="FH45" s="46"/>
      <c r="FI45" s="46"/>
      <c r="FJ45" s="46"/>
      <c r="FK45" s="46"/>
      <c r="FL45" s="46"/>
      <c r="FM45" s="46"/>
      <c r="FN45" s="46"/>
      <c r="FO45" s="46"/>
    </row>
    <row r="46" spans="1:171" x14ac:dyDescent="0.25">
      <c r="A46" s="5" t="s">
        <v>92</v>
      </c>
      <c r="B46" s="1">
        <v>1016</v>
      </c>
      <c r="C46" s="98" t="s">
        <v>255</v>
      </c>
      <c r="D46" s="98" t="s">
        <v>106</v>
      </c>
      <c r="E46" s="1">
        <v>174</v>
      </c>
      <c r="F46" s="22">
        <v>52.74</v>
      </c>
      <c r="G46" s="22">
        <v>0.39</v>
      </c>
      <c r="H46" s="22">
        <v>0.86399999999999999</v>
      </c>
      <c r="I46" s="22">
        <v>0</v>
      </c>
      <c r="J46" s="22">
        <v>22.85</v>
      </c>
      <c r="K46" s="22">
        <v>0.72199999999999998</v>
      </c>
      <c r="L46" s="22">
        <v>21.16</v>
      </c>
      <c r="M46" s="22">
        <v>1.71</v>
      </c>
      <c r="N46" s="22">
        <v>6.8000000000000005E-2</v>
      </c>
      <c r="O46" s="22">
        <v>0</v>
      </c>
      <c r="P46" s="22">
        <v>0</v>
      </c>
      <c r="Q46" s="22"/>
      <c r="R46" s="22"/>
      <c r="S46" s="22">
        <f t="shared" si="59"/>
        <v>100.50399999999998</v>
      </c>
      <c r="T46" s="3"/>
      <c r="U46" s="22">
        <f t="shared" si="60"/>
        <v>22.459704157700148</v>
      </c>
      <c r="V46" s="22">
        <f t="shared" si="61"/>
        <v>0.4337357695478265</v>
      </c>
      <c r="W46" s="22">
        <f t="shared" si="62"/>
        <v>100.54743992724798</v>
      </c>
      <c r="X46" s="1"/>
      <c r="Y46" s="1"/>
      <c r="Z46" s="1"/>
      <c r="AA46" s="1" t="s">
        <v>185</v>
      </c>
      <c r="AC46" s="1">
        <v>6</v>
      </c>
      <c r="AD46" s="1">
        <v>4</v>
      </c>
      <c r="AE46" s="1"/>
      <c r="AF46" s="26">
        <f t="shared" si="63"/>
        <v>1.9684497943267234</v>
      </c>
      <c r="AG46" s="26">
        <f t="shared" si="64"/>
        <v>1.0948148811392173E-2</v>
      </c>
      <c r="AH46" s="26">
        <f t="shared" si="65"/>
        <v>3.800389000083803E-2</v>
      </c>
      <c r="AI46" s="26">
        <f t="shared" si="66"/>
        <v>0</v>
      </c>
      <c r="AJ46" s="26">
        <f t="shared" si="67"/>
        <v>0.7131379905852312</v>
      </c>
      <c r="AK46" s="26">
        <f t="shared" si="68"/>
        <v>2.2822339128515712E-2</v>
      </c>
      <c r="AL46" s="26">
        <f t="shared" si="69"/>
        <v>1.1774019703800207</v>
      </c>
      <c r="AM46" s="26">
        <f t="shared" si="70"/>
        <v>6.8375772580487187E-2</v>
      </c>
      <c r="AN46" s="26">
        <f t="shared" si="71"/>
        <v>4.920412096513554E-3</v>
      </c>
      <c r="AO46" s="26">
        <f t="shared" si="72"/>
        <v>0</v>
      </c>
      <c r="AP46" s="26">
        <f t="shared" si="73"/>
        <v>0</v>
      </c>
      <c r="AQ46" s="26">
        <f t="shared" si="74"/>
        <v>0</v>
      </c>
      <c r="AR46" s="26">
        <f t="shared" si="75"/>
        <v>0</v>
      </c>
      <c r="AS46" s="26">
        <f t="shared" si="76"/>
        <v>4.0040603179097225</v>
      </c>
      <c r="AT46" s="26">
        <f t="shared" si="77"/>
        <v>2.0064536843275613</v>
      </c>
      <c r="AU46" s="26">
        <f t="shared" si="78"/>
        <v>7.3296184677000747E-2</v>
      </c>
      <c r="AV46" s="47"/>
      <c r="AW46" s="26">
        <f t="shared" si="79"/>
        <v>1.9664536875451788</v>
      </c>
      <c r="AX46" s="26">
        <f t="shared" si="80"/>
        <v>1.0937046839601599E-2</v>
      </c>
      <c r="AY46" s="26">
        <f t="shared" si="81"/>
        <v>3.796535215101611E-2</v>
      </c>
      <c r="AZ46" s="26">
        <f t="shared" si="82"/>
        <v>0</v>
      </c>
      <c r="BA46" s="26">
        <f t="shared" si="83"/>
        <v>0.70024623127754537</v>
      </c>
      <c r="BB46" s="26">
        <f t="shared" si="84"/>
        <v>1.2168601631382892E-2</v>
      </c>
      <c r="BC46" s="26">
        <f t="shared" si="85"/>
        <v>2.2799196132419781E-2</v>
      </c>
      <c r="BD46" s="26">
        <f t="shared" si="86"/>
        <v>1.1762080257518908</v>
      </c>
      <c r="BE46" s="26">
        <f t="shared" si="87"/>
        <v>6.8306436119006372E-2</v>
      </c>
      <c r="BF46" s="26">
        <f t="shared" si="88"/>
        <v>4.9154225519581624E-3</v>
      </c>
      <c r="BG46" s="26">
        <f t="shared" si="89"/>
        <v>0</v>
      </c>
      <c r="BH46" s="26">
        <f t="shared" si="90"/>
        <v>0</v>
      </c>
      <c r="BI46" s="26">
        <f t="shared" si="91"/>
        <v>0</v>
      </c>
      <c r="BJ46" s="26">
        <f t="shared" si="92"/>
        <v>0</v>
      </c>
      <c r="BK46" s="25">
        <f t="shared" si="93"/>
        <v>4</v>
      </c>
      <c r="BL46" s="24">
        <f t="shared" si="94"/>
        <v>6</v>
      </c>
      <c r="BM46" s="26">
        <f t="shared" si="95"/>
        <v>2.0044190396961947</v>
      </c>
      <c r="BN46" s="26">
        <f t="shared" si="96"/>
        <v>7.3221858670964535E-2</v>
      </c>
      <c r="BO46" s="22"/>
      <c r="BP46" s="26">
        <f t="shared" si="97"/>
        <v>0.6227860794748159</v>
      </c>
      <c r="BQ46" s="22"/>
      <c r="BR46" s="22">
        <f t="shared" si="98"/>
        <v>3.4502931302226814E-2</v>
      </c>
      <c r="BS46" s="22">
        <f t="shared" si="99"/>
        <v>0.59412592744467807</v>
      </c>
      <c r="BT46" s="22">
        <f t="shared" si="100"/>
        <v>0.37137114125309495</v>
      </c>
      <c r="BU46" s="1"/>
      <c r="BV46" s="26">
        <f t="shared" si="101"/>
        <v>0.87782956058588557</v>
      </c>
      <c r="BW46" s="26">
        <f t="shared" si="102"/>
        <v>4.8823234852278423E-3</v>
      </c>
      <c r="BX46" s="26">
        <f t="shared" si="103"/>
        <v>1.6947822675559044E-2</v>
      </c>
      <c r="BY46" s="26">
        <f t="shared" si="104"/>
        <v>0</v>
      </c>
      <c r="BZ46" s="26">
        <f t="shared" si="105"/>
        <v>0.31802366040361868</v>
      </c>
      <c r="CA46" s="26">
        <f t="shared" si="106"/>
        <v>1.0177614885819001E-2</v>
      </c>
      <c r="CB46" s="26">
        <f t="shared" si="107"/>
        <v>0.52506203473945412</v>
      </c>
      <c r="CC46" s="26">
        <f t="shared" si="108"/>
        <v>3.0492154065620541E-2</v>
      </c>
      <c r="CD46" s="26">
        <f t="shared" si="109"/>
        <v>2.1942562116811877E-3</v>
      </c>
      <c r="CE46" s="26">
        <f t="shared" si="110"/>
        <v>0</v>
      </c>
      <c r="CF46" s="26">
        <f t="shared" si="111"/>
        <v>0</v>
      </c>
      <c r="CG46" s="26">
        <f t="shared" si="112"/>
        <v>0</v>
      </c>
      <c r="CH46" s="26">
        <f t="shared" si="113"/>
        <v>0</v>
      </c>
      <c r="CI46" s="26">
        <f t="shared" si="114"/>
        <v>1.785609427052866</v>
      </c>
      <c r="CJ46" s="26">
        <f t="shared" si="115"/>
        <v>2.6756980943559183</v>
      </c>
      <c r="CK46" s="26">
        <f t="shared" si="116"/>
        <v>2.2401315424291681</v>
      </c>
      <c r="CL46" s="26">
        <f t="shared" si="117"/>
        <v>5.993915699184309</v>
      </c>
      <c r="CM46" s="1"/>
      <c r="CN46" s="22"/>
      <c r="CO46" s="96"/>
      <c r="CP46" s="14"/>
      <c r="CQ46" s="14"/>
      <c r="CR46" s="14"/>
      <c r="CS46" s="14"/>
      <c r="CT46" s="22"/>
      <c r="CU46" s="14"/>
      <c r="CV46" s="22"/>
      <c r="CW46" s="22"/>
      <c r="CX46" s="14"/>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46"/>
      <c r="FF46" s="46"/>
      <c r="FG46" s="46"/>
      <c r="FH46" s="46"/>
      <c r="FI46" s="46"/>
      <c r="FJ46" s="46"/>
      <c r="FK46" s="46"/>
      <c r="FL46" s="46"/>
      <c r="FM46" s="46"/>
      <c r="FN46" s="46"/>
      <c r="FO46" s="46"/>
    </row>
    <row r="47" spans="1:171" x14ac:dyDescent="0.25">
      <c r="A47" s="5" t="s">
        <v>92</v>
      </c>
      <c r="B47" s="1">
        <v>1017</v>
      </c>
      <c r="C47" s="98" t="s">
        <v>255</v>
      </c>
      <c r="D47" s="98" t="s">
        <v>106</v>
      </c>
      <c r="E47" s="1">
        <v>175</v>
      </c>
      <c r="F47" s="22">
        <v>52.32</v>
      </c>
      <c r="G47" s="22">
        <v>0.20499999999999999</v>
      </c>
      <c r="H47" s="22">
        <v>0.64200000000000002</v>
      </c>
      <c r="I47" s="22">
        <v>1.4E-2</v>
      </c>
      <c r="J47" s="22">
        <v>25.15</v>
      </c>
      <c r="K47" s="22">
        <v>0.88500000000000001</v>
      </c>
      <c r="L47" s="22">
        <v>19.309999999999999</v>
      </c>
      <c r="M47" s="22">
        <v>1.6</v>
      </c>
      <c r="N47" s="22">
        <v>0.105</v>
      </c>
      <c r="O47" s="22">
        <v>0</v>
      </c>
      <c r="P47" s="22">
        <v>0</v>
      </c>
      <c r="Q47" s="22"/>
      <c r="R47" s="22"/>
      <c r="S47" s="22">
        <f t="shared" si="59"/>
        <v>100.23100000000001</v>
      </c>
      <c r="T47" s="3"/>
      <c r="U47" s="22">
        <f t="shared" si="60"/>
        <v>24.893619624261859</v>
      </c>
      <c r="V47" s="22">
        <f t="shared" si="61"/>
        <v>0.28491551155779254</v>
      </c>
      <c r="W47" s="22">
        <f t="shared" si="62"/>
        <v>100.25953513581965</v>
      </c>
      <c r="X47" s="1"/>
      <c r="Y47" s="1"/>
      <c r="Z47" s="1"/>
      <c r="AA47" s="1" t="s">
        <v>185</v>
      </c>
      <c r="AC47" s="1">
        <v>6</v>
      </c>
      <c r="AD47" s="1">
        <v>4</v>
      </c>
      <c r="AE47" s="1"/>
      <c r="AF47" s="26">
        <f t="shared" si="63"/>
        <v>1.9807790736802271</v>
      </c>
      <c r="AG47" s="26">
        <f t="shared" si="64"/>
        <v>5.8373271353597553E-3</v>
      </c>
      <c r="AH47" s="26">
        <f t="shared" si="65"/>
        <v>2.8643984153476632E-2</v>
      </c>
      <c r="AI47" s="26">
        <f t="shared" si="66"/>
        <v>4.1902626341049526E-4</v>
      </c>
      <c r="AJ47" s="26">
        <f t="shared" si="67"/>
        <v>0.79617666500665762</v>
      </c>
      <c r="AK47" s="26">
        <f t="shared" si="68"/>
        <v>2.8375943740962507E-2</v>
      </c>
      <c r="AL47" s="26">
        <f t="shared" si="69"/>
        <v>1.0898719002924038</v>
      </c>
      <c r="AM47" s="26">
        <f t="shared" si="70"/>
        <v>6.4894845909681254E-2</v>
      </c>
      <c r="AN47" s="26">
        <f t="shared" si="71"/>
        <v>7.706655587580007E-3</v>
      </c>
      <c r="AO47" s="26">
        <f t="shared" si="72"/>
        <v>0</v>
      </c>
      <c r="AP47" s="26">
        <f t="shared" si="73"/>
        <v>0</v>
      </c>
      <c r="AQ47" s="26">
        <f t="shared" si="74"/>
        <v>0</v>
      </c>
      <c r="AR47" s="26">
        <f t="shared" si="75"/>
        <v>0</v>
      </c>
      <c r="AS47" s="26">
        <f t="shared" si="76"/>
        <v>4.0027054217697593</v>
      </c>
      <c r="AT47" s="26">
        <f t="shared" si="77"/>
        <v>2.0094230578337036</v>
      </c>
      <c r="AU47" s="26">
        <f t="shared" si="78"/>
        <v>7.2601501497261259E-2</v>
      </c>
      <c r="AV47" s="47"/>
      <c r="AW47" s="26">
        <f t="shared" si="79"/>
        <v>1.979440268481655</v>
      </c>
      <c r="AX47" s="26">
        <f t="shared" si="80"/>
        <v>5.8333816959019033E-3</v>
      </c>
      <c r="AY47" s="26">
        <f t="shared" si="81"/>
        <v>2.8624623733426734E-2</v>
      </c>
      <c r="AZ47" s="26">
        <f t="shared" si="82"/>
        <v>4.1874304427351705E-4</v>
      </c>
      <c r="BA47" s="26">
        <f t="shared" si="83"/>
        <v>0.78752775101690686</v>
      </c>
      <c r="BB47" s="26">
        <f t="shared" si="84"/>
        <v>8.1107795393942084E-3</v>
      </c>
      <c r="BC47" s="26">
        <f t="shared" si="85"/>
        <v>2.8356764488970405E-2</v>
      </c>
      <c r="BD47" s="26">
        <f t="shared" si="86"/>
        <v>1.0891352577332827</v>
      </c>
      <c r="BE47" s="26">
        <f t="shared" si="87"/>
        <v>6.4850983593979894E-2</v>
      </c>
      <c r="BF47" s="26">
        <f t="shared" si="88"/>
        <v>7.7014466722085985E-3</v>
      </c>
      <c r="BG47" s="26">
        <f t="shared" si="89"/>
        <v>0</v>
      </c>
      <c r="BH47" s="26">
        <f t="shared" si="90"/>
        <v>0</v>
      </c>
      <c r="BI47" s="26">
        <f t="shared" si="91"/>
        <v>0</v>
      </c>
      <c r="BJ47" s="26">
        <f t="shared" si="92"/>
        <v>0</v>
      </c>
      <c r="BK47" s="25">
        <f t="shared" si="93"/>
        <v>3.9999999999999996</v>
      </c>
      <c r="BL47" s="24">
        <f t="shared" si="94"/>
        <v>6.0000000000000009</v>
      </c>
      <c r="BM47" s="26">
        <f t="shared" si="95"/>
        <v>2.0080648922150819</v>
      </c>
      <c r="BN47" s="26">
        <f t="shared" si="96"/>
        <v>7.2552430266188489E-2</v>
      </c>
      <c r="BO47" s="22"/>
      <c r="BP47" s="26">
        <f t="shared" si="97"/>
        <v>0.57785993443895656</v>
      </c>
      <c r="BQ47" s="22"/>
      <c r="BR47" s="22">
        <f t="shared" si="98"/>
        <v>3.2786445374465734E-2</v>
      </c>
      <c r="BS47" s="22">
        <f t="shared" si="99"/>
        <v>0.55062963819706467</v>
      </c>
      <c r="BT47" s="22">
        <f t="shared" si="100"/>
        <v>0.41658391642846948</v>
      </c>
      <c r="BU47" s="1"/>
      <c r="BV47" s="26">
        <f t="shared" si="101"/>
        <v>0.87083888149134492</v>
      </c>
      <c r="BW47" s="26">
        <f t="shared" si="102"/>
        <v>2.5663495242864297E-3</v>
      </c>
      <c r="BX47" s="26">
        <f t="shared" si="103"/>
        <v>1.2593173793644568E-2</v>
      </c>
      <c r="BY47" s="26">
        <f t="shared" si="104"/>
        <v>1.8422264622672542E-4</v>
      </c>
      <c r="BZ47" s="26">
        <f t="shared" si="105"/>
        <v>0.35003479471120391</v>
      </c>
      <c r="CA47" s="26">
        <f t="shared" si="106"/>
        <v>1.2475331265858472E-2</v>
      </c>
      <c r="CB47" s="26">
        <f t="shared" si="107"/>
        <v>0.4791563275434243</v>
      </c>
      <c r="CC47" s="26">
        <f t="shared" si="108"/>
        <v>2.8530670470756064E-2</v>
      </c>
      <c r="CD47" s="26">
        <f t="shared" si="109"/>
        <v>3.3881897386253629E-3</v>
      </c>
      <c r="CE47" s="26">
        <f t="shared" si="110"/>
        <v>0</v>
      </c>
      <c r="CF47" s="26">
        <f t="shared" si="111"/>
        <v>0</v>
      </c>
      <c r="CG47" s="26">
        <f t="shared" si="112"/>
        <v>0</v>
      </c>
      <c r="CH47" s="26">
        <f t="shared" si="113"/>
        <v>0</v>
      </c>
      <c r="CI47" s="26">
        <f t="shared" si="114"/>
        <v>1.7597679411853708</v>
      </c>
      <c r="CJ47" s="26">
        <f t="shared" si="115"/>
        <v>2.6378677755516251</v>
      </c>
      <c r="CK47" s="26">
        <f t="shared" si="116"/>
        <v>2.2730269749689951</v>
      </c>
      <c r="CL47" s="26">
        <f t="shared" si="117"/>
        <v>5.9959446102303025</v>
      </c>
      <c r="CM47" s="1"/>
      <c r="CN47" s="22">
        <v>15.235275070531419</v>
      </c>
      <c r="CO47" s="96">
        <v>154.56683766653799</v>
      </c>
      <c r="CP47" s="14">
        <v>116412.43699935531</v>
      </c>
      <c r="CQ47" s="14">
        <v>3349.7873517830553</v>
      </c>
      <c r="CR47" s="14">
        <v>244520.89557908152</v>
      </c>
      <c r="CS47" s="14">
        <v>11521.5124194031</v>
      </c>
      <c r="CT47" s="22">
        <v>56.508198099626881</v>
      </c>
      <c r="CU47" s="14">
        <v>1462.9846354186038</v>
      </c>
      <c r="CV47" s="22">
        <v>80.021759382446433</v>
      </c>
      <c r="CW47" s="22">
        <v>1.8267051799167422</v>
      </c>
      <c r="CX47" s="14">
        <v>6000.1536720227177</v>
      </c>
      <c r="CY47" s="22">
        <v>86.477357534461888</v>
      </c>
      <c r="CZ47" s="22">
        <v>25.893301296175977</v>
      </c>
      <c r="DA47" s="22">
        <v>0</v>
      </c>
      <c r="DB47" s="22">
        <v>328.02506103903642</v>
      </c>
      <c r="DC47" s="22">
        <v>0</v>
      </c>
      <c r="DD47" s="22">
        <v>0</v>
      </c>
      <c r="DE47" s="22">
        <v>0</v>
      </c>
      <c r="DF47" s="22">
        <v>14.550342846488951</v>
      </c>
      <c r="DG47" s="22">
        <v>3.7743471750402522</v>
      </c>
      <c r="DH47" s="22">
        <v>0</v>
      </c>
      <c r="DI47" s="22">
        <v>0</v>
      </c>
      <c r="DJ47" s="22">
        <v>0.1167695596747451</v>
      </c>
      <c r="DK47" s="22">
        <v>1.4555741104167382E-2</v>
      </c>
      <c r="DL47" s="22">
        <v>0.19568381273979779</v>
      </c>
      <c r="DM47" s="22">
        <v>4.1256404509177759E-2</v>
      </c>
      <c r="DN47" s="22">
        <v>0.37441540729183981</v>
      </c>
      <c r="DO47" s="22">
        <v>0.28097652187836314</v>
      </c>
      <c r="DP47" s="22">
        <v>7.4009442853278623E-2</v>
      </c>
      <c r="DQ47" s="22">
        <v>0.68671114845048165</v>
      </c>
      <c r="DR47" s="22">
        <v>0.21868626616574197</v>
      </c>
      <c r="DS47" s="22">
        <v>1.8607433930056809</v>
      </c>
      <c r="DT47" s="22">
        <v>0.55738564601207385</v>
      </c>
      <c r="DU47" s="22">
        <v>1.9793188040772018</v>
      </c>
      <c r="DV47" s="22">
        <v>0.42958831801814834</v>
      </c>
      <c r="DW47" s="22">
        <v>2.9243242251175783</v>
      </c>
      <c r="DX47" s="22">
        <v>0.6519032349939019</v>
      </c>
      <c r="DY47" s="22">
        <v>0.17759525376653598</v>
      </c>
      <c r="DZ47" s="22">
        <v>0</v>
      </c>
      <c r="EA47" s="22">
        <v>0</v>
      </c>
      <c r="EB47" s="22">
        <v>1.3114097694792803E-3</v>
      </c>
      <c r="EC47" s="22">
        <v>3.5522749810298492E-3</v>
      </c>
      <c r="ED47" s="22">
        <f>(DP47/0.05883)/SQRT((DO47/0.1536)*(DQ47/0.2069))</f>
        <v>0.51055446016581607</v>
      </c>
      <c r="EE47" s="22"/>
      <c r="EF47" s="22"/>
      <c r="EG47" s="22"/>
      <c r="EH47" s="22"/>
      <c r="EI47" s="22"/>
      <c r="EJ47" s="22"/>
      <c r="EK47" s="22"/>
      <c r="EL47" s="22"/>
      <c r="EM47" s="22"/>
      <c r="EN47" s="22"/>
      <c r="EO47" s="22"/>
      <c r="EP47" s="22"/>
      <c r="EQ47" s="22"/>
      <c r="ER47" s="22">
        <f>3.073297 -6.710523 * BP47 +N("opx mg#")</f>
        <v>-0.80444538083111006</v>
      </c>
      <c r="ES47" s="22" t="e">
        <f>-3.726231 -0.216482*LN(#REF!) + N("31 liquid mgo, liq MgO calculated from equilibrium Fe/Mg of liquid from opx composition, then regression of literature MgO vs Fe/Mg")</f>
        <v>#REF!</v>
      </c>
      <c r="ET47" s="22"/>
      <c r="EU47" s="22"/>
      <c r="EV47" s="22">
        <f>10.033975 - 17.897808 * BP47 + N("66 mg#   R2 0.46")</f>
        <v>-0.30845115748103247</v>
      </c>
      <c r="EW47" s="22">
        <f>7.162348 - 16.15931 * BP47 + N("38d mg# r2 0.38")</f>
        <v>-2.1754698171787759</v>
      </c>
      <c r="EX47" s="22">
        <f>4.451575 - 11.66175 * BP47 + N("mg#")</f>
        <v>-2.2872830904435011</v>
      </c>
      <c r="EY47" s="22"/>
      <c r="EZ47" s="22">
        <f>5.675764 - 12.3354 * BP47 + N("mg#")</f>
        <v>-1.452369435278305</v>
      </c>
      <c r="FA47" s="22">
        <f>5.273598 - 11.10504 * BP47 + N("mg#")</f>
        <v>-1.143559686341991</v>
      </c>
      <c r="FB47" s="22">
        <f>6.313568 - 12.50612 * BP47 + N("mg#")</f>
        <v>-0.91321768328572261</v>
      </c>
      <c r="FC47" s="22">
        <f>6.81086 - 13.3177 * BP47 + N("mg#")</f>
        <v>-0.88490524887769162</v>
      </c>
      <c r="FD47" s="22">
        <f>8.616762 - 14.50395 * BP47 + N("mg#")</f>
        <v>0.2355104038940965</v>
      </c>
      <c r="FE47" s="46"/>
      <c r="FF47" s="46"/>
      <c r="FG47" s="46"/>
      <c r="FH47" s="46"/>
      <c r="FI47" s="46"/>
      <c r="FJ47" s="46"/>
      <c r="FK47" s="46"/>
      <c r="FL47" s="46"/>
      <c r="FM47" s="46"/>
      <c r="FN47" s="46"/>
      <c r="FO47" s="46"/>
    </row>
    <row r="48" spans="1:171" x14ac:dyDescent="0.25">
      <c r="A48" s="5" t="s">
        <v>92</v>
      </c>
      <c r="B48" s="1">
        <v>1022</v>
      </c>
      <c r="C48" s="98" t="s">
        <v>255</v>
      </c>
      <c r="D48" s="98" t="s">
        <v>106</v>
      </c>
      <c r="E48" s="1">
        <v>180</v>
      </c>
      <c r="F48" s="22">
        <v>53.49</v>
      </c>
      <c r="G48" s="22">
        <v>0.23400000000000001</v>
      </c>
      <c r="H48" s="22">
        <v>0.56000000000000005</v>
      </c>
      <c r="I48" s="22">
        <v>1.7999999999999999E-2</v>
      </c>
      <c r="J48" s="22">
        <v>22.38</v>
      </c>
      <c r="K48" s="22">
        <v>0.77200000000000002</v>
      </c>
      <c r="L48" s="22">
        <v>21.36</v>
      </c>
      <c r="M48" s="22">
        <v>1.72</v>
      </c>
      <c r="N48" s="22">
        <v>6.9000000000000006E-2</v>
      </c>
      <c r="O48" s="22">
        <v>7.0000000000000001E-3</v>
      </c>
      <c r="P48" s="22">
        <v>0</v>
      </c>
      <c r="Q48" s="22"/>
      <c r="R48" s="22"/>
      <c r="S48" s="22">
        <f t="shared" si="59"/>
        <v>100.61000000000001</v>
      </c>
      <c r="T48" s="3"/>
      <c r="U48" s="22">
        <f t="shared" si="60"/>
        <v>22.38</v>
      </c>
      <c r="V48" s="22">
        <f t="shared" si="61"/>
        <v>0</v>
      </c>
      <c r="W48" s="22">
        <f t="shared" si="62"/>
        <v>100.61</v>
      </c>
      <c r="X48" s="1"/>
      <c r="Y48" s="1"/>
      <c r="Z48" s="1"/>
      <c r="AA48" s="1" t="s">
        <v>185</v>
      </c>
      <c r="AC48" s="1">
        <v>6</v>
      </c>
      <c r="AD48" s="1">
        <v>4</v>
      </c>
      <c r="AE48" s="1"/>
      <c r="AF48" s="26">
        <f t="shared" si="63"/>
        <v>1.9876276413598906</v>
      </c>
      <c r="AG48" s="26">
        <f t="shared" si="64"/>
        <v>6.5398856543693656E-3</v>
      </c>
      <c r="AH48" s="26">
        <f t="shared" si="65"/>
        <v>2.4523392531994613E-2</v>
      </c>
      <c r="AI48" s="26">
        <f t="shared" si="66"/>
        <v>5.2878586756317455E-4</v>
      </c>
      <c r="AJ48" s="26">
        <f t="shared" si="67"/>
        <v>0.69538555268094959</v>
      </c>
      <c r="AK48" s="26">
        <f t="shared" si="68"/>
        <v>2.4295087639176913E-2</v>
      </c>
      <c r="AL48" s="26">
        <f t="shared" si="69"/>
        <v>1.1832828117406939</v>
      </c>
      <c r="AM48" s="26">
        <f t="shared" si="70"/>
        <v>6.8471965693252826E-2</v>
      </c>
      <c r="AN48" s="26">
        <f t="shared" si="71"/>
        <v>4.9707265038488732E-3</v>
      </c>
      <c r="AO48" s="26">
        <f t="shared" si="72"/>
        <v>3.3179473229328162E-4</v>
      </c>
      <c r="AP48" s="26">
        <f t="shared" si="73"/>
        <v>0</v>
      </c>
      <c r="AQ48" s="26">
        <f t="shared" si="74"/>
        <v>0</v>
      </c>
      <c r="AR48" s="26">
        <f t="shared" si="75"/>
        <v>0</v>
      </c>
      <c r="AS48" s="26">
        <f t="shared" si="76"/>
        <v>3.995957644404033</v>
      </c>
      <c r="AT48" s="26">
        <f t="shared" si="77"/>
        <v>2.0121510338918851</v>
      </c>
      <c r="AU48" s="26">
        <f t="shared" si="78"/>
        <v>7.3774486929394978E-2</v>
      </c>
      <c r="AV48" s="47"/>
      <c r="AW48" s="26">
        <f t="shared" si="79"/>
        <v>1.9896383477871726</v>
      </c>
      <c r="AX48" s="26">
        <f t="shared" si="80"/>
        <v>6.5465014760883343E-3</v>
      </c>
      <c r="AY48" s="26">
        <f t="shared" si="81"/>
        <v>2.4548200671083032E-2</v>
      </c>
      <c r="AZ48" s="26">
        <f t="shared" si="82"/>
        <v>5.2932079328086971E-4</v>
      </c>
      <c r="BA48" s="26">
        <f t="shared" si="83"/>
        <v>0.69608901250970201</v>
      </c>
      <c r="BB48" s="26">
        <f t="shared" si="84"/>
        <v>0</v>
      </c>
      <c r="BC48" s="26">
        <f t="shared" si="85"/>
        <v>2.4319664822473705E-2</v>
      </c>
      <c r="BD48" s="26">
        <f t="shared" si="86"/>
        <v>1.1844798339119249</v>
      </c>
      <c r="BE48" s="26">
        <f t="shared" si="87"/>
        <v>6.8541232702144822E-2</v>
      </c>
      <c r="BF48" s="26">
        <f t="shared" si="88"/>
        <v>4.9757549465619718E-3</v>
      </c>
      <c r="BG48" s="26">
        <f t="shared" si="89"/>
        <v>3.3213037956789088E-4</v>
      </c>
      <c r="BH48" s="26">
        <f t="shared" si="90"/>
        <v>0</v>
      </c>
      <c r="BI48" s="26">
        <f t="shared" si="91"/>
        <v>0</v>
      </c>
      <c r="BJ48" s="26">
        <f t="shared" si="92"/>
        <v>0</v>
      </c>
      <c r="BK48" s="25">
        <f t="shared" si="93"/>
        <v>4.0000000000000009</v>
      </c>
      <c r="BL48" s="24">
        <f t="shared" si="94"/>
        <v>6.0060696673323779</v>
      </c>
      <c r="BM48" s="26">
        <f t="shared" si="95"/>
        <v>2.0141865484582557</v>
      </c>
      <c r="BN48" s="26">
        <f t="shared" si="96"/>
        <v>7.384911802827468E-2</v>
      </c>
      <c r="BO48" s="22"/>
      <c r="BP48" s="26">
        <f t="shared" si="97"/>
        <v>0.62985188559608973</v>
      </c>
      <c r="BQ48" s="22"/>
      <c r="BR48" s="22">
        <f t="shared" si="98"/>
        <v>3.4732035894565819E-2</v>
      </c>
      <c r="BS48" s="22">
        <f t="shared" si="99"/>
        <v>0.60021383459202038</v>
      </c>
      <c r="BT48" s="22">
        <f t="shared" si="100"/>
        <v>0.36505412951341382</v>
      </c>
      <c r="BU48" s="1"/>
      <c r="BV48" s="26">
        <f t="shared" si="101"/>
        <v>0.89031291611185093</v>
      </c>
      <c r="BW48" s="26">
        <f t="shared" si="102"/>
        <v>2.9293940911367055E-3</v>
      </c>
      <c r="BX48" s="26">
        <f t="shared" si="103"/>
        <v>1.0984699882306789E-2</v>
      </c>
      <c r="BY48" s="26">
        <f t="shared" si="104"/>
        <v>2.3685768800578983E-4</v>
      </c>
      <c r="BZ48" s="26">
        <f t="shared" si="105"/>
        <v>0.31148225469728602</v>
      </c>
      <c r="CA48" s="26">
        <f t="shared" si="106"/>
        <v>1.0882435861291232E-2</v>
      </c>
      <c r="CB48" s="26">
        <f t="shared" si="107"/>
        <v>0.53002481389578171</v>
      </c>
      <c r="CC48" s="26">
        <f t="shared" si="108"/>
        <v>3.0670470756062766E-2</v>
      </c>
      <c r="CD48" s="26">
        <f t="shared" si="109"/>
        <v>2.2265246853823816E-3</v>
      </c>
      <c r="CE48" s="26">
        <f t="shared" si="110"/>
        <v>1.4861995753715499E-4</v>
      </c>
      <c r="CF48" s="26">
        <f t="shared" si="111"/>
        <v>0</v>
      </c>
      <c r="CG48" s="26">
        <f t="shared" si="112"/>
        <v>0</v>
      </c>
      <c r="CH48" s="26">
        <f t="shared" si="113"/>
        <v>0</v>
      </c>
      <c r="CI48" s="26">
        <f t="shared" si="114"/>
        <v>1.7898989876266413</v>
      </c>
      <c r="CJ48" s="26">
        <f t="shared" si="115"/>
        <v>2.6875645042933254</v>
      </c>
      <c r="CK48" s="26">
        <f t="shared" si="116"/>
        <v>2.2347629825210942</v>
      </c>
      <c r="CL48" s="26">
        <f t="shared" si="117"/>
        <v>6.0060696673323779</v>
      </c>
      <c r="CM48" s="1"/>
      <c r="CN48" s="22"/>
      <c r="CO48" s="96"/>
      <c r="CP48" s="14"/>
      <c r="CQ48" s="14"/>
      <c r="CR48" s="14"/>
      <c r="CS48" s="14"/>
      <c r="CT48" s="22"/>
      <c r="CU48" s="14"/>
      <c r="CV48" s="22"/>
      <c r="CW48" s="22"/>
      <c r="CX48" s="14"/>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46"/>
      <c r="FF48" s="46"/>
      <c r="FG48" s="46"/>
      <c r="FH48" s="46"/>
      <c r="FI48" s="46"/>
      <c r="FJ48" s="46"/>
      <c r="FK48" s="46"/>
      <c r="FL48" s="46"/>
      <c r="FM48" s="46"/>
      <c r="FN48" s="46"/>
      <c r="FO48" s="46"/>
    </row>
    <row r="49" spans="1:171" x14ac:dyDescent="0.25">
      <c r="A49" s="5" t="s">
        <v>92</v>
      </c>
      <c r="B49" s="1">
        <v>1023</v>
      </c>
      <c r="C49" s="98" t="s">
        <v>255</v>
      </c>
      <c r="D49" s="98" t="s">
        <v>106</v>
      </c>
      <c r="E49" s="1">
        <v>181</v>
      </c>
      <c r="F49" s="22">
        <v>53.34</v>
      </c>
      <c r="G49" s="22">
        <v>0.441</v>
      </c>
      <c r="H49" s="22">
        <v>0.70899999999999996</v>
      </c>
      <c r="I49" s="22">
        <v>0</v>
      </c>
      <c r="J49" s="22">
        <v>22.08</v>
      </c>
      <c r="K49" s="22">
        <v>0.77500000000000002</v>
      </c>
      <c r="L49" s="22">
        <v>21.35</v>
      </c>
      <c r="M49" s="22">
        <v>1.73</v>
      </c>
      <c r="N49" s="22">
        <v>2.1999999999999999E-2</v>
      </c>
      <c r="O49" s="22">
        <v>0</v>
      </c>
      <c r="P49" s="22">
        <v>0</v>
      </c>
      <c r="Q49" s="22"/>
      <c r="R49" s="22"/>
      <c r="S49" s="22">
        <f t="shared" si="59"/>
        <v>100.44700000000003</v>
      </c>
      <c r="T49" s="3"/>
      <c r="U49" s="22">
        <f t="shared" si="60"/>
        <v>22.08</v>
      </c>
      <c r="V49" s="22">
        <f t="shared" si="61"/>
        <v>0</v>
      </c>
      <c r="W49" s="22">
        <f t="shared" si="62"/>
        <v>100.447</v>
      </c>
      <c r="X49" s="1"/>
      <c r="Y49" s="1"/>
      <c r="Z49" s="1"/>
      <c r="AA49" s="1" t="s">
        <v>185</v>
      </c>
      <c r="AC49" s="1">
        <v>6</v>
      </c>
      <c r="AD49" s="1">
        <v>4</v>
      </c>
      <c r="AE49" s="1"/>
      <c r="AF49" s="26">
        <f t="shared" si="63"/>
        <v>1.9826567461390745</v>
      </c>
      <c r="AG49" s="26">
        <f t="shared" si="64"/>
        <v>1.2328918394662601E-2</v>
      </c>
      <c r="AH49" s="26">
        <f t="shared" si="65"/>
        <v>3.1057811429685413E-2</v>
      </c>
      <c r="AI49" s="26">
        <f t="shared" si="66"/>
        <v>0</v>
      </c>
      <c r="AJ49" s="26">
        <f t="shared" si="67"/>
        <v>0.68627272899901748</v>
      </c>
      <c r="AK49" s="26">
        <f t="shared" si="68"/>
        <v>2.4396917808552649E-2</v>
      </c>
      <c r="AL49" s="26">
        <f t="shared" si="69"/>
        <v>1.1830886226969271</v>
      </c>
      <c r="AM49" s="26">
        <f t="shared" si="70"/>
        <v>6.8891008567392067E-2</v>
      </c>
      <c r="AN49" s="26">
        <f t="shared" si="71"/>
        <v>1.5853514322185906E-3</v>
      </c>
      <c r="AO49" s="26">
        <f t="shared" si="72"/>
        <v>0</v>
      </c>
      <c r="AP49" s="26">
        <f t="shared" si="73"/>
        <v>0</v>
      </c>
      <c r="AQ49" s="26">
        <f t="shared" si="74"/>
        <v>0</v>
      </c>
      <c r="AR49" s="26">
        <f t="shared" si="75"/>
        <v>0</v>
      </c>
      <c r="AS49" s="26">
        <f t="shared" si="76"/>
        <v>3.9902781054675298</v>
      </c>
      <c r="AT49" s="26">
        <f t="shared" si="77"/>
        <v>2.0137145575687598</v>
      </c>
      <c r="AU49" s="26">
        <f t="shared" si="78"/>
        <v>7.047635999961066E-2</v>
      </c>
      <c r="AV49" s="47"/>
      <c r="AW49" s="26">
        <f t="shared" si="79"/>
        <v>1.9874872815730942</v>
      </c>
      <c r="AX49" s="26">
        <f t="shared" si="80"/>
        <v>1.2358956512599318E-2</v>
      </c>
      <c r="AY49" s="26">
        <f t="shared" si="81"/>
        <v>3.1133480533228602E-2</v>
      </c>
      <c r="AZ49" s="26">
        <f t="shared" si="82"/>
        <v>0</v>
      </c>
      <c r="BA49" s="26">
        <f t="shared" si="83"/>
        <v>0.68794476060069876</v>
      </c>
      <c r="BB49" s="26">
        <f t="shared" si="84"/>
        <v>0</v>
      </c>
      <c r="BC49" s="26">
        <f t="shared" si="85"/>
        <v>2.4456358342666573E-2</v>
      </c>
      <c r="BD49" s="26">
        <f t="shared" si="86"/>
        <v>1.1859710941709491</v>
      </c>
      <c r="BE49" s="26">
        <f t="shared" si="87"/>
        <v>6.9058854291881785E-2</v>
      </c>
      <c r="BF49" s="26">
        <f t="shared" si="88"/>
        <v>1.5892139748819229E-3</v>
      </c>
      <c r="BG49" s="26">
        <f t="shared" si="89"/>
        <v>0</v>
      </c>
      <c r="BH49" s="26">
        <f t="shared" si="90"/>
        <v>0</v>
      </c>
      <c r="BI49" s="26">
        <f t="shared" si="91"/>
        <v>0</v>
      </c>
      <c r="BJ49" s="26">
        <f t="shared" si="92"/>
        <v>0</v>
      </c>
      <c r="BK49" s="25">
        <f t="shared" si="93"/>
        <v>4</v>
      </c>
      <c r="BL49" s="24">
        <f t="shared" si="94"/>
        <v>6.0146183713648664</v>
      </c>
      <c r="BM49" s="26">
        <f t="shared" si="95"/>
        <v>2.0186207621063228</v>
      </c>
      <c r="BN49" s="26">
        <f t="shared" si="96"/>
        <v>7.0648068266763703E-2</v>
      </c>
      <c r="BO49" s="22"/>
      <c r="BP49" s="26">
        <f t="shared" si="97"/>
        <v>0.63288385716522444</v>
      </c>
      <c r="BQ49" s="22"/>
      <c r="BR49" s="22">
        <f t="shared" si="98"/>
        <v>3.5101028664209805E-2</v>
      </c>
      <c r="BS49" s="22">
        <f t="shared" si="99"/>
        <v>0.60280185355337457</v>
      </c>
      <c r="BT49" s="22">
        <f t="shared" si="100"/>
        <v>0.36209711778241577</v>
      </c>
      <c r="BU49" s="1"/>
      <c r="BV49" s="26">
        <f t="shared" si="101"/>
        <v>0.8878162450066579</v>
      </c>
      <c r="BW49" s="26">
        <f t="shared" si="102"/>
        <v>5.5207811717576365E-3</v>
      </c>
      <c r="BX49" s="26">
        <f t="shared" si="103"/>
        <v>1.3907414672420557E-2</v>
      </c>
      <c r="BY49" s="26">
        <f t="shared" si="104"/>
        <v>0</v>
      </c>
      <c r="BZ49" s="26">
        <f t="shared" si="105"/>
        <v>0.30730688935281836</v>
      </c>
      <c r="CA49" s="26">
        <f t="shared" si="106"/>
        <v>1.0924725119819567E-2</v>
      </c>
      <c r="CB49" s="26">
        <f t="shared" si="107"/>
        <v>0.52977667493796532</v>
      </c>
      <c r="CC49" s="26">
        <f t="shared" si="108"/>
        <v>3.0848787446504995E-2</v>
      </c>
      <c r="CD49" s="26">
        <f t="shared" si="109"/>
        <v>7.0990642142626655E-4</v>
      </c>
      <c r="CE49" s="26">
        <f t="shared" si="110"/>
        <v>0</v>
      </c>
      <c r="CF49" s="26">
        <f t="shared" si="111"/>
        <v>0</v>
      </c>
      <c r="CG49" s="26">
        <f t="shared" si="112"/>
        <v>0</v>
      </c>
      <c r="CH49" s="26">
        <f t="shared" si="113"/>
        <v>0</v>
      </c>
      <c r="CI49" s="26">
        <f t="shared" si="114"/>
        <v>1.7868114241293704</v>
      </c>
      <c r="CJ49" s="26">
        <f t="shared" si="115"/>
        <v>2.6867472044332827</v>
      </c>
      <c r="CK49" s="26">
        <f t="shared" si="116"/>
        <v>2.2386245946177632</v>
      </c>
      <c r="CL49" s="26">
        <f t="shared" si="117"/>
        <v>6.0146183713648664</v>
      </c>
      <c r="CM49" s="1"/>
      <c r="CN49" s="22"/>
      <c r="CO49" s="96"/>
      <c r="CP49" s="14"/>
      <c r="CQ49" s="14"/>
      <c r="CR49" s="14"/>
      <c r="CS49" s="14"/>
      <c r="CT49" s="22"/>
      <c r="CU49" s="14"/>
      <c r="CV49" s="22"/>
      <c r="CW49" s="22"/>
      <c r="CX49" s="14"/>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46"/>
      <c r="FF49" s="46"/>
      <c r="FG49" s="46"/>
      <c r="FH49" s="46"/>
      <c r="FI49" s="46"/>
      <c r="FJ49" s="46"/>
      <c r="FK49" s="46"/>
      <c r="FL49" s="46"/>
      <c r="FM49" s="46"/>
      <c r="FN49" s="46"/>
      <c r="FO49" s="46"/>
    </row>
    <row r="50" spans="1:171" x14ac:dyDescent="0.25">
      <c r="A50" s="5" t="s">
        <v>92</v>
      </c>
      <c r="B50" s="1">
        <v>1026</v>
      </c>
      <c r="C50" s="98" t="s">
        <v>255</v>
      </c>
      <c r="D50" s="98" t="s">
        <v>106</v>
      </c>
      <c r="E50" s="1">
        <v>184</v>
      </c>
      <c r="F50" s="22">
        <v>53.19</v>
      </c>
      <c r="G50" s="22">
        <v>0.221</v>
      </c>
      <c r="H50" s="22">
        <v>0.89400000000000002</v>
      </c>
      <c r="I50" s="22">
        <v>0</v>
      </c>
      <c r="J50" s="22">
        <v>22.18</v>
      </c>
      <c r="K50" s="22">
        <v>0.76900000000000002</v>
      </c>
      <c r="L50" s="22">
        <v>20.84</v>
      </c>
      <c r="M50" s="22">
        <v>1.72</v>
      </c>
      <c r="N50" s="22">
        <v>2.5999999999999999E-2</v>
      </c>
      <c r="O50" s="22">
        <v>0</v>
      </c>
      <c r="P50" s="22">
        <v>0</v>
      </c>
      <c r="Q50" s="22"/>
      <c r="R50" s="22"/>
      <c r="S50" s="22">
        <f t="shared" si="59"/>
        <v>99.839999999999989</v>
      </c>
      <c r="T50" s="3"/>
      <c r="U50" s="22">
        <f t="shared" si="60"/>
        <v>22.18</v>
      </c>
      <c r="V50" s="22">
        <f t="shared" si="61"/>
        <v>0</v>
      </c>
      <c r="W50" s="22">
        <f t="shared" si="62"/>
        <v>99.84</v>
      </c>
      <c r="X50" s="1"/>
      <c r="Y50" s="1"/>
      <c r="Z50" s="1"/>
      <c r="AA50" s="1" t="s">
        <v>185</v>
      </c>
      <c r="AC50" s="1">
        <v>6</v>
      </c>
      <c r="AD50" s="1">
        <v>4</v>
      </c>
      <c r="AE50" s="1"/>
      <c r="AF50" s="26">
        <f t="shared" si="63"/>
        <v>1.9893128702480987</v>
      </c>
      <c r="AG50" s="26">
        <f t="shared" si="64"/>
        <v>6.2166618302702641E-3</v>
      </c>
      <c r="AH50" s="26">
        <f t="shared" si="65"/>
        <v>3.9404036594936347E-2</v>
      </c>
      <c r="AI50" s="26">
        <f t="shared" si="66"/>
        <v>0</v>
      </c>
      <c r="AJ50" s="26">
        <f t="shared" si="67"/>
        <v>0.69364585498975728</v>
      </c>
      <c r="AK50" s="26">
        <f t="shared" si="68"/>
        <v>2.4357806816832611E-2</v>
      </c>
      <c r="AL50" s="26">
        <f t="shared" si="69"/>
        <v>1.1619720844257935</v>
      </c>
      <c r="AM50" s="26">
        <f t="shared" si="70"/>
        <v>6.8916540433787254E-2</v>
      </c>
      <c r="AN50" s="26">
        <f t="shared" si="71"/>
        <v>1.8851885693752771E-3</v>
      </c>
      <c r="AO50" s="26">
        <f t="shared" si="72"/>
        <v>0</v>
      </c>
      <c r="AP50" s="26">
        <f t="shared" si="73"/>
        <v>0</v>
      </c>
      <c r="AQ50" s="26">
        <f t="shared" si="74"/>
        <v>0</v>
      </c>
      <c r="AR50" s="26">
        <f t="shared" si="75"/>
        <v>0</v>
      </c>
      <c r="AS50" s="26">
        <f t="shared" si="76"/>
        <v>3.9857110439088514</v>
      </c>
      <c r="AT50" s="26">
        <f t="shared" si="77"/>
        <v>2.0287169068430351</v>
      </c>
      <c r="AU50" s="26">
        <f t="shared" si="78"/>
        <v>7.0801729003162533E-2</v>
      </c>
      <c r="AV50" s="47"/>
      <c r="AW50" s="26">
        <f t="shared" si="79"/>
        <v>1.9964446477255386</v>
      </c>
      <c r="AX50" s="26">
        <f t="shared" si="80"/>
        <v>6.2389488468019838E-3</v>
      </c>
      <c r="AY50" s="26">
        <f t="shared" si="81"/>
        <v>3.9545301865427929E-2</v>
      </c>
      <c r="AZ50" s="26">
        <f t="shared" si="82"/>
        <v>0</v>
      </c>
      <c r="BA50" s="26">
        <f t="shared" si="83"/>
        <v>0.69613260705370927</v>
      </c>
      <c r="BB50" s="26">
        <f t="shared" si="84"/>
        <v>0</v>
      </c>
      <c r="BC50" s="26">
        <f t="shared" si="85"/>
        <v>2.4445130666516674E-2</v>
      </c>
      <c r="BD50" s="26">
        <f t="shared" si="86"/>
        <v>1.1661378074073616</v>
      </c>
      <c r="BE50" s="26">
        <f t="shared" si="87"/>
        <v>6.916360937816475E-2</v>
      </c>
      <c r="BF50" s="26">
        <f t="shared" si="88"/>
        <v>1.8919470564794805E-3</v>
      </c>
      <c r="BG50" s="26">
        <f t="shared" si="89"/>
        <v>0</v>
      </c>
      <c r="BH50" s="26">
        <f t="shared" si="90"/>
        <v>0</v>
      </c>
      <c r="BI50" s="26">
        <f t="shared" si="91"/>
        <v>0</v>
      </c>
      <c r="BJ50" s="26">
        <f t="shared" si="92"/>
        <v>0</v>
      </c>
      <c r="BK50" s="25">
        <f t="shared" si="93"/>
        <v>4</v>
      </c>
      <c r="BL50" s="24">
        <f t="shared" si="94"/>
        <v>6.0215102739768147</v>
      </c>
      <c r="BM50" s="26">
        <f t="shared" si="95"/>
        <v>2.0359899495909666</v>
      </c>
      <c r="BN50" s="26">
        <f t="shared" si="96"/>
        <v>7.1055556434644229E-2</v>
      </c>
      <c r="BO50" s="22"/>
      <c r="BP50" s="26">
        <f t="shared" si="97"/>
        <v>0.62619144800452331</v>
      </c>
      <c r="BQ50" s="22"/>
      <c r="BR50" s="22">
        <f t="shared" si="98"/>
        <v>3.5361903223331957E-2</v>
      </c>
      <c r="BS50" s="22">
        <f t="shared" si="99"/>
        <v>0.59622180885814635</v>
      </c>
      <c r="BT50" s="22">
        <f t="shared" si="100"/>
        <v>0.36841628791852166</v>
      </c>
      <c r="BU50" s="1"/>
      <c r="BV50" s="26">
        <f t="shared" si="101"/>
        <v>0.88531957390146465</v>
      </c>
      <c r="BW50" s="26">
        <f t="shared" si="102"/>
        <v>2.766649974962444E-3</v>
      </c>
      <c r="BX50" s="26">
        <f t="shared" si="103"/>
        <v>1.7536288740682623E-2</v>
      </c>
      <c r="BY50" s="26">
        <f t="shared" si="104"/>
        <v>0</v>
      </c>
      <c r="BZ50" s="26">
        <f t="shared" si="105"/>
        <v>0.30869867780097426</v>
      </c>
      <c r="CA50" s="26">
        <f t="shared" si="106"/>
        <v>1.0840146602762899E-2</v>
      </c>
      <c r="CB50" s="26">
        <f t="shared" si="107"/>
        <v>0.51712158808933006</v>
      </c>
      <c r="CC50" s="26">
        <f t="shared" si="108"/>
        <v>3.0670470756062766E-2</v>
      </c>
      <c r="CD50" s="26">
        <f t="shared" si="109"/>
        <v>8.3898031623104224E-4</v>
      </c>
      <c r="CE50" s="26">
        <f t="shared" si="110"/>
        <v>0</v>
      </c>
      <c r="CF50" s="26">
        <f t="shared" si="111"/>
        <v>0</v>
      </c>
      <c r="CG50" s="26">
        <f t="shared" si="112"/>
        <v>0</v>
      </c>
      <c r="CH50" s="26">
        <f t="shared" si="113"/>
        <v>0</v>
      </c>
      <c r="CI50" s="26">
        <f t="shared" si="114"/>
        <v>1.7737923761824708</v>
      </c>
      <c r="CJ50" s="26">
        <f t="shared" si="115"/>
        <v>2.6702272542711234</v>
      </c>
      <c r="CK50" s="26">
        <f t="shared" si="116"/>
        <v>2.255055356934581</v>
      </c>
      <c r="CL50" s="26">
        <f t="shared" si="117"/>
        <v>6.0215102739768147</v>
      </c>
      <c r="CM50" s="1"/>
      <c r="CN50" s="22"/>
      <c r="CO50" s="96"/>
      <c r="CP50" s="14"/>
      <c r="CQ50" s="14"/>
      <c r="CR50" s="14"/>
      <c r="CS50" s="14"/>
      <c r="CT50" s="22"/>
      <c r="CU50" s="14"/>
      <c r="CV50" s="22"/>
      <c r="CW50" s="22"/>
      <c r="CX50" s="14"/>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46"/>
      <c r="FF50" s="46"/>
      <c r="FG50" s="46"/>
      <c r="FH50" s="46"/>
      <c r="FI50" s="46"/>
      <c r="FJ50" s="46"/>
      <c r="FK50" s="46"/>
      <c r="FL50" s="46"/>
      <c r="FM50" s="46"/>
      <c r="FN50" s="46"/>
      <c r="FO50" s="46"/>
    </row>
    <row r="51" spans="1:171" x14ac:dyDescent="0.25">
      <c r="A51" s="5" t="s">
        <v>92</v>
      </c>
      <c r="B51" s="1">
        <v>1027</v>
      </c>
      <c r="C51" s="98" t="s">
        <v>255</v>
      </c>
      <c r="D51" s="98" t="s">
        <v>106</v>
      </c>
      <c r="E51" s="1">
        <v>185</v>
      </c>
      <c r="F51" s="22">
        <v>52.84</v>
      </c>
      <c r="G51" s="22">
        <v>0.28100000000000003</v>
      </c>
      <c r="H51" s="22">
        <v>0.90500000000000003</v>
      </c>
      <c r="I51" s="22">
        <v>1.9E-2</v>
      </c>
      <c r="J51" s="22">
        <v>22.49</v>
      </c>
      <c r="K51" s="22">
        <v>0.79400000000000004</v>
      </c>
      <c r="L51" s="22">
        <v>21.27</v>
      </c>
      <c r="M51" s="22">
        <v>1.73</v>
      </c>
      <c r="N51" s="22">
        <v>5.3999999999999999E-2</v>
      </c>
      <c r="O51" s="22">
        <v>0</v>
      </c>
      <c r="P51" s="22">
        <v>0</v>
      </c>
      <c r="Q51" s="22"/>
      <c r="R51" s="22"/>
      <c r="S51" s="22">
        <f t="shared" si="59"/>
        <v>100.383</v>
      </c>
      <c r="T51" s="3"/>
      <c r="U51" s="22">
        <f t="shared" si="60"/>
        <v>22.25150539886457</v>
      </c>
      <c r="V51" s="22">
        <f t="shared" si="61"/>
        <v>0.26503905024180285</v>
      </c>
      <c r="W51" s="22">
        <f t="shared" si="62"/>
        <v>100.40954444910638</v>
      </c>
      <c r="X51" s="1"/>
      <c r="Y51" s="1"/>
      <c r="Z51" s="1"/>
      <c r="AA51" s="1" t="s">
        <v>185</v>
      </c>
      <c r="AC51" s="1">
        <v>6</v>
      </c>
      <c r="AD51" s="1">
        <v>4</v>
      </c>
      <c r="AE51" s="1"/>
      <c r="AF51" s="26">
        <f t="shared" si="63"/>
        <v>1.9714115080364409</v>
      </c>
      <c r="AG51" s="26">
        <f t="shared" si="64"/>
        <v>7.8851991452818567E-3</v>
      </c>
      <c r="AH51" s="26">
        <f t="shared" si="65"/>
        <v>3.9791760183061721E-2</v>
      </c>
      <c r="AI51" s="26">
        <f t="shared" si="66"/>
        <v>5.6041917192890681E-4</v>
      </c>
      <c r="AJ51" s="26">
        <f t="shared" si="67"/>
        <v>0.70162827989003518</v>
      </c>
      <c r="AK51" s="26">
        <f t="shared" si="68"/>
        <v>2.5088443641598832E-2</v>
      </c>
      <c r="AL51" s="26">
        <f t="shared" si="69"/>
        <v>1.1830602053383599</v>
      </c>
      <c r="AM51" s="26">
        <f t="shared" si="70"/>
        <v>6.9148458123146919E-2</v>
      </c>
      <c r="AN51" s="26">
        <f t="shared" si="71"/>
        <v>3.9058592218539309E-3</v>
      </c>
      <c r="AO51" s="26">
        <f t="shared" si="72"/>
        <v>0</v>
      </c>
      <c r="AP51" s="26">
        <f t="shared" si="73"/>
        <v>0</v>
      </c>
      <c r="AQ51" s="26">
        <f t="shared" si="74"/>
        <v>0</v>
      </c>
      <c r="AR51" s="26">
        <f t="shared" si="75"/>
        <v>0</v>
      </c>
      <c r="AS51" s="26">
        <f t="shared" si="76"/>
        <v>4.0024801327517077</v>
      </c>
      <c r="AT51" s="26">
        <f t="shared" si="77"/>
        <v>2.0112032682195027</v>
      </c>
      <c r="AU51" s="26">
        <f t="shared" si="78"/>
        <v>7.3054317345000855E-2</v>
      </c>
      <c r="AV51" s="47"/>
      <c r="AW51" s="26">
        <f t="shared" si="79"/>
        <v>1.9701899248964856</v>
      </c>
      <c r="AX51" s="26">
        <f t="shared" si="80"/>
        <v>7.8803130896350267E-3</v>
      </c>
      <c r="AY51" s="26">
        <f t="shared" si="81"/>
        <v>3.9767103259253263E-2</v>
      </c>
      <c r="AZ51" s="26">
        <f t="shared" si="82"/>
        <v>5.6007190875785129E-4</v>
      </c>
      <c r="BA51" s="26">
        <f t="shared" si="83"/>
        <v>0.69375772881866393</v>
      </c>
      <c r="BB51" s="26">
        <f t="shared" si="84"/>
        <v>7.435787819896067E-3</v>
      </c>
      <c r="BC51" s="26">
        <f t="shared" si="85"/>
        <v>2.50728976129613E-2</v>
      </c>
      <c r="BD51" s="26">
        <f t="shared" si="86"/>
        <v>1.182327123282938</v>
      </c>
      <c r="BE51" s="26">
        <f t="shared" si="87"/>
        <v>6.9105610351257174E-2</v>
      </c>
      <c r="BF51" s="26">
        <f t="shared" si="88"/>
        <v>3.9034389601515897E-3</v>
      </c>
      <c r="BG51" s="26">
        <f t="shared" si="89"/>
        <v>0</v>
      </c>
      <c r="BH51" s="26">
        <f t="shared" si="90"/>
        <v>0</v>
      </c>
      <c r="BI51" s="26">
        <f t="shared" si="91"/>
        <v>0</v>
      </c>
      <c r="BJ51" s="26">
        <f t="shared" si="92"/>
        <v>0</v>
      </c>
      <c r="BK51" s="25">
        <f t="shared" si="93"/>
        <v>3.9999999999999996</v>
      </c>
      <c r="BL51" s="24">
        <f t="shared" si="94"/>
        <v>5.9999999999999973</v>
      </c>
      <c r="BM51" s="26">
        <f t="shared" si="95"/>
        <v>2.0099570281557391</v>
      </c>
      <c r="BN51" s="26">
        <f t="shared" si="96"/>
        <v>7.3009049311408766E-2</v>
      </c>
      <c r="BO51" s="22"/>
      <c r="BP51" s="26">
        <f t="shared" si="97"/>
        <v>0.62772188327716738</v>
      </c>
      <c r="BQ51" s="22"/>
      <c r="BR51" s="22">
        <f t="shared" si="98"/>
        <v>3.494242813682525E-2</v>
      </c>
      <c r="BS51" s="22">
        <f t="shared" si="99"/>
        <v>0.59782961657586775</v>
      </c>
      <c r="BT51" s="22">
        <f t="shared" si="100"/>
        <v>0.36722795528730717</v>
      </c>
      <c r="BU51" s="1"/>
      <c r="BV51" s="26">
        <f t="shared" si="101"/>
        <v>0.87949400798934763</v>
      </c>
      <c r="BW51" s="26">
        <f t="shared" si="102"/>
        <v>3.517776664997497E-3</v>
      </c>
      <c r="BX51" s="26">
        <f t="shared" si="103"/>
        <v>1.7752059631227935E-2</v>
      </c>
      <c r="BY51" s="26">
        <f t="shared" si="104"/>
        <v>2.5001644845055592E-4</v>
      </c>
      <c r="BZ51" s="26">
        <f t="shared" si="105"/>
        <v>0.3130132219902575</v>
      </c>
      <c r="CA51" s="26">
        <f t="shared" si="106"/>
        <v>1.1192557090499013E-2</v>
      </c>
      <c r="CB51" s="26">
        <f t="shared" si="107"/>
        <v>0.52779156327543431</v>
      </c>
      <c r="CC51" s="26">
        <f t="shared" si="108"/>
        <v>3.0848787446504995E-2</v>
      </c>
      <c r="CD51" s="26">
        <f t="shared" si="109"/>
        <v>1.7424975798644724E-3</v>
      </c>
      <c r="CE51" s="26">
        <f t="shared" si="110"/>
        <v>0</v>
      </c>
      <c r="CF51" s="26">
        <f t="shared" si="111"/>
        <v>0</v>
      </c>
      <c r="CG51" s="26">
        <f t="shared" si="112"/>
        <v>0</v>
      </c>
      <c r="CH51" s="26">
        <f t="shared" si="113"/>
        <v>0</v>
      </c>
      <c r="CI51" s="26">
        <f t="shared" si="114"/>
        <v>1.785602488116584</v>
      </c>
      <c r="CJ51" s="26">
        <f t="shared" si="115"/>
        <v>2.6767440620208363</v>
      </c>
      <c r="CK51" s="26">
        <f t="shared" si="116"/>
        <v>2.2401402476869956</v>
      </c>
      <c r="CL51" s="26">
        <f t="shared" si="117"/>
        <v>5.9962821060900504</v>
      </c>
      <c r="CM51" s="1"/>
      <c r="CN51" s="22"/>
      <c r="CO51" s="96"/>
      <c r="CP51" s="14"/>
      <c r="CQ51" s="14"/>
      <c r="CR51" s="14"/>
      <c r="CS51" s="14"/>
      <c r="CT51" s="22"/>
      <c r="CU51" s="14"/>
      <c r="CV51" s="22"/>
      <c r="CW51" s="22"/>
      <c r="CX51" s="14"/>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46"/>
      <c r="FF51" s="46"/>
      <c r="FG51" s="46"/>
      <c r="FH51" s="46"/>
      <c r="FI51" s="46"/>
      <c r="FJ51" s="46"/>
      <c r="FK51" s="46"/>
      <c r="FL51" s="46"/>
      <c r="FM51" s="46"/>
      <c r="FN51" s="46"/>
      <c r="FO51" s="46"/>
    </row>
    <row r="52" spans="1:171" x14ac:dyDescent="0.25">
      <c r="A52" s="5" t="s">
        <v>188</v>
      </c>
      <c r="B52" s="1">
        <v>363</v>
      </c>
      <c r="C52" s="98" t="s">
        <v>98</v>
      </c>
      <c r="D52" s="98" t="s">
        <v>106</v>
      </c>
      <c r="E52" s="1">
        <v>28</v>
      </c>
      <c r="F52" s="22">
        <v>52.31</v>
      </c>
      <c r="G52" s="22">
        <v>0.30599999999999999</v>
      </c>
      <c r="H52" s="22">
        <v>1.226</v>
      </c>
      <c r="I52" s="22">
        <v>3.2000000000000001E-2</v>
      </c>
      <c r="J52" s="22">
        <v>19.48</v>
      </c>
      <c r="K52" s="22">
        <v>0.435</v>
      </c>
      <c r="L52" s="22">
        <v>23.51</v>
      </c>
      <c r="M52" s="22">
        <v>1.92</v>
      </c>
      <c r="N52" s="22">
        <v>3.7999999999999999E-2</v>
      </c>
      <c r="O52" s="22">
        <v>0</v>
      </c>
      <c r="P52" s="22">
        <v>0</v>
      </c>
      <c r="Q52" s="22"/>
      <c r="R52" s="22"/>
      <c r="S52" s="22">
        <f t="shared" si="59"/>
        <v>99.257000000000005</v>
      </c>
      <c r="T52" s="3"/>
      <c r="U52" s="22">
        <f t="shared" si="60"/>
        <v>17.840882522058287</v>
      </c>
      <c r="V52" s="22">
        <f t="shared" si="61"/>
        <v>1.8215512532366267</v>
      </c>
      <c r="W52" s="22">
        <f t="shared" si="62"/>
        <v>99.439433775294916</v>
      </c>
      <c r="X52" s="1">
        <v>2</v>
      </c>
      <c r="Y52" s="1">
        <v>1</v>
      </c>
      <c r="Z52" s="1"/>
      <c r="AA52" s="1" t="s">
        <v>185</v>
      </c>
      <c r="AC52" s="1">
        <v>6</v>
      </c>
      <c r="AD52" s="1">
        <v>4</v>
      </c>
      <c r="AE52" s="1"/>
      <c r="AF52" s="26">
        <f t="shared" si="63"/>
        <v>1.948403038979508</v>
      </c>
      <c r="AG52" s="26">
        <f t="shared" si="64"/>
        <v>8.5724976065843141E-3</v>
      </c>
      <c r="AH52" s="26">
        <f t="shared" si="65"/>
        <v>5.3816399831659527E-2</v>
      </c>
      <c r="AI52" s="26">
        <f t="shared" si="66"/>
        <v>9.4229950121617724E-4</v>
      </c>
      <c r="AJ52" s="26">
        <f t="shared" si="67"/>
        <v>0.60671702574334896</v>
      </c>
      <c r="AK52" s="26">
        <f t="shared" si="68"/>
        <v>1.3722147240974624E-2</v>
      </c>
      <c r="AL52" s="26">
        <f t="shared" si="69"/>
        <v>1.3054840954456026</v>
      </c>
      <c r="AM52" s="26">
        <f t="shared" si="70"/>
        <v>7.6615603346922315E-2</v>
      </c>
      <c r="AN52" s="26">
        <f t="shared" si="71"/>
        <v>2.7440121033065999E-3</v>
      </c>
      <c r="AO52" s="26">
        <f t="shared" si="72"/>
        <v>0</v>
      </c>
      <c r="AP52" s="26">
        <f t="shared" si="73"/>
        <v>0</v>
      </c>
      <c r="AQ52" s="26">
        <f t="shared" si="74"/>
        <v>0</v>
      </c>
      <c r="AR52" s="26">
        <f t="shared" si="75"/>
        <v>0</v>
      </c>
      <c r="AS52" s="26">
        <f t="shared" si="76"/>
        <v>4.0170171197991227</v>
      </c>
      <c r="AT52" s="26">
        <f t="shared" si="77"/>
        <v>2.0022194388111676</v>
      </c>
      <c r="AU52" s="26">
        <f t="shared" si="78"/>
        <v>7.9359615450228918E-2</v>
      </c>
      <c r="AV52" s="47"/>
      <c r="AW52" s="26">
        <f t="shared" si="79"/>
        <v>1.9401491015571681</v>
      </c>
      <c r="AX52" s="26">
        <f t="shared" si="80"/>
        <v>8.5361822973888581E-3</v>
      </c>
      <c r="AY52" s="26">
        <f t="shared" si="81"/>
        <v>5.3588419692222472E-2</v>
      </c>
      <c r="AZ52" s="26">
        <f t="shared" si="82"/>
        <v>9.3830767767631349E-4</v>
      </c>
      <c r="BA52" s="26">
        <f t="shared" si="83"/>
        <v>0.55331172337524659</v>
      </c>
      <c r="BB52" s="26">
        <f t="shared" si="84"/>
        <v>5.0835092681826843E-2</v>
      </c>
      <c r="BC52" s="26">
        <f t="shared" si="85"/>
        <v>1.366401668874224E-2</v>
      </c>
      <c r="BD52" s="26">
        <f t="shared" si="86"/>
        <v>1.2999537283633835</v>
      </c>
      <c r="BE52" s="26">
        <f t="shared" si="87"/>
        <v>7.6291039905504412E-2</v>
      </c>
      <c r="BF52" s="26">
        <f t="shared" si="88"/>
        <v>2.732387760840629E-3</v>
      </c>
      <c r="BG52" s="26">
        <f t="shared" si="89"/>
        <v>0</v>
      </c>
      <c r="BH52" s="26">
        <f t="shared" si="90"/>
        <v>0</v>
      </c>
      <c r="BI52" s="26">
        <f t="shared" si="91"/>
        <v>0</v>
      </c>
      <c r="BJ52" s="26">
        <f t="shared" si="92"/>
        <v>0</v>
      </c>
      <c r="BK52" s="25">
        <f t="shared" si="93"/>
        <v>4</v>
      </c>
      <c r="BL52" s="24">
        <f t="shared" si="94"/>
        <v>5.9999999999999991</v>
      </c>
      <c r="BM52" s="26">
        <f t="shared" si="95"/>
        <v>1.9937375212493906</v>
      </c>
      <c r="BN52" s="26">
        <f t="shared" si="96"/>
        <v>7.9023427666345042E-2</v>
      </c>
      <c r="BO52" s="22"/>
      <c r="BP52" s="26">
        <f t="shared" si="97"/>
        <v>0.68271275493965311</v>
      </c>
      <c r="BQ52" s="22"/>
      <c r="BR52" s="22">
        <f t="shared" si="98"/>
        <v>3.825923402872148E-2</v>
      </c>
      <c r="BS52" s="22">
        <f t="shared" si="99"/>
        <v>0.65191448408052588</v>
      </c>
      <c r="BT52" s="22">
        <f t="shared" si="100"/>
        <v>0.30982628189075262</v>
      </c>
      <c r="BU52" s="1"/>
      <c r="BV52" s="26">
        <f t="shared" si="101"/>
        <v>0.8706724367509987</v>
      </c>
      <c r="BW52" s="26">
        <f t="shared" si="102"/>
        <v>3.8307461191787683E-3</v>
      </c>
      <c r="BX52" s="26">
        <f t="shared" si="103"/>
        <v>2.4048646528050218E-2</v>
      </c>
      <c r="BY52" s="26">
        <f t="shared" si="104"/>
        <v>4.2108033423251525E-4</v>
      </c>
      <c r="BZ52" s="26">
        <f t="shared" si="105"/>
        <v>0.27112038970076552</v>
      </c>
      <c r="CA52" s="26">
        <f t="shared" si="106"/>
        <v>6.1319424866084016E-3</v>
      </c>
      <c r="CB52" s="26">
        <f t="shared" si="107"/>
        <v>0.58337468982630281</v>
      </c>
      <c r="CC52" s="26">
        <f t="shared" si="108"/>
        <v>3.4236804564907276E-2</v>
      </c>
      <c r="CD52" s="26">
        <f t="shared" si="109"/>
        <v>1.2262020006453694E-3</v>
      </c>
      <c r="CE52" s="26">
        <f t="shared" si="110"/>
        <v>0</v>
      </c>
      <c r="CF52" s="26">
        <f t="shared" si="111"/>
        <v>0</v>
      </c>
      <c r="CG52" s="26">
        <f t="shared" si="112"/>
        <v>0</v>
      </c>
      <c r="CH52" s="26">
        <f t="shared" si="113"/>
        <v>0</v>
      </c>
      <c r="CI52" s="26">
        <f t="shared" si="114"/>
        <v>1.7950629383116894</v>
      </c>
      <c r="CJ52" s="26">
        <f t="shared" si="115"/>
        <v>2.6811878836126857</v>
      </c>
      <c r="CK52" s="26">
        <f t="shared" si="116"/>
        <v>2.2283341239066079</v>
      </c>
      <c r="CL52" s="26">
        <f t="shared" si="117"/>
        <v>5.9745824536590861</v>
      </c>
      <c r="CM52" s="1"/>
      <c r="CN52" s="22">
        <v>4.4692705297594628</v>
      </c>
      <c r="CO52" s="96">
        <v>200.7353867222082</v>
      </c>
      <c r="CP52" s="14">
        <v>128926.99592225582</v>
      </c>
      <c r="CQ52" s="14">
        <v>5869.2945744956724</v>
      </c>
      <c r="CR52" s="14">
        <v>244708.82571902956</v>
      </c>
      <c r="CS52" s="14">
        <v>13449.742725737517</v>
      </c>
      <c r="CT52" s="22">
        <v>49.354012283378722</v>
      </c>
      <c r="CU52" s="14">
        <v>1749.7238163256707</v>
      </c>
      <c r="CV52" s="22">
        <v>155.63188958394844</v>
      </c>
      <c r="CW52" s="22">
        <v>86.204288086154321</v>
      </c>
      <c r="CX52" s="14">
        <v>3562.0060989927338</v>
      </c>
      <c r="CY52" s="22">
        <v>99.155669146903421</v>
      </c>
      <c r="CZ52" s="22">
        <v>95.453485380004139</v>
      </c>
      <c r="DA52" s="22">
        <v>1.0756162628260582</v>
      </c>
      <c r="DB52" s="22">
        <v>208.52570579835822</v>
      </c>
      <c r="DC52" s="22">
        <v>0.10719910916882119</v>
      </c>
      <c r="DD52" s="22">
        <v>0.71948163308705293</v>
      </c>
      <c r="DE52" s="22">
        <v>0.13258133840188391</v>
      </c>
      <c r="DF52" s="22">
        <v>6.739970057040086</v>
      </c>
      <c r="DG52" s="22">
        <v>3.1115054384060774</v>
      </c>
      <c r="DH52" s="22">
        <v>0</v>
      </c>
      <c r="DI52" s="22">
        <v>0</v>
      </c>
      <c r="DJ52" s="22">
        <v>0.10893522432504814</v>
      </c>
      <c r="DK52" s="22">
        <v>2.4443979465591428E-2</v>
      </c>
      <c r="DL52" s="22">
        <v>0.14807225015594483</v>
      </c>
      <c r="DM52" s="22">
        <v>3.4711497179120213E-2</v>
      </c>
      <c r="DN52" s="22">
        <v>0.22541066092025183</v>
      </c>
      <c r="DO52" s="22">
        <v>0.17294207365693418</v>
      </c>
      <c r="DP52" s="22">
        <v>5.2900370997480448E-2</v>
      </c>
      <c r="DQ52" s="22">
        <v>0.38534278703515368</v>
      </c>
      <c r="DR52" s="22">
        <v>8.0229315489477426E-2</v>
      </c>
      <c r="DS52" s="22">
        <v>0.90541446735671449</v>
      </c>
      <c r="DT52" s="22">
        <v>0.21645658244027766</v>
      </c>
      <c r="DU52" s="22">
        <v>0.87530643111397899</v>
      </c>
      <c r="DV52" s="22">
        <v>0.10586898773174322</v>
      </c>
      <c r="DW52" s="22">
        <v>1.4369582456337984</v>
      </c>
      <c r="DX52" s="22">
        <v>0.27126429213426961</v>
      </c>
      <c r="DY52" s="22">
        <v>0.13898522645718825</v>
      </c>
      <c r="DZ52" s="22">
        <v>0</v>
      </c>
      <c r="EA52" s="22">
        <v>0</v>
      </c>
      <c r="EB52" s="22">
        <v>3.7419316250365915E-3</v>
      </c>
      <c r="EC52" s="22">
        <v>1.9506522090108045E-3</v>
      </c>
      <c r="ED52" s="22">
        <f>(DP52/0.05883)/SQRT((DO52/0.1536)*(DQ52/0.2069))</f>
        <v>0.62095735357277115</v>
      </c>
      <c r="EE52" s="22"/>
      <c r="EF52" s="22"/>
      <c r="EG52" s="22"/>
      <c r="EH52" s="22"/>
      <c r="EI52" s="22"/>
      <c r="EJ52" s="22"/>
      <c r="EK52" s="22"/>
      <c r="EL52" s="22"/>
      <c r="EM52" s="22"/>
      <c r="EN52" s="22"/>
      <c r="EO52" s="22"/>
      <c r="EP52" s="22"/>
      <c r="EQ52" s="22"/>
      <c r="ER52" s="22">
        <f>3.073297 -6.710523 * BP52 +N("opx mg#")</f>
        <v>-1.5080626444159062</v>
      </c>
      <c r="ES52" s="22" t="e">
        <f>-3.726231 -0.216482*LN(#REF!) + N("31 liquid mgo, liq MgO calculated from equilibrium Fe/Mg of liquid from opx composition, then regression of literature MgO vs Fe/Mg")</f>
        <v>#REF!</v>
      </c>
      <c r="ET52" s="22"/>
      <c r="EU52" s="22"/>
      <c r="EV52" s="22">
        <f>10.033975 - 17.897808 * BP52 + N("66 mg#   R2 0.46")</f>
        <v>-2.1850868070609639</v>
      </c>
      <c r="EW52" s="22">
        <f>7.162348 - 16.15931 * BP52 + N("38d mg# r2 0.38")</f>
        <v>-3.8698190480238868</v>
      </c>
      <c r="EX52" s="22">
        <f>4.451575 - 11.66175 * BP52 + N("mg#")</f>
        <v>-3.5100504699174992</v>
      </c>
      <c r="EY52" s="22"/>
      <c r="EZ52" s="22">
        <f>5.675764 - 12.3354 * BP52 + N("mg#")</f>
        <v>-2.7457709172825977</v>
      </c>
      <c r="FA52" s="22">
        <f>5.273598 - 11.10504 * BP52 + N("mg#")</f>
        <v>-2.3079544521150464</v>
      </c>
      <c r="FB52" s="22">
        <f>6.313568 - 12.50612 * BP52 + N("mg#")</f>
        <v>-2.2245196388058943</v>
      </c>
      <c r="FC52" s="22">
        <f>6.81086 - 13.3177 * BP52 + N("mg#")</f>
        <v>-2.2813036564598193</v>
      </c>
      <c r="FD52" s="22">
        <f>8.616762 - 14.50395 * BP52 + N("mg#")</f>
        <v>-1.2852696620069821</v>
      </c>
      <c r="FE52" s="46"/>
      <c r="FF52" s="46"/>
      <c r="FG52" s="46"/>
      <c r="FH52" s="46"/>
      <c r="FI52" s="46"/>
      <c r="FJ52" s="46"/>
      <c r="FK52" s="46"/>
      <c r="FL52" s="46"/>
      <c r="FM52" s="46"/>
      <c r="FN52" s="46"/>
      <c r="FO52" s="46"/>
    </row>
    <row r="53" spans="1:171" x14ac:dyDescent="0.25">
      <c r="A53" s="5" t="s">
        <v>188</v>
      </c>
      <c r="B53" s="1">
        <v>364</v>
      </c>
      <c r="C53" s="98" t="s">
        <v>98</v>
      </c>
      <c r="D53" s="98" t="s">
        <v>106</v>
      </c>
      <c r="E53" s="1">
        <v>29</v>
      </c>
      <c r="F53" s="22">
        <v>52.09</v>
      </c>
      <c r="G53" s="22">
        <v>0.40500000000000003</v>
      </c>
      <c r="H53" s="22">
        <v>0.98799999999999999</v>
      </c>
      <c r="I53" s="22">
        <v>0</v>
      </c>
      <c r="J53" s="22">
        <v>20.02</v>
      </c>
      <c r="K53" s="22">
        <v>0.57399999999999995</v>
      </c>
      <c r="L53" s="22">
        <v>23.06</v>
      </c>
      <c r="M53" s="22">
        <v>1.99</v>
      </c>
      <c r="N53" s="22">
        <v>3.5999999999999997E-2</v>
      </c>
      <c r="O53" s="22">
        <v>0</v>
      </c>
      <c r="P53" s="22">
        <v>0</v>
      </c>
      <c r="Q53" s="22"/>
      <c r="R53" s="22"/>
      <c r="S53" s="22">
        <f t="shared" si="59"/>
        <v>99.162999999999997</v>
      </c>
      <c r="T53" s="3"/>
      <c r="U53" s="22">
        <f t="shared" si="60"/>
        <v>18.247933077053297</v>
      </c>
      <c r="V53" s="22">
        <f t="shared" si="61"/>
        <v>1.9692979714706709</v>
      </c>
      <c r="W53" s="22">
        <f t="shared" si="62"/>
        <v>99.360231048523971</v>
      </c>
      <c r="X53" s="1">
        <v>2</v>
      </c>
      <c r="Y53" s="1">
        <v>2</v>
      </c>
      <c r="Z53" s="1"/>
      <c r="AA53" s="1" t="s">
        <v>185</v>
      </c>
      <c r="AC53" s="1">
        <v>6</v>
      </c>
      <c r="AD53" s="1">
        <v>4</v>
      </c>
      <c r="AE53" s="1"/>
      <c r="AF53" s="26">
        <f t="shared" si="63"/>
        <v>1.9496284967477711</v>
      </c>
      <c r="AG53" s="26">
        <f t="shared" si="64"/>
        <v>1.1401038117520267E-2</v>
      </c>
      <c r="AH53" s="26">
        <f t="shared" si="65"/>
        <v>4.3579730890815987E-2</v>
      </c>
      <c r="AI53" s="26">
        <f t="shared" si="66"/>
        <v>0</v>
      </c>
      <c r="AJ53" s="26">
        <f t="shared" si="67"/>
        <v>0.6265629799753234</v>
      </c>
      <c r="AK53" s="26">
        <f t="shared" si="68"/>
        <v>1.8194835728019013E-2</v>
      </c>
      <c r="AL53" s="26">
        <f t="shared" si="69"/>
        <v>1.2867129961414445</v>
      </c>
      <c r="AM53" s="26">
        <f t="shared" si="70"/>
        <v>7.9794416283913747E-2</v>
      </c>
      <c r="AN53" s="26">
        <f t="shared" si="71"/>
        <v>2.6122116089850314E-3</v>
      </c>
      <c r="AO53" s="26">
        <f t="shared" si="72"/>
        <v>0</v>
      </c>
      <c r="AP53" s="26">
        <f t="shared" si="73"/>
        <v>0</v>
      </c>
      <c r="AQ53" s="26">
        <f t="shared" si="74"/>
        <v>0</v>
      </c>
      <c r="AR53" s="26">
        <f t="shared" si="75"/>
        <v>0</v>
      </c>
      <c r="AS53" s="26">
        <f t="shared" si="76"/>
        <v>4.0184867054937925</v>
      </c>
      <c r="AT53" s="26">
        <f t="shared" si="77"/>
        <v>1.993208227638587</v>
      </c>
      <c r="AU53" s="26">
        <f t="shared" si="78"/>
        <v>8.2406627892898779E-2</v>
      </c>
      <c r="AV53" s="47"/>
      <c r="AW53" s="26">
        <f t="shared" si="79"/>
        <v>1.9406593970634527</v>
      </c>
      <c r="AX53" s="26">
        <f t="shared" si="80"/>
        <v>1.1348588613652566E-2</v>
      </c>
      <c r="AY53" s="26">
        <f t="shared" si="81"/>
        <v>4.3379246054229159E-2</v>
      </c>
      <c r="AZ53" s="26">
        <f t="shared" si="82"/>
        <v>0</v>
      </c>
      <c r="BA53" s="26">
        <f t="shared" si="83"/>
        <v>0.56847555345963807</v>
      </c>
      <c r="BB53" s="26">
        <f t="shared" si="84"/>
        <v>5.520497694374038E-2</v>
      </c>
      <c r="BC53" s="26">
        <f t="shared" si="85"/>
        <v>1.811113193744731E-2</v>
      </c>
      <c r="BD53" s="26">
        <f t="shared" si="86"/>
        <v>1.2807935827010111</v>
      </c>
      <c r="BE53" s="26">
        <f t="shared" si="87"/>
        <v>7.9427328874647679E-2</v>
      </c>
      <c r="BF53" s="26">
        <f t="shared" si="88"/>
        <v>2.6001943521811819E-3</v>
      </c>
      <c r="BG53" s="26">
        <f t="shared" si="89"/>
        <v>0</v>
      </c>
      <c r="BH53" s="26">
        <f t="shared" si="90"/>
        <v>0</v>
      </c>
      <c r="BI53" s="26">
        <f t="shared" si="91"/>
        <v>0</v>
      </c>
      <c r="BJ53" s="26">
        <f t="shared" si="92"/>
        <v>0</v>
      </c>
      <c r="BK53" s="25">
        <f t="shared" si="93"/>
        <v>4.0000000000000009</v>
      </c>
      <c r="BL53" s="24">
        <f t="shared" si="94"/>
        <v>6</v>
      </c>
      <c r="BM53" s="26">
        <f t="shared" si="95"/>
        <v>1.9840386431176817</v>
      </c>
      <c r="BN53" s="26">
        <f t="shared" si="96"/>
        <v>8.2027523226828866E-2</v>
      </c>
      <c r="BO53" s="22"/>
      <c r="BP53" s="26">
        <f t="shared" si="97"/>
        <v>0.67251824211632494</v>
      </c>
      <c r="BQ53" s="22"/>
      <c r="BR53" s="22">
        <f t="shared" si="98"/>
        <v>3.9673741268900262E-2</v>
      </c>
      <c r="BS53" s="22">
        <f t="shared" si="99"/>
        <v>0.63975301623377334</v>
      </c>
      <c r="BT53" s="22">
        <f t="shared" si="100"/>
        <v>0.32057324249732633</v>
      </c>
      <c r="BU53" s="1"/>
      <c r="BV53" s="26">
        <f t="shared" si="101"/>
        <v>0.86701065246338227</v>
      </c>
      <c r="BW53" s="26">
        <f t="shared" si="102"/>
        <v>5.0701051577366051E-3</v>
      </c>
      <c r="BX53" s="26">
        <f t="shared" si="103"/>
        <v>1.9380149078069831E-2</v>
      </c>
      <c r="BY53" s="26">
        <f t="shared" si="104"/>
        <v>0</v>
      </c>
      <c r="BZ53" s="26">
        <f t="shared" si="105"/>
        <v>0.27863604732080727</v>
      </c>
      <c r="CA53" s="26">
        <f t="shared" si="106"/>
        <v>8.091344798421201E-3</v>
      </c>
      <c r="CB53" s="26">
        <f t="shared" si="107"/>
        <v>0.57220843672456578</v>
      </c>
      <c r="CC53" s="26">
        <f t="shared" si="108"/>
        <v>3.5485021398002851E-2</v>
      </c>
      <c r="CD53" s="26">
        <f t="shared" si="109"/>
        <v>1.1616650532429815E-3</v>
      </c>
      <c r="CE53" s="26">
        <f t="shared" si="110"/>
        <v>0</v>
      </c>
      <c r="CF53" s="26">
        <f t="shared" si="111"/>
        <v>0</v>
      </c>
      <c r="CG53" s="26">
        <f t="shared" si="112"/>
        <v>0</v>
      </c>
      <c r="CH53" s="26">
        <f t="shared" si="113"/>
        <v>0</v>
      </c>
      <c r="CI53" s="26">
        <f t="shared" si="114"/>
        <v>1.7870434219942286</v>
      </c>
      <c r="CJ53" s="26">
        <f t="shared" si="115"/>
        <v>2.6682334216277614</v>
      </c>
      <c r="CK53" s="26">
        <f t="shared" si="116"/>
        <v>2.2383339715026342</v>
      </c>
      <c r="CL53" s="26">
        <f t="shared" si="117"/>
        <v>5.97239751152813</v>
      </c>
      <c r="CM53" s="1"/>
      <c r="CN53" s="22"/>
      <c r="CO53" s="96"/>
      <c r="CP53" s="14"/>
      <c r="CQ53" s="14"/>
      <c r="CR53" s="14"/>
      <c r="CS53" s="14"/>
      <c r="CT53" s="22"/>
      <c r="CU53" s="14"/>
      <c r="CV53" s="22"/>
      <c r="CW53" s="22"/>
      <c r="CX53" s="14"/>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46"/>
      <c r="FF53" s="46"/>
      <c r="FG53" s="46"/>
      <c r="FH53" s="46"/>
      <c r="FI53" s="46"/>
      <c r="FJ53" s="46"/>
      <c r="FK53" s="46"/>
      <c r="FL53" s="46"/>
      <c r="FM53" s="46"/>
      <c r="FN53" s="46"/>
      <c r="FO53" s="46"/>
    </row>
    <row r="54" spans="1:171" x14ac:dyDescent="0.25">
      <c r="A54" s="5" t="s">
        <v>188</v>
      </c>
      <c r="B54" s="1">
        <v>365</v>
      </c>
      <c r="C54" s="98" t="s">
        <v>98</v>
      </c>
      <c r="D54" s="98" t="s">
        <v>106</v>
      </c>
      <c r="E54" s="1">
        <v>30</v>
      </c>
      <c r="F54" s="22">
        <v>50.04</v>
      </c>
      <c r="G54" s="22">
        <v>0.16300000000000001</v>
      </c>
      <c r="H54" s="22">
        <v>0.443</v>
      </c>
      <c r="I54" s="22">
        <v>0</v>
      </c>
      <c r="J54" s="22">
        <v>30.15</v>
      </c>
      <c r="K54" s="22">
        <v>0.91300000000000003</v>
      </c>
      <c r="L54" s="22">
        <v>15.09</v>
      </c>
      <c r="M54" s="22">
        <v>1.72</v>
      </c>
      <c r="N54" s="22">
        <v>5.2999999999999999E-2</v>
      </c>
      <c r="O54" s="22">
        <v>0.01</v>
      </c>
      <c r="P54" s="22">
        <v>0</v>
      </c>
      <c r="Q54" s="22"/>
      <c r="R54" s="22"/>
      <c r="S54" s="22">
        <f t="shared" si="59"/>
        <v>98.581999999999994</v>
      </c>
      <c r="T54" s="3"/>
      <c r="U54" s="22">
        <f t="shared" si="60"/>
        <v>29.681433719722339</v>
      </c>
      <c r="V54" s="22">
        <f t="shared" si="61"/>
        <v>0.52071770727256228</v>
      </c>
      <c r="W54" s="22">
        <f t="shared" si="62"/>
        <v>98.63415142699489</v>
      </c>
      <c r="X54" s="1">
        <v>2</v>
      </c>
      <c r="Y54" s="1">
        <v>3</v>
      </c>
      <c r="Z54" s="1"/>
      <c r="AA54" s="1" t="s">
        <v>186</v>
      </c>
      <c r="AC54" s="1">
        <v>6</v>
      </c>
      <c r="AD54" s="1">
        <v>4</v>
      </c>
      <c r="AE54" s="1"/>
      <c r="AF54" s="26">
        <f t="shared" si="63"/>
        <v>1.9819201402518176</v>
      </c>
      <c r="AG54" s="26">
        <f t="shared" si="64"/>
        <v>4.8556605917798711E-3</v>
      </c>
      <c r="AH54" s="26">
        <f t="shared" si="65"/>
        <v>2.0677720898081002E-2</v>
      </c>
      <c r="AI54" s="26">
        <f t="shared" si="66"/>
        <v>0</v>
      </c>
      <c r="AJ54" s="26">
        <f t="shared" si="67"/>
        <v>0.99852586270408195</v>
      </c>
      <c r="AK54" s="26">
        <f t="shared" si="68"/>
        <v>3.0625160072122334E-2</v>
      </c>
      <c r="AL54" s="26">
        <f t="shared" si="69"/>
        <v>0.89101079879387202</v>
      </c>
      <c r="AM54" s="26">
        <f t="shared" si="70"/>
        <v>7.2982580656333076E-2</v>
      </c>
      <c r="AN54" s="26">
        <f t="shared" si="71"/>
        <v>4.0696125818902463E-3</v>
      </c>
      <c r="AO54" s="26">
        <f t="shared" si="72"/>
        <v>5.0521689665816911E-4</v>
      </c>
      <c r="AP54" s="26">
        <f t="shared" si="73"/>
        <v>0</v>
      </c>
      <c r="AQ54" s="26">
        <f t="shared" si="74"/>
        <v>0</v>
      </c>
      <c r="AR54" s="26">
        <f t="shared" si="75"/>
        <v>0</v>
      </c>
      <c r="AS54" s="26">
        <f t="shared" si="76"/>
        <v>4.0051727534466366</v>
      </c>
      <c r="AT54" s="26">
        <f t="shared" si="77"/>
        <v>2.0025978611498987</v>
      </c>
      <c r="AU54" s="26">
        <f t="shared" si="78"/>
        <v>7.7557410134881488E-2</v>
      </c>
      <c r="AV54" s="47"/>
      <c r="AW54" s="26">
        <f t="shared" si="79"/>
        <v>1.9793604543487253</v>
      </c>
      <c r="AX54" s="26">
        <f t="shared" si="80"/>
        <v>4.8493894178235882E-3</v>
      </c>
      <c r="AY54" s="26">
        <f t="shared" si="81"/>
        <v>2.0651015245509063E-2</v>
      </c>
      <c r="AZ54" s="26">
        <f t="shared" si="82"/>
        <v>0</v>
      </c>
      <c r="BA54" s="26">
        <f t="shared" si="83"/>
        <v>0.98173803016935846</v>
      </c>
      <c r="BB54" s="26">
        <f t="shared" si="84"/>
        <v>1.5498218224475835E-2</v>
      </c>
      <c r="BC54" s="26">
        <f t="shared" si="85"/>
        <v>3.0585607120959226E-2</v>
      </c>
      <c r="BD54" s="26">
        <f t="shared" si="86"/>
        <v>0.88986004214386594</v>
      </c>
      <c r="BE54" s="26">
        <f t="shared" si="87"/>
        <v>7.2888322326199961E-2</v>
      </c>
      <c r="BF54" s="26">
        <f t="shared" si="88"/>
        <v>4.0643566032333121E-3</v>
      </c>
      <c r="BG54" s="26">
        <f t="shared" si="89"/>
        <v>5.0456439984857731E-4</v>
      </c>
      <c r="BH54" s="26">
        <f t="shared" si="90"/>
        <v>0</v>
      </c>
      <c r="BI54" s="26">
        <f t="shared" si="91"/>
        <v>0</v>
      </c>
      <c r="BJ54" s="26">
        <f t="shared" si="92"/>
        <v>0</v>
      </c>
      <c r="BK54" s="25">
        <f t="shared" si="93"/>
        <v>3.9999999999999991</v>
      </c>
      <c r="BL54" s="24">
        <f t="shared" si="94"/>
        <v>6</v>
      </c>
      <c r="BM54" s="26">
        <f t="shared" si="95"/>
        <v>2.0000114695942344</v>
      </c>
      <c r="BN54" s="26">
        <f t="shared" si="96"/>
        <v>7.7457243329281861E-2</v>
      </c>
      <c r="BO54" s="22"/>
      <c r="BP54" s="26">
        <f t="shared" si="97"/>
        <v>0.47154988677886356</v>
      </c>
      <c r="BQ54" s="22"/>
      <c r="BR54" s="22">
        <f t="shared" si="98"/>
        <v>3.661680537286164E-2</v>
      </c>
      <c r="BS54" s="22">
        <f t="shared" si="99"/>
        <v>0.44703775491559122</v>
      </c>
      <c r="BT54" s="22">
        <f t="shared" si="100"/>
        <v>0.51634543971154734</v>
      </c>
      <c r="BU54" s="1"/>
      <c r="BV54" s="26">
        <f t="shared" si="101"/>
        <v>0.83288948069241009</v>
      </c>
      <c r="BW54" s="26">
        <f t="shared" si="102"/>
        <v>2.0405608412618929E-3</v>
      </c>
      <c r="BX54" s="26">
        <f t="shared" si="103"/>
        <v>8.6896822283248337E-3</v>
      </c>
      <c r="BY54" s="26">
        <f t="shared" si="104"/>
        <v>0</v>
      </c>
      <c r="BZ54" s="26">
        <f t="shared" si="105"/>
        <v>0.41962421711899794</v>
      </c>
      <c r="CA54" s="26">
        <f t="shared" si="106"/>
        <v>1.2870031012122921E-2</v>
      </c>
      <c r="CB54" s="26">
        <f t="shared" si="107"/>
        <v>0.37444168734491318</v>
      </c>
      <c r="CC54" s="26">
        <f t="shared" si="108"/>
        <v>3.0670470756062766E-2</v>
      </c>
      <c r="CD54" s="26">
        <f t="shared" si="109"/>
        <v>1.7102291061632784E-3</v>
      </c>
      <c r="CE54" s="26">
        <f t="shared" si="110"/>
        <v>2.1231422505307856E-4</v>
      </c>
      <c r="CF54" s="26">
        <f t="shared" si="111"/>
        <v>0</v>
      </c>
      <c r="CG54" s="26">
        <f t="shared" si="112"/>
        <v>0</v>
      </c>
      <c r="CH54" s="26">
        <f t="shared" si="113"/>
        <v>0</v>
      </c>
      <c r="CI54" s="26">
        <f t="shared" si="114"/>
        <v>1.6831486733253103</v>
      </c>
      <c r="CJ54" s="26">
        <f t="shared" si="115"/>
        <v>2.5214622843075363</v>
      </c>
      <c r="CK54" s="26">
        <f t="shared" si="116"/>
        <v>2.3764983232867989</v>
      </c>
      <c r="CL54" s="26">
        <f t="shared" si="117"/>
        <v>5.9922508908877621</v>
      </c>
      <c r="CM54" s="1"/>
      <c r="CN54" s="22"/>
      <c r="CO54" s="96"/>
      <c r="CP54" s="14"/>
      <c r="CQ54" s="14"/>
      <c r="CR54" s="14"/>
      <c r="CS54" s="14"/>
      <c r="CT54" s="22"/>
      <c r="CU54" s="14"/>
      <c r="CV54" s="22"/>
      <c r="CW54" s="22"/>
      <c r="CX54" s="14"/>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46"/>
      <c r="FF54" s="46"/>
      <c r="FG54" s="46"/>
      <c r="FH54" s="46"/>
      <c r="FI54" s="46"/>
      <c r="FJ54" s="46"/>
      <c r="FK54" s="46"/>
      <c r="FL54" s="46"/>
      <c r="FM54" s="46"/>
      <c r="FN54" s="46"/>
      <c r="FO54" s="46"/>
    </row>
    <row r="55" spans="1:171" x14ac:dyDescent="0.25">
      <c r="A55" s="5" t="s">
        <v>188</v>
      </c>
      <c r="B55" s="1">
        <v>366</v>
      </c>
      <c r="C55" s="98" t="s">
        <v>98</v>
      </c>
      <c r="D55" s="98" t="s">
        <v>106</v>
      </c>
      <c r="E55" s="1">
        <v>36</v>
      </c>
      <c r="F55" s="22">
        <v>52.38</v>
      </c>
      <c r="G55" s="22">
        <v>0.21199999999999999</v>
      </c>
      <c r="H55" s="22">
        <v>1.127</v>
      </c>
      <c r="I55" s="22">
        <v>0</v>
      </c>
      <c r="J55" s="22">
        <v>19.52</v>
      </c>
      <c r="K55" s="22">
        <v>0.47699999999999998</v>
      </c>
      <c r="L55" s="22">
        <v>23.67</v>
      </c>
      <c r="M55" s="22">
        <v>1.77</v>
      </c>
      <c r="N55" s="22">
        <v>3.2000000000000001E-2</v>
      </c>
      <c r="O55" s="22">
        <v>0</v>
      </c>
      <c r="P55" s="22">
        <v>0</v>
      </c>
      <c r="Q55" s="22"/>
      <c r="R55" s="22"/>
      <c r="S55" s="22">
        <f t="shared" si="59"/>
        <v>99.188000000000002</v>
      </c>
      <c r="T55" s="3"/>
      <c r="U55" s="22">
        <f t="shared" si="60"/>
        <v>17.73224870844145</v>
      </c>
      <c r="V55" s="22">
        <f t="shared" si="61"/>
        <v>1.9867280103090155</v>
      </c>
      <c r="W55" s="22">
        <f t="shared" si="62"/>
        <v>99.386976718750475</v>
      </c>
      <c r="X55" s="1"/>
      <c r="Y55" s="1"/>
      <c r="Z55" s="1"/>
      <c r="AA55" s="1" t="s">
        <v>185</v>
      </c>
      <c r="AC55" s="1">
        <v>6</v>
      </c>
      <c r="AD55" s="1">
        <v>4</v>
      </c>
      <c r="AE55" s="1"/>
      <c r="AF55" s="26">
        <f t="shared" si="63"/>
        <v>1.9518987933458407</v>
      </c>
      <c r="AG55" s="26">
        <f t="shared" si="64"/>
        <v>5.9418205331322289E-3</v>
      </c>
      <c r="AH55" s="26">
        <f t="shared" si="65"/>
        <v>4.9493231479816442E-2</v>
      </c>
      <c r="AI55" s="26">
        <f t="shared" si="66"/>
        <v>0</v>
      </c>
      <c r="AJ55" s="26">
        <f t="shared" si="67"/>
        <v>0.60823970431864605</v>
      </c>
      <c r="AK55" s="26">
        <f t="shared" si="68"/>
        <v>1.5053896312656547E-2</v>
      </c>
      <c r="AL55" s="26">
        <f t="shared" si="69"/>
        <v>1.3149672520362472</v>
      </c>
      <c r="AM55" s="26">
        <f t="shared" si="70"/>
        <v>7.0662172705626594E-2</v>
      </c>
      <c r="AN55" s="26">
        <f t="shared" si="71"/>
        <v>2.3117992983085352E-3</v>
      </c>
      <c r="AO55" s="26">
        <f t="shared" si="72"/>
        <v>0</v>
      </c>
      <c r="AP55" s="26">
        <f t="shared" si="73"/>
        <v>0</v>
      </c>
      <c r="AQ55" s="26">
        <f t="shared" si="74"/>
        <v>0</v>
      </c>
      <c r="AR55" s="26">
        <f t="shared" si="75"/>
        <v>0</v>
      </c>
      <c r="AS55" s="26">
        <f t="shared" si="76"/>
        <v>4.0185686700302741</v>
      </c>
      <c r="AT55" s="26">
        <f t="shared" si="77"/>
        <v>2.0013920248256571</v>
      </c>
      <c r="AU55" s="26">
        <f t="shared" si="78"/>
        <v>7.2973972003935128E-2</v>
      </c>
      <c r="AV55" s="47"/>
      <c r="AW55" s="26">
        <f t="shared" si="79"/>
        <v>1.9428796206995123</v>
      </c>
      <c r="AX55" s="26">
        <f t="shared" si="80"/>
        <v>5.9143650598236161E-3</v>
      </c>
      <c r="AY55" s="26">
        <f t="shared" si="81"/>
        <v>4.9264537245738871E-2</v>
      </c>
      <c r="AZ55" s="26">
        <f t="shared" si="82"/>
        <v>0</v>
      </c>
      <c r="BA55" s="26">
        <f t="shared" si="83"/>
        <v>0.54998059219295237</v>
      </c>
      <c r="BB55" s="26">
        <f t="shared" si="84"/>
        <v>5.5448608362740792E-2</v>
      </c>
      <c r="BC55" s="26">
        <f t="shared" si="85"/>
        <v>1.4984336512575394E-2</v>
      </c>
      <c r="BD55" s="26">
        <f t="shared" si="86"/>
        <v>1.3088911600222481</v>
      </c>
      <c r="BE55" s="26">
        <f t="shared" si="87"/>
        <v>7.0335662777258709E-2</v>
      </c>
      <c r="BF55" s="26">
        <f t="shared" si="88"/>
        <v>2.3011171271497708E-3</v>
      </c>
      <c r="BG55" s="26">
        <f t="shared" si="89"/>
        <v>0</v>
      </c>
      <c r="BH55" s="26">
        <f t="shared" si="90"/>
        <v>0</v>
      </c>
      <c r="BI55" s="26">
        <f t="shared" si="91"/>
        <v>0</v>
      </c>
      <c r="BJ55" s="26">
        <f t="shared" si="92"/>
        <v>0</v>
      </c>
      <c r="BK55" s="25">
        <f t="shared" si="93"/>
        <v>4</v>
      </c>
      <c r="BL55" s="24">
        <f t="shared" si="94"/>
        <v>6.0000000000000009</v>
      </c>
      <c r="BM55" s="26">
        <f t="shared" si="95"/>
        <v>1.9921441579452512</v>
      </c>
      <c r="BN55" s="26">
        <f t="shared" si="96"/>
        <v>7.2636779904408477E-2</v>
      </c>
      <c r="BO55" s="22"/>
      <c r="BP55" s="26">
        <f t="shared" si="97"/>
        <v>0.68373673862356477</v>
      </c>
      <c r="BQ55" s="22"/>
      <c r="BR55" s="22">
        <f t="shared" si="98"/>
        <v>3.5174156407760039E-2</v>
      </c>
      <c r="BS55" s="22">
        <f t="shared" si="99"/>
        <v>0.65456328362406002</v>
      </c>
      <c r="BT55" s="22">
        <f t="shared" si="100"/>
        <v>0.31026255996817992</v>
      </c>
      <c r="BU55" s="1"/>
      <c r="BV55" s="26">
        <f t="shared" si="101"/>
        <v>0.87183754993342222</v>
      </c>
      <c r="BW55" s="26">
        <f t="shared" si="102"/>
        <v>2.6539809714571858E-3</v>
      </c>
      <c r="BX55" s="26">
        <f t="shared" si="103"/>
        <v>2.210670851314241E-2</v>
      </c>
      <c r="BY55" s="26">
        <f t="shared" si="104"/>
        <v>0</v>
      </c>
      <c r="BZ55" s="26">
        <f t="shared" si="105"/>
        <v>0.27167710508002785</v>
      </c>
      <c r="CA55" s="26">
        <f t="shared" si="106"/>
        <v>6.7239921060050743E-3</v>
      </c>
      <c r="CB55" s="26">
        <f t="shared" si="107"/>
        <v>0.58734491315136483</v>
      </c>
      <c r="CC55" s="26">
        <f t="shared" si="108"/>
        <v>3.1562054208273897E-2</v>
      </c>
      <c r="CD55" s="26">
        <f t="shared" si="109"/>
        <v>1.0325911584382059E-3</v>
      </c>
      <c r="CE55" s="26">
        <f t="shared" si="110"/>
        <v>0</v>
      </c>
      <c r="CF55" s="26">
        <f t="shared" si="111"/>
        <v>0</v>
      </c>
      <c r="CG55" s="26">
        <f t="shared" si="112"/>
        <v>0</v>
      </c>
      <c r="CH55" s="26">
        <f t="shared" si="113"/>
        <v>0</v>
      </c>
      <c r="CI55" s="26">
        <f t="shared" si="114"/>
        <v>1.7949388951221317</v>
      </c>
      <c r="CJ55" s="26">
        <f t="shared" si="115"/>
        <v>2.6799674847043629</v>
      </c>
      <c r="CK55" s="26">
        <f t="shared" si="116"/>
        <v>2.2284881178241061</v>
      </c>
      <c r="CL55" s="26">
        <f t="shared" si="117"/>
        <v>5.9722756958186292</v>
      </c>
      <c r="CM55" s="1"/>
      <c r="CN55" s="22"/>
      <c r="CO55" s="96"/>
      <c r="CP55" s="14"/>
      <c r="CQ55" s="14"/>
      <c r="CR55" s="14"/>
      <c r="CS55" s="14"/>
      <c r="CT55" s="22"/>
      <c r="CU55" s="14"/>
      <c r="CV55" s="22"/>
      <c r="CW55" s="22"/>
      <c r="CX55" s="14"/>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46"/>
      <c r="FF55" s="46"/>
      <c r="FG55" s="46"/>
      <c r="FH55" s="46"/>
      <c r="FI55" s="46"/>
      <c r="FJ55" s="46"/>
      <c r="FK55" s="46"/>
      <c r="FL55" s="46"/>
      <c r="FM55" s="46"/>
      <c r="FN55" s="46"/>
      <c r="FO55" s="46"/>
    </row>
    <row r="56" spans="1:171" x14ac:dyDescent="0.25">
      <c r="A56" s="5" t="s">
        <v>188</v>
      </c>
      <c r="B56" s="1">
        <v>367</v>
      </c>
      <c r="C56" s="98" t="s">
        <v>98</v>
      </c>
      <c r="D56" s="98" t="s">
        <v>106</v>
      </c>
      <c r="E56" s="1">
        <v>37</v>
      </c>
      <c r="F56" s="22">
        <v>51.46</v>
      </c>
      <c r="G56" s="22">
        <v>0.46300000000000002</v>
      </c>
      <c r="H56" s="22">
        <v>0.97599999999999998</v>
      </c>
      <c r="I56" s="22">
        <v>8.9999999999999993E-3</v>
      </c>
      <c r="J56" s="22">
        <v>21.44</v>
      </c>
      <c r="K56" s="22">
        <v>0.53600000000000003</v>
      </c>
      <c r="L56" s="22">
        <v>21.44</v>
      </c>
      <c r="M56" s="22">
        <v>2.0099999999999998</v>
      </c>
      <c r="N56" s="22">
        <v>6.8000000000000005E-2</v>
      </c>
      <c r="O56" s="22">
        <v>1.0999999999999999E-2</v>
      </c>
      <c r="P56" s="22">
        <v>0</v>
      </c>
      <c r="Q56" s="22"/>
      <c r="R56" s="22"/>
      <c r="S56" s="22">
        <f t="shared" si="59"/>
        <v>98.412999999999997</v>
      </c>
      <c r="T56" s="3"/>
      <c r="U56" s="22">
        <f t="shared" si="60"/>
        <v>20.265864655939172</v>
      </c>
      <c r="V56" s="22">
        <f t="shared" si="61"/>
        <v>1.3048166078547991</v>
      </c>
      <c r="W56" s="22">
        <f t="shared" si="62"/>
        <v>98.543681263793985</v>
      </c>
      <c r="X56" s="1"/>
      <c r="Y56" s="1"/>
      <c r="Z56" s="1"/>
      <c r="AA56" s="1" t="s">
        <v>185</v>
      </c>
      <c r="AC56" s="1">
        <v>6</v>
      </c>
      <c r="AD56" s="1">
        <v>4</v>
      </c>
      <c r="AE56" s="1"/>
      <c r="AF56" s="26">
        <f t="shared" si="63"/>
        <v>1.9551212727614149</v>
      </c>
      <c r="AG56" s="26">
        <f t="shared" si="64"/>
        <v>1.3230515869328476E-2</v>
      </c>
      <c r="AH56" s="26">
        <f t="shared" si="65"/>
        <v>4.3700240769409912E-2</v>
      </c>
      <c r="AI56" s="26">
        <f t="shared" si="66"/>
        <v>2.7032818797694647E-4</v>
      </c>
      <c r="AJ56" s="26">
        <f t="shared" si="67"/>
        <v>0.68113289018078493</v>
      </c>
      <c r="AK56" s="26">
        <f t="shared" si="68"/>
        <v>1.7246757174897587E-2</v>
      </c>
      <c r="AL56" s="26">
        <f t="shared" si="69"/>
        <v>1.2143771255456426</v>
      </c>
      <c r="AM56" s="26">
        <f t="shared" si="70"/>
        <v>8.1812920425323302E-2</v>
      </c>
      <c r="AN56" s="26">
        <f t="shared" si="71"/>
        <v>5.0086557093003024E-3</v>
      </c>
      <c r="AO56" s="26">
        <f t="shared" si="72"/>
        <v>5.3309624227031974E-4</v>
      </c>
      <c r="AP56" s="26">
        <f t="shared" si="73"/>
        <v>0</v>
      </c>
      <c r="AQ56" s="26">
        <f t="shared" si="74"/>
        <v>0</v>
      </c>
      <c r="AR56" s="26">
        <f t="shared" si="75"/>
        <v>0</v>
      </c>
      <c r="AS56" s="26">
        <f t="shared" si="76"/>
        <v>4.0124338028663491</v>
      </c>
      <c r="AT56" s="26">
        <f t="shared" si="77"/>
        <v>1.9988215135308247</v>
      </c>
      <c r="AU56" s="26">
        <f t="shared" si="78"/>
        <v>8.7354672376893927E-2</v>
      </c>
      <c r="AV56" s="47"/>
      <c r="AW56" s="26">
        <f t="shared" si="79"/>
        <v>1.9490627073919484</v>
      </c>
      <c r="AX56" s="26">
        <f t="shared" si="80"/>
        <v>1.3189516906050422E-2</v>
      </c>
      <c r="AY56" s="26">
        <f t="shared" si="81"/>
        <v>4.3564821668277152E-2</v>
      </c>
      <c r="AZ56" s="26">
        <f t="shared" si="82"/>
        <v>2.6949049006997494E-4</v>
      </c>
      <c r="BA56" s="26">
        <f t="shared" si="83"/>
        <v>0.64183636487341555</v>
      </c>
      <c r="BB56" s="26">
        <f t="shared" si="84"/>
        <v>3.7185818315457198E-2</v>
      </c>
      <c r="BC56" s="26">
        <f t="shared" si="85"/>
        <v>1.719331260999454E-2</v>
      </c>
      <c r="BD56" s="26">
        <f t="shared" si="86"/>
        <v>1.2106139916158936</v>
      </c>
      <c r="BE56" s="26">
        <f t="shared" si="87"/>
        <v>8.155939705909053E-2</v>
      </c>
      <c r="BF56" s="26">
        <f t="shared" si="88"/>
        <v>4.9931347958660751E-3</v>
      </c>
      <c r="BG56" s="26">
        <f t="shared" si="89"/>
        <v>5.3144427393617653E-4</v>
      </c>
      <c r="BH56" s="26">
        <f t="shared" si="90"/>
        <v>0</v>
      </c>
      <c r="BI56" s="26">
        <f t="shared" si="91"/>
        <v>0</v>
      </c>
      <c r="BJ56" s="26">
        <f t="shared" si="92"/>
        <v>0</v>
      </c>
      <c r="BK56" s="25">
        <f t="shared" si="93"/>
        <v>4</v>
      </c>
      <c r="BL56" s="24">
        <f t="shared" si="94"/>
        <v>6.0000000000000009</v>
      </c>
      <c r="BM56" s="26">
        <f t="shared" si="95"/>
        <v>1.9926275290602256</v>
      </c>
      <c r="BN56" s="26">
        <f t="shared" si="96"/>
        <v>8.7083976128892779E-2</v>
      </c>
      <c r="BO56" s="22"/>
      <c r="BP56" s="26">
        <f t="shared" si="97"/>
        <v>0.64065983058403919</v>
      </c>
      <c r="BQ56" s="22"/>
      <c r="BR56" s="22">
        <f t="shared" si="98"/>
        <v>4.1017829910406083E-2</v>
      </c>
      <c r="BS56" s="22">
        <f t="shared" si="99"/>
        <v>0.60884166124084671</v>
      </c>
      <c r="BT56" s="22">
        <f t="shared" si="100"/>
        <v>0.35014050884874731</v>
      </c>
      <c r="BU56" s="1"/>
      <c r="BV56" s="26">
        <f t="shared" si="101"/>
        <v>0.85652463382157129</v>
      </c>
      <c r="BW56" s="26">
        <f t="shared" si="102"/>
        <v>5.7961942914371567E-3</v>
      </c>
      <c r="BX56" s="26">
        <f t="shared" si="103"/>
        <v>1.9144762652020402E-2</v>
      </c>
      <c r="BY56" s="26">
        <f t="shared" si="104"/>
        <v>1.1842884400289492E-4</v>
      </c>
      <c r="BZ56" s="26">
        <f t="shared" si="105"/>
        <v>0.29839944328462076</v>
      </c>
      <c r="CA56" s="26">
        <f t="shared" si="106"/>
        <v>7.5556808570623069E-3</v>
      </c>
      <c r="CB56" s="26">
        <f t="shared" si="107"/>
        <v>0.53200992555831272</v>
      </c>
      <c r="CC56" s="26">
        <f t="shared" si="108"/>
        <v>3.5841654778887302E-2</v>
      </c>
      <c r="CD56" s="26">
        <f t="shared" si="109"/>
        <v>2.1942562116811877E-3</v>
      </c>
      <c r="CE56" s="26">
        <f t="shared" si="110"/>
        <v>2.335456475583864E-4</v>
      </c>
      <c r="CF56" s="26">
        <f t="shared" si="111"/>
        <v>0</v>
      </c>
      <c r="CG56" s="26">
        <f t="shared" si="112"/>
        <v>0</v>
      </c>
      <c r="CH56" s="26">
        <f t="shared" si="113"/>
        <v>0</v>
      </c>
      <c r="CI56" s="26">
        <f t="shared" si="114"/>
        <v>1.7578185259471546</v>
      </c>
      <c r="CJ56" s="26">
        <f t="shared" si="115"/>
        <v>2.6285570488785543</v>
      </c>
      <c r="CK56" s="26">
        <f t="shared" si="116"/>
        <v>2.2755477547630831</v>
      </c>
      <c r="CL56" s="26">
        <f t="shared" si="117"/>
        <v>5.9814070908422705</v>
      </c>
      <c r="CM56" s="1"/>
      <c r="CN56" s="22"/>
      <c r="CO56" s="96"/>
      <c r="CP56" s="14"/>
      <c r="CQ56" s="14"/>
      <c r="CR56" s="14"/>
      <c r="CS56" s="14"/>
      <c r="CT56" s="22"/>
      <c r="CU56" s="14"/>
      <c r="CV56" s="22"/>
      <c r="CW56" s="22"/>
      <c r="CX56" s="14"/>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46"/>
      <c r="FF56" s="46"/>
      <c r="FG56" s="46"/>
      <c r="FH56" s="46"/>
      <c r="FI56" s="46"/>
      <c r="FJ56" s="46"/>
      <c r="FK56" s="46"/>
      <c r="FL56" s="46"/>
      <c r="FM56" s="46"/>
      <c r="FN56" s="46"/>
      <c r="FO56" s="46"/>
    </row>
    <row r="57" spans="1:171" x14ac:dyDescent="0.25">
      <c r="A57" s="5" t="s">
        <v>188</v>
      </c>
      <c r="B57" s="1">
        <v>372</v>
      </c>
      <c r="C57" s="98" t="s">
        <v>98</v>
      </c>
      <c r="D57" s="98" t="s">
        <v>106</v>
      </c>
      <c r="E57" s="1">
        <v>42</v>
      </c>
      <c r="F57" s="22">
        <v>51.38</v>
      </c>
      <c r="G57" s="22">
        <v>0.38800000000000001</v>
      </c>
      <c r="H57" s="22">
        <v>0.81599999999999995</v>
      </c>
      <c r="I57" s="22">
        <v>0</v>
      </c>
      <c r="J57" s="22">
        <v>21.83</v>
      </c>
      <c r="K57" s="22">
        <v>0.58799999999999997</v>
      </c>
      <c r="L57" s="22">
        <v>21.52</v>
      </c>
      <c r="M57" s="22">
        <v>1.93</v>
      </c>
      <c r="N57" s="22">
        <v>0.09</v>
      </c>
      <c r="O57" s="22">
        <v>0</v>
      </c>
      <c r="P57" s="22">
        <v>0</v>
      </c>
      <c r="Q57" s="22"/>
      <c r="R57" s="22"/>
      <c r="S57" s="22">
        <f t="shared" si="59"/>
        <v>98.542000000000002</v>
      </c>
      <c r="T57" s="3"/>
      <c r="U57" s="22">
        <f t="shared" si="60"/>
        <v>19.941477728276809</v>
      </c>
      <c r="V57" s="22">
        <f t="shared" si="61"/>
        <v>2.098714800565979</v>
      </c>
      <c r="W57" s="22">
        <f t="shared" si="62"/>
        <v>98.752192528842784</v>
      </c>
      <c r="X57" s="1"/>
      <c r="Y57" s="1"/>
      <c r="Z57" s="1"/>
      <c r="AA57" s="1" t="s">
        <v>185</v>
      </c>
      <c r="AC57" s="1">
        <v>6</v>
      </c>
      <c r="AD57" s="1">
        <v>4</v>
      </c>
      <c r="AE57" s="1"/>
      <c r="AF57" s="26">
        <f t="shared" si="63"/>
        <v>1.9539168125510726</v>
      </c>
      <c r="AG57" s="26">
        <f t="shared" si="64"/>
        <v>1.1097765998465037E-2</v>
      </c>
      <c r="AH57" s="26">
        <f t="shared" si="65"/>
        <v>3.6570611435110388E-2</v>
      </c>
      <c r="AI57" s="26">
        <f t="shared" si="66"/>
        <v>0</v>
      </c>
      <c r="AJ57" s="26">
        <f t="shared" si="67"/>
        <v>0.69417482125238583</v>
      </c>
      <c r="AK57" s="26">
        <f t="shared" si="68"/>
        <v>1.8937735032325258E-2</v>
      </c>
      <c r="AL57" s="26">
        <f t="shared" si="69"/>
        <v>1.2200541730860668</v>
      </c>
      <c r="AM57" s="26">
        <f t="shared" si="70"/>
        <v>7.8630529083900627E-2</v>
      </c>
      <c r="AN57" s="26">
        <f t="shared" si="71"/>
        <v>6.6353345871602116E-3</v>
      </c>
      <c r="AO57" s="26">
        <f t="shared" si="72"/>
        <v>0</v>
      </c>
      <c r="AP57" s="26">
        <f t="shared" si="73"/>
        <v>0</v>
      </c>
      <c r="AQ57" s="26">
        <f t="shared" si="74"/>
        <v>0</v>
      </c>
      <c r="AR57" s="26">
        <f t="shared" si="75"/>
        <v>0</v>
      </c>
      <c r="AS57" s="26">
        <f t="shared" si="76"/>
        <v>4.0200177830264865</v>
      </c>
      <c r="AT57" s="26">
        <f t="shared" si="77"/>
        <v>1.9904874239861829</v>
      </c>
      <c r="AU57" s="26">
        <f t="shared" si="78"/>
        <v>8.5265863671060843E-2</v>
      </c>
      <c r="AV57" s="47"/>
      <c r="AW57" s="26">
        <f t="shared" si="79"/>
        <v>1.9441872330027938</v>
      </c>
      <c r="AX57" s="26">
        <f t="shared" si="80"/>
        <v>1.1042504384256767E-2</v>
      </c>
      <c r="AY57" s="26">
        <f t="shared" si="81"/>
        <v>3.6388507125038688E-2</v>
      </c>
      <c r="AZ57" s="26">
        <f t="shared" si="82"/>
        <v>0</v>
      </c>
      <c r="BA57" s="26">
        <f t="shared" si="83"/>
        <v>0.63096384782211157</v>
      </c>
      <c r="BB57" s="26">
        <f t="shared" si="84"/>
        <v>5.9754311866996535E-2</v>
      </c>
      <c r="BC57" s="26">
        <f t="shared" si="85"/>
        <v>1.8843434088560578E-2</v>
      </c>
      <c r="BD57" s="26">
        <f t="shared" si="86"/>
        <v>1.2139788816232986</v>
      </c>
      <c r="BE57" s="26">
        <f t="shared" si="87"/>
        <v>7.8238986320805087E-2</v>
      </c>
      <c r="BF57" s="26">
        <f t="shared" si="88"/>
        <v>6.6022937661382912E-3</v>
      </c>
      <c r="BG57" s="26">
        <f t="shared" si="89"/>
        <v>0</v>
      </c>
      <c r="BH57" s="26">
        <f t="shared" si="90"/>
        <v>0</v>
      </c>
      <c r="BI57" s="26">
        <f t="shared" si="91"/>
        <v>0</v>
      </c>
      <c r="BJ57" s="26">
        <f t="shared" si="92"/>
        <v>0</v>
      </c>
      <c r="BK57" s="25">
        <f t="shared" si="93"/>
        <v>4.0000000000000009</v>
      </c>
      <c r="BL57" s="24">
        <f t="shared" si="94"/>
        <v>5.9999999999999991</v>
      </c>
      <c r="BM57" s="26">
        <f t="shared" si="95"/>
        <v>1.9805757401278326</v>
      </c>
      <c r="BN57" s="26">
        <f t="shared" si="96"/>
        <v>8.4841280086943374E-2</v>
      </c>
      <c r="BO57" s="22"/>
      <c r="BP57" s="26">
        <f t="shared" si="97"/>
        <v>0.63736061709153613</v>
      </c>
      <c r="BQ57" s="22"/>
      <c r="BR57" s="22">
        <f t="shared" si="98"/>
        <v>3.9084718280359469E-2</v>
      </c>
      <c r="BS57" s="22">
        <f t="shared" si="99"/>
        <v>0.60644986365237752</v>
      </c>
      <c r="BT57" s="22">
        <f t="shared" si="100"/>
        <v>0.35446541806726301</v>
      </c>
      <c r="BU57" s="1"/>
      <c r="BV57" s="26">
        <f t="shared" si="101"/>
        <v>0.85519307589880167</v>
      </c>
      <c r="BW57" s="26">
        <f t="shared" si="102"/>
        <v>4.8572859288933401E-3</v>
      </c>
      <c r="BX57" s="26">
        <f t="shared" si="103"/>
        <v>1.6006276971361318E-2</v>
      </c>
      <c r="BY57" s="26">
        <f t="shared" si="104"/>
        <v>0</v>
      </c>
      <c r="BZ57" s="26">
        <f t="shared" si="105"/>
        <v>0.30382741823242865</v>
      </c>
      <c r="CA57" s="26">
        <f t="shared" si="106"/>
        <v>8.2886946715534249E-3</v>
      </c>
      <c r="CB57" s="26">
        <f t="shared" si="107"/>
        <v>0.53399503722084374</v>
      </c>
      <c r="CC57" s="26">
        <f t="shared" si="108"/>
        <v>3.4415121255349498E-2</v>
      </c>
      <c r="CD57" s="26">
        <f t="shared" si="109"/>
        <v>2.9041626331074541E-3</v>
      </c>
      <c r="CE57" s="26">
        <f t="shared" si="110"/>
        <v>0</v>
      </c>
      <c r="CF57" s="26">
        <f t="shared" si="111"/>
        <v>0</v>
      </c>
      <c r="CG57" s="26">
        <f t="shared" si="112"/>
        <v>0</v>
      </c>
      <c r="CH57" s="26">
        <f t="shared" si="113"/>
        <v>0</v>
      </c>
      <c r="CI57" s="26">
        <f t="shared" si="114"/>
        <v>1.7594870728123391</v>
      </c>
      <c r="CJ57" s="26">
        <f t="shared" si="115"/>
        <v>2.6260884918091612</v>
      </c>
      <c r="CK57" s="26">
        <f t="shared" si="116"/>
        <v>2.2733898201402849</v>
      </c>
      <c r="CL57" s="26">
        <f t="shared" si="117"/>
        <v>5.9701228440665011</v>
      </c>
      <c r="CM57" s="1"/>
      <c r="CN57" s="22"/>
      <c r="CO57" s="96"/>
      <c r="CP57" s="14"/>
      <c r="CQ57" s="14"/>
      <c r="CR57" s="14"/>
      <c r="CS57" s="14"/>
      <c r="CT57" s="22"/>
      <c r="CU57" s="14"/>
      <c r="CV57" s="22"/>
      <c r="CW57" s="22"/>
      <c r="CX57" s="14"/>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46"/>
      <c r="FF57" s="46"/>
      <c r="FG57" s="46"/>
      <c r="FH57" s="46"/>
      <c r="FI57" s="46"/>
      <c r="FJ57" s="46"/>
      <c r="FK57" s="46"/>
      <c r="FL57" s="46"/>
      <c r="FM57" s="46"/>
      <c r="FN57" s="46"/>
      <c r="FO57" s="46"/>
    </row>
    <row r="58" spans="1:171" x14ac:dyDescent="0.25">
      <c r="A58" s="5" t="s">
        <v>188</v>
      </c>
      <c r="B58" s="1">
        <v>375</v>
      </c>
      <c r="C58" s="98" t="s">
        <v>98</v>
      </c>
      <c r="D58" s="98" t="s">
        <v>106</v>
      </c>
      <c r="E58" s="1">
        <v>45</v>
      </c>
      <c r="F58" s="22">
        <v>51.96</v>
      </c>
      <c r="G58" s="22">
        <v>0.26300000000000001</v>
      </c>
      <c r="H58" s="22">
        <v>0.85</v>
      </c>
      <c r="I58" s="22">
        <v>5.1999999999999998E-2</v>
      </c>
      <c r="J58" s="22">
        <v>22.3</v>
      </c>
      <c r="K58" s="22">
        <v>0.64500000000000002</v>
      </c>
      <c r="L58" s="22">
        <v>21.5</v>
      </c>
      <c r="M58" s="22">
        <v>1.84</v>
      </c>
      <c r="N58" s="22">
        <v>1.2999999999999999E-2</v>
      </c>
      <c r="O58" s="22">
        <v>1.0999999999999999E-2</v>
      </c>
      <c r="P58" s="22">
        <v>0</v>
      </c>
      <c r="Q58" s="22"/>
      <c r="R58" s="22"/>
      <c r="S58" s="22">
        <f t="shared" si="59"/>
        <v>99.433999999999997</v>
      </c>
      <c r="T58" s="3"/>
      <c r="U58" s="22">
        <f t="shared" si="60"/>
        <v>20.939390418241864</v>
      </c>
      <c r="V58" s="22">
        <f t="shared" si="61"/>
        <v>1.512045428207818</v>
      </c>
      <c r="W58" s="22">
        <f t="shared" si="62"/>
        <v>99.585435846449684</v>
      </c>
      <c r="X58" s="1">
        <v>4</v>
      </c>
      <c r="Y58" s="1"/>
      <c r="Z58" s="1"/>
      <c r="AA58" s="1" t="s">
        <v>185</v>
      </c>
      <c r="AC58" s="1">
        <v>6</v>
      </c>
      <c r="AD58" s="1">
        <v>4</v>
      </c>
      <c r="AE58" s="1"/>
      <c r="AF58" s="26">
        <f t="shared" si="63"/>
        <v>1.9593184345275052</v>
      </c>
      <c r="AG58" s="26">
        <f t="shared" si="64"/>
        <v>7.4590496591467482E-3</v>
      </c>
      <c r="AH58" s="26">
        <f t="shared" si="65"/>
        <v>3.7773297644252191E-2</v>
      </c>
      <c r="AI58" s="26">
        <f t="shared" si="66"/>
        <v>1.5501871426991214E-3</v>
      </c>
      <c r="AJ58" s="26">
        <f t="shared" si="67"/>
        <v>0.70314338728656411</v>
      </c>
      <c r="AK58" s="26">
        <f t="shared" si="68"/>
        <v>2.0598440280403741E-2</v>
      </c>
      <c r="AL58" s="26">
        <f t="shared" si="69"/>
        <v>1.208646280803839</v>
      </c>
      <c r="AM58" s="26">
        <f t="shared" si="70"/>
        <v>7.4331966803375796E-2</v>
      </c>
      <c r="AN58" s="26">
        <f t="shared" si="71"/>
        <v>9.5035876015988827E-4</v>
      </c>
      <c r="AO58" s="26">
        <f t="shared" si="72"/>
        <v>5.2909978401258261E-4</v>
      </c>
      <c r="AP58" s="26">
        <f t="shared" si="73"/>
        <v>0</v>
      </c>
      <c r="AQ58" s="26">
        <f t="shared" si="74"/>
        <v>0</v>
      </c>
      <c r="AR58" s="26">
        <f t="shared" si="75"/>
        <v>0</v>
      </c>
      <c r="AS58" s="26">
        <f t="shared" si="76"/>
        <v>4.0143005026919578</v>
      </c>
      <c r="AT58" s="26">
        <f t="shared" si="77"/>
        <v>1.9970917321717574</v>
      </c>
      <c r="AU58" s="26">
        <f t="shared" si="78"/>
        <v>7.581142534754827E-2</v>
      </c>
      <c r="AV58" s="47"/>
      <c r="AW58" s="26">
        <f t="shared" si="79"/>
        <v>1.95233857875224</v>
      </c>
      <c r="AX58" s="26">
        <f t="shared" si="80"/>
        <v>7.4324776176021385E-3</v>
      </c>
      <c r="AY58" s="26">
        <f t="shared" si="81"/>
        <v>3.7638734438462405E-2</v>
      </c>
      <c r="AZ58" s="26">
        <f t="shared" si="82"/>
        <v>1.5446647720165224E-3</v>
      </c>
      <c r="BA58" s="26">
        <f t="shared" si="83"/>
        <v>0.65788984035244791</v>
      </c>
      <c r="BB58" s="26">
        <f t="shared" si="84"/>
        <v>4.2748676186153745E-2</v>
      </c>
      <c r="BC58" s="26">
        <f t="shared" si="85"/>
        <v>2.0525060609279836E-2</v>
      </c>
      <c r="BD58" s="26">
        <f t="shared" si="86"/>
        <v>1.2043406117636986</v>
      </c>
      <c r="BE58" s="26">
        <f t="shared" si="87"/>
        <v>7.4067167371779319E-2</v>
      </c>
      <c r="BF58" s="26">
        <f t="shared" si="88"/>
        <v>9.4697321191832559E-4</v>
      </c>
      <c r="BG58" s="26">
        <f t="shared" si="89"/>
        <v>5.272149244011726E-4</v>
      </c>
      <c r="BH58" s="26">
        <f t="shared" si="90"/>
        <v>0</v>
      </c>
      <c r="BI58" s="26">
        <f t="shared" si="91"/>
        <v>0</v>
      </c>
      <c r="BJ58" s="26">
        <f t="shared" si="92"/>
        <v>0</v>
      </c>
      <c r="BK58" s="25">
        <f t="shared" si="93"/>
        <v>4</v>
      </c>
      <c r="BL58" s="24">
        <f t="shared" si="94"/>
        <v>5.9999999999999982</v>
      </c>
      <c r="BM58" s="26">
        <f t="shared" si="95"/>
        <v>1.9899773131907024</v>
      </c>
      <c r="BN58" s="26">
        <f t="shared" si="96"/>
        <v>7.5541355508098817E-2</v>
      </c>
      <c r="BO58" s="22"/>
      <c r="BP58" s="26">
        <f t="shared" si="97"/>
        <v>0.63220672283007939</v>
      </c>
      <c r="BQ58" s="22"/>
      <c r="BR58" s="22">
        <f t="shared" si="98"/>
        <v>3.7041522493825543E-2</v>
      </c>
      <c r="BS58" s="22">
        <f t="shared" si="99"/>
        <v>0.60229939180676639</v>
      </c>
      <c r="BT58" s="22">
        <f t="shared" si="100"/>
        <v>0.36065908569940791</v>
      </c>
      <c r="BU58" s="1"/>
      <c r="BV58" s="26">
        <f t="shared" si="101"/>
        <v>0.86484687083888157</v>
      </c>
      <c r="BW58" s="26">
        <f t="shared" si="102"/>
        <v>3.2924386579869808E-3</v>
      </c>
      <c r="BX58" s="26">
        <f t="shared" si="103"/>
        <v>1.6673205178501373E-2</v>
      </c>
      <c r="BY58" s="26">
        <f t="shared" si="104"/>
        <v>6.8425554312783723E-4</v>
      </c>
      <c r="BZ58" s="26">
        <f t="shared" si="105"/>
        <v>0.31036882393876136</v>
      </c>
      <c r="CA58" s="26">
        <f t="shared" si="106"/>
        <v>9.0921905835917687E-3</v>
      </c>
      <c r="CB58" s="26">
        <f t="shared" si="107"/>
        <v>0.53349875930521096</v>
      </c>
      <c r="CC58" s="26">
        <f t="shared" si="108"/>
        <v>3.2810271041369472E-2</v>
      </c>
      <c r="CD58" s="26">
        <f t="shared" si="109"/>
        <v>4.1949015811552112E-4</v>
      </c>
      <c r="CE58" s="26">
        <f t="shared" si="110"/>
        <v>2.335456475583864E-4</v>
      </c>
      <c r="CF58" s="26">
        <f t="shared" si="111"/>
        <v>0</v>
      </c>
      <c r="CG58" s="26">
        <f t="shared" si="112"/>
        <v>0</v>
      </c>
      <c r="CH58" s="26">
        <f t="shared" si="113"/>
        <v>0</v>
      </c>
      <c r="CI58" s="26">
        <f t="shared" si="114"/>
        <v>1.7719198508931053</v>
      </c>
      <c r="CJ58" s="26">
        <f t="shared" si="115"/>
        <v>2.6484113728479515</v>
      </c>
      <c r="CK58" s="26">
        <f t="shared" si="116"/>
        <v>2.2574384490268393</v>
      </c>
      <c r="CL58" s="26">
        <f t="shared" si="117"/>
        <v>5.9786256619069222</v>
      </c>
      <c r="CM58" s="1"/>
      <c r="CN58" s="22"/>
      <c r="CO58" s="96"/>
      <c r="CP58" s="14"/>
      <c r="CQ58" s="14"/>
      <c r="CR58" s="14"/>
      <c r="CS58" s="14"/>
      <c r="CT58" s="22"/>
      <c r="CU58" s="14"/>
      <c r="CV58" s="22"/>
      <c r="CW58" s="22"/>
      <c r="CX58" s="14"/>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46"/>
      <c r="FF58" s="46"/>
      <c r="FG58" s="46"/>
      <c r="FH58" s="46"/>
      <c r="FI58" s="46"/>
      <c r="FJ58" s="46"/>
      <c r="FK58" s="46"/>
      <c r="FL58" s="46"/>
      <c r="FM58" s="46"/>
      <c r="FN58" s="46"/>
      <c r="FO58" s="46"/>
    </row>
    <row r="59" spans="1:171" x14ac:dyDescent="0.25">
      <c r="A59" s="5" t="s">
        <v>188</v>
      </c>
      <c r="B59" s="1">
        <v>376</v>
      </c>
      <c r="C59" s="98" t="s">
        <v>98</v>
      </c>
      <c r="D59" s="98" t="s">
        <v>106</v>
      </c>
      <c r="E59" s="1">
        <v>46</v>
      </c>
      <c r="F59" s="22">
        <v>49.45</v>
      </c>
      <c r="G59" s="22">
        <v>0.125</v>
      </c>
      <c r="H59" s="22">
        <v>2.4500000000000002</v>
      </c>
      <c r="I59" s="22">
        <v>1.7000000000000001E-2</v>
      </c>
      <c r="J59" s="22">
        <v>28.69</v>
      </c>
      <c r="K59" s="22">
        <v>0.68300000000000005</v>
      </c>
      <c r="L59" s="22">
        <v>17</v>
      </c>
      <c r="M59" s="22">
        <v>0.39600000000000002</v>
      </c>
      <c r="N59" s="22">
        <v>2.1999999999999999E-2</v>
      </c>
      <c r="O59" s="22">
        <v>1.4E-2</v>
      </c>
      <c r="P59" s="22">
        <v>0</v>
      </c>
      <c r="Q59" s="22"/>
      <c r="R59" s="22"/>
      <c r="S59" s="22">
        <f t="shared" si="59"/>
        <v>98.847000000000023</v>
      </c>
      <c r="T59" s="3"/>
      <c r="U59" s="22">
        <f t="shared" si="60"/>
        <v>27.597180617823842</v>
      </c>
      <c r="V59" s="22">
        <f t="shared" si="61"/>
        <v>1.2144501794123677</v>
      </c>
      <c r="W59" s="22">
        <f t="shared" si="62"/>
        <v>98.968630797236216</v>
      </c>
      <c r="X59" s="1">
        <v>4</v>
      </c>
      <c r="Y59" s="1"/>
      <c r="Z59" s="1"/>
      <c r="AA59" s="1" t="s">
        <v>186</v>
      </c>
      <c r="AC59" s="1">
        <v>6</v>
      </c>
      <c r="AD59" s="1">
        <v>4</v>
      </c>
      <c r="AE59" s="1"/>
      <c r="AF59" s="26">
        <f t="shared" si="63"/>
        <v>1.9290505085789813</v>
      </c>
      <c r="AG59" s="26">
        <f t="shared" si="64"/>
        <v>3.6675765213614532E-3</v>
      </c>
      <c r="AH59" s="26">
        <f t="shared" si="65"/>
        <v>0.1126350303161341</v>
      </c>
      <c r="AI59" s="26">
        <f t="shared" si="66"/>
        <v>5.242894625117966E-4</v>
      </c>
      <c r="AJ59" s="26">
        <f t="shared" si="67"/>
        <v>0.93586025323658339</v>
      </c>
      <c r="AK59" s="26">
        <f t="shared" si="68"/>
        <v>2.2565073194868789E-2</v>
      </c>
      <c r="AL59" s="26">
        <f t="shared" si="69"/>
        <v>0.98866942192516105</v>
      </c>
      <c r="AM59" s="26">
        <f t="shared" si="70"/>
        <v>1.6549863189791118E-2</v>
      </c>
      <c r="AN59" s="26">
        <f t="shared" si="71"/>
        <v>1.6638276284168475E-3</v>
      </c>
      <c r="AO59" s="26">
        <f t="shared" si="72"/>
        <v>6.9664954146393882E-4</v>
      </c>
      <c r="AP59" s="26">
        <f t="shared" si="73"/>
        <v>0</v>
      </c>
      <c r="AQ59" s="26">
        <f t="shared" si="74"/>
        <v>0</v>
      </c>
      <c r="AR59" s="26">
        <f t="shared" si="75"/>
        <v>0</v>
      </c>
      <c r="AS59" s="26">
        <f t="shared" si="76"/>
        <v>4.0118824935952739</v>
      </c>
      <c r="AT59" s="26">
        <f t="shared" si="77"/>
        <v>2.0416855388951154</v>
      </c>
      <c r="AU59" s="26">
        <f t="shared" si="78"/>
        <v>1.8910340359671905E-2</v>
      </c>
      <c r="AV59" s="47"/>
      <c r="AW59" s="26">
        <f t="shared" si="79"/>
        <v>1.9233369986868694</v>
      </c>
      <c r="AX59" s="26">
        <f t="shared" si="80"/>
        <v>3.6567138017791069E-3</v>
      </c>
      <c r="AY59" s="26">
        <f t="shared" si="81"/>
        <v>0.11230142507508543</v>
      </c>
      <c r="AZ59" s="26">
        <f t="shared" si="82"/>
        <v>5.227366089099499E-4</v>
      </c>
      <c r="BA59" s="26">
        <f t="shared" si="83"/>
        <v>0.89754649981687817</v>
      </c>
      <c r="BB59" s="26">
        <f t="shared" si="84"/>
        <v>3.5541899188454185E-2</v>
      </c>
      <c r="BC59" s="26">
        <f t="shared" si="85"/>
        <v>2.2498239398479454E-2</v>
      </c>
      <c r="BD59" s="26">
        <f t="shared" si="86"/>
        <v>0.98574115618143043</v>
      </c>
      <c r="BE59" s="26">
        <f t="shared" si="87"/>
        <v>1.6500845392368266E-2</v>
      </c>
      <c r="BF59" s="26">
        <f t="shared" si="88"/>
        <v>1.6588996622638348E-3</v>
      </c>
      <c r="BG59" s="26">
        <f t="shared" si="89"/>
        <v>6.9458618748290623E-4</v>
      </c>
      <c r="BH59" s="26">
        <f t="shared" si="90"/>
        <v>0</v>
      </c>
      <c r="BI59" s="26">
        <f t="shared" si="91"/>
        <v>0</v>
      </c>
      <c r="BJ59" s="26">
        <f t="shared" si="92"/>
        <v>0</v>
      </c>
      <c r="BK59" s="25">
        <f t="shared" si="93"/>
        <v>4.0000000000000009</v>
      </c>
      <c r="BL59" s="24">
        <f t="shared" si="94"/>
        <v>6.0000000000000009</v>
      </c>
      <c r="BM59" s="26">
        <f t="shared" si="95"/>
        <v>2.0356384237619549</v>
      </c>
      <c r="BN59" s="26">
        <f t="shared" si="96"/>
        <v>1.8854331242115007E-2</v>
      </c>
      <c r="BO59" s="22"/>
      <c r="BP59" s="26">
        <f t="shared" si="97"/>
        <v>0.51372001932995381</v>
      </c>
      <c r="BQ59" s="22"/>
      <c r="BR59" s="22">
        <f t="shared" si="98"/>
        <v>8.4281356679698823E-3</v>
      </c>
      <c r="BS59" s="22">
        <f t="shared" si="99"/>
        <v>0.50348694265331784</v>
      </c>
      <c r="BT59" s="22">
        <f t="shared" si="100"/>
        <v>0.48808492167871231</v>
      </c>
      <c r="BU59" s="1"/>
      <c r="BV59" s="26">
        <f t="shared" si="101"/>
        <v>0.82306924101198409</v>
      </c>
      <c r="BW59" s="26">
        <f t="shared" si="102"/>
        <v>1.5648472709063597E-3</v>
      </c>
      <c r="BX59" s="26">
        <f t="shared" si="103"/>
        <v>4.8058061985092201E-2</v>
      </c>
      <c r="BY59" s="26">
        <f t="shared" si="104"/>
        <v>2.2369892756102374E-4</v>
      </c>
      <c r="BZ59" s="26">
        <f t="shared" si="105"/>
        <v>0.39930410577592212</v>
      </c>
      <c r="CA59" s="26">
        <f t="shared" si="106"/>
        <v>9.6278545249506627E-3</v>
      </c>
      <c r="CB59" s="26">
        <f t="shared" si="107"/>
        <v>0.42183622828784123</v>
      </c>
      <c r="CC59" s="26">
        <f t="shared" si="108"/>
        <v>7.0613409415121262E-3</v>
      </c>
      <c r="CD59" s="26">
        <f t="shared" si="109"/>
        <v>7.0990642142626655E-4</v>
      </c>
      <c r="CE59" s="26">
        <f t="shared" si="110"/>
        <v>2.9723991507430998E-4</v>
      </c>
      <c r="CF59" s="26">
        <f t="shared" si="111"/>
        <v>0</v>
      </c>
      <c r="CG59" s="26">
        <f t="shared" si="112"/>
        <v>0</v>
      </c>
      <c r="CH59" s="26">
        <f t="shared" si="113"/>
        <v>0</v>
      </c>
      <c r="CI59" s="26">
        <f t="shared" si="114"/>
        <v>1.71175252506227</v>
      </c>
      <c r="CJ59" s="26">
        <f t="shared" si="115"/>
        <v>2.5600239206332374</v>
      </c>
      <c r="CK59" s="26">
        <f t="shared" si="116"/>
        <v>2.3367863878889201</v>
      </c>
      <c r="CL59" s="26">
        <f t="shared" si="117"/>
        <v>5.982229050405774</v>
      </c>
      <c r="CM59" s="1"/>
      <c r="CN59" s="22"/>
      <c r="CO59" s="96"/>
      <c r="CP59" s="14"/>
      <c r="CQ59" s="14"/>
      <c r="CR59" s="14"/>
      <c r="CS59" s="14"/>
      <c r="CT59" s="22"/>
      <c r="CU59" s="14"/>
      <c r="CV59" s="22"/>
      <c r="CW59" s="22"/>
      <c r="CX59" s="14"/>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46"/>
      <c r="FF59" s="46"/>
      <c r="FG59" s="46"/>
      <c r="FH59" s="46"/>
      <c r="FI59" s="46"/>
      <c r="FJ59" s="46"/>
      <c r="FK59" s="46"/>
      <c r="FL59" s="46"/>
      <c r="FM59" s="46"/>
      <c r="FN59" s="46"/>
      <c r="FO59" s="46"/>
    </row>
    <row r="60" spans="1:171" x14ac:dyDescent="0.25">
      <c r="A60" s="5" t="s">
        <v>188</v>
      </c>
      <c r="B60" s="1">
        <v>377</v>
      </c>
      <c r="C60" s="98" t="s">
        <v>98</v>
      </c>
      <c r="D60" s="98" t="s">
        <v>106</v>
      </c>
      <c r="E60" s="1">
        <v>47</v>
      </c>
      <c r="F60" s="22">
        <v>52.67</v>
      </c>
      <c r="G60" s="22">
        <v>0.44900000000000001</v>
      </c>
      <c r="H60" s="22">
        <v>0.88100000000000001</v>
      </c>
      <c r="I60" s="22">
        <v>0</v>
      </c>
      <c r="J60" s="22">
        <v>20.38</v>
      </c>
      <c r="K60" s="22">
        <v>0.57699999999999996</v>
      </c>
      <c r="L60" s="22">
        <v>22.81</v>
      </c>
      <c r="M60" s="22">
        <v>1.96</v>
      </c>
      <c r="N60" s="22">
        <v>6.8000000000000005E-2</v>
      </c>
      <c r="O60" s="22">
        <v>1.4999999999999999E-2</v>
      </c>
      <c r="P60" s="22">
        <v>0</v>
      </c>
      <c r="Q60" s="22"/>
      <c r="R60" s="22"/>
      <c r="S60" s="22">
        <f t="shared" si="59"/>
        <v>99.809999999999988</v>
      </c>
      <c r="T60" s="3"/>
      <c r="U60" s="22">
        <f t="shared" si="60"/>
        <v>19.2681047104954</v>
      </c>
      <c r="V60" s="22">
        <f t="shared" si="61"/>
        <v>1.2356492352264596</v>
      </c>
      <c r="W60" s="22">
        <f t="shared" si="62"/>
        <v>99.933753945721861</v>
      </c>
      <c r="X60" s="1">
        <v>5</v>
      </c>
      <c r="Y60" s="1"/>
      <c r="Z60" s="1"/>
      <c r="AA60" s="1" t="s">
        <v>185</v>
      </c>
      <c r="AC60" s="1">
        <v>6</v>
      </c>
      <c r="AD60" s="1">
        <v>4</v>
      </c>
      <c r="AE60" s="1"/>
      <c r="AF60" s="26">
        <f t="shared" si="63"/>
        <v>1.959403103865873</v>
      </c>
      <c r="AG60" s="26">
        <f t="shared" si="64"/>
        <v>1.2563153962393535E-2</v>
      </c>
      <c r="AH60" s="26">
        <f t="shared" si="65"/>
        <v>3.8624820538933215E-2</v>
      </c>
      <c r="AI60" s="26">
        <f t="shared" si="66"/>
        <v>0</v>
      </c>
      <c r="AJ60" s="26">
        <f t="shared" si="67"/>
        <v>0.63396868230974845</v>
      </c>
      <c r="AK60" s="26">
        <f t="shared" si="68"/>
        <v>1.8179210830437009E-2</v>
      </c>
      <c r="AL60" s="26">
        <f t="shared" si="69"/>
        <v>1.265058579890789</v>
      </c>
      <c r="AM60" s="26">
        <f t="shared" si="70"/>
        <v>7.8115724255333266E-2</v>
      </c>
      <c r="AN60" s="26">
        <f t="shared" si="71"/>
        <v>4.9043079647855155E-3</v>
      </c>
      <c r="AO60" s="26">
        <f t="shared" si="72"/>
        <v>7.1180453273090628E-4</v>
      </c>
      <c r="AP60" s="26">
        <f t="shared" si="73"/>
        <v>0</v>
      </c>
      <c r="AQ60" s="26">
        <f t="shared" si="74"/>
        <v>0</v>
      </c>
      <c r="AR60" s="26">
        <f t="shared" si="75"/>
        <v>0</v>
      </c>
      <c r="AS60" s="26">
        <f t="shared" si="76"/>
        <v>4.0115293881510246</v>
      </c>
      <c r="AT60" s="26">
        <f t="shared" si="77"/>
        <v>1.9980279244048063</v>
      </c>
      <c r="AU60" s="26">
        <f t="shared" si="78"/>
        <v>8.3731836752849689E-2</v>
      </c>
      <c r="AV60" s="47"/>
      <c r="AW60" s="26">
        <f t="shared" si="79"/>
        <v>1.9537716559209777</v>
      </c>
      <c r="AX60" s="26">
        <f t="shared" si="80"/>
        <v>1.2527046666542396E-2</v>
      </c>
      <c r="AY60" s="26">
        <f t="shared" si="81"/>
        <v>3.8513810371695663E-2</v>
      </c>
      <c r="AZ60" s="26">
        <f t="shared" si="82"/>
        <v>0</v>
      </c>
      <c r="BA60" s="26">
        <f t="shared" si="83"/>
        <v>0.59765786049289138</v>
      </c>
      <c r="BB60" s="26">
        <f t="shared" si="84"/>
        <v>3.4488755889699352E-2</v>
      </c>
      <c r="BC60" s="26">
        <f t="shared" si="85"/>
        <v>1.8126962633387152E-2</v>
      </c>
      <c r="BD60" s="26">
        <f t="shared" si="86"/>
        <v>1.2614227218451206</v>
      </c>
      <c r="BE60" s="26">
        <f t="shared" si="87"/>
        <v>7.789121474325085E-2</v>
      </c>
      <c r="BF60" s="26">
        <f t="shared" si="88"/>
        <v>4.8902126747683997E-3</v>
      </c>
      <c r="BG60" s="26">
        <f t="shared" si="89"/>
        <v>7.0975876166669489E-4</v>
      </c>
      <c r="BH60" s="26">
        <f t="shared" si="90"/>
        <v>0</v>
      </c>
      <c r="BI60" s="26">
        <f t="shared" si="91"/>
        <v>0</v>
      </c>
      <c r="BJ60" s="26">
        <f t="shared" si="92"/>
        <v>0</v>
      </c>
      <c r="BK60" s="25">
        <f t="shared" si="93"/>
        <v>4.0000000000000009</v>
      </c>
      <c r="BL60" s="24">
        <f t="shared" si="94"/>
        <v>5.9999999999999991</v>
      </c>
      <c r="BM60" s="26">
        <f t="shared" si="95"/>
        <v>1.9922854662926734</v>
      </c>
      <c r="BN60" s="26">
        <f t="shared" si="96"/>
        <v>8.3491186179685942E-2</v>
      </c>
      <c r="BO60" s="22"/>
      <c r="BP60" s="26">
        <f t="shared" si="97"/>
        <v>0.66616135801277332</v>
      </c>
      <c r="BQ60" s="22"/>
      <c r="BR60" s="22">
        <f t="shared" si="98"/>
        <v>3.9149428779759361E-2</v>
      </c>
      <c r="BS60" s="22">
        <f t="shared" si="99"/>
        <v>0.63401218189789244</v>
      </c>
      <c r="BT60" s="22">
        <f t="shared" si="100"/>
        <v>0.32683838932234821</v>
      </c>
      <c r="BU60" s="1"/>
      <c r="BV60" s="26">
        <f t="shared" si="101"/>
        <v>0.87666444740346205</v>
      </c>
      <c r="BW60" s="26">
        <f t="shared" si="102"/>
        <v>5.6209313970956437E-3</v>
      </c>
      <c r="BX60" s="26">
        <f t="shared" si="103"/>
        <v>1.728128677912907E-2</v>
      </c>
      <c r="BY60" s="26">
        <f t="shared" si="104"/>
        <v>0</v>
      </c>
      <c r="BZ60" s="26">
        <f t="shared" si="105"/>
        <v>0.2836464857341684</v>
      </c>
      <c r="CA60" s="26">
        <f t="shared" si="106"/>
        <v>8.1336340569495343E-3</v>
      </c>
      <c r="CB60" s="26">
        <f t="shared" si="107"/>
        <v>0.56600496277915635</v>
      </c>
      <c r="CC60" s="26">
        <f t="shared" si="108"/>
        <v>3.4950071326676178E-2</v>
      </c>
      <c r="CD60" s="26">
        <f t="shared" si="109"/>
        <v>2.1942562116811877E-3</v>
      </c>
      <c r="CE60" s="26">
        <f t="shared" si="110"/>
        <v>3.1847133757961782E-4</v>
      </c>
      <c r="CF60" s="26">
        <f t="shared" si="111"/>
        <v>0</v>
      </c>
      <c r="CG60" s="26">
        <f t="shared" si="112"/>
        <v>0</v>
      </c>
      <c r="CH60" s="26">
        <f t="shared" si="113"/>
        <v>0</v>
      </c>
      <c r="CI60" s="26">
        <f t="shared" si="114"/>
        <v>1.794814547025898</v>
      </c>
      <c r="CJ60" s="26">
        <f t="shared" si="115"/>
        <v>2.6844842054413904</v>
      </c>
      <c r="CK60" s="26">
        <f t="shared" si="116"/>
        <v>2.2286425116334221</v>
      </c>
      <c r="CL60" s="26">
        <f t="shared" si="117"/>
        <v>5.9827556220551514</v>
      </c>
      <c r="CM60" s="1"/>
      <c r="CN60" s="22"/>
      <c r="CO60" s="96"/>
      <c r="CP60" s="14"/>
      <c r="CQ60" s="14"/>
      <c r="CR60" s="14"/>
      <c r="CS60" s="14"/>
      <c r="CT60" s="22"/>
      <c r="CU60" s="14"/>
      <c r="CV60" s="22"/>
      <c r="CW60" s="22"/>
      <c r="CX60" s="14"/>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46"/>
      <c r="FF60" s="46"/>
      <c r="FG60" s="46"/>
      <c r="FH60" s="46"/>
      <c r="FI60" s="46"/>
      <c r="FJ60" s="46"/>
      <c r="FK60" s="46"/>
      <c r="FL60" s="46"/>
      <c r="FM60" s="46"/>
      <c r="FN60" s="46"/>
      <c r="FO60" s="46"/>
    </row>
    <row r="61" spans="1:171" x14ac:dyDescent="0.25">
      <c r="A61" s="5" t="s">
        <v>188</v>
      </c>
      <c r="B61" s="1">
        <v>380</v>
      </c>
      <c r="C61" s="98" t="s">
        <v>98</v>
      </c>
      <c r="D61" s="98" t="s">
        <v>106</v>
      </c>
      <c r="E61" s="1">
        <v>50</v>
      </c>
      <c r="F61" s="22">
        <v>52.24</v>
      </c>
      <c r="G61" s="22">
        <v>0.248</v>
      </c>
      <c r="H61" s="22">
        <v>0.94399999999999995</v>
      </c>
      <c r="I61" s="22">
        <v>6.7000000000000004E-2</v>
      </c>
      <c r="J61" s="22">
        <v>20.38</v>
      </c>
      <c r="K61" s="22">
        <v>0.59599999999999997</v>
      </c>
      <c r="L61" s="22">
        <v>22.69</v>
      </c>
      <c r="M61" s="22">
        <v>2.13</v>
      </c>
      <c r="N61" s="22">
        <v>5.3999999999999999E-2</v>
      </c>
      <c r="O61" s="22">
        <v>0</v>
      </c>
      <c r="P61" s="22">
        <v>0</v>
      </c>
      <c r="Q61" s="22"/>
      <c r="R61" s="22"/>
      <c r="S61" s="22">
        <f t="shared" si="59"/>
        <v>99.349000000000004</v>
      </c>
      <c r="T61" s="3"/>
      <c r="U61" s="22">
        <f t="shared" si="60"/>
        <v>18.660649853881647</v>
      </c>
      <c r="V61" s="22">
        <f t="shared" si="61"/>
        <v>1.9107138173813263</v>
      </c>
      <c r="W61" s="22">
        <f t="shared" si="62"/>
        <v>99.540363671262966</v>
      </c>
      <c r="X61" s="1"/>
      <c r="Y61" s="1"/>
      <c r="Z61" s="1"/>
      <c r="AA61" s="1" t="s">
        <v>185</v>
      </c>
      <c r="AC61" s="1">
        <v>6</v>
      </c>
      <c r="AD61" s="1">
        <v>4</v>
      </c>
      <c r="AE61" s="1"/>
      <c r="AF61" s="26">
        <f t="shared" si="63"/>
        <v>1.9552305850127873</v>
      </c>
      <c r="AG61" s="26">
        <f t="shared" si="64"/>
        <v>6.9813331405504438E-3</v>
      </c>
      <c r="AH61" s="26">
        <f t="shared" si="65"/>
        <v>4.1638674982931945E-2</v>
      </c>
      <c r="AI61" s="26">
        <f t="shared" si="66"/>
        <v>1.9825060495756485E-3</v>
      </c>
      <c r="AJ61" s="26">
        <f t="shared" si="67"/>
        <v>0.63782589198065587</v>
      </c>
      <c r="AK61" s="26">
        <f t="shared" si="68"/>
        <v>1.8892081631639693E-2</v>
      </c>
      <c r="AL61" s="26">
        <f t="shared" si="69"/>
        <v>1.2660597077215316</v>
      </c>
      <c r="AM61" s="26">
        <f t="shared" si="70"/>
        <v>8.5407564251463258E-2</v>
      </c>
      <c r="AN61" s="26">
        <f t="shared" si="71"/>
        <v>3.9182931185433312E-3</v>
      </c>
      <c r="AO61" s="26">
        <f t="shared" si="72"/>
        <v>0</v>
      </c>
      <c r="AP61" s="26">
        <f t="shared" si="73"/>
        <v>0</v>
      </c>
      <c r="AQ61" s="26">
        <f t="shared" si="74"/>
        <v>0</v>
      </c>
      <c r="AR61" s="26">
        <f t="shared" si="75"/>
        <v>0</v>
      </c>
      <c r="AS61" s="26">
        <f t="shared" si="76"/>
        <v>4.0179366378896795</v>
      </c>
      <c r="AT61" s="26">
        <f t="shared" si="77"/>
        <v>1.9968692599957194</v>
      </c>
      <c r="AU61" s="26">
        <f t="shared" si="78"/>
        <v>8.9325857370006589E-2</v>
      </c>
      <c r="AV61" s="47"/>
      <c r="AW61" s="26">
        <f t="shared" si="79"/>
        <v>1.9465021589187859</v>
      </c>
      <c r="AX61" s="26">
        <f t="shared" si="80"/>
        <v>6.9501674812046943E-3</v>
      </c>
      <c r="AY61" s="26">
        <f t="shared" si="81"/>
        <v>4.1452794043861887E-2</v>
      </c>
      <c r="AZ61" s="26">
        <f t="shared" si="82"/>
        <v>1.9736558619470016E-3</v>
      </c>
      <c r="BA61" s="26">
        <f t="shared" si="83"/>
        <v>0.58140884831708728</v>
      </c>
      <c r="BB61" s="26">
        <f t="shared" si="84"/>
        <v>5.3569698597637494E-2</v>
      </c>
      <c r="BC61" s="26">
        <f t="shared" si="85"/>
        <v>1.8807744705065618E-2</v>
      </c>
      <c r="BD61" s="26">
        <f t="shared" si="86"/>
        <v>1.2604078379757602</v>
      </c>
      <c r="BE61" s="26">
        <f t="shared" si="87"/>
        <v>8.5026292795220823E-2</v>
      </c>
      <c r="BF61" s="26">
        <f t="shared" si="88"/>
        <v>3.9008013034285346E-3</v>
      </c>
      <c r="BG61" s="26">
        <f t="shared" si="89"/>
        <v>0</v>
      </c>
      <c r="BH61" s="26">
        <f t="shared" si="90"/>
        <v>0</v>
      </c>
      <c r="BI61" s="26">
        <f t="shared" si="91"/>
        <v>0</v>
      </c>
      <c r="BJ61" s="26">
        <f t="shared" si="92"/>
        <v>0</v>
      </c>
      <c r="BK61" s="25">
        <f t="shared" si="93"/>
        <v>3.9999999999999996</v>
      </c>
      <c r="BL61" s="24">
        <f t="shared" si="94"/>
        <v>5.9999999999999982</v>
      </c>
      <c r="BM61" s="26">
        <f t="shared" si="95"/>
        <v>1.9879549529626477</v>
      </c>
      <c r="BN61" s="26">
        <f t="shared" si="96"/>
        <v>8.8927094098649351E-2</v>
      </c>
      <c r="BO61" s="22"/>
      <c r="BP61" s="26">
        <f t="shared" si="97"/>
        <v>0.66498728070613755</v>
      </c>
      <c r="BQ61" s="22"/>
      <c r="BR61" s="22">
        <f t="shared" si="98"/>
        <v>4.2529724007892025E-2</v>
      </c>
      <c r="BS61" s="22">
        <f t="shared" si="99"/>
        <v>0.63044966120769175</v>
      </c>
      <c r="BT61" s="22">
        <f t="shared" si="100"/>
        <v>0.3270206147844163</v>
      </c>
      <c r="BU61" s="1"/>
      <c r="BV61" s="26">
        <f t="shared" si="101"/>
        <v>0.8695073235685753</v>
      </c>
      <c r="BW61" s="26">
        <f t="shared" si="102"/>
        <v>3.1046569854782176E-3</v>
      </c>
      <c r="BX61" s="26">
        <f t="shared" si="103"/>
        <v>1.8517065515888585E-2</v>
      </c>
      <c r="BY61" s="26">
        <f t="shared" si="104"/>
        <v>8.8163694979932891E-4</v>
      </c>
      <c r="BZ61" s="26">
        <f t="shared" si="105"/>
        <v>0.2836464857341684</v>
      </c>
      <c r="CA61" s="26">
        <f t="shared" si="106"/>
        <v>8.4014660276289822E-3</v>
      </c>
      <c r="CB61" s="26">
        <f t="shared" si="107"/>
        <v>0.56302729528535989</v>
      </c>
      <c r="CC61" s="26">
        <f t="shared" si="108"/>
        <v>3.7981455064194009E-2</v>
      </c>
      <c r="CD61" s="26">
        <f t="shared" si="109"/>
        <v>1.7424975798644724E-3</v>
      </c>
      <c r="CE61" s="26">
        <f t="shared" si="110"/>
        <v>0</v>
      </c>
      <c r="CF61" s="26">
        <f t="shared" si="111"/>
        <v>0</v>
      </c>
      <c r="CG61" s="26">
        <f t="shared" si="112"/>
        <v>0</v>
      </c>
      <c r="CH61" s="26">
        <f t="shared" si="113"/>
        <v>0</v>
      </c>
      <c r="CI61" s="26">
        <f t="shared" si="114"/>
        <v>1.7868098827109573</v>
      </c>
      <c r="CJ61" s="26">
        <f t="shared" si="115"/>
        <v>2.6682499657079228</v>
      </c>
      <c r="CK61" s="26">
        <f t="shared" si="116"/>
        <v>2.2386265258009312</v>
      </c>
      <c r="CL61" s="26">
        <f t="shared" si="117"/>
        <v>5.973215150701181</v>
      </c>
      <c r="CM61" s="1"/>
      <c r="CN61" s="22"/>
      <c r="CO61" s="96"/>
      <c r="CP61" s="14"/>
      <c r="CQ61" s="14"/>
      <c r="CR61" s="14"/>
      <c r="CS61" s="14"/>
      <c r="CT61" s="22"/>
      <c r="CU61" s="14"/>
      <c r="CV61" s="22"/>
      <c r="CW61" s="22"/>
      <c r="CX61" s="14"/>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46"/>
      <c r="FF61" s="46"/>
      <c r="FG61" s="46"/>
      <c r="FH61" s="46"/>
      <c r="FI61" s="46"/>
      <c r="FJ61" s="46"/>
      <c r="FK61" s="46"/>
      <c r="FL61" s="46"/>
      <c r="FM61" s="46"/>
      <c r="FN61" s="46"/>
      <c r="FO61" s="46"/>
    </row>
    <row r="62" spans="1:171" x14ac:dyDescent="0.25">
      <c r="A62" s="5" t="s">
        <v>188</v>
      </c>
      <c r="B62" s="1">
        <v>381</v>
      </c>
      <c r="C62" s="98" t="s">
        <v>98</v>
      </c>
      <c r="D62" s="98" t="s">
        <v>106</v>
      </c>
      <c r="E62" s="1">
        <v>51</v>
      </c>
      <c r="F62" s="22">
        <v>52.2</v>
      </c>
      <c r="G62" s="22">
        <v>0.38800000000000001</v>
      </c>
      <c r="H62" s="22">
        <v>1.028</v>
      </c>
      <c r="I62" s="22">
        <v>0</v>
      </c>
      <c r="J62" s="22">
        <v>20.69</v>
      </c>
      <c r="K62" s="22">
        <v>0.57799999999999996</v>
      </c>
      <c r="L62" s="22">
        <v>22.66</v>
      </c>
      <c r="M62" s="22">
        <v>2.0699999999999998</v>
      </c>
      <c r="N62" s="22">
        <v>6.9000000000000006E-2</v>
      </c>
      <c r="O62" s="22">
        <v>0</v>
      </c>
      <c r="P62" s="22">
        <v>0</v>
      </c>
      <c r="Q62" s="22"/>
      <c r="R62" s="22"/>
      <c r="S62" s="22">
        <f t="shared" si="59"/>
        <v>99.682999999999993</v>
      </c>
      <c r="T62" s="3"/>
      <c r="U62" s="22">
        <f t="shared" si="60"/>
        <v>18.817774906986077</v>
      </c>
      <c r="V62" s="22">
        <f t="shared" si="61"/>
        <v>2.0806037458663726</v>
      </c>
      <c r="W62" s="22">
        <f t="shared" si="62"/>
        <v>99.891378652852438</v>
      </c>
      <c r="X62" s="1"/>
      <c r="Y62" s="1"/>
      <c r="Z62" s="1"/>
      <c r="AA62" s="1" t="s">
        <v>185</v>
      </c>
      <c r="AC62" s="1">
        <v>6</v>
      </c>
      <c r="AD62" s="1">
        <v>4</v>
      </c>
      <c r="AE62" s="1"/>
      <c r="AF62" s="26">
        <f t="shared" si="63"/>
        <v>1.9494875904613287</v>
      </c>
      <c r="AG62" s="26">
        <f t="shared" si="64"/>
        <v>1.0898671570753556E-2</v>
      </c>
      <c r="AH62" s="26">
        <f t="shared" si="65"/>
        <v>4.5245269514111279E-2</v>
      </c>
      <c r="AI62" s="26">
        <f t="shared" si="66"/>
        <v>0</v>
      </c>
      <c r="AJ62" s="26">
        <f t="shared" si="67"/>
        <v>0.64612063943838549</v>
      </c>
      <c r="AK62" s="26">
        <f t="shared" si="68"/>
        <v>1.8281698835501212E-2</v>
      </c>
      <c r="AL62" s="26">
        <f t="shared" si="69"/>
        <v>1.261637982894199</v>
      </c>
      <c r="AM62" s="26">
        <f t="shared" si="70"/>
        <v>8.282133688336496E-2</v>
      </c>
      <c r="AN62" s="26">
        <f t="shared" si="71"/>
        <v>4.9958272264376763E-3</v>
      </c>
      <c r="AO62" s="26">
        <f t="shared" si="72"/>
        <v>0</v>
      </c>
      <c r="AP62" s="26">
        <f t="shared" si="73"/>
        <v>0</v>
      </c>
      <c r="AQ62" s="26">
        <f t="shared" si="74"/>
        <v>0</v>
      </c>
      <c r="AR62" s="26">
        <f t="shared" si="75"/>
        <v>0</v>
      </c>
      <c r="AS62" s="26">
        <f t="shared" si="76"/>
        <v>4.0194890168240818</v>
      </c>
      <c r="AT62" s="26">
        <f t="shared" si="77"/>
        <v>1.9947328599754399</v>
      </c>
      <c r="AU62" s="26">
        <f t="shared" si="78"/>
        <v>8.7817164109802642E-2</v>
      </c>
      <c r="AV62" s="47"/>
      <c r="AW62" s="26">
        <f t="shared" si="79"/>
        <v>1.9400352455762422</v>
      </c>
      <c r="AX62" s="26">
        <f t="shared" si="80"/>
        <v>1.0845827939955336E-2</v>
      </c>
      <c r="AY62" s="26">
        <f t="shared" si="81"/>
        <v>4.5025891922810542E-2</v>
      </c>
      <c r="AZ62" s="26">
        <f t="shared" si="82"/>
        <v>0</v>
      </c>
      <c r="BA62" s="26">
        <f t="shared" si="83"/>
        <v>0.58480427388301537</v>
      </c>
      <c r="BB62" s="26">
        <f t="shared" si="84"/>
        <v>5.8183565351241029E-2</v>
      </c>
      <c r="BC62" s="26">
        <f t="shared" si="85"/>
        <v>1.8193057633923957E-2</v>
      </c>
      <c r="BD62" s="26">
        <f t="shared" si="86"/>
        <v>1.2555207665585881</v>
      </c>
      <c r="BE62" s="26">
        <f t="shared" si="87"/>
        <v>8.2419766827779101E-2</v>
      </c>
      <c r="BF62" s="26">
        <f t="shared" si="88"/>
        <v>4.9716043064449312E-3</v>
      </c>
      <c r="BG62" s="26">
        <f t="shared" si="89"/>
        <v>0</v>
      </c>
      <c r="BH62" s="26">
        <f t="shared" si="90"/>
        <v>0</v>
      </c>
      <c r="BI62" s="26">
        <f t="shared" si="91"/>
        <v>0</v>
      </c>
      <c r="BJ62" s="26">
        <f t="shared" si="92"/>
        <v>0</v>
      </c>
      <c r="BK62" s="25">
        <f t="shared" si="93"/>
        <v>4.0000000000000009</v>
      </c>
      <c r="BL62" s="24">
        <f t="shared" si="94"/>
        <v>6</v>
      </c>
      <c r="BM62" s="26">
        <f t="shared" si="95"/>
        <v>1.9850611374990528</v>
      </c>
      <c r="BN62" s="26">
        <f t="shared" si="96"/>
        <v>8.739137113422403E-2</v>
      </c>
      <c r="BO62" s="22"/>
      <c r="BP62" s="26">
        <f t="shared" si="97"/>
        <v>0.66131950243873905</v>
      </c>
      <c r="BQ62" s="22"/>
      <c r="BR62" s="22">
        <f t="shared" si="98"/>
        <v>4.1227994248095583E-2</v>
      </c>
      <c r="BS62" s="22">
        <f t="shared" si="99"/>
        <v>0.62803627011227769</v>
      </c>
      <c r="BT62" s="22">
        <f t="shared" si="100"/>
        <v>0.33073573563962666</v>
      </c>
      <c r="BU62" s="1"/>
      <c r="BV62" s="26">
        <f t="shared" si="101"/>
        <v>0.86884154460719043</v>
      </c>
      <c r="BW62" s="26">
        <f t="shared" si="102"/>
        <v>4.8572859288933401E-3</v>
      </c>
      <c r="BX62" s="26">
        <f t="shared" si="103"/>
        <v>2.0164770498234605E-2</v>
      </c>
      <c r="BY62" s="26">
        <f t="shared" si="104"/>
        <v>0</v>
      </c>
      <c r="BZ62" s="26">
        <f t="shared" si="105"/>
        <v>0.28796102992345168</v>
      </c>
      <c r="CA62" s="26">
        <f t="shared" si="106"/>
        <v>8.1477304764589788E-3</v>
      </c>
      <c r="CB62" s="26">
        <f t="shared" si="107"/>
        <v>0.56228287841191071</v>
      </c>
      <c r="CC62" s="26">
        <f t="shared" si="108"/>
        <v>3.6911554921540655E-2</v>
      </c>
      <c r="CD62" s="26">
        <f t="shared" si="109"/>
        <v>2.2265246853823816E-3</v>
      </c>
      <c r="CE62" s="26">
        <f t="shared" si="110"/>
        <v>0</v>
      </c>
      <c r="CF62" s="26">
        <f t="shared" si="111"/>
        <v>0</v>
      </c>
      <c r="CG62" s="26">
        <f t="shared" si="112"/>
        <v>0</v>
      </c>
      <c r="CH62" s="26">
        <f t="shared" si="113"/>
        <v>0</v>
      </c>
      <c r="CI62" s="26">
        <f t="shared" si="114"/>
        <v>1.7913933194530627</v>
      </c>
      <c r="CJ62" s="26">
        <f t="shared" si="115"/>
        <v>2.6740612728955724</v>
      </c>
      <c r="CK62" s="26">
        <f t="shared" si="116"/>
        <v>2.2328988037207016</v>
      </c>
      <c r="CL62" s="26">
        <f t="shared" si="117"/>
        <v>5.9709082173243804</v>
      </c>
      <c r="CM62" s="1"/>
      <c r="CN62" s="22"/>
      <c r="CO62" s="96"/>
      <c r="CP62" s="14"/>
      <c r="CQ62" s="14"/>
      <c r="CR62" s="14"/>
      <c r="CS62" s="14"/>
      <c r="CT62" s="22"/>
      <c r="CU62" s="14"/>
      <c r="CV62" s="22"/>
      <c r="CW62" s="22"/>
      <c r="CX62" s="14"/>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46"/>
      <c r="FF62" s="46"/>
      <c r="FG62" s="46"/>
      <c r="FH62" s="46"/>
      <c r="FI62" s="46"/>
      <c r="FJ62" s="46"/>
      <c r="FK62" s="46"/>
      <c r="FL62" s="46"/>
      <c r="FM62" s="46"/>
      <c r="FN62" s="46"/>
      <c r="FO62" s="46"/>
    </row>
    <row r="63" spans="1:171" x14ac:dyDescent="0.25">
      <c r="A63" s="5" t="s">
        <v>188</v>
      </c>
      <c r="B63" s="1">
        <v>382</v>
      </c>
      <c r="C63" s="98" t="s">
        <v>98</v>
      </c>
      <c r="D63" s="98" t="s">
        <v>106</v>
      </c>
      <c r="E63" s="1">
        <v>52</v>
      </c>
      <c r="F63" s="22">
        <v>50.75</v>
      </c>
      <c r="G63" s="22">
        <v>0.21</v>
      </c>
      <c r="H63" s="22">
        <v>0.44500000000000001</v>
      </c>
      <c r="I63" s="22">
        <v>0</v>
      </c>
      <c r="J63" s="22">
        <v>27.39</v>
      </c>
      <c r="K63" s="22">
        <v>0.93799999999999994</v>
      </c>
      <c r="L63" s="22">
        <v>15.08</v>
      </c>
      <c r="M63" s="22">
        <v>4.53</v>
      </c>
      <c r="N63" s="22">
        <v>7.6999999999999999E-2</v>
      </c>
      <c r="O63" s="22">
        <v>1.4999999999999999E-2</v>
      </c>
      <c r="P63" s="22">
        <v>0</v>
      </c>
      <c r="Q63" s="22"/>
      <c r="R63" s="22"/>
      <c r="S63" s="22">
        <f t="shared" si="59"/>
        <v>99.435000000000002</v>
      </c>
      <c r="T63" s="3"/>
      <c r="U63" s="22">
        <f t="shared" si="60"/>
        <v>26.838580452698874</v>
      </c>
      <c r="V63" s="22">
        <f t="shared" si="61"/>
        <v>0.61279254291574081</v>
      </c>
      <c r="W63" s="22">
        <f t="shared" si="62"/>
        <v>99.496372995614621</v>
      </c>
      <c r="X63" s="1"/>
      <c r="Y63" s="1"/>
      <c r="Z63" s="1"/>
      <c r="AA63" s="1" t="s">
        <v>185</v>
      </c>
      <c r="AC63" s="1">
        <v>6</v>
      </c>
      <c r="AD63" s="1">
        <v>4</v>
      </c>
      <c r="AE63" s="1"/>
      <c r="AF63" s="26">
        <f t="shared" si="63"/>
        <v>1.9808877098595032</v>
      </c>
      <c r="AG63" s="26">
        <f t="shared" si="64"/>
        <v>6.1650268648675921E-3</v>
      </c>
      <c r="AH63" s="26">
        <f t="shared" si="65"/>
        <v>2.0469814862476635E-2</v>
      </c>
      <c r="AI63" s="26">
        <f t="shared" si="66"/>
        <v>0</v>
      </c>
      <c r="AJ63" s="26">
        <f t="shared" si="67"/>
        <v>0.89396186870785188</v>
      </c>
      <c r="AK63" s="26">
        <f t="shared" si="68"/>
        <v>3.1007402668637121E-2</v>
      </c>
      <c r="AL63" s="26">
        <f t="shared" si="69"/>
        <v>0.87750586992338409</v>
      </c>
      <c r="AM63" s="26">
        <f t="shared" si="70"/>
        <v>0.18942789443858041</v>
      </c>
      <c r="AN63" s="26">
        <f t="shared" si="71"/>
        <v>5.8267030285273271E-3</v>
      </c>
      <c r="AO63" s="26">
        <f t="shared" si="72"/>
        <v>7.4683400965365975E-4</v>
      </c>
      <c r="AP63" s="26">
        <f t="shared" si="73"/>
        <v>0</v>
      </c>
      <c r="AQ63" s="26">
        <f t="shared" si="74"/>
        <v>0</v>
      </c>
      <c r="AR63" s="26">
        <f t="shared" si="75"/>
        <v>0</v>
      </c>
      <c r="AS63" s="26">
        <f t="shared" si="76"/>
        <v>4.0059991243634823</v>
      </c>
      <c r="AT63" s="26">
        <f t="shared" si="77"/>
        <v>2.0013575247219797</v>
      </c>
      <c r="AU63" s="26">
        <f t="shared" si="78"/>
        <v>0.19600143147676141</v>
      </c>
      <c r="AV63" s="47"/>
      <c r="AW63" s="26">
        <f t="shared" si="79"/>
        <v>1.9779212609530952</v>
      </c>
      <c r="AX63" s="26">
        <f t="shared" si="80"/>
        <v>6.1557945206462423E-3</v>
      </c>
      <c r="AY63" s="26">
        <f t="shared" si="81"/>
        <v>2.0439160595901635E-2</v>
      </c>
      <c r="AZ63" s="26">
        <f t="shared" si="82"/>
        <v>0</v>
      </c>
      <c r="BA63" s="26">
        <f t="shared" si="83"/>
        <v>0.87465270802483031</v>
      </c>
      <c r="BB63" s="26">
        <f t="shared" si="84"/>
        <v>1.7970421392248248E-2</v>
      </c>
      <c r="BC63" s="26">
        <f t="shared" si="85"/>
        <v>3.0960967994284244E-2</v>
      </c>
      <c r="BD63" s="26">
        <f t="shared" si="86"/>
        <v>0.87619177406865956</v>
      </c>
      <c r="BE63" s="26">
        <f t="shared" si="87"/>
        <v>0.18914421951470478</v>
      </c>
      <c r="BF63" s="26">
        <f t="shared" si="88"/>
        <v>5.817977336131484E-3</v>
      </c>
      <c r="BG63" s="26">
        <f t="shared" si="89"/>
        <v>7.4571559949836489E-4</v>
      </c>
      <c r="BH63" s="26">
        <f t="shared" si="90"/>
        <v>0</v>
      </c>
      <c r="BI63" s="26">
        <f t="shared" si="91"/>
        <v>0</v>
      </c>
      <c r="BJ63" s="26">
        <f t="shared" si="92"/>
        <v>0</v>
      </c>
      <c r="BK63" s="25">
        <f t="shared" si="93"/>
        <v>4</v>
      </c>
      <c r="BL63" s="24">
        <f t="shared" si="94"/>
        <v>6.0000000000000018</v>
      </c>
      <c r="BM63" s="26">
        <f t="shared" si="95"/>
        <v>1.9983604215489967</v>
      </c>
      <c r="BN63" s="26">
        <f t="shared" si="96"/>
        <v>0.19570791245033464</v>
      </c>
      <c r="BO63" s="22"/>
      <c r="BP63" s="26">
        <f t="shared" si="97"/>
        <v>0.49535526433092625</v>
      </c>
      <c r="BQ63" s="22"/>
      <c r="BR63" s="22">
        <f t="shared" si="98"/>
        <v>9.5098953633731595E-2</v>
      </c>
      <c r="BS63" s="22">
        <f t="shared" si="99"/>
        <v>0.44053643886238086</v>
      </c>
      <c r="BT63" s="22">
        <f t="shared" si="100"/>
        <v>0.46436460750388758</v>
      </c>
      <c r="BU63" s="1"/>
      <c r="BV63" s="26">
        <f t="shared" si="101"/>
        <v>0.84470705725699069</v>
      </c>
      <c r="BW63" s="26">
        <f t="shared" si="102"/>
        <v>2.628943415122684E-3</v>
      </c>
      <c r="BX63" s="26">
        <f t="shared" si="103"/>
        <v>8.7289132993330718E-3</v>
      </c>
      <c r="BY63" s="26">
        <f t="shared" si="104"/>
        <v>0</v>
      </c>
      <c r="BZ63" s="26">
        <f t="shared" si="105"/>
        <v>0.38121085594989568</v>
      </c>
      <c r="CA63" s="26">
        <f t="shared" si="106"/>
        <v>1.3222441499859036E-2</v>
      </c>
      <c r="CB63" s="26">
        <f t="shared" si="107"/>
        <v>0.37419354838709679</v>
      </c>
      <c r="CC63" s="26">
        <f t="shared" si="108"/>
        <v>8.0777460770328116E-2</v>
      </c>
      <c r="CD63" s="26">
        <f t="shared" si="109"/>
        <v>2.4846724749919328E-3</v>
      </c>
      <c r="CE63" s="26">
        <f t="shared" si="110"/>
        <v>3.1847133757961782E-4</v>
      </c>
      <c r="CF63" s="26">
        <f t="shared" si="111"/>
        <v>0</v>
      </c>
      <c r="CG63" s="26">
        <f t="shared" si="112"/>
        <v>0</v>
      </c>
      <c r="CH63" s="26">
        <f t="shared" si="113"/>
        <v>0</v>
      </c>
      <c r="CI63" s="26">
        <f t="shared" si="114"/>
        <v>1.7082723643911977</v>
      </c>
      <c r="CJ63" s="26">
        <f t="shared" si="115"/>
        <v>2.5585712498066915</v>
      </c>
      <c r="CK63" s="26">
        <f t="shared" si="116"/>
        <v>2.341546982424866</v>
      </c>
      <c r="CL63" s="26">
        <f t="shared" si="117"/>
        <v>5.9910147893038763</v>
      </c>
      <c r="CM63" s="1"/>
      <c r="CN63" s="22"/>
      <c r="CO63" s="96"/>
      <c r="CP63" s="14"/>
      <c r="CQ63" s="14"/>
      <c r="CR63" s="14"/>
      <c r="CS63" s="14"/>
      <c r="CT63" s="22"/>
      <c r="CU63" s="14"/>
      <c r="CV63" s="22"/>
      <c r="CW63" s="22"/>
      <c r="CX63" s="14"/>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46"/>
      <c r="FF63" s="46"/>
      <c r="FG63" s="46"/>
      <c r="FH63" s="46"/>
      <c r="FI63" s="46"/>
      <c r="FJ63" s="46"/>
      <c r="FK63" s="46"/>
      <c r="FL63" s="46"/>
      <c r="FM63" s="46"/>
      <c r="FN63" s="46"/>
      <c r="FO63" s="46"/>
    </row>
    <row r="64" spans="1:171" x14ac:dyDescent="0.25">
      <c r="A64" s="5" t="s">
        <v>188</v>
      </c>
      <c r="B64" s="1">
        <v>384</v>
      </c>
      <c r="C64" s="98" t="s">
        <v>98</v>
      </c>
      <c r="D64" s="98" t="s">
        <v>106</v>
      </c>
      <c r="E64" s="1">
        <v>54</v>
      </c>
      <c r="F64" s="22">
        <v>52.54</v>
      </c>
      <c r="G64" s="22">
        <v>0.372</v>
      </c>
      <c r="H64" s="22">
        <v>1.1220000000000001</v>
      </c>
      <c r="I64" s="22">
        <v>1.9E-2</v>
      </c>
      <c r="J64" s="22">
        <v>19.920000000000002</v>
      </c>
      <c r="K64" s="22">
        <v>0.52500000000000002</v>
      </c>
      <c r="L64" s="22">
        <v>22.97</v>
      </c>
      <c r="M64" s="22">
        <v>1.99</v>
      </c>
      <c r="N64" s="22">
        <v>1.6E-2</v>
      </c>
      <c r="O64" s="22">
        <v>0</v>
      </c>
      <c r="P64" s="22">
        <v>0</v>
      </c>
      <c r="Q64" s="22"/>
      <c r="R64" s="22"/>
      <c r="S64" s="22">
        <f t="shared" si="59"/>
        <v>99.474000000000004</v>
      </c>
      <c r="T64" s="3"/>
      <c r="U64" s="22">
        <f t="shared" si="60"/>
        <v>19.059235094639259</v>
      </c>
      <c r="V64" s="22">
        <f t="shared" si="61"/>
        <v>0.95656803932739409</v>
      </c>
      <c r="W64" s="22">
        <f t="shared" si="62"/>
        <v>99.569803133966644</v>
      </c>
      <c r="X64" s="1"/>
      <c r="Y64" s="1"/>
      <c r="Z64" s="1"/>
      <c r="AA64" s="1" t="s">
        <v>185</v>
      </c>
      <c r="AC64" s="1">
        <v>6</v>
      </c>
      <c r="AD64" s="1">
        <v>4</v>
      </c>
      <c r="AE64" s="1"/>
      <c r="AF64" s="26">
        <f t="shared" si="63"/>
        <v>1.9563288156060488</v>
      </c>
      <c r="AG64" s="26">
        <f t="shared" si="64"/>
        <v>1.0418053686420249E-2</v>
      </c>
      <c r="AH64" s="26">
        <f t="shared" si="65"/>
        <v>4.9235089669612264E-2</v>
      </c>
      <c r="AI64" s="26">
        <f t="shared" si="66"/>
        <v>5.5930704414458988E-4</v>
      </c>
      <c r="AJ64" s="26">
        <f t="shared" si="67"/>
        <v>0.62021786125318179</v>
      </c>
      <c r="AK64" s="26">
        <f t="shared" si="68"/>
        <v>1.6555786862417658E-2</v>
      </c>
      <c r="AL64" s="26">
        <f t="shared" si="69"/>
        <v>1.2750806538984898</v>
      </c>
      <c r="AM64" s="26">
        <f t="shared" si="70"/>
        <v>7.9382866817458653E-2</v>
      </c>
      <c r="AN64" s="26">
        <f t="shared" si="71"/>
        <v>1.1549950257575276E-3</v>
      </c>
      <c r="AO64" s="26">
        <f t="shared" si="72"/>
        <v>0</v>
      </c>
      <c r="AP64" s="26">
        <f t="shared" si="73"/>
        <v>0</v>
      </c>
      <c r="AQ64" s="26">
        <f t="shared" si="74"/>
        <v>0</v>
      </c>
      <c r="AR64" s="26">
        <f t="shared" si="75"/>
        <v>0</v>
      </c>
      <c r="AS64" s="26">
        <f t="shared" si="76"/>
        <v>4.0089334298635313</v>
      </c>
      <c r="AT64" s="26">
        <f t="shared" si="77"/>
        <v>2.0055639052756611</v>
      </c>
      <c r="AU64" s="26">
        <f t="shared" si="78"/>
        <v>8.053786184321618E-2</v>
      </c>
      <c r="AV64" s="47"/>
      <c r="AW64" s="26">
        <f t="shared" si="79"/>
        <v>1.9519693702398488</v>
      </c>
      <c r="AX64" s="26">
        <f t="shared" si="80"/>
        <v>1.0394838296703662E-2</v>
      </c>
      <c r="AY64" s="26">
        <f t="shared" si="81"/>
        <v>4.9125375146265061E-2</v>
      </c>
      <c r="AZ64" s="26">
        <f t="shared" si="82"/>
        <v>5.5806069512471732E-4</v>
      </c>
      <c r="BA64" s="26">
        <f t="shared" si="83"/>
        <v>0.59209521140169008</v>
      </c>
      <c r="BB64" s="26">
        <f t="shared" si="84"/>
        <v>2.6740568342644266E-2</v>
      </c>
      <c r="BC64" s="26">
        <f t="shared" si="85"/>
        <v>1.6518894266579265E-2</v>
      </c>
      <c r="BD64" s="26">
        <f t="shared" si="86"/>
        <v>1.2722392887844935</v>
      </c>
      <c r="BE64" s="26">
        <f t="shared" si="87"/>
        <v>7.9205971569511383E-2</v>
      </c>
      <c r="BF64" s="26">
        <f t="shared" si="88"/>
        <v>1.1524212571390542E-3</v>
      </c>
      <c r="BG64" s="26">
        <f t="shared" si="89"/>
        <v>0</v>
      </c>
      <c r="BH64" s="26">
        <f t="shared" si="90"/>
        <v>0</v>
      </c>
      <c r="BI64" s="26">
        <f t="shared" si="91"/>
        <v>0</v>
      </c>
      <c r="BJ64" s="26">
        <f t="shared" si="92"/>
        <v>0</v>
      </c>
      <c r="BK64" s="25">
        <f t="shared" si="93"/>
        <v>4</v>
      </c>
      <c r="BL64" s="24">
        <f t="shared" si="94"/>
        <v>6</v>
      </c>
      <c r="BM64" s="26">
        <f t="shared" si="95"/>
        <v>2.0010947453861139</v>
      </c>
      <c r="BN64" s="26">
        <f t="shared" si="96"/>
        <v>8.0358392826650443E-2</v>
      </c>
      <c r="BO64" s="22"/>
      <c r="BP64" s="26">
        <f t="shared" si="97"/>
        <v>0.67275980206023178</v>
      </c>
      <c r="BQ64" s="22"/>
      <c r="BR64" s="22">
        <f t="shared" si="98"/>
        <v>3.9866103375340411E-2</v>
      </c>
      <c r="BS64" s="22">
        <f t="shared" si="99"/>
        <v>0.64034594866803507</v>
      </c>
      <c r="BT64" s="22">
        <f t="shared" si="100"/>
        <v>0.31978794795662452</v>
      </c>
      <c r="BU64" s="1"/>
      <c r="BV64" s="26">
        <f t="shared" si="101"/>
        <v>0.87450066577896135</v>
      </c>
      <c r="BW64" s="26">
        <f t="shared" si="102"/>
        <v>4.6569854782173266E-3</v>
      </c>
      <c r="BX64" s="26">
        <f t="shared" si="103"/>
        <v>2.2008630835621816E-2</v>
      </c>
      <c r="BY64" s="26">
        <f t="shared" si="104"/>
        <v>2.5001644845055592E-4</v>
      </c>
      <c r="BZ64" s="26">
        <f t="shared" si="105"/>
        <v>0.27724425887265142</v>
      </c>
      <c r="CA64" s="26">
        <f t="shared" si="106"/>
        <v>7.4006202424584163E-3</v>
      </c>
      <c r="CB64" s="26">
        <f t="shared" si="107"/>
        <v>0.56997518610421838</v>
      </c>
      <c r="CC64" s="26">
        <f t="shared" si="108"/>
        <v>3.5485021398002851E-2</v>
      </c>
      <c r="CD64" s="26">
        <f t="shared" si="109"/>
        <v>5.1629557921910297E-4</v>
      </c>
      <c r="CE64" s="26">
        <f t="shared" si="110"/>
        <v>0</v>
      </c>
      <c r="CF64" s="26">
        <f t="shared" si="111"/>
        <v>0</v>
      </c>
      <c r="CG64" s="26">
        <f t="shared" si="112"/>
        <v>0</v>
      </c>
      <c r="CH64" s="26">
        <f t="shared" si="113"/>
        <v>0</v>
      </c>
      <c r="CI64" s="26">
        <f t="shared" si="114"/>
        <v>1.7920376807378011</v>
      </c>
      <c r="CJ64" s="26">
        <f t="shared" si="115"/>
        <v>2.6820665078474066</v>
      </c>
      <c r="CK64" s="26">
        <f t="shared" si="116"/>
        <v>2.2320959224212054</v>
      </c>
      <c r="CL64" s="26">
        <f t="shared" si="117"/>
        <v>5.9866297158286779</v>
      </c>
      <c r="CM64" s="1"/>
      <c r="CN64" s="22"/>
      <c r="CO64" s="96"/>
      <c r="CP64" s="14"/>
      <c r="CQ64" s="14"/>
      <c r="CR64" s="14"/>
      <c r="CS64" s="14"/>
      <c r="CT64" s="22"/>
      <c r="CU64" s="14"/>
      <c r="CV64" s="22"/>
      <c r="CW64" s="22"/>
      <c r="CX64" s="14"/>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46"/>
      <c r="FF64" s="46"/>
      <c r="FG64" s="46"/>
      <c r="FH64" s="46"/>
      <c r="FI64" s="46"/>
      <c r="FJ64" s="46"/>
      <c r="FK64" s="46"/>
      <c r="FL64" s="46"/>
      <c r="FM64" s="46"/>
      <c r="FN64" s="46"/>
      <c r="FO64" s="46"/>
    </row>
    <row r="65" spans="1:171" x14ac:dyDescent="0.25">
      <c r="A65" s="5" t="s">
        <v>188</v>
      </c>
      <c r="B65" s="1">
        <v>387</v>
      </c>
      <c r="C65" s="98" t="s">
        <v>98</v>
      </c>
      <c r="D65" s="98" t="s">
        <v>106</v>
      </c>
      <c r="E65" s="1">
        <v>57</v>
      </c>
      <c r="F65" s="22">
        <v>52.32</v>
      </c>
      <c r="G65" s="22">
        <v>0.47799999999999998</v>
      </c>
      <c r="H65" s="22">
        <v>1.048</v>
      </c>
      <c r="I65" s="22">
        <v>0</v>
      </c>
      <c r="J65" s="22">
        <v>20.149999999999999</v>
      </c>
      <c r="K65" s="22">
        <v>0.55700000000000005</v>
      </c>
      <c r="L65" s="22">
        <v>22.91</v>
      </c>
      <c r="M65" s="22">
        <v>2</v>
      </c>
      <c r="N65" s="22">
        <v>4.3999999999999997E-2</v>
      </c>
      <c r="O65" s="22">
        <v>0</v>
      </c>
      <c r="P65" s="22">
        <v>0</v>
      </c>
      <c r="Q65" s="22"/>
      <c r="R65" s="22"/>
      <c r="S65" s="22">
        <f t="shared" si="59"/>
        <v>99.507000000000005</v>
      </c>
      <c r="T65" s="3"/>
      <c r="U65" s="22">
        <f t="shared" si="60"/>
        <v>18.823394891959801</v>
      </c>
      <c r="V65" s="22">
        <f t="shared" si="61"/>
        <v>1.4742562565650723</v>
      </c>
      <c r="W65" s="22">
        <f t="shared" si="62"/>
        <v>99.654651148524877</v>
      </c>
      <c r="X65" s="1"/>
      <c r="Y65" s="1"/>
      <c r="Z65" s="1"/>
      <c r="AA65" s="1" t="s">
        <v>185</v>
      </c>
      <c r="AC65" s="1">
        <v>6</v>
      </c>
      <c r="AD65" s="1">
        <v>4</v>
      </c>
      <c r="AE65" s="1"/>
      <c r="AF65" s="26">
        <f t="shared" si="63"/>
        <v>1.9513590957364435</v>
      </c>
      <c r="AG65" s="26">
        <f t="shared" si="64"/>
        <v>1.3408778792601689E-2</v>
      </c>
      <c r="AH65" s="26">
        <f t="shared" si="65"/>
        <v>4.6063914060595103E-2</v>
      </c>
      <c r="AI65" s="26">
        <f t="shared" si="66"/>
        <v>0</v>
      </c>
      <c r="AJ65" s="26">
        <f t="shared" si="67"/>
        <v>0.62841662187185099</v>
      </c>
      <c r="AK65" s="26">
        <f t="shared" si="68"/>
        <v>1.759395175791888E-2</v>
      </c>
      <c r="AL65" s="26">
        <f t="shared" si="69"/>
        <v>1.2738533361931828</v>
      </c>
      <c r="AM65" s="26">
        <f t="shared" si="70"/>
        <v>7.9913725308213529E-2</v>
      </c>
      <c r="AN65" s="26">
        <f t="shared" si="71"/>
        <v>3.1814894396986616E-3</v>
      </c>
      <c r="AO65" s="26">
        <f t="shared" si="72"/>
        <v>0</v>
      </c>
      <c r="AP65" s="26">
        <f t="shared" si="73"/>
        <v>0</v>
      </c>
      <c r="AQ65" s="26">
        <f t="shared" si="74"/>
        <v>0</v>
      </c>
      <c r="AR65" s="26">
        <f t="shared" si="75"/>
        <v>0</v>
      </c>
      <c r="AS65" s="26">
        <f t="shared" si="76"/>
        <v>4.0137909131605056</v>
      </c>
      <c r="AT65" s="26">
        <f t="shared" si="77"/>
        <v>1.9974230097970387</v>
      </c>
      <c r="AU65" s="26">
        <f t="shared" si="78"/>
        <v>8.3095214747912191E-2</v>
      </c>
      <c r="AV65" s="47"/>
      <c r="AW65" s="26">
        <f t="shared" si="79"/>
        <v>1.9446544555555045</v>
      </c>
      <c r="AX65" s="26">
        <f t="shared" si="80"/>
        <v>1.3362707806863274E-2</v>
      </c>
      <c r="AY65" s="26">
        <f t="shared" si="81"/>
        <v>4.5905643873535851E-2</v>
      </c>
      <c r="AZ65" s="26">
        <f t="shared" si="82"/>
        <v>0</v>
      </c>
      <c r="BA65" s="26">
        <f t="shared" si="83"/>
        <v>0.58502686870461729</v>
      </c>
      <c r="BB65" s="26">
        <f t="shared" si="84"/>
        <v>4.1230587618167114E-2</v>
      </c>
      <c r="BC65" s="26">
        <f t="shared" si="85"/>
        <v>1.7533501010460157E-2</v>
      </c>
      <c r="BD65" s="26">
        <f t="shared" si="86"/>
        <v>1.2694765260606322</v>
      </c>
      <c r="BE65" s="26">
        <f t="shared" si="87"/>
        <v>7.9639151153778995E-2</v>
      </c>
      <c r="BF65" s="26">
        <f t="shared" si="88"/>
        <v>3.1705582164403478E-3</v>
      </c>
      <c r="BG65" s="26">
        <f t="shared" si="89"/>
        <v>0</v>
      </c>
      <c r="BH65" s="26">
        <f t="shared" si="90"/>
        <v>0</v>
      </c>
      <c r="BI65" s="26">
        <f t="shared" si="91"/>
        <v>0</v>
      </c>
      <c r="BJ65" s="26">
        <f t="shared" si="92"/>
        <v>0</v>
      </c>
      <c r="BK65" s="25">
        <f t="shared" si="93"/>
        <v>4</v>
      </c>
      <c r="BL65" s="24">
        <f t="shared" si="94"/>
        <v>5.9999999999999991</v>
      </c>
      <c r="BM65" s="26">
        <f t="shared" si="95"/>
        <v>1.9905600994290404</v>
      </c>
      <c r="BN65" s="26">
        <f t="shared" si="96"/>
        <v>8.2809709370219337E-2</v>
      </c>
      <c r="BO65" s="22"/>
      <c r="BP65" s="26">
        <f t="shared" si="97"/>
        <v>0.66964908465932516</v>
      </c>
      <c r="BQ65" s="22"/>
      <c r="BR65" s="22">
        <f t="shared" si="98"/>
        <v>3.9961305649351332E-2</v>
      </c>
      <c r="BS65" s="22">
        <f t="shared" si="99"/>
        <v>0.63699749102836134</v>
      </c>
      <c r="BT65" s="22">
        <f t="shared" si="100"/>
        <v>0.32304120332228725</v>
      </c>
      <c r="BU65" s="1"/>
      <c r="BV65" s="26">
        <f t="shared" si="101"/>
        <v>0.87083888149134492</v>
      </c>
      <c r="BW65" s="26">
        <f t="shared" si="102"/>
        <v>5.9839759639459186E-3</v>
      </c>
      <c r="BX65" s="26">
        <f t="shared" si="103"/>
        <v>2.055708120831699E-2</v>
      </c>
      <c r="BY65" s="26">
        <f t="shared" si="104"/>
        <v>0</v>
      </c>
      <c r="BZ65" s="26">
        <f t="shared" si="105"/>
        <v>0.28044537230340988</v>
      </c>
      <c r="CA65" s="26">
        <f t="shared" si="106"/>
        <v>7.8517056667606437E-3</v>
      </c>
      <c r="CB65" s="26">
        <f t="shared" si="107"/>
        <v>0.56848635235732015</v>
      </c>
      <c r="CC65" s="26">
        <f t="shared" si="108"/>
        <v>3.566333808844508E-2</v>
      </c>
      <c r="CD65" s="26">
        <f t="shared" si="109"/>
        <v>1.4198128428525331E-3</v>
      </c>
      <c r="CE65" s="26">
        <f t="shared" si="110"/>
        <v>0</v>
      </c>
      <c r="CF65" s="26">
        <f t="shared" si="111"/>
        <v>0</v>
      </c>
      <c r="CG65" s="26">
        <f t="shared" si="112"/>
        <v>0</v>
      </c>
      <c r="CH65" s="26">
        <f t="shared" si="113"/>
        <v>0</v>
      </c>
      <c r="CI65" s="26">
        <f t="shared" si="114"/>
        <v>1.7912465199223964</v>
      </c>
      <c r="CJ65" s="26">
        <f t="shared" si="115"/>
        <v>2.6776380115604197</v>
      </c>
      <c r="CK65" s="26">
        <f t="shared" si="116"/>
        <v>2.2330817983519631</v>
      </c>
      <c r="CL65" s="26">
        <f t="shared" si="117"/>
        <v>5.9793847061909169</v>
      </c>
      <c r="CM65" s="1"/>
      <c r="CN65" s="22"/>
      <c r="CO65" s="96"/>
      <c r="CP65" s="14"/>
      <c r="CQ65" s="14"/>
      <c r="CR65" s="14"/>
      <c r="CS65" s="14"/>
      <c r="CT65" s="22"/>
      <c r="CU65" s="14"/>
      <c r="CV65" s="22"/>
      <c r="CW65" s="22"/>
      <c r="CX65" s="14"/>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46"/>
      <c r="FF65" s="46"/>
      <c r="FG65" s="46"/>
      <c r="FH65" s="46"/>
      <c r="FI65" s="46"/>
      <c r="FJ65" s="46"/>
      <c r="FK65" s="46"/>
      <c r="FL65" s="46"/>
      <c r="FM65" s="46"/>
      <c r="FN65" s="46"/>
      <c r="FO65" s="46"/>
    </row>
    <row r="66" spans="1:171" x14ac:dyDescent="0.25">
      <c r="A66" s="5" t="s">
        <v>188</v>
      </c>
      <c r="B66" s="1">
        <v>388</v>
      </c>
      <c r="C66" s="98" t="s">
        <v>98</v>
      </c>
      <c r="D66" s="98" t="s">
        <v>106</v>
      </c>
      <c r="E66" s="1">
        <v>58</v>
      </c>
      <c r="F66" s="22">
        <v>51.89</v>
      </c>
      <c r="G66" s="22">
        <v>0.35599999999999998</v>
      </c>
      <c r="H66" s="22">
        <v>1.169</v>
      </c>
      <c r="I66" s="22">
        <v>2.5999999999999999E-2</v>
      </c>
      <c r="J66" s="22">
        <v>19.88</v>
      </c>
      <c r="K66" s="22">
        <v>0.51300000000000001</v>
      </c>
      <c r="L66" s="22">
        <v>23.17</v>
      </c>
      <c r="M66" s="22">
        <v>2.0299999999999998</v>
      </c>
      <c r="N66" s="22">
        <v>5.1999999999999998E-2</v>
      </c>
      <c r="O66" s="22">
        <v>0.01</v>
      </c>
      <c r="P66" s="22">
        <v>0</v>
      </c>
      <c r="Q66" s="22"/>
      <c r="R66" s="22"/>
      <c r="S66" s="22">
        <f t="shared" ref="S66:S97" si="118">SUM(F66:R66)</f>
        <v>99.096000000000018</v>
      </c>
      <c r="T66" s="3"/>
      <c r="U66" s="22">
        <f t="shared" ref="U66:U97" si="119">J66*BA66/(BA66+BB66)</f>
        <v>17.674394170050963</v>
      </c>
      <c r="V66" s="22">
        <f t="shared" ref="V66:V97" si="120">1.1113*J66*BB66/(BA66+BB66)</f>
        <v>2.4510897588223615</v>
      </c>
      <c r="W66" s="22">
        <f t="shared" ref="W66:W97" si="121">SUM(F66:I66)+SUM(K66:R66)+SUM(U66:V66)</f>
        <v>99.34148392887333</v>
      </c>
      <c r="X66" s="1"/>
      <c r="Y66" s="1"/>
      <c r="Z66" s="1"/>
      <c r="AA66" s="1" t="s">
        <v>185</v>
      </c>
      <c r="AC66" s="1">
        <v>6</v>
      </c>
      <c r="AD66" s="1">
        <v>4</v>
      </c>
      <c r="AE66" s="1"/>
      <c r="AF66" s="26">
        <f t="shared" ref="AF66:AF97" si="122">BV66*($AC66/$CJ66)</f>
        <v>1.9429053436168768</v>
      </c>
      <c r="AG66" s="26">
        <f t="shared" ref="AG66:AG97" si="123">BW66*($AC66/$CJ66)</f>
        <v>1.0025587640432199E-2</v>
      </c>
      <c r="AH66" s="26">
        <f t="shared" ref="AH66:AH97" si="124">BX66*($AC66/$CJ66)</f>
        <v>5.1583710217876784E-2</v>
      </c>
      <c r="AI66" s="26">
        <f t="shared" ref="AI66:AI97" si="125">BY66*($AC66/$CJ66)</f>
        <v>7.6963750788826366E-4</v>
      </c>
      <c r="AJ66" s="26">
        <f t="shared" ref="AJ66:AJ97" si="126">BZ66*($AC66/$CJ66)</f>
        <v>0.62242568168188861</v>
      </c>
      <c r="AK66" s="26">
        <f t="shared" ref="AK66:AK97" si="127">CA66*($AC66/$CJ66)</f>
        <v>1.6267622171141319E-2</v>
      </c>
      <c r="AL66" s="26">
        <f t="shared" ref="AL66:AL97" si="128">CB66*($AC66/$CJ66)</f>
        <v>1.2933583869873189</v>
      </c>
      <c r="AM66" s="26">
        <f t="shared" ref="AM66:AM97" si="129">CC66*($AC66/$CJ66)</f>
        <v>8.1430280160413884E-2</v>
      </c>
      <c r="AN66" s="26">
        <f t="shared" ref="AN66:AN97" si="130">CD66*($AC66/$CJ66)</f>
        <v>3.7746758575003939E-3</v>
      </c>
      <c r="AO66" s="26">
        <f t="shared" ref="AO66:AO97" si="131">CE66*($AC66/$CJ66)</f>
        <v>4.7761393444364372E-4</v>
      </c>
      <c r="AP66" s="26">
        <f t="shared" ref="AP66:AP97" si="132">CF66*($AC66/$CJ66)</f>
        <v>0</v>
      </c>
      <c r="AQ66" s="26">
        <f t="shared" ref="AQ66:AQ97" si="133">CG66*($AC66/$CJ66)</f>
        <v>0</v>
      </c>
      <c r="AR66" s="26">
        <f t="shared" ref="AR66:AR97" si="134">CH66*($AC66/$CJ66)</f>
        <v>0</v>
      </c>
      <c r="AS66" s="26">
        <f t="shared" ref="AS66:AS97" si="135">SUM(AF66:AQ66)</f>
        <v>4.0230185397757809</v>
      </c>
      <c r="AT66" s="26">
        <f t="shared" ref="AT66:AT97" si="136">AF66+AH66</f>
        <v>1.9944890538347537</v>
      </c>
      <c r="AU66" s="26">
        <f t="shared" ref="AU66:AU97" si="137">SUM(AM66:AO66)</f>
        <v>8.5682569952357929E-2</v>
      </c>
      <c r="AV66" s="47"/>
      <c r="AW66" s="26">
        <f t="shared" ref="AW66:AW97" si="138">IF($AD66&gt;0,BV66*$CK66,"")</f>
        <v>1.9317886054039042</v>
      </c>
      <c r="AX66" s="26">
        <f t="shared" ref="AX66:AX97" si="139">IF($AD66&gt;0,BW66*$CK66,"")</f>
        <v>9.9682241494129086E-3</v>
      </c>
      <c r="AY66" s="26">
        <f t="shared" ref="AY66:AY97" si="140">IF($AD66&gt;0,BX66*$CK66,"")</f>
        <v>5.1288563259518805E-2</v>
      </c>
      <c r="AZ66" s="26">
        <f t="shared" ref="AZ66:AZ97" si="141">IF($AD66&gt;0,BY66*$CK66,"")</f>
        <v>7.652338663407289E-4</v>
      </c>
      <c r="BA66" s="26">
        <f t="shared" ref="BA66:BA97" si="142">IF($AD66&gt;0 +N("so a blank cell if no ideal cations set"),                         BZ66*CK66-BB66,"")</f>
        <v>0.55020384010995604</v>
      </c>
      <c r="BB66" s="26">
        <f t="shared" ref="BB66:BB97" si="143">IF($AD66&gt;0 +N("so a blank cell if no ideal cations set"),                                                                     IF(AS66&gt;AD66,                          IF(  2*AC66*(1-(AD66/AS66))   &lt;   BZ66*CK66,    2*AC66*(1-(AD66/AS66)),    BZ66*CK66),0),"")</f>
        <v>6.8660503196380063E-2</v>
      </c>
      <c r="BC66" s="26">
        <f t="shared" ref="BC66:BC97" si="144">IF($AD66&gt;0,CA66*$CK66,"")</f>
        <v>1.6174543577468056E-2</v>
      </c>
      <c r="BD66" s="26">
        <f t="shared" ref="BD66:BD97" si="145">IF($AD66&gt;0,CB66*$CK66,"")</f>
        <v>1.2859581671820015</v>
      </c>
      <c r="BE66" s="26">
        <f t="shared" ref="BE66:BE97" si="146">IF($AD66&gt;0,CC66*$CK66,"")</f>
        <v>8.0964359826144194E-2</v>
      </c>
      <c r="BF66" s="26">
        <f t="shared" ref="BF66:BF97" si="147">IF($AD66&gt;0,CD66*$CK66,"")</f>
        <v>3.7530782621854599E-3</v>
      </c>
      <c r="BG66" s="26">
        <f t="shared" ref="BG66:BG97" si="148">IF($AD66&gt;0,CE66*$CK66,"")</f>
        <v>4.7488116668760173E-4</v>
      </c>
      <c r="BH66" s="26">
        <f t="shared" ref="BH66:BH97" si="149">IF($AD66&gt;0,CF66*$CK66,"")</f>
        <v>0</v>
      </c>
      <c r="BI66" s="26">
        <f t="shared" ref="BI66:BI97" si="150">IF($AD66&gt;0,CG66*$CK66,"")</f>
        <v>0</v>
      </c>
      <c r="BJ66" s="26">
        <f t="shared" ref="BJ66:BJ97" si="151">IF($AD66&gt;0,CH66*$CK66,"")</f>
        <v>0</v>
      </c>
      <c r="BK66" s="25">
        <f t="shared" ref="BK66:BK97" si="152">IF(AD66&gt;0,SUM(AW66:BI66),"")</f>
        <v>3.9999999999999991</v>
      </c>
      <c r="BL66" s="24">
        <f t="shared" ref="BL66:BL97" si="153">(AW66+AX66)*2+(AY66+AZ66+BB66)*1.5+BA66+BC66+BD66+BE66+(BF66+BG66)*0.5+BH66*2.5+BI66*3  -(0.5*(BJ66))</f>
        <v>5.9999999999999991</v>
      </c>
      <c r="BM66" s="26">
        <f t="shared" ref="BM66:BM97" si="154">IF(AD66&gt;0,AW66+AY66,"")</f>
        <v>1.983077168663423</v>
      </c>
      <c r="BN66" s="26">
        <f t="shared" ref="BN66:BN97" si="155">IF(AD66&gt;0,SUM(BE66:BG66),"")</f>
        <v>8.519231925501726E-2</v>
      </c>
      <c r="BO66" s="22"/>
      <c r="BP66" s="26">
        <f t="shared" ref="BP66:BP97" si="156">AL66/(AL66+AJ66)</f>
        <v>0.67510655722580759</v>
      </c>
      <c r="BQ66" s="22"/>
      <c r="BR66" s="22">
        <f t="shared" ref="BR66:BR97" si="157">BE66/(BE66+BD66+BA66+BB66+BC66)</f>
        <v>4.0442517655095038E-2</v>
      </c>
      <c r="BS66" s="22">
        <f t="shared" ref="BS66:BS97" si="158">BD66/(BE66+BD66+BA66+BB66+BC66)</f>
        <v>0.64234912734007743</v>
      </c>
      <c r="BT66" s="22">
        <f t="shared" ref="BT66:BT97" si="159">(BA66+BB66+BC66)/(BE66+BD66+BA66+BB66+BC66)</f>
        <v>0.31720835500482758</v>
      </c>
      <c r="BU66" s="1"/>
      <c r="BV66" s="26">
        <f t="shared" ref="BV66:BV97" si="160">F66/60.08</f>
        <v>0.86368175765645805</v>
      </c>
      <c r="BW66" s="26">
        <f t="shared" ref="BW66:BW97" si="161">G66/79.88</f>
        <v>4.4566850275413123E-3</v>
      </c>
      <c r="BX66" s="26">
        <f t="shared" ref="BX66:BX97" si="162">H66/101.96*2</f>
        <v>2.2930561004315422E-2</v>
      </c>
      <c r="BY66" s="26">
        <f t="shared" ref="BY66:BY97" si="163">I66/151.99*2</f>
        <v>3.4212777156391862E-4</v>
      </c>
      <c r="BZ66" s="26">
        <f t="shared" ref="BZ66:BZ97" si="164">J66/71.85</f>
        <v>0.27668754349338903</v>
      </c>
      <c r="CA66" s="26">
        <f t="shared" ref="CA66:CA97" si="165">K66/70.94</f>
        <v>7.2314632083450804E-3</v>
      </c>
      <c r="CB66" s="26">
        <f t="shared" ref="CB66:CB97" si="166">L66/40.3</f>
        <v>0.57493796526054597</v>
      </c>
      <c r="CC66" s="26">
        <f t="shared" ref="CC66:CC97" si="167">M66/56.08</f>
        <v>3.6198288159771753E-2</v>
      </c>
      <c r="CD66" s="26">
        <f t="shared" ref="CD66:CD97" si="168">N66/61.98*2</f>
        <v>1.6779606324620845E-3</v>
      </c>
      <c r="CE66" s="26">
        <f t="shared" ref="CE66:CE97" si="169">O66/94.2*2</f>
        <v>2.1231422505307856E-4</v>
      </c>
      <c r="CF66" s="26">
        <f t="shared" ref="CF66:CF97" si="170">P66/141.94*2</f>
        <v>0</v>
      </c>
      <c r="CG66" s="26">
        <f t="shared" ref="CG66:CG97" si="171">Q66/80.06</f>
        <v>0</v>
      </c>
      <c r="CH66" s="26">
        <f t="shared" ref="CH66:CH97" si="172">R66/35.45</f>
        <v>0</v>
      </c>
      <c r="CI66" s="26">
        <f t="shared" ref="CI66:CI97" si="173">SUM(BV66:CG66)</f>
        <v>1.7883566664394457</v>
      </c>
      <c r="CJ66" s="26">
        <f t="shared" ref="CJ66:CJ97" si="174">(BV66+BW66)*2+(BX66+BY66)*1.5+BZ66+CA66+CB66+CC66+(CD66+CE66)*0.5+CF66*2.5+CG66*3+     -(0.5*(CH66))</f>
        <v>2.6671863160826268</v>
      </c>
      <c r="CK66" s="26">
        <f t="shared" ref="CK66:CK97" si="175">AD66/CI66</f>
        <v>2.2366902950986041</v>
      </c>
      <c r="CL66" s="26">
        <f t="shared" ref="CL66:CL97" si="176">CJ66*CK66</f>
        <v>5.9656697484018091</v>
      </c>
      <c r="CM66" s="1"/>
      <c r="CN66" s="22"/>
      <c r="CO66" s="96"/>
      <c r="CP66" s="14"/>
      <c r="CQ66" s="14"/>
      <c r="CR66" s="14"/>
      <c r="CS66" s="14"/>
      <c r="CT66" s="22"/>
      <c r="CU66" s="14"/>
      <c r="CV66" s="22"/>
      <c r="CW66" s="22"/>
      <c r="CX66" s="14"/>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46"/>
      <c r="FF66" s="46"/>
      <c r="FG66" s="46"/>
      <c r="FH66" s="46"/>
      <c r="FI66" s="46"/>
      <c r="FJ66" s="46"/>
      <c r="FK66" s="46"/>
      <c r="FL66" s="46"/>
      <c r="FM66" s="46"/>
      <c r="FN66" s="46"/>
      <c r="FO66" s="46"/>
    </row>
    <row r="67" spans="1:171" x14ac:dyDescent="0.25">
      <c r="A67" s="5" t="s">
        <v>188</v>
      </c>
      <c r="B67" s="1">
        <v>390</v>
      </c>
      <c r="C67" s="98" t="s">
        <v>98</v>
      </c>
      <c r="D67" s="98" t="s">
        <v>106</v>
      </c>
      <c r="E67" s="1">
        <v>60</v>
      </c>
      <c r="F67" s="22">
        <v>52.55</v>
      </c>
      <c r="G67" s="22">
        <v>0.30299999999999999</v>
      </c>
      <c r="H67" s="22">
        <v>0.93899999999999995</v>
      </c>
      <c r="I67" s="22">
        <v>0</v>
      </c>
      <c r="J67" s="22">
        <v>19.809999999999999</v>
      </c>
      <c r="K67" s="22">
        <v>0.54</v>
      </c>
      <c r="L67" s="22">
        <v>23.38</v>
      </c>
      <c r="M67" s="22">
        <v>2.0299999999999998</v>
      </c>
      <c r="N67" s="22">
        <v>3.6999999999999998E-2</v>
      </c>
      <c r="O67" s="22">
        <v>0</v>
      </c>
      <c r="P67" s="22">
        <v>0</v>
      </c>
      <c r="Q67" s="22"/>
      <c r="R67" s="22"/>
      <c r="S67" s="22">
        <f t="shared" si="118"/>
        <v>99.588999999999999</v>
      </c>
      <c r="T67" s="3"/>
      <c r="U67" s="22">
        <f t="shared" si="119"/>
        <v>18.114333073721408</v>
      </c>
      <c r="V67" s="22">
        <f t="shared" si="120"/>
        <v>1.884394655173397</v>
      </c>
      <c r="W67" s="22">
        <f t="shared" si="121"/>
        <v>99.777727728894803</v>
      </c>
      <c r="X67" s="1"/>
      <c r="Y67" s="1"/>
      <c r="Z67" s="1"/>
      <c r="AA67" s="1" t="s">
        <v>185</v>
      </c>
      <c r="AC67" s="1">
        <v>6</v>
      </c>
      <c r="AD67" s="1">
        <v>4</v>
      </c>
      <c r="AE67" s="1"/>
      <c r="AF67" s="26">
        <f t="shared" si="122"/>
        <v>1.9546954511555952</v>
      </c>
      <c r="AG67" s="26">
        <f t="shared" si="123"/>
        <v>8.4769745292879225E-3</v>
      </c>
      <c r="AH67" s="26">
        <f t="shared" si="124"/>
        <v>4.1162530646856176E-2</v>
      </c>
      <c r="AI67" s="26">
        <f t="shared" si="125"/>
        <v>0</v>
      </c>
      <c r="AJ67" s="26">
        <f t="shared" si="126"/>
        <v>0.6161607203384607</v>
      </c>
      <c r="AK67" s="26">
        <f t="shared" si="127"/>
        <v>1.7011353978109163E-2</v>
      </c>
      <c r="AL67" s="26">
        <f t="shared" si="128"/>
        <v>1.2965096888714802</v>
      </c>
      <c r="AM67" s="26">
        <f t="shared" si="129"/>
        <v>8.0895495388543473E-2</v>
      </c>
      <c r="AN67" s="26">
        <f t="shared" si="130"/>
        <v>2.6681881667121629E-3</v>
      </c>
      <c r="AO67" s="26">
        <f t="shared" si="131"/>
        <v>0</v>
      </c>
      <c r="AP67" s="26">
        <f t="shared" si="132"/>
        <v>0</v>
      </c>
      <c r="AQ67" s="26">
        <f t="shared" si="133"/>
        <v>0</v>
      </c>
      <c r="AR67" s="26">
        <f t="shared" si="134"/>
        <v>0</v>
      </c>
      <c r="AS67" s="26">
        <f t="shared" si="135"/>
        <v>4.017580403075045</v>
      </c>
      <c r="AT67" s="26">
        <f t="shared" si="136"/>
        <v>1.9958579818024513</v>
      </c>
      <c r="AU67" s="26">
        <f t="shared" si="137"/>
        <v>8.3563683555255633E-2</v>
      </c>
      <c r="AV67" s="47"/>
      <c r="AW67" s="26">
        <f t="shared" si="138"/>
        <v>1.9461419611261312</v>
      </c>
      <c r="AX67" s="26">
        <f t="shared" si="139"/>
        <v>8.439880404434141E-3</v>
      </c>
      <c r="AY67" s="26">
        <f t="shared" si="140"/>
        <v>4.0982408830300437E-2</v>
      </c>
      <c r="AZ67" s="26">
        <f t="shared" si="141"/>
        <v>0</v>
      </c>
      <c r="BA67" s="26">
        <f t="shared" si="142"/>
        <v>0.56095406148644711</v>
      </c>
      <c r="BB67" s="26">
        <f t="shared" si="143"/>
        <v>5.251042063503375E-2</v>
      </c>
      <c r="BC67" s="26">
        <f t="shared" si="144"/>
        <v>1.6936914532028998E-2</v>
      </c>
      <c r="BD67" s="26">
        <f t="shared" si="145"/>
        <v>1.2908363331114772</v>
      </c>
      <c r="BE67" s="26">
        <f t="shared" si="146"/>
        <v>8.0541507347682478E-2</v>
      </c>
      <c r="BF67" s="26">
        <f t="shared" si="147"/>
        <v>2.6565125264648732E-3</v>
      </c>
      <c r="BG67" s="26">
        <f t="shared" si="148"/>
        <v>0</v>
      </c>
      <c r="BH67" s="26">
        <f t="shared" si="149"/>
        <v>0</v>
      </c>
      <c r="BI67" s="26">
        <f t="shared" si="150"/>
        <v>0</v>
      </c>
      <c r="BJ67" s="26">
        <f t="shared" si="151"/>
        <v>0</v>
      </c>
      <c r="BK67" s="25">
        <f t="shared" si="152"/>
        <v>4</v>
      </c>
      <c r="BL67" s="24">
        <f t="shared" si="153"/>
        <v>6.0000000000000009</v>
      </c>
      <c r="BM67" s="26">
        <f t="shared" si="154"/>
        <v>1.9871243699564316</v>
      </c>
      <c r="BN67" s="26">
        <f t="shared" si="155"/>
        <v>8.319801987414735E-2</v>
      </c>
      <c r="BO67" s="22"/>
      <c r="BP67" s="26">
        <f t="shared" si="156"/>
        <v>0.67785316415650743</v>
      </c>
      <c r="BQ67" s="22"/>
      <c r="BR67" s="22">
        <f t="shared" si="157"/>
        <v>4.0234959906894678E-2</v>
      </c>
      <c r="BS67" s="22">
        <f t="shared" si="158"/>
        <v>0.64484450092176815</v>
      </c>
      <c r="BT67" s="22">
        <f t="shared" si="159"/>
        <v>0.31492053917133717</v>
      </c>
      <c r="BU67" s="1"/>
      <c r="BV67" s="26">
        <f t="shared" si="160"/>
        <v>0.87466711051930757</v>
      </c>
      <c r="BW67" s="26">
        <f t="shared" si="161"/>
        <v>3.7931897846770158E-3</v>
      </c>
      <c r="BX67" s="26">
        <f t="shared" si="162"/>
        <v>1.8418987838367987E-2</v>
      </c>
      <c r="BY67" s="26">
        <f t="shared" si="163"/>
        <v>0</v>
      </c>
      <c r="BZ67" s="26">
        <f t="shared" si="164"/>
        <v>0.27571329157967989</v>
      </c>
      <c r="CA67" s="26">
        <f t="shared" si="165"/>
        <v>7.6120665351000856E-3</v>
      </c>
      <c r="CB67" s="26">
        <f t="shared" si="166"/>
        <v>0.58014888337468984</v>
      </c>
      <c r="CC67" s="26">
        <f t="shared" si="167"/>
        <v>3.6198288159771753E-2</v>
      </c>
      <c r="CD67" s="26">
        <f t="shared" si="168"/>
        <v>1.1939335269441755E-3</v>
      </c>
      <c r="CE67" s="26">
        <f t="shared" si="169"/>
        <v>0</v>
      </c>
      <c r="CF67" s="26">
        <f t="shared" si="170"/>
        <v>0</v>
      </c>
      <c r="CG67" s="26">
        <f t="shared" si="171"/>
        <v>0</v>
      </c>
      <c r="CH67" s="26">
        <f t="shared" si="172"/>
        <v>0</v>
      </c>
      <c r="CI67" s="26">
        <f t="shared" si="173"/>
        <v>1.7977457513185382</v>
      </c>
      <c r="CJ67" s="26">
        <f t="shared" si="174"/>
        <v>2.684818578778235</v>
      </c>
      <c r="CK67" s="26">
        <f t="shared" si="175"/>
        <v>2.2250087350039576</v>
      </c>
      <c r="CL67" s="26">
        <f t="shared" si="176"/>
        <v>5.9737447896824838</v>
      </c>
      <c r="CM67" s="1"/>
      <c r="CN67" s="22"/>
      <c r="CO67" s="96"/>
      <c r="CP67" s="14"/>
      <c r="CQ67" s="14"/>
      <c r="CR67" s="14"/>
      <c r="CS67" s="14"/>
      <c r="CT67" s="22"/>
      <c r="CU67" s="14"/>
      <c r="CV67" s="22"/>
      <c r="CW67" s="22"/>
      <c r="CX67" s="14"/>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46"/>
      <c r="FF67" s="46"/>
      <c r="FG67" s="46"/>
      <c r="FH67" s="46"/>
      <c r="FI67" s="46"/>
      <c r="FJ67" s="46"/>
      <c r="FK67" s="46"/>
      <c r="FL67" s="46"/>
      <c r="FM67" s="46"/>
      <c r="FN67" s="46"/>
      <c r="FO67" s="46"/>
    </row>
    <row r="68" spans="1:171" x14ac:dyDescent="0.25">
      <c r="A68" s="5" t="s">
        <v>188</v>
      </c>
      <c r="B68" s="1">
        <v>391</v>
      </c>
      <c r="C68" s="98" t="s">
        <v>98</v>
      </c>
      <c r="D68" s="98" t="s">
        <v>106</v>
      </c>
      <c r="E68" s="1">
        <v>61</v>
      </c>
      <c r="F68" s="22">
        <v>52.38</v>
      </c>
      <c r="G68" s="22">
        <v>0.34399999999999997</v>
      </c>
      <c r="H68" s="22">
        <v>0.77600000000000002</v>
      </c>
      <c r="I68" s="22">
        <v>0</v>
      </c>
      <c r="J68" s="22">
        <v>19.38</v>
      </c>
      <c r="K68" s="22">
        <v>0.51800000000000002</v>
      </c>
      <c r="L68" s="22">
        <v>23.37</v>
      </c>
      <c r="M68" s="22">
        <v>2</v>
      </c>
      <c r="N68" s="22">
        <v>4.5999999999999999E-2</v>
      </c>
      <c r="O68" s="22">
        <v>0</v>
      </c>
      <c r="P68" s="22">
        <v>0</v>
      </c>
      <c r="Q68" s="22"/>
      <c r="R68" s="22"/>
      <c r="S68" s="22">
        <f t="shared" si="118"/>
        <v>98.814000000000021</v>
      </c>
      <c r="T68" s="3"/>
      <c r="U68" s="22">
        <f t="shared" si="119"/>
        <v>17.984721928314347</v>
      </c>
      <c r="V68" s="22">
        <f t="shared" si="120"/>
        <v>1.5505725210642658</v>
      </c>
      <c r="W68" s="22">
        <f t="shared" si="121"/>
        <v>98.969294449378623</v>
      </c>
      <c r="X68" s="1"/>
      <c r="Y68" s="1"/>
      <c r="Z68" s="1"/>
      <c r="AA68" s="1" t="s">
        <v>185</v>
      </c>
      <c r="AC68" s="1">
        <v>6</v>
      </c>
      <c r="AD68" s="1">
        <v>4</v>
      </c>
      <c r="AE68" s="1"/>
      <c r="AF68" s="26">
        <f t="shared" si="122"/>
        <v>1.960318153412614</v>
      </c>
      <c r="AG68" s="26">
        <f t="shared" si="123"/>
        <v>9.6830322426218231E-3</v>
      </c>
      <c r="AH68" s="26">
        <f t="shared" si="124"/>
        <v>3.4225742747927244E-2</v>
      </c>
      <c r="AI68" s="26">
        <f t="shared" si="125"/>
        <v>0</v>
      </c>
      <c r="AJ68" s="26">
        <f t="shared" si="126"/>
        <v>0.60648210617959863</v>
      </c>
      <c r="AK68" s="26">
        <f t="shared" si="127"/>
        <v>1.6418352179783723E-2</v>
      </c>
      <c r="AL68" s="26">
        <f t="shared" si="128"/>
        <v>1.3039011184419582</v>
      </c>
      <c r="AM68" s="26">
        <f t="shared" si="129"/>
        <v>8.0188664816523661E-2</v>
      </c>
      <c r="AN68" s="26">
        <f t="shared" si="130"/>
        <v>3.3375458995464624E-3</v>
      </c>
      <c r="AO68" s="26">
        <f t="shared" si="131"/>
        <v>0</v>
      </c>
      <c r="AP68" s="26">
        <f t="shared" si="132"/>
        <v>0</v>
      </c>
      <c r="AQ68" s="26">
        <f t="shared" si="133"/>
        <v>0</v>
      </c>
      <c r="AR68" s="26">
        <f t="shared" si="134"/>
        <v>0</v>
      </c>
      <c r="AS68" s="26">
        <f t="shared" si="135"/>
        <v>4.014554715920573</v>
      </c>
      <c r="AT68" s="26">
        <f t="shared" si="136"/>
        <v>1.9945438961605413</v>
      </c>
      <c r="AU68" s="26">
        <f t="shared" si="137"/>
        <v>8.3526210716070123E-2</v>
      </c>
      <c r="AV68" s="47"/>
      <c r="AW68" s="26">
        <f t="shared" si="138"/>
        <v>1.9532110454377953</v>
      </c>
      <c r="AX68" s="26">
        <f t="shared" si="139"/>
        <v>9.6479265351364536E-3</v>
      </c>
      <c r="AY68" s="26">
        <f t="shared" si="140"/>
        <v>3.4101657762638286E-2</v>
      </c>
      <c r="AZ68" s="26">
        <f t="shared" si="141"/>
        <v>0</v>
      </c>
      <c r="BA68" s="26">
        <f t="shared" si="142"/>
        <v>0.56077746922806104</v>
      </c>
      <c r="BB68" s="26">
        <f t="shared" si="143"/>
        <v>4.3505843961782364E-2</v>
      </c>
      <c r="BC68" s="26">
        <f t="shared" si="144"/>
        <v>1.6358827657446784E-2</v>
      </c>
      <c r="BD68" s="26">
        <f t="shared" si="145"/>
        <v>1.2991738418919139</v>
      </c>
      <c r="BE68" s="26">
        <f t="shared" si="146"/>
        <v>7.9897941854939369E-2</v>
      </c>
      <c r="BF68" s="26">
        <f t="shared" si="147"/>
        <v>3.3254456702863826E-3</v>
      </c>
      <c r="BG68" s="26">
        <f t="shared" si="148"/>
        <v>0</v>
      </c>
      <c r="BH68" s="26">
        <f t="shared" si="149"/>
        <v>0</v>
      </c>
      <c r="BI68" s="26">
        <f t="shared" si="150"/>
        <v>0</v>
      </c>
      <c r="BJ68" s="26">
        <f t="shared" si="151"/>
        <v>0</v>
      </c>
      <c r="BK68" s="25">
        <f t="shared" si="152"/>
        <v>4</v>
      </c>
      <c r="BL68" s="24">
        <f t="shared" si="153"/>
        <v>5.9999999999999991</v>
      </c>
      <c r="BM68" s="26">
        <f t="shared" si="154"/>
        <v>1.9873127032004336</v>
      </c>
      <c r="BN68" s="26">
        <f t="shared" si="155"/>
        <v>8.3223387525225748E-2</v>
      </c>
      <c r="BO68" s="22"/>
      <c r="BP68" s="26">
        <f t="shared" si="156"/>
        <v>0.68253379826461702</v>
      </c>
      <c r="BQ68" s="22"/>
      <c r="BR68" s="22">
        <f t="shared" si="157"/>
        <v>3.9954685953969754E-2</v>
      </c>
      <c r="BS68" s="22">
        <f t="shared" si="158"/>
        <v>0.64967984965929093</v>
      </c>
      <c r="BT68" s="22">
        <f t="shared" si="159"/>
        <v>0.31036546438673918</v>
      </c>
      <c r="BU68" s="1"/>
      <c r="BV68" s="26">
        <f t="shared" si="160"/>
        <v>0.87183754993342222</v>
      </c>
      <c r="BW68" s="26">
        <f t="shared" si="161"/>
        <v>4.3064596895343015E-3</v>
      </c>
      <c r="BX68" s="26">
        <f t="shared" si="162"/>
        <v>1.5221655551196549E-2</v>
      </c>
      <c r="BY68" s="26">
        <f t="shared" si="163"/>
        <v>0</v>
      </c>
      <c r="BZ68" s="26">
        <f t="shared" si="164"/>
        <v>0.26972860125260961</v>
      </c>
      <c r="CA68" s="26">
        <f t="shared" si="165"/>
        <v>7.3019453058923035E-3</v>
      </c>
      <c r="CB68" s="26">
        <f t="shared" si="166"/>
        <v>0.57990074441687356</v>
      </c>
      <c r="CC68" s="26">
        <f t="shared" si="167"/>
        <v>3.566333808844508E-2</v>
      </c>
      <c r="CD68" s="26">
        <f t="shared" si="168"/>
        <v>1.484349790254921E-3</v>
      </c>
      <c r="CE68" s="26">
        <f t="shared" si="169"/>
        <v>0</v>
      </c>
      <c r="CF68" s="26">
        <f t="shared" si="170"/>
        <v>0</v>
      </c>
      <c r="CG68" s="26">
        <f t="shared" si="171"/>
        <v>0</v>
      </c>
      <c r="CH68" s="26">
        <f t="shared" si="172"/>
        <v>0</v>
      </c>
      <c r="CI68" s="26">
        <f t="shared" si="173"/>
        <v>1.7854446440282286</v>
      </c>
      <c r="CJ68" s="26">
        <f t="shared" si="174"/>
        <v>2.6684573065316557</v>
      </c>
      <c r="CK68" s="26">
        <f t="shared" si="175"/>
        <v>2.2403382896124997</v>
      </c>
      <c r="CL68" s="26">
        <f t="shared" si="176"/>
        <v>5.9782470780191073</v>
      </c>
      <c r="CM68" s="1"/>
      <c r="CN68" s="22"/>
      <c r="CO68" s="96"/>
      <c r="CP68" s="14"/>
      <c r="CQ68" s="14"/>
      <c r="CR68" s="14"/>
      <c r="CS68" s="14"/>
      <c r="CT68" s="22"/>
      <c r="CU68" s="14"/>
      <c r="CV68" s="22"/>
      <c r="CW68" s="22"/>
      <c r="CX68" s="14"/>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46"/>
      <c r="FF68" s="46"/>
      <c r="FG68" s="46"/>
      <c r="FH68" s="46"/>
      <c r="FI68" s="46"/>
      <c r="FJ68" s="46"/>
      <c r="FK68" s="46"/>
      <c r="FL68" s="46"/>
      <c r="FM68" s="46"/>
      <c r="FN68" s="46"/>
      <c r="FO68" s="46"/>
    </row>
    <row r="69" spans="1:171" x14ac:dyDescent="0.25">
      <c r="A69" s="5" t="s">
        <v>188</v>
      </c>
      <c r="B69" s="1">
        <v>396</v>
      </c>
      <c r="C69" s="98" t="s">
        <v>98</v>
      </c>
      <c r="D69" s="98" t="s">
        <v>106</v>
      </c>
      <c r="E69" s="1">
        <v>66</v>
      </c>
      <c r="F69" s="22">
        <v>52.57</v>
      </c>
      <c r="G69" s="22">
        <v>0.48499999999999999</v>
      </c>
      <c r="H69" s="22">
        <v>1.177</v>
      </c>
      <c r="I69" s="22">
        <v>0</v>
      </c>
      <c r="J69" s="22">
        <v>18.97</v>
      </c>
      <c r="K69" s="22">
        <v>0.56399999999999995</v>
      </c>
      <c r="L69" s="22">
        <v>23.83</v>
      </c>
      <c r="M69" s="22">
        <v>1.64</v>
      </c>
      <c r="N69" s="22">
        <v>2.1999999999999999E-2</v>
      </c>
      <c r="O69" s="22">
        <v>0</v>
      </c>
      <c r="P69" s="22">
        <v>0</v>
      </c>
      <c r="Q69" s="22"/>
      <c r="R69" s="22"/>
      <c r="S69" s="22">
        <f t="shared" si="118"/>
        <v>99.257999999999996</v>
      </c>
      <c r="T69" s="3"/>
      <c r="U69" s="22">
        <f t="shared" si="119"/>
        <v>18.044577147392573</v>
      </c>
      <c r="V69" s="22">
        <f t="shared" si="120"/>
        <v>1.0284224161026312</v>
      </c>
      <c r="W69" s="22">
        <f t="shared" si="121"/>
        <v>99.360999563495199</v>
      </c>
      <c r="X69" s="1"/>
      <c r="Y69" s="1"/>
      <c r="Z69" s="1"/>
      <c r="AA69" s="1" t="s">
        <v>185</v>
      </c>
      <c r="AC69" s="1">
        <v>6</v>
      </c>
      <c r="AD69" s="1">
        <v>4</v>
      </c>
      <c r="AE69" s="1"/>
      <c r="AF69" s="26">
        <f t="shared" si="122"/>
        <v>1.9519187614835782</v>
      </c>
      <c r="AG69" s="26">
        <f t="shared" si="123"/>
        <v>1.3544325049281571E-2</v>
      </c>
      <c r="AH69" s="26">
        <f t="shared" si="124"/>
        <v>5.150273793120376E-2</v>
      </c>
      <c r="AI69" s="26">
        <f t="shared" si="125"/>
        <v>0</v>
      </c>
      <c r="AJ69" s="26">
        <f t="shared" si="126"/>
        <v>0.58897145092503789</v>
      </c>
      <c r="AK69" s="26">
        <f t="shared" si="127"/>
        <v>1.7735425212078427E-2</v>
      </c>
      <c r="AL69" s="26">
        <f t="shared" si="128"/>
        <v>1.3190846958143543</v>
      </c>
      <c r="AM69" s="26">
        <f t="shared" si="129"/>
        <v>6.5236331135787001E-2</v>
      </c>
      <c r="AN69" s="26">
        <f t="shared" si="130"/>
        <v>1.5836339004338255E-3</v>
      </c>
      <c r="AO69" s="26">
        <f t="shared" si="131"/>
        <v>0</v>
      </c>
      <c r="AP69" s="26">
        <f t="shared" si="132"/>
        <v>0</v>
      </c>
      <c r="AQ69" s="26">
        <f t="shared" si="133"/>
        <v>0</v>
      </c>
      <c r="AR69" s="26">
        <f t="shared" si="134"/>
        <v>0</v>
      </c>
      <c r="AS69" s="26">
        <f t="shared" si="135"/>
        <v>4.0095773614517549</v>
      </c>
      <c r="AT69" s="26">
        <f t="shared" si="136"/>
        <v>2.0034214994147819</v>
      </c>
      <c r="AU69" s="26">
        <f t="shared" si="137"/>
        <v>6.6819965036220827E-2</v>
      </c>
      <c r="AV69" s="47"/>
      <c r="AW69" s="26">
        <f t="shared" si="138"/>
        <v>1.9472563669671594</v>
      </c>
      <c r="AX69" s="26">
        <f t="shared" si="139"/>
        <v>1.3511972787453643E-2</v>
      </c>
      <c r="AY69" s="26">
        <f t="shared" si="140"/>
        <v>5.1379717399996569E-2</v>
      </c>
      <c r="AZ69" s="26">
        <f t="shared" si="141"/>
        <v>0</v>
      </c>
      <c r="BA69" s="26">
        <f t="shared" si="142"/>
        <v>0.55890116694685821</v>
      </c>
      <c r="BB69" s="26">
        <f t="shared" si="143"/>
        <v>2.8663454289718171E-2</v>
      </c>
      <c r="BC69" s="26">
        <f t="shared" si="144"/>
        <v>1.7693061999588835E-2</v>
      </c>
      <c r="BD69" s="26">
        <f t="shared" si="145"/>
        <v>1.3159339021574592</v>
      </c>
      <c r="BE69" s="26">
        <f t="shared" si="146"/>
        <v>6.5080506252825368E-2</v>
      </c>
      <c r="BF69" s="26">
        <f t="shared" si="147"/>
        <v>1.5798511989407646E-3</v>
      </c>
      <c r="BG69" s="26">
        <f t="shared" si="148"/>
        <v>0</v>
      </c>
      <c r="BH69" s="26">
        <f t="shared" si="149"/>
        <v>0</v>
      </c>
      <c r="BI69" s="26">
        <f t="shared" si="150"/>
        <v>0</v>
      </c>
      <c r="BJ69" s="26">
        <f t="shared" si="151"/>
        <v>0</v>
      </c>
      <c r="BK69" s="25">
        <f t="shared" si="152"/>
        <v>4.0000000000000009</v>
      </c>
      <c r="BL69" s="24">
        <f t="shared" si="153"/>
        <v>6.0000000000000009</v>
      </c>
      <c r="BM69" s="26">
        <f t="shared" si="154"/>
        <v>1.998636084367156</v>
      </c>
      <c r="BN69" s="26">
        <f t="shared" si="155"/>
        <v>6.6660357451766128E-2</v>
      </c>
      <c r="BO69" s="22"/>
      <c r="BP69" s="26">
        <f t="shared" si="156"/>
        <v>0.69132383660118712</v>
      </c>
      <c r="BQ69" s="22"/>
      <c r="BR69" s="22">
        <f t="shared" si="157"/>
        <v>3.2765151625767035E-2</v>
      </c>
      <c r="BS69" s="22">
        <f t="shared" si="158"/>
        <v>0.66251441969698244</v>
      </c>
      <c r="BT69" s="22">
        <f t="shared" si="159"/>
        <v>0.30472042867725052</v>
      </c>
      <c r="BU69" s="1"/>
      <c r="BV69" s="26">
        <f t="shared" si="160"/>
        <v>0.875</v>
      </c>
      <c r="BW69" s="26">
        <f t="shared" si="161"/>
        <v>6.0716074111166751E-3</v>
      </c>
      <c r="BX69" s="26">
        <f t="shared" si="162"/>
        <v>2.3087485288348374E-2</v>
      </c>
      <c r="BY69" s="26">
        <f t="shared" si="163"/>
        <v>0</v>
      </c>
      <c r="BZ69" s="26">
        <f t="shared" si="164"/>
        <v>0.26402226861517047</v>
      </c>
      <c r="CA69" s="26">
        <f t="shared" si="165"/>
        <v>7.9503806033267548E-3</v>
      </c>
      <c r="CB69" s="26">
        <f t="shared" si="166"/>
        <v>0.59131513647642675</v>
      </c>
      <c r="CC69" s="26">
        <f t="shared" si="167"/>
        <v>2.9243937232524962E-2</v>
      </c>
      <c r="CD69" s="26">
        <f t="shared" si="168"/>
        <v>7.0990642142626655E-4</v>
      </c>
      <c r="CE69" s="26">
        <f t="shared" si="169"/>
        <v>0</v>
      </c>
      <c r="CF69" s="26">
        <f t="shared" si="170"/>
        <v>0</v>
      </c>
      <c r="CG69" s="26">
        <f t="shared" si="171"/>
        <v>0</v>
      </c>
      <c r="CH69" s="26">
        <f t="shared" si="172"/>
        <v>0</v>
      </c>
      <c r="CI69" s="26">
        <f t="shared" si="173"/>
        <v>1.7974007220483401</v>
      </c>
      <c r="CJ69" s="26">
        <f t="shared" si="174"/>
        <v>2.6896611188929183</v>
      </c>
      <c r="CK69" s="26">
        <f t="shared" si="175"/>
        <v>2.2254358479624679</v>
      </c>
      <c r="CL69" s="26">
        <f t="shared" si="176"/>
        <v>5.9856682728551416</v>
      </c>
      <c r="CM69" s="1"/>
      <c r="CN69" s="22"/>
      <c r="CO69" s="96"/>
      <c r="CP69" s="14"/>
      <c r="CQ69" s="14"/>
      <c r="CR69" s="14"/>
      <c r="CS69" s="14"/>
      <c r="CT69" s="22"/>
      <c r="CU69" s="14"/>
      <c r="CV69" s="22"/>
      <c r="CW69" s="22"/>
      <c r="CX69" s="14"/>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46"/>
      <c r="FF69" s="46"/>
      <c r="FG69" s="46"/>
      <c r="FH69" s="46"/>
      <c r="FI69" s="46"/>
      <c r="FJ69" s="46"/>
      <c r="FK69" s="46"/>
      <c r="FL69" s="46"/>
      <c r="FM69" s="46"/>
      <c r="FN69" s="46"/>
      <c r="FO69" s="46"/>
    </row>
    <row r="70" spans="1:171" x14ac:dyDescent="0.25">
      <c r="A70" s="5" t="s">
        <v>188</v>
      </c>
      <c r="B70" s="1">
        <v>398</v>
      </c>
      <c r="C70" s="98" t="s">
        <v>98</v>
      </c>
      <c r="D70" s="98" t="s">
        <v>106</v>
      </c>
      <c r="E70" s="1">
        <v>68</v>
      </c>
      <c r="F70" s="22">
        <v>52.33</v>
      </c>
      <c r="G70" s="22">
        <v>0.41599999999999998</v>
      </c>
      <c r="H70" s="22">
        <v>1.3979999999999999</v>
      </c>
      <c r="I70" s="22">
        <v>0</v>
      </c>
      <c r="J70" s="22">
        <v>19.079999999999998</v>
      </c>
      <c r="K70" s="22">
        <v>0.46300000000000002</v>
      </c>
      <c r="L70" s="22">
        <v>23.62</v>
      </c>
      <c r="M70" s="22">
        <v>1.72</v>
      </c>
      <c r="N70" s="22">
        <v>3.5000000000000003E-2</v>
      </c>
      <c r="O70" s="22">
        <v>0</v>
      </c>
      <c r="P70" s="22">
        <v>0</v>
      </c>
      <c r="Q70" s="22"/>
      <c r="R70" s="22"/>
      <c r="S70" s="22">
        <f t="shared" si="118"/>
        <v>99.061999999999983</v>
      </c>
      <c r="T70" s="3"/>
      <c r="U70" s="22">
        <f t="shared" si="119"/>
        <v>18.009419015589604</v>
      </c>
      <c r="V70" s="22">
        <f t="shared" si="120"/>
        <v>1.1897366479752733</v>
      </c>
      <c r="W70" s="22">
        <f t="shared" si="121"/>
        <v>99.18115566356488</v>
      </c>
      <c r="X70" s="1"/>
      <c r="Y70" s="1"/>
      <c r="Z70" s="1"/>
      <c r="AA70" s="1" t="s">
        <v>185</v>
      </c>
      <c r="AC70" s="1">
        <v>6</v>
      </c>
      <c r="AD70" s="1">
        <v>4</v>
      </c>
      <c r="AE70" s="1"/>
      <c r="AF70" s="26">
        <f t="shared" si="122"/>
        <v>1.9478465300132226</v>
      </c>
      <c r="AG70" s="26">
        <f t="shared" si="123"/>
        <v>1.1646332895494799E-2</v>
      </c>
      <c r="AH70" s="26">
        <f t="shared" si="124"/>
        <v>6.1325523688851878E-2</v>
      </c>
      <c r="AI70" s="26">
        <f t="shared" si="125"/>
        <v>0</v>
      </c>
      <c r="AJ70" s="26">
        <f t="shared" si="126"/>
        <v>0.593861981688806</v>
      </c>
      <c r="AK70" s="26">
        <f t="shared" si="127"/>
        <v>1.459565980031384E-2</v>
      </c>
      <c r="AL70" s="26">
        <f t="shared" si="128"/>
        <v>1.3107165175467639</v>
      </c>
      <c r="AM70" s="26">
        <f t="shared" si="129"/>
        <v>6.8588983599599057E-2</v>
      </c>
      <c r="AN70" s="26">
        <f t="shared" si="130"/>
        <v>2.5256920276100514E-3</v>
      </c>
      <c r="AO70" s="26">
        <f t="shared" si="131"/>
        <v>0</v>
      </c>
      <c r="AP70" s="26">
        <f t="shared" si="132"/>
        <v>0</v>
      </c>
      <c r="AQ70" s="26">
        <f t="shared" si="133"/>
        <v>0</v>
      </c>
      <c r="AR70" s="26">
        <f t="shared" si="134"/>
        <v>0</v>
      </c>
      <c r="AS70" s="26">
        <f t="shared" si="135"/>
        <v>4.0111072212606622</v>
      </c>
      <c r="AT70" s="26">
        <f t="shared" si="136"/>
        <v>2.0091720537020743</v>
      </c>
      <c r="AU70" s="26">
        <f t="shared" si="137"/>
        <v>7.1114675627209106E-2</v>
      </c>
      <c r="AV70" s="47"/>
      <c r="AW70" s="26">
        <f t="shared" si="138"/>
        <v>1.9424527169842429</v>
      </c>
      <c r="AX70" s="26">
        <f t="shared" si="139"/>
        <v>1.1614082848510282E-2</v>
      </c>
      <c r="AY70" s="26">
        <f t="shared" si="140"/>
        <v>6.1155706198826272E-2</v>
      </c>
      <c r="AZ70" s="26">
        <f t="shared" si="141"/>
        <v>0</v>
      </c>
      <c r="BA70" s="26">
        <f t="shared" si="142"/>
        <v>0.55898811673316007</v>
      </c>
      <c r="BB70" s="26">
        <f t="shared" si="143"/>
        <v>3.3229392229025656E-2</v>
      </c>
      <c r="BC70" s="26">
        <f t="shared" si="144"/>
        <v>1.4555242724951669E-2</v>
      </c>
      <c r="BD70" s="26">
        <f t="shared" si="145"/>
        <v>1.3070869914415453</v>
      </c>
      <c r="BE70" s="26">
        <f t="shared" si="146"/>
        <v>6.8399052746380612E-2</v>
      </c>
      <c r="BF70" s="26">
        <f t="shared" si="147"/>
        <v>2.51869809335712E-3</v>
      </c>
      <c r="BG70" s="26">
        <f t="shared" si="148"/>
        <v>0</v>
      </c>
      <c r="BH70" s="26">
        <f t="shared" si="149"/>
        <v>0</v>
      </c>
      <c r="BI70" s="26">
        <f t="shared" si="150"/>
        <v>0</v>
      </c>
      <c r="BJ70" s="26">
        <f t="shared" si="151"/>
        <v>0</v>
      </c>
      <c r="BK70" s="25">
        <f t="shared" si="152"/>
        <v>3.9999999999999996</v>
      </c>
      <c r="BL70" s="24">
        <f t="shared" si="153"/>
        <v>6.0000000000000018</v>
      </c>
      <c r="BM70" s="26">
        <f t="shared" si="154"/>
        <v>2.0036084231830693</v>
      </c>
      <c r="BN70" s="26">
        <f t="shared" si="155"/>
        <v>7.0917750839737725E-2</v>
      </c>
      <c r="BO70" s="22"/>
      <c r="BP70" s="26">
        <f t="shared" si="156"/>
        <v>0.68819243631745231</v>
      </c>
      <c r="BQ70" s="22"/>
      <c r="BR70" s="22">
        <f t="shared" si="157"/>
        <v>3.4505611925503409E-2</v>
      </c>
      <c r="BS70" s="22">
        <f t="shared" si="158"/>
        <v>0.65939270601875921</v>
      </c>
      <c r="BT70" s="22">
        <f t="shared" si="159"/>
        <v>0.30610168205573735</v>
      </c>
      <c r="BU70" s="1"/>
      <c r="BV70" s="26">
        <f t="shared" si="160"/>
        <v>0.87100532623169102</v>
      </c>
      <c r="BW70" s="26">
        <f t="shared" si="161"/>
        <v>5.2078117175763643E-3</v>
      </c>
      <c r="BX70" s="26">
        <f t="shared" si="162"/>
        <v>2.7422518634758728E-2</v>
      </c>
      <c r="BY70" s="26">
        <f t="shared" si="163"/>
        <v>0</v>
      </c>
      <c r="BZ70" s="26">
        <f t="shared" si="164"/>
        <v>0.26555323590814195</v>
      </c>
      <c r="CA70" s="26">
        <f t="shared" si="165"/>
        <v>6.5266422328728512E-3</v>
      </c>
      <c r="CB70" s="26">
        <f t="shared" si="166"/>
        <v>0.58610421836228299</v>
      </c>
      <c r="CC70" s="26">
        <f t="shared" si="167"/>
        <v>3.0670470756062766E-2</v>
      </c>
      <c r="CD70" s="26">
        <f t="shared" si="168"/>
        <v>1.1293965795417878E-3</v>
      </c>
      <c r="CE70" s="26">
        <f t="shared" si="169"/>
        <v>0</v>
      </c>
      <c r="CF70" s="26">
        <f t="shared" si="170"/>
        <v>0</v>
      </c>
      <c r="CG70" s="26">
        <f t="shared" si="171"/>
        <v>0</v>
      </c>
      <c r="CH70" s="26">
        <f t="shared" si="172"/>
        <v>0</v>
      </c>
      <c r="CI70" s="26">
        <f t="shared" si="173"/>
        <v>1.7936196204229287</v>
      </c>
      <c r="CJ70" s="26">
        <f t="shared" si="174"/>
        <v>2.6829793193998039</v>
      </c>
      <c r="CK70" s="26">
        <f t="shared" si="175"/>
        <v>2.2301272546610611</v>
      </c>
      <c r="CL70" s="26">
        <f t="shared" si="176"/>
        <v>5.9833853038854867</v>
      </c>
      <c r="CM70" s="1"/>
      <c r="CN70" s="22"/>
      <c r="CO70" s="96"/>
      <c r="CP70" s="14"/>
      <c r="CQ70" s="14"/>
      <c r="CR70" s="14"/>
      <c r="CS70" s="14"/>
      <c r="CT70" s="22"/>
      <c r="CU70" s="14"/>
      <c r="CV70" s="22"/>
      <c r="CW70" s="22"/>
      <c r="CX70" s="14"/>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46">
        <f>7.601647 - 13.20417 * BP70 + N("45d Mg#    r2 0.76")</f>
        <v>-1.4853629218498146</v>
      </c>
      <c r="FF70" s="46">
        <f>6.542808 - 11.82852 * BP70 + N("mg#")</f>
        <v>-1.5974899968297107</v>
      </c>
      <c r="FG70" s="46">
        <f>3.803999 - 7.570213 * BP70 + N("mg#")</f>
        <v>-1.4057643279120491</v>
      </c>
      <c r="FH70" s="46">
        <f>4.421323 - 8.556768 * BP70 + N("mg#")</f>
        <v>-1.4673800169232134</v>
      </c>
      <c r="FI70" s="46">
        <f>4.645469 - 8.242464 * BP70 + N("50d mg# r2 0.67")</f>
        <v>-1.0269323814188933</v>
      </c>
      <c r="FJ70" s="46">
        <f>5.169659 - 8.510973 * BP70 + N("mg#")</f>
        <v>-0.68752824430205539</v>
      </c>
      <c r="FK70" s="46"/>
      <c r="FL70" s="46"/>
      <c r="FM70" s="46"/>
      <c r="FN70" s="46"/>
      <c r="FO70" s="46"/>
    </row>
    <row r="71" spans="1:171" x14ac:dyDescent="0.25">
      <c r="A71" s="5" t="s">
        <v>250</v>
      </c>
      <c r="B71" s="1">
        <v>274</v>
      </c>
      <c r="C71" s="98" t="s">
        <v>251</v>
      </c>
      <c r="D71" s="98" t="s">
        <v>104</v>
      </c>
      <c r="E71" s="1">
        <v>106</v>
      </c>
      <c r="F71" s="22">
        <v>52.75</v>
      </c>
      <c r="G71" s="22">
        <v>0.19800000000000001</v>
      </c>
      <c r="H71" s="22">
        <v>0.94899999999999995</v>
      </c>
      <c r="I71" s="22">
        <v>0</v>
      </c>
      <c r="J71" s="22">
        <v>21.09</v>
      </c>
      <c r="K71" s="22">
        <v>0.60099999999999998</v>
      </c>
      <c r="L71" s="22">
        <v>22.88</v>
      </c>
      <c r="M71" s="22">
        <v>1.59</v>
      </c>
      <c r="N71" s="22">
        <v>6.7000000000000004E-2</v>
      </c>
      <c r="O71" s="22">
        <v>8.9999999999999993E-3</v>
      </c>
      <c r="P71" s="22">
        <v>0</v>
      </c>
      <c r="Q71" s="22"/>
      <c r="R71" s="22"/>
      <c r="S71" s="22">
        <f t="shared" si="118"/>
        <v>100.13399999999999</v>
      </c>
      <c r="T71" s="3"/>
      <c r="U71" s="22">
        <f t="shared" si="119"/>
        <v>19.485888483431054</v>
      </c>
      <c r="V71" s="22">
        <f t="shared" si="120"/>
        <v>1.7826491283630705</v>
      </c>
      <c r="W71" s="22">
        <f t="shared" si="121"/>
        <v>100.31253761179411</v>
      </c>
      <c r="X71" s="1"/>
      <c r="Y71" s="1"/>
      <c r="Z71" s="1"/>
      <c r="AA71" s="1" t="s">
        <v>186</v>
      </c>
      <c r="AC71" s="1">
        <v>6</v>
      </c>
      <c r="AD71" s="1">
        <v>4</v>
      </c>
      <c r="AE71" s="1"/>
      <c r="AF71" s="26">
        <f t="shared" si="122"/>
        <v>1.9597081705719157</v>
      </c>
      <c r="AG71" s="26">
        <f t="shared" si="123"/>
        <v>5.5325582790812337E-3</v>
      </c>
      <c r="AH71" s="26">
        <f t="shared" si="124"/>
        <v>4.1549446684481683E-2</v>
      </c>
      <c r="AI71" s="26">
        <f t="shared" si="125"/>
        <v>0</v>
      </c>
      <c r="AJ71" s="26">
        <f t="shared" si="126"/>
        <v>0.65516195567175994</v>
      </c>
      <c r="AK71" s="26">
        <f t="shared" si="127"/>
        <v>1.8909591684759801E-2</v>
      </c>
      <c r="AL71" s="26">
        <f t="shared" si="128"/>
        <v>1.2672136353634664</v>
      </c>
      <c r="AM71" s="26">
        <f t="shared" si="129"/>
        <v>6.3283134571417113E-2</v>
      </c>
      <c r="AN71" s="26">
        <f t="shared" si="130"/>
        <v>4.8256085552706145E-3</v>
      </c>
      <c r="AO71" s="26">
        <f t="shared" si="131"/>
        <v>4.265014044904544E-4</v>
      </c>
      <c r="AP71" s="26">
        <f t="shared" si="132"/>
        <v>0</v>
      </c>
      <c r="AQ71" s="26">
        <f t="shared" si="133"/>
        <v>0</v>
      </c>
      <c r="AR71" s="26">
        <f t="shared" si="134"/>
        <v>0</v>
      </c>
      <c r="AS71" s="26">
        <f t="shared" si="135"/>
        <v>4.0166106027866428</v>
      </c>
      <c r="AT71" s="26">
        <f t="shared" si="136"/>
        <v>2.0012576172563974</v>
      </c>
      <c r="AU71" s="26">
        <f t="shared" si="137"/>
        <v>6.853524453117818E-2</v>
      </c>
      <c r="AV71" s="47"/>
      <c r="AW71" s="26">
        <f t="shared" si="138"/>
        <v>1.9516038415198225</v>
      </c>
      <c r="AX71" s="26">
        <f t="shared" si="139"/>
        <v>5.5096785087833562E-3</v>
      </c>
      <c r="AY71" s="26">
        <f t="shared" si="140"/>
        <v>4.1377619882450652E-2</v>
      </c>
      <c r="AZ71" s="26">
        <f t="shared" si="141"/>
        <v>0</v>
      </c>
      <c r="BA71" s="26">
        <f t="shared" si="142"/>
        <v>0.60282681810565864</v>
      </c>
      <c r="BB71" s="26">
        <f t="shared" si="143"/>
        <v>4.9625730037516469E-2</v>
      </c>
      <c r="BC71" s="26">
        <f t="shared" si="144"/>
        <v>1.8831391493754169E-2</v>
      </c>
      <c r="BD71" s="26">
        <f t="shared" si="145"/>
        <v>1.2619731018827656</v>
      </c>
      <c r="BE71" s="26">
        <f t="shared" si="146"/>
        <v>6.3021428592069689E-2</v>
      </c>
      <c r="BF71" s="26">
        <f t="shared" si="147"/>
        <v>4.8056523596513986E-3</v>
      </c>
      <c r="BG71" s="26">
        <f t="shared" si="148"/>
        <v>4.2473761752713225E-4</v>
      </c>
      <c r="BH71" s="26">
        <f t="shared" si="149"/>
        <v>0</v>
      </c>
      <c r="BI71" s="26">
        <f t="shared" si="150"/>
        <v>0</v>
      </c>
      <c r="BJ71" s="26">
        <f t="shared" si="151"/>
        <v>0</v>
      </c>
      <c r="BK71" s="25">
        <f t="shared" si="152"/>
        <v>4</v>
      </c>
      <c r="BL71" s="24">
        <f t="shared" si="153"/>
        <v>6</v>
      </c>
      <c r="BM71" s="26">
        <f t="shared" si="154"/>
        <v>1.9929814614022732</v>
      </c>
      <c r="BN71" s="26">
        <f t="shared" si="155"/>
        <v>6.8251818569248224E-2</v>
      </c>
      <c r="BO71" s="22"/>
      <c r="BP71" s="26">
        <f t="shared" si="156"/>
        <v>0.65919149268902966</v>
      </c>
      <c r="BQ71" s="22"/>
      <c r="BR71" s="22">
        <f t="shared" si="157"/>
        <v>3.1569457636108925E-2</v>
      </c>
      <c r="BS71" s="22">
        <f t="shared" si="158"/>
        <v>0.63216285742545342</v>
      </c>
      <c r="BT71" s="22">
        <f t="shared" si="159"/>
        <v>0.33626768493843773</v>
      </c>
      <c r="BU71" s="1"/>
      <c r="BV71" s="26">
        <f t="shared" si="160"/>
        <v>0.87799600532623168</v>
      </c>
      <c r="BW71" s="26">
        <f t="shared" si="161"/>
        <v>2.4787180771156736E-3</v>
      </c>
      <c r="BX71" s="26">
        <f t="shared" si="162"/>
        <v>1.8615143193409182E-2</v>
      </c>
      <c r="BY71" s="26">
        <f t="shared" si="163"/>
        <v>0</v>
      </c>
      <c r="BZ71" s="26">
        <f t="shared" si="164"/>
        <v>0.2935281837160752</v>
      </c>
      <c r="CA71" s="26">
        <f t="shared" si="165"/>
        <v>8.4719481251762044E-3</v>
      </c>
      <c r="CB71" s="26">
        <f t="shared" si="166"/>
        <v>0.56774193548387097</v>
      </c>
      <c r="CC71" s="26">
        <f t="shared" si="167"/>
        <v>2.8352353780313838E-2</v>
      </c>
      <c r="CD71" s="26">
        <f t="shared" si="168"/>
        <v>2.1619877379799937E-3</v>
      </c>
      <c r="CE71" s="26">
        <f t="shared" si="169"/>
        <v>1.9108280254777067E-4</v>
      </c>
      <c r="CF71" s="26">
        <f t="shared" si="170"/>
        <v>0</v>
      </c>
      <c r="CG71" s="26">
        <f t="shared" si="171"/>
        <v>0</v>
      </c>
      <c r="CH71" s="26">
        <f t="shared" si="172"/>
        <v>0</v>
      </c>
      <c r="CI71" s="26">
        <f t="shared" si="173"/>
        <v>1.7995373582427205</v>
      </c>
      <c r="CJ71" s="26">
        <f t="shared" si="174"/>
        <v>2.6881431179725084</v>
      </c>
      <c r="CK71" s="26">
        <f t="shared" si="175"/>
        <v>2.2227935317253258</v>
      </c>
      <c r="CL71" s="26">
        <f t="shared" si="176"/>
        <v>5.9751871349812413</v>
      </c>
      <c r="CM71" s="1"/>
      <c r="CN71" s="22"/>
      <c r="CO71" s="96"/>
      <c r="CP71" s="14"/>
      <c r="CQ71" s="14"/>
      <c r="CR71" s="14"/>
      <c r="CS71" s="14"/>
      <c r="CT71" s="22"/>
      <c r="CU71" s="14"/>
      <c r="CV71" s="22"/>
      <c r="CW71" s="22"/>
      <c r="CX71" s="14"/>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46">
        <f>7.601647 - 13.20417 * BP71 + N("45d Mg#    r2 0.76")</f>
        <v>-1.1024295320197037</v>
      </c>
      <c r="FF71" s="46">
        <f>6.542808 - 11.82852 * BP71 + N("mg#")</f>
        <v>-1.2544517551020409</v>
      </c>
      <c r="FG71" s="46">
        <f>3.803999 - 7.570213 * BP71 + N("mg#")</f>
        <v>-1.1862210074438968</v>
      </c>
      <c r="FH71" s="46">
        <f>4.421323 - 8.556768 * BP71 + N("mg#")</f>
        <v>-1.2192256705137225</v>
      </c>
      <c r="FI71" s="46">
        <f>4.645469 - 8.242464 * BP71 + N("50d mg# r2 0.67")</f>
        <v>-0.78789314759558948</v>
      </c>
      <c r="FJ71" s="46">
        <f>5.169659 - 8.510973 * BP71 + N("mg#")</f>
        <v>-0.44070199610602856</v>
      </c>
      <c r="FK71" s="46"/>
      <c r="FL71" s="46"/>
      <c r="FM71" s="46"/>
      <c r="FN71" s="46"/>
      <c r="FO71" s="46"/>
    </row>
    <row r="72" spans="1:171" x14ac:dyDescent="0.25">
      <c r="A72" s="5" t="s">
        <v>86</v>
      </c>
      <c r="B72" s="1">
        <v>520</v>
      </c>
      <c r="C72" s="98" t="s">
        <v>96</v>
      </c>
      <c r="D72" s="98" t="s">
        <v>105</v>
      </c>
      <c r="E72" s="1">
        <v>31</v>
      </c>
      <c r="F72" s="22">
        <v>52.72</v>
      </c>
      <c r="G72" s="22">
        <v>0.44600000000000001</v>
      </c>
      <c r="H72" s="22">
        <v>1.444</v>
      </c>
      <c r="I72" s="22">
        <v>0.01</v>
      </c>
      <c r="J72" s="22">
        <v>19.57</v>
      </c>
      <c r="K72" s="22">
        <v>0.85199999999999998</v>
      </c>
      <c r="L72" s="22">
        <v>22.19</v>
      </c>
      <c r="M72" s="22">
        <v>1.65</v>
      </c>
      <c r="N72" s="22">
        <v>3.3000000000000002E-2</v>
      </c>
      <c r="O72" s="22">
        <v>0</v>
      </c>
      <c r="P72" s="22"/>
      <c r="Q72" s="22"/>
      <c r="R72" s="22"/>
      <c r="S72" s="22">
        <f t="shared" si="118"/>
        <v>98.915000000000006</v>
      </c>
      <c r="T72" s="3"/>
      <c r="U72" s="22">
        <f t="shared" si="119"/>
        <v>19.57</v>
      </c>
      <c r="V72" s="22">
        <f t="shared" si="120"/>
        <v>0</v>
      </c>
      <c r="W72" s="22">
        <f t="shared" si="121"/>
        <v>98.914999999999992</v>
      </c>
      <c r="X72" s="1">
        <v>1</v>
      </c>
      <c r="Y72" s="1"/>
      <c r="Z72" s="1"/>
      <c r="AA72" s="1" t="s">
        <v>185</v>
      </c>
      <c r="AC72" s="1">
        <v>6</v>
      </c>
      <c r="AD72" s="1">
        <v>4</v>
      </c>
      <c r="AE72" s="1"/>
      <c r="AF72" s="26">
        <f t="shared" si="122"/>
        <v>1.9690980287782767</v>
      </c>
      <c r="AG72" s="26">
        <f t="shared" si="123"/>
        <v>1.2529065000139982E-2</v>
      </c>
      <c r="AH72" s="26">
        <f t="shared" si="124"/>
        <v>6.3560780559022811E-2</v>
      </c>
      <c r="AI72" s="26">
        <f t="shared" si="125"/>
        <v>2.9528190939254661E-4</v>
      </c>
      <c r="AJ72" s="26">
        <f t="shared" si="126"/>
        <v>0.61120361328168193</v>
      </c>
      <c r="AK72" s="26">
        <f t="shared" si="127"/>
        <v>2.6950713696154732E-2</v>
      </c>
      <c r="AL72" s="26">
        <f t="shared" si="128"/>
        <v>1.2355892351069959</v>
      </c>
      <c r="AM72" s="26">
        <f t="shared" si="129"/>
        <v>6.6023386879587836E-2</v>
      </c>
      <c r="AN72" s="26">
        <f t="shared" si="130"/>
        <v>2.3895395522473615E-3</v>
      </c>
      <c r="AO72" s="26">
        <f t="shared" si="131"/>
        <v>0</v>
      </c>
      <c r="AP72" s="26">
        <f t="shared" si="132"/>
        <v>0</v>
      </c>
      <c r="AQ72" s="26">
        <f t="shared" si="133"/>
        <v>0</v>
      </c>
      <c r="AR72" s="26">
        <f t="shared" si="134"/>
        <v>0</v>
      </c>
      <c r="AS72" s="26">
        <f t="shared" si="135"/>
        <v>3.9876396447634996</v>
      </c>
      <c r="AT72" s="26">
        <f t="shared" si="136"/>
        <v>2.0326588093372995</v>
      </c>
      <c r="AU72" s="26">
        <f t="shared" si="137"/>
        <v>6.8412926431835192E-2</v>
      </c>
      <c r="AV72" s="47"/>
      <c r="AW72" s="26">
        <f t="shared" si="138"/>
        <v>1.9752015770673388</v>
      </c>
      <c r="AX72" s="26">
        <f t="shared" si="139"/>
        <v>1.2567900930158459E-2</v>
      </c>
      <c r="AY72" s="26">
        <f t="shared" si="140"/>
        <v>6.3757797816550194E-2</v>
      </c>
      <c r="AZ72" s="26">
        <f t="shared" si="141"/>
        <v>2.9619718499920703E-4</v>
      </c>
      <c r="BA72" s="26">
        <f t="shared" si="142"/>
        <v>0.61309814098603832</v>
      </c>
      <c r="BB72" s="26">
        <f t="shared" si="143"/>
        <v>0</v>
      </c>
      <c r="BC72" s="26">
        <f t="shared" si="144"/>
        <v>2.7034251935523765E-2</v>
      </c>
      <c r="BD72" s="26">
        <f t="shared" si="145"/>
        <v>1.2394191503533181</v>
      </c>
      <c r="BE72" s="26">
        <f t="shared" si="146"/>
        <v>6.6228037396798001E-2</v>
      </c>
      <c r="BF72" s="26">
        <f t="shared" si="147"/>
        <v>2.3969463292755292E-3</v>
      </c>
      <c r="BG72" s="26">
        <f t="shared" si="148"/>
        <v>0</v>
      </c>
      <c r="BH72" s="26">
        <f t="shared" si="149"/>
        <v>0</v>
      </c>
      <c r="BI72" s="26">
        <f t="shared" si="150"/>
        <v>0</v>
      </c>
      <c r="BJ72" s="26">
        <f t="shared" si="151"/>
        <v>0</v>
      </c>
      <c r="BK72" s="25">
        <f t="shared" si="152"/>
        <v>3.9999999999999996</v>
      </c>
      <c r="BL72" s="24">
        <f t="shared" si="153"/>
        <v>6.0185980023336354</v>
      </c>
      <c r="BM72" s="26">
        <f t="shared" si="154"/>
        <v>2.038959374883889</v>
      </c>
      <c r="BN72" s="26">
        <f t="shared" si="155"/>
        <v>6.8624983726073535E-2</v>
      </c>
      <c r="BO72" s="22"/>
      <c r="BP72" s="26">
        <f t="shared" si="156"/>
        <v>0.66904592801788487</v>
      </c>
      <c r="BQ72" s="22"/>
      <c r="BR72" s="22">
        <f t="shared" si="157"/>
        <v>3.4036762465117582E-2</v>
      </c>
      <c r="BS72" s="22">
        <f t="shared" si="158"/>
        <v>0.63697818738825174</v>
      </c>
      <c r="BT72" s="22">
        <f t="shared" si="159"/>
        <v>0.32898505014663071</v>
      </c>
      <c r="BU72" s="1"/>
      <c r="BV72" s="26">
        <f t="shared" si="160"/>
        <v>0.87749667110519303</v>
      </c>
      <c r="BW72" s="26">
        <f t="shared" si="161"/>
        <v>5.5833750625938917E-3</v>
      </c>
      <c r="BX72" s="26">
        <f t="shared" si="162"/>
        <v>2.8324833267948216E-2</v>
      </c>
      <c r="BY72" s="26">
        <f t="shared" si="163"/>
        <v>1.3158760444766102E-4</v>
      </c>
      <c r="BZ72" s="26">
        <f t="shared" si="164"/>
        <v>0.2723729993041058</v>
      </c>
      <c r="CA72" s="26">
        <f t="shared" si="165"/>
        <v>1.20101494220468E-2</v>
      </c>
      <c r="CB72" s="26">
        <f t="shared" si="166"/>
        <v>0.55062034739454102</v>
      </c>
      <c r="CC72" s="26">
        <f t="shared" si="167"/>
        <v>2.9422253922967188E-2</v>
      </c>
      <c r="CD72" s="26">
        <f t="shared" si="168"/>
        <v>1.0648596321393999E-3</v>
      </c>
      <c r="CE72" s="26">
        <f t="shared" si="169"/>
        <v>0</v>
      </c>
      <c r="CF72" s="26">
        <f t="shared" si="170"/>
        <v>0</v>
      </c>
      <c r="CG72" s="26">
        <f t="shared" si="171"/>
        <v>0</v>
      </c>
      <c r="CH72" s="26">
        <f t="shared" si="172"/>
        <v>0</v>
      </c>
      <c r="CI72" s="26">
        <f t="shared" si="173"/>
        <v>1.777027076715983</v>
      </c>
      <c r="CJ72" s="26">
        <f t="shared" si="174"/>
        <v>2.6738029035038982</v>
      </c>
      <c r="CK72" s="26">
        <f t="shared" si="175"/>
        <v>2.2509505074014742</v>
      </c>
      <c r="CL72" s="26">
        <f t="shared" si="176"/>
        <v>6.0185980023336345</v>
      </c>
      <c r="CM72" s="1"/>
      <c r="CN72" s="22"/>
      <c r="CO72" s="96"/>
      <c r="CP72" s="14"/>
      <c r="CQ72" s="14"/>
      <c r="CR72" s="14"/>
      <c r="CS72" s="14"/>
      <c r="CT72" s="22"/>
      <c r="CU72" s="14"/>
      <c r="CV72" s="22"/>
      <c r="CW72" s="22"/>
      <c r="CX72" s="14"/>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46">
        <f>7.601647 - 13.20417 * BP72 + N("45d Mg#    r2 0.76")</f>
        <v>-1.2325491713559149</v>
      </c>
      <c r="FF72" s="46">
        <f>6.542808 - 11.82852 * BP72 + N("mg#")</f>
        <v>-1.3710151404781108</v>
      </c>
      <c r="FG72" s="46">
        <f>3.803999 - 7.570213 * BP72 + N("mg#")</f>
        <v>-1.2608211818780557</v>
      </c>
      <c r="FH72" s="46">
        <f>4.421323 - 8.556768 * BP72 + N("mg#")</f>
        <v>-1.3035477873937404</v>
      </c>
      <c r="FI72" s="46">
        <f>4.645469 - 8.242464 * BP72 + N("50d mg# r2 0.67")</f>
        <v>-0.86911797603400753</v>
      </c>
      <c r="FJ72" s="46">
        <f>5.169659 - 8.510973 * BP72 + N("mg#")</f>
        <v>-0.52457282912016101</v>
      </c>
      <c r="FK72" s="46"/>
      <c r="FL72" s="46"/>
      <c r="FM72" s="46"/>
      <c r="FN72" s="46"/>
      <c r="FO72" s="46"/>
    </row>
    <row r="73" spans="1:171" x14ac:dyDescent="0.25">
      <c r="A73" s="5" t="s">
        <v>86</v>
      </c>
      <c r="B73" s="1">
        <v>521</v>
      </c>
      <c r="C73" s="98" t="s">
        <v>96</v>
      </c>
      <c r="D73" s="98" t="s">
        <v>105</v>
      </c>
      <c r="E73" s="1">
        <v>32</v>
      </c>
      <c r="F73" s="22">
        <v>53.11</v>
      </c>
      <c r="G73" s="22">
        <v>0.47399999999999998</v>
      </c>
      <c r="H73" s="22">
        <v>1.1040000000000001</v>
      </c>
      <c r="I73" s="22">
        <v>6.5000000000000002E-2</v>
      </c>
      <c r="J73" s="22">
        <v>20.25</v>
      </c>
      <c r="K73" s="22">
        <v>0.78300000000000003</v>
      </c>
      <c r="L73" s="22">
        <v>22.21</v>
      </c>
      <c r="M73" s="22">
        <v>1.59</v>
      </c>
      <c r="N73" s="22">
        <v>2.5999999999999999E-2</v>
      </c>
      <c r="O73" s="22">
        <v>0</v>
      </c>
      <c r="P73" s="22"/>
      <c r="Q73" s="22"/>
      <c r="R73" s="22"/>
      <c r="S73" s="22">
        <f t="shared" si="118"/>
        <v>99.611999999999981</v>
      </c>
      <c r="T73" s="3"/>
      <c r="U73" s="22">
        <f t="shared" si="119"/>
        <v>20.25</v>
      </c>
      <c r="V73" s="22">
        <f t="shared" si="120"/>
        <v>0</v>
      </c>
      <c r="W73" s="22">
        <f t="shared" si="121"/>
        <v>99.611999999999995</v>
      </c>
      <c r="X73" s="1">
        <v>1</v>
      </c>
      <c r="Y73" s="1"/>
      <c r="Z73" s="1"/>
      <c r="AA73" s="1" t="s">
        <v>185</v>
      </c>
      <c r="AC73" s="1">
        <v>6</v>
      </c>
      <c r="AD73" s="1">
        <v>4</v>
      </c>
      <c r="AE73" s="1"/>
      <c r="AF73" s="26">
        <f t="shared" si="122"/>
        <v>1.9743823998156491</v>
      </c>
      <c r="AG73" s="26">
        <f t="shared" si="123"/>
        <v>1.3253335103238095E-2</v>
      </c>
      <c r="AH73" s="26">
        <f t="shared" si="124"/>
        <v>4.8367555179391598E-2</v>
      </c>
      <c r="AI73" s="26">
        <f t="shared" si="125"/>
        <v>1.9103512673644375E-3</v>
      </c>
      <c r="AJ73" s="26">
        <f t="shared" si="126"/>
        <v>0.62948175738087875</v>
      </c>
      <c r="AK73" s="26">
        <f t="shared" si="127"/>
        <v>2.46521880230555E-2</v>
      </c>
      <c r="AL73" s="26">
        <f t="shared" si="128"/>
        <v>1.2309159689834837</v>
      </c>
      <c r="AM73" s="26">
        <f t="shared" si="129"/>
        <v>6.3324827130402467E-2</v>
      </c>
      <c r="AN73" s="26">
        <f t="shared" si="130"/>
        <v>1.8738579485428901E-3</v>
      </c>
      <c r="AO73" s="26">
        <f t="shared" si="131"/>
        <v>0</v>
      </c>
      <c r="AP73" s="26">
        <f t="shared" si="132"/>
        <v>0</v>
      </c>
      <c r="AQ73" s="26">
        <f t="shared" si="133"/>
        <v>0</v>
      </c>
      <c r="AR73" s="26">
        <f t="shared" si="134"/>
        <v>0</v>
      </c>
      <c r="AS73" s="26">
        <f t="shared" si="135"/>
        <v>3.9881622408320068</v>
      </c>
      <c r="AT73" s="26">
        <f t="shared" si="136"/>
        <v>2.0227499549950405</v>
      </c>
      <c r="AU73" s="26">
        <f t="shared" si="137"/>
        <v>6.5198685078945356E-2</v>
      </c>
      <c r="AV73" s="47"/>
      <c r="AW73" s="26">
        <f t="shared" si="138"/>
        <v>1.9802428091829638</v>
      </c>
      <c r="AX73" s="26">
        <f t="shared" si="139"/>
        <v>1.3292673971531508E-2</v>
      </c>
      <c r="AY73" s="26">
        <f t="shared" si="140"/>
        <v>4.8511120920999649E-2</v>
      </c>
      <c r="AZ73" s="26">
        <f t="shared" si="141"/>
        <v>1.9160216179830256E-3</v>
      </c>
      <c r="BA73" s="26">
        <f t="shared" si="142"/>
        <v>0.63135020028629218</v>
      </c>
      <c r="BB73" s="26">
        <f t="shared" si="143"/>
        <v>0</v>
      </c>
      <c r="BC73" s="26">
        <f t="shared" si="144"/>
        <v>2.4725361240983602E-2</v>
      </c>
      <c r="BD73" s="26">
        <f t="shared" si="145"/>
        <v>1.234569603393759</v>
      </c>
      <c r="BE73" s="26">
        <f t="shared" si="146"/>
        <v>6.3512789406673389E-2</v>
      </c>
      <c r="BF73" s="26">
        <f t="shared" si="147"/>
        <v>1.8794199788140695E-3</v>
      </c>
      <c r="BG73" s="26">
        <f t="shared" si="148"/>
        <v>0</v>
      </c>
      <c r="BH73" s="26">
        <f t="shared" si="149"/>
        <v>0</v>
      </c>
      <c r="BI73" s="26">
        <f t="shared" si="150"/>
        <v>0</v>
      </c>
      <c r="BJ73" s="26">
        <f t="shared" si="151"/>
        <v>0</v>
      </c>
      <c r="BK73" s="25">
        <f t="shared" si="152"/>
        <v>4</v>
      </c>
      <c r="BL73" s="24">
        <f t="shared" si="153"/>
        <v>6.0178093444345793</v>
      </c>
      <c r="BM73" s="26">
        <f t="shared" si="154"/>
        <v>2.0287539301039637</v>
      </c>
      <c r="BN73" s="26">
        <f t="shared" si="155"/>
        <v>6.5392209385487454E-2</v>
      </c>
      <c r="BO73" s="22"/>
      <c r="BP73" s="26">
        <f t="shared" si="156"/>
        <v>0.66164129935214</v>
      </c>
      <c r="BQ73" s="22"/>
      <c r="BR73" s="22">
        <f t="shared" si="157"/>
        <v>3.2501359097414306E-2</v>
      </c>
      <c r="BS73" s="22">
        <f t="shared" si="158"/>
        <v>0.63176551345793841</v>
      </c>
      <c r="BT73" s="22">
        <f t="shared" si="159"/>
        <v>0.33573312744464734</v>
      </c>
      <c r="BU73" s="1"/>
      <c r="BV73" s="26">
        <f t="shared" si="160"/>
        <v>0.88398801597869514</v>
      </c>
      <c r="BW73" s="26">
        <f t="shared" si="161"/>
        <v>5.933900851276915E-3</v>
      </c>
      <c r="BX73" s="26">
        <f t="shared" si="162"/>
        <v>2.1655551196547669E-2</v>
      </c>
      <c r="BY73" s="26">
        <f t="shared" si="163"/>
        <v>8.5531942890979668E-4</v>
      </c>
      <c r="BZ73" s="26">
        <f t="shared" si="164"/>
        <v>0.28183716075156579</v>
      </c>
      <c r="CA73" s="26">
        <f t="shared" si="165"/>
        <v>1.1037496475895123E-2</v>
      </c>
      <c r="CB73" s="26">
        <f t="shared" si="166"/>
        <v>0.5511166253101738</v>
      </c>
      <c r="CC73" s="26">
        <f t="shared" si="167"/>
        <v>2.8352353780313838E-2</v>
      </c>
      <c r="CD73" s="26">
        <f t="shared" si="168"/>
        <v>8.3898031623104224E-4</v>
      </c>
      <c r="CE73" s="26">
        <f t="shared" si="169"/>
        <v>0</v>
      </c>
      <c r="CF73" s="26">
        <f t="shared" si="170"/>
        <v>0</v>
      </c>
      <c r="CG73" s="26">
        <f t="shared" si="171"/>
        <v>0</v>
      </c>
      <c r="CH73" s="26">
        <f t="shared" si="172"/>
        <v>0</v>
      </c>
      <c r="CI73" s="26">
        <f t="shared" si="173"/>
        <v>1.7856154040896091</v>
      </c>
      <c r="CJ73" s="26">
        <f t="shared" si="174"/>
        <v>2.6863732660741944</v>
      </c>
      <c r="CK73" s="26">
        <f t="shared" si="175"/>
        <v>2.2401240439787697</v>
      </c>
      <c r="CL73" s="26">
        <f t="shared" si="176"/>
        <v>6.0178093444345802</v>
      </c>
      <c r="CM73" s="1"/>
      <c r="CN73" s="22"/>
      <c r="CO73" s="96"/>
      <c r="CP73" s="14"/>
      <c r="CQ73" s="14"/>
      <c r="CR73" s="14"/>
      <c r="CS73" s="14"/>
      <c r="CT73" s="22"/>
      <c r="CU73" s="14"/>
      <c r="CV73" s="22"/>
      <c r="CW73" s="22"/>
      <c r="CX73" s="14"/>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46"/>
      <c r="FF73" s="46"/>
      <c r="FG73" s="46"/>
      <c r="FH73" s="46"/>
      <c r="FI73" s="46"/>
      <c r="FJ73" s="46"/>
      <c r="FK73" s="46"/>
      <c r="FL73" s="46"/>
      <c r="FM73" s="46"/>
      <c r="FN73" s="46"/>
      <c r="FO73" s="46"/>
    </row>
    <row r="74" spans="1:171" x14ac:dyDescent="0.25">
      <c r="A74" s="5" t="s">
        <v>86</v>
      </c>
      <c r="B74" s="1">
        <v>525</v>
      </c>
      <c r="C74" s="98" t="s">
        <v>96</v>
      </c>
      <c r="D74" s="98" t="s">
        <v>105</v>
      </c>
      <c r="E74" s="1">
        <v>36</v>
      </c>
      <c r="F74" s="22">
        <v>53.29</v>
      </c>
      <c r="G74" s="22">
        <v>0.35899999999999999</v>
      </c>
      <c r="H74" s="22">
        <v>1.266</v>
      </c>
      <c r="I74" s="22">
        <v>1.7999999999999999E-2</v>
      </c>
      <c r="J74" s="22">
        <v>19.98</v>
      </c>
      <c r="K74" s="22">
        <v>0.80200000000000005</v>
      </c>
      <c r="L74" s="22">
        <v>21.97</v>
      </c>
      <c r="M74" s="22">
        <v>2.1</v>
      </c>
      <c r="N74" s="22">
        <v>8.9999999999999993E-3</v>
      </c>
      <c r="O74" s="22">
        <v>0</v>
      </c>
      <c r="P74" s="22"/>
      <c r="Q74" s="22"/>
      <c r="R74" s="22"/>
      <c r="S74" s="22">
        <f t="shared" si="118"/>
        <v>99.793999999999997</v>
      </c>
      <c r="T74" s="3"/>
      <c r="U74" s="22">
        <f t="shared" si="119"/>
        <v>19.98</v>
      </c>
      <c r="V74" s="22">
        <f t="shared" si="120"/>
        <v>0</v>
      </c>
      <c r="W74" s="22">
        <f t="shared" si="121"/>
        <v>99.793999999999997</v>
      </c>
      <c r="X74" s="1"/>
      <c r="Y74" s="1"/>
      <c r="Z74" s="1"/>
      <c r="AA74" s="1" t="s">
        <v>185</v>
      </c>
      <c r="AC74" s="1">
        <v>6</v>
      </c>
      <c r="AD74" s="1">
        <v>4</v>
      </c>
      <c r="AE74" s="1"/>
      <c r="AF74" s="26">
        <f t="shared" si="122"/>
        <v>1.9764197117787934</v>
      </c>
      <c r="AG74" s="26">
        <f t="shared" si="123"/>
        <v>1.0014280983738107E-2</v>
      </c>
      <c r="AH74" s="26">
        <f t="shared" si="124"/>
        <v>5.5334661168449158E-2</v>
      </c>
      <c r="AI74" s="26">
        <f t="shared" si="125"/>
        <v>5.2777749341220768E-4</v>
      </c>
      <c r="AJ74" s="26">
        <f t="shared" si="126"/>
        <v>0.61962950840870445</v>
      </c>
      <c r="AK74" s="26">
        <f t="shared" si="127"/>
        <v>2.5191067091683349E-2</v>
      </c>
      <c r="AL74" s="26">
        <f t="shared" si="128"/>
        <v>1.2147541493556384</v>
      </c>
      <c r="AM74" s="26">
        <f t="shared" si="129"/>
        <v>8.3440072005178653E-2</v>
      </c>
      <c r="AN74" s="26">
        <f t="shared" si="130"/>
        <v>6.4711924188223173E-4</v>
      </c>
      <c r="AO74" s="26">
        <f t="shared" si="131"/>
        <v>0</v>
      </c>
      <c r="AP74" s="26">
        <f t="shared" si="132"/>
        <v>0</v>
      </c>
      <c r="AQ74" s="26">
        <f t="shared" si="133"/>
        <v>0</v>
      </c>
      <c r="AR74" s="26">
        <f t="shared" si="134"/>
        <v>0</v>
      </c>
      <c r="AS74" s="26">
        <f t="shared" si="135"/>
        <v>3.9859583475274807</v>
      </c>
      <c r="AT74" s="26">
        <f t="shared" si="136"/>
        <v>2.0317543729472427</v>
      </c>
      <c r="AU74" s="26">
        <f t="shared" si="137"/>
        <v>8.4087191247060891E-2</v>
      </c>
      <c r="AV74" s="47"/>
      <c r="AW74" s="26">
        <f t="shared" si="138"/>
        <v>1.9833822026813517</v>
      </c>
      <c r="AX74" s="26">
        <f t="shared" si="139"/>
        <v>1.0049559087791314E-2</v>
      </c>
      <c r="AY74" s="26">
        <f t="shared" si="140"/>
        <v>5.5529592980090893E-2</v>
      </c>
      <c r="AZ74" s="26">
        <f t="shared" si="141"/>
        <v>5.2963673716218546E-4</v>
      </c>
      <c r="BA74" s="26">
        <f t="shared" si="142"/>
        <v>0.62181232655686469</v>
      </c>
      <c r="BB74" s="26">
        <f t="shared" si="143"/>
        <v>0</v>
      </c>
      <c r="BC74" s="26">
        <f t="shared" si="144"/>
        <v>2.5279809667162791E-2</v>
      </c>
      <c r="BD74" s="26">
        <f t="shared" si="145"/>
        <v>1.219033460406489</v>
      </c>
      <c r="BE74" s="26">
        <f t="shared" si="146"/>
        <v>8.3734012982787098E-2</v>
      </c>
      <c r="BF74" s="26">
        <f t="shared" si="147"/>
        <v>6.4939890030074675E-4</v>
      </c>
      <c r="BG74" s="26">
        <f t="shared" si="148"/>
        <v>0</v>
      </c>
      <c r="BH74" s="26">
        <f t="shared" si="149"/>
        <v>0</v>
      </c>
      <c r="BI74" s="26">
        <f t="shared" si="150"/>
        <v>0</v>
      </c>
      <c r="BJ74" s="26">
        <f t="shared" si="151"/>
        <v>0</v>
      </c>
      <c r="BK74" s="25">
        <f t="shared" si="152"/>
        <v>4.0000000000000009</v>
      </c>
      <c r="BL74" s="24">
        <f t="shared" si="153"/>
        <v>6.02113667717762</v>
      </c>
      <c r="BM74" s="26">
        <f t="shared" si="154"/>
        <v>2.0389117956614426</v>
      </c>
      <c r="BN74" s="26">
        <f t="shared" si="155"/>
        <v>8.4383411883087844E-2</v>
      </c>
      <c r="BO74" s="22"/>
      <c r="BP74" s="26">
        <f t="shared" si="156"/>
        <v>0.66221378729252389</v>
      </c>
      <c r="BQ74" s="22"/>
      <c r="BR74" s="22">
        <f t="shared" si="157"/>
        <v>4.2943611206651564E-2</v>
      </c>
      <c r="BS74" s="22">
        <f t="shared" si="158"/>
        <v>0.6251903749358898</v>
      </c>
      <c r="BT74" s="22">
        <f t="shared" si="159"/>
        <v>0.33186601385745867</v>
      </c>
      <c r="BU74" s="1"/>
      <c r="BV74" s="26">
        <f t="shared" si="160"/>
        <v>0.88698402130492682</v>
      </c>
      <c r="BW74" s="26">
        <f t="shared" si="161"/>
        <v>4.4942413620430643E-3</v>
      </c>
      <c r="BX74" s="26">
        <f t="shared" si="162"/>
        <v>2.4833267948214988E-2</v>
      </c>
      <c r="BY74" s="26">
        <f t="shared" si="163"/>
        <v>2.3685768800578983E-4</v>
      </c>
      <c r="BZ74" s="26">
        <f t="shared" si="164"/>
        <v>0.27807933194154494</v>
      </c>
      <c r="CA74" s="26">
        <f t="shared" si="165"/>
        <v>1.1305328446574571E-2</v>
      </c>
      <c r="CB74" s="26">
        <f t="shared" si="166"/>
        <v>0.54516129032258065</v>
      </c>
      <c r="CC74" s="26">
        <f t="shared" si="167"/>
        <v>3.7446504992867335E-2</v>
      </c>
      <c r="CD74" s="26">
        <f t="shared" si="168"/>
        <v>2.9041626331074538E-4</v>
      </c>
      <c r="CE74" s="26">
        <f t="shared" si="169"/>
        <v>0</v>
      </c>
      <c r="CF74" s="26">
        <f t="shared" si="170"/>
        <v>0</v>
      </c>
      <c r="CG74" s="26">
        <f t="shared" si="171"/>
        <v>0</v>
      </c>
      <c r="CH74" s="26">
        <f t="shared" si="172"/>
        <v>0</v>
      </c>
      <c r="CI74" s="26">
        <f t="shared" si="173"/>
        <v>1.7888312602700689</v>
      </c>
      <c r="CJ74" s="26">
        <f t="shared" si="174"/>
        <v>2.6926993776234931</v>
      </c>
      <c r="CK74" s="26">
        <f t="shared" si="175"/>
        <v>2.2360968800355714</v>
      </c>
      <c r="CL74" s="26">
        <f t="shared" si="176"/>
        <v>6.0211366771776174</v>
      </c>
      <c r="CM74" s="1"/>
      <c r="CN74" s="22"/>
      <c r="CO74" s="96"/>
      <c r="CP74" s="14"/>
      <c r="CQ74" s="14"/>
      <c r="CR74" s="14"/>
      <c r="CS74" s="14"/>
      <c r="CT74" s="22"/>
      <c r="CU74" s="14"/>
      <c r="CV74" s="22"/>
      <c r="CW74" s="22"/>
      <c r="CX74" s="14"/>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46"/>
      <c r="FF74" s="46"/>
      <c r="FG74" s="46"/>
      <c r="FH74" s="46"/>
      <c r="FI74" s="46"/>
      <c r="FJ74" s="46"/>
      <c r="FK74" s="46"/>
      <c r="FL74" s="46"/>
      <c r="FM74" s="46"/>
      <c r="FN74" s="46"/>
      <c r="FO74" s="46"/>
    </row>
    <row r="75" spans="1:171" x14ac:dyDescent="0.25">
      <c r="A75" s="5" t="s">
        <v>86</v>
      </c>
      <c r="B75" s="1">
        <v>528</v>
      </c>
      <c r="C75" s="98" t="s">
        <v>96</v>
      </c>
      <c r="D75" s="98" t="s">
        <v>105</v>
      </c>
      <c r="E75" s="1">
        <v>39</v>
      </c>
      <c r="F75" s="22">
        <v>51.53</v>
      </c>
      <c r="G75" s="22">
        <v>0.39600000000000002</v>
      </c>
      <c r="H75" s="22">
        <v>1.498</v>
      </c>
      <c r="I75" s="22">
        <v>1.7000000000000001E-2</v>
      </c>
      <c r="J75" s="22">
        <v>21.79</v>
      </c>
      <c r="K75" s="22">
        <v>0.874</v>
      </c>
      <c r="L75" s="22">
        <v>20.46</v>
      </c>
      <c r="M75" s="22">
        <v>1.6</v>
      </c>
      <c r="N75" s="22">
        <v>0.05</v>
      </c>
      <c r="O75" s="22">
        <v>0</v>
      </c>
      <c r="P75" s="22"/>
      <c r="Q75" s="22"/>
      <c r="R75" s="22"/>
      <c r="S75" s="22">
        <f t="shared" si="118"/>
        <v>98.214999999999989</v>
      </c>
      <c r="T75" s="3"/>
      <c r="U75" s="22">
        <f t="shared" si="119"/>
        <v>21.79</v>
      </c>
      <c r="V75" s="22">
        <f t="shared" si="120"/>
        <v>0</v>
      </c>
      <c r="W75" s="22">
        <f t="shared" si="121"/>
        <v>98.215000000000003</v>
      </c>
      <c r="X75" s="1">
        <v>2</v>
      </c>
      <c r="Y75" s="1"/>
      <c r="Z75" s="1"/>
      <c r="AA75" s="1" t="s">
        <v>185</v>
      </c>
      <c r="AC75" s="1">
        <v>6</v>
      </c>
      <c r="AD75" s="1">
        <v>4</v>
      </c>
      <c r="AE75" s="1"/>
      <c r="AF75" s="26">
        <f t="shared" si="122"/>
        <v>1.96243225854563</v>
      </c>
      <c r="AG75" s="26">
        <f t="shared" si="123"/>
        <v>1.1342834238985806E-2</v>
      </c>
      <c r="AH75" s="26">
        <f t="shared" si="124"/>
        <v>6.7232063044987883E-2</v>
      </c>
      <c r="AI75" s="26">
        <f t="shared" si="125"/>
        <v>5.1183308787503847E-4</v>
      </c>
      <c r="AJ75" s="26">
        <f t="shared" si="126"/>
        <v>0.69389684606791491</v>
      </c>
      <c r="AK75" s="26">
        <f t="shared" si="127"/>
        <v>2.8189326786860099E-2</v>
      </c>
      <c r="AL75" s="26">
        <f t="shared" si="128"/>
        <v>1.1616225628335721</v>
      </c>
      <c r="AM75" s="26">
        <f t="shared" si="129"/>
        <v>6.527944199557531E-2</v>
      </c>
      <c r="AN75" s="26">
        <f t="shared" si="130"/>
        <v>3.6915850951031218E-3</v>
      </c>
      <c r="AO75" s="26">
        <f t="shared" si="131"/>
        <v>0</v>
      </c>
      <c r="AP75" s="26">
        <f t="shared" si="132"/>
        <v>0</v>
      </c>
      <c r="AQ75" s="26">
        <f t="shared" si="133"/>
        <v>0</v>
      </c>
      <c r="AR75" s="26">
        <f t="shared" si="134"/>
        <v>0</v>
      </c>
      <c r="AS75" s="26">
        <f t="shared" si="135"/>
        <v>3.9941987516965041</v>
      </c>
      <c r="AT75" s="26">
        <f t="shared" si="136"/>
        <v>2.029664321590618</v>
      </c>
      <c r="AU75" s="26">
        <f t="shared" si="137"/>
        <v>6.8971027090678427E-2</v>
      </c>
      <c r="AV75" s="47"/>
      <c r="AW75" s="26">
        <f t="shared" si="138"/>
        <v>1.9652825315336169</v>
      </c>
      <c r="AX75" s="26">
        <f t="shared" si="139"/>
        <v>1.1359308781685463E-2</v>
      </c>
      <c r="AY75" s="26">
        <f t="shared" si="140"/>
        <v>6.7329712139568995E-2</v>
      </c>
      <c r="AZ75" s="26">
        <f t="shared" si="141"/>
        <v>5.1257648373921431E-4</v>
      </c>
      <c r="BA75" s="26">
        <f t="shared" si="142"/>
        <v>0.69490467470922679</v>
      </c>
      <c r="BB75" s="26">
        <f t="shared" si="143"/>
        <v>0</v>
      </c>
      <c r="BC75" s="26">
        <f t="shared" si="144"/>
        <v>2.8230269487603137E-2</v>
      </c>
      <c r="BD75" s="26">
        <f t="shared" si="145"/>
        <v>1.1633097249756859</v>
      </c>
      <c r="BE75" s="26">
        <f t="shared" si="146"/>
        <v>6.5374255067150444E-2</v>
      </c>
      <c r="BF75" s="26">
        <f t="shared" si="147"/>
        <v>3.6969468217225286E-3</v>
      </c>
      <c r="BG75" s="26">
        <f t="shared" si="148"/>
        <v>0</v>
      </c>
      <c r="BH75" s="26">
        <f t="shared" si="149"/>
        <v>0</v>
      </c>
      <c r="BI75" s="26">
        <f t="shared" si="150"/>
        <v>0</v>
      </c>
      <c r="BJ75" s="26">
        <f t="shared" si="151"/>
        <v>0</v>
      </c>
      <c r="BK75" s="25">
        <f t="shared" si="152"/>
        <v>3.9999999999999991</v>
      </c>
      <c r="BL75" s="24">
        <f t="shared" si="153"/>
        <v>6.0087145112160947</v>
      </c>
      <c r="BM75" s="26">
        <f t="shared" si="154"/>
        <v>2.0326122436731859</v>
      </c>
      <c r="BN75" s="26">
        <f t="shared" si="155"/>
        <v>6.9071201888872974E-2</v>
      </c>
      <c r="BO75" s="22"/>
      <c r="BP75" s="26">
        <f t="shared" si="156"/>
        <v>0.62603633099223743</v>
      </c>
      <c r="BQ75" s="22"/>
      <c r="BR75" s="22">
        <f t="shared" si="157"/>
        <v>3.349401640452742E-2</v>
      </c>
      <c r="BS75" s="22">
        <f t="shared" si="158"/>
        <v>0.59601313960456381</v>
      </c>
      <c r="BT75" s="22">
        <f t="shared" si="159"/>
        <v>0.37049284399090865</v>
      </c>
      <c r="BU75" s="1"/>
      <c r="BV75" s="26">
        <f t="shared" si="160"/>
        <v>0.8576897470039947</v>
      </c>
      <c r="BW75" s="26">
        <f t="shared" si="161"/>
        <v>4.9574361542313473E-3</v>
      </c>
      <c r="BX75" s="26">
        <f t="shared" si="162"/>
        <v>2.9384072185170657E-2</v>
      </c>
      <c r="BY75" s="26">
        <f t="shared" si="163"/>
        <v>2.2369892756102374E-4</v>
      </c>
      <c r="BZ75" s="26">
        <f t="shared" si="164"/>
        <v>0.30327070285316632</v>
      </c>
      <c r="CA75" s="26">
        <f t="shared" si="165"/>
        <v>1.2320270651254581E-2</v>
      </c>
      <c r="CB75" s="26">
        <f t="shared" si="166"/>
        <v>0.50769230769230778</v>
      </c>
      <c r="CC75" s="26">
        <f t="shared" si="167"/>
        <v>2.8530670470756064E-2</v>
      </c>
      <c r="CD75" s="26">
        <f t="shared" si="168"/>
        <v>1.6134236850596968E-3</v>
      </c>
      <c r="CE75" s="26">
        <f t="shared" si="169"/>
        <v>0</v>
      </c>
      <c r="CF75" s="26">
        <f t="shared" si="170"/>
        <v>0</v>
      </c>
      <c r="CG75" s="26">
        <f t="shared" si="171"/>
        <v>0</v>
      </c>
      <c r="CH75" s="26">
        <f t="shared" si="172"/>
        <v>0</v>
      </c>
      <c r="CI75" s="26">
        <f t="shared" si="173"/>
        <v>1.7456823296235024</v>
      </c>
      <c r="CJ75" s="26">
        <f t="shared" si="174"/>
        <v>2.6223266864955641</v>
      </c>
      <c r="CK75" s="26">
        <f t="shared" si="175"/>
        <v>2.2913676401036231</v>
      </c>
      <c r="CL75" s="26">
        <f t="shared" si="176"/>
        <v>6.0087145112160947</v>
      </c>
      <c r="CM75" s="1"/>
      <c r="CN75" s="22">
        <v>20.161884363130163</v>
      </c>
      <c r="CO75" s="96">
        <v>166.66430541796291</v>
      </c>
      <c r="CP75" s="14">
        <v>123415.5705148042</v>
      </c>
      <c r="CQ75" s="14">
        <v>7655.3602280736841</v>
      </c>
      <c r="CR75" s="14">
        <v>240904.60446424785</v>
      </c>
      <c r="CS75" s="14">
        <v>11404.281110692573</v>
      </c>
      <c r="CT75" s="22">
        <v>73.328930554848043</v>
      </c>
      <c r="CU75" s="14">
        <v>2606.4221004845026</v>
      </c>
      <c r="CV75" s="22">
        <v>83.505865699781737</v>
      </c>
      <c r="CW75" s="22">
        <v>0.49465532370732906</v>
      </c>
      <c r="CX75" s="14">
        <v>6712.7960054812211</v>
      </c>
      <c r="CY75" s="22">
        <v>48.469586524782329</v>
      </c>
      <c r="CZ75" s="22">
        <v>0</v>
      </c>
      <c r="DA75" s="22">
        <v>0.85108045248897302</v>
      </c>
      <c r="DB75" s="22">
        <v>309.89087555403449</v>
      </c>
      <c r="DC75" s="22">
        <v>0</v>
      </c>
      <c r="DD75" s="22">
        <v>0</v>
      </c>
      <c r="DE75" s="22">
        <v>0.19526533204767035</v>
      </c>
      <c r="DF75" s="22">
        <v>14.296824465155558</v>
      </c>
      <c r="DG75" s="22">
        <v>6.8833589889331535</v>
      </c>
      <c r="DH75" s="22">
        <v>0</v>
      </c>
      <c r="DI75" s="22">
        <v>0</v>
      </c>
      <c r="DJ75" s="22">
        <v>9.6935744121947942E-2</v>
      </c>
      <c r="DK75" s="22">
        <v>0.13991055638200228</v>
      </c>
      <c r="DL75" s="22">
        <v>0.52548274732265687</v>
      </c>
      <c r="DM75" s="22">
        <v>7.1158917418045156E-2</v>
      </c>
      <c r="DN75" s="22">
        <v>0.52177038604111547</v>
      </c>
      <c r="DO75" s="22">
        <v>0.33922338344030872</v>
      </c>
      <c r="DP75" s="22">
        <v>0.1580469572024083</v>
      </c>
      <c r="DQ75" s="22">
        <v>0.87775168225528433</v>
      </c>
      <c r="DR75" s="22">
        <v>0.22570600919109185</v>
      </c>
      <c r="DS75" s="22">
        <v>2.0600963510028132</v>
      </c>
      <c r="DT75" s="22">
        <v>0.47418939804326699</v>
      </c>
      <c r="DU75" s="22">
        <v>2.0531069380500546</v>
      </c>
      <c r="DV75" s="22">
        <v>0.40376228575282525</v>
      </c>
      <c r="DW75" s="22">
        <v>2.9225435763221808</v>
      </c>
      <c r="DX75" s="22">
        <v>0.4422684435440955</v>
      </c>
      <c r="DY75" s="22">
        <v>0.44265955119690414</v>
      </c>
      <c r="DZ75" s="22">
        <v>0</v>
      </c>
      <c r="EA75" s="22">
        <v>0</v>
      </c>
      <c r="EB75" s="22">
        <v>1.5939534558509494E-2</v>
      </c>
      <c r="EC75" s="22">
        <v>6.7234194721818479E-3</v>
      </c>
      <c r="ED75" s="22">
        <f>(DP75/0.05883)/SQRT((DO75/0.1536)*(DQ75/0.2069))</f>
        <v>0.87767639414636545</v>
      </c>
      <c r="EE75" s="22"/>
      <c r="EF75" s="22"/>
      <c r="EG75" s="22"/>
      <c r="EH75" s="22"/>
      <c r="EI75" s="22"/>
      <c r="EJ75" s="22"/>
      <c r="EK75" s="22"/>
      <c r="EL75" s="22"/>
      <c r="EM75" s="22"/>
      <c r="EN75" s="22"/>
      <c r="EO75" s="22"/>
      <c r="EP75" s="22"/>
      <c r="EQ75" s="22"/>
      <c r="ER75" s="22">
        <f>3.073297 -6.710523 * BP75 +N("opx mg#")</f>
        <v>-1.1277341979590219</v>
      </c>
      <c r="ES75" s="22" t="e">
        <f>-3.726231 -0.216482*LN(#REF!) + N("31 liquid mgo, liq MgO calculated from equilibrium Fe/Mg of liquid from opx composition, then regression of literature MgO vs Fe/Mg")</f>
        <v>#REF!</v>
      </c>
      <c r="ET75" s="22"/>
      <c r="EU75" s="22"/>
      <c r="EV75" s="22">
        <f>10.033975 - 17.897808 * BP75 + N("66 mg#   R2 0.46")</f>
        <v>-1.1707030531235159</v>
      </c>
      <c r="EW75" s="22">
        <f>7.162348 - 16.15931 * BP75 + N("38d mg# r2 0.38")</f>
        <v>-2.9539671437661728</v>
      </c>
      <c r="EX75" s="22">
        <f>4.451575 - 11.66175 * BP75 + N("mg#")</f>
        <v>-2.8491041829487243</v>
      </c>
      <c r="EY75" s="22"/>
      <c r="EZ75" s="22">
        <f>5.675764 - 12.3354 * BP75 + N("mg#")</f>
        <v>-2.0466445573216454</v>
      </c>
      <c r="FA75" s="22">
        <f>5.273598 - 11.10504 * BP75 + N("mg#")</f>
        <v>-1.6785604971220369</v>
      </c>
      <c r="FB75" s="22">
        <f>6.313568 - 12.50612 * BP75 + N("mg#")</f>
        <v>-1.5157174797486395</v>
      </c>
      <c r="FC75" s="22">
        <f>6.81086 - 13.3177 * BP75 + N("mg#")</f>
        <v>-1.5265040452553205</v>
      </c>
      <c r="FD75" s="22">
        <f>8.616762 - 14.50395 * BP75 + N("mg#")</f>
        <v>-0.46323764289486213</v>
      </c>
      <c r="FE75" s="46"/>
      <c r="FF75" s="46"/>
      <c r="FG75" s="46"/>
      <c r="FH75" s="46"/>
      <c r="FI75" s="46"/>
      <c r="FJ75" s="46"/>
      <c r="FK75" s="46"/>
      <c r="FL75" s="46"/>
      <c r="FM75" s="46"/>
      <c r="FN75" s="46"/>
      <c r="FO75" s="46"/>
    </row>
    <row r="76" spans="1:171" x14ac:dyDescent="0.25">
      <c r="A76" s="5" t="s">
        <v>86</v>
      </c>
      <c r="B76" s="1">
        <v>530</v>
      </c>
      <c r="C76" s="98" t="s">
        <v>96</v>
      </c>
      <c r="D76" s="98" t="s">
        <v>105</v>
      </c>
      <c r="E76" s="1">
        <v>41</v>
      </c>
      <c r="F76" s="22">
        <v>53.15</v>
      </c>
      <c r="G76" s="22">
        <v>0.33100000000000002</v>
      </c>
      <c r="H76" s="22">
        <v>1.3420000000000001</v>
      </c>
      <c r="I76" s="22">
        <v>0</v>
      </c>
      <c r="J76" s="22">
        <v>19.32</v>
      </c>
      <c r="K76" s="22">
        <v>0.69</v>
      </c>
      <c r="L76" s="22">
        <v>22.36</v>
      </c>
      <c r="M76" s="22">
        <v>1.68</v>
      </c>
      <c r="N76" s="22">
        <v>4.4999999999999998E-2</v>
      </c>
      <c r="O76" s="22">
        <v>0.01</v>
      </c>
      <c r="P76" s="22"/>
      <c r="Q76" s="22"/>
      <c r="R76" s="22"/>
      <c r="S76" s="22">
        <f t="shared" si="118"/>
        <v>98.928000000000011</v>
      </c>
      <c r="T76" s="3"/>
      <c r="U76" s="22">
        <f t="shared" si="119"/>
        <v>19.32</v>
      </c>
      <c r="V76" s="22">
        <f t="shared" si="120"/>
        <v>0</v>
      </c>
      <c r="W76" s="22">
        <f t="shared" si="121"/>
        <v>98.927999999999997</v>
      </c>
      <c r="X76" s="1"/>
      <c r="Y76" s="1"/>
      <c r="Z76" s="1"/>
      <c r="AA76" s="1" t="s">
        <v>185</v>
      </c>
      <c r="AC76" s="1">
        <v>6</v>
      </c>
      <c r="AD76" s="1">
        <v>4</v>
      </c>
      <c r="AE76" s="1"/>
      <c r="AF76" s="26">
        <f t="shared" si="122"/>
        <v>1.9795863352994556</v>
      </c>
      <c r="AG76" s="26">
        <f t="shared" si="123"/>
        <v>9.2723761242065172E-3</v>
      </c>
      <c r="AH76" s="26">
        <f t="shared" si="124"/>
        <v>5.890522065070062E-2</v>
      </c>
      <c r="AI76" s="26">
        <f t="shared" si="125"/>
        <v>0</v>
      </c>
      <c r="AJ76" s="26">
        <f t="shared" si="126"/>
        <v>0.601701995840076</v>
      </c>
      <c r="AK76" s="26">
        <f t="shared" si="127"/>
        <v>2.176501691626196E-2</v>
      </c>
      <c r="AL76" s="26">
        <f t="shared" si="128"/>
        <v>1.2415604095690287</v>
      </c>
      <c r="AM76" s="26">
        <f t="shared" si="129"/>
        <v>6.703511815590997E-2</v>
      </c>
      <c r="AN76" s="26">
        <f t="shared" si="130"/>
        <v>3.249316680078336E-3</v>
      </c>
      <c r="AO76" s="26">
        <f t="shared" si="131"/>
        <v>4.7509471061867248E-4</v>
      </c>
      <c r="AP76" s="26">
        <f t="shared" si="132"/>
        <v>0</v>
      </c>
      <c r="AQ76" s="26">
        <f t="shared" si="133"/>
        <v>0</v>
      </c>
      <c r="AR76" s="26">
        <f t="shared" si="134"/>
        <v>0</v>
      </c>
      <c r="AS76" s="26">
        <f t="shared" si="135"/>
        <v>3.9835508839463367</v>
      </c>
      <c r="AT76" s="26">
        <f t="shared" si="136"/>
        <v>2.0384915559501562</v>
      </c>
      <c r="AU76" s="26">
        <f t="shared" si="137"/>
        <v>7.0759529546606983E-2</v>
      </c>
      <c r="AV76" s="47"/>
      <c r="AW76" s="26">
        <f t="shared" si="138"/>
        <v>1.9877605613395479</v>
      </c>
      <c r="AX76" s="26">
        <f t="shared" si="139"/>
        <v>9.3106641730864616E-3</v>
      </c>
      <c r="AY76" s="26">
        <f t="shared" si="140"/>
        <v>5.9148455603354244E-2</v>
      </c>
      <c r="AZ76" s="26">
        <f t="shared" si="141"/>
        <v>0</v>
      </c>
      <c r="BA76" s="26">
        <f t="shared" si="142"/>
        <v>0.60418657963168287</v>
      </c>
      <c r="BB76" s="26">
        <f t="shared" si="143"/>
        <v>0</v>
      </c>
      <c r="BC76" s="26">
        <f t="shared" si="144"/>
        <v>2.1854890323078059E-2</v>
      </c>
      <c r="BD76" s="26">
        <f t="shared" si="145"/>
        <v>1.2466871349102155</v>
      </c>
      <c r="BE76" s="26">
        <f t="shared" si="146"/>
        <v>6.731192356654532E-2</v>
      </c>
      <c r="BF76" s="26">
        <f t="shared" si="147"/>
        <v>3.2627339524373029E-3</v>
      </c>
      <c r="BG76" s="26">
        <f t="shared" si="148"/>
        <v>4.7705650005205012E-4</v>
      </c>
      <c r="BH76" s="26">
        <f t="shared" si="149"/>
        <v>0</v>
      </c>
      <c r="BI76" s="26">
        <f t="shared" si="150"/>
        <v>0</v>
      </c>
      <c r="BJ76" s="26">
        <f t="shared" si="151"/>
        <v>0</v>
      </c>
      <c r="BK76" s="25">
        <f t="shared" si="152"/>
        <v>4</v>
      </c>
      <c r="BL76" s="24">
        <f t="shared" si="153"/>
        <v>6.0247755580880655</v>
      </c>
      <c r="BM76" s="26">
        <f t="shared" si="154"/>
        <v>2.0469090169429021</v>
      </c>
      <c r="BN76" s="26">
        <f t="shared" si="155"/>
        <v>7.1051714019034665E-2</v>
      </c>
      <c r="BO76" s="22"/>
      <c r="BP76" s="26">
        <f t="shared" si="156"/>
        <v>0.6735668269073547</v>
      </c>
      <c r="BQ76" s="22"/>
      <c r="BR76" s="22">
        <f t="shared" si="157"/>
        <v>3.4696142982623912E-2</v>
      </c>
      <c r="BS76" s="22">
        <f t="shared" si="158"/>
        <v>0.64260880978508916</v>
      </c>
      <c r="BT76" s="22">
        <f t="shared" si="159"/>
        <v>0.32269504723228704</v>
      </c>
      <c r="BU76" s="1"/>
      <c r="BV76" s="26">
        <f t="shared" si="160"/>
        <v>0.8846537949400799</v>
      </c>
      <c r="BW76" s="26">
        <f t="shared" si="161"/>
        <v>4.1437155733600401E-3</v>
      </c>
      <c r="BX76" s="26">
        <f t="shared" si="162"/>
        <v>2.6324048646528053E-2</v>
      </c>
      <c r="BY76" s="26">
        <f t="shared" si="163"/>
        <v>0</v>
      </c>
      <c r="BZ76" s="26">
        <f t="shared" si="164"/>
        <v>0.26889352818371609</v>
      </c>
      <c r="CA76" s="26">
        <f t="shared" si="165"/>
        <v>9.7265294615167738E-3</v>
      </c>
      <c r="CB76" s="26">
        <f t="shared" si="166"/>
        <v>0.55483870967741933</v>
      </c>
      <c r="CC76" s="26">
        <f t="shared" si="167"/>
        <v>2.9957203994293864E-2</v>
      </c>
      <c r="CD76" s="26">
        <f t="shared" si="168"/>
        <v>1.4520813165537271E-3</v>
      </c>
      <c r="CE76" s="26">
        <f t="shared" si="169"/>
        <v>2.1231422505307856E-4</v>
      </c>
      <c r="CF76" s="26">
        <f t="shared" si="170"/>
        <v>0</v>
      </c>
      <c r="CG76" s="26">
        <f t="shared" si="171"/>
        <v>0</v>
      </c>
      <c r="CH76" s="26">
        <f t="shared" si="172"/>
        <v>0</v>
      </c>
      <c r="CI76" s="26">
        <f t="shared" si="173"/>
        <v>1.7802019260185209</v>
      </c>
      <c r="CJ76" s="26">
        <f t="shared" si="174"/>
        <v>2.6813292630844212</v>
      </c>
      <c r="CK76" s="26">
        <f t="shared" si="175"/>
        <v>2.2469361152451559</v>
      </c>
      <c r="CL76" s="26">
        <f t="shared" si="176"/>
        <v>6.0247755580880664</v>
      </c>
      <c r="CM76" s="1"/>
      <c r="CN76" s="22"/>
      <c r="CO76" s="96"/>
      <c r="CP76" s="14"/>
      <c r="CQ76" s="14"/>
      <c r="CR76" s="14"/>
      <c r="CS76" s="14"/>
      <c r="CT76" s="22"/>
      <c r="CU76" s="14"/>
      <c r="CV76" s="22"/>
      <c r="CW76" s="22"/>
      <c r="CX76" s="14"/>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46"/>
      <c r="FF76" s="46"/>
      <c r="FG76" s="46"/>
      <c r="FH76" s="46"/>
      <c r="FI76" s="46"/>
      <c r="FJ76" s="46"/>
      <c r="FK76" s="46"/>
      <c r="FL76" s="46"/>
      <c r="FM76" s="46"/>
      <c r="FN76" s="46"/>
      <c r="FO76" s="46"/>
    </row>
    <row r="77" spans="1:171" x14ac:dyDescent="0.25">
      <c r="A77" s="5" t="s">
        <v>86</v>
      </c>
      <c r="B77" s="1">
        <v>531</v>
      </c>
      <c r="C77" s="98" t="s">
        <v>96</v>
      </c>
      <c r="D77" s="98" t="s">
        <v>105</v>
      </c>
      <c r="E77" s="1">
        <v>42</v>
      </c>
      <c r="F77" s="22">
        <v>52.98</v>
      </c>
      <c r="G77" s="22">
        <v>0.50900000000000001</v>
      </c>
      <c r="H77" s="22">
        <v>1.198</v>
      </c>
      <c r="I77" s="22">
        <v>1.7999999999999999E-2</v>
      </c>
      <c r="J77" s="22">
        <v>20.16</v>
      </c>
      <c r="K77" s="22">
        <v>0.79900000000000004</v>
      </c>
      <c r="L77" s="22">
        <v>21.91</v>
      </c>
      <c r="M77" s="22">
        <v>1.98</v>
      </c>
      <c r="N77" s="22">
        <v>5.1999999999999998E-2</v>
      </c>
      <c r="O77" s="22">
        <v>0</v>
      </c>
      <c r="P77" s="22"/>
      <c r="Q77" s="22"/>
      <c r="R77" s="22"/>
      <c r="S77" s="22">
        <f t="shared" si="118"/>
        <v>99.606000000000009</v>
      </c>
      <c r="T77" s="3"/>
      <c r="U77" s="22">
        <f t="shared" si="119"/>
        <v>20.16</v>
      </c>
      <c r="V77" s="22">
        <f t="shared" si="120"/>
        <v>0</v>
      </c>
      <c r="W77" s="22">
        <f t="shared" si="121"/>
        <v>99.605999999999995</v>
      </c>
      <c r="X77" s="1"/>
      <c r="Y77" s="1"/>
      <c r="Z77" s="1"/>
      <c r="AA77" s="1" t="s">
        <v>185</v>
      </c>
      <c r="AC77" s="1">
        <v>6</v>
      </c>
      <c r="AD77" s="1">
        <v>4</v>
      </c>
      <c r="AE77" s="1"/>
      <c r="AF77" s="26">
        <f t="shared" si="122"/>
        <v>1.9715388843055093</v>
      </c>
      <c r="AG77" s="26">
        <f t="shared" si="123"/>
        <v>1.4246331414368436E-2</v>
      </c>
      <c r="AH77" s="26">
        <f t="shared" si="124"/>
        <v>5.253881872659108E-2</v>
      </c>
      <c r="AI77" s="26">
        <f t="shared" si="125"/>
        <v>5.2955467059952904E-4</v>
      </c>
      <c r="AJ77" s="26">
        <f t="shared" si="126"/>
        <v>0.62731702234205389</v>
      </c>
      <c r="AK77" s="26">
        <f t="shared" si="127"/>
        <v>2.5181344365016418E-2</v>
      </c>
      <c r="AL77" s="26">
        <f t="shared" si="128"/>
        <v>1.2155159120228121</v>
      </c>
      <c r="AM77" s="26">
        <f t="shared" si="129"/>
        <v>7.8936979157332984E-2</v>
      </c>
      <c r="AN77" s="26">
        <f t="shared" si="130"/>
        <v>3.7515011544852878E-3</v>
      </c>
      <c r="AO77" s="26">
        <f t="shared" si="131"/>
        <v>0</v>
      </c>
      <c r="AP77" s="26">
        <f t="shared" si="132"/>
        <v>0</v>
      </c>
      <c r="AQ77" s="26">
        <f t="shared" si="133"/>
        <v>0</v>
      </c>
      <c r="AR77" s="26">
        <f t="shared" si="134"/>
        <v>0</v>
      </c>
      <c r="AS77" s="26">
        <f t="shared" si="135"/>
        <v>3.9895563481587684</v>
      </c>
      <c r="AT77" s="26">
        <f t="shared" si="136"/>
        <v>2.0240777030321002</v>
      </c>
      <c r="AU77" s="26">
        <f t="shared" si="137"/>
        <v>8.2688480311818274E-2</v>
      </c>
      <c r="AV77" s="47"/>
      <c r="AW77" s="26">
        <f t="shared" si="138"/>
        <v>1.9766998756294292</v>
      </c>
      <c r="AX77" s="26">
        <f t="shared" si="139"/>
        <v>1.4283624715257676E-2</v>
      </c>
      <c r="AY77" s="26">
        <f t="shared" si="140"/>
        <v>5.2676352096982834E-2</v>
      </c>
      <c r="AZ77" s="26">
        <f t="shared" si="141"/>
        <v>5.3094091110549209E-4</v>
      </c>
      <c r="BA77" s="26">
        <f t="shared" si="142"/>
        <v>0.62895918001666395</v>
      </c>
      <c r="BB77" s="26">
        <f t="shared" si="143"/>
        <v>0</v>
      </c>
      <c r="BC77" s="26">
        <f t="shared" si="144"/>
        <v>2.5247262770596468E-2</v>
      </c>
      <c r="BD77" s="26">
        <f t="shared" si="145"/>
        <v>1.2186978259713397</v>
      </c>
      <c r="BE77" s="26">
        <f t="shared" si="146"/>
        <v>7.9143616250727647E-2</v>
      </c>
      <c r="BF77" s="26">
        <f t="shared" si="147"/>
        <v>3.7613216378975609E-3</v>
      </c>
      <c r="BG77" s="26">
        <f t="shared" si="148"/>
        <v>0</v>
      </c>
      <c r="BH77" s="26">
        <f t="shared" si="149"/>
        <v>0</v>
      </c>
      <c r="BI77" s="26">
        <f t="shared" si="150"/>
        <v>0</v>
      </c>
      <c r="BJ77" s="26">
        <f t="shared" si="151"/>
        <v>0</v>
      </c>
      <c r="BK77" s="25">
        <f t="shared" si="152"/>
        <v>4.0000000000000009</v>
      </c>
      <c r="BL77" s="24">
        <f t="shared" si="153"/>
        <v>6.0157064860297833</v>
      </c>
      <c r="BM77" s="26">
        <f t="shared" si="154"/>
        <v>2.029376227726412</v>
      </c>
      <c r="BN77" s="26">
        <f t="shared" si="155"/>
        <v>8.2904937888625213E-2</v>
      </c>
      <c r="BO77" s="22"/>
      <c r="BP77" s="26">
        <f t="shared" si="156"/>
        <v>0.65959094248646077</v>
      </c>
      <c r="BQ77" s="22"/>
      <c r="BR77" s="22">
        <f t="shared" si="157"/>
        <v>4.0543890781833701E-2</v>
      </c>
      <c r="BS77" s="22">
        <f t="shared" si="158"/>
        <v>0.62431758735545373</v>
      </c>
      <c r="BT77" s="22">
        <f t="shared" si="159"/>
        <v>0.33513852186271259</v>
      </c>
      <c r="BU77" s="1"/>
      <c r="BV77" s="26">
        <f t="shared" si="160"/>
        <v>0.88182423435419433</v>
      </c>
      <c r="BW77" s="26">
        <f t="shared" si="161"/>
        <v>6.3720580871306966E-3</v>
      </c>
      <c r="BX77" s="26">
        <f t="shared" si="162"/>
        <v>2.3499411533934877E-2</v>
      </c>
      <c r="BY77" s="26">
        <f t="shared" si="163"/>
        <v>2.3685768800578983E-4</v>
      </c>
      <c r="BZ77" s="26">
        <f t="shared" si="164"/>
        <v>0.2805845511482255</v>
      </c>
      <c r="CA77" s="26">
        <f t="shared" si="165"/>
        <v>1.1263039188046237E-2</v>
      </c>
      <c r="CB77" s="26">
        <f t="shared" si="166"/>
        <v>0.54367245657568242</v>
      </c>
      <c r="CC77" s="26">
        <f t="shared" si="167"/>
        <v>3.5306704707560629E-2</v>
      </c>
      <c r="CD77" s="26">
        <f t="shared" si="168"/>
        <v>1.6779606324620845E-3</v>
      </c>
      <c r="CE77" s="26">
        <f t="shared" si="169"/>
        <v>0</v>
      </c>
      <c r="CF77" s="26">
        <f t="shared" si="170"/>
        <v>0</v>
      </c>
      <c r="CG77" s="26">
        <f t="shared" si="171"/>
        <v>0</v>
      </c>
      <c r="CH77" s="26">
        <f t="shared" si="172"/>
        <v>0</v>
      </c>
      <c r="CI77" s="26">
        <f t="shared" si="173"/>
        <v>1.7844372739152423</v>
      </c>
      <c r="CJ77" s="26">
        <f t="shared" si="174"/>
        <v>2.6836627206513071</v>
      </c>
      <c r="CK77" s="26">
        <f t="shared" si="175"/>
        <v>2.2416030299701042</v>
      </c>
      <c r="CL77" s="26">
        <f t="shared" si="176"/>
        <v>6.0157064860297833</v>
      </c>
      <c r="CM77" s="1"/>
      <c r="CN77" s="22"/>
      <c r="CO77" s="96"/>
      <c r="CP77" s="14"/>
      <c r="CQ77" s="14"/>
      <c r="CR77" s="14"/>
      <c r="CS77" s="14"/>
      <c r="CT77" s="22"/>
      <c r="CU77" s="14"/>
      <c r="CV77" s="22"/>
      <c r="CW77" s="22"/>
      <c r="CX77" s="14"/>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46"/>
      <c r="FF77" s="46"/>
      <c r="FG77" s="46"/>
      <c r="FH77" s="46"/>
      <c r="FI77" s="46"/>
      <c r="FJ77" s="46"/>
      <c r="FK77" s="46"/>
      <c r="FL77" s="46"/>
      <c r="FM77" s="46"/>
      <c r="FN77" s="46"/>
      <c r="FO77" s="46"/>
    </row>
    <row r="78" spans="1:171" x14ac:dyDescent="0.25">
      <c r="A78" s="5" t="s">
        <v>86</v>
      </c>
      <c r="B78" s="1">
        <v>532</v>
      </c>
      <c r="C78" s="98" t="s">
        <v>96</v>
      </c>
      <c r="D78" s="98" t="s">
        <v>105</v>
      </c>
      <c r="E78" s="1">
        <v>43</v>
      </c>
      <c r="F78" s="22">
        <v>52.79</v>
      </c>
      <c r="G78" s="22">
        <v>0.38100000000000001</v>
      </c>
      <c r="H78" s="22">
        <v>1.262</v>
      </c>
      <c r="I78" s="22">
        <v>0</v>
      </c>
      <c r="J78" s="22">
        <v>19.98</v>
      </c>
      <c r="K78" s="22">
        <v>0.81100000000000005</v>
      </c>
      <c r="L78" s="22">
        <v>22.27</v>
      </c>
      <c r="M78" s="22">
        <v>1.71</v>
      </c>
      <c r="N78" s="22">
        <v>4.2999999999999997E-2</v>
      </c>
      <c r="O78" s="22">
        <v>0</v>
      </c>
      <c r="P78" s="22"/>
      <c r="Q78" s="22"/>
      <c r="R78" s="22"/>
      <c r="S78" s="22">
        <f t="shared" si="118"/>
        <v>99.247</v>
      </c>
      <c r="T78" s="3"/>
      <c r="U78" s="22">
        <f t="shared" si="119"/>
        <v>19.98</v>
      </c>
      <c r="V78" s="22">
        <f t="shared" si="120"/>
        <v>0</v>
      </c>
      <c r="W78" s="22">
        <f t="shared" si="121"/>
        <v>99.247</v>
      </c>
      <c r="X78" s="1"/>
      <c r="Y78" s="1"/>
      <c r="Z78" s="1"/>
      <c r="AA78" s="1" t="s">
        <v>185</v>
      </c>
      <c r="AC78" s="1">
        <v>6</v>
      </c>
      <c r="AD78" s="1">
        <v>4</v>
      </c>
      <c r="AE78" s="1"/>
      <c r="AF78" s="26">
        <f t="shared" si="122"/>
        <v>1.9691385517335493</v>
      </c>
      <c r="AG78" s="26">
        <f t="shared" si="123"/>
        <v>1.0689107784542361E-2</v>
      </c>
      <c r="AH78" s="26">
        <f t="shared" si="124"/>
        <v>5.547713958355887E-2</v>
      </c>
      <c r="AI78" s="26">
        <f t="shared" si="125"/>
        <v>0</v>
      </c>
      <c r="AJ78" s="26">
        <f t="shared" si="126"/>
        <v>0.62319397834100621</v>
      </c>
      <c r="AK78" s="26">
        <f t="shared" si="127"/>
        <v>2.5620299772441488E-2</v>
      </c>
      <c r="AL78" s="26">
        <f t="shared" si="128"/>
        <v>1.2384249921713957</v>
      </c>
      <c r="AM78" s="26">
        <f t="shared" si="129"/>
        <v>6.8334912442667511E-2</v>
      </c>
      <c r="AN78" s="26">
        <f t="shared" si="130"/>
        <v>3.1095777219353189E-3</v>
      </c>
      <c r="AO78" s="26">
        <f t="shared" si="131"/>
        <v>0</v>
      </c>
      <c r="AP78" s="26">
        <f t="shared" si="132"/>
        <v>0</v>
      </c>
      <c r="AQ78" s="26">
        <f t="shared" si="133"/>
        <v>0</v>
      </c>
      <c r="AR78" s="26">
        <f t="shared" si="134"/>
        <v>0</v>
      </c>
      <c r="AS78" s="26">
        <f t="shared" si="135"/>
        <v>3.9939885595510969</v>
      </c>
      <c r="AT78" s="26">
        <f t="shared" si="136"/>
        <v>2.0246156913171083</v>
      </c>
      <c r="AU78" s="26">
        <f t="shared" si="137"/>
        <v>7.1444490164602831E-2</v>
      </c>
      <c r="AV78" s="47"/>
      <c r="AW78" s="26">
        <f t="shared" si="138"/>
        <v>1.972102345686108</v>
      </c>
      <c r="AX78" s="26">
        <f t="shared" si="139"/>
        <v>1.0705196196900234E-2</v>
      </c>
      <c r="AY78" s="26">
        <f t="shared" si="140"/>
        <v>5.5560639452401646E-2</v>
      </c>
      <c r="AZ78" s="26">
        <f t="shared" si="141"/>
        <v>0</v>
      </c>
      <c r="BA78" s="26">
        <f t="shared" si="142"/>
        <v>0.62413196137051519</v>
      </c>
      <c r="BB78" s="26">
        <f t="shared" si="143"/>
        <v>0</v>
      </c>
      <c r="BC78" s="26">
        <f t="shared" si="144"/>
        <v>2.5658861451842593E-2</v>
      </c>
      <c r="BD78" s="26">
        <f t="shared" si="145"/>
        <v>1.2402889729965456</v>
      </c>
      <c r="BE78" s="26">
        <f t="shared" si="146"/>
        <v>6.8437764829599818E-2</v>
      </c>
      <c r="BF78" s="26">
        <f t="shared" si="147"/>
        <v>3.1142580160868753E-3</v>
      </c>
      <c r="BG78" s="26">
        <f t="shared" si="148"/>
        <v>0</v>
      </c>
      <c r="BH78" s="26">
        <f t="shared" si="149"/>
        <v>0</v>
      </c>
      <c r="BI78" s="26">
        <f t="shared" si="150"/>
        <v>0</v>
      </c>
      <c r="BJ78" s="26">
        <f t="shared" si="151"/>
        <v>0</v>
      </c>
      <c r="BK78" s="25">
        <f t="shared" si="152"/>
        <v>4</v>
      </c>
      <c r="BL78" s="24">
        <f t="shared" si="153"/>
        <v>6.0090307326011647</v>
      </c>
      <c r="BM78" s="26">
        <f t="shared" si="154"/>
        <v>2.0276629851385097</v>
      </c>
      <c r="BN78" s="26">
        <f t="shared" si="155"/>
        <v>7.1552022845686694E-2</v>
      </c>
      <c r="BO78" s="22"/>
      <c r="BP78" s="26">
        <f t="shared" si="156"/>
        <v>0.66524085314328574</v>
      </c>
      <c r="BQ78" s="22"/>
      <c r="BR78" s="22">
        <f t="shared" si="157"/>
        <v>3.4943656469916332E-2</v>
      </c>
      <c r="BS78" s="22">
        <f t="shared" si="158"/>
        <v>0.63327947520974071</v>
      </c>
      <c r="BT78" s="22">
        <f t="shared" si="159"/>
        <v>0.33177686832034303</v>
      </c>
      <c r="BU78" s="1"/>
      <c r="BV78" s="26">
        <f t="shared" si="160"/>
        <v>0.87866178428761654</v>
      </c>
      <c r="BW78" s="26">
        <f t="shared" si="161"/>
        <v>4.7696544817225845E-3</v>
      </c>
      <c r="BX78" s="26">
        <f t="shared" si="162"/>
        <v>2.4754805806198512E-2</v>
      </c>
      <c r="BY78" s="26">
        <f t="shared" si="163"/>
        <v>0</v>
      </c>
      <c r="BZ78" s="26">
        <f t="shared" si="164"/>
        <v>0.27807933194154494</v>
      </c>
      <c r="CA78" s="26">
        <f t="shared" si="165"/>
        <v>1.1432196222159572E-2</v>
      </c>
      <c r="CB78" s="26">
        <f t="shared" si="166"/>
        <v>0.55260545905707203</v>
      </c>
      <c r="CC78" s="26">
        <f t="shared" si="167"/>
        <v>3.0492154065620541E-2</v>
      </c>
      <c r="CD78" s="26">
        <f t="shared" si="168"/>
        <v>1.3875443691513392E-3</v>
      </c>
      <c r="CE78" s="26">
        <f t="shared" si="169"/>
        <v>0</v>
      </c>
      <c r="CF78" s="26">
        <f t="shared" si="170"/>
        <v>0</v>
      </c>
      <c r="CG78" s="26">
        <f t="shared" si="171"/>
        <v>0</v>
      </c>
      <c r="CH78" s="26">
        <f t="shared" si="172"/>
        <v>0</v>
      </c>
      <c r="CI78" s="26">
        <f t="shared" si="173"/>
        <v>1.7821829302310861</v>
      </c>
      <c r="CJ78" s="26">
        <f t="shared" si="174"/>
        <v>2.6772979997189488</v>
      </c>
      <c r="CK78" s="26">
        <f t="shared" si="175"/>
        <v>2.2444385097333086</v>
      </c>
      <c r="CL78" s="26">
        <f t="shared" si="176"/>
        <v>6.0090307326011656</v>
      </c>
      <c r="CM78" s="1"/>
      <c r="CN78" s="22"/>
      <c r="CO78" s="96"/>
      <c r="CP78" s="14"/>
      <c r="CQ78" s="14"/>
      <c r="CR78" s="14"/>
      <c r="CS78" s="14"/>
      <c r="CT78" s="22"/>
      <c r="CU78" s="14"/>
      <c r="CV78" s="22"/>
      <c r="CW78" s="22"/>
      <c r="CX78" s="14"/>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46"/>
      <c r="FF78" s="46"/>
      <c r="FG78" s="46"/>
      <c r="FH78" s="46"/>
      <c r="FI78" s="46"/>
      <c r="FJ78" s="46"/>
      <c r="FK78" s="46"/>
      <c r="FL78" s="46"/>
      <c r="FM78" s="46"/>
      <c r="FN78" s="46"/>
      <c r="FO78" s="46"/>
    </row>
    <row r="79" spans="1:171" x14ac:dyDescent="0.25">
      <c r="A79" s="5" t="s">
        <v>86</v>
      </c>
      <c r="B79" s="1">
        <v>533</v>
      </c>
      <c r="C79" s="98" t="s">
        <v>96</v>
      </c>
      <c r="D79" s="98" t="s">
        <v>105</v>
      </c>
      <c r="E79" s="1">
        <v>44</v>
      </c>
      <c r="F79" s="22">
        <v>51.67</v>
      </c>
      <c r="G79" s="22">
        <v>0.375</v>
      </c>
      <c r="H79" s="22">
        <v>0.5</v>
      </c>
      <c r="I79" s="22">
        <v>1.2999999999999999E-2</v>
      </c>
      <c r="J79" s="22">
        <v>27.15</v>
      </c>
      <c r="K79" s="22">
        <v>1.31</v>
      </c>
      <c r="L79" s="22">
        <v>16.57</v>
      </c>
      <c r="M79" s="22">
        <v>1.87</v>
      </c>
      <c r="N79" s="22">
        <v>5.6000000000000001E-2</v>
      </c>
      <c r="O79" s="22">
        <v>7.0000000000000001E-3</v>
      </c>
      <c r="P79" s="22"/>
      <c r="Q79" s="22"/>
      <c r="R79" s="22"/>
      <c r="S79" s="22">
        <f t="shared" si="118"/>
        <v>99.521000000000001</v>
      </c>
      <c r="T79" s="3"/>
      <c r="U79" s="22">
        <f t="shared" si="119"/>
        <v>27.15</v>
      </c>
      <c r="V79" s="22">
        <f t="shared" si="120"/>
        <v>0</v>
      </c>
      <c r="W79" s="22">
        <f t="shared" si="121"/>
        <v>99.521000000000015</v>
      </c>
      <c r="X79" s="1"/>
      <c r="Y79" s="1"/>
      <c r="Z79" s="1"/>
      <c r="AA79" s="1" t="s">
        <v>186</v>
      </c>
      <c r="AC79" s="1">
        <v>6</v>
      </c>
      <c r="AD79" s="1">
        <v>4</v>
      </c>
      <c r="AE79" s="1"/>
      <c r="AF79" s="26">
        <f t="shared" si="122"/>
        <v>1.9952335654555218</v>
      </c>
      <c r="AG79" s="26">
        <f t="shared" si="123"/>
        <v>1.0891267283573149E-2</v>
      </c>
      <c r="AH79" s="26">
        <f t="shared" si="124"/>
        <v>2.2753875522736319E-2</v>
      </c>
      <c r="AI79" s="26">
        <f t="shared" si="125"/>
        <v>3.9686567442432437E-4</v>
      </c>
      <c r="AJ79" s="26">
        <f t="shared" si="126"/>
        <v>0.8766540957034934</v>
      </c>
      <c r="AK79" s="26">
        <f t="shared" si="127"/>
        <v>4.2841563916981053E-2</v>
      </c>
      <c r="AL79" s="26">
        <f t="shared" si="128"/>
        <v>0.9538996006774465</v>
      </c>
      <c r="AM79" s="26">
        <f t="shared" si="129"/>
        <v>7.7360417748174481E-2</v>
      </c>
      <c r="AN79" s="26">
        <f t="shared" si="130"/>
        <v>4.1922932657211661E-3</v>
      </c>
      <c r="AO79" s="26">
        <f t="shared" si="131"/>
        <v>3.4479609422690798E-4</v>
      </c>
      <c r="AP79" s="26">
        <f t="shared" si="132"/>
        <v>0</v>
      </c>
      <c r="AQ79" s="26">
        <f t="shared" si="133"/>
        <v>0</v>
      </c>
      <c r="AR79" s="26">
        <f t="shared" si="134"/>
        <v>0</v>
      </c>
      <c r="AS79" s="26">
        <f t="shared" si="135"/>
        <v>3.9845683413422992</v>
      </c>
      <c r="AT79" s="26">
        <f t="shared" si="136"/>
        <v>2.0179874409782581</v>
      </c>
      <c r="AU79" s="26">
        <f t="shared" si="137"/>
        <v>8.1897507108122561E-2</v>
      </c>
      <c r="AV79" s="47"/>
      <c r="AW79" s="26">
        <f t="shared" si="138"/>
        <v>2.0029608173651039</v>
      </c>
      <c r="AX79" s="26">
        <f t="shared" si="139"/>
        <v>1.0933447591368614E-2</v>
      </c>
      <c r="AY79" s="26">
        <f t="shared" si="140"/>
        <v>2.2841998001792208E-2</v>
      </c>
      <c r="AZ79" s="26">
        <f t="shared" si="141"/>
        <v>3.9840267795796468E-4</v>
      </c>
      <c r="BA79" s="26">
        <f t="shared" si="142"/>
        <v>0.88004925061284911</v>
      </c>
      <c r="BB79" s="26">
        <f t="shared" si="143"/>
        <v>0</v>
      </c>
      <c r="BC79" s="26">
        <f t="shared" si="144"/>
        <v>4.3007483116777288E-2</v>
      </c>
      <c r="BD79" s="26">
        <f t="shared" si="145"/>
        <v>0.95759391628966484</v>
      </c>
      <c r="BE79" s="26">
        <f t="shared" si="146"/>
        <v>7.7660023491642499E-2</v>
      </c>
      <c r="BF79" s="26">
        <f t="shared" si="147"/>
        <v>4.2085294130594728E-3</v>
      </c>
      <c r="BG79" s="26">
        <f t="shared" si="148"/>
        <v>3.4613143978427032E-4</v>
      </c>
      <c r="BH79" s="26">
        <f t="shared" si="149"/>
        <v>0</v>
      </c>
      <c r="BI79" s="26">
        <f t="shared" si="150"/>
        <v>0</v>
      </c>
      <c r="BJ79" s="26">
        <f t="shared" si="151"/>
        <v>0</v>
      </c>
      <c r="BK79" s="25">
        <f t="shared" si="152"/>
        <v>4</v>
      </c>
      <c r="BL79" s="24">
        <f t="shared" si="153"/>
        <v>6.023237134869925</v>
      </c>
      <c r="BM79" s="26">
        <f t="shared" si="154"/>
        <v>2.0258028153668963</v>
      </c>
      <c r="BN79" s="26">
        <f t="shared" si="155"/>
        <v>8.2214684344486241E-2</v>
      </c>
      <c r="BO79" s="22"/>
      <c r="BP79" s="26">
        <f t="shared" si="156"/>
        <v>0.52109894539741441</v>
      </c>
      <c r="BQ79" s="22"/>
      <c r="BR79" s="22">
        <f t="shared" si="157"/>
        <v>3.9656641074426999E-2</v>
      </c>
      <c r="BS79" s="22">
        <f t="shared" si="158"/>
        <v>0.48898978555473732</v>
      </c>
      <c r="BT79" s="22">
        <f t="shared" si="159"/>
        <v>0.47135357337083555</v>
      </c>
      <c r="BU79" s="1"/>
      <c r="BV79" s="26">
        <f t="shared" si="160"/>
        <v>0.86001997336884162</v>
      </c>
      <c r="BW79" s="26">
        <f t="shared" si="161"/>
        <v>4.6945418127190787E-3</v>
      </c>
      <c r="BX79" s="26">
        <f t="shared" si="162"/>
        <v>9.8077677520596318E-3</v>
      </c>
      <c r="BY79" s="26">
        <f t="shared" si="163"/>
        <v>1.7106388578195931E-4</v>
      </c>
      <c r="BZ79" s="26">
        <f t="shared" si="164"/>
        <v>0.37787056367432154</v>
      </c>
      <c r="CA79" s="26">
        <f t="shared" si="165"/>
        <v>1.846630955737243E-2</v>
      </c>
      <c r="CB79" s="26">
        <f t="shared" si="166"/>
        <v>0.41116625310173699</v>
      </c>
      <c r="CC79" s="26">
        <f t="shared" si="167"/>
        <v>3.3345221112696152E-2</v>
      </c>
      <c r="CD79" s="26">
        <f t="shared" si="168"/>
        <v>1.8070345272668605E-3</v>
      </c>
      <c r="CE79" s="26">
        <f t="shared" si="169"/>
        <v>1.4861995753715499E-4</v>
      </c>
      <c r="CF79" s="26">
        <f t="shared" si="170"/>
        <v>0</v>
      </c>
      <c r="CG79" s="26">
        <f t="shared" si="171"/>
        <v>0</v>
      </c>
      <c r="CH79" s="26">
        <f t="shared" si="172"/>
        <v>0</v>
      </c>
      <c r="CI79" s="26">
        <f t="shared" si="173"/>
        <v>1.7174973487503336</v>
      </c>
      <c r="CJ79" s="26">
        <f t="shared" si="174"/>
        <v>2.5862234525084129</v>
      </c>
      <c r="CK79" s="26">
        <f t="shared" si="175"/>
        <v>2.3289701162627332</v>
      </c>
      <c r="CL79" s="26">
        <f t="shared" si="176"/>
        <v>6.0232371348699258</v>
      </c>
      <c r="CM79" s="1"/>
      <c r="CN79" s="22"/>
      <c r="CO79" s="96"/>
      <c r="CP79" s="14"/>
      <c r="CQ79" s="14"/>
      <c r="CR79" s="14"/>
      <c r="CS79" s="14"/>
      <c r="CT79" s="22"/>
      <c r="CU79" s="14"/>
      <c r="CV79" s="22"/>
      <c r="CW79" s="22"/>
      <c r="CX79" s="14"/>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46"/>
      <c r="FF79" s="46"/>
      <c r="FG79" s="46"/>
      <c r="FH79" s="46"/>
      <c r="FI79" s="46"/>
      <c r="FJ79" s="46"/>
      <c r="FK79" s="46"/>
      <c r="FL79" s="46"/>
      <c r="FM79" s="46"/>
      <c r="FN79" s="46"/>
      <c r="FO79" s="46"/>
    </row>
    <row r="80" spans="1:171" x14ac:dyDescent="0.25">
      <c r="A80" s="5" t="s">
        <v>86</v>
      </c>
      <c r="B80" s="1">
        <v>534</v>
      </c>
      <c r="C80" s="98" t="s">
        <v>96</v>
      </c>
      <c r="D80" s="98" t="s">
        <v>105</v>
      </c>
      <c r="E80" s="1">
        <v>45</v>
      </c>
      <c r="F80" s="22">
        <v>52.83</v>
      </c>
      <c r="G80" s="22">
        <v>0.31900000000000001</v>
      </c>
      <c r="H80" s="22">
        <v>1.294</v>
      </c>
      <c r="I80" s="22">
        <v>1.9E-2</v>
      </c>
      <c r="J80" s="22">
        <v>19.75</v>
      </c>
      <c r="K80" s="22">
        <v>0.82299999999999995</v>
      </c>
      <c r="L80" s="22">
        <v>22.37</v>
      </c>
      <c r="M80" s="22">
        <v>1.85</v>
      </c>
      <c r="N80" s="22">
        <v>4.2999999999999997E-2</v>
      </c>
      <c r="O80" s="22">
        <v>0</v>
      </c>
      <c r="P80" s="22"/>
      <c r="Q80" s="22"/>
      <c r="R80" s="22"/>
      <c r="S80" s="22">
        <f t="shared" si="118"/>
        <v>99.297999999999988</v>
      </c>
      <c r="T80" s="3"/>
      <c r="U80" s="22">
        <f t="shared" si="119"/>
        <v>19.75</v>
      </c>
      <c r="V80" s="22">
        <f t="shared" si="120"/>
        <v>0</v>
      </c>
      <c r="W80" s="22">
        <f t="shared" si="121"/>
        <v>99.298000000000002</v>
      </c>
      <c r="X80" s="1"/>
      <c r="Y80" s="1"/>
      <c r="Z80" s="1"/>
      <c r="AA80" s="1" t="s">
        <v>185</v>
      </c>
      <c r="AC80" s="1">
        <v>6</v>
      </c>
      <c r="AD80" s="1">
        <v>4</v>
      </c>
      <c r="AE80" s="1"/>
      <c r="AF80" s="26">
        <f t="shared" si="122"/>
        <v>1.9683943216914244</v>
      </c>
      <c r="AG80" s="26">
        <f t="shared" si="123"/>
        <v>8.939516775699095E-3</v>
      </c>
      <c r="AH80" s="26">
        <f t="shared" si="124"/>
        <v>5.6819297779536128E-2</v>
      </c>
      <c r="AI80" s="26">
        <f t="shared" si="125"/>
        <v>5.5966738451956508E-4</v>
      </c>
      <c r="AJ80" s="26">
        <f t="shared" si="126"/>
        <v>0.6153210101524712</v>
      </c>
      <c r="AK80" s="26">
        <f t="shared" si="127"/>
        <v>2.5969887477662709E-2</v>
      </c>
      <c r="AL80" s="26">
        <f t="shared" si="128"/>
        <v>1.2425742653420984</v>
      </c>
      <c r="AM80" s="26">
        <f t="shared" si="129"/>
        <v>7.3845687870846222E-2</v>
      </c>
      <c r="AN80" s="26">
        <f t="shared" si="130"/>
        <v>3.1060489531805967E-3</v>
      </c>
      <c r="AO80" s="26">
        <f t="shared" si="131"/>
        <v>0</v>
      </c>
      <c r="AP80" s="26">
        <f t="shared" si="132"/>
        <v>0</v>
      </c>
      <c r="AQ80" s="26">
        <f t="shared" si="133"/>
        <v>0</v>
      </c>
      <c r="AR80" s="26">
        <f t="shared" si="134"/>
        <v>0</v>
      </c>
      <c r="AS80" s="26">
        <f t="shared" si="135"/>
        <v>3.995529703427438</v>
      </c>
      <c r="AT80" s="26">
        <f t="shared" si="136"/>
        <v>2.0252136194709607</v>
      </c>
      <c r="AU80" s="26">
        <f t="shared" si="137"/>
        <v>7.6951736824026812E-2</v>
      </c>
      <c r="AV80" s="47"/>
      <c r="AW80" s="26">
        <f t="shared" si="138"/>
        <v>1.9705966095087717</v>
      </c>
      <c r="AX80" s="26">
        <f t="shared" si="139"/>
        <v>8.94951852619753E-3</v>
      </c>
      <c r="AY80" s="26">
        <f t="shared" si="140"/>
        <v>5.6882868602674129E-2</v>
      </c>
      <c r="AZ80" s="26">
        <f t="shared" si="141"/>
        <v>5.6029355410820464E-4</v>
      </c>
      <c r="BA80" s="26">
        <f t="shared" si="142"/>
        <v>0.61600944638167754</v>
      </c>
      <c r="BB80" s="26">
        <f t="shared" si="143"/>
        <v>0</v>
      </c>
      <c r="BC80" s="26">
        <f t="shared" si="144"/>
        <v>2.5998943224359229E-2</v>
      </c>
      <c r="BD80" s="26">
        <f t="shared" si="145"/>
        <v>1.2439644878887479</v>
      </c>
      <c r="BE80" s="26">
        <f t="shared" si="146"/>
        <v>7.3928308236577533E-2</v>
      </c>
      <c r="BF80" s="26">
        <f t="shared" si="147"/>
        <v>3.1095240768863977E-3</v>
      </c>
      <c r="BG80" s="26">
        <f t="shared" si="148"/>
        <v>0</v>
      </c>
      <c r="BH80" s="26">
        <f t="shared" si="149"/>
        <v>0</v>
      </c>
      <c r="BI80" s="26">
        <f t="shared" si="150"/>
        <v>0</v>
      </c>
      <c r="BJ80" s="26">
        <f t="shared" si="151"/>
        <v>0</v>
      </c>
      <c r="BK80" s="25">
        <f t="shared" si="152"/>
        <v>4</v>
      </c>
      <c r="BL80" s="24">
        <f t="shared" si="153"/>
        <v>6.0067129470749174</v>
      </c>
      <c r="BM80" s="26">
        <f t="shared" si="154"/>
        <v>2.027479478111446</v>
      </c>
      <c r="BN80" s="26">
        <f t="shared" si="155"/>
        <v>7.7037832313463936E-2</v>
      </c>
      <c r="BO80" s="22"/>
      <c r="BP80" s="26">
        <f t="shared" si="156"/>
        <v>0.66880748432460846</v>
      </c>
      <c r="BQ80" s="22"/>
      <c r="BR80" s="22">
        <f t="shared" si="157"/>
        <v>3.7720426302507812E-2</v>
      </c>
      <c r="BS80" s="22">
        <f t="shared" si="158"/>
        <v>0.63470775819983316</v>
      </c>
      <c r="BT80" s="22">
        <f t="shared" si="159"/>
        <v>0.3275718154976589</v>
      </c>
      <c r="BU80" s="1"/>
      <c r="BV80" s="26">
        <f t="shared" si="160"/>
        <v>0.8793275632490013</v>
      </c>
      <c r="BW80" s="26">
        <f t="shared" si="161"/>
        <v>3.9934902353530302E-3</v>
      </c>
      <c r="BX80" s="26">
        <f t="shared" si="162"/>
        <v>2.538250294233033E-2</v>
      </c>
      <c r="BY80" s="26">
        <f t="shared" si="163"/>
        <v>2.5001644845055592E-4</v>
      </c>
      <c r="BZ80" s="26">
        <f t="shared" si="164"/>
        <v>0.27487821851078637</v>
      </c>
      <c r="CA80" s="26">
        <f t="shared" si="165"/>
        <v>1.1601353256272906E-2</v>
      </c>
      <c r="CB80" s="26">
        <f t="shared" si="166"/>
        <v>0.55508684863523583</v>
      </c>
      <c r="CC80" s="26">
        <f t="shared" si="167"/>
        <v>3.2988587731811701E-2</v>
      </c>
      <c r="CD80" s="26">
        <f t="shared" si="168"/>
        <v>1.3875443691513392E-3</v>
      </c>
      <c r="CE80" s="26">
        <f t="shared" si="169"/>
        <v>0</v>
      </c>
      <c r="CF80" s="26">
        <f t="shared" si="170"/>
        <v>0</v>
      </c>
      <c r="CG80" s="26">
        <f t="shared" si="171"/>
        <v>0</v>
      </c>
      <c r="CH80" s="26">
        <f t="shared" si="172"/>
        <v>0</v>
      </c>
      <c r="CI80" s="26">
        <f t="shared" si="173"/>
        <v>1.7848961253783933</v>
      </c>
      <c r="CJ80" s="26">
        <f t="shared" si="174"/>
        <v>2.6803396663735626</v>
      </c>
      <c r="CK80" s="26">
        <f t="shared" si="175"/>
        <v>2.2410267707606852</v>
      </c>
      <c r="CL80" s="26">
        <f t="shared" si="176"/>
        <v>6.0067129470749174</v>
      </c>
      <c r="CM80" s="1"/>
      <c r="CN80" s="22"/>
      <c r="CO80" s="96"/>
      <c r="CP80" s="14"/>
      <c r="CQ80" s="14"/>
      <c r="CR80" s="14"/>
      <c r="CS80" s="14"/>
      <c r="CT80" s="22"/>
      <c r="CU80" s="14"/>
      <c r="CV80" s="22"/>
      <c r="CW80" s="22"/>
      <c r="CX80" s="14"/>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46">
        <f>7.601647 - 13.20417 * BP80 + N("45d Mg#    r2 0.76")</f>
        <v>-1.2294007202944659</v>
      </c>
      <c r="FF80" s="46">
        <f>6.542808 - 11.82852 * BP80 + N("mg#")</f>
        <v>-1.3681947044833169</v>
      </c>
      <c r="FG80" s="46">
        <f>3.803999 - 7.570213 * BP80 + N("mg#")</f>
        <v>-1.2590161123314472</v>
      </c>
      <c r="FH80" s="46">
        <f>4.421323 - 8.556768 * BP80 + N("mg#")</f>
        <v>-1.3015074800293114</v>
      </c>
      <c r="FI80" s="46">
        <f>4.645469 - 8.242464 * BP80 + N("50d mg# r2 0.67")</f>
        <v>-0.86715261247614883</v>
      </c>
      <c r="FJ80" s="46">
        <f>5.169659 - 8.510973 * BP80 + N("mg#")</f>
        <v>-0.52254344128466546</v>
      </c>
      <c r="FK80" s="46"/>
      <c r="FL80" s="46"/>
      <c r="FM80" s="46"/>
      <c r="FN80" s="46"/>
      <c r="FO80" s="46"/>
    </row>
    <row r="81" spans="1:171" x14ac:dyDescent="0.25">
      <c r="A81" s="5" t="s">
        <v>86</v>
      </c>
      <c r="B81" s="1">
        <v>536</v>
      </c>
      <c r="C81" s="98" t="s">
        <v>96</v>
      </c>
      <c r="D81" s="98" t="s">
        <v>105</v>
      </c>
      <c r="E81" s="1">
        <v>47</v>
      </c>
      <c r="F81" s="22">
        <v>52.82</v>
      </c>
      <c r="G81" s="22">
        <v>0.47899999999999998</v>
      </c>
      <c r="H81" s="22">
        <v>1.472</v>
      </c>
      <c r="I81" s="22">
        <v>0</v>
      </c>
      <c r="J81" s="22">
        <v>19.75</v>
      </c>
      <c r="K81" s="22">
        <v>0.77</v>
      </c>
      <c r="L81" s="22">
        <v>22.62</v>
      </c>
      <c r="M81" s="22">
        <v>1.62</v>
      </c>
      <c r="N81" s="22">
        <v>2.9000000000000001E-2</v>
      </c>
      <c r="O81" s="22">
        <v>0.02</v>
      </c>
      <c r="P81" s="22"/>
      <c r="Q81" s="22"/>
      <c r="R81" s="22"/>
      <c r="S81" s="22">
        <f t="shared" si="118"/>
        <v>99.58</v>
      </c>
      <c r="T81" s="3"/>
      <c r="U81" s="22">
        <f t="shared" si="119"/>
        <v>19.75</v>
      </c>
      <c r="V81" s="22">
        <f t="shared" si="120"/>
        <v>0</v>
      </c>
      <c r="W81" s="22">
        <f t="shared" si="121"/>
        <v>99.58</v>
      </c>
      <c r="X81" s="1">
        <v>3</v>
      </c>
      <c r="Y81" s="1"/>
      <c r="Z81" s="1"/>
      <c r="AA81" s="1" t="s">
        <v>185</v>
      </c>
      <c r="AC81" s="1">
        <v>6</v>
      </c>
      <c r="AD81" s="1">
        <v>4</v>
      </c>
      <c r="AE81" s="1"/>
      <c r="AF81" s="26">
        <f t="shared" si="122"/>
        <v>1.9607962660269107</v>
      </c>
      <c r="AG81" s="26">
        <f t="shared" si="123"/>
        <v>1.3374004209297562E-2</v>
      </c>
      <c r="AH81" s="26">
        <f t="shared" si="124"/>
        <v>6.4397940310758836E-2</v>
      </c>
      <c r="AI81" s="26">
        <f t="shared" si="125"/>
        <v>0</v>
      </c>
      <c r="AJ81" s="26">
        <f t="shared" si="126"/>
        <v>0.6130618985770957</v>
      </c>
      <c r="AK81" s="26">
        <f t="shared" si="127"/>
        <v>2.420825800932043E-2</v>
      </c>
      <c r="AL81" s="26">
        <f t="shared" si="128"/>
        <v>1.2518478644052256</v>
      </c>
      <c r="AM81" s="26">
        <f t="shared" si="129"/>
        <v>6.4427459694720204E-2</v>
      </c>
      <c r="AN81" s="26">
        <f t="shared" si="130"/>
        <v>2.0870863610068834E-3</v>
      </c>
      <c r="AO81" s="26">
        <f t="shared" si="131"/>
        <v>9.4705038915884486E-4</v>
      </c>
      <c r="AP81" s="26">
        <f t="shared" si="132"/>
        <v>0</v>
      </c>
      <c r="AQ81" s="26">
        <f t="shared" si="133"/>
        <v>0</v>
      </c>
      <c r="AR81" s="26">
        <f t="shared" si="134"/>
        <v>0</v>
      </c>
      <c r="AS81" s="26">
        <f t="shared" si="135"/>
        <v>3.995147827983494</v>
      </c>
      <c r="AT81" s="26">
        <f t="shared" si="136"/>
        <v>2.0251942063376696</v>
      </c>
      <c r="AU81" s="26">
        <f t="shared" si="137"/>
        <v>6.7461596444885932E-2</v>
      </c>
      <c r="AV81" s="47"/>
      <c r="AW81" s="26">
        <f t="shared" si="138"/>
        <v>1.9631776849835363</v>
      </c>
      <c r="AX81" s="26">
        <f t="shared" si="139"/>
        <v>1.3390247154932372E-2</v>
      </c>
      <c r="AY81" s="26">
        <f t="shared" si="140"/>
        <v>6.4476152656671976E-2</v>
      </c>
      <c r="AZ81" s="26">
        <f t="shared" si="141"/>
        <v>0</v>
      </c>
      <c r="BA81" s="26">
        <f t="shared" si="142"/>
        <v>0.61380647222411444</v>
      </c>
      <c r="BB81" s="26">
        <f t="shared" si="143"/>
        <v>0</v>
      </c>
      <c r="BC81" s="26">
        <f t="shared" si="144"/>
        <v>2.4237659332410001E-2</v>
      </c>
      <c r="BD81" s="26">
        <f t="shared" si="145"/>
        <v>1.2533682539973308</v>
      </c>
      <c r="BE81" s="26">
        <f t="shared" si="146"/>
        <v>6.4505707892405284E-2</v>
      </c>
      <c r="BF81" s="26">
        <f t="shared" si="147"/>
        <v>2.0896211613379181E-3</v>
      </c>
      <c r="BG81" s="26">
        <f t="shared" si="148"/>
        <v>9.4820059725985915E-4</v>
      </c>
      <c r="BH81" s="26">
        <f t="shared" si="149"/>
        <v>0</v>
      </c>
      <c r="BI81" s="26">
        <f t="shared" si="150"/>
        <v>0</v>
      </c>
      <c r="BJ81" s="26">
        <f t="shared" si="151"/>
        <v>0</v>
      </c>
      <c r="BK81" s="25">
        <f t="shared" si="152"/>
        <v>3.9999999999999982</v>
      </c>
      <c r="BL81" s="24">
        <f t="shared" si="153"/>
        <v>6.007287097587505</v>
      </c>
      <c r="BM81" s="26">
        <f t="shared" si="154"/>
        <v>2.0276538376402082</v>
      </c>
      <c r="BN81" s="26">
        <f t="shared" si="155"/>
        <v>6.7543529651003062E-2</v>
      </c>
      <c r="BO81" s="22"/>
      <c r="BP81" s="26">
        <f t="shared" si="156"/>
        <v>0.6712645776508237</v>
      </c>
      <c r="BQ81" s="22"/>
      <c r="BR81" s="22">
        <f t="shared" si="157"/>
        <v>3.2979759279565972E-2</v>
      </c>
      <c r="BS81" s="22">
        <f t="shared" si="158"/>
        <v>0.64080814948080933</v>
      </c>
      <c r="BT81" s="22">
        <f t="shared" si="159"/>
        <v>0.32621209123962475</v>
      </c>
      <c r="BU81" s="1"/>
      <c r="BV81" s="26">
        <f t="shared" si="160"/>
        <v>0.87916111850865519</v>
      </c>
      <c r="BW81" s="26">
        <f t="shared" si="161"/>
        <v>5.9964947421131702E-3</v>
      </c>
      <c r="BX81" s="26">
        <f t="shared" si="162"/>
        <v>2.8874068262063554E-2</v>
      </c>
      <c r="BY81" s="26">
        <f t="shared" si="163"/>
        <v>0</v>
      </c>
      <c r="BZ81" s="26">
        <f t="shared" si="164"/>
        <v>0.27487821851078637</v>
      </c>
      <c r="CA81" s="26">
        <f t="shared" si="165"/>
        <v>1.0854243022272343E-2</v>
      </c>
      <c r="CB81" s="26">
        <f t="shared" si="166"/>
        <v>0.56129032258064526</v>
      </c>
      <c r="CC81" s="26">
        <f t="shared" si="167"/>
        <v>2.8887303851640515E-2</v>
      </c>
      <c r="CD81" s="26">
        <f t="shared" si="168"/>
        <v>9.357857373346242E-4</v>
      </c>
      <c r="CE81" s="26">
        <f t="shared" si="169"/>
        <v>4.2462845010615713E-4</v>
      </c>
      <c r="CF81" s="26">
        <f t="shared" si="170"/>
        <v>0</v>
      </c>
      <c r="CG81" s="26">
        <f t="shared" si="171"/>
        <v>0</v>
      </c>
      <c r="CH81" s="26">
        <f t="shared" si="172"/>
        <v>0</v>
      </c>
      <c r="CI81" s="26">
        <f t="shared" si="173"/>
        <v>1.7913021836656176</v>
      </c>
      <c r="CJ81" s="26">
        <f t="shared" si="174"/>
        <v>2.6902166239536971</v>
      </c>
      <c r="CK81" s="26">
        <f t="shared" si="175"/>
        <v>2.2330124065469681</v>
      </c>
      <c r="CL81" s="26">
        <f t="shared" si="176"/>
        <v>6.007287097587505</v>
      </c>
      <c r="CM81" s="1"/>
      <c r="CN81" s="22"/>
      <c r="CO81" s="96"/>
      <c r="CP81" s="14"/>
      <c r="CQ81" s="14"/>
      <c r="CR81" s="14"/>
      <c r="CS81" s="14"/>
      <c r="CT81" s="22"/>
      <c r="CU81" s="14"/>
      <c r="CV81" s="22"/>
      <c r="CW81" s="22"/>
      <c r="CX81" s="14"/>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46"/>
      <c r="FF81" s="46"/>
      <c r="FG81" s="46"/>
      <c r="FH81" s="46"/>
      <c r="FI81" s="46"/>
      <c r="FJ81" s="46"/>
      <c r="FK81" s="46"/>
      <c r="FL81" s="46"/>
      <c r="FM81" s="46"/>
      <c r="FN81" s="46"/>
      <c r="FO81" s="46"/>
    </row>
    <row r="82" spans="1:171" x14ac:dyDescent="0.25">
      <c r="A82" s="5" t="s">
        <v>86</v>
      </c>
      <c r="B82" s="1">
        <v>540</v>
      </c>
      <c r="C82" s="98" t="s">
        <v>96</v>
      </c>
      <c r="D82" s="98" t="s">
        <v>105</v>
      </c>
      <c r="E82" s="1">
        <v>51</v>
      </c>
      <c r="F82" s="22">
        <v>53.27</v>
      </c>
      <c r="G82" s="22">
        <v>0.38</v>
      </c>
      <c r="H82" s="22">
        <v>1.258</v>
      </c>
      <c r="I82" s="22">
        <v>1.7999999999999999E-2</v>
      </c>
      <c r="J82" s="22">
        <v>19.88</v>
      </c>
      <c r="K82" s="22">
        <v>0.81100000000000005</v>
      </c>
      <c r="L82" s="22">
        <v>22.37</v>
      </c>
      <c r="M82" s="22">
        <v>1.51</v>
      </c>
      <c r="N82" s="22">
        <v>3.5000000000000003E-2</v>
      </c>
      <c r="O82" s="22">
        <v>0</v>
      </c>
      <c r="P82" s="22"/>
      <c r="Q82" s="22"/>
      <c r="R82" s="22"/>
      <c r="S82" s="22">
        <f t="shared" si="118"/>
        <v>99.532000000000025</v>
      </c>
      <c r="T82" s="3"/>
      <c r="U82" s="22">
        <f t="shared" si="119"/>
        <v>19.88</v>
      </c>
      <c r="V82" s="22">
        <f t="shared" si="120"/>
        <v>0</v>
      </c>
      <c r="W82" s="22">
        <f t="shared" si="121"/>
        <v>99.532000000000011</v>
      </c>
      <c r="X82" s="1"/>
      <c r="Y82" s="1"/>
      <c r="Z82" s="1"/>
      <c r="AA82" s="1" t="s">
        <v>185</v>
      </c>
      <c r="AC82" s="1">
        <v>6</v>
      </c>
      <c r="AD82" s="1">
        <v>4</v>
      </c>
      <c r="AE82" s="1"/>
      <c r="AF82" s="26">
        <f t="shared" si="122"/>
        <v>1.9770112313280077</v>
      </c>
      <c r="AG82" s="26">
        <f t="shared" si="123"/>
        <v>1.0607228003566957E-2</v>
      </c>
      <c r="AH82" s="26">
        <f t="shared" si="124"/>
        <v>5.5022101502114354E-2</v>
      </c>
      <c r="AI82" s="26">
        <f t="shared" si="125"/>
        <v>5.2813366227863717E-4</v>
      </c>
      <c r="AJ82" s="26">
        <f t="shared" si="126"/>
        <v>0.61694432164039048</v>
      </c>
      <c r="AK82" s="26">
        <f t="shared" si="127"/>
        <v>2.5490950745704937E-2</v>
      </c>
      <c r="AL82" s="26">
        <f t="shared" si="128"/>
        <v>1.2377054454963208</v>
      </c>
      <c r="AM82" s="26">
        <f t="shared" si="129"/>
        <v>6.0037874142045297E-2</v>
      </c>
      <c r="AN82" s="26">
        <f t="shared" si="130"/>
        <v>2.5182731316020874E-3</v>
      </c>
      <c r="AO82" s="26">
        <f t="shared" si="131"/>
        <v>0</v>
      </c>
      <c r="AP82" s="26">
        <f t="shared" si="132"/>
        <v>0</v>
      </c>
      <c r="AQ82" s="26">
        <f t="shared" si="133"/>
        <v>0</v>
      </c>
      <c r="AR82" s="26">
        <f t="shared" si="134"/>
        <v>0</v>
      </c>
      <c r="AS82" s="26">
        <f t="shared" si="135"/>
        <v>3.9858655596520309</v>
      </c>
      <c r="AT82" s="26">
        <f t="shared" si="136"/>
        <v>2.0320333328301219</v>
      </c>
      <c r="AU82" s="26">
        <f t="shared" si="137"/>
        <v>6.2556147273647389E-2</v>
      </c>
      <c r="AV82" s="47"/>
      <c r="AW82" s="26">
        <f t="shared" si="138"/>
        <v>1.9840219914498092</v>
      </c>
      <c r="AX82" s="26">
        <f t="shared" si="139"/>
        <v>1.0644842727202246E-2</v>
      </c>
      <c r="AY82" s="26">
        <f t="shared" si="140"/>
        <v>5.5217217619269454E-2</v>
      </c>
      <c r="AZ82" s="26">
        <f t="shared" si="141"/>
        <v>5.3000649858821994E-4</v>
      </c>
      <c r="BA82" s="26">
        <f t="shared" si="142"/>
        <v>0.61913209304957106</v>
      </c>
      <c r="BB82" s="26">
        <f t="shared" si="143"/>
        <v>0</v>
      </c>
      <c r="BC82" s="26">
        <f t="shared" si="144"/>
        <v>2.5581345245302568E-2</v>
      </c>
      <c r="BD82" s="26">
        <f t="shared" si="145"/>
        <v>1.2420945232326133</v>
      </c>
      <c r="BE82" s="26">
        <f t="shared" si="146"/>
        <v>6.0250776895030701E-2</v>
      </c>
      <c r="BF82" s="26">
        <f t="shared" si="147"/>
        <v>2.5272032826134101E-3</v>
      </c>
      <c r="BG82" s="26">
        <f t="shared" si="148"/>
        <v>0</v>
      </c>
      <c r="BH82" s="26">
        <f t="shared" si="149"/>
        <v>0</v>
      </c>
      <c r="BI82" s="26">
        <f t="shared" si="150"/>
        <v>0</v>
      </c>
      <c r="BJ82" s="26">
        <f t="shared" si="151"/>
        <v>0</v>
      </c>
      <c r="BK82" s="25">
        <f t="shared" si="152"/>
        <v>4.0000000000000009</v>
      </c>
      <c r="BL82" s="24">
        <f t="shared" si="153"/>
        <v>6.0212768445946336</v>
      </c>
      <c r="BM82" s="26">
        <f t="shared" si="154"/>
        <v>2.0392392090690787</v>
      </c>
      <c r="BN82" s="26">
        <f t="shared" si="155"/>
        <v>6.2777980177644105E-2</v>
      </c>
      <c r="BO82" s="22"/>
      <c r="BP82" s="26">
        <f t="shared" si="156"/>
        <v>0.66735265462392079</v>
      </c>
      <c r="BQ82" s="22"/>
      <c r="BR82" s="22">
        <f t="shared" si="157"/>
        <v>3.0944509123461326E-2</v>
      </c>
      <c r="BS82" s="22">
        <f t="shared" si="158"/>
        <v>0.63793377093437997</v>
      </c>
      <c r="BT82" s="22">
        <f t="shared" si="159"/>
        <v>0.33112171994215861</v>
      </c>
      <c r="BU82" s="1"/>
      <c r="BV82" s="26">
        <f t="shared" si="160"/>
        <v>0.88665113182423438</v>
      </c>
      <c r="BW82" s="26">
        <f t="shared" si="161"/>
        <v>4.7571357035553329E-3</v>
      </c>
      <c r="BX82" s="26">
        <f t="shared" si="162"/>
        <v>2.4676343664182032E-2</v>
      </c>
      <c r="BY82" s="26">
        <f t="shared" si="163"/>
        <v>2.3685768800578983E-4</v>
      </c>
      <c r="BZ82" s="26">
        <f t="shared" si="164"/>
        <v>0.27668754349338903</v>
      </c>
      <c r="CA82" s="26">
        <f t="shared" si="165"/>
        <v>1.1432196222159572E-2</v>
      </c>
      <c r="CB82" s="26">
        <f t="shared" si="166"/>
        <v>0.55508684863523583</v>
      </c>
      <c r="CC82" s="26">
        <f t="shared" si="167"/>
        <v>2.6925820256776034E-2</v>
      </c>
      <c r="CD82" s="26">
        <f t="shared" si="168"/>
        <v>1.1293965795417878E-3</v>
      </c>
      <c r="CE82" s="26">
        <f t="shared" si="169"/>
        <v>0</v>
      </c>
      <c r="CF82" s="26">
        <f t="shared" si="170"/>
        <v>0</v>
      </c>
      <c r="CG82" s="26">
        <f t="shared" si="171"/>
        <v>0</v>
      </c>
      <c r="CH82" s="26">
        <f t="shared" si="172"/>
        <v>0</v>
      </c>
      <c r="CI82" s="26">
        <f t="shared" si="173"/>
        <v>1.7875832740670798</v>
      </c>
      <c r="CJ82" s="26">
        <f t="shared" si="174"/>
        <v>2.6908834439811922</v>
      </c>
      <c r="CK82" s="26">
        <f t="shared" si="175"/>
        <v>2.2376579922339879</v>
      </c>
      <c r="CL82" s="26">
        <f t="shared" si="176"/>
        <v>6.0212768445946327</v>
      </c>
      <c r="CM82" s="1"/>
      <c r="CN82" s="22"/>
      <c r="CO82" s="96"/>
      <c r="CP82" s="14"/>
      <c r="CQ82" s="14"/>
      <c r="CR82" s="14"/>
      <c r="CS82" s="14"/>
      <c r="CT82" s="22"/>
      <c r="CU82" s="14"/>
      <c r="CV82" s="22"/>
      <c r="CW82" s="22"/>
      <c r="CX82" s="14"/>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46"/>
      <c r="FF82" s="46"/>
      <c r="FG82" s="46"/>
      <c r="FH82" s="46"/>
      <c r="FI82" s="46"/>
      <c r="FJ82" s="46"/>
      <c r="FK82" s="46"/>
      <c r="FL82" s="46"/>
      <c r="FM82" s="46"/>
      <c r="FN82" s="46"/>
      <c r="FO82" s="46"/>
    </row>
    <row r="83" spans="1:171" x14ac:dyDescent="0.25">
      <c r="A83" s="5" t="s">
        <v>86</v>
      </c>
      <c r="B83" s="1">
        <v>541</v>
      </c>
      <c r="C83" s="98" t="s">
        <v>96</v>
      </c>
      <c r="D83" s="98" t="s">
        <v>105</v>
      </c>
      <c r="E83" s="1">
        <v>52</v>
      </c>
      <c r="F83" s="22">
        <v>52.6</v>
      </c>
      <c r="G83" s="22">
        <v>0</v>
      </c>
      <c r="H83" s="22">
        <v>5.3999999999999999E-2</v>
      </c>
      <c r="I83" s="22">
        <v>1.2999999999999999E-2</v>
      </c>
      <c r="J83" s="22">
        <v>26.73</v>
      </c>
      <c r="K83" s="22">
        <v>2.77</v>
      </c>
      <c r="L83" s="22">
        <v>16.79</v>
      </c>
      <c r="M83" s="22">
        <v>0.72299999999999998</v>
      </c>
      <c r="N83" s="22">
        <v>0</v>
      </c>
      <c r="O83" s="22">
        <v>0</v>
      </c>
      <c r="P83" s="22"/>
      <c r="Q83" s="22"/>
      <c r="R83" s="22"/>
      <c r="S83" s="22">
        <f t="shared" si="118"/>
        <v>99.679999999999993</v>
      </c>
      <c r="T83" s="3"/>
      <c r="U83" s="22">
        <f t="shared" si="119"/>
        <v>26.73</v>
      </c>
      <c r="V83" s="22">
        <f t="shared" si="120"/>
        <v>0</v>
      </c>
      <c r="W83" s="22">
        <f t="shared" si="121"/>
        <v>99.68</v>
      </c>
      <c r="X83" s="1"/>
      <c r="Y83" s="1"/>
      <c r="Z83" s="1"/>
      <c r="AA83" s="1" t="s">
        <v>186</v>
      </c>
      <c r="AC83" s="1">
        <v>6</v>
      </c>
      <c r="AD83" s="1">
        <v>4</v>
      </c>
      <c r="AE83" s="1"/>
      <c r="AF83" s="26">
        <f t="shared" si="122"/>
        <v>2.0254983474631874</v>
      </c>
      <c r="AG83" s="26">
        <f t="shared" si="123"/>
        <v>0</v>
      </c>
      <c r="AH83" s="26">
        <f t="shared" si="124"/>
        <v>2.4505863026288432E-3</v>
      </c>
      <c r="AI83" s="26">
        <f t="shared" si="125"/>
        <v>3.9576228606761141E-4</v>
      </c>
      <c r="AJ83" s="26">
        <f t="shared" si="126"/>
        <v>0.86069297711160919</v>
      </c>
      <c r="AK83" s="26">
        <f t="shared" si="127"/>
        <v>9.0336790738968498E-2</v>
      </c>
      <c r="AL83" s="26">
        <f t="shared" si="128"/>
        <v>0.9638772347199841</v>
      </c>
      <c r="AM83" s="26">
        <f t="shared" si="129"/>
        <v>2.9826779620019454E-2</v>
      </c>
      <c r="AN83" s="26">
        <f t="shared" si="130"/>
        <v>0</v>
      </c>
      <c r="AO83" s="26">
        <f t="shared" si="131"/>
        <v>0</v>
      </c>
      <c r="AP83" s="26">
        <f t="shared" si="132"/>
        <v>0</v>
      </c>
      <c r="AQ83" s="26">
        <f t="shared" si="133"/>
        <v>0</v>
      </c>
      <c r="AR83" s="26">
        <f t="shared" si="134"/>
        <v>0</v>
      </c>
      <c r="AS83" s="26">
        <f t="shared" si="135"/>
        <v>3.9730784782424649</v>
      </c>
      <c r="AT83" s="26">
        <f t="shared" si="136"/>
        <v>2.0279489337658161</v>
      </c>
      <c r="AU83" s="26">
        <f t="shared" si="137"/>
        <v>2.9826779620019454E-2</v>
      </c>
      <c r="AV83" s="47"/>
      <c r="AW83" s="26">
        <f t="shared" si="138"/>
        <v>2.0392230946912373</v>
      </c>
      <c r="AX83" s="26">
        <f t="shared" si="139"/>
        <v>0</v>
      </c>
      <c r="AY83" s="26">
        <f t="shared" si="140"/>
        <v>2.4671914396343737E-3</v>
      </c>
      <c r="AZ83" s="26">
        <f t="shared" si="141"/>
        <v>3.9844396553946881E-4</v>
      </c>
      <c r="BA83" s="26">
        <f t="shared" si="142"/>
        <v>0.86652502015751398</v>
      </c>
      <c r="BB83" s="26">
        <f t="shared" si="143"/>
        <v>0</v>
      </c>
      <c r="BC83" s="26">
        <f t="shared" si="144"/>
        <v>9.0948911514005623E-2</v>
      </c>
      <c r="BD83" s="26">
        <f t="shared" si="145"/>
        <v>0.97040845278884691</v>
      </c>
      <c r="BE83" s="26">
        <f t="shared" si="146"/>
        <v>3.0028885443223022E-2</v>
      </c>
      <c r="BF83" s="26">
        <f t="shared" si="147"/>
        <v>0</v>
      </c>
      <c r="BG83" s="26">
        <f t="shared" si="148"/>
        <v>0</v>
      </c>
      <c r="BH83" s="26">
        <f t="shared" si="149"/>
        <v>0</v>
      </c>
      <c r="BI83" s="26">
        <f t="shared" si="150"/>
        <v>0</v>
      </c>
      <c r="BJ83" s="26">
        <f t="shared" si="151"/>
        <v>0</v>
      </c>
      <c r="BK83" s="25">
        <f t="shared" si="152"/>
        <v>4.0000000000000009</v>
      </c>
      <c r="BL83" s="24">
        <f t="shared" si="153"/>
        <v>6.0406559123938255</v>
      </c>
      <c r="BM83" s="26">
        <f t="shared" si="154"/>
        <v>2.0416902861308719</v>
      </c>
      <c r="BN83" s="26">
        <f t="shared" si="155"/>
        <v>3.0028885443223022E-2</v>
      </c>
      <c r="BO83" s="22"/>
      <c r="BP83" s="26">
        <f t="shared" si="156"/>
        <v>0.52827631870214342</v>
      </c>
      <c r="BQ83" s="22"/>
      <c r="BR83" s="22">
        <f t="shared" si="157"/>
        <v>1.5337204450895106E-2</v>
      </c>
      <c r="BS83" s="22">
        <f t="shared" si="158"/>
        <v>0.49563454059725154</v>
      </c>
      <c r="BT83" s="22">
        <f t="shared" si="159"/>
        <v>0.48902825495185342</v>
      </c>
      <c r="BU83" s="1"/>
      <c r="BV83" s="26">
        <f t="shared" si="160"/>
        <v>0.87549933422103865</v>
      </c>
      <c r="BW83" s="26">
        <f t="shared" si="161"/>
        <v>0</v>
      </c>
      <c r="BX83" s="26">
        <f t="shared" si="162"/>
        <v>1.0592389172224403E-3</v>
      </c>
      <c r="BY83" s="26">
        <f t="shared" si="163"/>
        <v>1.7106388578195931E-4</v>
      </c>
      <c r="BZ83" s="26">
        <f t="shared" si="164"/>
        <v>0.37202505219206683</v>
      </c>
      <c r="CA83" s="26">
        <f t="shared" si="165"/>
        <v>3.9047082041161543E-2</v>
      </c>
      <c r="CB83" s="26">
        <f t="shared" si="166"/>
        <v>0.41662531017369731</v>
      </c>
      <c r="CC83" s="26">
        <f t="shared" si="167"/>
        <v>1.2892296718972896E-2</v>
      </c>
      <c r="CD83" s="26">
        <f t="shared" si="168"/>
        <v>0</v>
      </c>
      <c r="CE83" s="26">
        <f t="shared" si="169"/>
        <v>0</v>
      </c>
      <c r="CF83" s="26">
        <f t="shared" si="170"/>
        <v>0</v>
      </c>
      <c r="CG83" s="26">
        <f t="shared" si="171"/>
        <v>0</v>
      </c>
      <c r="CH83" s="26">
        <f t="shared" si="172"/>
        <v>0</v>
      </c>
      <c r="CI83" s="26">
        <f t="shared" si="173"/>
        <v>1.7173193781499414</v>
      </c>
      <c r="CJ83" s="26">
        <f t="shared" si="174"/>
        <v>2.5934338637724821</v>
      </c>
      <c r="CK83" s="26">
        <f t="shared" si="175"/>
        <v>2.329211473936303</v>
      </c>
      <c r="CL83" s="26">
        <f t="shared" si="176"/>
        <v>6.0406559123938246</v>
      </c>
      <c r="CM83" s="1"/>
      <c r="CN83" s="22"/>
      <c r="CO83" s="96"/>
      <c r="CP83" s="14"/>
      <c r="CQ83" s="14"/>
      <c r="CR83" s="14"/>
      <c r="CS83" s="14"/>
      <c r="CT83" s="22"/>
      <c r="CU83" s="14"/>
      <c r="CV83" s="22"/>
      <c r="CW83" s="22"/>
      <c r="CX83" s="14"/>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46"/>
      <c r="FF83" s="46"/>
      <c r="FG83" s="46"/>
      <c r="FH83" s="46"/>
      <c r="FI83" s="46"/>
      <c r="FJ83" s="46"/>
      <c r="FK83" s="46"/>
      <c r="FL83" s="46"/>
      <c r="FM83" s="46"/>
      <c r="FN83" s="46"/>
      <c r="FO83" s="46"/>
    </row>
    <row r="84" spans="1:171" x14ac:dyDescent="0.25">
      <c r="A84" s="5" t="s">
        <v>86</v>
      </c>
      <c r="B84" s="1">
        <v>542</v>
      </c>
      <c r="C84" s="98" t="s">
        <v>96</v>
      </c>
      <c r="D84" s="98" t="s">
        <v>105</v>
      </c>
      <c r="E84" s="1">
        <v>53</v>
      </c>
      <c r="F84" s="22">
        <v>53.44</v>
      </c>
      <c r="G84" s="22">
        <v>0.249</v>
      </c>
      <c r="H84" s="22">
        <v>1.095</v>
      </c>
      <c r="I84" s="22">
        <v>0</v>
      </c>
      <c r="J84" s="22">
        <v>20.190000000000001</v>
      </c>
      <c r="K84" s="22">
        <v>0.71499999999999997</v>
      </c>
      <c r="L84" s="22">
        <v>22.68</v>
      </c>
      <c r="M84" s="22">
        <v>1.61</v>
      </c>
      <c r="N84" s="22">
        <v>4.3999999999999997E-2</v>
      </c>
      <c r="O84" s="22">
        <v>0.01</v>
      </c>
      <c r="P84" s="22"/>
      <c r="Q84" s="22"/>
      <c r="R84" s="22"/>
      <c r="S84" s="22">
        <f t="shared" si="118"/>
        <v>100.033</v>
      </c>
      <c r="T84" s="3"/>
      <c r="U84" s="22">
        <f t="shared" si="119"/>
        <v>20.190000000000001</v>
      </c>
      <c r="V84" s="22">
        <f t="shared" si="120"/>
        <v>0</v>
      </c>
      <c r="W84" s="22">
        <f t="shared" si="121"/>
        <v>100.033</v>
      </c>
      <c r="X84" s="1"/>
      <c r="Y84" s="1"/>
      <c r="Z84" s="1"/>
      <c r="AA84" s="1" t="s">
        <v>185</v>
      </c>
      <c r="AC84" s="1">
        <v>6</v>
      </c>
      <c r="AD84" s="1">
        <v>4</v>
      </c>
      <c r="AE84" s="1"/>
      <c r="AF84" s="26">
        <f t="shared" si="122"/>
        <v>1.9760386426461771</v>
      </c>
      <c r="AG84" s="26">
        <f t="shared" si="123"/>
        <v>6.9250067117178852E-3</v>
      </c>
      <c r="AH84" s="26">
        <f t="shared" si="124"/>
        <v>4.7717007068254734E-2</v>
      </c>
      <c r="AI84" s="26">
        <f t="shared" si="125"/>
        <v>0</v>
      </c>
      <c r="AJ84" s="26">
        <f t="shared" si="126"/>
        <v>0.62426423492190497</v>
      </c>
      <c r="AK84" s="26">
        <f t="shared" si="127"/>
        <v>2.2391014202533147E-2</v>
      </c>
      <c r="AL84" s="26">
        <f t="shared" si="128"/>
        <v>1.2502501399617647</v>
      </c>
      <c r="AM84" s="26">
        <f t="shared" si="129"/>
        <v>6.3778863898716107E-2</v>
      </c>
      <c r="AN84" s="26">
        <f t="shared" si="130"/>
        <v>3.1542056693776182E-3</v>
      </c>
      <c r="AO84" s="26">
        <f t="shared" si="131"/>
        <v>4.7166972444514762E-4</v>
      </c>
      <c r="AP84" s="26">
        <f t="shared" si="132"/>
        <v>0</v>
      </c>
      <c r="AQ84" s="26">
        <f t="shared" si="133"/>
        <v>0</v>
      </c>
      <c r="AR84" s="26">
        <f t="shared" si="134"/>
        <v>0</v>
      </c>
      <c r="AS84" s="26">
        <f t="shared" si="135"/>
        <v>3.9949907848048913</v>
      </c>
      <c r="AT84" s="26">
        <f t="shared" si="136"/>
        <v>2.023755649714432</v>
      </c>
      <c r="AU84" s="26">
        <f t="shared" si="137"/>
        <v>6.7404739292538873E-2</v>
      </c>
      <c r="AV84" s="47"/>
      <c r="AW84" s="26">
        <f t="shared" si="138"/>
        <v>1.978516346182444</v>
      </c>
      <c r="AX84" s="26">
        <f t="shared" si="139"/>
        <v>6.9336897977912018E-3</v>
      </c>
      <c r="AY84" s="26">
        <f t="shared" si="140"/>
        <v>4.7776838184206381E-2</v>
      </c>
      <c r="AZ84" s="26">
        <f t="shared" si="141"/>
        <v>0</v>
      </c>
      <c r="BA84" s="26">
        <f t="shared" si="142"/>
        <v>0.62504698363392397</v>
      </c>
      <c r="BB84" s="26">
        <f t="shared" si="143"/>
        <v>0</v>
      </c>
      <c r="BC84" s="26">
        <f t="shared" si="144"/>
        <v>2.2419089713746797E-2</v>
      </c>
      <c r="BD84" s="26">
        <f t="shared" si="145"/>
        <v>1.2518177961432517</v>
      </c>
      <c r="BE84" s="26">
        <f t="shared" si="146"/>
        <v>6.3858834559820846E-2</v>
      </c>
      <c r="BF84" s="26">
        <f t="shared" si="147"/>
        <v>3.158160645951692E-3</v>
      </c>
      <c r="BG84" s="26">
        <f t="shared" si="148"/>
        <v>4.7226113886336105E-4</v>
      </c>
      <c r="BH84" s="26">
        <f t="shared" si="149"/>
        <v>0</v>
      </c>
      <c r="BI84" s="26">
        <f t="shared" si="150"/>
        <v>0</v>
      </c>
      <c r="BJ84" s="26">
        <f t="shared" si="151"/>
        <v>0</v>
      </c>
      <c r="BK84" s="25">
        <f t="shared" si="152"/>
        <v>4</v>
      </c>
      <c r="BL84" s="24">
        <f t="shared" si="153"/>
        <v>6.0075232441799304</v>
      </c>
      <c r="BM84" s="26">
        <f t="shared" si="154"/>
        <v>2.0262931843666503</v>
      </c>
      <c r="BN84" s="26">
        <f t="shared" si="155"/>
        <v>6.7489256344635901E-2</v>
      </c>
      <c r="BO84" s="22"/>
      <c r="BP84" s="26">
        <f t="shared" si="156"/>
        <v>0.66697282064820329</v>
      </c>
      <c r="BQ84" s="22"/>
      <c r="BR84" s="22">
        <f t="shared" si="157"/>
        <v>3.2528880568923849E-2</v>
      </c>
      <c r="BS84" s="22">
        <f t="shared" si="158"/>
        <v>0.63766011179943982</v>
      </c>
      <c r="BT84" s="22">
        <f t="shared" si="159"/>
        <v>0.32981100763163629</v>
      </c>
      <c r="BU84" s="1"/>
      <c r="BV84" s="26">
        <f t="shared" si="160"/>
        <v>0.88948069241011984</v>
      </c>
      <c r="BW84" s="26">
        <f t="shared" si="161"/>
        <v>3.1171757636454683E-3</v>
      </c>
      <c r="BX84" s="26">
        <f t="shared" si="162"/>
        <v>2.1479011377010592E-2</v>
      </c>
      <c r="BY84" s="26">
        <f t="shared" si="163"/>
        <v>0</v>
      </c>
      <c r="BZ84" s="26">
        <f t="shared" si="164"/>
        <v>0.28100208768267226</v>
      </c>
      <c r="CA84" s="26">
        <f t="shared" si="165"/>
        <v>1.007893994925289E-2</v>
      </c>
      <c r="CB84" s="26">
        <f t="shared" si="166"/>
        <v>0.56277915632754349</v>
      </c>
      <c r="CC84" s="26">
        <f t="shared" si="167"/>
        <v>2.8708987161198289E-2</v>
      </c>
      <c r="CD84" s="26">
        <f t="shared" si="168"/>
        <v>1.4198128428525331E-3</v>
      </c>
      <c r="CE84" s="26">
        <f t="shared" si="169"/>
        <v>2.1231422505307856E-4</v>
      </c>
      <c r="CF84" s="26">
        <f t="shared" si="170"/>
        <v>0</v>
      </c>
      <c r="CG84" s="26">
        <f t="shared" si="171"/>
        <v>0</v>
      </c>
      <c r="CH84" s="26">
        <f t="shared" si="172"/>
        <v>0</v>
      </c>
      <c r="CI84" s="26">
        <f t="shared" si="173"/>
        <v>1.7982781777393484</v>
      </c>
      <c r="CJ84" s="26">
        <f t="shared" si="174"/>
        <v>2.7007994880676653</v>
      </c>
      <c r="CK84" s="26">
        <f t="shared" si="175"/>
        <v>2.2243499640464304</v>
      </c>
      <c r="CL84" s="26">
        <f t="shared" si="176"/>
        <v>6.0075232441799287</v>
      </c>
      <c r="CM84" s="1"/>
      <c r="CN84" s="22"/>
      <c r="CO84" s="96"/>
      <c r="CP84" s="14"/>
      <c r="CQ84" s="14"/>
      <c r="CR84" s="14"/>
      <c r="CS84" s="14"/>
      <c r="CT84" s="22"/>
      <c r="CU84" s="14"/>
      <c r="CV84" s="22"/>
      <c r="CW84" s="22"/>
      <c r="CX84" s="14"/>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46"/>
      <c r="FF84" s="46"/>
      <c r="FG84" s="46"/>
      <c r="FH84" s="46"/>
      <c r="FI84" s="46"/>
      <c r="FJ84" s="46"/>
      <c r="FK84" s="46"/>
      <c r="FL84" s="46"/>
      <c r="FM84" s="46"/>
      <c r="FN84" s="46"/>
      <c r="FO84" s="46"/>
    </row>
    <row r="85" spans="1:171" x14ac:dyDescent="0.25">
      <c r="A85" s="5" t="s">
        <v>86</v>
      </c>
      <c r="B85" s="1">
        <v>543</v>
      </c>
      <c r="C85" s="98" t="s">
        <v>96</v>
      </c>
      <c r="D85" s="98" t="s">
        <v>105</v>
      </c>
      <c r="E85" s="1">
        <v>54</v>
      </c>
      <c r="F85" s="22">
        <v>52.46</v>
      </c>
      <c r="G85" s="22">
        <v>0.42499999999999999</v>
      </c>
      <c r="H85" s="22">
        <v>1.0620000000000001</v>
      </c>
      <c r="I85" s="22">
        <v>0</v>
      </c>
      <c r="J85" s="22">
        <v>20.23</v>
      </c>
      <c r="K85" s="22">
        <v>0.82799999999999996</v>
      </c>
      <c r="L85" s="22">
        <v>22.03</v>
      </c>
      <c r="M85" s="22">
        <v>1.82</v>
      </c>
      <c r="N85" s="22">
        <v>1.4E-2</v>
      </c>
      <c r="O85" s="22">
        <v>0</v>
      </c>
      <c r="P85" s="22"/>
      <c r="Q85" s="22"/>
      <c r="R85" s="22"/>
      <c r="S85" s="22">
        <f t="shared" si="118"/>
        <v>98.868999999999986</v>
      </c>
      <c r="T85" s="3"/>
      <c r="U85" s="22">
        <f t="shared" si="119"/>
        <v>20.23</v>
      </c>
      <c r="V85" s="22">
        <f t="shared" si="120"/>
        <v>0</v>
      </c>
      <c r="W85" s="22">
        <f t="shared" si="121"/>
        <v>98.869</v>
      </c>
      <c r="X85" s="1"/>
      <c r="Y85" s="1"/>
      <c r="Z85" s="1"/>
      <c r="AA85" s="1" t="s">
        <v>185</v>
      </c>
      <c r="AC85" s="1">
        <v>6</v>
      </c>
      <c r="AD85" s="1">
        <v>4</v>
      </c>
      <c r="AE85" s="1"/>
      <c r="AF85" s="26">
        <f t="shared" si="122"/>
        <v>1.9689718259799496</v>
      </c>
      <c r="AG85" s="26">
        <f t="shared" si="123"/>
        <v>1.1997534665649836E-2</v>
      </c>
      <c r="AH85" s="26">
        <f t="shared" si="124"/>
        <v>4.6974895778082289E-2</v>
      </c>
      <c r="AI85" s="26">
        <f t="shared" si="125"/>
        <v>0</v>
      </c>
      <c r="AJ85" s="26">
        <f t="shared" si="126"/>
        <v>0.63490719678196783</v>
      </c>
      <c r="AK85" s="26">
        <f t="shared" si="127"/>
        <v>2.6319661062646684E-2</v>
      </c>
      <c r="AL85" s="26">
        <f t="shared" si="128"/>
        <v>1.2326806838183717</v>
      </c>
      <c r="AM85" s="26">
        <f t="shared" si="129"/>
        <v>7.3182041862366293E-2</v>
      </c>
      <c r="AN85" s="26">
        <f t="shared" si="130"/>
        <v>1.018703032651104E-3</v>
      </c>
      <c r="AO85" s="26">
        <f t="shared" si="131"/>
        <v>0</v>
      </c>
      <c r="AP85" s="26">
        <f t="shared" si="132"/>
        <v>0</v>
      </c>
      <c r="AQ85" s="26">
        <f t="shared" si="133"/>
        <v>0</v>
      </c>
      <c r="AR85" s="26">
        <f t="shared" si="134"/>
        <v>0</v>
      </c>
      <c r="AS85" s="26">
        <f t="shared" si="135"/>
        <v>3.9960525429816851</v>
      </c>
      <c r="AT85" s="26">
        <f t="shared" si="136"/>
        <v>2.015946721758032</v>
      </c>
      <c r="AU85" s="26">
        <f t="shared" si="137"/>
        <v>7.4200744895017393E-2</v>
      </c>
      <c r="AV85" s="47"/>
      <c r="AW85" s="26">
        <f t="shared" si="138"/>
        <v>1.9709168533712886</v>
      </c>
      <c r="AX85" s="26">
        <f t="shared" si="139"/>
        <v>1.2009386299708446E-2</v>
      </c>
      <c r="AY85" s="26">
        <f t="shared" si="140"/>
        <v>4.7021299417681441E-2</v>
      </c>
      <c r="AZ85" s="26">
        <f t="shared" si="141"/>
        <v>0</v>
      </c>
      <c r="BA85" s="26">
        <f t="shared" si="142"/>
        <v>0.635534382947054</v>
      </c>
      <c r="BB85" s="26">
        <f t="shared" si="143"/>
        <v>0</v>
      </c>
      <c r="BC85" s="26">
        <f t="shared" si="144"/>
        <v>2.6345660653408796E-2</v>
      </c>
      <c r="BD85" s="26">
        <f t="shared" si="145"/>
        <v>1.2338983740174725</v>
      </c>
      <c r="BE85" s="26">
        <f t="shared" si="146"/>
        <v>7.3254333946030606E-2</v>
      </c>
      <c r="BF85" s="26">
        <f t="shared" si="147"/>
        <v>1.0197093473560694E-3</v>
      </c>
      <c r="BG85" s="26">
        <f t="shared" si="148"/>
        <v>0</v>
      </c>
      <c r="BH85" s="26">
        <f t="shared" si="149"/>
        <v>0</v>
      </c>
      <c r="BI85" s="26">
        <f t="shared" si="150"/>
        <v>0</v>
      </c>
      <c r="BJ85" s="26">
        <f t="shared" si="151"/>
        <v>0</v>
      </c>
      <c r="BK85" s="25">
        <f t="shared" si="152"/>
        <v>4.0000000000000009</v>
      </c>
      <c r="BL85" s="24">
        <f t="shared" si="153"/>
        <v>6.0059270347061586</v>
      </c>
      <c r="BM85" s="26">
        <f t="shared" si="154"/>
        <v>2.0179381527889699</v>
      </c>
      <c r="BN85" s="26">
        <f t="shared" si="155"/>
        <v>7.4274043293386674E-2</v>
      </c>
      <c r="BO85" s="22"/>
      <c r="BP85" s="26">
        <f t="shared" si="156"/>
        <v>0.66003891791272717</v>
      </c>
      <c r="BQ85" s="22"/>
      <c r="BR85" s="22">
        <f t="shared" si="157"/>
        <v>3.7203207456984175E-2</v>
      </c>
      <c r="BS85" s="22">
        <f t="shared" si="158"/>
        <v>0.62665203158119642</v>
      </c>
      <c r="BT85" s="22">
        <f t="shared" si="159"/>
        <v>0.33614476096181939</v>
      </c>
      <c r="BU85" s="1"/>
      <c r="BV85" s="26">
        <f t="shared" si="160"/>
        <v>0.87316910785619173</v>
      </c>
      <c r="BW85" s="26">
        <f t="shared" si="161"/>
        <v>5.3204807210816222E-3</v>
      </c>
      <c r="BX85" s="26">
        <f t="shared" si="162"/>
        <v>2.0831698705374661E-2</v>
      </c>
      <c r="BY85" s="26">
        <f t="shared" si="163"/>
        <v>0</v>
      </c>
      <c r="BZ85" s="26">
        <f t="shared" si="164"/>
        <v>0.28155880306193459</v>
      </c>
      <c r="CA85" s="26">
        <f t="shared" si="165"/>
        <v>1.167183535382013E-2</v>
      </c>
      <c r="CB85" s="26">
        <f t="shared" si="166"/>
        <v>0.54665012406947899</v>
      </c>
      <c r="CC85" s="26">
        <f t="shared" si="167"/>
        <v>3.2453637660485021E-2</v>
      </c>
      <c r="CD85" s="26">
        <f t="shared" si="168"/>
        <v>4.5175863181671512E-4</v>
      </c>
      <c r="CE85" s="26">
        <f t="shared" si="169"/>
        <v>0</v>
      </c>
      <c r="CF85" s="26">
        <f t="shared" si="170"/>
        <v>0</v>
      </c>
      <c r="CG85" s="26">
        <f t="shared" si="171"/>
        <v>0</v>
      </c>
      <c r="CH85" s="26">
        <f t="shared" si="172"/>
        <v>0</v>
      </c>
      <c r="CI85" s="26">
        <f t="shared" si="173"/>
        <v>1.7721074460601833</v>
      </c>
      <c r="CJ85" s="26">
        <f t="shared" si="174"/>
        <v>2.6607870046742357</v>
      </c>
      <c r="CK85" s="26">
        <f t="shared" si="175"/>
        <v>2.2571994767546135</v>
      </c>
      <c r="CL85" s="26">
        <f t="shared" si="176"/>
        <v>6.0059270347061604</v>
      </c>
      <c r="CM85" s="1"/>
      <c r="CN85" s="22">
        <v>18.154521761040456</v>
      </c>
      <c r="CO85" s="96">
        <v>167.91123992206244</v>
      </c>
      <c r="CP85" s="14">
        <v>130244.97629284297</v>
      </c>
      <c r="CQ85" s="14">
        <v>6490.514088087305</v>
      </c>
      <c r="CR85" s="14">
        <v>245224.17182469729</v>
      </c>
      <c r="CS85" s="14">
        <v>13019.190703693223</v>
      </c>
      <c r="CT85" s="22">
        <v>64.264911672512923</v>
      </c>
      <c r="CU85" s="14">
        <v>2254.1973777828844</v>
      </c>
      <c r="CV85" s="22">
        <v>63.480034530300287</v>
      </c>
      <c r="CW85" s="22">
        <v>0</v>
      </c>
      <c r="CX85" s="14">
        <v>5861.3835864082021</v>
      </c>
      <c r="CY85" s="22">
        <v>51.25267629586692</v>
      </c>
      <c r="CZ85" s="22">
        <v>0</v>
      </c>
      <c r="DA85" s="22">
        <v>1.1030375067051446</v>
      </c>
      <c r="DB85" s="22">
        <v>291.68406623309897</v>
      </c>
      <c r="DC85" s="22">
        <v>0.37276799858451803</v>
      </c>
      <c r="DD85" s="22">
        <v>1.0600838937252535</v>
      </c>
      <c r="DE85" s="22">
        <v>0</v>
      </c>
      <c r="DF85" s="22">
        <v>12.130995849650402</v>
      </c>
      <c r="DG85" s="22">
        <v>5.4617308145359349</v>
      </c>
      <c r="DH85" s="22">
        <v>0</v>
      </c>
      <c r="DI85" s="22">
        <v>4.8696275134827237E-2</v>
      </c>
      <c r="DJ85" s="22">
        <v>0.18781939693103372</v>
      </c>
      <c r="DK85" s="22">
        <v>8.3876415837050786E-2</v>
      </c>
      <c r="DL85" s="22">
        <v>0.28116201254241363</v>
      </c>
      <c r="DM85" s="22">
        <v>9.0828916322448078E-2</v>
      </c>
      <c r="DN85" s="22">
        <v>0.48414441063097674</v>
      </c>
      <c r="DO85" s="22">
        <v>0.32348573720794938</v>
      </c>
      <c r="DP85" s="22">
        <v>0.10060732161148532</v>
      </c>
      <c r="DQ85" s="22">
        <v>0.98904154017062262</v>
      </c>
      <c r="DR85" s="22">
        <v>0.17907916922320535</v>
      </c>
      <c r="DS85" s="22">
        <v>1.5992908929801011</v>
      </c>
      <c r="DT85" s="22">
        <v>0.47445185011309504</v>
      </c>
      <c r="DU85" s="22">
        <v>1.8751604921641121</v>
      </c>
      <c r="DV85" s="22">
        <v>0.31114848822096591</v>
      </c>
      <c r="DW85" s="22">
        <v>2.5225412873836088</v>
      </c>
      <c r="DX85" s="22">
        <v>0.47490412078235783</v>
      </c>
      <c r="DY85" s="22">
        <v>0.26884554351773654</v>
      </c>
      <c r="DZ85" s="22">
        <v>0</v>
      </c>
      <c r="EA85" s="22">
        <v>0</v>
      </c>
      <c r="EB85" s="22">
        <v>1.8123976116108078E-2</v>
      </c>
      <c r="EC85" s="22">
        <v>1.7619981754127317E-3</v>
      </c>
      <c r="ED85" s="22">
        <f>(DP85/0.05883)/SQRT((DO85/0.1536)*(DQ85/0.2069))</f>
        <v>0.53897889205948557</v>
      </c>
      <c r="EE85" s="22"/>
      <c r="EF85" s="22"/>
      <c r="EG85" s="22"/>
      <c r="EH85" s="22"/>
      <c r="EI85" s="22"/>
      <c r="EJ85" s="22"/>
      <c r="EK85" s="22"/>
      <c r="EL85" s="22"/>
      <c r="EM85" s="22"/>
      <c r="EN85" s="22"/>
      <c r="EO85" s="22"/>
      <c r="EP85" s="22"/>
      <c r="EQ85" s="22"/>
      <c r="ER85" s="22">
        <f>3.073297 -6.710523 * BP85 +N("opx mg#")</f>
        <v>-1.355909339548468</v>
      </c>
      <c r="ES85" s="22" t="e">
        <f>-3.726231 -0.216482*LN(#REF!) + N("31 liquid mgo, liq MgO calculated from equilibrium Fe/Mg of liquid from opx composition, then regression of literature MgO vs Fe/Mg")</f>
        <v>#REF!</v>
      </c>
      <c r="ET85" s="22"/>
      <c r="EU85" s="22"/>
      <c r="EV85" s="22">
        <f>10.033975 - 17.897808 * BP85 + N("66 mg#   R2 0.46")</f>
        <v>-1.7792748253297521</v>
      </c>
      <c r="EW85" s="22">
        <f>7.162348 - 16.15931 * BP85 + N("38d mg# r2 0.38")</f>
        <v>-3.5034254866163117</v>
      </c>
      <c r="EX85" s="22">
        <f>4.451575 - 11.66175 * BP85 + N("mg#")</f>
        <v>-3.2456338509687459</v>
      </c>
      <c r="EY85" s="22"/>
      <c r="EZ85" s="22">
        <f>5.675764 - 12.3354 * BP85 + N("mg#")</f>
        <v>-2.4660800680206547</v>
      </c>
      <c r="FA85" s="22">
        <f>5.273598 - 11.10504 * BP85 + N("mg#")</f>
        <v>-2.0561605849775528</v>
      </c>
      <c r="FB85" s="22">
        <f>6.313568 - 12.50612 * BP85 + N("mg#")</f>
        <v>-1.9409579120867146</v>
      </c>
      <c r="FC85" s="22">
        <f>6.81086 - 13.3177 * BP85 + N("mg#")</f>
        <v>-1.9793402970863276</v>
      </c>
      <c r="FD85" s="22">
        <f>8.616762 - 14.50395 * BP85 + N("mg#")</f>
        <v>-0.9564094634603002</v>
      </c>
      <c r="FE85" s="46"/>
      <c r="FF85" s="46"/>
      <c r="FG85" s="46"/>
      <c r="FH85" s="46"/>
      <c r="FI85" s="46"/>
      <c r="FJ85" s="46"/>
      <c r="FK85" s="46"/>
      <c r="FL85" s="46"/>
      <c r="FM85" s="46"/>
      <c r="FN85" s="46"/>
      <c r="FO85" s="46"/>
    </row>
    <row r="86" spans="1:171" x14ac:dyDescent="0.25">
      <c r="A86" s="5" t="s">
        <v>254</v>
      </c>
      <c r="B86" s="1">
        <v>700</v>
      </c>
      <c r="C86" s="98" t="s">
        <v>95</v>
      </c>
      <c r="D86" s="98" t="s">
        <v>106</v>
      </c>
      <c r="E86" s="1">
        <v>211</v>
      </c>
      <c r="F86" s="22">
        <v>53.99</v>
      </c>
      <c r="G86" s="22">
        <v>0.161</v>
      </c>
      <c r="H86" s="22">
        <v>0.15</v>
      </c>
      <c r="I86" s="22">
        <v>0.01</v>
      </c>
      <c r="J86" s="22">
        <v>19.96</v>
      </c>
      <c r="K86" s="22">
        <v>0.82099999999999995</v>
      </c>
      <c r="L86" s="22">
        <v>23.53</v>
      </c>
      <c r="M86" s="22">
        <v>0.74099999999999999</v>
      </c>
      <c r="N86" s="22">
        <v>1.0999999999999999E-2</v>
      </c>
      <c r="O86" s="22">
        <v>0</v>
      </c>
      <c r="P86" s="22">
        <v>0</v>
      </c>
      <c r="Q86" s="22"/>
      <c r="R86" s="22"/>
      <c r="S86" s="22">
        <f t="shared" si="118"/>
        <v>99.373999999999995</v>
      </c>
      <c r="T86" s="3"/>
      <c r="U86" s="22">
        <f t="shared" si="119"/>
        <v>19.96</v>
      </c>
      <c r="V86" s="22">
        <f t="shared" si="120"/>
        <v>0</v>
      </c>
      <c r="W86" s="22">
        <f t="shared" si="121"/>
        <v>99.373999999999995</v>
      </c>
      <c r="X86" s="1"/>
      <c r="Y86" s="1"/>
      <c r="Z86" s="1"/>
      <c r="AA86" s="1" t="s">
        <v>185</v>
      </c>
      <c r="AC86" s="1">
        <v>6</v>
      </c>
      <c r="AD86" s="1">
        <v>4</v>
      </c>
      <c r="AE86" s="1"/>
      <c r="AF86" s="26">
        <f t="shared" si="122"/>
        <v>2.0024938339385856</v>
      </c>
      <c r="AG86" s="26">
        <f t="shared" si="123"/>
        <v>4.4913365965849735E-3</v>
      </c>
      <c r="AH86" s="26">
        <f t="shared" si="124"/>
        <v>6.5566078891345966E-3</v>
      </c>
      <c r="AI86" s="26">
        <f t="shared" si="125"/>
        <v>2.9322619487078683E-4</v>
      </c>
      <c r="AJ86" s="26">
        <f t="shared" si="126"/>
        <v>0.61904404258446877</v>
      </c>
      <c r="AK86" s="26">
        <f t="shared" si="127"/>
        <v>2.5789312040636694E-2</v>
      </c>
      <c r="AL86" s="26">
        <f t="shared" si="128"/>
        <v>1.3010819893342538</v>
      </c>
      <c r="AM86" s="26">
        <f t="shared" si="129"/>
        <v>2.9444079863215469E-2</v>
      </c>
      <c r="AN86" s="26">
        <f t="shared" si="130"/>
        <v>7.9096796215314595E-4</v>
      </c>
      <c r="AO86" s="26">
        <f t="shared" si="131"/>
        <v>0</v>
      </c>
      <c r="AP86" s="26">
        <f t="shared" si="132"/>
        <v>0</v>
      </c>
      <c r="AQ86" s="26">
        <f t="shared" si="133"/>
        <v>0</v>
      </c>
      <c r="AR86" s="26">
        <f t="shared" si="134"/>
        <v>0</v>
      </c>
      <c r="AS86" s="26">
        <f t="shared" si="135"/>
        <v>3.9899853964039038</v>
      </c>
      <c r="AT86" s="26">
        <f t="shared" si="136"/>
        <v>2.0090504418277204</v>
      </c>
      <c r="AU86" s="26">
        <f t="shared" si="137"/>
        <v>3.0235047825368615E-2</v>
      </c>
      <c r="AV86" s="47"/>
      <c r="AW86" s="26">
        <f t="shared" si="138"/>
        <v>2.0075199630990075</v>
      </c>
      <c r="AX86" s="26">
        <f t="shared" si="139"/>
        <v>4.5026095590554576E-3</v>
      </c>
      <c r="AY86" s="26">
        <f t="shared" si="140"/>
        <v>6.5730645480997904E-3</v>
      </c>
      <c r="AZ86" s="26">
        <f t="shared" si="141"/>
        <v>2.9396217353082642E-4</v>
      </c>
      <c r="BA86" s="26">
        <f t="shared" si="142"/>
        <v>0.62059780283146015</v>
      </c>
      <c r="BB86" s="26">
        <f t="shared" si="143"/>
        <v>0</v>
      </c>
      <c r="BC86" s="26">
        <f t="shared" si="144"/>
        <v>2.5854041534969129E-2</v>
      </c>
      <c r="BD86" s="26">
        <f t="shared" si="145"/>
        <v>1.3043476204267754</v>
      </c>
      <c r="BE86" s="26">
        <f t="shared" si="146"/>
        <v>2.9517982586856433E-2</v>
      </c>
      <c r="BF86" s="26">
        <f t="shared" si="147"/>
        <v>7.9295324024597187E-4</v>
      </c>
      <c r="BG86" s="26">
        <f t="shared" si="148"/>
        <v>0</v>
      </c>
      <c r="BH86" s="26">
        <f t="shared" si="149"/>
        <v>0</v>
      </c>
      <c r="BI86" s="26">
        <f t="shared" si="150"/>
        <v>0</v>
      </c>
      <c r="BJ86" s="26">
        <f t="shared" si="151"/>
        <v>0</v>
      </c>
      <c r="BK86" s="25">
        <f t="shared" si="152"/>
        <v>4</v>
      </c>
      <c r="BL86" s="24">
        <f t="shared" si="153"/>
        <v>6.0150596093987563</v>
      </c>
      <c r="BM86" s="26">
        <f t="shared" si="154"/>
        <v>2.0140930276471072</v>
      </c>
      <c r="BN86" s="26">
        <f t="shared" si="155"/>
        <v>3.0310935827102405E-2</v>
      </c>
      <c r="BO86" s="22"/>
      <c r="BP86" s="26">
        <f t="shared" si="156"/>
        <v>0.6776023905233568</v>
      </c>
      <c r="BQ86" s="22"/>
      <c r="BR86" s="22">
        <f t="shared" si="157"/>
        <v>1.4905682230850622E-2</v>
      </c>
      <c r="BS86" s="22">
        <f t="shared" si="158"/>
        <v>0.65865582417223745</v>
      </c>
      <c r="BT86" s="22">
        <f t="shared" si="159"/>
        <v>0.32643849359691213</v>
      </c>
      <c r="BU86" s="1"/>
      <c r="BV86" s="26">
        <f t="shared" si="160"/>
        <v>0.8986351531291612</v>
      </c>
      <c r="BW86" s="26">
        <f t="shared" si="161"/>
        <v>2.0155232849273911E-3</v>
      </c>
      <c r="BX86" s="26">
        <f t="shared" si="162"/>
        <v>2.9423303256178894E-3</v>
      </c>
      <c r="BY86" s="26">
        <f t="shared" si="163"/>
        <v>1.3158760444766102E-4</v>
      </c>
      <c r="BZ86" s="26">
        <f t="shared" si="164"/>
        <v>0.27780097425191375</v>
      </c>
      <c r="CA86" s="26">
        <f t="shared" si="165"/>
        <v>1.1573160417254017E-2</v>
      </c>
      <c r="CB86" s="26">
        <f t="shared" si="166"/>
        <v>0.58387096774193559</v>
      </c>
      <c r="CC86" s="26">
        <f t="shared" si="167"/>
        <v>1.3213266761768901E-2</v>
      </c>
      <c r="CD86" s="26">
        <f t="shared" si="168"/>
        <v>3.5495321071313328E-4</v>
      </c>
      <c r="CE86" s="26">
        <f t="shared" si="169"/>
        <v>0</v>
      </c>
      <c r="CF86" s="26">
        <f t="shared" si="170"/>
        <v>0</v>
      </c>
      <c r="CG86" s="26">
        <f t="shared" si="171"/>
        <v>0</v>
      </c>
      <c r="CH86" s="26">
        <f t="shared" si="172"/>
        <v>0</v>
      </c>
      <c r="CI86" s="26">
        <f t="shared" si="173"/>
        <v>1.7905379167277393</v>
      </c>
      <c r="CJ86" s="26">
        <f t="shared" si="174"/>
        <v>2.6925480755015041</v>
      </c>
      <c r="CK86" s="26">
        <f t="shared" si="175"/>
        <v>2.2339655377475154</v>
      </c>
      <c r="CL86" s="26">
        <f t="shared" si="176"/>
        <v>6.0150596093987554</v>
      </c>
      <c r="CM86" s="1"/>
      <c r="CN86" s="22"/>
      <c r="CO86" s="96"/>
      <c r="CP86" s="14"/>
      <c r="CQ86" s="14"/>
      <c r="CR86" s="14"/>
      <c r="CS86" s="14"/>
      <c r="CT86" s="22"/>
      <c r="CU86" s="14"/>
      <c r="CV86" s="22"/>
      <c r="CW86" s="22"/>
      <c r="CX86" s="14"/>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46"/>
      <c r="FF86" s="46"/>
      <c r="FG86" s="46"/>
      <c r="FH86" s="46"/>
      <c r="FI86" s="46"/>
      <c r="FJ86" s="46"/>
      <c r="FK86" s="46"/>
      <c r="FL86" s="46"/>
      <c r="FM86" s="46"/>
      <c r="FN86" s="46"/>
      <c r="FO86" s="46"/>
    </row>
    <row r="87" spans="1:171" x14ac:dyDescent="0.25">
      <c r="A87" s="5" t="s">
        <v>254</v>
      </c>
      <c r="B87" s="1">
        <v>707</v>
      </c>
      <c r="C87" s="98" t="s">
        <v>95</v>
      </c>
      <c r="D87" s="98" t="s">
        <v>106</v>
      </c>
      <c r="E87" s="1">
        <v>218</v>
      </c>
      <c r="F87" s="22">
        <v>54.45</v>
      </c>
      <c r="G87" s="22">
        <v>3.5999999999999997E-2</v>
      </c>
      <c r="H87" s="22">
        <v>0.11700000000000001</v>
      </c>
      <c r="I87" s="22">
        <v>0</v>
      </c>
      <c r="J87" s="22">
        <v>20.49</v>
      </c>
      <c r="K87" s="22">
        <v>0.88600000000000001</v>
      </c>
      <c r="L87" s="22">
        <v>23.29</v>
      </c>
      <c r="M87" s="22">
        <v>0.79100000000000004</v>
      </c>
      <c r="N87" s="22">
        <v>3.6999999999999998E-2</v>
      </c>
      <c r="O87" s="22">
        <v>0</v>
      </c>
      <c r="P87" s="22">
        <v>0</v>
      </c>
      <c r="Q87" s="22"/>
      <c r="R87" s="22"/>
      <c r="S87" s="22">
        <f t="shared" si="118"/>
        <v>100.09700000000001</v>
      </c>
      <c r="T87" s="3"/>
      <c r="U87" s="22">
        <f t="shared" si="119"/>
        <v>20.49</v>
      </c>
      <c r="V87" s="22">
        <f t="shared" si="120"/>
        <v>0</v>
      </c>
      <c r="W87" s="22">
        <f t="shared" si="121"/>
        <v>100.09699999999999</v>
      </c>
      <c r="X87" s="1"/>
      <c r="Y87" s="1"/>
      <c r="Z87" s="1"/>
      <c r="AA87" s="1" t="s">
        <v>185</v>
      </c>
      <c r="AC87" s="1">
        <v>6</v>
      </c>
      <c r="AD87" s="1">
        <v>4</v>
      </c>
      <c r="AE87" s="1"/>
      <c r="AF87" s="26">
        <f t="shared" si="122"/>
        <v>2.0086165432790501</v>
      </c>
      <c r="AG87" s="26">
        <f t="shared" si="123"/>
        <v>9.9883446591544607E-4</v>
      </c>
      <c r="AH87" s="26">
        <f t="shared" si="124"/>
        <v>5.0864538190723615E-3</v>
      </c>
      <c r="AI87" s="26">
        <f t="shared" si="125"/>
        <v>0</v>
      </c>
      <c r="AJ87" s="26">
        <f t="shared" si="126"/>
        <v>0.63203955862669381</v>
      </c>
      <c r="AK87" s="26">
        <f t="shared" si="127"/>
        <v>2.7680352278792206E-2</v>
      </c>
      <c r="AL87" s="26">
        <f t="shared" si="128"/>
        <v>1.2808359762395358</v>
      </c>
      <c r="AM87" s="26">
        <f t="shared" si="129"/>
        <v>3.1260617587783694E-2</v>
      </c>
      <c r="AN87" s="26">
        <f t="shared" si="130"/>
        <v>2.6461180973083214E-3</v>
      </c>
      <c r="AO87" s="26">
        <f t="shared" si="131"/>
        <v>0</v>
      </c>
      <c r="AP87" s="26">
        <f t="shared" si="132"/>
        <v>0</v>
      </c>
      <c r="AQ87" s="26">
        <f t="shared" si="133"/>
        <v>0</v>
      </c>
      <c r="AR87" s="26">
        <f t="shared" si="134"/>
        <v>0</v>
      </c>
      <c r="AS87" s="26">
        <f t="shared" si="135"/>
        <v>3.9891644543941518</v>
      </c>
      <c r="AT87" s="26">
        <f t="shared" si="136"/>
        <v>2.0137029970981226</v>
      </c>
      <c r="AU87" s="26">
        <f t="shared" si="137"/>
        <v>3.3906735685092018E-2</v>
      </c>
      <c r="AV87" s="47"/>
      <c r="AW87" s="26">
        <f t="shared" si="138"/>
        <v>2.0140724367144252</v>
      </c>
      <c r="AX87" s="26">
        <f t="shared" si="139"/>
        <v>1.0015475444389943E-3</v>
      </c>
      <c r="AY87" s="26">
        <f t="shared" si="140"/>
        <v>5.1002698707690733E-3</v>
      </c>
      <c r="AZ87" s="26">
        <f t="shared" si="141"/>
        <v>0</v>
      </c>
      <c r="BA87" s="26">
        <f t="shared" si="142"/>
        <v>0.63375633253774566</v>
      </c>
      <c r="BB87" s="26">
        <f t="shared" si="143"/>
        <v>0</v>
      </c>
      <c r="BC87" s="26">
        <f t="shared" si="144"/>
        <v>2.77555388806312E-2</v>
      </c>
      <c r="BD87" s="26">
        <f t="shared" si="145"/>
        <v>1.2843150397860053</v>
      </c>
      <c r="BE87" s="26">
        <f t="shared" si="146"/>
        <v>3.134552906521508E-2</v>
      </c>
      <c r="BF87" s="26">
        <f t="shared" si="147"/>
        <v>2.6533056007691678E-3</v>
      </c>
      <c r="BG87" s="26">
        <f t="shared" si="148"/>
        <v>0</v>
      </c>
      <c r="BH87" s="26">
        <f t="shared" si="149"/>
        <v>0</v>
      </c>
      <c r="BI87" s="26">
        <f t="shared" si="150"/>
        <v>0</v>
      </c>
      <c r="BJ87" s="26">
        <f t="shared" si="151"/>
        <v>0</v>
      </c>
      <c r="BK87" s="25">
        <f t="shared" si="152"/>
        <v>3.9999999999999996</v>
      </c>
      <c r="BL87" s="24">
        <f t="shared" si="153"/>
        <v>6.0162974663938638</v>
      </c>
      <c r="BM87" s="26">
        <f t="shared" si="154"/>
        <v>2.0191727065851941</v>
      </c>
      <c r="BN87" s="26">
        <f t="shared" si="155"/>
        <v>3.3998834665984246E-2</v>
      </c>
      <c r="BO87" s="22"/>
      <c r="BP87" s="26">
        <f t="shared" si="156"/>
        <v>0.66958667874285227</v>
      </c>
      <c r="BQ87" s="22"/>
      <c r="BR87" s="22">
        <f t="shared" si="157"/>
        <v>1.5853715349654057E-2</v>
      </c>
      <c r="BS87" s="22">
        <f t="shared" si="158"/>
        <v>0.6495715869936376</v>
      </c>
      <c r="BT87" s="22">
        <f t="shared" si="159"/>
        <v>0.33457469765670844</v>
      </c>
      <c r="BU87" s="1"/>
      <c r="BV87" s="26">
        <f t="shared" si="160"/>
        <v>0.90629161118508661</v>
      </c>
      <c r="BW87" s="26">
        <f t="shared" si="161"/>
        <v>4.5067601402103152E-4</v>
      </c>
      <c r="BX87" s="26">
        <f t="shared" si="162"/>
        <v>2.295017653981954E-3</v>
      </c>
      <c r="BY87" s="26">
        <f t="shared" si="163"/>
        <v>0</v>
      </c>
      <c r="BZ87" s="26">
        <f t="shared" si="164"/>
        <v>0.28517745302713987</v>
      </c>
      <c r="CA87" s="26">
        <f t="shared" si="165"/>
        <v>1.2489427685367918E-2</v>
      </c>
      <c r="CB87" s="26">
        <f t="shared" si="166"/>
        <v>0.57791563275434243</v>
      </c>
      <c r="CC87" s="26">
        <f t="shared" si="167"/>
        <v>1.410485021398003E-2</v>
      </c>
      <c r="CD87" s="26">
        <f t="shared" si="168"/>
        <v>1.1939335269441755E-3</v>
      </c>
      <c r="CE87" s="26">
        <f t="shared" si="169"/>
        <v>0</v>
      </c>
      <c r="CF87" s="26">
        <f t="shared" si="170"/>
        <v>0</v>
      </c>
      <c r="CG87" s="26">
        <f t="shared" si="171"/>
        <v>0</v>
      </c>
      <c r="CH87" s="26">
        <f t="shared" si="172"/>
        <v>0</v>
      </c>
      <c r="CI87" s="26">
        <f t="shared" si="173"/>
        <v>1.7999186020608642</v>
      </c>
      <c r="CJ87" s="26">
        <f t="shared" si="174"/>
        <v>2.7072114313234907</v>
      </c>
      <c r="CK87" s="26">
        <f t="shared" si="175"/>
        <v>2.2223227180496354</v>
      </c>
      <c r="CL87" s="26">
        <f t="shared" si="176"/>
        <v>6.0162974663938638</v>
      </c>
      <c r="CM87" s="1"/>
      <c r="CN87" s="22"/>
      <c r="CO87" s="96"/>
      <c r="CP87" s="14"/>
      <c r="CQ87" s="14"/>
      <c r="CR87" s="14"/>
      <c r="CS87" s="14"/>
      <c r="CT87" s="22"/>
      <c r="CU87" s="14"/>
      <c r="CV87" s="22"/>
      <c r="CW87" s="22"/>
      <c r="CX87" s="14"/>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46"/>
      <c r="FF87" s="46"/>
      <c r="FG87" s="46"/>
      <c r="FH87" s="46"/>
      <c r="FI87" s="46"/>
      <c r="FJ87" s="46"/>
      <c r="FK87" s="46"/>
      <c r="FL87" s="46"/>
      <c r="FM87" s="46"/>
      <c r="FN87" s="46"/>
      <c r="FO87" s="46"/>
    </row>
    <row r="88" spans="1:171" x14ac:dyDescent="0.25">
      <c r="A88" s="5" t="s">
        <v>254</v>
      </c>
      <c r="B88" s="1">
        <v>710</v>
      </c>
      <c r="C88" s="98" t="s">
        <v>95</v>
      </c>
      <c r="D88" s="98" t="s">
        <v>106</v>
      </c>
      <c r="E88" s="1">
        <v>221</v>
      </c>
      <c r="F88" s="22">
        <v>54.03</v>
      </c>
      <c r="G88" s="22">
        <v>7.0999999999999994E-2</v>
      </c>
      <c r="H88" s="22">
        <v>0.13900000000000001</v>
      </c>
      <c r="I88" s="22">
        <v>0</v>
      </c>
      <c r="J88" s="22">
        <v>20.53</v>
      </c>
      <c r="K88" s="22">
        <v>0.98299999999999998</v>
      </c>
      <c r="L88" s="22">
        <v>23.22</v>
      </c>
      <c r="M88" s="22">
        <v>0.68300000000000005</v>
      </c>
      <c r="N88" s="22">
        <v>1.4999999999999999E-2</v>
      </c>
      <c r="O88" s="22">
        <v>0</v>
      </c>
      <c r="P88" s="22">
        <v>0</v>
      </c>
      <c r="Q88" s="22"/>
      <c r="R88" s="22"/>
      <c r="S88" s="22">
        <f t="shared" si="118"/>
        <v>99.671000000000021</v>
      </c>
      <c r="T88" s="3"/>
      <c r="U88" s="22">
        <f t="shared" si="119"/>
        <v>20.53</v>
      </c>
      <c r="V88" s="22">
        <f t="shared" si="120"/>
        <v>0</v>
      </c>
      <c r="W88" s="22">
        <f t="shared" si="121"/>
        <v>99.671000000000006</v>
      </c>
      <c r="X88" s="1"/>
      <c r="Y88" s="1"/>
      <c r="Z88" s="1"/>
      <c r="AA88" s="1" t="s">
        <v>185</v>
      </c>
      <c r="AC88" s="1">
        <v>6</v>
      </c>
      <c r="AD88" s="1">
        <v>4</v>
      </c>
      <c r="AE88" s="1"/>
      <c r="AF88" s="26">
        <f t="shared" si="122"/>
        <v>2.0038941225785876</v>
      </c>
      <c r="AG88" s="26">
        <f t="shared" si="123"/>
        <v>1.9805691974944251E-3</v>
      </c>
      <c r="AH88" s="26">
        <f t="shared" si="124"/>
        <v>6.0755373777962654E-3</v>
      </c>
      <c r="AI88" s="26">
        <f t="shared" si="125"/>
        <v>0</v>
      </c>
      <c r="AJ88" s="26">
        <f t="shared" si="126"/>
        <v>0.63669568245462427</v>
      </c>
      <c r="AK88" s="26">
        <f t="shared" si="127"/>
        <v>3.0876784139825596E-2</v>
      </c>
      <c r="AL88" s="26">
        <f t="shared" si="128"/>
        <v>1.2838872831418398</v>
      </c>
      <c r="AM88" s="26">
        <f t="shared" si="129"/>
        <v>2.7138286728132038E-2</v>
      </c>
      <c r="AN88" s="26">
        <f t="shared" si="130"/>
        <v>1.0785478334391469E-3</v>
      </c>
      <c r="AO88" s="26">
        <f t="shared" si="131"/>
        <v>0</v>
      </c>
      <c r="AP88" s="26">
        <f t="shared" si="132"/>
        <v>0</v>
      </c>
      <c r="AQ88" s="26">
        <f t="shared" si="133"/>
        <v>0</v>
      </c>
      <c r="AR88" s="26">
        <f t="shared" si="134"/>
        <v>0</v>
      </c>
      <c r="AS88" s="26">
        <f t="shared" si="135"/>
        <v>3.9916268134517394</v>
      </c>
      <c r="AT88" s="26">
        <f t="shared" si="136"/>
        <v>2.0099696599563837</v>
      </c>
      <c r="AU88" s="26">
        <f t="shared" si="137"/>
        <v>2.8216834561571185E-2</v>
      </c>
      <c r="AV88" s="47"/>
      <c r="AW88" s="26">
        <f t="shared" si="138"/>
        <v>2.0080976666711288</v>
      </c>
      <c r="AX88" s="26">
        <f t="shared" si="139"/>
        <v>1.9847238131780538E-3</v>
      </c>
      <c r="AY88" s="26">
        <f t="shared" si="140"/>
        <v>6.0882819579443342E-3</v>
      </c>
      <c r="AZ88" s="26">
        <f t="shared" si="141"/>
        <v>0</v>
      </c>
      <c r="BA88" s="26">
        <f t="shared" si="142"/>
        <v>0.63803127116890446</v>
      </c>
      <c r="BB88" s="26">
        <f t="shared" si="143"/>
        <v>0</v>
      </c>
      <c r="BC88" s="26">
        <f t="shared" si="144"/>
        <v>3.0941553990739983E-2</v>
      </c>
      <c r="BD88" s="26">
        <f t="shared" si="145"/>
        <v>1.286580477729184</v>
      </c>
      <c r="BE88" s="26">
        <f t="shared" si="146"/>
        <v>2.7195214378935729E-2</v>
      </c>
      <c r="BF88" s="26">
        <f t="shared" si="147"/>
        <v>1.0808102899844769E-3</v>
      </c>
      <c r="BG88" s="26">
        <f t="shared" si="148"/>
        <v>0</v>
      </c>
      <c r="BH88" s="26">
        <f t="shared" si="149"/>
        <v>0</v>
      </c>
      <c r="BI88" s="26">
        <f t="shared" si="150"/>
        <v>0</v>
      </c>
      <c r="BJ88" s="26">
        <f t="shared" si="151"/>
        <v>0</v>
      </c>
      <c r="BK88" s="25">
        <f t="shared" si="152"/>
        <v>3.9999999999999996</v>
      </c>
      <c r="BL88" s="24">
        <f t="shared" si="153"/>
        <v>6.0125861263182863</v>
      </c>
      <c r="BM88" s="26">
        <f t="shared" si="154"/>
        <v>2.014185948629073</v>
      </c>
      <c r="BN88" s="26">
        <f t="shared" si="155"/>
        <v>2.8276024668920204E-2</v>
      </c>
      <c r="BO88" s="22"/>
      <c r="BP88" s="26">
        <f t="shared" si="156"/>
        <v>0.66848832158787286</v>
      </c>
      <c r="BQ88" s="22"/>
      <c r="BR88" s="22">
        <f t="shared" si="157"/>
        <v>1.3715917143345463E-2</v>
      </c>
      <c r="BS88" s="22">
        <f t="shared" si="158"/>
        <v>0.64888737352435255</v>
      </c>
      <c r="BT88" s="22">
        <f t="shared" si="159"/>
        <v>0.33739670933230187</v>
      </c>
      <c r="BU88" s="1"/>
      <c r="BV88" s="26">
        <f t="shared" si="160"/>
        <v>0.89930093209054596</v>
      </c>
      <c r="BW88" s="26">
        <f t="shared" si="161"/>
        <v>8.8883324987481215E-4</v>
      </c>
      <c r="BX88" s="26">
        <f t="shared" si="162"/>
        <v>2.7265594350725777E-3</v>
      </c>
      <c r="BY88" s="26">
        <f t="shared" si="163"/>
        <v>0</v>
      </c>
      <c r="BZ88" s="26">
        <f t="shared" si="164"/>
        <v>0.28573416840640226</v>
      </c>
      <c r="CA88" s="26">
        <f t="shared" si="165"/>
        <v>1.3856780377784043E-2</v>
      </c>
      <c r="CB88" s="26">
        <f t="shared" si="166"/>
        <v>0.57617866004962781</v>
      </c>
      <c r="CC88" s="26">
        <f t="shared" si="167"/>
        <v>1.2179029957203996E-2</v>
      </c>
      <c r="CD88" s="26">
        <f t="shared" si="168"/>
        <v>4.8402710551790902E-4</v>
      </c>
      <c r="CE88" s="26">
        <f t="shared" si="169"/>
        <v>0</v>
      </c>
      <c r="CF88" s="26">
        <f t="shared" si="170"/>
        <v>0</v>
      </c>
      <c r="CG88" s="26">
        <f t="shared" si="171"/>
        <v>0</v>
      </c>
      <c r="CH88" s="26">
        <f t="shared" si="172"/>
        <v>0</v>
      </c>
      <c r="CI88" s="26">
        <f t="shared" si="173"/>
        <v>1.7913489906720295</v>
      </c>
      <c r="CJ88" s="26">
        <f t="shared" si="174"/>
        <v>2.6926600221772277</v>
      </c>
      <c r="CK88" s="26">
        <f t="shared" si="175"/>
        <v>2.2329540591079291</v>
      </c>
      <c r="CL88" s="26">
        <f t="shared" si="176"/>
        <v>6.0125861263182871</v>
      </c>
      <c r="CM88" s="1"/>
      <c r="CN88" s="22"/>
      <c r="CO88" s="96"/>
      <c r="CP88" s="14"/>
      <c r="CQ88" s="14"/>
      <c r="CR88" s="14"/>
      <c r="CS88" s="14"/>
      <c r="CT88" s="22"/>
      <c r="CU88" s="14"/>
      <c r="CV88" s="22"/>
      <c r="CW88" s="22"/>
      <c r="CX88" s="14"/>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46"/>
      <c r="FF88" s="46"/>
      <c r="FG88" s="46"/>
      <c r="FH88" s="46"/>
      <c r="FI88" s="46"/>
      <c r="FJ88" s="46"/>
      <c r="FK88" s="46"/>
      <c r="FL88" s="46"/>
      <c r="FM88" s="46"/>
      <c r="FN88" s="46"/>
      <c r="FO88" s="46"/>
    </row>
    <row r="89" spans="1:171" x14ac:dyDescent="0.25">
      <c r="A89" s="5" t="s">
        <v>254</v>
      </c>
      <c r="B89" s="1">
        <v>711</v>
      </c>
      <c r="C89" s="98" t="s">
        <v>95</v>
      </c>
      <c r="D89" s="98" t="s">
        <v>106</v>
      </c>
      <c r="E89" s="1">
        <v>222</v>
      </c>
      <c r="F89" s="22">
        <v>54.13</v>
      </c>
      <c r="G89" s="22">
        <v>0.10100000000000001</v>
      </c>
      <c r="H89" s="22">
        <v>0.24299999999999999</v>
      </c>
      <c r="I89" s="22">
        <v>0.01</v>
      </c>
      <c r="J89" s="22">
        <v>20.96</v>
      </c>
      <c r="K89" s="22">
        <v>0.75700000000000001</v>
      </c>
      <c r="L89" s="22">
        <v>22.62</v>
      </c>
      <c r="M89" s="22">
        <v>0.91100000000000003</v>
      </c>
      <c r="N89" s="22">
        <v>2.5000000000000001E-2</v>
      </c>
      <c r="O89" s="22">
        <v>0</v>
      </c>
      <c r="P89" s="22">
        <v>0</v>
      </c>
      <c r="Q89" s="22"/>
      <c r="R89" s="22"/>
      <c r="S89" s="22">
        <f t="shared" si="118"/>
        <v>99.757000000000019</v>
      </c>
      <c r="T89" s="3"/>
      <c r="U89" s="22">
        <f t="shared" si="119"/>
        <v>20.96</v>
      </c>
      <c r="V89" s="22">
        <f t="shared" si="120"/>
        <v>0</v>
      </c>
      <c r="W89" s="22">
        <f t="shared" si="121"/>
        <v>99.757000000000005</v>
      </c>
      <c r="X89" s="1"/>
      <c r="Y89" s="1"/>
      <c r="Z89" s="1"/>
      <c r="AA89" s="1" t="s">
        <v>185</v>
      </c>
      <c r="AC89" s="1">
        <v>6</v>
      </c>
      <c r="AD89" s="1">
        <v>4</v>
      </c>
      <c r="AE89" s="1"/>
      <c r="AF89" s="26">
        <f t="shared" si="122"/>
        <v>2.0079945210835213</v>
      </c>
      <c r="AG89" s="26">
        <f t="shared" si="123"/>
        <v>2.8179789066327403E-3</v>
      </c>
      <c r="AH89" s="26">
        <f t="shared" si="124"/>
        <v>1.0623334656577235E-2</v>
      </c>
      <c r="AI89" s="26">
        <f t="shared" si="125"/>
        <v>2.93271189756261E-4</v>
      </c>
      <c r="AJ89" s="26">
        <f t="shared" si="126"/>
        <v>0.65015802312240389</v>
      </c>
      <c r="AK89" s="26">
        <f t="shared" si="127"/>
        <v>2.3782588183822926E-2</v>
      </c>
      <c r="AL89" s="26">
        <f t="shared" si="128"/>
        <v>1.2509558281940996</v>
      </c>
      <c r="AM89" s="26">
        <f t="shared" si="129"/>
        <v>3.6204686597173949E-2</v>
      </c>
      <c r="AN89" s="26">
        <f t="shared" si="130"/>
        <v>1.797930305382951E-3</v>
      </c>
      <c r="AO89" s="26">
        <f t="shared" si="131"/>
        <v>0</v>
      </c>
      <c r="AP89" s="26">
        <f t="shared" si="132"/>
        <v>0</v>
      </c>
      <c r="AQ89" s="26">
        <f t="shared" si="133"/>
        <v>0</v>
      </c>
      <c r="AR89" s="26">
        <f t="shared" si="134"/>
        <v>0</v>
      </c>
      <c r="AS89" s="26">
        <f t="shared" si="135"/>
        <v>3.9846281622393707</v>
      </c>
      <c r="AT89" s="26">
        <f t="shared" si="136"/>
        <v>2.0186178557400987</v>
      </c>
      <c r="AU89" s="26">
        <f t="shared" si="137"/>
        <v>3.80026169025569E-2</v>
      </c>
      <c r="AV89" s="47"/>
      <c r="AW89" s="26">
        <f t="shared" si="138"/>
        <v>2.0157409317260089</v>
      </c>
      <c r="AX89" s="26">
        <f t="shared" si="139"/>
        <v>2.8288500626859284E-3</v>
      </c>
      <c r="AY89" s="26">
        <f t="shared" si="140"/>
        <v>1.0664317195014648E-2</v>
      </c>
      <c r="AZ89" s="26">
        <f t="shared" si="141"/>
        <v>2.9440256687985846E-4</v>
      </c>
      <c r="BA89" s="26">
        <f t="shared" si="142"/>
        <v>0.65266619282940908</v>
      </c>
      <c r="BB89" s="26">
        <f t="shared" si="143"/>
        <v>0</v>
      </c>
      <c r="BC89" s="26">
        <f t="shared" si="144"/>
        <v>2.3874336289845473E-2</v>
      </c>
      <c r="BD89" s="26">
        <f t="shared" si="145"/>
        <v>1.2557817465116334</v>
      </c>
      <c r="BE89" s="26">
        <f t="shared" si="146"/>
        <v>3.6344356485024508E-2</v>
      </c>
      <c r="BF89" s="26">
        <f t="shared" si="147"/>
        <v>1.8048663334974868E-3</v>
      </c>
      <c r="BG89" s="26">
        <f t="shared" si="148"/>
        <v>0</v>
      </c>
      <c r="BH89" s="26">
        <f t="shared" si="149"/>
        <v>0</v>
      </c>
      <c r="BI89" s="26">
        <f t="shared" si="150"/>
        <v>0</v>
      </c>
      <c r="BJ89" s="26">
        <f t="shared" si="151"/>
        <v>0</v>
      </c>
      <c r="BK89" s="25">
        <f t="shared" si="152"/>
        <v>3.9999999999999991</v>
      </c>
      <c r="BL89" s="24">
        <f t="shared" si="153"/>
        <v>6.0231467085028925</v>
      </c>
      <c r="BM89" s="26">
        <f t="shared" si="154"/>
        <v>2.0264052489210234</v>
      </c>
      <c r="BN89" s="26">
        <f t="shared" si="155"/>
        <v>3.8149222818521997E-2</v>
      </c>
      <c r="BO89" s="22"/>
      <c r="BP89" s="26">
        <f t="shared" si="156"/>
        <v>0.65801205294876175</v>
      </c>
      <c r="BQ89" s="22"/>
      <c r="BR89" s="22">
        <f t="shared" si="157"/>
        <v>1.8461407275421633E-2</v>
      </c>
      <c r="BS89" s="22">
        <f t="shared" si="158"/>
        <v>0.63788440664630242</v>
      </c>
      <c r="BT89" s="22">
        <f t="shared" si="159"/>
        <v>0.34365418607827591</v>
      </c>
      <c r="BU89" s="1"/>
      <c r="BV89" s="26">
        <f t="shared" si="160"/>
        <v>0.90096537949400801</v>
      </c>
      <c r="BW89" s="26">
        <f t="shared" si="161"/>
        <v>1.2643965948923386E-3</v>
      </c>
      <c r="BX89" s="26">
        <f t="shared" si="162"/>
        <v>4.7665751275009806E-3</v>
      </c>
      <c r="BY89" s="26">
        <f t="shared" si="163"/>
        <v>1.3158760444766102E-4</v>
      </c>
      <c r="BZ89" s="26">
        <f t="shared" si="164"/>
        <v>0.29171885873347253</v>
      </c>
      <c r="CA89" s="26">
        <f t="shared" si="165"/>
        <v>1.0670989568649564E-2</v>
      </c>
      <c r="CB89" s="26">
        <f t="shared" si="166"/>
        <v>0.56129032258064526</v>
      </c>
      <c r="CC89" s="26">
        <f t="shared" si="167"/>
        <v>1.6244650499286733E-2</v>
      </c>
      <c r="CD89" s="26">
        <f t="shared" si="168"/>
        <v>8.067118425298484E-4</v>
      </c>
      <c r="CE89" s="26">
        <f t="shared" si="169"/>
        <v>0</v>
      </c>
      <c r="CF89" s="26">
        <f t="shared" si="170"/>
        <v>0</v>
      </c>
      <c r="CG89" s="26">
        <f t="shared" si="171"/>
        <v>0</v>
      </c>
      <c r="CH89" s="26">
        <f t="shared" si="172"/>
        <v>0</v>
      </c>
      <c r="CI89" s="26">
        <f t="shared" si="173"/>
        <v>1.7878594720454333</v>
      </c>
      <c r="CJ89" s="26">
        <f t="shared" si="174"/>
        <v>2.6921349735790425</v>
      </c>
      <c r="CK89" s="26">
        <f t="shared" si="175"/>
        <v>2.2373123070034846</v>
      </c>
      <c r="CL89" s="26">
        <f t="shared" si="176"/>
        <v>6.0231467085028925</v>
      </c>
      <c r="CM89" s="1"/>
      <c r="CN89" s="22"/>
      <c r="CO89" s="96"/>
      <c r="CP89" s="14"/>
      <c r="CQ89" s="14"/>
      <c r="CR89" s="14"/>
      <c r="CS89" s="14"/>
      <c r="CT89" s="22"/>
      <c r="CU89" s="14"/>
      <c r="CV89" s="22"/>
      <c r="CW89" s="22"/>
      <c r="CX89" s="14"/>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46"/>
      <c r="FF89" s="46"/>
      <c r="FG89" s="46"/>
      <c r="FH89" s="46"/>
      <c r="FI89" s="46"/>
      <c r="FJ89" s="46"/>
      <c r="FK89" s="46"/>
      <c r="FL89" s="46"/>
      <c r="FM89" s="46"/>
      <c r="FN89" s="46"/>
      <c r="FO89" s="46"/>
    </row>
    <row r="90" spans="1:171" x14ac:dyDescent="0.25">
      <c r="A90" s="5" t="s">
        <v>254</v>
      </c>
      <c r="B90" s="1">
        <v>712</v>
      </c>
      <c r="C90" s="98" t="s">
        <v>95</v>
      </c>
      <c r="D90" s="98" t="s">
        <v>106</v>
      </c>
      <c r="E90" s="1">
        <v>223</v>
      </c>
      <c r="F90" s="22">
        <v>53.74</v>
      </c>
      <c r="G90" s="22">
        <v>6.7000000000000004E-2</v>
      </c>
      <c r="H90" s="22">
        <v>0.53900000000000003</v>
      </c>
      <c r="I90" s="22">
        <v>1.4999999999999999E-2</v>
      </c>
      <c r="J90" s="22">
        <v>21.9</v>
      </c>
      <c r="K90" s="22">
        <v>0.72199999999999998</v>
      </c>
      <c r="L90" s="22">
        <v>22.35</v>
      </c>
      <c r="M90" s="22">
        <v>0.98799999999999999</v>
      </c>
      <c r="N90" s="22">
        <v>0.03</v>
      </c>
      <c r="O90" s="22">
        <v>0</v>
      </c>
      <c r="P90" s="22">
        <v>0</v>
      </c>
      <c r="Q90" s="22"/>
      <c r="R90" s="22"/>
      <c r="S90" s="22">
        <f t="shared" si="118"/>
        <v>100.351</v>
      </c>
      <c r="T90" s="3"/>
      <c r="U90" s="22">
        <f t="shared" si="119"/>
        <v>21.9</v>
      </c>
      <c r="V90" s="22">
        <f t="shared" si="120"/>
        <v>0</v>
      </c>
      <c r="W90" s="22">
        <f t="shared" si="121"/>
        <v>100.351</v>
      </c>
      <c r="X90" s="1"/>
      <c r="Y90" s="1"/>
      <c r="Z90" s="1"/>
      <c r="AA90" s="1" t="s">
        <v>185</v>
      </c>
      <c r="AC90" s="1">
        <v>6</v>
      </c>
      <c r="AD90" s="1">
        <v>4</v>
      </c>
      <c r="AE90" s="1"/>
      <c r="AF90" s="26">
        <f t="shared" si="122"/>
        <v>1.9918125952917998</v>
      </c>
      <c r="AG90" s="26">
        <f t="shared" si="123"/>
        <v>1.8677445710302987E-3</v>
      </c>
      <c r="AH90" s="26">
        <f t="shared" si="124"/>
        <v>2.354342650731403E-2</v>
      </c>
      <c r="AI90" s="26">
        <f t="shared" si="125"/>
        <v>4.3952843421719682E-4</v>
      </c>
      <c r="AJ90" s="26">
        <f t="shared" si="126"/>
        <v>0.67873161451872488</v>
      </c>
      <c r="AK90" s="26">
        <f t="shared" si="127"/>
        <v>2.2663487966092005E-2</v>
      </c>
      <c r="AL90" s="26">
        <f t="shared" si="128"/>
        <v>1.2349609281369842</v>
      </c>
      <c r="AM90" s="26">
        <f t="shared" si="129"/>
        <v>3.923102686404642E-2</v>
      </c>
      <c r="AN90" s="26">
        <f t="shared" si="130"/>
        <v>2.1556607523934091E-3</v>
      </c>
      <c r="AO90" s="26">
        <f t="shared" si="131"/>
        <v>0</v>
      </c>
      <c r="AP90" s="26">
        <f t="shared" si="132"/>
        <v>0</v>
      </c>
      <c r="AQ90" s="26">
        <f t="shared" si="133"/>
        <v>0</v>
      </c>
      <c r="AR90" s="26">
        <f t="shared" si="134"/>
        <v>0</v>
      </c>
      <c r="AS90" s="26">
        <f t="shared" si="135"/>
        <v>3.9954060130426026</v>
      </c>
      <c r="AT90" s="26">
        <f t="shared" si="136"/>
        <v>2.0153560217991138</v>
      </c>
      <c r="AU90" s="26">
        <f t="shared" si="137"/>
        <v>4.1386687616439828E-2</v>
      </c>
      <c r="AV90" s="47"/>
      <c r="AW90" s="26">
        <f t="shared" si="138"/>
        <v>1.9941028158737584</v>
      </c>
      <c r="AX90" s="26">
        <f t="shared" si="139"/>
        <v>1.869892136051489E-3</v>
      </c>
      <c r="AY90" s="26">
        <f t="shared" si="140"/>
        <v>2.357049714643155E-2</v>
      </c>
      <c r="AZ90" s="26">
        <f t="shared" si="141"/>
        <v>4.4003381161504025E-4</v>
      </c>
      <c r="BA90" s="26">
        <f t="shared" si="142"/>
        <v>0.67951203187167819</v>
      </c>
      <c r="BB90" s="26">
        <f t="shared" si="143"/>
        <v>0</v>
      </c>
      <c r="BC90" s="26">
        <f t="shared" si="144"/>
        <v>2.2689546836651215E-2</v>
      </c>
      <c r="BD90" s="26">
        <f t="shared" si="145"/>
        <v>1.2363809075779313</v>
      </c>
      <c r="BE90" s="26">
        <f t="shared" si="146"/>
        <v>3.9276135377461684E-2</v>
      </c>
      <c r="BF90" s="26">
        <f t="shared" si="147"/>
        <v>2.1581393684211025E-3</v>
      </c>
      <c r="BG90" s="26">
        <f t="shared" si="148"/>
        <v>0</v>
      </c>
      <c r="BH90" s="26">
        <f t="shared" si="149"/>
        <v>0</v>
      </c>
      <c r="BI90" s="26">
        <f t="shared" si="150"/>
        <v>0</v>
      </c>
      <c r="BJ90" s="26">
        <f t="shared" si="151"/>
        <v>0</v>
      </c>
      <c r="BK90" s="25">
        <f t="shared" si="152"/>
        <v>4</v>
      </c>
      <c r="BL90" s="24">
        <f t="shared" si="153"/>
        <v>6.0068989038046228</v>
      </c>
      <c r="BM90" s="26">
        <f t="shared" si="154"/>
        <v>2.01767331302019</v>
      </c>
      <c r="BN90" s="26">
        <f t="shared" si="155"/>
        <v>4.1434274745882786E-2</v>
      </c>
      <c r="BO90" s="22"/>
      <c r="BP90" s="26">
        <f t="shared" si="156"/>
        <v>0.6453288083691745</v>
      </c>
      <c r="BQ90" s="22"/>
      <c r="BR90" s="22">
        <f t="shared" si="157"/>
        <v>1.9857908420382257E-2</v>
      </c>
      <c r="BS90" s="22">
        <f t="shared" si="158"/>
        <v>0.62511086183597908</v>
      </c>
      <c r="BT90" s="22">
        <f t="shared" si="159"/>
        <v>0.3550312297436386</v>
      </c>
      <c r="BU90" s="1"/>
      <c r="BV90" s="26">
        <f t="shared" si="160"/>
        <v>0.89447403462050601</v>
      </c>
      <c r="BW90" s="26">
        <f t="shared" si="161"/>
        <v>8.3875813720580878E-4</v>
      </c>
      <c r="BX90" s="26">
        <f t="shared" si="162"/>
        <v>1.0572773636720283E-2</v>
      </c>
      <c r="BY90" s="26">
        <f t="shared" si="163"/>
        <v>1.9738140667149154E-4</v>
      </c>
      <c r="BZ90" s="26">
        <f t="shared" si="164"/>
        <v>0.30480167014613779</v>
      </c>
      <c r="CA90" s="26">
        <f t="shared" si="165"/>
        <v>1.0177614885819001E-2</v>
      </c>
      <c r="CB90" s="26">
        <f t="shared" si="166"/>
        <v>0.55459057071960305</v>
      </c>
      <c r="CC90" s="26">
        <f t="shared" si="167"/>
        <v>1.761768901569187E-2</v>
      </c>
      <c r="CD90" s="26">
        <f t="shared" si="168"/>
        <v>9.6805421103581804E-4</v>
      </c>
      <c r="CE90" s="26">
        <f t="shared" si="169"/>
        <v>0</v>
      </c>
      <c r="CF90" s="26">
        <f t="shared" si="170"/>
        <v>0</v>
      </c>
      <c r="CG90" s="26">
        <f t="shared" si="171"/>
        <v>0</v>
      </c>
      <c r="CH90" s="26">
        <f t="shared" si="172"/>
        <v>0</v>
      </c>
      <c r="CI90" s="26">
        <f t="shared" si="173"/>
        <v>1.7942385467793911</v>
      </c>
      <c r="CJ90" s="26">
        <f t="shared" si="174"/>
        <v>2.6944523899532804</v>
      </c>
      <c r="CK90" s="26">
        <f t="shared" si="175"/>
        <v>2.229357967578999</v>
      </c>
      <c r="CL90" s="26">
        <f t="shared" si="176"/>
        <v>6.0068989038046219</v>
      </c>
      <c r="CM90" s="1"/>
      <c r="CN90" s="22"/>
      <c r="CO90" s="96"/>
      <c r="CP90" s="14"/>
      <c r="CQ90" s="14"/>
      <c r="CR90" s="14"/>
      <c r="CS90" s="14"/>
      <c r="CT90" s="22"/>
      <c r="CU90" s="14"/>
      <c r="CV90" s="22"/>
      <c r="CW90" s="22"/>
      <c r="CX90" s="14"/>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46"/>
      <c r="FF90" s="46"/>
      <c r="FG90" s="46"/>
      <c r="FH90" s="46"/>
      <c r="FI90" s="46"/>
      <c r="FJ90" s="46"/>
      <c r="FK90" s="46"/>
      <c r="FL90" s="46"/>
      <c r="FM90" s="46"/>
      <c r="FN90" s="46"/>
      <c r="FO90" s="46"/>
    </row>
    <row r="91" spans="1:171" x14ac:dyDescent="0.25">
      <c r="A91" s="5" t="s">
        <v>254</v>
      </c>
      <c r="B91" s="1">
        <v>713</v>
      </c>
      <c r="C91" s="98" t="s">
        <v>95</v>
      </c>
      <c r="D91" s="98" t="s">
        <v>106</v>
      </c>
      <c r="E91" s="1">
        <v>224</v>
      </c>
      <c r="F91" s="22">
        <v>53.79</v>
      </c>
      <c r="G91" s="22">
        <v>0.11799999999999999</v>
      </c>
      <c r="H91" s="22">
        <v>0.17</v>
      </c>
      <c r="I91" s="22">
        <v>0</v>
      </c>
      <c r="J91" s="22">
        <v>20.59</v>
      </c>
      <c r="K91" s="22">
        <v>0.88100000000000001</v>
      </c>
      <c r="L91" s="22">
        <v>23.23</v>
      </c>
      <c r="M91" s="22">
        <v>0.78900000000000003</v>
      </c>
      <c r="N91" s="22">
        <v>4.1000000000000002E-2</v>
      </c>
      <c r="O91" s="22">
        <v>8.9999999999999993E-3</v>
      </c>
      <c r="P91" s="22">
        <v>0</v>
      </c>
      <c r="Q91" s="22"/>
      <c r="R91" s="22"/>
      <c r="S91" s="22">
        <f t="shared" si="118"/>
        <v>99.618000000000009</v>
      </c>
      <c r="T91" s="3"/>
      <c r="U91" s="22">
        <f t="shared" si="119"/>
        <v>20.59</v>
      </c>
      <c r="V91" s="22">
        <f t="shared" si="120"/>
        <v>0</v>
      </c>
      <c r="W91" s="22">
        <f t="shared" si="121"/>
        <v>99.618000000000009</v>
      </c>
      <c r="X91" s="1"/>
      <c r="Y91" s="1"/>
      <c r="Z91" s="1"/>
      <c r="AA91" s="1" t="s">
        <v>185</v>
      </c>
      <c r="AC91" s="1">
        <v>6</v>
      </c>
      <c r="AD91" s="1">
        <v>4</v>
      </c>
      <c r="AE91" s="1"/>
      <c r="AF91" s="26">
        <f t="shared" si="122"/>
        <v>1.9978493439106173</v>
      </c>
      <c r="AG91" s="26">
        <f t="shared" si="123"/>
        <v>3.2963632688048821E-3</v>
      </c>
      <c r="AH91" s="26">
        <f t="shared" si="124"/>
        <v>7.4411525033184801E-3</v>
      </c>
      <c r="AI91" s="26">
        <f t="shared" si="125"/>
        <v>0</v>
      </c>
      <c r="AJ91" s="26">
        <f t="shared" si="126"/>
        <v>0.63947075734650094</v>
      </c>
      <c r="AK91" s="26">
        <f t="shared" si="127"/>
        <v>2.7712508500928219E-2</v>
      </c>
      <c r="AL91" s="26">
        <f t="shared" si="128"/>
        <v>1.2862792943808876</v>
      </c>
      <c r="AM91" s="26">
        <f t="shared" si="129"/>
        <v>3.139497295822459E-2</v>
      </c>
      <c r="AN91" s="26">
        <f t="shared" si="130"/>
        <v>2.9522517964782227E-3</v>
      </c>
      <c r="AO91" s="26">
        <f t="shared" si="131"/>
        <v>4.2639560279412813E-4</v>
      </c>
      <c r="AP91" s="26">
        <f t="shared" si="132"/>
        <v>0</v>
      </c>
      <c r="AQ91" s="26">
        <f t="shared" si="133"/>
        <v>0</v>
      </c>
      <c r="AR91" s="26">
        <f t="shared" si="134"/>
        <v>0</v>
      </c>
      <c r="AS91" s="26">
        <f t="shared" si="135"/>
        <v>3.9968230402685547</v>
      </c>
      <c r="AT91" s="26">
        <f t="shared" si="136"/>
        <v>2.0052904964139358</v>
      </c>
      <c r="AU91" s="26">
        <f t="shared" si="137"/>
        <v>3.477362035749694E-2</v>
      </c>
      <c r="AV91" s="47"/>
      <c r="AW91" s="26">
        <f t="shared" si="138"/>
        <v>1.9994373769186218</v>
      </c>
      <c r="AX91" s="26">
        <f t="shared" si="139"/>
        <v>3.298983453201264E-3</v>
      </c>
      <c r="AY91" s="26">
        <f t="shared" si="140"/>
        <v>7.4470672615202845E-3</v>
      </c>
      <c r="AZ91" s="26">
        <f t="shared" si="141"/>
        <v>0</v>
      </c>
      <c r="BA91" s="26">
        <f t="shared" si="142"/>
        <v>0.63997905426759516</v>
      </c>
      <c r="BB91" s="26">
        <f t="shared" si="143"/>
        <v>0</v>
      </c>
      <c r="BC91" s="26">
        <f t="shared" si="144"/>
        <v>2.7734536377238422E-2</v>
      </c>
      <c r="BD91" s="26">
        <f t="shared" si="145"/>
        <v>1.2873017208131987</v>
      </c>
      <c r="BE91" s="26">
        <f t="shared" si="146"/>
        <v>3.1419927919666017E-2</v>
      </c>
      <c r="BF91" s="26">
        <f t="shared" si="147"/>
        <v>2.9545984565579921E-3</v>
      </c>
      <c r="BG91" s="26">
        <f t="shared" si="148"/>
        <v>4.267345324004916E-4</v>
      </c>
      <c r="BH91" s="26">
        <f t="shared" si="149"/>
        <v>0</v>
      </c>
      <c r="BI91" s="26">
        <f t="shared" si="150"/>
        <v>0</v>
      </c>
      <c r="BJ91" s="26">
        <f t="shared" si="151"/>
        <v>0</v>
      </c>
      <c r="BK91" s="25">
        <f t="shared" si="152"/>
        <v>4</v>
      </c>
      <c r="BL91" s="24">
        <f t="shared" si="153"/>
        <v>6.0047692275081044</v>
      </c>
      <c r="BM91" s="26">
        <f t="shared" si="154"/>
        <v>2.0068844441801419</v>
      </c>
      <c r="BN91" s="26">
        <f t="shared" si="155"/>
        <v>3.4801260908624503E-2</v>
      </c>
      <c r="BO91" s="22"/>
      <c r="BP91" s="26">
        <f t="shared" si="156"/>
        <v>0.66793678298338943</v>
      </c>
      <c r="BQ91" s="22"/>
      <c r="BR91" s="22">
        <f t="shared" si="157"/>
        <v>1.5817242514036912E-2</v>
      </c>
      <c r="BS91" s="22">
        <f t="shared" si="158"/>
        <v>0.64804615589505898</v>
      </c>
      <c r="BT91" s="22">
        <f t="shared" si="159"/>
        <v>0.33613660159090408</v>
      </c>
      <c r="BU91" s="1"/>
      <c r="BV91" s="26">
        <f t="shared" si="160"/>
        <v>0.89530625832223698</v>
      </c>
      <c r="BW91" s="26">
        <f t="shared" si="161"/>
        <v>1.4772158237356034E-3</v>
      </c>
      <c r="BX91" s="26">
        <f t="shared" si="162"/>
        <v>3.3346410357002749E-3</v>
      </c>
      <c r="BY91" s="26">
        <f t="shared" si="163"/>
        <v>0</v>
      </c>
      <c r="BZ91" s="26">
        <f t="shared" si="164"/>
        <v>0.28656924147529578</v>
      </c>
      <c r="CA91" s="26">
        <f t="shared" si="165"/>
        <v>1.2418945587820694E-2</v>
      </c>
      <c r="CB91" s="26">
        <f t="shared" si="166"/>
        <v>0.5764267990074442</v>
      </c>
      <c r="CC91" s="26">
        <f t="shared" si="167"/>
        <v>1.4069186875891584E-2</v>
      </c>
      <c r="CD91" s="26">
        <f t="shared" si="168"/>
        <v>1.3230074217489515E-3</v>
      </c>
      <c r="CE91" s="26">
        <f t="shared" si="169"/>
        <v>1.9108280254777067E-4</v>
      </c>
      <c r="CF91" s="26">
        <f t="shared" si="170"/>
        <v>0</v>
      </c>
      <c r="CG91" s="26">
        <f t="shared" si="171"/>
        <v>0</v>
      </c>
      <c r="CH91" s="26">
        <f t="shared" si="172"/>
        <v>0</v>
      </c>
      <c r="CI91" s="26">
        <f t="shared" si="173"/>
        <v>1.7911163783524218</v>
      </c>
      <c r="CJ91" s="26">
        <f t="shared" si="174"/>
        <v>2.6888101279040963</v>
      </c>
      <c r="CK91" s="26">
        <f t="shared" si="175"/>
        <v>2.2332440528959063</v>
      </c>
      <c r="CL91" s="26">
        <f t="shared" si="176"/>
        <v>6.0047692275081044</v>
      </c>
      <c r="CM91" s="1"/>
      <c r="CN91" s="22"/>
      <c r="CO91" s="96"/>
      <c r="CP91" s="14"/>
      <c r="CQ91" s="14"/>
      <c r="CR91" s="14"/>
      <c r="CS91" s="14"/>
      <c r="CT91" s="22"/>
      <c r="CU91" s="14"/>
      <c r="CV91" s="22"/>
      <c r="CW91" s="22"/>
      <c r="CX91" s="14"/>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46"/>
      <c r="FF91" s="46"/>
      <c r="FG91" s="46"/>
      <c r="FH91" s="46"/>
      <c r="FI91" s="46"/>
      <c r="FJ91" s="46"/>
      <c r="FK91" s="46"/>
      <c r="FL91" s="46"/>
      <c r="FM91" s="46"/>
      <c r="FN91" s="46"/>
      <c r="FO91" s="46"/>
    </row>
    <row r="92" spans="1:171" x14ac:dyDescent="0.25">
      <c r="A92" s="5" t="s">
        <v>254</v>
      </c>
      <c r="B92" s="1">
        <v>717</v>
      </c>
      <c r="C92" s="98" t="s">
        <v>95</v>
      </c>
      <c r="D92" s="98" t="s">
        <v>106</v>
      </c>
      <c r="E92" s="1">
        <v>228</v>
      </c>
      <c r="F92" s="22">
        <v>54.13</v>
      </c>
      <c r="G92" s="22">
        <v>5.8000000000000003E-2</v>
      </c>
      <c r="H92" s="22">
        <v>0.23200000000000001</v>
      </c>
      <c r="I92" s="22">
        <v>0</v>
      </c>
      <c r="J92" s="22">
        <v>20.9</v>
      </c>
      <c r="K92" s="22">
        <v>0.64</v>
      </c>
      <c r="L92" s="22">
        <v>22.96</v>
      </c>
      <c r="M92" s="22">
        <v>0.77700000000000002</v>
      </c>
      <c r="N92" s="22">
        <v>2.1999999999999999E-2</v>
      </c>
      <c r="O92" s="22">
        <v>0</v>
      </c>
      <c r="P92" s="22">
        <v>0</v>
      </c>
      <c r="Q92" s="22"/>
      <c r="R92" s="22"/>
      <c r="S92" s="22">
        <f t="shared" si="118"/>
        <v>99.718999999999994</v>
      </c>
      <c r="T92" s="3"/>
      <c r="U92" s="22">
        <f t="shared" si="119"/>
        <v>20.9</v>
      </c>
      <c r="V92" s="22">
        <f t="shared" si="120"/>
        <v>0</v>
      </c>
      <c r="W92" s="22">
        <f t="shared" si="121"/>
        <v>99.718999999999994</v>
      </c>
      <c r="X92" s="1"/>
      <c r="Y92" s="1"/>
      <c r="Z92" s="1"/>
      <c r="AA92" s="1" t="s">
        <v>185</v>
      </c>
      <c r="AC92" s="1">
        <v>6</v>
      </c>
      <c r="AD92" s="1">
        <v>4</v>
      </c>
      <c r="AE92" s="1"/>
      <c r="AF92" s="26">
        <f t="shared" si="122"/>
        <v>2.0065657931064691</v>
      </c>
      <c r="AG92" s="26">
        <f t="shared" si="123"/>
        <v>1.6170938990442358E-3</v>
      </c>
      <c r="AH92" s="26">
        <f t="shared" si="124"/>
        <v>1.01352264147237E-2</v>
      </c>
      <c r="AI92" s="26">
        <f t="shared" si="125"/>
        <v>0</v>
      </c>
      <c r="AJ92" s="26">
        <f t="shared" si="126"/>
        <v>0.64783560763639747</v>
      </c>
      <c r="AK92" s="26">
        <f t="shared" si="127"/>
        <v>2.0092505278773286E-2</v>
      </c>
      <c r="AL92" s="26">
        <f t="shared" si="128"/>
        <v>1.2688554191211627</v>
      </c>
      <c r="AM92" s="26">
        <f t="shared" si="129"/>
        <v>3.085732787195718E-2</v>
      </c>
      <c r="AN92" s="26">
        <f t="shared" si="130"/>
        <v>1.5810529171948558E-3</v>
      </c>
      <c r="AO92" s="26">
        <f t="shared" si="131"/>
        <v>0</v>
      </c>
      <c r="AP92" s="26">
        <f t="shared" si="132"/>
        <v>0</v>
      </c>
      <c r="AQ92" s="26">
        <f t="shared" si="133"/>
        <v>0</v>
      </c>
      <c r="AR92" s="26">
        <f t="shared" si="134"/>
        <v>0</v>
      </c>
      <c r="AS92" s="26">
        <f t="shared" si="135"/>
        <v>3.987540026245723</v>
      </c>
      <c r="AT92" s="26">
        <f t="shared" si="136"/>
        <v>2.016701019521193</v>
      </c>
      <c r="AU92" s="26">
        <f t="shared" si="137"/>
        <v>3.2438380789152038E-2</v>
      </c>
      <c r="AV92" s="47"/>
      <c r="AW92" s="26">
        <f t="shared" si="138"/>
        <v>2.012835763302073</v>
      </c>
      <c r="AX92" s="26">
        <f t="shared" si="139"/>
        <v>1.6221468759191199E-3</v>
      </c>
      <c r="AY92" s="26">
        <f t="shared" si="140"/>
        <v>1.016689622977005E-2</v>
      </c>
      <c r="AZ92" s="26">
        <f t="shared" si="141"/>
        <v>0</v>
      </c>
      <c r="BA92" s="26">
        <f t="shared" si="142"/>
        <v>0.64985991701388501</v>
      </c>
      <c r="BB92" s="26">
        <f t="shared" si="143"/>
        <v>0</v>
      </c>
      <c r="BC92" s="26">
        <f t="shared" si="144"/>
        <v>2.0155288871360047E-2</v>
      </c>
      <c r="BD92" s="26">
        <f t="shared" si="145"/>
        <v>1.2728202458354185</v>
      </c>
      <c r="BE92" s="26">
        <f t="shared" si="146"/>
        <v>3.0953748595732015E-2</v>
      </c>
      <c r="BF92" s="26">
        <f t="shared" si="147"/>
        <v>1.5859932758427212E-3</v>
      </c>
      <c r="BG92" s="26">
        <f t="shared" si="148"/>
        <v>0</v>
      </c>
      <c r="BH92" s="26">
        <f t="shared" si="149"/>
        <v>0</v>
      </c>
      <c r="BI92" s="26">
        <f t="shared" si="150"/>
        <v>0</v>
      </c>
      <c r="BJ92" s="26">
        <f t="shared" si="151"/>
        <v>0</v>
      </c>
      <c r="BK92" s="25">
        <f t="shared" si="152"/>
        <v>4</v>
      </c>
      <c r="BL92" s="24">
        <f t="shared" si="153"/>
        <v>6.0187483616549562</v>
      </c>
      <c r="BM92" s="26">
        <f t="shared" si="154"/>
        <v>2.0230026595318429</v>
      </c>
      <c r="BN92" s="26">
        <f t="shared" si="155"/>
        <v>3.253974187157474E-2</v>
      </c>
      <c r="BO92" s="22"/>
      <c r="BP92" s="26">
        <f t="shared" si="156"/>
        <v>0.6620031092166524</v>
      </c>
      <c r="BQ92" s="22"/>
      <c r="BR92" s="22">
        <f t="shared" si="157"/>
        <v>1.5682398399368167E-2</v>
      </c>
      <c r="BS92" s="22">
        <f t="shared" si="158"/>
        <v>0.64486128793864472</v>
      </c>
      <c r="BT92" s="22">
        <f t="shared" si="159"/>
        <v>0.33945631366198709</v>
      </c>
      <c r="BU92" s="1"/>
      <c r="BV92" s="26">
        <f t="shared" si="160"/>
        <v>0.90096537949400801</v>
      </c>
      <c r="BW92" s="26">
        <f t="shared" si="161"/>
        <v>7.2608913370055092E-4</v>
      </c>
      <c r="BX92" s="26">
        <f t="shared" si="162"/>
        <v>4.5508042369556698E-3</v>
      </c>
      <c r="BY92" s="26">
        <f t="shared" si="163"/>
        <v>0</v>
      </c>
      <c r="BZ92" s="26">
        <f t="shared" si="164"/>
        <v>0.29088378566457901</v>
      </c>
      <c r="CA92" s="26">
        <f t="shared" si="165"/>
        <v>9.0217084860445447E-3</v>
      </c>
      <c r="CB92" s="26">
        <f t="shared" si="166"/>
        <v>0.5697270471464021</v>
      </c>
      <c r="CC92" s="26">
        <f t="shared" si="167"/>
        <v>1.3855206847360914E-2</v>
      </c>
      <c r="CD92" s="26">
        <f t="shared" si="168"/>
        <v>7.0990642142626655E-4</v>
      </c>
      <c r="CE92" s="26">
        <f t="shared" si="169"/>
        <v>0</v>
      </c>
      <c r="CF92" s="26">
        <f t="shared" si="170"/>
        <v>0</v>
      </c>
      <c r="CG92" s="26">
        <f t="shared" si="171"/>
        <v>0</v>
      </c>
      <c r="CH92" s="26">
        <f t="shared" si="172"/>
        <v>0</v>
      </c>
      <c r="CI92" s="26">
        <f t="shared" si="173"/>
        <v>1.7904399274304768</v>
      </c>
      <c r="CJ92" s="26">
        <f t="shared" si="174"/>
        <v>2.6940518449659505</v>
      </c>
      <c r="CK92" s="26">
        <f t="shared" si="175"/>
        <v>2.2340878008348151</v>
      </c>
      <c r="CL92" s="26">
        <f t="shared" si="176"/>
        <v>6.0187483616549562</v>
      </c>
      <c r="CM92" s="1"/>
      <c r="CN92" s="22"/>
      <c r="CO92" s="96"/>
      <c r="CP92" s="14"/>
      <c r="CQ92" s="14"/>
      <c r="CR92" s="14"/>
      <c r="CS92" s="14"/>
      <c r="CT92" s="22"/>
      <c r="CU92" s="14"/>
      <c r="CV92" s="22"/>
      <c r="CW92" s="22"/>
      <c r="CX92" s="14"/>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46"/>
      <c r="FF92" s="46"/>
      <c r="FG92" s="46"/>
      <c r="FH92" s="46"/>
      <c r="FI92" s="46"/>
      <c r="FJ92" s="46"/>
      <c r="FK92" s="46"/>
      <c r="FL92" s="46"/>
      <c r="FM92" s="46"/>
      <c r="FN92" s="46"/>
      <c r="FO92" s="46"/>
    </row>
    <row r="93" spans="1:171" x14ac:dyDescent="0.25">
      <c r="A93" s="5" t="s">
        <v>254</v>
      </c>
      <c r="B93" s="1">
        <v>718</v>
      </c>
      <c r="C93" s="98" t="s">
        <v>95</v>
      </c>
      <c r="D93" s="98" t="s">
        <v>106</v>
      </c>
      <c r="E93" s="1">
        <v>229</v>
      </c>
      <c r="F93" s="22">
        <v>53.53</v>
      </c>
      <c r="G93" s="22">
        <v>0.109</v>
      </c>
      <c r="H93" s="22">
        <v>0.27400000000000002</v>
      </c>
      <c r="I93" s="22">
        <v>0</v>
      </c>
      <c r="J93" s="22">
        <v>21.77</v>
      </c>
      <c r="K93" s="22">
        <v>0.79700000000000004</v>
      </c>
      <c r="L93" s="22">
        <v>22.23</v>
      </c>
      <c r="M93" s="22">
        <v>0.96199999999999997</v>
      </c>
      <c r="N93" s="22">
        <v>3.5999999999999997E-2</v>
      </c>
      <c r="O93" s="22">
        <v>0</v>
      </c>
      <c r="P93" s="22">
        <v>0</v>
      </c>
      <c r="Q93" s="22"/>
      <c r="R93" s="22"/>
      <c r="S93" s="22">
        <f t="shared" si="118"/>
        <v>99.708000000000013</v>
      </c>
      <c r="T93" s="3"/>
      <c r="U93" s="22">
        <f t="shared" si="119"/>
        <v>21.77</v>
      </c>
      <c r="V93" s="22">
        <f t="shared" si="120"/>
        <v>0</v>
      </c>
      <c r="W93" s="22">
        <f t="shared" si="121"/>
        <v>99.707999999999998</v>
      </c>
      <c r="X93" s="1"/>
      <c r="Y93" s="1"/>
      <c r="Z93" s="1"/>
      <c r="AA93" s="1" t="s">
        <v>185</v>
      </c>
      <c r="AC93" s="1">
        <v>6</v>
      </c>
      <c r="AD93" s="1">
        <v>4</v>
      </c>
      <c r="AE93" s="1"/>
      <c r="AF93" s="26">
        <f t="shared" si="122"/>
        <v>1.9974686344208055</v>
      </c>
      <c r="AG93" s="26">
        <f t="shared" si="123"/>
        <v>3.0591522431237502E-3</v>
      </c>
      <c r="AH93" s="26">
        <f t="shared" si="124"/>
        <v>1.2049343373281608E-2</v>
      </c>
      <c r="AI93" s="26">
        <f t="shared" si="125"/>
        <v>0</v>
      </c>
      <c r="AJ93" s="26">
        <f t="shared" si="126"/>
        <v>0.67927292681674833</v>
      </c>
      <c r="AK93" s="26">
        <f t="shared" si="127"/>
        <v>2.5187193946174694E-2</v>
      </c>
      <c r="AL93" s="26">
        <f t="shared" si="128"/>
        <v>1.236650751166144</v>
      </c>
      <c r="AM93" s="26">
        <f t="shared" si="129"/>
        <v>3.845738199947938E-2</v>
      </c>
      <c r="AN93" s="26">
        <f t="shared" si="130"/>
        <v>2.6043153673443358E-3</v>
      </c>
      <c r="AO93" s="26">
        <f t="shared" si="131"/>
        <v>0</v>
      </c>
      <c r="AP93" s="26">
        <f t="shared" si="132"/>
        <v>0</v>
      </c>
      <c r="AQ93" s="26">
        <f t="shared" si="133"/>
        <v>0</v>
      </c>
      <c r="AR93" s="26">
        <f t="shared" si="134"/>
        <v>0</v>
      </c>
      <c r="AS93" s="26">
        <f t="shared" si="135"/>
        <v>3.9947496993331013</v>
      </c>
      <c r="AT93" s="26">
        <f t="shared" si="136"/>
        <v>2.0095179777940873</v>
      </c>
      <c r="AU93" s="26">
        <f t="shared" si="137"/>
        <v>4.1061697366823718E-2</v>
      </c>
      <c r="AV93" s="47"/>
      <c r="AW93" s="26">
        <f t="shared" si="138"/>
        <v>2.0000939080155842</v>
      </c>
      <c r="AX93" s="26">
        <f t="shared" si="139"/>
        <v>3.0631728877876445E-3</v>
      </c>
      <c r="AY93" s="26">
        <f t="shared" si="140"/>
        <v>1.2065179828706835E-2</v>
      </c>
      <c r="AZ93" s="26">
        <f t="shared" si="141"/>
        <v>0</v>
      </c>
      <c r="BA93" s="26">
        <f t="shared" si="142"/>
        <v>0.6801656954178118</v>
      </c>
      <c r="BB93" s="26">
        <f t="shared" si="143"/>
        <v>0</v>
      </c>
      <c r="BC93" s="26">
        <f t="shared" si="144"/>
        <v>2.5220297482347432E-2</v>
      </c>
      <c r="BD93" s="26">
        <f t="shared" si="145"/>
        <v>1.2382760816004017</v>
      </c>
      <c r="BE93" s="26">
        <f t="shared" si="146"/>
        <v>3.8507926547587799E-2</v>
      </c>
      <c r="BF93" s="26">
        <f t="shared" si="147"/>
        <v>2.6077382197729282E-3</v>
      </c>
      <c r="BG93" s="26">
        <f t="shared" si="148"/>
        <v>0</v>
      </c>
      <c r="BH93" s="26">
        <f t="shared" si="149"/>
        <v>0</v>
      </c>
      <c r="BI93" s="26">
        <f t="shared" si="150"/>
        <v>0</v>
      </c>
      <c r="BJ93" s="26">
        <f t="shared" si="151"/>
        <v>0</v>
      </c>
      <c r="BK93" s="25">
        <f t="shared" si="152"/>
        <v>4</v>
      </c>
      <c r="BL93" s="24">
        <f t="shared" si="153"/>
        <v>6.0078858017078396</v>
      </c>
      <c r="BM93" s="26">
        <f t="shared" si="154"/>
        <v>2.012159087844291</v>
      </c>
      <c r="BN93" s="26">
        <f t="shared" si="155"/>
        <v>4.1115664767360727E-2</v>
      </c>
      <c r="BO93" s="22"/>
      <c r="BP93" s="26">
        <f t="shared" si="156"/>
        <v>0.6454592974539074</v>
      </c>
      <c r="BQ93" s="22"/>
      <c r="BR93" s="22">
        <f t="shared" si="157"/>
        <v>1.9427156362585071E-2</v>
      </c>
      <c r="BS93" s="22">
        <f t="shared" si="158"/>
        <v>0.6247073061067494</v>
      </c>
      <c r="BT93" s="22">
        <f t="shared" si="159"/>
        <v>0.35586553753066547</v>
      </c>
      <c r="BU93" s="1"/>
      <c r="BV93" s="26">
        <f t="shared" si="160"/>
        <v>0.89097869507323568</v>
      </c>
      <c r="BW93" s="26">
        <f t="shared" si="161"/>
        <v>1.3645468202303456E-3</v>
      </c>
      <c r="BX93" s="26">
        <f t="shared" si="162"/>
        <v>5.3746567281286782E-3</v>
      </c>
      <c r="BY93" s="26">
        <f t="shared" si="163"/>
        <v>0</v>
      </c>
      <c r="BZ93" s="26">
        <f t="shared" si="164"/>
        <v>0.30299234516353518</v>
      </c>
      <c r="CA93" s="26">
        <f t="shared" si="165"/>
        <v>1.1234846349027348E-2</v>
      </c>
      <c r="CB93" s="26">
        <f t="shared" si="166"/>
        <v>0.55161290322580647</v>
      </c>
      <c r="CC93" s="26">
        <f t="shared" si="167"/>
        <v>1.7154065620542083E-2</v>
      </c>
      <c r="CD93" s="26">
        <f t="shared" si="168"/>
        <v>1.1616650532429815E-3</v>
      </c>
      <c r="CE93" s="26">
        <f t="shared" si="169"/>
        <v>0</v>
      </c>
      <c r="CF93" s="26">
        <f t="shared" si="170"/>
        <v>0</v>
      </c>
      <c r="CG93" s="26">
        <f t="shared" si="171"/>
        <v>0</v>
      </c>
      <c r="CH93" s="26">
        <f t="shared" si="172"/>
        <v>0</v>
      </c>
      <c r="CI93" s="26">
        <f t="shared" si="173"/>
        <v>1.7818737240337486</v>
      </c>
      <c r="CJ93" s="26">
        <f t="shared" si="174"/>
        <v>2.6763234617646576</v>
      </c>
      <c r="CK93" s="26">
        <f t="shared" si="175"/>
        <v>2.2448279841878627</v>
      </c>
      <c r="CL93" s="26">
        <f t="shared" si="176"/>
        <v>6.0078858017078387</v>
      </c>
      <c r="CM93" s="1"/>
      <c r="CN93" s="22"/>
      <c r="CO93" s="96"/>
      <c r="CP93" s="14"/>
      <c r="CQ93" s="14"/>
      <c r="CR93" s="14"/>
      <c r="CS93" s="14"/>
      <c r="CT93" s="22"/>
      <c r="CU93" s="14"/>
      <c r="CV93" s="22"/>
      <c r="CW93" s="22"/>
      <c r="CX93" s="14"/>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46"/>
      <c r="FF93" s="46"/>
      <c r="FG93" s="46"/>
      <c r="FH93" s="46"/>
      <c r="FI93" s="46"/>
      <c r="FJ93" s="46"/>
      <c r="FK93" s="46"/>
      <c r="FL93" s="46"/>
      <c r="FM93" s="46"/>
      <c r="FN93" s="46"/>
      <c r="FO93" s="46"/>
    </row>
    <row r="94" spans="1:171" x14ac:dyDescent="0.25">
      <c r="A94" s="5" t="s">
        <v>254</v>
      </c>
      <c r="B94" s="1">
        <v>774</v>
      </c>
      <c r="C94" s="98" t="s">
        <v>95</v>
      </c>
      <c r="D94" s="98" t="s">
        <v>106</v>
      </c>
      <c r="E94" s="1">
        <v>285</v>
      </c>
      <c r="F94" s="22">
        <v>54.28</v>
      </c>
      <c r="G94" s="22">
        <v>0.17899999999999999</v>
      </c>
      <c r="H94" s="22">
        <v>0.28499999999999998</v>
      </c>
      <c r="I94" s="22">
        <v>0</v>
      </c>
      <c r="J94" s="22">
        <v>21.1</v>
      </c>
      <c r="K94" s="22">
        <v>0.60099999999999998</v>
      </c>
      <c r="L94" s="22">
        <v>23.14</v>
      </c>
      <c r="M94" s="22">
        <v>0.84199999999999997</v>
      </c>
      <c r="N94" s="22">
        <v>4.3999999999999997E-2</v>
      </c>
      <c r="O94" s="22">
        <v>0</v>
      </c>
      <c r="P94" s="22"/>
      <c r="Q94" s="22"/>
      <c r="R94" s="22"/>
      <c r="S94" s="22">
        <f t="shared" si="118"/>
        <v>100.47099999999999</v>
      </c>
      <c r="T94" s="3"/>
      <c r="U94" s="22">
        <f t="shared" si="119"/>
        <v>21.1</v>
      </c>
      <c r="V94" s="22">
        <f t="shared" si="120"/>
        <v>0</v>
      </c>
      <c r="W94" s="22">
        <f t="shared" si="121"/>
        <v>100.471</v>
      </c>
      <c r="X94" s="1">
        <v>1</v>
      </c>
      <c r="Y94" s="1"/>
      <c r="Z94" s="1"/>
      <c r="AA94" s="1" t="s">
        <v>185</v>
      </c>
      <c r="AC94" s="1">
        <v>6</v>
      </c>
      <c r="AD94" s="1">
        <v>4</v>
      </c>
      <c r="AE94" s="1"/>
      <c r="AF94" s="26">
        <f t="shared" si="122"/>
        <v>1.998921514793583</v>
      </c>
      <c r="AG94" s="26">
        <f t="shared" si="123"/>
        <v>4.9579346970379402E-3</v>
      </c>
      <c r="AH94" s="26">
        <f t="shared" si="124"/>
        <v>1.2368893675669321E-2</v>
      </c>
      <c r="AI94" s="26">
        <f t="shared" si="125"/>
        <v>0</v>
      </c>
      <c r="AJ94" s="26">
        <f t="shared" si="126"/>
        <v>0.64974285176264512</v>
      </c>
      <c r="AK94" s="26">
        <f t="shared" si="127"/>
        <v>1.8744295201329454E-2</v>
      </c>
      <c r="AL94" s="26">
        <f t="shared" si="128"/>
        <v>1.2704106794141563</v>
      </c>
      <c r="AM94" s="26">
        <f t="shared" si="129"/>
        <v>3.3219256954419359E-2</v>
      </c>
      <c r="AN94" s="26">
        <f t="shared" si="130"/>
        <v>3.1413543454048413E-3</v>
      </c>
      <c r="AO94" s="26">
        <f t="shared" si="131"/>
        <v>0</v>
      </c>
      <c r="AP94" s="26">
        <f t="shared" si="132"/>
        <v>0</v>
      </c>
      <c r="AQ94" s="26">
        <f t="shared" si="133"/>
        <v>0</v>
      </c>
      <c r="AR94" s="26">
        <f t="shared" si="134"/>
        <v>0</v>
      </c>
      <c r="AS94" s="26">
        <f t="shared" si="135"/>
        <v>3.9915067808442455</v>
      </c>
      <c r="AT94" s="26">
        <f t="shared" si="136"/>
        <v>2.0112904084692524</v>
      </c>
      <c r="AU94" s="26">
        <f t="shared" si="137"/>
        <v>3.6360611299824201E-2</v>
      </c>
      <c r="AV94" s="47"/>
      <c r="AW94" s="26">
        <f t="shared" si="138"/>
        <v>2.0031748655787474</v>
      </c>
      <c r="AX94" s="26">
        <f t="shared" si="139"/>
        <v>4.9684843035534406E-3</v>
      </c>
      <c r="AY94" s="26">
        <f t="shared" si="140"/>
        <v>1.2395212489708629E-2</v>
      </c>
      <c r="AZ94" s="26">
        <f t="shared" si="141"/>
        <v>0</v>
      </c>
      <c r="BA94" s="26">
        <f t="shared" si="142"/>
        <v>0.65112538942020037</v>
      </c>
      <c r="BB94" s="26">
        <f t="shared" si="143"/>
        <v>0</v>
      </c>
      <c r="BC94" s="26">
        <f t="shared" si="144"/>
        <v>1.8784179740127947E-2</v>
      </c>
      <c r="BD94" s="26">
        <f t="shared" si="145"/>
        <v>1.2731138882298989</v>
      </c>
      <c r="BE94" s="26">
        <f t="shared" si="146"/>
        <v>3.3289941646941788E-2</v>
      </c>
      <c r="BF94" s="26">
        <f t="shared" si="147"/>
        <v>3.1480385908204934E-3</v>
      </c>
      <c r="BG94" s="26">
        <f t="shared" si="148"/>
        <v>0</v>
      </c>
      <c r="BH94" s="26">
        <f t="shared" si="149"/>
        <v>0</v>
      </c>
      <c r="BI94" s="26">
        <f t="shared" si="150"/>
        <v>0</v>
      </c>
      <c r="BJ94" s="26">
        <f t="shared" si="151"/>
        <v>0</v>
      </c>
      <c r="BK94" s="25">
        <f t="shared" si="152"/>
        <v>3.9999999999999991</v>
      </c>
      <c r="BL94" s="24">
        <f t="shared" si="153"/>
        <v>6.0127669368317438</v>
      </c>
      <c r="BM94" s="26">
        <f t="shared" si="154"/>
        <v>2.015570078068456</v>
      </c>
      <c r="BN94" s="26">
        <f t="shared" si="155"/>
        <v>3.6437980237762284E-2</v>
      </c>
      <c r="BO94" s="22"/>
      <c r="BP94" s="26">
        <f t="shared" si="156"/>
        <v>0.661619323031717</v>
      </c>
      <c r="BQ94" s="22"/>
      <c r="BR94" s="22">
        <f t="shared" si="157"/>
        <v>1.6844464882523266E-2</v>
      </c>
      <c r="BS94" s="22">
        <f t="shared" si="158"/>
        <v>0.64418623526518681</v>
      </c>
      <c r="BT94" s="22">
        <f t="shared" si="159"/>
        <v>0.33896929985228985</v>
      </c>
      <c r="BU94" s="1"/>
      <c r="BV94" s="26">
        <f t="shared" si="160"/>
        <v>0.90346205059920115</v>
      </c>
      <c r="BW94" s="26">
        <f t="shared" si="161"/>
        <v>2.2408612919379068E-3</v>
      </c>
      <c r="BX94" s="26">
        <f t="shared" si="162"/>
        <v>5.5904276186739899E-3</v>
      </c>
      <c r="BY94" s="26">
        <f t="shared" si="163"/>
        <v>0</v>
      </c>
      <c r="BZ94" s="26">
        <f t="shared" si="164"/>
        <v>0.29366736256089077</v>
      </c>
      <c r="CA94" s="26">
        <f t="shared" si="165"/>
        <v>8.4719481251762044E-3</v>
      </c>
      <c r="CB94" s="26">
        <f t="shared" si="166"/>
        <v>0.5741935483870968</v>
      </c>
      <c r="CC94" s="26">
        <f t="shared" si="167"/>
        <v>1.5014265335235378E-2</v>
      </c>
      <c r="CD94" s="26">
        <f t="shared" si="168"/>
        <v>1.4198128428525331E-3</v>
      </c>
      <c r="CE94" s="26">
        <f t="shared" si="169"/>
        <v>0</v>
      </c>
      <c r="CF94" s="26">
        <f t="shared" si="170"/>
        <v>0</v>
      </c>
      <c r="CG94" s="26">
        <f t="shared" si="171"/>
        <v>0</v>
      </c>
      <c r="CH94" s="26">
        <f t="shared" si="172"/>
        <v>0</v>
      </c>
      <c r="CI94" s="26">
        <f t="shared" si="173"/>
        <v>1.804060276761065</v>
      </c>
      <c r="CJ94" s="26">
        <f t="shared" si="174"/>
        <v>2.711848496040115</v>
      </c>
      <c r="CK94" s="26">
        <f t="shared" si="175"/>
        <v>2.217220816580161</v>
      </c>
      <c r="CL94" s="26">
        <f t="shared" si="176"/>
        <v>6.0127669368317456</v>
      </c>
      <c r="CM94" s="1"/>
      <c r="CN94" s="22"/>
      <c r="CO94" s="96"/>
      <c r="CP94" s="14"/>
      <c r="CQ94" s="14"/>
      <c r="CR94" s="14"/>
      <c r="CS94" s="14"/>
      <c r="CT94" s="22"/>
      <c r="CU94" s="14"/>
      <c r="CV94" s="22"/>
      <c r="CW94" s="22"/>
      <c r="CX94" s="14"/>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46"/>
      <c r="FF94" s="46"/>
      <c r="FG94" s="46"/>
      <c r="FH94" s="46"/>
      <c r="FI94" s="46"/>
      <c r="FJ94" s="46"/>
      <c r="FK94" s="46"/>
      <c r="FL94" s="46"/>
      <c r="FM94" s="46"/>
      <c r="FN94" s="46"/>
      <c r="FO94" s="46"/>
    </row>
    <row r="95" spans="1:171" x14ac:dyDescent="0.25">
      <c r="A95" s="5" t="s">
        <v>254</v>
      </c>
      <c r="B95" s="1">
        <v>775</v>
      </c>
      <c r="C95" s="98" t="s">
        <v>95</v>
      </c>
      <c r="D95" s="98" t="s">
        <v>106</v>
      </c>
      <c r="E95" s="1">
        <v>286</v>
      </c>
      <c r="F95" s="22">
        <v>53.93</v>
      </c>
      <c r="G95" s="22">
        <v>4.4999999999999998E-2</v>
      </c>
      <c r="H95" s="22">
        <v>0.193</v>
      </c>
      <c r="I95" s="22">
        <v>8.9999999999999993E-3</v>
      </c>
      <c r="J95" s="22">
        <v>21.76</v>
      </c>
      <c r="K95" s="22">
        <v>0.61399999999999999</v>
      </c>
      <c r="L95" s="22">
        <v>22.58</v>
      </c>
      <c r="M95" s="22">
        <v>0.83499999999999996</v>
      </c>
      <c r="N95" s="22">
        <v>0.04</v>
      </c>
      <c r="O95" s="22">
        <v>0</v>
      </c>
      <c r="P95" s="22"/>
      <c r="Q95" s="22"/>
      <c r="R95" s="22"/>
      <c r="S95" s="22">
        <f t="shared" si="118"/>
        <v>100.006</v>
      </c>
      <c r="T95" s="3"/>
      <c r="U95" s="22">
        <f t="shared" si="119"/>
        <v>21.76</v>
      </c>
      <c r="V95" s="22">
        <f t="shared" si="120"/>
        <v>0</v>
      </c>
      <c r="W95" s="22">
        <f t="shared" si="121"/>
        <v>100.006</v>
      </c>
      <c r="X95" s="1">
        <v>1</v>
      </c>
      <c r="Y95" s="1"/>
      <c r="Z95" s="1"/>
      <c r="AA95" s="1" t="s">
        <v>185</v>
      </c>
      <c r="AC95" s="1">
        <v>6</v>
      </c>
      <c r="AD95" s="1">
        <v>4</v>
      </c>
      <c r="AE95" s="1"/>
      <c r="AF95" s="26">
        <f t="shared" si="122"/>
        <v>2.0024631988724022</v>
      </c>
      <c r="AG95" s="26">
        <f t="shared" si="123"/>
        <v>1.2567199363089292E-3</v>
      </c>
      <c r="AH95" s="26">
        <f t="shared" si="124"/>
        <v>8.4454253009393441E-3</v>
      </c>
      <c r="AI95" s="26">
        <f t="shared" si="125"/>
        <v>2.6419314037070131E-4</v>
      </c>
      <c r="AJ95" s="26">
        <f t="shared" si="126"/>
        <v>0.67561015016744574</v>
      </c>
      <c r="AK95" s="26">
        <f t="shared" si="127"/>
        <v>1.9308175342726986E-2</v>
      </c>
      <c r="AL95" s="26">
        <f t="shared" si="128"/>
        <v>1.2499220758803566</v>
      </c>
      <c r="AM95" s="26">
        <f t="shared" si="129"/>
        <v>3.3215631798945273E-2</v>
      </c>
      <c r="AN95" s="26">
        <f t="shared" si="130"/>
        <v>2.87940306227406E-3</v>
      </c>
      <c r="AO95" s="26">
        <f t="shared" si="131"/>
        <v>0</v>
      </c>
      <c r="AP95" s="26">
        <f t="shared" si="132"/>
        <v>0</v>
      </c>
      <c r="AQ95" s="26">
        <f t="shared" si="133"/>
        <v>0</v>
      </c>
      <c r="AR95" s="26">
        <f t="shared" si="134"/>
        <v>0</v>
      </c>
      <c r="AS95" s="26">
        <f t="shared" si="135"/>
        <v>3.9933649735017704</v>
      </c>
      <c r="AT95" s="26">
        <f t="shared" si="136"/>
        <v>2.0109086241733416</v>
      </c>
      <c r="AU95" s="26">
        <f t="shared" si="137"/>
        <v>3.609503486121933E-2</v>
      </c>
      <c r="AV95" s="47"/>
      <c r="AW95" s="26">
        <f t="shared" si="138"/>
        <v>2.0057903168479472</v>
      </c>
      <c r="AX95" s="26">
        <f t="shared" si="139"/>
        <v>1.2588079924053775E-3</v>
      </c>
      <c r="AY95" s="26">
        <f t="shared" si="140"/>
        <v>8.4594574820779055E-3</v>
      </c>
      <c r="AZ95" s="26">
        <f t="shared" si="141"/>
        <v>2.6463210062067645E-4</v>
      </c>
      <c r="BA95" s="26">
        <f t="shared" si="142"/>
        <v>0.67673268499173045</v>
      </c>
      <c r="BB95" s="26">
        <f t="shared" si="143"/>
        <v>0</v>
      </c>
      <c r="BC95" s="26">
        <f t="shared" si="144"/>
        <v>1.9340256120687814E-2</v>
      </c>
      <c r="BD95" s="26">
        <f t="shared" si="145"/>
        <v>1.2519988372455761</v>
      </c>
      <c r="BE95" s="26">
        <f t="shared" si="146"/>
        <v>3.3270819992011487E-2</v>
      </c>
      <c r="BF95" s="26">
        <f t="shared" si="147"/>
        <v>2.8841872269432163E-3</v>
      </c>
      <c r="BG95" s="26">
        <f t="shared" si="148"/>
        <v>0</v>
      </c>
      <c r="BH95" s="26">
        <f t="shared" si="149"/>
        <v>0</v>
      </c>
      <c r="BI95" s="26">
        <f t="shared" si="150"/>
        <v>0</v>
      </c>
      <c r="BJ95" s="26">
        <f t="shared" si="151"/>
        <v>0</v>
      </c>
      <c r="BK95" s="25">
        <f t="shared" si="152"/>
        <v>4.0000000000000009</v>
      </c>
      <c r="BL95" s="24">
        <f t="shared" si="153"/>
        <v>6.0099690760182307</v>
      </c>
      <c r="BM95" s="26">
        <f t="shared" si="154"/>
        <v>2.0142497743300249</v>
      </c>
      <c r="BN95" s="26">
        <f t="shared" si="155"/>
        <v>3.6155007218954704E-2</v>
      </c>
      <c r="BO95" s="22"/>
      <c r="BP95" s="26">
        <f t="shared" si="156"/>
        <v>0.64913069694286529</v>
      </c>
      <c r="BQ95" s="22"/>
      <c r="BR95" s="22">
        <f t="shared" si="157"/>
        <v>1.6792058082089528E-2</v>
      </c>
      <c r="BS95" s="22">
        <f t="shared" si="158"/>
        <v>0.63189417029048767</v>
      </c>
      <c r="BT95" s="22">
        <f t="shared" si="159"/>
        <v>0.35131377162742267</v>
      </c>
      <c r="BU95" s="1"/>
      <c r="BV95" s="26">
        <f t="shared" si="160"/>
        <v>0.8976364846870839</v>
      </c>
      <c r="BW95" s="26">
        <f t="shared" si="161"/>
        <v>5.6334501752628948E-4</v>
      </c>
      <c r="BX95" s="26">
        <f t="shared" si="162"/>
        <v>3.7857983522950182E-3</v>
      </c>
      <c r="BY95" s="26">
        <f t="shared" si="163"/>
        <v>1.1842884400289492E-4</v>
      </c>
      <c r="BZ95" s="26">
        <f t="shared" si="164"/>
        <v>0.30285316631871961</v>
      </c>
      <c r="CA95" s="26">
        <f t="shared" si="165"/>
        <v>8.6552015787989857E-3</v>
      </c>
      <c r="CB95" s="26">
        <f t="shared" si="166"/>
        <v>0.5602977667493797</v>
      </c>
      <c r="CC95" s="26">
        <f t="shared" si="167"/>
        <v>1.4889443651925819E-2</v>
      </c>
      <c r="CD95" s="26">
        <f t="shared" si="168"/>
        <v>1.2907389480477575E-3</v>
      </c>
      <c r="CE95" s="26">
        <f t="shared" si="169"/>
        <v>0</v>
      </c>
      <c r="CF95" s="26">
        <f t="shared" si="170"/>
        <v>0</v>
      </c>
      <c r="CG95" s="26">
        <f t="shared" si="171"/>
        <v>0</v>
      </c>
      <c r="CH95" s="26">
        <f t="shared" si="172"/>
        <v>0</v>
      </c>
      <c r="CI95" s="26">
        <f t="shared" si="173"/>
        <v>1.7900903741477798</v>
      </c>
      <c r="CJ95" s="26">
        <f t="shared" si="174"/>
        <v>2.6895969479765158</v>
      </c>
      <c r="CK95" s="26">
        <f t="shared" si="175"/>
        <v>2.2345240540742566</v>
      </c>
      <c r="CL95" s="26">
        <f t="shared" si="176"/>
        <v>6.0099690760182316</v>
      </c>
      <c r="CM95" s="1"/>
      <c r="CN95" s="22"/>
      <c r="CO95" s="96"/>
      <c r="CP95" s="14"/>
      <c r="CQ95" s="14"/>
      <c r="CR95" s="14"/>
      <c r="CS95" s="14"/>
      <c r="CT95" s="22"/>
      <c r="CU95" s="14"/>
      <c r="CV95" s="22"/>
      <c r="CW95" s="22"/>
      <c r="CX95" s="14"/>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46"/>
      <c r="FF95" s="46"/>
      <c r="FG95" s="46"/>
      <c r="FH95" s="46"/>
      <c r="FI95" s="46"/>
      <c r="FJ95" s="46"/>
      <c r="FK95" s="46"/>
      <c r="FL95" s="46"/>
      <c r="FM95" s="46"/>
      <c r="FN95" s="46"/>
      <c r="FO95" s="46"/>
    </row>
    <row r="96" spans="1:171" x14ac:dyDescent="0.25">
      <c r="A96" s="5" t="s">
        <v>249</v>
      </c>
      <c r="B96" s="1">
        <v>136</v>
      </c>
      <c r="C96" s="98" t="s">
        <v>95</v>
      </c>
      <c r="D96" s="98" t="s">
        <v>104</v>
      </c>
      <c r="E96" s="1">
        <v>167</v>
      </c>
      <c r="F96" s="22">
        <v>54.08</v>
      </c>
      <c r="G96" s="22">
        <v>0.188</v>
      </c>
      <c r="H96" s="22">
        <v>1.0740000000000001</v>
      </c>
      <c r="I96" s="22">
        <v>0</v>
      </c>
      <c r="J96" s="22">
        <v>18.989999999999998</v>
      </c>
      <c r="K96" s="22">
        <v>0.75600000000000001</v>
      </c>
      <c r="L96" s="22">
        <v>23.26</v>
      </c>
      <c r="M96" s="22">
        <v>1.6</v>
      </c>
      <c r="N96" s="22">
        <v>4.9000000000000002E-2</v>
      </c>
      <c r="O96" s="22">
        <v>0</v>
      </c>
      <c r="P96" s="22">
        <v>0</v>
      </c>
      <c r="Q96" s="22"/>
      <c r="R96" s="22"/>
      <c r="S96" s="22">
        <f t="shared" si="118"/>
        <v>99.997</v>
      </c>
      <c r="T96" s="3"/>
      <c r="U96" s="22">
        <f t="shared" si="119"/>
        <v>18.989999999999998</v>
      </c>
      <c r="V96" s="22">
        <f t="shared" si="120"/>
        <v>0</v>
      </c>
      <c r="W96" s="22">
        <f t="shared" si="121"/>
        <v>99.997</v>
      </c>
      <c r="X96" s="1"/>
      <c r="Y96" s="1"/>
      <c r="Z96" s="1"/>
      <c r="AA96" s="1" t="s">
        <v>185</v>
      </c>
      <c r="AC96" s="1">
        <v>6</v>
      </c>
      <c r="AD96" s="1">
        <v>4</v>
      </c>
      <c r="AE96" s="1"/>
      <c r="AF96" s="26">
        <f t="shared" si="122"/>
        <v>1.9870313757233868</v>
      </c>
      <c r="AG96" s="26">
        <f t="shared" si="123"/>
        <v>5.1953852723544188E-3</v>
      </c>
      <c r="AH96" s="26">
        <f t="shared" si="124"/>
        <v>4.6505296335107492E-2</v>
      </c>
      <c r="AI96" s="26">
        <f t="shared" si="125"/>
        <v>0</v>
      </c>
      <c r="AJ96" s="26">
        <f t="shared" si="126"/>
        <v>0.58343994298125457</v>
      </c>
      <c r="AK96" s="26">
        <f t="shared" si="127"/>
        <v>2.352494285852048E-2</v>
      </c>
      <c r="AL96" s="26">
        <f t="shared" si="128"/>
        <v>1.2740974018564102</v>
      </c>
      <c r="AM96" s="26">
        <f t="shared" si="129"/>
        <v>6.2981056781447622E-2</v>
      </c>
      <c r="AN96" s="26">
        <f t="shared" si="130"/>
        <v>3.4903780564471514E-3</v>
      </c>
      <c r="AO96" s="26">
        <f t="shared" si="131"/>
        <v>0</v>
      </c>
      <c r="AP96" s="26">
        <f t="shared" si="132"/>
        <v>0</v>
      </c>
      <c r="AQ96" s="26">
        <f t="shared" si="133"/>
        <v>0</v>
      </c>
      <c r="AR96" s="26">
        <f t="shared" si="134"/>
        <v>0</v>
      </c>
      <c r="AS96" s="26">
        <f t="shared" si="135"/>
        <v>3.9862657798649295</v>
      </c>
      <c r="AT96" s="26">
        <f t="shared" si="136"/>
        <v>2.0335366720584944</v>
      </c>
      <c r="AU96" s="26">
        <f t="shared" si="137"/>
        <v>6.6471434837894777E-2</v>
      </c>
      <c r="AV96" s="47"/>
      <c r="AW96" s="26">
        <f t="shared" si="138"/>
        <v>1.9938774637256784</v>
      </c>
      <c r="AX96" s="26">
        <f t="shared" si="139"/>
        <v>5.2132853745948272E-3</v>
      </c>
      <c r="AY96" s="26">
        <f t="shared" si="140"/>
        <v>4.6665524983317379E-2</v>
      </c>
      <c r="AZ96" s="26">
        <f t="shared" si="141"/>
        <v>0</v>
      </c>
      <c r="BA96" s="26">
        <f t="shared" si="142"/>
        <v>0.5854501181815569</v>
      </c>
      <c r="BB96" s="26">
        <f t="shared" si="143"/>
        <v>0</v>
      </c>
      <c r="BC96" s="26">
        <f t="shared" si="144"/>
        <v>2.3605995342656356E-2</v>
      </c>
      <c r="BD96" s="26">
        <f t="shared" si="145"/>
        <v>1.2784871578729324</v>
      </c>
      <c r="BE96" s="26">
        <f t="shared" si="146"/>
        <v>6.3198050766782213E-2</v>
      </c>
      <c r="BF96" s="26">
        <f t="shared" si="147"/>
        <v>3.5024037524817725E-3</v>
      </c>
      <c r="BG96" s="26">
        <f t="shared" si="148"/>
        <v>0</v>
      </c>
      <c r="BH96" s="26">
        <f t="shared" si="149"/>
        <v>0</v>
      </c>
      <c r="BI96" s="26">
        <f t="shared" si="150"/>
        <v>0</v>
      </c>
      <c r="BJ96" s="26">
        <f t="shared" si="151"/>
        <v>0</v>
      </c>
      <c r="BK96" s="25">
        <f t="shared" si="152"/>
        <v>4</v>
      </c>
      <c r="BL96" s="24">
        <f t="shared" si="153"/>
        <v>6.0206723097156916</v>
      </c>
      <c r="BM96" s="26">
        <f t="shared" si="154"/>
        <v>2.0405429887089959</v>
      </c>
      <c r="BN96" s="26">
        <f t="shared" si="155"/>
        <v>6.6700454519263985E-2</v>
      </c>
      <c r="BO96" s="22"/>
      <c r="BP96" s="26">
        <f t="shared" si="156"/>
        <v>0.68590674927601902</v>
      </c>
      <c r="BQ96" s="22"/>
      <c r="BR96" s="22">
        <f t="shared" si="157"/>
        <v>3.2396940613672737E-2</v>
      </c>
      <c r="BS96" s="22">
        <f t="shared" si="158"/>
        <v>0.65538528524875139</v>
      </c>
      <c r="BT96" s="22">
        <f t="shared" si="159"/>
        <v>0.31221777413757579</v>
      </c>
      <c r="BU96" s="1"/>
      <c r="BV96" s="26">
        <f t="shared" si="160"/>
        <v>0.90013315579227693</v>
      </c>
      <c r="BW96" s="26">
        <f t="shared" si="161"/>
        <v>2.3535302954431651E-3</v>
      </c>
      <c r="BX96" s="26">
        <f t="shared" si="162"/>
        <v>2.106708513142409E-2</v>
      </c>
      <c r="BY96" s="26">
        <f t="shared" si="163"/>
        <v>0</v>
      </c>
      <c r="BZ96" s="26">
        <f t="shared" si="164"/>
        <v>0.26430062630480167</v>
      </c>
      <c r="CA96" s="26">
        <f t="shared" si="165"/>
        <v>1.0656893149140119E-2</v>
      </c>
      <c r="CB96" s="26">
        <f t="shared" si="166"/>
        <v>0.57717121588089337</v>
      </c>
      <c r="CC96" s="26">
        <f t="shared" si="167"/>
        <v>2.8530670470756064E-2</v>
      </c>
      <c r="CD96" s="26">
        <f t="shared" si="168"/>
        <v>1.5811552113585029E-3</v>
      </c>
      <c r="CE96" s="26">
        <f t="shared" si="169"/>
        <v>0</v>
      </c>
      <c r="CF96" s="26">
        <f t="shared" si="170"/>
        <v>0</v>
      </c>
      <c r="CG96" s="26">
        <f t="shared" si="171"/>
        <v>0</v>
      </c>
      <c r="CH96" s="26">
        <f t="shared" si="172"/>
        <v>0</v>
      </c>
      <c r="CI96" s="26">
        <f t="shared" si="173"/>
        <v>1.8057943322360939</v>
      </c>
      <c r="CJ96" s="26">
        <f t="shared" si="174"/>
        <v>2.7180239832838469</v>
      </c>
      <c r="CK96" s="26">
        <f t="shared" si="175"/>
        <v>2.2150916793757167</v>
      </c>
      <c r="CL96" s="26">
        <f t="shared" si="176"/>
        <v>6.0206723097156916</v>
      </c>
      <c r="CM96" s="1"/>
      <c r="CN96" s="22">
        <v>3.159040963621333</v>
      </c>
      <c r="CO96" s="96">
        <v>295.6450890235181</v>
      </c>
      <c r="CP96" s="14">
        <v>137590.97793649221</v>
      </c>
      <c r="CQ96" s="14">
        <v>6617.2064725269975</v>
      </c>
      <c r="CR96" s="14">
        <v>253114.79667698487</v>
      </c>
      <c r="CS96" s="14">
        <v>10961.139900367249</v>
      </c>
      <c r="CT96" s="22">
        <v>54.41783143956458</v>
      </c>
      <c r="CU96" s="14">
        <v>1641.1014700081557</v>
      </c>
      <c r="CV96" s="22">
        <v>75.663842180420062</v>
      </c>
      <c r="CW96" s="22">
        <v>0.82480499117243744</v>
      </c>
      <c r="CX96" s="14">
        <v>5934.2951480707825</v>
      </c>
      <c r="CY96" s="22">
        <v>72.065586430898591</v>
      </c>
      <c r="CZ96" s="22">
        <v>0</v>
      </c>
      <c r="DA96" s="22">
        <v>1.5463235209774298</v>
      </c>
      <c r="DB96" s="22">
        <v>306.2241839934693</v>
      </c>
      <c r="DC96" s="22">
        <v>0</v>
      </c>
      <c r="DD96" s="22">
        <v>2.675451351775032</v>
      </c>
      <c r="DE96" s="22">
        <v>0.29023670970841337</v>
      </c>
      <c r="DF96" s="22">
        <v>10.207431289985806</v>
      </c>
      <c r="DG96" s="22">
        <v>4.6665367608786417</v>
      </c>
      <c r="DH96" s="22">
        <v>0.19880489918146527</v>
      </c>
      <c r="DI96" s="22">
        <v>5.8967625810626416E-2</v>
      </c>
      <c r="DJ96" s="22">
        <v>0.68886916198606851</v>
      </c>
      <c r="DK96" s="22">
        <v>3.8103340757613666E-2</v>
      </c>
      <c r="DL96" s="22">
        <v>0.15909186596755689</v>
      </c>
      <c r="DM96" s="22">
        <v>3.2825512342464475E-2</v>
      </c>
      <c r="DN96" s="22">
        <v>0.31779741204362216</v>
      </c>
      <c r="DO96" s="22">
        <v>0.24520398761553064</v>
      </c>
      <c r="DP96" s="22">
        <v>3.1502091879394088E-2</v>
      </c>
      <c r="DQ96" s="22">
        <v>0.76723409503421158</v>
      </c>
      <c r="DR96" s="22">
        <v>0.15080718865166767</v>
      </c>
      <c r="DS96" s="22">
        <v>1.4220015517837163</v>
      </c>
      <c r="DT96" s="22">
        <v>0.40178968184638081</v>
      </c>
      <c r="DU96" s="22">
        <v>1.3672601084367284</v>
      </c>
      <c r="DV96" s="22">
        <v>0.30651702042295881</v>
      </c>
      <c r="DW96" s="22">
        <v>2.0042746249881751</v>
      </c>
      <c r="DX96" s="22">
        <v>0.42489440394157563</v>
      </c>
      <c r="DY96" s="22">
        <v>0.25025175496446805</v>
      </c>
      <c r="DZ96" s="22">
        <v>0</v>
      </c>
      <c r="EA96" s="22">
        <v>0.84341512577556299</v>
      </c>
      <c r="EB96" s="22">
        <v>0</v>
      </c>
      <c r="EC96" s="22">
        <v>3.1604725821278139E-3</v>
      </c>
      <c r="ED96" s="22">
        <f>(DP96/0.05883)/SQRT((DO96/0.1536)*(DQ96/0.2069))</f>
        <v>0.22008410974081932</v>
      </c>
      <c r="EE96" s="22"/>
      <c r="EF96" s="22"/>
      <c r="EG96" s="22"/>
      <c r="EH96" s="22"/>
      <c r="EI96" s="22"/>
      <c r="EJ96" s="22"/>
      <c r="EK96" s="22"/>
      <c r="EL96" s="22"/>
      <c r="EM96" s="22"/>
      <c r="EN96" s="22"/>
      <c r="EO96" s="22"/>
      <c r="EP96" s="22"/>
      <c r="EQ96" s="22"/>
      <c r="ER96" s="22">
        <f>3.073297 -6.710523 * BP96 +N("opx mg#")</f>
        <v>-1.5294960168719589</v>
      </c>
      <c r="ES96" s="22" t="e">
        <f>-3.726231 -0.216482*LN(#REF!) + N("31 liquid mgo, liq MgO calculated from equilibrium Fe/Mg of liquid from opx composition, then regression of literature MgO vs Fe/Mg")</f>
        <v>#REF!</v>
      </c>
      <c r="ET96" s="22"/>
      <c r="EU96" s="22"/>
      <c r="EV96" s="22">
        <f>10.033975 - 17.897808 * BP96 + N("66 mg#   R2 0.46")</f>
        <v>-2.2422523044463283</v>
      </c>
      <c r="EW96" s="22">
        <f>7.162348 - 16.15931 * BP96 + N("38d mg# r2 0.38")</f>
        <v>-3.9214317926434674</v>
      </c>
      <c r="EX96" s="22">
        <f>4.451575 - 11.66175 * BP96 + N("mg#")</f>
        <v>-3.5472980333696142</v>
      </c>
      <c r="EY96" s="22"/>
      <c r="EZ96" s="22">
        <f>5.675764 - 12.3354 * BP96 + N("mg#")</f>
        <v>-2.7851701150194055</v>
      </c>
      <c r="FA96" s="22">
        <f>5.273598 - 11.10504 * BP96 + N("mg#")</f>
        <v>-2.3434238869801627</v>
      </c>
      <c r="FB96" s="22">
        <f>6.313568 - 12.50612 * BP96 + N("mg#")</f>
        <v>-2.2644641152558069</v>
      </c>
      <c r="FC96" s="22">
        <f>6.81086 - 13.3177 * BP96 + N("mg#")</f>
        <v>-2.3238403148332392</v>
      </c>
      <c r="FD96" s="22">
        <f>8.616762 - 14.50395 * BP96 + N("mg#")</f>
        <v>-1.331595196161917</v>
      </c>
      <c r="FE96" s="46"/>
      <c r="FF96" s="46"/>
      <c r="FG96" s="46"/>
      <c r="FH96" s="46"/>
      <c r="FI96" s="46"/>
      <c r="FJ96" s="46"/>
      <c r="FK96" s="46"/>
      <c r="FL96" s="46"/>
      <c r="FM96" s="46"/>
      <c r="FN96" s="46"/>
      <c r="FO96" s="46"/>
    </row>
    <row r="97" spans="1:171" x14ac:dyDescent="0.25">
      <c r="A97" s="5" t="s">
        <v>89</v>
      </c>
      <c r="B97" s="1">
        <v>610</v>
      </c>
      <c r="C97" s="98" t="s">
        <v>97</v>
      </c>
      <c r="D97" s="98" t="s">
        <v>106</v>
      </c>
      <c r="E97" s="1">
        <v>121</v>
      </c>
      <c r="F97" s="22">
        <v>54.36</v>
      </c>
      <c r="G97" s="22">
        <v>0.221</v>
      </c>
      <c r="H97" s="22">
        <v>0.98899999999999999</v>
      </c>
      <c r="I97" s="22">
        <v>2.8000000000000001E-2</v>
      </c>
      <c r="J97" s="22">
        <v>16.14</v>
      </c>
      <c r="K97" s="22">
        <v>0.41299999999999998</v>
      </c>
      <c r="L97" s="22">
        <v>25.86</v>
      </c>
      <c r="M97" s="22">
        <v>1.64</v>
      </c>
      <c r="N97" s="22">
        <v>6.2E-2</v>
      </c>
      <c r="O97" s="22">
        <v>0.02</v>
      </c>
      <c r="P97" s="22">
        <v>0</v>
      </c>
      <c r="Q97" s="22"/>
      <c r="R97" s="22"/>
      <c r="S97" s="22">
        <f t="shared" si="118"/>
        <v>99.73299999999999</v>
      </c>
      <c r="T97" s="3"/>
      <c r="U97" s="22">
        <f t="shared" si="119"/>
        <v>16.14</v>
      </c>
      <c r="V97" s="22">
        <f t="shared" si="120"/>
        <v>0</v>
      </c>
      <c r="W97" s="22">
        <f t="shared" si="121"/>
        <v>99.73299999999999</v>
      </c>
      <c r="X97" s="1">
        <v>1</v>
      </c>
      <c r="Y97" s="1"/>
      <c r="Z97" s="1"/>
      <c r="AA97" s="1" t="s">
        <v>185</v>
      </c>
      <c r="AC97" s="1">
        <v>6</v>
      </c>
      <c r="AD97" s="1">
        <v>4</v>
      </c>
      <c r="AE97" s="1"/>
      <c r="AF97" s="26">
        <f t="shared" si="122"/>
        <v>1.9759825845286667</v>
      </c>
      <c r="AG97" s="26">
        <f t="shared" si="123"/>
        <v>6.0420985697974368E-3</v>
      </c>
      <c r="AH97" s="26">
        <f t="shared" si="124"/>
        <v>4.2367227906259894E-2</v>
      </c>
      <c r="AI97" s="26">
        <f t="shared" si="125"/>
        <v>8.0464923092116592E-4</v>
      </c>
      <c r="AJ97" s="26">
        <f t="shared" si="126"/>
        <v>0.49058057332945815</v>
      </c>
      <c r="AK97" s="26">
        <f t="shared" si="127"/>
        <v>1.2714300042033362E-2</v>
      </c>
      <c r="AL97" s="26">
        <f t="shared" si="128"/>
        <v>1.4013837037731876</v>
      </c>
      <c r="AM97" s="26">
        <f t="shared" si="129"/>
        <v>6.3865958081771299E-2</v>
      </c>
      <c r="AN97" s="26">
        <f t="shared" si="130"/>
        <v>4.369217875396382E-3</v>
      </c>
      <c r="AO97" s="26">
        <f t="shared" si="131"/>
        <v>9.2734786630048547E-4</v>
      </c>
      <c r="AP97" s="26">
        <f t="shared" si="132"/>
        <v>0</v>
      </c>
      <c r="AQ97" s="26">
        <f t="shared" si="133"/>
        <v>0</v>
      </c>
      <c r="AR97" s="26">
        <f t="shared" si="134"/>
        <v>0</v>
      </c>
      <c r="AS97" s="26">
        <f t="shared" si="135"/>
        <v>3.9990376612037921</v>
      </c>
      <c r="AT97" s="26">
        <f t="shared" si="136"/>
        <v>2.0183498124349266</v>
      </c>
      <c r="AU97" s="26">
        <f t="shared" si="137"/>
        <v>6.9162523823468172E-2</v>
      </c>
      <c r="AV97" s="47"/>
      <c r="AW97" s="26">
        <f t="shared" si="138"/>
        <v>1.9764580901034625</v>
      </c>
      <c r="AX97" s="26">
        <f t="shared" si="139"/>
        <v>6.0435525560703415E-3</v>
      </c>
      <c r="AY97" s="26">
        <f t="shared" si="140"/>
        <v>4.2377423265882903E-2</v>
      </c>
      <c r="AZ97" s="26">
        <f t="shared" si="141"/>
        <v>8.0484286379933702E-4</v>
      </c>
      <c r="BA97" s="26">
        <f t="shared" si="142"/>
        <v>0.49069862791117924</v>
      </c>
      <c r="BB97" s="26">
        <f t="shared" si="143"/>
        <v>0</v>
      </c>
      <c r="BC97" s="26">
        <f t="shared" si="144"/>
        <v>1.2717359644176088E-2</v>
      </c>
      <c r="BD97" s="26">
        <f t="shared" si="145"/>
        <v>1.4017209363828216</v>
      </c>
      <c r="BE97" s="26">
        <f t="shared" si="146"/>
        <v>6.3881326951590975E-2</v>
      </c>
      <c r="BF97" s="26">
        <f t="shared" si="147"/>
        <v>4.3702692953195713E-3</v>
      </c>
      <c r="BG97" s="26">
        <f t="shared" si="148"/>
        <v>9.2757102569655174E-4</v>
      </c>
      <c r="BH97" s="26">
        <f t="shared" si="149"/>
        <v>0</v>
      </c>
      <c r="BI97" s="26">
        <f t="shared" si="150"/>
        <v>0</v>
      </c>
      <c r="BJ97" s="26">
        <f t="shared" si="151"/>
        <v>0</v>
      </c>
      <c r="BK97" s="25">
        <f t="shared" si="152"/>
        <v>3.9999999999999987</v>
      </c>
      <c r="BL97" s="24">
        <f t="shared" si="153"/>
        <v>6.0014438555638643</v>
      </c>
      <c r="BM97" s="26">
        <f t="shared" si="154"/>
        <v>2.0188355133693454</v>
      </c>
      <c r="BN97" s="26">
        <f t="shared" si="155"/>
        <v>6.9179167272607103E-2</v>
      </c>
      <c r="BO97" s="22"/>
      <c r="BP97" s="26">
        <f t="shared" si="156"/>
        <v>0.74070304642287788</v>
      </c>
      <c r="BQ97" s="22"/>
      <c r="BR97" s="22">
        <f t="shared" si="157"/>
        <v>3.2443237599612915E-2</v>
      </c>
      <c r="BS97" s="22">
        <f t="shared" si="158"/>
        <v>0.71188823960844771</v>
      </c>
      <c r="BT97" s="22">
        <f t="shared" si="159"/>
        <v>0.25566852279193947</v>
      </c>
      <c r="BU97" s="1"/>
      <c r="BV97" s="26">
        <f t="shared" si="160"/>
        <v>0.90479360852197077</v>
      </c>
      <c r="BW97" s="26">
        <f t="shared" si="161"/>
        <v>2.766649974962444E-3</v>
      </c>
      <c r="BX97" s="26">
        <f t="shared" si="162"/>
        <v>1.9399764613573952E-2</v>
      </c>
      <c r="BY97" s="26">
        <f t="shared" si="163"/>
        <v>3.6844529245345085E-4</v>
      </c>
      <c r="BZ97" s="26">
        <f t="shared" si="164"/>
        <v>0.22463465553235912</v>
      </c>
      <c r="CA97" s="26">
        <f t="shared" si="165"/>
        <v>5.8218212574006204E-3</v>
      </c>
      <c r="CB97" s="26">
        <f t="shared" si="166"/>
        <v>0.64168734491315138</v>
      </c>
      <c r="CC97" s="26">
        <f t="shared" si="167"/>
        <v>2.9243937232524962E-2</v>
      </c>
      <c r="CD97" s="26">
        <f t="shared" si="168"/>
        <v>2.000645369474024E-3</v>
      </c>
      <c r="CE97" s="26">
        <f t="shared" si="169"/>
        <v>4.2462845010615713E-4</v>
      </c>
      <c r="CF97" s="26">
        <f t="shared" si="170"/>
        <v>0</v>
      </c>
      <c r="CG97" s="26">
        <f t="shared" si="171"/>
        <v>0</v>
      </c>
      <c r="CH97" s="26">
        <f t="shared" si="172"/>
        <v>0</v>
      </c>
      <c r="CI97" s="26">
        <f t="shared" si="173"/>
        <v>1.8311415011579772</v>
      </c>
      <c r="CJ97" s="26">
        <f t="shared" si="174"/>
        <v>2.7473732276981342</v>
      </c>
      <c r="CK97" s="26">
        <f t="shared" si="175"/>
        <v>2.1844297655153793</v>
      </c>
      <c r="CL97" s="26">
        <f t="shared" si="176"/>
        <v>6.0014438555638661</v>
      </c>
      <c r="CM97" s="1"/>
      <c r="CN97" s="22"/>
      <c r="CO97" s="96"/>
      <c r="CP97" s="14"/>
      <c r="CQ97" s="14"/>
      <c r="CR97" s="14"/>
      <c r="CS97" s="14"/>
      <c r="CT97" s="22"/>
      <c r="CU97" s="14"/>
      <c r="CV97" s="22"/>
      <c r="CW97" s="22"/>
      <c r="CX97" s="14"/>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46"/>
      <c r="FF97" s="46"/>
      <c r="FG97" s="46"/>
      <c r="FH97" s="46"/>
      <c r="FI97" s="46"/>
      <c r="FJ97" s="46"/>
      <c r="FK97" s="46"/>
      <c r="FL97" s="46"/>
      <c r="FM97" s="46"/>
      <c r="FN97" s="46"/>
      <c r="FO97" s="46"/>
    </row>
    <row r="98" spans="1:171" x14ac:dyDescent="0.25">
      <c r="A98" s="5" t="s">
        <v>89</v>
      </c>
      <c r="B98" s="1">
        <v>611</v>
      </c>
      <c r="C98" s="98" t="s">
        <v>97</v>
      </c>
      <c r="D98" s="98" t="s">
        <v>106</v>
      </c>
      <c r="E98" s="1">
        <v>122</v>
      </c>
      <c r="F98" s="22">
        <v>52.37</v>
      </c>
      <c r="G98" s="22">
        <v>0.14799999999999999</v>
      </c>
      <c r="H98" s="22">
        <v>0.39300000000000002</v>
      </c>
      <c r="I98" s="22">
        <v>0</v>
      </c>
      <c r="J98" s="22">
        <v>24.46</v>
      </c>
      <c r="K98" s="22">
        <v>1.079</v>
      </c>
      <c r="L98" s="22">
        <v>18.95</v>
      </c>
      <c r="M98" s="22">
        <v>1.2529999999999999</v>
      </c>
      <c r="N98" s="22">
        <v>0</v>
      </c>
      <c r="O98" s="22">
        <v>0</v>
      </c>
      <c r="P98" s="22">
        <v>0</v>
      </c>
      <c r="Q98" s="22"/>
      <c r="R98" s="22"/>
      <c r="S98" s="22">
        <f t="shared" ref="S98:S129" si="177">SUM(F98:R98)</f>
        <v>98.653000000000006</v>
      </c>
      <c r="T98" s="3"/>
      <c r="U98" s="22">
        <f t="shared" ref="U98:U110" si="178">J98*BA98/(BA98+BB98)</f>
        <v>24.46</v>
      </c>
      <c r="V98" s="22">
        <f t="shared" ref="V98:V110" si="179">1.1113*J98*BB98/(BA98+BB98)</f>
        <v>0</v>
      </c>
      <c r="W98" s="22">
        <f t="shared" ref="W98:W129" si="180">SUM(F98:I98)+SUM(K98:R98)+SUM(U98:V98)</f>
        <v>98.652999999999992</v>
      </c>
      <c r="X98" s="1">
        <v>1</v>
      </c>
      <c r="Y98" s="1"/>
      <c r="Z98" s="1"/>
      <c r="AA98" s="1" t="s">
        <v>186</v>
      </c>
      <c r="AC98" s="1">
        <v>6</v>
      </c>
      <c r="AD98" s="1">
        <v>4</v>
      </c>
      <c r="AE98" s="1"/>
      <c r="AF98" s="26">
        <f t="shared" ref="AF98:AF110" si="181">BV98*($AC98/$CJ98)</f>
        <v>2.0062868125138666</v>
      </c>
      <c r="AG98" s="26">
        <f t="shared" ref="AG98:AG110" si="182">BW98*($AC98/$CJ98)</f>
        <v>4.264459829658394E-3</v>
      </c>
      <c r="AH98" s="26">
        <f t="shared" ref="AH98:AH110" si="183">BX98*($AC98/$CJ98)</f>
        <v>1.7743246572436092E-2</v>
      </c>
      <c r="AI98" s="26">
        <f t="shared" ref="AI98:AI110" si="184">BY98*($AC98/$CJ98)</f>
        <v>0</v>
      </c>
      <c r="AJ98" s="26">
        <f t="shared" ref="AJ98:AJ110" si="185">BZ98*($AC98/$CJ98)</f>
        <v>0.78355601498838912</v>
      </c>
      <c r="AK98" s="26">
        <f t="shared" ref="AK98:AK110" si="186">CA98*($AC98/$CJ98)</f>
        <v>3.500826833461932E-2</v>
      </c>
      <c r="AL98" s="26">
        <f t="shared" ref="AL98:AL110" si="187">CB98*($AC98/$CJ98)</f>
        <v>1.0822922205267054</v>
      </c>
      <c r="AM98" s="26">
        <f t="shared" ref="AM98:AM110" si="188">CC98*($AC98/$CJ98)</f>
        <v>5.1426081604581529E-2</v>
      </c>
      <c r="AN98" s="26">
        <f t="shared" ref="AN98:AN110" si="189">CD98*($AC98/$CJ98)</f>
        <v>0</v>
      </c>
      <c r="AO98" s="26">
        <f t="shared" ref="AO98:AO110" si="190">CE98*($AC98/$CJ98)</f>
        <v>0</v>
      </c>
      <c r="AP98" s="26">
        <f t="shared" ref="AP98:AP110" si="191">CF98*($AC98/$CJ98)</f>
        <v>0</v>
      </c>
      <c r="AQ98" s="26">
        <f t="shared" ref="AQ98:AQ110" si="192">CG98*($AC98/$CJ98)</f>
        <v>0</v>
      </c>
      <c r="AR98" s="26">
        <f t="shared" ref="AR98:AR110" si="193">CH98*($AC98/$CJ98)</f>
        <v>0</v>
      </c>
      <c r="AS98" s="26">
        <f t="shared" ref="AS98:AS110" si="194">SUM(AF98:AQ98)</f>
        <v>3.9805771043702562</v>
      </c>
      <c r="AT98" s="26">
        <f t="shared" ref="AT98:AT110" si="195">AF98+AH98</f>
        <v>2.0240300590863027</v>
      </c>
      <c r="AU98" s="26">
        <f t="shared" ref="AU98:AU110" si="196">SUM(AM98:AO98)</f>
        <v>5.1426081604581529E-2</v>
      </c>
      <c r="AV98" s="47"/>
      <c r="AW98" s="26">
        <f t="shared" ref="AW98:AW110" si="197">IF($AD98&gt;0,BV98*$CK98,"")</f>
        <v>2.0160763225123053</v>
      </c>
      <c r="AX98" s="26">
        <f t="shared" ref="AX98:AX110" si="198">IF($AD98&gt;0,BW98*$CK98,"")</f>
        <v>4.285267907486544E-3</v>
      </c>
      <c r="AY98" s="26">
        <f t="shared" ref="AY98:AY110" si="199">IF($AD98&gt;0,BX98*$CK98,"")</f>
        <v>1.7829823271561171E-2</v>
      </c>
      <c r="AZ98" s="26">
        <f t="shared" ref="AZ98:AZ110" si="200">IF($AD98&gt;0,BY98*$CK98,"")</f>
        <v>0</v>
      </c>
      <c r="BA98" s="26">
        <f t="shared" ref="BA98:BA129" si="201">IF($AD98&gt;0 +N("so a blank cell if no ideal cations set"),                         BZ98*CK98-BB98,"")</f>
        <v>0.78737931153563312</v>
      </c>
      <c r="BB98" s="26">
        <f t="shared" ref="BB98:BB110" si="202">IF($AD98&gt;0 +N("so a blank cell if no ideal cations set"),                                                                     IF(AS98&gt;AD98,                          IF(  2*AC98*(1-(AD98/AS98))   &lt;   BZ98*CK98,    2*AC98*(1-(AD98/AS98)),    BZ98*CK98),0),"")</f>
        <v>0</v>
      </c>
      <c r="BC98" s="26">
        <f t="shared" ref="BC98:BC110" si="203">IF($AD98&gt;0,CA98*$CK98,"")</f>
        <v>3.5179088274596072E-2</v>
      </c>
      <c r="BD98" s="26">
        <f t="shared" ref="BD98:BD110" si="204">IF($AD98&gt;0,CB98*$CK98,"")</f>
        <v>1.0875731755965354</v>
      </c>
      <c r="BE98" s="26">
        <f t="shared" ref="BE98:BE110" si="205">IF($AD98&gt;0,CC98*$CK98,"")</f>
        <v>5.167701090188262E-2</v>
      </c>
      <c r="BF98" s="26">
        <f t="shared" ref="BF98:BF110" si="206">IF($AD98&gt;0,CD98*$CK98,"")</f>
        <v>0</v>
      </c>
      <c r="BG98" s="26">
        <f t="shared" ref="BG98:BG110" si="207">IF($AD98&gt;0,CE98*$CK98,"")</f>
        <v>0</v>
      </c>
      <c r="BH98" s="26">
        <f t="shared" ref="BH98:BH110" si="208">IF($AD98&gt;0,CF98*$CK98,"")</f>
        <v>0</v>
      </c>
      <c r="BI98" s="26">
        <f t="shared" ref="BI98:BI110" si="209">IF($AD98&gt;0,CG98*$CK98,"")</f>
        <v>0</v>
      </c>
      <c r="BJ98" s="26">
        <f t="shared" ref="BJ98:BJ110" si="210">IF($AD98&gt;0,CH98*$CK98,"")</f>
        <v>0</v>
      </c>
      <c r="BK98" s="25">
        <f t="shared" ref="BK98:BK110" si="211">IF(AD98&gt;0,SUM(AW98:BI98),"")</f>
        <v>4</v>
      </c>
      <c r="BL98" s="24">
        <f t="shared" ref="BL98:BL110" si="212">(AW98+AX98)*2+(AY98+AZ98+BB98)*1.5+BA98+BC98+BD98+BE98+(BF98+BG98)*0.5+BH98*2.5+BI98*3  -(0.5*(BJ98))</f>
        <v>6.0292765020555734</v>
      </c>
      <c r="BM98" s="26">
        <f t="shared" ref="BM98:BM110" si="213">IF(AD98&gt;0,AW98+AY98,"")</f>
        <v>2.0339061457838663</v>
      </c>
      <c r="BN98" s="26">
        <f t="shared" ref="BN98:BN110" si="214">IF(AD98&gt;0,SUM(BE98:BG98),"")</f>
        <v>5.167701090188262E-2</v>
      </c>
      <c r="BO98" s="22"/>
      <c r="BP98" s="26">
        <f t="shared" ref="BP98:BP110" si="215">AL98/(AL98+AJ98)</f>
        <v>0.58005372566002023</v>
      </c>
      <c r="BQ98" s="22"/>
      <c r="BR98" s="22">
        <f t="shared" ref="BR98:BR110" si="216">BE98/(BE98+BD98+BA98+BB98+BC98)</f>
        <v>2.6341515305077973E-2</v>
      </c>
      <c r="BS98" s="22">
        <f t="shared" ref="BS98:BS110" si="217">BD98/(BE98+BD98+BA98+BB98+BC98)</f>
        <v>0.55437272687388972</v>
      </c>
      <c r="BT98" s="22">
        <f t="shared" ref="BT98:BT110" si="218">(BA98+BB98+BC98)/(BE98+BD98+BA98+BB98+BC98)</f>
        <v>0.41928575782103222</v>
      </c>
      <c r="BU98" s="1"/>
      <c r="BV98" s="26">
        <f t="shared" ref="BV98:BV110" si="219">F98/60.08</f>
        <v>0.87167110519307589</v>
      </c>
      <c r="BW98" s="26">
        <f t="shared" ref="BW98:BW110" si="220">G98/79.88</f>
        <v>1.8527791687531297E-3</v>
      </c>
      <c r="BX98" s="26">
        <f t="shared" ref="BX98:BX110" si="221">H98/101.96*2</f>
        <v>7.7089054531188708E-3</v>
      </c>
      <c r="BY98" s="26">
        <f t="shared" ref="BY98:BY110" si="222">I98/151.99*2</f>
        <v>0</v>
      </c>
      <c r="BZ98" s="26">
        <f t="shared" ref="BZ98:BZ110" si="223">J98/71.85</f>
        <v>0.34043145441892836</v>
      </c>
      <c r="CA98" s="26">
        <f t="shared" ref="CA98:CA110" si="224">K98/70.94</f>
        <v>1.5210036650690725E-2</v>
      </c>
      <c r="CB98" s="26">
        <f t="shared" ref="CB98:CB110" si="225">L98/40.3</f>
        <v>0.47022332506203474</v>
      </c>
      <c r="CC98" s="26">
        <f t="shared" ref="CC98:CC110" si="226">M98/56.08</f>
        <v>2.2343081312410841E-2</v>
      </c>
      <c r="CD98" s="26">
        <f t="shared" ref="CD98:CD110" si="227">N98/61.98*2</f>
        <v>0</v>
      </c>
      <c r="CE98" s="26">
        <f t="shared" ref="CE98:CE110" si="228">O98/94.2*2</f>
        <v>0</v>
      </c>
      <c r="CF98" s="26">
        <f t="shared" ref="CF98:CF110" si="229">P98/141.94*2</f>
        <v>0</v>
      </c>
      <c r="CG98" s="26">
        <f t="shared" ref="CG98:CG110" si="230">Q98/80.06</f>
        <v>0</v>
      </c>
      <c r="CH98" s="26">
        <f t="shared" ref="CH98:CH110" si="231">R98/35.45</f>
        <v>0</v>
      </c>
      <c r="CI98" s="26">
        <f t="shared" ref="CI98:CI110" si="232">SUM(BV98:CG98)</f>
        <v>1.7294406872590125</v>
      </c>
      <c r="CJ98" s="26">
        <f t="shared" ref="CJ98:CJ110" si="233">(BV98+BW98)*2+(BX98+BY98)*1.5+BZ98+CA98+CB98+CC98+(CD98+CE98)*0.5+CF98*2.5+CG98*3+     -(0.5*(CH98))</f>
        <v>2.6068190243474012</v>
      </c>
      <c r="CK98" s="26">
        <f t="shared" ref="CK98:CK110" si="234">AD98/CI98</f>
        <v>2.3128864895271968</v>
      </c>
      <c r="CL98" s="26">
        <f t="shared" ref="CL98:CL129" si="235">CJ98*CK98</f>
        <v>6.0292765020555725</v>
      </c>
      <c r="CM98" s="1"/>
      <c r="CN98" s="22"/>
      <c r="CO98" s="96"/>
      <c r="CP98" s="14"/>
      <c r="CQ98" s="14"/>
      <c r="CR98" s="14"/>
      <c r="CS98" s="14"/>
      <c r="CT98" s="22"/>
      <c r="CU98" s="14"/>
      <c r="CV98" s="22"/>
      <c r="CW98" s="22"/>
      <c r="CX98" s="14"/>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46"/>
      <c r="FF98" s="46"/>
      <c r="FG98" s="46"/>
      <c r="FH98" s="46"/>
      <c r="FI98" s="46"/>
      <c r="FJ98" s="46"/>
      <c r="FK98" s="46"/>
      <c r="FL98" s="46"/>
      <c r="FM98" s="46"/>
      <c r="FN98" s="46"/>
      <c r="FO98" s="46"/>
    </row>
    <row r="99" spans="1:171" x14ac:dyDescent="0.25">
      <c r="A99" s="5" t="s">
        <v>89</v>
      </c>
      <c r="B99" s="1">
        <v>612</v>
      </c>
      <c r="C99" s="98" t="s">
        <v>97</v>
      </c>
      <c r="D99" s="98" t="s">
        <v>106</v>
      </c>
      <c r="E99" s="1">
        <v>123</v>
      </c>
      <c r="F99" s="22">
        <v>53.1</v>
      </c>
      <c r="G99" s="22">
        <v>0.24199999999999999</v>
      </c>
      <c r="H99" s="22">
        <v>1.607</v>
      </c>
      <c r="I99" s="22">
        <v>2.1000000000000001E-2</v>
      </c>
      <c r="J99" s="22">
        <v>19.190000000000001</v>
      </c>
      <c r="K99" s="22">
        <v>0.59499999999999997</v>
      </c>
      <c r="L99" s="22">
        <v>23.15</v>
      </c>
      <c r="M99" s="22">
        <v>1.61</v>
      </c>
      <c r="N99" s="22">
        <v>0.03</v>
      </c>
      <c r="O99" s="22">
        <v>1.2999999999999999E-2</v>
      </c>
      <c r="P99" s="22">
        <v>0</v>
      </c>
      <c r="Q99" s="22"/>
      <c r="R99" s="22"/>
      <c r="S99" s="22">
        <f t="shared" si="177"/>
        <v>99.558000000000007</v>
      </c>
      <c r="T99" s="3"/>
      <c r="U99" s="22">
        <f t="shared" si="178"/>
        <v>19.190000000000001</v>
      </c>
      <c r="V99" s="22">
        <f t="shared" si="179"/>
        <v>0</v>
      </c>
      <c r="W99" s="22">
        <f t="shared" si="180"/>
        <v>99.557999999999993</v>
      </c>
      <c r="X99" s="1">
        <v>2</v>
      </c>
      <c r="Y99" s="1"/>
      <c r="Z99" s="1"/>
      <c r="AA99" s="1" t="s">
        <v>185</v>
      </c>
      <c r="AC99" s="1">
        <v>6</v>
      </c>
      <c r="AD99" s="1">
        <v>4</v>
      </c>
      <c r="AE99" s="1"/>
      <c r="AF99" s="26">
        <f t="shared" si="181"/>
        <v>1.9635793976319627</v>
      </c>
      <c r="AG99" s="26">
        <f t="shared" si="182"/>
        <v>6.7307146573801976E-3</v>
      </c>
      <c r="AH99" s="26">
        <f t="shared" si="183"/>
        <v>7.0032546010448837E-2</v>
      </c>
      <c r="AI99" s="26">
        <f t="shared" si="184"/>
        <v>6.1392899508189332E-4</v>
      </c>
      <c r="AJ99" s="26">
        <f t="shared" si="185"/>
        <v>0.59337886277639162</v>
      </c>
      <c r="AK99" s="26">
        <f t="shared" si="186"/>
        <v>1.8634152750710089E-2</v>
      </c>
      <c r="AL99" s="26">
        <f t="shared" si="187"/>
        <v>1.2762325554364911</v>
      </c>
      <c r="AM99" s="26">
        <f t="shared" si="188"/>
        <v>6.3782529812691099E-2</v>
      </c>
      <c r="AN99" s="26">
        <f t="shared" si="189"/>
        <v>2.1507183875558236E-3</v>
      </c>
      <c r="AO99" s="26">
        <f t="shared" si="190"/>
        <v>6.1320588591267842E-4</v>
      </c>
      <c r="AP99" s="26">
        <f t="shared" si="191"/>
        <v>0</v>
      </c>
      <c r="AQ99" s="26">
        <f t="shared" si="192"/>
        <v>0</v>
      </c>
      <c r="AR99" s="26">
        <f t="shared" si="193"/>
        <v>0</v>
      </c>
      <c r="AS99" s="26">
        <f t="shared" si="194"/>
        <v>3.995748612344626</v>
      </c>
      <c r="AT99" s="26">
        <f t="shared" si="195"/>
        <v>2.0336119436424114</v>
      </c>
      <c r="AU99" s="26">
        <f t="shared" si="196"/>
        <v>6.6546454086159612E-2</v>
      </c>
      <c r="AV99" s="47"/>
      <c r="AW99" s="26">
        <f t="shared" si="197"/>
        <v>1.9656686024397045</v>
      </c>
      <c r="AX99" s="26">
        <f t="shared" si="198"/>
        <v>6.7378759880799876E-3</v>
      </c>
      <c r="AY99" s="26">
        <f t="shared" si="199"/>
        <v>7.0107059081832596E-2</v>
      </c>
      <c r="AZ99" s="26">
        <f t="shared" si="200"/>
        <v>6.1458220187846286E-4</v>
      </c>
      <c r="BA99" s="26">
        <f t="shared" si="201"/>
        <v>0.59401020468923704</v>
      </c>
      <c r="BB99" s="26">
        <f t="shared" si="202"/>
        <v>0</v>
      </c>
      <c r="BC99" s="26">
        <f t="shared" si="203"/>
        <v>1.8653979074800639E-2</v>
      </c>
      <c r="BD99" s="26">
        <f t="shared" si="204"/>
        <v>1.2775904384911974</v>
      </c>
      <c r="BE99" s="26">
        <f t="shared" si="205"/>
        <v>6.3850393005845052E-2</v>
      </c>
      <c r="BF99" s="26">
        <f t="shared" si="206"/>
        <v>2.1530067040867466E-3</v>
      </c>
      <c r="BG99" s="26">
        <f t="shared" si="207"/>
        <v>6.1385832333717442E-4</v>
      </c>
      <c r="BH99" s="26">
        <f t="shared" si="208"/>
        <v>0</v>
      </c>
      <c r="BI99" s="26">
        <f t="shared" si="209"/>
        <v>0</v>
      </c>
      <c r="BJ99" s="26">
        <f t="shared" si="210"/>
        <v>0</v>
      </c>
      <c r="BK99" s="25">
        <f t="shared" si="211"/>
        <v>4</v>
      </c>
      <c r="BL99" s="24">
        <f t="shared" si="212"/>
        <v>6.006383866555927</v>
      </c>
      <c r="BM99" s="26">
        <f t="shared" si="213"/>
        <v>2.0357756615215372</v>
      </c>
      <c r="BN99" s="26">
        <f t="shared" si="214"/>
        <v>6.661725803326897E-2</v>
      </c>
      <c r="BO99" s="22"/>
      <c r="BP99" s="26">
        <f t="shared" si="215"/>
        <v>0.68261914909377885</v>
      </c>
      <c r="BQ99" s="22"/>
      <c r="BR99" s="22">
        <f t="shared" si="216"/>
        <v>3.2675005952694035E-2</v>
      </c>
      <c r="BS99" s="22">
        <f t="shared" si="217"/>
        <v>0.65379824958921351</v>
      </c>
      <c r="BT99" s="22">
        <f t="shared" si="218"/>
        <v>0.31352674445809253</v>
      </c>
      <c r="BU99" s="1"/>
      <c r="BV99" s="26">
        <f t="shared" si="219"/>
        <v>0.88382157123834892</v>
      </c>
      <c r="BW99" s="26">
        <f t="shared" si="220"/>
        <v>3.0295443164747122E-3</v>
      </c>
      <c r="BX99" s="26">
        <f t="shared" si="221"/>
        <v>3.1522165555119656E-2</v>
      </c>
      <c r="BY99" s="26">
        <f t="shared" si="222"/>
        <v>2.7633396934008815E-4</v>
      </c>
      <c r="BZ99" s="26">
        <f t="shared" si="223"/>
        <v>0.26708420320111348</v>
      </c>
      <c r="CA99" s="26">
        <f t="shared" si="224"/>
        <v>8.3873696081195378E-3</v>
      </c>
      <c r="CB99" s="26">
        <f t="shared" si="225"/>
        <v>0.57444168734491319</v>
      </c>
      <c r="CC99" s="26">
        <f t="shared" si="226"/>
        <v>2.8708987161198289E-2</v>
      </c>
      <c r="CD99" s="26">
        <f t="shared" si="227"/>
        <v>9.6805421103581804E-4</v>
      </c>
      <c r="CE99" s="26">
        <f t="shared" si="228"/>
        <v>2.7600849256900208E-4</v>
      </c>
      <c r="CF99" s="26">
        <f t="shared" si="229"/>
        <v>0</v>
      </c>
      <c r="CG99" s="26">
        <f t="shared" si="230"/>
        <v>0</v>
      </c>
      <c r="CH99" s="26">
        <f t="shared" si="231"/>
        <v>0</v>
      </c>
      <c r="CI99" s="26">
        <f t="shared" si="232"/>
        <v>1.7985159250982328</v>
      </c>
      <c r="CJ99" s="26">
        <f t="shared" si="233"/>
        <v>2.7006442590634836</v>
      </c>
      <c r="CK99" s="26">
        <f t="shared" si="234"/>
        <v>2.224055925321609</v>
      </c>
      <c r="CL99" s="26">
        <f t="shared" si="235"/>
        <v>6.006383866555927</v>
      </c>
      <c r="CM99" s="1"/>
      <c r="CN99" s="22">
        <v>21.261455335731021</v>
      </c>
      <c r="CO99" s="96">
        <v>154.58449730882094</v>
      </c>
      <c r="CP99" s="14">
        <v>141462.37149035782</v>
      </c>
      <c r="CQ99" s="14">
        <v>7613.6307296127834</v>
      </c>
      <c r="CR99" s="14">
        <v>248436.86823232556</v>
      </c>
      <c r="CS99" s="14">
        <v>11180.568523019614</v>
      </c>
      <c r="CT99" s="22">
        <v>56.941503525286343</v>
      </c>
      <c r="CU99" s="14">
        <v>1334.6041330274138</v>
      </c>
      <c r="CV99" s="22">
        <v>129.60851311993815</v>
      </c>
      <c r="CW99" s="22">
        <v>0.51204670791438645</v>
      </c>
      <c r="CX99" s="14">
        <v>4721.7564580091885</v>
      </c>
      <c r="CY99" s="22">
        <v>85.678776846661805</v>
      </c>
      <c r="CZ99" s="22">
        <v>0</v>
      </c>
      <c r="DA99" s="22">
        <v>2.7524090753753816</v>
      </c>
      <c r="DB99" s="22">
        <v>212.73612315851358</v>
      </c>
      <c r="DC99" s="22">
        <v>0.29874248330199488</v>
      </c>
      <c r="DD99" s="22">
        <v>0</v>
      </c>
      <c r="DE99" s="22">
        <v>8.9233658387218751E-2</v>
      </c>
      <c r="DF99" s="22">
        <v>7.0743143034913682</v>
      </c>
      <c r="DG99" s="22">
        <v>4.6105707209420626</v>
      </c>
      <c r="DH99" s="22">
        <v>0</v>
      </c>
      <c r="DI99" s="22">
        <v>3.6932019173157707E-2</v>
      </c>
      <c r="DJ99" s="22">
        <v>0.38084189628403553</v>
      </c>
      <c r="DK99" s="22">
        <v>0.16648659362477633</v>
      </c>
      <c r="DL99" s="22">
        <v>0.41100453692505634</v>
      </c>
      <c r="DM99" s="22">
        <v>5.6791090378571919E-2</v>
      </c>
      <c r="DN99" s="22">
        <v>0.4918720376697312</v>
      </c>
      <c r="DO99" s="22">
        <v>0.31982478385615026</v>
      </c>
      <c r="DP99" s="22">
        <v>3.8086502080723894E-2</v>
      </c>
      <c r="DQ99" s="22">
        <v>0.39122102640664563</v>
      </c>
      <c r="DR99" s="22">
        <v>0.10358000172149939</v>
      </c>
      <c r="DS99" s="22">
        <v>1.025462953728556</v>
      </c>
      <c r="DT99" s="22">
        <v>0.23685535505754776</v>
      </c>
      <c r="DU99" s="22">
        <v>1.0204710426929429</v>
      </c>
      <c r="DV99" s="22">
        <v>0.19023793533874056</v>
      </c>
      <c r="DW99" s="22">
        <v>1.7923588869059599</v>
      </c>
      <c r="DX99" s="22">
        <v>0.28942908826898595</v>
      </c>
      <c r="DY99" s="22">
        <v>9.3479002170630807E-2</v>
      </c>
      <c r="DZ99" s="22">
        <v>0</v>
      </c>
      <c r="EA99" s="22">
        <v>0.29939421819496392</v>
      </c>
      <c r="EB99" s="22">
        <v>0.26153833288735634</v>
      </c>
      <c r="EC99" s="22">
        <v>5.1341446233401165E-2</v>
      </c>
      <c r="ED99" s="22">
        <f>(DP99/0.05883)/SQRT((DO99/0.1536)*(DQ99/0.2069))</f>
        <v>0.32627285369136383</v>
      </c>
      <c r="EE99" s="22"/>
      <c r="EF99" s="22"/>
      <c r="EG99" s="22"/>
      <c r="EH99" s="22"/>
      <c r="EI99" s="22"/>
      <c r="EJ99" s="22"/>
      <c r="EK99" s="22"/>
      <c r="EL99" s="22"/>
      <c r="EM99" s="22"/>
      <c r="EN99" s="22"/>
      <c r="EO99" s="22"/>
      <c r="EP99" s="22"/>
      <c r="EQ99" s="22"/>
      <c r="ER99" s="22">
        <f>3.073297 -6.710523 * BP99 +N("opx mg#")</f>
        <v>-1.5074345002342318</v>
      </c>
      <c r="ES99" s="22" t="e">
        <f>-3.726231 -0.216482*LN(#REF!) + N("31 liquid mgo, liq MgO calculated from equilibrium Fe/Mg of liquid from opx composition, then regression of literature MgO vs Fe/Mg")</f>
        <v>#REF!</v>
      </c>
      <c r="ET99" s="22"/>
      <c r="EU99" s="22"/>
      <c r="EV99" s="22">
        <f>10.033975 - 17.897808 * BP99 + N("66 mg#   R2 0.46")</f>
        <v>-2.183411467603829</v>
      </c>
      <c r="EW99" s="22">
        <f>7.162348 - 16.15931 * BP99 + N("38d mg# r2 0.38")</f>
        <v>-3.8683064421425932</v>
      </c>
      <c r="EX99" s="22">
        <f>4.451575 - 11.66175 * BP99 + N("mg#")</f>
        <v>-3.5089588619443752</v>
      </c>
      <c r="EY99" s="22"/>
      <c r="EZ99" s="22">
        <f>5.675764 - 12.3354 * BP99 + N("mg#")</f>
        <v>-2.7446162517313999</v>
      </c>
      <c r="FA99" s="22">
        <f>5.273598 - 11.10504 * BP99 + N("mg#")</f>
        <v>-2.3069149554523785</v>
      </c>
      <c r="FB99" s="22">
        <f>6.313568 - 12.50612 * BP99 + N("mg#")</f>
        <v>-2.2233489928646897</v>
      </c>
      <c r="FC99" s="22">
        <f>6.81086 - 13.3177 * BP99 + N("mg#")</f>
        <v>-2.2800570418862183</v>
      </c>
      <c r="FD99" s="22">
        <f>8.616762 - 14.50395 * BP99 + N("mg#")</f>
        <v>-1.2839120074987136</v>
      </c>
      <c r="FE99" s="46"/>
      <c r="FF99" s="46"/>
      <c r="FG99" s="46"/>
      <c r="FH99" s="46"/>
      <c r="FI99" s="46"/>
      <c r="FJ99" s="46"/>
      <c r="FK99" s="46"/>
      <c r="FL99" s="46"/>
      <c r="FM99" s="46"/>
      <c r="FN99" s="46"/>
      <c r="FO99" s="46"/>
    </row>
    <row r="100" spans="1:171" x14ac:dyDescent="0.25">
      <c r="A100" s="5" t="s">
        <v>89</v>
      </c>
      <c r="B100" s="1">
        <v>613</v>
      </c>
      <c r="C100" s="98" t="s">
        <v>97</v>
      </c>
      <c r="D100" s="98" t="s">
        <v>106</v>
      </c>
      <c r="E100" s="1">
        <v>124</v>
      </c>
      <c r="F100" s="22">
        <v>52.4</v>
      </c>
      <c r="G100" s="22">
        <v>8.4000000000000005E-2</v>
      </c>
      <c r="H100" s="22">
        <v>0.19400000000000001</v>
      </c>
      <c r="I100" s="22">
        <v>0</v>
      </c>
      <c r="J100" s="22">
        <v>26.88</v>
      </c>
      <c r="K100" s="22">
        <v>1.1419999999999999</v>
      </c>
      <c r="L100" s="22">
        <v>17.89</v>
      </c>
      <c r="M100" s="22">
        <v>0.94</v>
      </c>
      <c r="N100" s="22">
        <v>0</v>
      </c>
      <c r="O100" s="22">
        <v>0</v>
      </c>
      <c r="P100" s="22">
        <v>0</v>
      </c>
      <c r="Q100" s="22"/>
      <c r="R100" s="22"/>
      <c r="S100" s="22">
        <f t="shared" si="177"/>
        <v>99.53</v>
      </c>
      <c r="T100" s="3"/>
      <c r="U100" s="22">
        <f t="shared" si="178"/>
        <v>26.88</v>
      </c>
      <c r="V100" s="22">
        <f t="shared" si="179"/>
        <v>0</v>
      </c>
      <c r="W100" s="22">
        <f t="shared" si="180"/>
        <v>99.53</v>
      </c>
      <c r="X100" s="1">
        <v>2</v>
      </c>
      <c r="Y100" s="1"/>
      <c r="Z100" s="1"/>
      <c r="AA100" s="1" t="s">
        <v>186</v>
      </c>
      <c r="AC100" s="1">
        <v>6</v>
      </c>
      <c r="AD100" s="1">
        <v>4</v>
      </c>
      <c r="AE100" s="1"/>
      <c r="AF100" s="26">
        <f t="shared" si="181"/>
        <v>2.0103463071780516</v>
      </c>
      <c r="AG100" s="26">
        <f t="shared" si="182"/>
        <v>2.4238779245589802E-3</v>
      </c>
      <c r="AH100" s="26">
        <f t="shared" si="183"/>
        <v>8.7714504079731623E-3</v>
      </c>
      <c r="AI100" s="26">
        <f t="shared" si="184"/>
        <v>0</v>
      </c>
      <c r="AJ100" s="26">
        <f t="shared" si="185"/>
        <v>0.86232704184282272</v>
      </c>
      <c r="AK100" s="26">
        <f t="shared" si="186"/>
        <v>3.7106025037410346E-2</v>
      </c>
      <c r="AL100" s="26">
        <f t="shared" si="187"/>
        <v>1.0232336359743497</v>
      </c>
      <c r="AM100" s="26">
        <f t="shared" si="188"/>
        <v>3.8635751328235393E-2</v>
      </c>
      <c r="AN100" s="26">
        <f t="shared" si="189"/>
        <v>0</v>
      </c>
      <c r="AO100" s="26">
        <f t="shared" si="190"/>
        <v>0</v>
      </c>
      <c r="AP100" s="26">
        <f t="shared" si="191"/>
        <v>0</v>
      </c>
      <c r="AQ100" s="26">
        <f t="shared" si="192"/>
        <v>0</v>
      </c>
      <c r="AR100" s="26">
        <f t="shared" si="193"/>
        <v>0</v>
      </c>
      <c r="AS100" s="26">
        <f t="shared" si="194"/>
        <v>3.9828440896934021</v>
      </c>
      <c r="AT100" s="26">
        <f t="shared" si="195"/>
        <v>2.0191177575860246</v>
      </c>
      <c r="AU100" s="26">
        <f t="shared" si="196"/>
        <v>3.8635751328235393E-2</v>
      </c>
      <c r="AV100" s="47"/>
      <c r="AW100" s="26">
        <f t="shared" si="197"/>
        <v>2.0190057776856714</v>
      </c>
      <c r="AX100" s="26">
        <f t="shared" si="198"/>
        <v>2.4343186627177964E-3</v>
      </c>
      <c r="AY100" s="26">
        <f t="shared" si="199"/>
        <v>8.8092330108240687E-3</v>
      </c>
      <c r="AZ100" s="26">
        <f t="shared" si="200"/>
        <v>0</v>
      </c>
      <c r="BA100" s="26">
        <f t="shared" si="201"/>
        <v>0.86604147430657219</v>
      </c>
      <c r="BB100" s="26">
        <f t="shared" si="202"/>
        <v>0</v>
      </c>
      <c r="BC100" s="26">
        <f t="shared" si="203"/>
        <v>3.7265857464449999E-2</v>
      </c>
      <c r="BD100" s="26">
        <f t="shared" si="204"/>
        <v>1.0276411658917013</v>
      </c>
      <c r="BE100" s="26">
        <f t="shared" si="205"/>
        <v>3.8802172978063584E-2</v>
      </c>
      <c r="BF100" s="26">
        <f t="shared" si="206"/>
        <v>0</v>
      </c>
      <c r="BG100" s="26">
        <f t="shared" si="207"/>
        <v>0</v>
      </c>
      <c r="BH100" s="26">
        <f t="shared" si="208"/>
        <v>0</v>
      </c>
      <c r="BI100" s="26">
        <f t="shared" si="209"/>
        <v>0</v>
      </c>
      <c r="BJ100" s="26">
        <f t="shared" si="210"/>
        <v>0</v>
      </c>
      <c r="BK100" s="25">
        <f t="shared" si="211"/>
        <v>4.0000000000000009</v>
      </c>
      <c r="BL100" s="24">
        <f t="shared" si="212"/>
        <v>6.0258447128538011</v>
      </c>
      <c r="BM100" s="26">
        <f t="shared" si="213"/>
        <v>2.0278150106964956</v>
      </c>
      <c r="BN100" s="26">
        <f t="shared" si="214"/>
        <v>3.8802172978063584E-2</v>
      </c>
      <c r="BO100" s="22"/>
      <c r="BP100" s="26">
        <f t="shared" si="215"/>
        <v>0.54266810292146128</v>
      </c>
      <c r="BQ100" s="22"/>
      <c r="BR100" s="22">
        <f t="shared" si="216"/>
        <v>1.9699027677163174E-2</v>
      </c>
      <c r="BS100" s="22">
        <f t="shared" si="217"/>
        <v>0.52171129128611771</v>
      </c>
      <c r="BT100" s="22">
        <f t="shared" si="218"/>
        <v>0.45858968103671915</v>
      </c>
      <c r="BU100" s="1"/>
      <c r="BV100" s="26">
        <f t="shared" si="219"/>
        <v>0.87217043941411454</v>
      </c>
      <c r="BW100" s="26">
        <f t="shared" si="220"/>
        <v>1.0515773660490738E-3</v>
      </c>
      <c r="BX100" s="26">
        <f t="shared" si="221"/>
        <v>3.8054138877991373E-3</v>
      </c>
      <c r="BY100" s="26">
        <f t="shared" si="222"/>
        <v>0</v>
      </c>
      <c r="BZ100" s="26">
        <f t="shared" si="223"/>
        <v>0.37411273486430063</v>
      </c>
      <c r="CA100" s="26">
        <f t="shared" si="224"/>
        <v>1.6098111079785732E-2</v>
      </c>
      <c r="CB100" s="26">
        <f t="shared" si="225"/>
        <v>0.44392059553349883</v>
      </c>
      <c r="CC100" s="26">
        <f t="shared" si="226"/>
        <v>1.6761768901569187E-2</v>
      </c>
      <c r="CD100" s="26">
        <f t="shared" si="227"/>
        <v>0</v>
      </c>
      <c r="CE100" s="26">
        <f t="shared" si="228"/>
        <v>0</v>
      </c>
      <c r="CF100" s="26">
        <f t="shared" si="229"/>
        <v>0</v>
      </c>
      <c r="CG100" s="26">
        <f t="shared" si="230"/>
        <v>0</v>
      </c>
      <c r="CH100" s="26">
        <f t="shared" si="231"/>
        <v>0</v>
      </c>
      <c r="CI100" s="26">
        <f t="shared" si="232"/>
        <v>1.7279206410471171</v>
      </c>
      <c r="CJ100" s="26">
        <f t="shared" si="233"/>
        <v>2.6030453647711806</v>
      </c>
      <c r="CK100" s="26">
        <f t="shared" si="234"/>
        <v>2.314921128308304</v>
      </c>
      <c r="CL100" s="26">
        <f t="shared" si="235"/>
        <v>6.025844712853802</v>
      </c>
      <c r="CM100" s="1"/>
      <c r="CN100" s="22"/>
      <c r="CO100" s="96"/>
      <c r="CP100" s="14"/>
      <c r="CQ100" s="14"/>
      <c r="CR100" s="14"/>
      <c r="CS100" s="14"/>
      <c r="CT100" s="22"/>
      <c r="CU100" s="14"/>
      <c r="CV100" s="22"/>
      <c r="CW100" s="22"/>
      <c r="CX100" s="14"/>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46">
        <f>7.601647 - 13.20417 * BP100 + N("45d Mg#    r2 0.76")</f>
        <v>0.43616511544752878</v>
      </c>
      <c r="FF100" s="46">
        <f>6.542808 - 11.82852 * BP100 + N("mg#")</f>
        <v>0.12384749123143735</v>
      </c>
      <c r="FG100" s="46">
        <f>3.803999 - 7.570213 * BP100 + N("mg#")</f>
        <v>-0.30411412742138388</v>
      </c>
      <c r="FH100" s="46">
        <f>4.421323 - 8.556768 * BP100 + N("mg#")</f>
        <v>-0.22216205769906594</v>
      </c>
      <c r="FI100" s="46">
        <f>4.645469 - 8.242464 * BP100 + N("50d mg# r2 0.67")</f>
        <v>0.17254669772156106</v>
      </c>
      <c r="FJ100" s="46">
        <f>5.169659 - 8.510973 * BP100 + N("mg#")</f>
        <v>0.55102542807422239</v>
      </c>
      <c r="FK100" s="46"/>
      <c r="FL100" s="46"/>
      <c r="FM100" s="46"/>
      <c r="FN100" s="46"/>
      <c r="FO100" s="46"/>
    </row>
    <row r="101" spans="1:171" x14ac:dyDescent="0.25">
      <c r="A101" s="5" t="s">
        <v>89</v>
      </c>
      <c r="B101" s="1">
        <v>615</v>
      </c>
      <c r="C101" s="98" t="s">
        <v>97</v>
      </c>
      <c r="D101" s="98" t="s">
        <v>106</v>
      </c>
      <c r="E101" s="1">
        <v>126</v>
      </c>
      <c r="F101" s="22">
        <v>53.5</v>
      </c>
      <c r="G101" s="22">
        <v>0.128</v>
      </c>
      <c r="H101" s="22">
        <v>0.97</v>
      </c>
      <c r="I101" s="22">
        <v>1.4E-2</v>
      </c>
      <c r="J101" s="22">
        <v>19</v>
      </c>
      <c r="K101" s="22">
        <v>0.78400000000000003</v>
      </c>
      <c r="L101" s="22">
        <v>22.83</v>
      </c>
      <c r="M101" s="22">
        <v>1.385</v>
      </c>
      <c r="N101" s="22">
        <v>5.6000000000000001E-2</v>
      </c>
      <c r="O101" s="22">
        <v>1.0999999999999999E-2</v>
      </c>
      <c r="P101" s="22">
        <v>0</v>
      </c>
      <c r="Q101" s="22"/>
      <c r="R101" s="22"/>
      <c r="S101" s="22">
        <f t="shared" si="177"/>
        <v>98.677999999999997</v>
      </c>
      <c r="T101" s="3"/>
      <c r="U101" s="22">
        <f t="shared" si="178"/>
        <v>19</v>
      </c>
      <c r="V101" s="22">
        <f t="shared" si="179"/>
        <v>0</v>
      </c>
      <c r="W101" s="22">
        <f t="shared" si="180"/>
        <v>98.677999999999997</v>
      </c>
      <c r="X101" s="1"/>
      <c r="Y101" s="1"/>
      <c r="Z101" s="1"/>
      <c r="AA101" s="1" t="s">
        <v>185</v>
      </c>
      <c r="AC101" s="1">
        <v>6</v>
      </c>
      <c r="AD101" s="1">
        <v>4</v>
      </c>
      <c r="AE101" s="1"/>
      <c r="AF101" s="26">
        <f t="shared" si="181"/>
        <v>1.9930971697203355</v>
      </c>
      <c r="AG101" s="26">
        <f t="shared" si="182"/>
        <v>3.5865470117489584E-3</v>
      </c>
      <c r="AH101" s="26">
        <f t="shared" si="183"/>
        <v>4.2586948012632332E-2</v>
      </c>
      <c r="AI101" s="26">
        <f t="shared" si="184"/>
        <v>4.1233256034310379E-4</v>
      </c>
      <c r="AJ101" s="26">
        <f t="shared" si="185"/>
        <v>0.59187697141088513</v>
      </c>
      <c r="AK101" s="26">
        <f t="shared" si="186"/>
        <v>2.4736001179917588E-2</v>
      </c>
      <c r="AL101" s="26">
        <f t="shared" si="187"/>
        <v>1.2679597856050151</v>
      </c>
      <c r="AM101" s="26">
        <f t="shared" si="188"/>
        <v>5.5277244113937654E-2</v>
      </c>
      <c r="AN101" s="26">
        <f t="shared" si="189"/>
        <v>4.0445579765439402E-3</v>
      </c>
      <c r="AO101" s="26">
        <f t="shared" si="190"/>
        <v>5.2272875668185614E-4</v>
      </c>
      <c r="AP101" s="26">
        <f t="shared" si="191"/>
        <v>0</v>
      </c>
      <c r="AQ101" s="26">
        <f t="shared" si="192"/>
        <v>0</v>
      </c>
      <c r="AR101" s="26">
        <f t="shared" si="193"/>
        <v>0</v>
      </c>
      <c r="AS101" s="26">
        <f t="shared" si="194"/>
        <v>3.984100286348041</v>
      </c>
      <c r="AT101" s="26">
        <f t="shared" si="195"/>
        <v>2.0356841177329676</v>
      </c>
      <c r="AU101" s="26">
        <f t="shared" si="196"/>
        <v>5.984453084716345E-2</v>
      </c>
      <c r="AV101" s="47"/>
      <c r="AW101" s="26">
        <f t="shared" si="197"/>
        <v>2.001051205010981</v>
      </c>
      <c r="AX101" s="26">
        <f t="shared" si="198"/>
        <v>3.6008601731624653E-3</v>
      </c>
      <c r="AY101" s="26">
        <f t="shared" si="199"/>
        <v>4.2756903643777454E-2</v>
      </c>
      <c r="AZ101" s="26">
        <f t="shared" si="200"/>
        <v>4.1397809362982835E-4</v>
      </c>
      <c r="BA101" s="26">
        <f t="shared" si="201"/>
        <v>0.59423902901141012</v>
      </c>
      <c r="BB101" s="26">
        <f t="shared" si="202"/>
        <v>0</v>
      </c>
      <c r="BC101" s="26">
        <f t="shared" si="203"/>
        <v>2.4834717403754345E-2</v>
      </c>
      <c r="BD101" s="26">
        <f t="shared" si="204"/>
        <v>1.2730199487696825</v>
      </c>
      <c r="BE101" s="26">
        <f t="shared" si="205"/>
        <v>5.5497844071195929E-2</v>
      </c>
      <c r="BF101" s="26">
        <f t="shared" si="206"/>
        <v>4.0606989642334706E-3</v>
      </c>
      <c r="BG101" s="26">
        <f t="shared" si="207"/>
        <v>5.248148581731678E-4</v>
      </c>
      <c r="BH101" s="26">
        <f t="shared" si="208"/>
        <v>0</v>
      </c>
      <c r="BI101" s="26">
        <f t="shared" si="209"/>
        <v>0</v>
      </c>
      <c r="BJ101" s="26">
        <f t="shared" si="210"/>
        <v>0</v>
      </c>
      <c r="BK101" s="25">
        <f t="shared" si="211"/>
        <v>4</v>
      </c>
      <c r="BL101" s="24">
        <f t="shared" si="212"/>
        <v>6.023944749141644</v>
      </c>
      <c r="BM101" s="26">
        <f t="shared" si="213"/>
        <v>2.0438081086547584</v>
      </c>
      <c r="BN101" s="26">
        <f t="shared" si="214"/>
        <v>6.0083357893602571E-2</v>
      </c>
      <c r="BO101" s="22"/>
      <c r="BP101" s="26">
        <f t="shared" si="215"/>
        <v>0.68175864404328201</v>
      </c>
      <c r="BQ101" s="22"/>
      <c r="BR101" s="22">
        <f t="shared" si="216"/>
        <v>2.8495628037281086E-2</v>
      </c>
      <c r="BS101" s="22">
        <f t="shared" si="217"/>
        <v>0.65363805659987673</v>
      </c>
      <c r="BT101" s="22">
        <f t="shared" si="218"/>
        <v>0.3178663153628421</v>
      </c>
      <c r="BU101" s="1"/>
      <c r="BV101" s="26">
        <f t="shared" si="219"/>
        <v>0.89047936085219714</v>
      </c>
      <c r="BW101" s="26">
        <f t="shared" si="220"/>
        <v>1.6024036054081124E-3</v>
      </c>
      <c r="BX101" s="26">
        <f t="shared" si="221"/>
        <v>1.9027069438995684E-2</v>
      </c>
      <c r="BY101" s="26">
        <f t="shared" si="222"/>
        <v>1.8422264622672542E-4</v>
      </c>
      <c r="BZ101" s="26">
        <f t="shared" si="223"/>
        <v>0.26443980514961729</v>
      </c>
      <c r="CA101" s="26">
        <f t="shared" si="224"/>
        <v>1.1051592895404567E-2</v>
      </c>
      <c r="CB101" s="26">
        <f t="shared" si="225"/>
        <v>0.56650124069478913</v>
      </c>
      <c r="CC101" s="26">
        <f t="shared" si="226"/>
        <v>2.4696861626248217E-2</v>
      </c>
      <c r="CD101" s="26">
        <f t="shared" si="227"/>
        <v>1.8070345272668605E-3</v>
      </c>
      <c r="CE101" s="26">
        <f t="shared" si="228"/>
        <v>2.335456475583864E-4</v>
      </c>
      <c r="CF101" s="26">
        <f t="shared" si="229"/>
        <v>0</v>
      </c>
      <c r="CG101" s="26">
        <f t="shared" si="230"/>
        <v>0</v>
      </c>
      <c r="CH101" s="26">
        <f t="shared" si="231"/>
        <v>0</v>
      </c>
      <c r="CI101" s="26">
        <f t="shared" si="232"/>
        <v>1.7800231370837121</v>
      </c>
      <c r="CJ101" s="26">
        <f t="shared" si="233"/>
        <v>2.6806902574965159</v>
      </c>
      <c r="CK101" s="26">
        <f t="shared" si="234"/>
        <v>2.2471618018142006</v>
      </c>
      <c r="CL101" s="26">
        <f t="shared" si="235"/>
        <v>6.023944749141644</v>
      </c>
      <c r="CM101" s="1"/>
      <c r="CN101" s="22"/>
      <c r="CO101" s="96"/>
      <c r="CP101" s="14"/>
      <c r="CQ101" s="14"/>
      <c r="CR101" s="14"/>
      <c r="CS101" s="14"/>
      <c r="CT101" s="22"/>
      <c r="CU101" s="14"/>
      <c r="CV101" s="22"/>
      <c r="CW101" s="22"/>
      <c r="CX101" s="14"/>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46"/>
      <c r="FF101" s="46"/>
      <c r="FG101" s="46"/>
      <c r="FH101" s="46"/>
      <c r="FI101" s="46"/>
      <c r="FJ101" s="46"/>
      <c r="FK101" s="46"/>
      <c r="FL101" s="46"/>
      <c r="FM101" s="46"/>
      <c r="FN101" s="46"/>
      <c r="FO101" s="46"/>
    </row>
    <row r="102" spans="1:171" x14ac:dyDescent="0.25">
      <c r="A102" s="5" t="s">
        <v>89</v>
      </c>
      <c r="B102" s="1">
        <v>616</v>
      </c>
      <c r="C102" s="98" t="s">
        <v>97</v>
      </c>
      <c r="D102" s="98" t="s">
        <v>106</v>
      </c>
      <c r="E102" s="1">
        <v>127</v>
      </c>
      <c r="F102" s="22">
        <v>52.5</v>
      </c>
      <c r="G102" s="22">
        <v>6.9000000000000006E-2</v>
      </c>
      <c r="H102" s="22">
        <v>0.45400000000000001</v>
      </c>
      <c r="I102" s="22">
        <v>1.2E-2</v>
      </c>
      <c r="J102" s="22">
        <v>24.1</v>
      </c>
      <c r="K102" s="22">
        <v>1.099</v>
      </c>
      <c r="L102" s="22">
        <v>19.649999999999999</v>
      </c>
      <c r="M102" s="22">
        <v>1.296</v>
      </c>
      <c r="N102" s="22">
        <v>0</v>
      </c>
      <c r="O102" s="22">
        <v>7.0000000000000001E-3</v>
      </c>
      <c r="P102" s="22">
        <v>0</v>
      </c>
      <c r="Q102" s="22"/>
      <c r="R102" s="22"/>
      <c r="S102" s="22">
        <f t="shared" si="177"/>
        <v>99.187000000000026</v>
      </c>
      <c r="T102" s="3"/>
      <c r="U102" s="22">
        <f t="shared" si="178"/>
        <v>24.1</v>
      </c>
      <c r="V102" s="22">
        <f t="shared" si="179"/>
        <v>0</v>
      </c>
      <c r="W102" s="22">
        <f t="shared" si="180"/>
        <v>99.187000000000012</v>
      </c>
      <c r="X102" s="1"/>
      <c r="Y102" s="1"/>
      <c r="Z102" s="1"/>
      <c r="AA102" s="1" t="s">
        <v>186</v>
      </c>
      <c r="AC102" s="1">
        <v>6</v>
      </c>
      <c r="AD102" s="1">
        <v>4</v>
      </c>
      <c r="AE102" s="1"/>
      <c r="AF102" s="26">
        <f t="shared" si="181"/>
        <v>1.9975784285952733</v>
      </c>
      <c r="AG102" s="26">
        <f t="shared" si="182"/>
        <v>1.9746289260820465E-3</v>
      </c>
      <c r="AH102" s="26">
        <f t="shared" si="183"/>
        <v>2.0357783049734471E-2</v>
      </c>
      <c r="AI102" s="26">
        <f t="shared" si="184"/>
        <v>3.6096964872502215E-4</v>
      </c>
      <c r="AJ102" s="26">
        <f t="shared" si="185"/>
        <v>0.7667693247066566</v>
      </c>
      <c r="AK102" s="26">
        <f t="shared" si="186"/>
        <v>3.5414488078997525E-2</v>
      </c>
      <c r="AL102" s="26">
        <f t="shared" si="187"/>
        <v>1.1146331847352375</v>
      </c>
      <c r="AM102" s="26">
        <f t="shared" si="188"/>
        <v>5.2828886467986287E-2</v>
      </c>
      <c r="AN102" s="26">
        <f t="shared" si="189"/>
        <v>0</v>
      </c>
      <c r="AO102" s="26">
        <f t="shared" si="190"/>
        <v>3.3974384144374811E-4</v>
      </c>
      <c r="AP102" s="26">
        <f t="shared" si="191"/>
        <v>0</v>
      </c>
      <c r="AQ102" s="26">
        <f t="shared" si="192"/>
        <v>0</v>
      </c>
      <c r="AR102" s="26">
        <f t="shared" si="193"/>
        <v>0</v>
      </c>
      <c r="AS102" s="26">
        <f t="shared" si="194"/>
        <v>3.9902574380501368</v>
      </c>
      <c r="AT102" s="26">
        <f t="shared" si="195"/>
        <v>2.0179362116450079</v>
      </c>
      <c r="AU102" s="26">
        <f t="shared" si="196"/>
        <v>5.3168630309430039E-2</v>
      </c>
      <c r="AV102" s="47"/>
      <c r="AW102" s="26">
        <f t="shared" si="197"/>
        <v>2.0024556907500206</v>
      </c>
      <c r="AX102" s="26">
        <f t="shared" si="198"/>
        <v>1.9794501550225397E-3</v>
      </c>
      <c r="AY102" s="26">
        <f t="shared" si="199"/>
        <v>2.0407488354618468E-2</v>
      </c>
      <c r="AZ102" s="26">
        <f t="shared" si="200"/>
        <v>3.6185098764094997E-4</v>
      </c>
      <c r="BA102" s="26">
        <f t="shared" si="201"/>
        <v>0.76864145896445524</v>
      </c>
      <c r="BB102" s="26">
        <f t="shared" si="202"/>
        <v>0</v>
      </c>
      <c r="BC102" s="26">
        <f t="shared" si="203"/>
        <v>3.5500955643907553E-2</v>
      </c>
      <c r="BD102" s="26">
        <f t="shared" si="204"/>
        <v>1.1173546589815115</v>
      </c>
      <c r="BE102" s="26">
        <f t="shared" si="205"/>
        <v>5.2957872807125383E-2</v>
      </c>
      <c r="BF102" s="26">
        <f t="shared" si="206"/>
        <v>0</v>
      </c>
      <c r="BG102" s="26">
        <f t="shared" si="207"/>
        <v>3.4057335569783788E-4</v>
      </c>
      <c r="BH102" s="26">
        <f t="shared" si="208"/>
        <v>0</v>
      </c>
      <c r="BI102" s="26">
        <f t="shared" si="209"/>
        <v>0</v>
      </c>
      <c r="BJ102" s="26">
        <f t="shared" si="210"/>
        <v>0</v>
      </c>
      <c r="BK102" s="25">
        <f t="shared" si="211"/>
        <v>4</v>
      </c>
      <c r="BL102" s="24">
        <f t="shared" si="212"/>
        <v>6.0146495238983251</v>
      </c>
      <c r="BM102" s="26">
        <f t="shared" si="213"/>
        <v>2.0228631791046392</v>
      </c>
      <c r="BN102" s="26">
        <f t="shared" si="214"/>
        <v>5.329844616282322E-2</v>
      </c>
      <c r="BO102" s="22"/>
      <c r="BP102" s="26">
        <f t="shared" si="215"/>
        <v>0.59244801638214373</v>
      </c>
      <c r="BQ102" s="22"/>
      <c r="BR102" s="22">
        <f t="shared" si="216"/>
        <v>2.6821514921757675E-2</v>
      </c>
      <c r="BS102" s="22">
        <f t="shared" si="217"/>
        <v>0.56590537100908211</v>
      </c>
      <c r="BT102" s="22">
        <f t="shared" si="218"/>
        <v>0.40727311406916017</v>
      </c>
      <c r="BU102" s="1"/>
      <c r="BV102" s="26">
        <f t="shared" si="219"/>
        <v>0.87383488681757659</v>
      </c>
      <c r="BW102" s="26">
        <f t="shared" si="220"/>
        <v>8.6379569354031057E-4</v>
      </c>
      <c r="BX102" s="26">
        <f t="shared" si="221"/>
        <v>8.9054531188701453E-3</v>
      </c>
      <c r="BY102" s="26">
        <f t="shared" si="222"/>
        <v>1.5790512533719322E-4</v>
      </c>
      <c r="BZ102" s="26">
        <f t="shared" si="223"/>
        <v>0.33542101600556717</v>
      </c>
      <c r="CA102" s="26">
        <f t="shared" si="224"/>
        <v>1.5491965040879617E-2</v>
      </c>
      <c r="CB102" s="26">
        <f t="shared" si="225"/>
        <v>0.48759305210918114</v>
      </c>
      <c r="CC102" s="26">
        <f t="shared" si="226"/>
        <v>2.3109843081312413E-2</v>
      </c>
      <c r="CD102" s="26">
        <f t="shared" si="227"/>
        <v>0</v>
      </c>
      <c r="CE102" s="26">
        <f t="shared" si="228"/>
        <v>1.4861995753715499E-4</v>
      </c>
      <c r="CF102" s="26">
        <f t="shared" si="229"/>
        <v>0</v>
      </c>
      <c r="CG102" s="26">
        <f t="shared" si="230"/>
        <v>0</v>
      </c>
      <c r="CH102" s="26">
        <f t="shared" si="231"/>
        <v>0</v>
      </c>
      <c r="CI102" s="26">
        <f t="shared" si="232"/>
        <v>1.7455265369498016</v>
      </c>
      <c r="CJ102" s="26">
        <f t="shared" si="233"/>
        <v>2.6246825886042537</v>
      </c>
      <c r="CK102" s="26">
        <f t="shared" si="234"/>
        <v>2.2915721504811661</v>
      </c>
      <c r="CL102" s="26">
        <f t="shared" si="235"/>
        <v>6.0146495238983233</v>
      </c>
      <c r="CM102" s="1"/>
      <c r="CN102" s="22"/>
      <c r="CO102" s="96"/>
      <c r="CP102" s="14"/>
      <c r="CQ102" s="14"/>
      <c r="CR102" s="14"/>
      <c r="CS102" s="14"/>
      <c r="CT102" s="22"/>
      <c r="CU102" s="14"/>
      <c r="CV102" s="22"/>
      <c r="CW102" s="22"/>
      <c r="CX102" s="14"/>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46">
        <f>7.601647 - 13.20417 * BP102 + N("45d Mg#    r2 0.76")</f>
        <v>-0.22113732447261025</v>
      </c>
      <c r="FF102" s="46">
        <f>6.542808 - 11.82852 * BP102 + N("mg#")</f>
        <v>-0.46497521073651438</v>
      </c>
      <c r="FG102" s="46">
        <f>3.803999 - 7.570213 * BP102 + N("mg#")</f>
        <v>-0.68095867544031741</v>
      </c>
      <c r="FH102" s="46">
        <f>4.421323 - 8.556768 * BP102 + N("mg#")</f>
        <v>-0.64811722824220297</v>
      </c>
      <c r="FI102" s="46">
        <f>4.645469 - 8.242464 * BP102 + N("50d mg# r2 0.67")</f>
        <v>-0.23776244690122983</v>
      </c>
      <c r="FJ102" s="46">
        <f>5.169659 - 8.510973 * BP102 + N("mg#")</f>
        <v>0.12734992866801775</v>
      </c>
      <c r="FK102" s="46"/>
      <c r="FL102" s="46"/>
      <c r="FM102" s="46"/>
      <c r="FN102" s="46"/>
      <c r="FO102" s="46"/>
    </row>
    <row r="103" spans="1:171" x14ac:dyDescent="0.25">
      <c r="A103" s="5" t="s">
        <v>89</v>
      </c>
      <c r="B103" s="1">
        <v>617</v>
      </c>
      <c r="C103" s="98" t="s">
        <v>97</v>
      </c>
      <c r="D103" s="98" t="s">
        <v>106</v>
      </c>
      <c r="E103" s="1">
        <v>128</v>
      </c>
      <c r="F103" s="22">
        <v>52.13</v>
      </c>
      <c r="G103" s="22">
        <v>0.46200000000000002</v>
      </c>
      <c r="H103" s="22">
        <v>1.5569999999999999</v>
      </c>
      <c r="I103" s="22">
        <v>3.5999999999999997E-2</v>
      </c>
      <c r="J103" s="22">
        <v>21.9</v>
      </c>
      <c r="K103" s="22">
        <v>0.83899999999999997</v>
      </c>
      <c r="L103" s="22">
        <v>20.399999999999999</v>
      </c>
      <c r="M103" s="22">
        <v>1.46</v>
      </c>
      <c r="N103" s="22">
        <v>0</v>
      </c>
      <c r="O103" s="22">
        <v>0</v>
      </c>
      <c r="P103" s="22">
        <v>0</v>
      </c>
      <c r="Q103" s="22"/>
      <c r="R103" s="22"/>
      <c r="S103" s="22">
        <f t="shared" si="177"/>
        <v>98.784000000000006</v>
      </c>
      <c r="T103" s="3"/>
      <c r="U103" s="22">
        <f t="shared" si="178"/>
        <v>21.9</v>
      </c>
      <c r="V103" s="22">
        <f t="shared" si="179"/>
        <v>0</v>
      </c>
      <c r="W103" s="22">
        <f t="shared" si="180"/>
        <v>98.78400000000002</v>
      </c>
      <c r="X103" s="1"/>
      <c r="Y103" s="1"/>
      <c r="Z103" s="1"/>
      <c r="AA103" s="1" t="s">
        <v>185</v>
      </c>
      <c r="AC103" s="1">
        <v>6</v>
      </c>
      <c r="AD103" s="1">
        <v>4</v>
      </c>
      <c r="AE103" s="1"/>
      <c r="AF103" s="26">
        <f t="shared" si="181"/>
        <v>1.9702685412528862</v>
      </c>
      <c r="AG103" s="26">
        <f t="shared" si="182"/>
        <v>1.3133229743141163E-2</v>
      </c>
      <c r="AH103" s="26">
        <f t="shared" si="183"/>
        <v>6.9351586997042164E-2</v>
      </c>
      <c r="AI103" s="26">
        <f t="shared" si="184"/>
        <v>1.0756849777869351E-3</v>
      </c>
      <c r="AJ103" s="26">
        <f t="shared" si="185"/>
        <v>0.6921256821787316</v>
      </c>
      <c r="AK103" s="26">
        <f t="shared" si="186"/>
        <v>2.6855818855184472E-2</v>
      </c>
      <c r="AL103" s="26">
        <f t="shared" si="187"/>
        <v>1.1494570372850359</v>
      </c>
      <c r="AM103" s="26">
        <f t="shared" si="188"/>
        <v>5.911701172674972E-2</v>
      </c>
      <c r="AN103" s="26">
        <f t="shared" si="189"/>
        <v>0</v>
      </c>
      <c r="AO103" s="26">
        <f t="shared" si="190"/>
        <v>0</v>
      </c>
      <c r="AP103" s="26">
        <f t="shared" si="191"/>
        <v>0</v>
      </c>
      <c r="AQ103" s="26">
        <f t="shared" si="192"/>
        <v>0</v>
      </c>
      <c r="AR103" s="26">
        <f t="shared" si="193"/>
        <v>0</v>
      </c>
      <c r="AS103" s="26">
        <f t="shared" si="194"/>
        <v>3.9813845930165583</v>
      </c>
      <c r="AT103" s="26">
        <f t="shared" si="195"/>
        <v>2.0396201282499282</v>
      </c>
      <c r="AU103" s="26">
        <f t="shared" si="196"/>
        <v>5.911701172674972E-2</v>
      </c>
      <c r="AV103" s="47"/>
      <c r="AW103" s="26">
        <f t="shared" si="197"/>
        <v>1.9794807512027686</v>
      </c>
      <c r="AX103" s="26">
        <f t="shared" si="198"/>
        <v>1.3194635621162704E-2</v>
      </c>
      <c r="AY103" s="26">
        <f t="shared" si="199"/>
        <v>6.9675848064200047E-2</v>
      </c>
      <c r="AZ103" s="26">
        <f t="shared" si="200"/>
        <v>1.0807144626758358E-3</v>
      </c>
      <c r="BA103" s="26">
        <f t="shared" si="201"/>
        <v>0.695361792872496</v>
      </c>
      <c r="BB103" s="26">
        <f t="shared" si="202"/>
        <v>0</v>
      </c>
      <c r="BC103" s="26">
        <f t="shared" si="203"/>
        <v>2.6981386226580785E-2</v>
      </c>
      <c r="BD103" s="26">
        <f t="shared" si="204"/>
        <v>1.1548314516524834</v>
      </c>
      <c r="BE103" s="26">
        <f t="shared" si="205"/>
        <v>5.9393419897632943E-2</v>
      </c>
      <c r="BF103" s="26">
        <f t="shared" si="206"/>
        <v>0</v>
      </c>
      <c r="BG103" s="26">
        <f t="shared" si="207"/>
        <v>0</v>
      </c>
      <c r="BH103" s="26">
        <f t="shared" si="208"/>
        <v>0</v>
      </c>
      <c r="BI103" s="26">
        <f t="shared" si="209"/>
        <v>0</v>
      </c>
      <c r="BJ103" s="26">
        <f t="shared" si="210"/>
        <v>0</v>
      </c>
      <c r="BK103" s="25">
        <f t="shared" si="211"/>
        <v>4</v>
      </c>
      <c r="BL103" s="24">
        <f t="shared" si="212"/>
        <v>6.0280536680873693</v>
      </c>
      <c r="BM103" s="26">
        <f t="shared" si="213"/>
        <v>2.0491565992669685</v>
      </c>
      <c r="BN103" s="26">
        <f t="shared" si="214"/>
        <v>5.9393419897632943E-2</v>
      </c>
      <c r="BO103" s="22"/>
      <c r="BP103" s="26">
        <f t="shared" si="215"/>
        <v>0.6241680187028118</v>
      </c>
      <c r="BQ103" s="22"/>
      <c r="BR103" s="22">
        <f t="shared" si="216"/>
        <v>3.0669420513119879E-2</v>
      </c>
      <c r="BS103" s="22">
        <f t="shared" si="217"/>
        <v>0.59632887740007423</v>
      </c>
      <c r="BT103" s="22">
        <f t="shared" si="218"/>
        <v>0.37300170208680589</v>
      </c>
      <c r="BU103" s="1"/>
      <c r="BV103" s="26">
        <f t="shared" si="219"/>
        <v>0.86767643142476703</v>
      </c>
      <c r="BW103" s="26">
        <f t="shared" si="220"/>
        <v>5.7836755132699052E-3</v>
      </c>
      <c r="BX103" s="26">
        <f t="shared" si="221"/>
        <v>3.0541388779913692E-2</v>
      </c>
      <c r="BY103" s="26">
        <f t="shared" si="222"/>
        <v>4.7371537601157966E-4</v>
      </c>
      <c r="BZ103" s="26">
        <f t="shared" si="223"/>
        <v>0.30480167014613779</v>
      </c>
      <c r="CA103" s="26">
        <f t="shared" si="224"/>
        <v>1.182689596842402E-2</v>
      </c>
      <c r="CB103" s="26">
        <f t="shared" si="225"/>
        <v>0.50620347394540943</v>
      </c>
      <c r="CC103" s="26">
        <f t="shared" si="226"/>
        <v>2.6034236804564907E-2</v>
      </c>
      <c r="CD103" s="26">
        <f t="shared" si="227"/>
        <v>0</v>
      </c>
      <c r="CE103" s="26">
        <f t="shared" si="228"/>
        <v>0</v>
      </c>
      <c r="CF103" s="26">
        <f t="shared" si="229"/>
        <v>0</v>
      </c>
      <c r="CG103" s="26">
        <f t="shared" si="230"/>
        <v>0</v>
      </c>
      <c r="CH103" s="26">
        <f t="shared" si="231"/>
        <v>0</v>
      </c>
      <c r="CI103" s="26">
        <f t="shared" si="232"/>
        <v>1.7533414879584983</v>
      </c>
      <c r="CJ103" s="26">
        <f t="shared" si="233"/>
        <v>2.6423091469744979</v>
      </c>
      <c r="CK103" s="26">
        <f t="shared" si="234"/>
        <v>2.2813582108625039</v>
      </c>
      <c r="CL103" s="26">
        <f t="shared" si="235"/>
        <v>6.0280536680873693</v>
      </c>
      <c r="CM103" s="1"/>
      <c r="CN103" s="22"/>
      <c r="CO103" s="96"/>
      <c r="CP103" s="14"/>
      <c r="CQ103" s="14"/>
      <c r="CR103" s="14"/>
      <c r="CS103" s="14"/>
      <c r="CT103" s="22"/>
      <c r="CU103" s="14"/>
      <c r="CV103" s="22"/>
      <c r="CW103" s="22"/>
      <c r="CX103" s="14"/>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46">
        <f>7.601647 - 13.20417 * BP103 + N("45d Mg#    r2 0.76")</f>
        <v>-0.639973627515106</v>
      </c>
      <c r="FF103" s="46">
        <f>6.542808 - 11.82852 * BP103 + N("mg#")</f>
        <v>-0.84017589258658276</v>
      </c>
      <c r="FG103" s="46">
        <f>3.803999 - 7.570213 * BP103 + N("mg#")</f>
        <v>-0.92108584936826876</v>
      </c>
      <c r="FH103" s="46">
        <f>4.421323 - 8.556768 * BP103 + N("mg#")</f>
        <v>-0.91953792905962128</v>
      </c>
      <c r="FI103" s="46">
        <f>4.645469 - 8.242464 * BP103 + N("50d mg# r2 0.67")</f>
        <v>-0.49921342410925273</v>
      </c>
      <c r="FJ103" s="46">
        <f>5.169659 - 8.510973 * BP103 + N("mg#")</f>
        <v>-0.14261815464312555</v>
      </c>
      <c r="FK103" s="46"/>
      <c r="FL103" s="46"/>
      <c r="FM103" s="46"/>
      <c r="FN103" s="46"/>
      <c r="FO103" s="46"/>
    </row>
    <row r="104" spans="1:171" x14ac:dyDescent="0.25">
      <c r="A104" s="5" t="s">
        <v>89</v>
      </c>
      <c r="B104" s="1">
        <v>621</v>
      </c>
      <c r="C104" s="98" t="s">
        <v>97</v>
      </c>
      <c r="D104" s="98" t="s">
        <v>106</v>
      </c>
      <c r="E104" s="1">
        <v>132</v>
      </c>
      <c r="F104" s="22">
        <v>53.19</v>
      </c>
      <c r="G104" s="22">
        <v>0.18099999999999999</v>
      </c>
      <c r="H104" s="22">
        <v>1.8540000000000001</v>
      </c>
      <c r="I104" s="22">
        <v>0</v>
      </c>
      <c r="J104" s="22">
        <v>18.32</v>
      </c>
      <c r="K104" s="22">
        <v>0.60899999999999999</v>
      </c>
      <c r="L104" s="22">
        <v>23.33</v>
      </c>
      <c r="M104" s="22">
        <v>1.51</v>
      </c>
      <c r="N104" s="22">
        <v>3.5000000000000003E-2</v>
      </c>
      <c r="O104" s="22">
        <v>0</v>
      </c>
      <c r="P104" s="22">
        <v>0</v>
      </c>
      <c r="Q104" s="22"/>
      <c r="R104" s="22"/>
      <c r="S104" s="22">
        <f t="shared" si="177"/>
        <v>99.028999999999982</v>
      </c>
      <c r="T104" s="3"/>
      <c r="U104" s="22">
        <f t="shared" si="178"/>
        <v>18.32</v>
      </c>
      <c r="V104" s="22">
        <f t="shared" si="179"/>
        <v>0</v>
      </c>
      <c r="W104" s="22">
        <f t="shared" si="180"/>
        <v>99.028999999999996</v>
      </c>
      <c r="X104" s="1"/>
      <c r="Y104" s="1"/>
      <c r="Z104" s="1"/>
      <c r="AA104" s="1" t="s">
        <v>185</v>
      </c>
      <c r="AC104" s="1">
        <v>6</v>
      </c>
      <c r="AD104" s="1">
        <v>4</v>
      </c>
      <c r="AE104" s="1"/>
      <c r="AF104" s="26">
        <f t="shared" si="181"/>
        <v>1.9676094314388195</v>
      </c>
      <c r="AG104" s="26">
        <f t="shared" si="182"/>
        <v>5.0359260949124412E-3</v>
      </c>
      <c r="AH104" s="26">
        <f t="shared" si="183"/>
        <v>8.082556105414726E-2</v>
      </c>
      <c r="AI104" s="26">
        <f t="shared" si="184"/>
        <v>0</v>
      </c>
      <c r="AJ104" s="26">
        <f t="shared" si="185"/>
        <v>0.56667953146530869</v>
      </c>
      <c r="AK104" s="26">
        <f t="shared" si="186"/>
        <v>1.9079409871318998E-2</v>
      </c>
      <c r="AL104" s="26">
        <f t="shared" si="187"/>
        <v>1.2866147381995892</v>
      </c>
      <c r="AM104" s="26">
        <f t="shared" si="188"/>
        <v>5.9842230363197094E-2</v>
      </c>
      <c r="AN104" s="26">
        <f t="shared" si="189"/>
        <v>2.510066903805399E-3</v>
      </c>
      <c r="AO104" s="26">
        <f t="shared" si="190"/>
        <v>0</v>
      </c>
      <c r="AP104" s="26">
        <f t="shared" si="191"/>
        <v>0</v>
      </c>
      <c r="AQ104" s="26">
        <f t="shared" si="192"/>
        <v>0</v>
      </c>
      <c r="AR104" s="26">
        <f t="shared" si="193"/>
        <v>0</v>
      </c>
      <c r="AS104" s="26">
        <f t="shared" si="194"/>
        <v>3.9881968953910989</v>
      </c>
      <c r="AT104" s="26">
        <f t="shared" si="195"/>
        <v>2.0484349924929668</v>
      </c>
      <c r="AU104" s="26">
        <f t="shared" si="196"/>
        <v>6.2352297267002491E-2</v>
      </c>
      <c r="AV104" s="47"/>
      <c r="AW104" s="26">
        <f t="shared" si="197"/>
        <v>1.9734325892612359</v>
      </c>
      <c r="AX104" s="26">
        <f t="shared" si="198"/>
        <v>5.050829963517735E-3</v>
      </c>
      <c r="AY104" s="26">
        <f t="shared" si="199"/>
        <v>8.1064765029582306E-2</v>
      </c>
      <c r="AZ104" s="26">
        <f t="shared" si="200"/>
        <v>0</v>
      </c>
      <c r="BA104" s="26">
        <f t="shared" si="201"/>
        <v>0.56835662463925352</v>
      </c>
      <c r="BB104" s="26">
        <f t="shared" si="202"/>
        <v>0</v>
      </c>
      <c r="BC104" s="26">
        <f t="shared" si="203"/>
        <v>1.9135875556563261E-2</v>
      </c>
      <c r="BD104" s="26">
        <f t="shared" si="204"/>
        <v>1.2904224860978621</v>
      </c>
      <c r="BE104" s="26">
        <f t="shared" si="205"/>
        <v>6.0019333982585354E-2</v>
      </c>
      <c r="BF104" s="26">
        <f t="shared" si="206"/>
        <v>2.5174954693998395E-3</v>
      </c>
      <c r="BG104" s="26">
        <f t="shared" si="207"/>
        <v>0</v>
      </c>
      <c r="BH104" s="26">
        <f t="shared" si="208"/>
        <v>0</v>
      </c>
      <c r="BI104" s="26">
        <f t="shared" si="209"/>
        <v>0</v>
      </c>
      <c r="BJ104" s="26">
        <f t="shared" si="210"/>
        <v>0</v>
      </c>
      <c r="BK104" s="25">
        <f t="shared" si="211"/>
        <v>4</v>
      </c>
      <c r="BL104" s="24">
        <f t="shared" si="212"/>
        <v>6.0177570540048446</v>
      </c>
      <c r="BM104" s="26">
        <f t="shared" si="213"/>
        <v>2.054497354290818</v>
      </c>
      <c r="BN104" s="26">
        <f t="shared" si="214"/>
        <v>6.2536829451985188E-2</v>
      </c>
      <c r="BO104" s="22"/>
      <c r="BP104" s="26">
        <f t="shared" si="215"/>
        <v>0.6942312180311373</v>
      </c>
      <c r="BQ104" s="22"/>
      <c r="BR104" s="22">
        <f t="shared" si="216"/>
        <v>3.0970778191300743E-2</v>
      </c>
      <c r="BS104" s="22">
        <f t="shared" si="217"/>
        <v>0.66587524282758181</v>
      </c>
      <c r="BT104" s="22">
        <f t="shared" si="218"/>
        <v>0.30315397898111746</v>
      </c>
      <c r="BU104" s="1"/>
      <c r="BV104" s="26">
        <f t="shared" si="219"/>
        <v>0.88531957390146465</v>
      </c>
      <c r="BW104" s="26">
        <f t="shared" si="220"/>
        <v>2.2658988482724086E-3</v>
      </c>
      <c r="BX104" s="26">
        <f t="shared" si="221"/>
        <v>3.6367202824637117E-2</v>
      </c>
      <c r="BY104" s="26">
        <f t="shared" si="222"/>
        <v>0</v>
      </c>
      <c r="BZ104" s="26">
        <f t="shared" si="223"/>
        <v>0.25497564370215731</v>
      </c>
      <c r="CA104" s="26">
        <f t="shared" si="224"/>
        <v>8.5847194812517617E-3</v>
      </c>
      <c r="CB104" s="26">
        <f t="shared" si="225"/>
        <v>0.57890818858560789</v>
      </c>
      <c r="CC104" s="26">
        <f t="shared" si="226"/>
        <v>2.6925820256776034E-2</v>
      </c>
      <c r="CD104" s="26">
        <f t="shared" si="227"/>
        <v>1.1293965795417878E-3</v>
      </c>
      <c r="CE104" s="26">
        <f t="shared" si="228"/>
        <v>0</v>
      </c>
      <c r="CF104" s="26">
        <f t="shared" si="229"/>
        <v>0</v>
      </c>
      <c r="CG104" s="26">
        <f t="shared" si="230"/>
        <v>0</v>
      </c>
      <c r="CH104" s="26">
        <f t="shared" si="231"/>
        <v>0</v>
      </c>
      <c r="CI104" s="26">
        <f t="shared" si="232"/>
        <v>1.794476444179709</v>
      </c>
      <c r="CJ104" s="26">
        <f t="shared" si="233"/>
        <v>2.6996808200519933</v>
      </c>
      <c r="CK104" s="26">
        <f t="shared" si="234"/>
        <v>2.2290624170486004</v>
      </c>
      <c r="CL104" s="26">
        <f t="shared" si="235"/>
        <v>6.0177570540048437</v>
      </c>
      <c r="CM104" s="1"/>
      <c r="CN104" s="22"/>
      <c r="CO104" s="96"/>
      <c r="CP104" s="14"/>
      <c r="CQ104" s="14"/>
      <c r="CR104" s="14"/>
      <c r="CS104" s="14"/>
      <c r="CT104" s="22"/>
      <c r="CU104" s="14"/>
      <c r="CV104" s="22"/>
      <c r="CW104" s="22"/>
      <c r="CX104" s="14"/>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46">
        <f>7.601647 - 13.20417 * BP104 + N("45d Mg#    r2 0.76")</f>
        <v>-1.5651000221902027</v>
      </c>
      <c r="FF104" s="46">
        <f>6.542808 - 11.82852 * BP104 + N("mg#")</f>
        <v>-1.6689198471056672</v>
      </c>
      <c r="FG104" s="46">
        <f>3.803999 - 7.570213 * BP104 + N("mg#")</f>
        <v>-1.4514791917451495</v>
      </c>
      <c r="FH104" s="46">
        <f>4.421323 - 8.556768 * BP104 + N("mg#")</f>
        <v>-1.5190524710498581</v>
      </c>
      <c r="FI104" s="46">
        <f>4.645469 - 8.242464 * BP104 + N("50d mg# r2 0.67")</f>
        <v>-1.0767068222977993</v>
      </c>
      <c r="FJ104" s="46">
        <f>5.169659 - 8.510973 * BP104 + N("mg#")</f>
        <v>-0.73892415242012266</v>
      </c>
      <c r="FK104" s="46"/>
      <c r="FL104" s="46"/>
      <c r="FM104" s="46"/>
      <c r="FN104" s="46"/>
      <c r="FO104" s="46"/>
    </row>
    <row r="105" spans="1:171" x14ac:dyDescent="0.25">
      <c r="A105" s="5" t="s">
        <v>89</v>
      </c>
      <c r="B105" s="1">
        <v>632</v>
      </c>
      <c r="C105" s="98" t="s">
        <v>97</v>
      </c>
      <c r="D105" s="98" t="s">
        <v>106</v>
      </c>
      <c r="E105" s="1">
        <v>143</v>
      </c>
      <c r="F105" s="22">
        <v>51.96</v>
      </c>
      <c r="G105" s="22">
        <v>0.318</v>
      </c>
      <c r="H105" s="22">
        <v>2.63</v>
      </c>
      <c r="I105" s="22">
        <v>0</v>
      </c>
      <c r="J105" s="22">
        <v>18.739999999999998</v>
      </c>
      <c r="K105" s="22">
        <v>0.70199999999999996</v>
      </c>
      <c r="L105" s="22">
        <v>23.39</v>
      </c>
      <c r="M105" s="22">
        <v>1.5</v>
      </c>
      <c r="N105" s="22">
        <v>5.0999999999999997E-2</v>
      </c>
      <c r="O105" s="22">
        <v>0</v>
      </c>
      <c r="P105" s="22">
        <v>0</v>
      </c>
      <c r="Q105" s="22"/>
      <c r="R105" s="22"/>
      <c r="S105" s="22">
        <f t="shared" si="177"/>
        <v>99.290999999999997</v>
      </c>
      <c r="T105" s="3"/>
      <c r="U105" s="22">
        <f t="shared" si="178"/>
        <v>17.854455245215846</v>
      </c>
      <c r="V105" s="22">
        <f t="shared" si="179"/>
        <v>0.98410588599162785</v>
      </c>
      <c r="W105" s="22">
        <f t="shared" si="180"/>
        <v>99.389561131207472</v>
      </c>
      <c r="X105" s="1"/>
      <c r="Y105" s="1"/>
      <c r="Z105" s="1"/>
      <c r="AA105" s="1" t="s">
        <v>185</v>
      </c>
      <c r="AC105" s="1">
        <v>6</v>
      </c>
      <c r="AD105" s="1">
        <v>4</v>
      </c>
      <c r="AE105" s="1"/>
      <c r="AF105" s="26">
        <f t="shared" si="181"/>
        <v>1.9263602334346568</v>
      </c>
      <c r="AG105" s="26">
        <f t="shared" si="182"/>
        <v>8.8672172660144537E-3</v>
      </c>
      <c r="AH105" s="26">
        <f t="shared" si="183"/>
        <v>0.114909041836624</v>
      </c>
      <c r="AI105" s="26">
        <f t="shared" si="184"/>
        <v>0</v>
      </c>
      <c r="AJ105" s="26">
        <f t="shared" si="185"/>
        <v>0.58095313555148764</v>
      </c>
      <c r="AK105" s="26">
        <f t="shared" si="186"/>
        <v>2.2041655685506336E-2</v>
      </c>
      <c r="AL105" s="26">
        <f t="shared" si="187"/>
        <v>1.2927765378173133</v>
      </c>
      <c r="AM105" s="26">
        <f t="shared" si="188"/>
        <v>5.9577399134090325E-2</v>
      </c>
      <c r="AN105" s="26">
        <f t="shared" si="189"/>
        <v>3.6656153106470702E-3</v>
      </c>
      <c r="AO105" s="26">
        <f t="shared" si="190"/>
        <v>0</v>
      </c>
      <c r="AP105" s="26">
        <f t="shared" si="191"/>
        <v>0</v>
      </c>
      <c r="AQ105" s="26">
        <f t="shared" si="192"/>
        <v>0</v>
      </c>
      <c r="AR105" s="26">
        <f t="shared" si="193"/>
        <v>0</v>
      </c>
      <c r="AS105" s="26">
        <f t="shared" si="194"/>
        <v>4.0091508360363397</v>
      </c>
      <c r="AT105" s="26">
        <f t="shared" si="195"/>
        <v>2.0412692752712807</v>
      </c>
      <c r="AU105" s="26">
        <f t="shared" si="196"/>
        <v>6.32430144447374E-2</v>
      </c>
      <c r="AV105" s="47"/>
      <c r="AW105" s="26">
        <f t="shared" si="197"/>
        <v>1.921963340585269</v>
      </c>
      <c r="AX105" s="26">
        <f t="shared" si="198"/>
        <v>8.8469779548439823E-3</v>
      </c>
      <c r="AY105" s="26">
        <f t="shared" si="199"/>
        <v>0.11464676340312424</v>
      </c>
      <c r="AZ105" s="26">
        <f t="shared" si="200"/>
        <v>0</v>
      </c>
      <c r="BA105" s="26">
        <f t="shared" si="201"/>
        <v>0.55223726926641492</v>
      </c>
      <c r="BB105" s="26">
        <f t="shared" si="202"/>
        <v>2.7389848106748271E-2</v>
      </c>
      <c r="BC105" s="26">
        <f t="shared" si="203"/>
        <v>2.19913458854024E-2</v>
      </c>
      <c r="BD105" s="26">
        <f t="shared" si="204"/>
        <v>1.2898257917334148</v>
      </c>
      <c r="BE105" s="26">
        <f t="shared" si="205"/>
        <v>5.9441414474683846E-2</v>
      </c>
      <c r="BF105" s="26">
        <f t="shared" si="206"/>
        <v>3.6572485900990379E-3</v>
      </c>
      <c r="BG105" s="26">
        <f t="shared" si="207"/>
        <v>0</v>
      </c>
      <c r="BH105" s="26">
        <f t="shared" si="208"/>
        <v>0</v>
      </c>
      <c r="BI105" s="26">
        <f t="shared" si="209"/>
        <v>0</v>
      </c>
      <c r="BJ105" s="26">
        <f t="shared" si="210"/>
        <v>0</v>
      </c>
      <c r="BK105" s="25">
        <f t="shared" si="211"/>
        <v>4</v>
      </c>
      <c r="BL105" s="24">
        <f t="shared" si="212"/>
        <v>6</v>
      </c>
      <c r="BM105" s="26">
        <f t="shared" si="213"/>
        <v>2.036610103988393</v>
      </c>
      <c r="BN105" s="26">
        <f t="shared" si="214"/>
        <v>6.3098663064782887E-2</v>
      </c>
      <c r="BO105" s="22"/>
      <c r="BP105" s="26">
        <f t="shared" si="215"/>
        <v>0.68994826531887865</v>
      </c>
      <c r="BQ105" s="22"/>
      <c r="BR105" s="22">
        <f t="shared" si="216"/>
        <v>3.0468937982887547E-2</v>
      </c>
      <c r="BS105" s="22">
        <f t="shared" si="217"/>
        <v>0.66114883712587269</v>
      </c>
      <c r="BT105" s="22">
        <f t="shared" si="218"/>
        <v>0.30838222489123973</v>
      </c>
      <c r="BU105" s="1"/>
      <c r="BV105" s="26">
        <f t="shared" si="219"/>
        <v>0.86484687083888157</v>
      </c>
      <c r="BW105" s="26">
        <f t="shared" si="220"/>
        <v>3.9809714571857786E-3</v>
      </c>
      <c r="BX105" s="26">
        <f t="shared" si="221"/>
        <v>5.1588858375833664E-2</v>
      </c>
      <c r="BY105" s="26">
        <f t="shared" si="222"/>
        <v>0</v>
      </c>
      <c r="BZ105" s="26">
        <f t="shared" si="223"/>
        <v>0.26082115518441196</v>
      </c>
      <c r="CA105" s="26">
        <f t="shared" si="224"/>
        <v>9.8956864956301089E-3</v>
      </c>
      <c r="CB105" s="26">
        <f t="shared" si="225"/>
        <v>0.58039702233250623</v>
      </c>
      <c r="CC105" s="26">
        <f t="shared" si="226"/>
        <v>2.6747503566333809E-2</v>
      </c>
      <c r="CD105" s="26">
        <f t="shared" si="227"/>
        <v>1.6456921587608905E-3</v>
      </c>
      <c r="CE105" s="26">
        <f t="shared" si="228"/>
        <v>0</v>
      </c>
      <c r="CF105" s="26">
        <f t="shared" si="229"/>
        <v>0</v>
      </c>
      <c r="CG105" s="26">
        <f t="shared" si="230"/>
        <v>0</v>
      </c>
      <c r="CH105" s="26">
        <f t="shared" si="231"/>
        <v>0</v>
      </c>
      <c r="CI105" s="26">
        <f t="shared" si="232"/>
        <v>1.7999237604095439</v>
      </c>
      <c r="CJ105" s="26">
        <f t="shared" si="233"/>
        <v>2.6937231858141479</v>
      </c>
      <c r="CK105" s="26">
        <f t="shared" si="234"/>
        <v>2.2223163491601801</v>
      </c>
      <c r="CL105" s="26">
        <f t="shared" si="235"/>
        <v>5.9863050759466265</v>
      </c>
      <c r="CM105" s="1"/>
      <c r="CN105" s="22"/>
      <c r="CO105" s="96"/>
      <c r="CP105" s="14"/>
      <c r="CQ105" s="14"/>
      <c r="CR105" s="14"/>
      <c r="CS105" s="14"/>
      <c r="CT105" s="22"/>
      <c r="CU105" s="14"/>
      <c r="CV105" s="22"/>
      <c r="CW105" s="22"/>
      <c r="CX105" s="14"/>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46"/>
      <c r="FF105" s="46"/>
      <c r="FG105" s="46"/>
      <c r="FH105" s="46"/>
      <c r="FI105" s="46"/>
      <c r="FJ105" s="46"/>
      <c r="FK105" s="46"/>
      <c r="FL105" s="46"/>
      <c r="FM105" s="46"/>
      <c r="FN105" s="46"/>
      <c r="FO105" s="46"/>
    </row>
    <row r="106" spans="1:171" x14ac:dyDescent="0.25">
      <c r="A106" s="5" t="s">
        <v>89</v>
      </c>
      <c r="B106" s="1">
        <v>636</v>
      </c>
      <c r="C106" s="98" t="s">
        <v>97</v>
      </c>
      <c r="D106" s="98" t="s">
        <v>106</v>
      </c>
      <c r="E106" s="1">
        <v>147</v>
      </c>
      <c r="F106" s="22">
        <v>51.79</v>
      </c>
      <c r="G106" s="22">
        <v>1.2999999999999999E-2</v>
      </c>
      <c r="H106" s="22">
        <v>0.123</v>
      </c>
      <c r="I106" s="22">
        <v>0</v>
      </c>
      <c r="J106" s="22">
        <v>29.97</v>
      </c>
      <c r="K106" s="22">
        <v>1.91</v>
      </c>
      <c r="L106" s="22">
        <v>15.33</v>
      </c>
      <c r="M106" s="22">
        <v>1.52</v>
      </c>
      <c r="N106" s="22">
        <v>4.8000000000000001E-2</v>
      </c>
      <c r="O106" s="22">
        <v>2.1999999999999999E-2</v>
      </c>
      <c r="P106" s="22">
        <v>0</v>
      </c>
      <c r="Q106" s="22"/>
      <c r="R106" s="22"/>
      <c r="S106" s="22">
        <f t="shared" si="177"/>
        <v>100.72599999999998</v>
      </c>
      <c r="T106" s="3"/>
      <c r="U106" s="22">
        <f t="shared" si="178"/>
        <v>29.97</v>
      </c>
      <c r="V106" s="22">
        <f t="shared" si="179"/>
        <v>0</v>
      </c>
      <c r="W106" s="22">
        <f t="shared" si="180"/>
        <v>100.72599999999998</v>
      </c>
      <c r="X106" s="1">
        <v>3</v>
      </c>
      <c r="Y106" s="1"/>
      <c r="Z106" s="1"/>
      <c r="AA106" s="1" t="s">
        <v>186</v>
      </c>
      <c r="AC106" s="1">
        <v>6</v>
      </c>
      <c r="AD106" s="1">
        <v>4</v>
      </c>
      <c r="AE106" s="1"/>
      <c r="AF106" s="26">
        <f t="shared" si="181"/>
        <v>2.0042785358644792</v>
      </c>
      <c r="AG106" s="26">
        <f t="shared" si="182"/>
        <v>3.783967386810068E-4</v>
      </c>
      <c r="AH106" s="26">
        <f t="shared" si="183"/>
        <v>5.6097998804330142E-3</v>
      </c>
      <c r="AI106" s="26">
        <f t="shared" si="184"/>
        <v>0</v>
      </c>
      <c r="AJ106" s="26">
        <f t="shared" si="185"/>
        <v>0.96984439230297048</v>
      </c>
      <c r="AK106" s="26">
        <f t="shared" si="186"/>
        <v>6.2601432562677181E-2</v>
      </c>
      <c r="AL106" s="26">
        <f t="shared" si="187"/>
        <v>0.88446203794218214</v>
      </c>
      <c r="AM106" s="26">
        <f t="shared" si="188"/>
        <v>6.301989446186082E-2</v>
      </c>
      <c r="AN106" s="26">
        <f t="shared" si="189"/>
        <v>3.6013203051114846E-3</v>
      </c>
      <c r="AO106" s="26">
        <f t="shared" si="190"/>
        <v>1.0860351015653342E-3</v>
      </c>
      <c r="AP106" s="26">
        <f t="shared" si="191"/>
        <v>0</v>
      </c>
      <c r="AQ106" s="26">
        <f t="shared" si="192"/>
        <v>0</v>
      </c>
      <c r="AR106" s="26">
        <f t="shared" si="193"/>
        <v>0</v>
      </c>
      <c r="AS106" s="26">
        <f t="shared" si="194"/>
        <v>3.9948818451599606</v>
      </c>
      <c r="AT106" s="26">
        <f t="shared" si="195"/>
        <v>2.0098883357449124</v>
      </c>
      <c r="AU106" s="26">
        <f t="shared" si="196"/>
        <v>6.7707249868537642E-2</v>
      </c>
      <c r="AV106" s="47"/>
      <c r="AW106" s="26">
        <f t="shared" si="197"/>
        <v>2.0068463734843953</v>
      </c>
      <c r="AX106" s="26">
        <f t="shared" si="198"/>
        <v>3.7888153226805165E-4</v>
      </c>
      <c r="AY106" s="26">
        <f t="shared" si="199"/>
        <v>5.616987032775073E-3</v>
      </c>
      <c r="AZ106" s="26">
        <f t="shared" si="200"/>
        <v>0</v>
      </c>
      <c r="BA106" s="26">
        <f t="shared" si="201"/>
        <v>0.97108693562789117</v>
      </c>
      <c r="BB106" s="26">
        <f t="shared" si="202"/>
        <v>0</v>
      </c>
      <c r="BC106" s="26">
        <f t="shared" si="203"/>
        <v>6.2681636142528308E-2</v>
      </c>
      <c r="BD106" s="26">
        <f t="shared" si="204"/>
        <v>0.88559519127081165</v>
      </c>
      <c r="BE106" s="26">
        <f t="shared" si="205"/>
        <v>6.3100634165902267E-2</v>
      </c>
      <c r="BF106" s="26">
        <f t="shared" si="206"/>
        <v>3.605934237554185E-3</v>
      </c>
      <c r="BG106" s="26">
        <f t="shared" si="207"/>
        <v>1.0874265058738906E-3</v>
      </c>
      <c r="BH106" s="26">
        <f t="shared" si="208"/>
        <v>0</v>
      </c>
      <c r="BI106" s="26">
        <f t="shared" si="209"/>
        <v>0</v>
      </c>
      <c r="BJ106" s="26">
        <f t="shared" si="210"/>
        <v>0</v>
      </c>
      <c r="BK106" s="25">
        <f t="shared" si="211"/>
        <v>4</v>
      </c>
      <c r="BL106" s="24">
        <f t="shared" si="212"/>
        <v>6.0076870681613377</v>
      </c>
      <c r="BM106" s="26">
        <f t="shared" si="213"/>
        <v>2.0124633605171702</v>
      </c>
      <c r="BN106" s="26">
        <f t="shared" si="214"/>
        <v>6.7793994909330343E-2</v>
      </c>
      <c r="BO106" s="22"/>
      <c r="BP106" s="26">
        <f t="shared" si="215"/>
        <v>0.47697728030056497</v>
      </c>
      <c r="BQ106" s="22"/>
      <c r="BR106" s="22">
        <f t="shared" si="216"/>
        <v>3.1829390860586199E-2</v>
      </c>
      <c r="BS106" s="22">
        <f t="shared" si="217"/>
        <v>0.4467142978801662</v>
      </c>
      <c r="BT106" s="22">
        <f t="shared" si="218"/>
        <v>0.52145631125924752</v>
      </c>
      <c r="BU106" s="1"/>
      <c r="BV106" s="26">
        <f t="shared" si="219"/>
        <v>0.86201731025299599</v>
      </c>
      <c r="BW106" s="26">
        <f t="shared" si="220"/>
        <v>1.6274411617426139E-4</v>
      </c>
      <c r="BX106" s="26">
        <f t="shared" si="221"/>
        <v>2.4127108670066694E-3</v>
      </c>
      <c r="BY106" s="26">
        <f t="shared" si="222"/>
        <v>0</v>
      </c>
      <c r="BZ106" s="26">
        <f t="shared" si="223"/>
        <v>0.41711899791231732</v>
      </c>
      <c r="CA106" s="26">
        <f t="shared" si="224"/>
        <v>2.6924161263039186E-2</v>
      </c>
      <c r="CB106" s="26">
        <f t="shared" si="225"/>
        <v>0.38039702233250622</v>
      </c>
      <c r="CC106" s="26">
        <f t="shared" si="226"/>
        <v>2.710413694721826E-2</v>
      </c>
      <c r="CD106" s="26">
        <f t="shared" si="227"/>
        <v>1.5488867376573089E-3</v>
      </c>
      <c r="CE106" s="26">
        <f t="shared" si="228"/>
        <v>4.6709129511677281E-4</v>
      </c>
      <c r="CF106" s="26">
        <f t="shared" si="229"/>
        <v>0</v>
      </c>
      <c r="CG106" s="26">
        <f t="shared" si="230"/>
        <v>0</v>
      </c>
      <c r="CH106" s="26">
        <f t="shared" si="231"/>
        <v>0</v>
      </c>
      <c r="CI106" s="26">
        <f t="shared" si="232"/>
        <v>1.7181530617240319</v>
      </c>
      <c r="CJ106" s="26">
        <f t="shared" si="233"/>
        <v>2.5805314825103189</v>
      </c>
      <c r="CK106" s="26">
        <f t="shared" si="234"/>
        <v>2.3280812921209204</v>
      </c>
      <c r="CL106" s="26">
        <f t="shared" si="235"/>
        <v>6.0076870681613377</v>
      </c>
      <c r="CM106" s="1"/>
      <c r="CN106" s="22"/>
      <c r="CO106" s="96"/>
      <c r="CP106" s="14"/>
      <c r="CQ106" s="14"/>
      <c r="CR106" s="14"/>
      <c r="CS106" s="14"/>
      <c r="CT106" s="22"/>
      <c r="CU106" s="14"/>
      <c r="CV106" s="22"/>
      <c r="CW106" s="22"/>
      <c r="CX106" s="14"/>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46"/>
      <c r="FF106" s="46"/>
      <c r="FG106" s="46"/>
      <c r="FH106" s="46"/>
      <c r="FI106" s="46"/>
      <c r="FJ106" s="46"/>
      <c r="FK106" s="46"/>
      <c r="FL106" s="46"/>
      <c r="FM106" s="46"/>
      <c r="FN106" s="46"/>
      <c r="FO106" s="46"/>
    </row>
    <row r="107" spans="1:171" x14ac:dyDescent="0.25">
      <c r="A107" s="5" t="s">
        <v>89</v>
      </c>
      <c r="B107" s="1">
        <v>637</v>
      </c>
      <c r="C107" s="98" t="s">
        <v>97</v>
      </c>
      <c r="D107" s="98" t="s">
        <v>106</v>
      </c>
      <c r="E107" s="1">
        <v>148</v>
      </c>
      <c r="F107" s="22">
        <v>53.04</v>
      </c>
      <c r="G107" s="22">
        <v>0.249</v>
      </c>
      <c r="H107" s="22">
        <v>1.9</v>
      </c>
      <c r="I107" s="22">
        <v>0</v>
      </c>
      <c r="J107" s="22">
        <v>18.34</v>
      </c>
      <c r="K107" s="22">
        <v>0.622</v>
      </c>
      <c r="L107" s="22">
        <v>23.93</v>
      </c>
      <c r="M107" s="22">
        <v>1.56</v>
      </c>
      <c r="N107" s="22">
        <v>4.7E-2</v>
      </c>
      <c r="O107" s="22">
        <v>0</v>
      </c>
      <c r="P107" s="22">
        <v>0</v>
      </c>
      <c r="Q107" s="22"/>
      <c r="R107" s="22"/>
      <c r="S107" s="22">
        <f t="shared" si="177"/>
        <v>99.687999999999988</v>
      </c>
      <c r="T107" s="3"/>
      <c r="U107" s="22">
        <f t="shared" si="178"/>
        <v>18.143916891115797</v>
      </c>
      <c r="V107" s="22">
        <f t="shared" si="179"/>
        <v>0.2179071589030169</v>
      </c>
      <c r="W107" s="22">
        <f t="shared" si="180"/>
        <v>99.70982405001881</v>
      </c>
      <c r="X107" s="1">
        <v>3</v>
      </c>
      <c r="Y107" s="1"/>
      <c r="Z107" s="1"/>
      <c r="AA107" s="1" t="s">
        <v>185</v>
      </c>
      <c r="AC107" s="1">
        <v>6</v>
      </c>
      <c r="AD107" s="1">
        <v>4</v>
      </c>
      <c r="AE107" s="1"/>
      <c r="AF107" s="26">
        <f t="shared" si="181"/>
        <v>1.9515802408776477</v>
      </c>
      <c r="AG107" s="26">
        <f t="shared" si="182"/>
        <v>6.8908708738801882E-3</v>
      </c>
      <c r="AH107" s="26">
        <f t="shared" si="183"/>
        <v>8.2388499015327202E-2</v>
      </c>
      <c r="AI107" s="26">
        <f t="shared" si="184"/>
        <v>0</v>
      </c>
      <c r="AJ107" s="26">
        <f t="shared" si="185"/>
        <v>0.56426794540934933</v>
      </c>
      <c r="AK107" s="26">
        <f t="shared" si="186"/>
        <v>1.9382599474993392E-2</v>
      </c>
      <c r="AL107" s="26">
        <f t="shared" si="187"/>
        <v>1.3126546260630412</v>
      </c>
      <c r="AM107" s="26">
        <f t="shared" si="188"/>
        <v>6.1493528610351324E-2</v>
      </c>
      <c r="AN107" s="26">
        <f t="shared" si="189"/>
        <v>3.3526568324360136E-3</v>
      </c>
      <c r="AO107" s="26">
        <f t="shared" si="190"/>
        <v>0</v>
      </c>
      <c r="AP107" s="26">
        <f t="shared" si="191"/>
        <v>0</v>
      </c>
      <c r="AQ107" s="26">
        <f t="shared" si="192"/>
        <v>0</v>
      </c>
      <c r="AR107" s="26">
        <f t="shared" si="193"/>
        <v>0</v>
      </c>
      <c r="AS107" s="26">
        <f t="shared" si="194"/>
        <v>4.0020109671570259</v>
      </c>
      <c r="AT107" s="26">
        <f t="shared" si="195"/>
        <v>2.0339687398929751</v>
      </c>
      <c r="AU107" s="26">
        <f t="shared" si="196"/>
        <v>6.4846185442787335E-2</v>
      </c>
      <c r="AV107" s="47"/>
      <c r="AW107" s="26">
        <f t="shared" si="197"/>
        <v>1.9505995929481661</v>
      </c>
      <c r="AX107" s="26">
        <f t="shared" si="198"/>
        <v>6.8874082859151867E-3</v>
      </c>
      <c r="AY107" s="26">
        <f t="shared" si="199"/>
        <v>8.2347099687090433E-2</v>
      </c>
      <c r="AZ107" s="26">
        <f t="shared" si="200"/>
        <v>0</v>
      </c>
      <c r="BA107" s="26">
        <f t="shared" si="201"/>
        <v>0.55795453687607866</v>
      </c>
      <c r="BB107" s="26">
        <f t="shared" si="202"/>
        <v>6.0298700034433494E-3</v>
      </c>
      <c r="BC107" s="26">
        <f t="shared" si="203"/>
        <v>1.9372859928729808E-2</v>
      </c>
      <c r="BD107" s="26">
        <f t="shared" si="204"/>
        <v>1.3119950313334929</v>
      </c>
      <c r="BE107" s="26">
        <f t="shared" si="205"/>
        <v>6.1462628778386874E-2</v>
      </c>
      <c r="BF107" s="26">
        <f t="shared" si="206"/>
        <v>3.3509721586972015E-3</v>
      </c>
      <c r="BG107" s="26">
        <f t="shared" si="207"/>
        <v>0</v>
      </c>
      <c r="BH107" s="26">
        <f t="shared" si="208"/>
        <v>0</v>
      </c>
      <c r="BI107" s="26">
        <f t="shared" si="209"/>
        <v>0</v>
      </c>
      <c r="BJ107" s="26">
        <f t="shared" si="210"/>
        <v>0</v>
      </c>
      <c r="BK107" s="25">
        <f t="shared" si="211"/>
        <v>4.0000000000000009</v>
      </c>
      <c r="BL107" s="24">
        <f t="shared" si="212"/>
        <v>6</v>
      </c>
      <c r="BM107" s="26">
        <f t="shared" si="213"/>
        <v>2.0329466926352566</v>
      </c>
      <c r="BN107" s="26">
        <f t="shared" si="214"/>
        <v>6.4813600937084076E-2</v>
      </c>
      <c r="BO107" s="22"/>
      <c r="BP107" s="26">
        <f t="shared" si="215"/>
        <v>0.69936535796109178</v>
      </c>
      <c r="BQ107" s="22"/>
      <c r="BR107" s="22">
        <f t="shared" si="216"/>
        <v>3.1409525721026711E-2</v>
      </c>
      <c r="BS107" s="22">
        <f t="shared" si="217"/>
        <v>0.67047476656285898</v>
      </c>
      <c r="BT107" s="22">
        <f t="shared" si="218"/>
        <v>0.29811570771611451</v>
      </c>
      <c r="BU107" s="1"/>
      <c r="BV107" s="26">
        <f t="shared" si="219"/>
        <v>0.88282290279627162</v>
      </c>
      <c r="BW107" s="26">
        <f t="shared" si="220"/>
        <v>3.1171757636454683E-3</v>
      </c>
      <c r="BX107" s="26">
        <f t="shared" si="221"/>
        <v>3.7269517457826598E-2</v>
      </c>
      <c r="BY107" s="26">
        <f t="shared" si="222"/>
        <v>0</v>
      </c>
      <c r="BZ107" s="26">
        <f t="shared" si="223"/>
        <v>0.25525400139178844</v>
      </c>
      <c r="CA107" s="26">
        <f t="shared" si="224"/>
        <v>8.767972934874543E-3</v>
      </c>
      <c r="CB107" s="26">
        <f t="shared" si="225"/>
        <v>0.59379652605459066</v>
      </c>
      <c r="CC107" s="26">
        <f t="shared" si="226"/>
        <v>2.7817403708987162E-2</v>
      </c>
      <c r="CD107" s="26">
        <f t="shared" si="227"/>
        <v>1.516618263956115E-3</v>
      </c>
      <c r="CE107" s="26">
        <f t="shared" si="228"/>
        <v>0</v>
      </c>
      <c r="CF107" s="26">
        <f t="shared" si="229"/>
        <v>0</v>
      </c>
      <c r="CG107" s="26">
        <f t="shared" si="230"/>
        <v>0</v>
      </c>
      <c r="CH107" s="26">
        <f t="shared" si="231"/>
        <v>0</v>
      </c>
      <c r="CI107" s="26">
        <f t="shared" si="232"/>
        <v>1.8103621183719405</v>
      </c>
      <c r="CJ107" s="26">
        <f t="shared" si="233"/>
        <v>2.7141786465287931</v>
      </c>
      <c r="CK107" s="26">
        <f t="shared" si="234"/>
        <v>2.2095027063409844</v>
      </c>
      <c r="CL107" s="26">
        <f t="shared" si="235"/>
        <v>5.9969850649982783</v>
      </c>
      <c r="CM107" s="1"/>
      <c r="CN107" s="22"/>
      <c r="CO107" s="96"/>
      <c r="CP107" s="14"/>
      <c r="CQ107" s="14"/>
      <c r="CR107" s="14"/>
      <c r="CS107" s="14"/>
      <c r="CT107" s="22"/>
      <c r="CU107" s="14"/>
      <c r="CV107" s="22"/>
      <c r="CW107" s="22"/>
      <c r="CX107" s="14"/>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46"/>
      <c r="FF107" s="46"/>
      <c r="FG107" s="46"/>
      <c r="FH107" s="46"/>
      <c r="FI107" s="46"/>
      <c r="FJ107" s="46"/>
      <c r="FK107" s="46"/>
      <c r="FL107" s="46"/>
      <c r="FM107" s="46"/>
      <c r="FN107" s="46"/>
      <c r="FO107" s="46"/>
    </row>
    <row r="108" spans="1:171" x14ac:dyDescent="0.25">
      <c r="A108" s="5" t="s">
        <v>89</v>
      </c>
      <c r="B108" s="1">
        <v>639</v>
      </c>
      <c r="C108" s="98" t="s">
        <v>97</v>
      </c>
      <c r="D108" s="98" t="s">
        <v>106</v>
      </c>
      <c r="E108" s="1">
        <v>150</v>
      </c>
      <c r="F108" s="22">
        <v>54.74</v>
      </c>
      <c r="G108" s="22">
        <v>8.6999999999999994E-2</v>
      </c>
      <c r="H108" s="22">
        <v>1.0649999999999999</v>
      </c>
      <c r="I108" s="22">
        <v>0.02</v>
      </c>
      <c r="J108" s="22">
        <v>15.41</v>
      </c>
      <c r="K108" s="22">
        <v>0.40400000000000003</v>
      </c>
      <c r="L108" s="22">
        <v>26</v>
      </c>
      <c r="M108" s="22">
        <v>1.52</v>
      </c>
      <c r="N108" s="22">
        <v>5.1999999999999998E-2</v>
      </c>
      <c r="O108" s="22">
        <v>0</v>
      </c>
      <c r="P108" s="22">
        <v>0</v>
      </c>
      <c r="Q108" s="22"/>
      <c r="R108" s="22"/>
      <c r="S108" s="22">
        <f t="shared" si="177"/>
        <v>99.298000000000002</v>
      </c>
      <c r="T108" s="3"/>
      <c r="U108" s="22">
        <f t="shared" si="178"/>
        <v>15.41</v>
      </c>
      <c r="V108" s="22">
        <f t="shared" si="179"/>
        <v>0</v>
      </c>
      <c r="W108" s="22">
        <f t="shared" si="180"/>
        <v>99.298000000000002</v>
      </c>
      <c r="X108" s="1"/>
      <c r="Y108" s="1"/>
      <c r="Z108" s="1"/>
      <c r="AA108" s="1" t="s">
        <v>185</v>
      </c>
      <c r="AC108" s="1">
        <v>6</v>
      </c>
      <c r="AD108" s="1">
        <v>4</v>
      </c>
      <c r="AE108" s="1"/>
      <c r="AF108" s="26">
        <f t="shared" si="181"/>
        <v>1.9883144070603969</v>
      </c>
      <c r="AG108" s="26">
        <f t="shared" si="182"/>
        <v>2.3767931475969007E-3</v>
      </c>
      <c r="AH108" s="26">
        <f t="shared" si="183"/>
        <v>4.558898959948076E-2</v>
      </c>
      <c r="AI108" s="26">
        <f t="shared" si="184"/>
        <v>5.7432162167365942E-4</v>
      </c>
      <c r="AJ108" s="26">
        <f t="shared" si="185"/>
        <v>0.46804332564952894</v>
      </c>
      <c r="AK108" s="26">
        <f t="shared" si="186"/>
        <v>1.2427975008593361E-2</v>
      </c>
      <c r="AL108" s="26">
        <f t="shared" si="187"/>
        <v>1.4079216657770888</v>
      </c>
      <c r="AM108" s="26">
        <f t="shared" si="188"/>
        <v>5.9148777542275696E-2</v>
      </c>
      <c r="AN108" s="26">
        <f t="shared" si="189"/>
        <v>3.6617775495848127E-3</v>
      </c>
      <c r="AO108" s="26">
        <f t="shared" si="190"/>
        <v>0</v>
      </c>
      <c r="AP108" s="26">
        <f t="shared" si="191"/>
        <v>0</v>
      </c>
      <c r="AQ108" s="26">
        <f t="shared" si="192"/>
        <v>0</v>
      </c>
      <c r="AR108" s="26">
        <f t="shared" si="193"/>
        <v>0</v>
      </c>
      <c r="AS108" s="26">
        <f t="shared" si="194"/>
        <v>3.9880580329562192</v>
      </c>
      <c r="AT108" s="26">
        <f t="shared" si="195"/>
        <v>2.0339033966598774</v>
      </c>
      <c r="AU108" s="26">
        <f t="shared" si="196"/>
        <v>6.2810555091860509E-2</v>
      </c>
      <c r="AV108" s="47"/>
      <c r="AW108" s="26">
        <f t="shared" si="197"/>
        <v>1.9942682785751973</v>
      </c>
      <c r="AX108" s="26">
        <f t="shared" si="198"/>
        <v>2.3839102921328955E-3</v>
      </c>
      <c r="AY108" s="26">
        <f t="shared" si="199"/>
        <v>4.5725502711089792E-2</v>
      </c>
      <c r="AZ108" s="26">
        <f t="shared" si="200"/>
        <v>5.7604138849296849E-4</v>
      </c>
      <c r="BA108" s="26">
        <f t="shared" si="201"/>
        <v>0.46944484937956976</v>
      </c>
      <c r="BB108" s="26">
        <f t="shared" si="202"/>
        <v>0</v>
      </c>
      <c r="BC108" s="26">
        <f t="shared" si="203"/>
        <v>1.2465189729830387E-2</v>
      </c>
      <c r="BD108" s="26">
        <f t="shared" si="204"/>
        <v>1.4121375909201017</v>
      </c>
      <c r="BE108" s="26">
        <f t="shared" si="205"/>
        <v>5.9325894511550625E-2</v>
      </c>
      <c r="BF108" s="26">
        <f t="shared" si="206"/>
        <v>3.6727424920348557E-3</v>
      </c>
      <c r="BG108" s="26">
        <f t="shared" si="207"/>
        <v>0</v>
      </c>
      <c r="BH108" s="26">
        <f t="shared" si="208"/>
        <v>0</v>
      </c>
      <c r="BI108" s="26">
        <f t="shared" si="209"/>
        <v>0</v>
      </c>
      <c r="BJ108" s="26">
        <f t="shared" si="210"/>
        <v>0</v>
      </c>
      <c r="BK108" s="25">
        <f t="shared" si="211"/>
        <v>3.9999999999999996</v>
      </c>
      <c r="BL108" s="24">
        <f t="shared" si="212"/>
        <v>6.0179665896711034</v>
      </c>
      <c r="BM108" s="26">
        <f t="shared" si="213"/>
        <v>2.0399937812862872</v>
      </c>
      <c r="BN108" s="26">
        <f t="shared" si="214"/>
        <v>6.2998637003585475E-2</v>
      </c>
      <c r="BO108" s="22"/>
      <c r="BP108" s="26">
        <f t="shared" si="215"/>
        <v>0.75050529845250724</v>
      </c>
      <c r="BQ108" s="22"/>
      <c r="BR108" s="22">
        <f t="shared" si="216"/>
        <v>3.0370993446063681E-2</v>
      </c>
      <c r="BS108" s="22">
        <f t="shared" si="217"/>
        <v>0.72292245859730542</v>
      </c>
      <c r="BT108" s="22">
        <f t="shared" si="218"/>
        <v>0.24670654795663083</v>
      </c>
      <c r="BU108" s="1"/>
      <c r="BV108" s="26">
        <f t="shared" si="219"/>
        <v>0.91111850865512656</v>
      </c>
      <c r="BW108" s="26">
        <f t="shared" si="220"/>
        <v>1.0891337005508263E-3</v>
      </c>
      <c r="BX108" s="26">
        <f t="shared" si="221"/>
        <v>2.0890545311887016E-2</v>
      </c>
      <c r="BY108" s="26">
        <f t="shared" si="222"/>
        <v>2.6317520889532203E-4</v>
      </c>
      <c r="BZ108" s="26">
        <f t="shared" si="223"/>
        <v>0.21447459986082118</v>
      </c>
      <c r="CA108" s="26">
        <f t="shared" si="224"/>
        <v>5.6949534818156195E-3</v>
      </c>
      <c r="CB108" s="26">
        <f t="shared" si="225"/>
        <v>0.64516129032258074</v>
      </c>
      <c r="CC108" s="26">
        <f t="shared" si="226"/>
        <v>2.710413694721826E-2</v>
      </c>
      <c r="CD108" s="26">
        <f t="shared" si="227"/>
        <v>1.6779606324620845E-3</v>
      </c>
      <c r="CE108" s="26">
        <f t="shared" si="228"/>
        <v>0</v>
      </c>
      <c r="CF108" s="26">
        <f t="shared" si="229"/>
        <v>0</v>
      </c>
      <c r="CG108" s="26">
        <f t="shared" si="230"/>
        <v>0</v>
      </c>
      <c r="CH108" s="26">
        <f t="shared" si="231"/>
        <v>0</v>
      </c>
      <c r="CI108" s="26">
        <f t="shared" si="232"/>
        <v>1.8274743041213577</v>
      </c>
      <c r="CJ108" s="26">
        <f t="shared" si="233"/>
        <v>2.7494198264211955</v>
      </c>
      <c r="CK108" s="26">
        <f t="shared" si="234"/>
        <v>2.1888132659261572</v>
      </c>
      <c r="CL108" s="26">
        <f t="shared" si="235"/>
        <v>6.0179665896711052</v>
      </c>
      <c r="CM108" s="1"/>
      <c r="CN108" s="22"/>
      <c r="CO108" s="96"/>
      <c r="CP108" s="14"/>
      <c r="CQ108" s="14"/>
      <c r="CR108" s="14"/>
      <c r="CS108" s="14"/>
      <c r="CT108" s="22"/>
      <c r="CU108" s="14"/>
      <c r="CV108" s="22"/>
      <c r="CW108" s="22"/>
      <c r="CX108" s="14"/>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46"/>
      <c r="FF108" s="46"/>
      <c r="FG108" s="46"/>
      <c r="FH108" s="46"/>
      <c r="FI108" s="46"/>
      <c r="FJ108" s="46"/>
      <c r="FK108" s="46"/>
      <c r="FL108" s="46"/>
      <c r="FM108" s="46"/>
      <c r="FN108" s="46"/>
      <c r="FO108" s="46"/>
    </row>
    <row r="109" spans="1:171" x14ac:dyDescent="0.25">
      <c r="A109" s="5" t="s">
        <v>89</v>
      </c>
      <c r="B109" s="1">
        <v>644</v>
      </c>
      <c r="C109" s="98" t="s">
        <v>97</v>
      </c>
      <c r="D109" s="98" t="s">
        <v>106</v>
      </c>
      <c r="E109" s="1">
        <v>155</v>
      </c>
      <c r="F109" s="22">
        <v>52.85</v>
      </c>
      <c r="G109" s="22">
        <v>0.17299999999999999</v>
      </c>
      <c r="H109" s="22">
        <v>0.32</v>
      </c>
      <c r="I109" s="22">
        <v>1.9E-2</v>
      </c>
      <c r="J109" s="22">
        <v>24.33</v>
      </c>
      <c r="K109" s="22">
        <v>1.135</v>
      </c>
      <c r="L109" s="22">
        <v>19.36</v>
      </c>
      <c r="M109" s="22">
        <v>1.2010000000000001</v>
      </c>
      <c r="N109" s="22">
        <v>3.4000000000000002E-2</v>
      </c>
      <c r="O109" s="22">
        <v>0</v>
      </c>
      <c r="P109" s="22">
        <v>0</v>
      </c>
      <c r="Q109" s="22"/>
      <c r="R109" s="22"/>
      <c r="S109" s="22">
        <f t="shared" si="177"/>
        <v>99.422000000000011</v>
      </c>
      <c r="T109" s="3"/>
      <c r="U109" s="22">
        <f t="shared" si="178"/>
        <v>24.33</v>
      </c>
      <c r="V109" s="22">
        <f t="shared" si="179"/>
        <v>0</v>
      </c>
      <c r="W109" s="22">
        <f t="shared" si="180"/>
        <v>99.421999999999997</v>
      </c>
      <c r="X109" s="1"/>
      <c r="Y109" s="1"/>
      <c r="Z109" s="1"/>
      <c r="AA109" s="1" t="s">
        <v>186</v>
      </c>
      <c r="AC109" s="1">
        <v>6</v>
      </c>
      <c r="AD109" s="1">
        <v>4</v>
      </c>
      <c r="AE109" s="1"/>
      <c r="AF109" s="26">
        <f t="shared" si="181"/>
        <v>2.0065050206331336</v>
      </c>
      <c r="AG109" s="26">
        <f t="shared" si="182"/>
        <v>4.9400714467295759E-3</v>
      </c>
      <c r="AH109" s="26">
        <f t="shared" si="183"/>
        <v>1.4317768306819035E-2</v>
      </c>
      <c r="AI109" s="26">
        <f t="shared" si="184"/>
        <v>5.7028738475191831E-4</v>
      </c>
      <c r="AJ109" s="26">
        <f t="shared" si="185"/>
        <v>0.77239689553288815</v>
      </c>
      <c r="AK109" s="26">
        <f t="shared" si="186"/>
        <v>3.6494705257068251E-2</v>
      </c>
      <c r="AL109" s="26">
        <f t="shared" si="187"/>
        <v>1.095785350149848</v>
      </c>
      <c r="AM109" s="26">
        <f t="shared" si="188"/>
        <v>4.8849507052772988E-2</v>
      </c>
      <c r="AN109" s="26">
        <f t="shared" si="189"/>
        <v>2.5025486206816279E-3</v>
      </c>
      <c r="AO109" s="26">
        <f t="shared" si="190"/>
        <v>0</v>
      </c>
      <c r="AP109" s="26">
        <f t="shared" si="191"/>
        <v>0</v>
      </c>
      <c r="AQ109" s="26">
        <f t="shared" si="192"/>
        <v>0</v>
      </c>
      <c r="AR109" s="26">
        <f t="shared" si="193"/>
        <v>0</v>
      </c>
      <c r="AS109" s="26">
        <f t="shared" si="194"/>
        <v>3.9823621543846923</v>
      </c>
      <c r="AT109" s="26">
        <f t="shared" si="195"/>
        <v>2.0208227889399528</v>
      </c>
      <c r="AU109" s="26">
        <f t="shared" si="196"/>
        <v>5.1352055673454619E-2</v>
      </c>
      <c r="AV109" s="47"/>
      <c r="AW109" s="26">
        <f t="shared" si="197"/>
        <v>2.0153918130463495</v>
      </c>
      <c r="AX109" s="26">
        <f t="shared" si="198"/>
        <v>4.9619509780549883E-3</v>
      </c>
      <c r="AY109" s="26">
        <f t="shared" si="199"/>
        <v>1.4381181571901757E-2</v>
      </c>
      <c r="AZ109" s="26">
        <f t="shared" si="200"/>
        <v>5.7281318237118709E-4</v>
      </c>
      <c r="BA109" s="26">
        <f t="shared" si="201"/>
        <v>0.77581783432976548</v>
      </c>
      <c r="BB109" s="26">
        <f t="shared" si="202"/>
        <v>0</v>
      </c>
      <c r="BC109" s="26">
        <f t="shared" si="203"/>
        <v>3.6656339973386444E-2</v>
      </c>
      <c r="BD109" s="26">
        <f t="shared" si="204"/>
        <v>1.1006385734590785</v>
      </c>
      <c r="BE109" s="26">
        <f t="shared" si="205"/>
        <v>4.9065861073421757E-2</v>
      </c>
      <c r="BF109" s="26">
        <f t="shared" si="206"/>
        <v>2.5136323856696468E-3</v>
      </c>
      <c r="BG109" s="26">
        <f t="shared" si="207"/>
        <v>0</v>
      </c>
      <c r="BH109" s="26">
        <f t="shared" si="208"/>
        <v>0</v>
      </c>
      <c r="BI109" s="26">
        <f t="shared" si="209"/>
        <v>0</v>
      </c>
      <c r="BJ109" s="26">
        <f t="shared" si="210"/>
        <v>0</v>
      </c>
      <c r="BK109" s="25">
        <f t="shared" si="211"/>
        <v>3.9999999999999991</v>
      </c>
      <c r="BL109" s="24">
        <f t="shared" si="212"/>
        <v>6.026573945208705</v>
      </c>
      <c r="BM109" s="26">
        <f t="shared" si="213"/>
        <v>2.0297729946182512</v>
      </c>
      <c r="BN109" s="26">
        <f t="shared" si="214"/>
        <v>5.1579493459091401E-2</v>
      </c>
      <c r="BO109" s="22"/>
      <c r="BP109" s="26">
        <f t="shared" si="215"/>
        <v>0.58655163471451788</v>
      </c>
      <c r="BQ109" s="22"/>
      <c r="BR109" s="22">
        <f t="shared" si="216"/>
        <v>2.5005807754951124E-2</v>
      </c>
      <c r="BS109" s="22">
        <f t="shared" si="217"/>
        <v>0.56092680274003826</v>
      </c>
      <c r="BT109" s="22">
        <f t="shared" si="218"/>
        <v>0.41406738950501065</v>
      </c>
      <c r="BU109" s="1"/>
      <c r="BV109" s="26">
        <f t="shared" si="219"/>
        <v>0.87966045272969384</v>
      </c>
      <c r="BW109" s="26">
        <f t="shared" si="220"/>
        <v>2.1657486229344014E-3</v>
      </c>
      <c r="BX109" s="26">
        <f t="shared" si="221"/>
        <v>6.2769713613181647E-3</v>
      </c>
      <c r="BY109" s="26">
        <f t="shared" si="222"/>
        <v>2.5001644845055592E-4</v>
      </c>
      <c r="BZ109" s="26">
        <f t="shared" si="223"/>
        <v>0.33862212943632569</v>
      </c>
      <c r="CA109" s="26">
        <f t="shared" si="224"/>
        <v>1.5999436143219622E-2</v>
      </c>
      <c r="CB109" s="26">
        <f t="shared" si="225"/>
        <v>0.4803970223325062</v>
      </c>
      <c r="CC109" s="26">
        <f t="shared" si="226"/>
        <v>2.1415834522111273E-2</v>
      </c>
      <c r="CD109" s="26">
        <f t="shared" si="227"/>
        <v>1.0971281058405938E-3</v>
      </c>
      <c r="CE109" s="26">
        <f t="shared" si="228"/>
        <v>0</v>
      </c>
      <c r="CF109" s="26">
        <f t="shared" si="229"/>
        <v>0</v>
      </c>
      <c r="CG109" s="26">
        <f t="shared" si="230"/>
        <v>0</v>
      </c>
      <c r="CH109" s="26">
        <f t="shared" si="231"/>
        <v>0</v>
      </c>
      <c r="CI109" s="26">
        <f t="shared" si="232"/>
        <v>1.7458847397024004</v>
      </c>
      <c r="CJ109" s="26">
        <f t="shared" si="233"/>
        <v>2.6304258709069921</v>
      </c>
      <c r="CK109" s="26">
        <f t="shared" si="234"/>
        <v>2.2911019891735984</v>
      </c>
      <c r="CL109" s="26">
        <f t="shared" si="235"/>
        <v>6.0265739452087042</v>
      </c>
      <c r="CM109" s="1"/>
      <c r="CN109" s="22"/>
      <c r="CO109" s="96"/>
      <c r="CP109" s="14"/>
      <c r="CQ109" s="14"/>
      <c r="CR109" s="14"/>
      <c r="CS109" s="14"/>
      <c r="CT109" s="22"/>
      <c r="CU109" s="14"/>
      <c r="CV109" s="22"/>
      <c r="CW109" s="22"/>
      <c r="CX109" s="14"/>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46"/>
      <c r="FF109" s="46"/>
      <c r="FG109" s="46"/>
      <c r="FH109" s="46"/>
      <c r="FI109" s="46"/>
      <c r="FJ109" s="46"/>
      <c r="FK109" s="46"/>
      <c r="FL109" s="46"/>
      <c r="FM109" s="46"/>
      <c r="FN109" s="46"/>
      <c r="FO109" s="46"/>
    </row>
    <row r="110" spans="1:171" x14ac:dyDescent="0.25">
      <c r="A110" s="5" t="s">
        <v>89</v>
      </c>
      <c r="B110" s="1">
        <v>646</v>
      </c>
      <c r="C110" s="98" t="s">
        <v>97</v>
      </c>
      <c r="D110" s="98" t="s">
        <v>106</v>
      </c>
      <c r="E110" s="1">
        <v>157</v>
      </c>
      <c r="F110" s="22">
        <v>52.32</v>
      </c>
      <c r="G110" s="22">
        <v>0.20799999999999999</v>
      </c>
      <c r="H110" s="22">
        <v>0.81599999999999995</v>
      </c>
      <c r="I110" s="22">
        <v>0</v>
      </c>
      <c r="J110" s="22">
        <v>25.68</v>
      </c>
      <c r="K110" s="22">
        <v>1.143</v>
      </c>
      <c r="L110" s="22">
        <v>18.25</v>
      </c>
      <c r="M110" s="22">
        <v>1.55</v>
      </c>
      <c r="N110" s="22">
        <v>3.2000000000000001E-2</v>
      </c>
      <c r="O110" s="22">
        <v>0</v>
      </c>
      <c r="P110" s="22">
        <v>0</v>
      </c>
      <c r="Q110" s="22"/>
      <c r="R110" s="22"/>
      <c r="S110" s="22">
        <f t="shared" si="177"/>
        <v>99.998999999999995</v>
      </c>
      <c r="T110" s="3"/>
      <c r="U110" s="22">
        <f t="shared" si="178"/>
        <v>25.68</v>
      </c>
      <c r="V110" s="22">
        <f t="shared" si="179"/>
        <v>0</v>
      </c>
      <c r="W110" s="22">
        <f t="shared" si="180"/>
        <v>99.998999999999995</v>
      </c>
      <c r="X110" s="1"/>
      <c r="Y110" s="1"/>
      <c r="Z110" s="1"/>
      <c r="AA110" s="1" t="s">
        <v>186</v>
      </c>
      <c r="AC110" s="1">
        <v>6</v>
      </c>
      <c r="AD110" s="1">
        <v>4</v>
      </c>
      <c r="AE110" s="1"/>
      <c r="AF110" s="26">
        <f t="shared" si="181"/>
        <v>1.9901647960045383</v>
      </c>
      <c r="AG110" s="26">
        <f t="shared" si="182"/>
        <v>5.9508157965977426E-3</v>
      </c>
      <c r="AH110" s="26">
        <f t="shared" si="183"/>
        <v>3.6579819321971831E-2</v>
      </c>
      <c r="AI110" s="26">
        <f t="shared" si="184"/>
        <v>0</v>
      </c>
      <c r="AJ110" s="26">
        <f t="shared" si="185"/>
        <v>0.81680704583344099</v>
      </c>
      <c r="AK110" s="26">
        <f t="shared" si="186"/>
        <v>3.6821906821734252E-2</v>
      </c>
      <c r="AL110" s="26">
        <f t="shared" si="187"/>
        <v>1.0349254123446932</v>
      </c>
      <c r="AM110" s="26">
        <f t="shared" si="188"/>
        <v>6.3164770369248682E-2</v>
      </c>
      <c r="AN110" s="26">
        <f t="shared" si="189"/>
        <v>2.3598240913060178E-3</v>
      </c>
      <c r="AO110" s="26">
        <f t="shared" si="190"/>
        <v>0</v>
      </c>
      <c r="AP110" s="26">
        <f t="shared" si="191"/>
        <v>0</v>
      </c>
      <c r="AQ110" s="26">
        <f t="shared" si="192"/>
        <v>0</v>
      </c>
      <c r="AR110" s="26">
        <f t="shared" si="193"/>
        <v>0</v>
      </c>
      <c r="AS110" s="26">
        <f t="shared" si="194"/>
        <v>3.9867743905835309</v>
      </c>
      <c r="AT110" s="26">
        <f t="shared" si="195"/>
        <v>2.0267446153265101</v>
      </c>
      <c r="AU110" s="26">
        <f t="shared" si="196"/>
        <v>6.5524594460554697E-2</v>
      </c>
      <c r="AV110" s="47"/>
      <c r="AW110" s="26">
        <f t="shared" si="197"/>
        <v>1.9967669108190937</v>
      </c>
      <c r="AX110" s="26">
        <f t="shared" si="198"/>
        <v>5.9705568598545557E-3</v>
      </c>
      <c r="AY110" s="26">
        <f t="shared" si="199"/>
        <v>3.6701168150744298E-2</v>
      </c>
      <c r="AZ110" s="26">
        <f t="shared" si="200"/>
        <v>0</v>
      </c>
      <c r="BA110" s="26">
        <f t="shared" si="201"/>
        <v>0.81951669777219327</v>
      </c>
      <c r="BB110" s="26">
        <f t="shared" si="202"/>
        <v>0</v>
      </c>
      <c r="BC110" s="26">
        <f t="shared" si="203"/>
        <v>3.6944058744537836E-2</v>
      </c>
      <c r="BD110" s="26">
        <f t="shared" si="204"/>
        <v>1.0383586438090011</v>
      </c>
      <c r="BE110" s="26">
        <f t="shared" si="205"/>
        <v>6.3374311341458628E-2</v>
      </c>
      <c r="BF110" s="26">
        <f t="shared" si="206"/>
        <v>2.3676525031160523E-3</v>
      </c>
      <c r="BG110" s="26">
        <f t="shared" si="207"/>
        <v>0</v>
      </c>
      <c r="BH110" s="26">
        <f t="shared" si="208"/>
        <v>0</v>
      </c>
      <c r="BI110" s="26">
        <f t="shared" si="209"/>
        <v>0</v>
      </c>
      <c r="BJ110" s="26">
        <f t="shared" si="210"/>
        <v>0</v>
      </c>
      <c r="BK110" s="25">
        <f t="shared" si="211"/>
        <v>3.9999999999999987</v>
      </c>
      <c r="BL110" s="24">
        <f t="shared" si="212"/>
        <v>6.0199042255027626</v>
      </c>
      <c r="BM110" s="26">
        <f t="shared" si="213"/>
        <v>2.0334680789698378</v>
      </c>
      <c r="BN110" s="26">
        <f t="shared" si="214"/>
        <v>6.5741963844574675E-2</v>
      </c>
      <c r="BO110" s="22"/>
      <c r="BP110" s="26">
        <f t="shared" si="215"/>
        <v>0.5588957561196104</v>
      </c>
      <c r="BQ110" s="22"/>
      <c r="BR110" s="22">
        <f t="shared" si="216"/>
        <v>3.2363657877086241E-2</v>
      </c>
      <c r="BS110" s="22">
        <f t="shared" si="217"/>
        <v>0.53026349621200175</v>
      </c>
      <c r="BT110" s="22">
        <f t="shared" si="218"/>
        <v>0.43737284591091202</v>
      </c>
      <c r="BU110" s="1"/>
      <c r="BV110" s="26">
        <f t="shared" si="219"/>
        <v>0.87083888149134492</v>
      </c>
      <c r="BW110" s="26">
        <f t="shared" si="220"/>
        <v>2.6039058587881822E-3</v>
      </c>
      <c r="BX110" s="26">
        <f t="shared" si="221"/>
        <v>1.6006276971361318E-2</v>
      </c>
      <c r="BY110" s="26">
        <f t="shared" si="222"/>
        <v>0</v>
      </c>
      <c r="BZ110" s="26">
        <f t="shared" si="223"/>
        <v>0.35741127348643009</v>
      </c>
      <c r="CA110" s="26">
        <f t="shared" si="224"/>
        <v>1.6112207499295178E-2</v>
      </c>
      <c r="CB110" s="26">
        <f t="shared" si="225"/>
        <v>0.45285359801488839</v>
      </c>
      <c r="CC110" s="26">
        <f t="shared" si="226"/>
        <v>2.7639087018544936E-2</v>
      </c>
      <c r="CD110" s="26">
        <f t="shared" si="227"/>
        <v>1.0325911584382059E-3</v>
      </c>
      <c r="CE110" s="26">
        <f t="shared" si="228"/>
        <v>0</v>
      </c>
      <c r="CF110" s="26">
        <f t="shared" si="229"/>
        <v>0</v>
      </c>
      <c r="CG110" s="26">
        <f t="shared" si="230"/>
        <v>0</v>
      </c>
      <c r="CH110" s="26">
        <f t="shared" si="231"/>
        <v>0</v>
      </c>
      <c r="CI110" s="26">
        <f t="shared" si="232"/>
        <v>1.7444978214990914</v>
      </c>
      <c r="CJ110" s="26">
        <f t="shared" si="233"/>
        <v>2.6254274517556859</v>
      </c>
      <c r="CK110" s="26">
        <f t="shared" si="234"/>
        <v>2.2929234709864517</v>
      </c>
      <c r="CL110" s="26">
        <f t="shared" si="235"/>
        <v>6.0199042255027626</v>
      </c>
      <c r="CM110" s="1"/>
      <c r="CN110" s="22"/>
      <c r="CO110" s="96"/>
      <c r="CP110" s="14"/>
      <c r="CQ110" s="14"/>
      <c r="CR110" s="14"/>
      <c r="CS110" s="14"/>
      <c r="CT110" s="22"/>
      <c r="CU110" s="14"/>
      <c r="CV110" s="22"/>
      <c r="CW110" s="22"/>
      <c r="CX110" s="14"/>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46"/>
      <c r="FF110" s="46"/>
      <c r="FG110" s="46"/>
      <c r="FH110" s="46"/>
      <c r="FI110" s="46"/>
      <c r="FJ110" s="46"/>
      <c r="FK110" s="46"/>
      <c r="FL110" s="46"/>
      <c r="FM110" s="46"/>
      <c r="FN110" s="46"/>
      <c r="FO110" s="46"/>
    </row>
    <row r="111" spans="1:171" x14ac:dyDescent="0.25">
      <c r="A111" s="5"/>
      <c r="B111" s="1"/>
      <c r="C111" s="98"/>
      <c r="D111" s="98"/>
      <c r="E111" s="1"/>
      <c r="F111" s="22"/>
      <c r="G111" s="22"/>
      <c r="H111" s="22"/>
      <c r="I111" s="22"/>
      <c r="J111" s="22"/>
      <c r="K111" s="22"/>
      <c r="L111" s="22"/>
      <c r="M111" s="22"/>
      <c r="N111" s="22"/>
      <c r="O111" s="22"/>
      <c r="P111" s="22"/>
      <c r="Q111" s="22"/>
      <c r="R111" s="22"/>
      <c r="S111" s="1"/>
      <c r="T111" s="8"/>
      <c r="U111" s="1"/>
      <c r="V111" s="1"/>
      <c r="W111" s="1"/>
      <c r="X111" s="1"/>
      <c r="Y111" s="1"/>
      <c r="Z111" s="1"/>
      <c r="AA111" s="1"/>
      <c r="AC111" s="1"/>
      <c r="AD111" s="1"/>
      <c r="AE111" s="1"/>
      <c r="AF111" s="26"/>
      <c r="AG111" s="26"/>
      <c r="AH111" s="26"/>
      <c r="AI111" s="26"/>
      <c r="AJ111" s="26"/>
      <c r="AK111" s="26"/>
      <c r="AL111" s="26"/>
      <c r="AM111" s="26"/>
      <c r="AN111" s="26"/>
      <c r="AO111" s="26"/>
      <c r="AP111" s="26"/>
      <c r="AQ111" s="26"/>
      <c r="AR111" s="26"/>
      <c r="AS111" s="26"/>
      <c r="AT111" s="26"/>
      <c r="AU111" s="26"/>
      <c r="AV111" s="1"/>
      <c r="AW111" s="26"/>
      <c r="AX111" s="26"/>
      <c r="AY111" s="26"/>
      <c r="AZ111" s="26"/>
      <c r="BA111" s="26"/>
      <c r="BB111" s="26"/>
      <c r="BC111" s="26"/>
      <c r="BD111" s="26"/>
      <c r="BE111" s="26"/>
      <c r="BF111" s="26"/>
      <c r="BG111" s="26"/>
      <c r="BH111" s="26"/>
      <c r="BI111" s="26"/>
      <c r="BJ111" s="26"/>
      <c r="BK111" s="26"/>
      <c r="BL111" s="26"/>
      <c r="BM111" s="26"/>
      <c r="BN111" s="26"/>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22"/>
      <c r="CO111" s="96"/>
      <c r="CP111" s="14"/>
      <c r="CQ111" s="14"/>
      <c r="CR111" s="14"/>
      <c r="CS111" s="14"/>
      <c r="CT111" s="22"/>
      <c r="CU111" s="14"/>
      <c r="CV111" s="22"/>
      <c r="CW111" s="22"/>
      <c r="CX111" s="14"/>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t="e">
        <f>-0.211182 - 14.15931 * (#REF!/(#REF!+#REF!)) + N("38d mg# r2 0.38")</f>
        <v>#REF!</v>
      </c>
      <c r="EX111" s="22"/>
      <c r="EY111" s="22"/>
      <c r="EZ111" s="22"/>
      <c r="FA111" s="22"/>
      <c r="FB111" s="22"/>
      <c r="FC111" s="22"/>
      <c r="FD111" s="49"/>
      <c r="FE111" s="46"/>
      <c r="FF111" s="46"/>
      <c r="FG111" s="46"/>
      <c r="FH111" s="46"/>
      <c r="FI111" s="46"/>
      <c r="FJ111" s="46"/>
      <c r="FK111" s="46"/>
      <c r="FL111" s="46"/>
      <c r="FM111" s="46"/>
      <c r="FN111" s="46"/>
      <c r="FO111" s="46"/>
    </row>
    <row r="112" spans="1:171" x14ac:dyDescent="0.25">
      <c r="A112" s="5"/>
      <c r="B112" s="1"/>
      <c r="C112" s="98"/>
      <c r="D112" s="98"/>
      <c r="E112" s="1"/>
      <c r="F112" s="22"/>
      <c r="G112" s="22"/>
      <c r="H112" s="22"/>
      <c r="I112" s="22"/>
      <c r="J112" s="22"/>
      <c r="K112" s="22"/>
      <c r="L112" s="22"/>
      <c r="M112" s="22"/>
      <c r="N112" s="22"/>
      <c r="O112" s="22"/>
      <c r="P112" s="22"/>
      <c r="Q112" s="22"/>
      <c r="R112" s="22"/>
      <c r="S112" s="1"/>
      <c r="T112" s="8"/>
      <c r="U112" s="1"/>
      <c r="V112" s="1"/>
      <c r="W112" s="1"/>
      <c r="X112" s="1"/>
      <c r="Y112" s="1"/>
      <c r="Z112" s="1"/>
      <c r="AA112" s="1"/>
      <c r="AC112" s="1"/>
      <c r="AD112" s="1"/>
      <c r="AE112" s="1"/>
      <c r="AF112" s="26"/>
      <c r="AG112" s="26"/>
      <c r="AH112" s="26"/>
      <c r="AI112" s="26"/>
      <c r="AJ112" s="26"/>
      <c r="AK112" s="26"/>
      <c r="AL112" s="26"/>
      <c r="AM112" s="26"/>
      <c r="AN112" s="26"/>
      <c r="AO112" s="26"/>
      <c r="AP112" s="26"/>
      <c r="AQ112" s="26"/>
      <c r="AR112" s="26"/>
      <c r="AS112" s="26"/>
      <c r="AT112" s="26"/>
      <c r="AU112" s="26"/>
      <c r="AV112" s="1"/>
      <c r="AW112" s="26"/>
      <c r="AX112" s="26"/>
      <c r="AY112" s="26"/>
      <c r="AZ112" s="26"/>
      <c r="BA112" s="26"/>
      <c r="BB112" s="26"/>
      <c r="BC112" s="26"/>
      <c r="BD112" s="26"/>
      <c r="BE112" s="26"/>
      <c r="BF112" s="26"/>
      <c r="BG112" s="26"/>
      <c r="BH112" s="26"/>
      <c r="BI112" s="26"/>
      <c r="BJ112" s="26"/>
      <c r="BK112" s="26"/>
      <c r="BL112" s="26"/>
      <c r="BM112" s="26"/>
      <c r="BN112" s="26"/>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22"/>
      <c r="CO112" s="96"/>
      <c r="CP112" s="14"/>
      <c r="CQ112" s="14"/>
      <c r="CR112" s="14"/>
      <c r="CS112" s="14"/>
      <c r="CT112" s="22"/>
      <c r="CU112" s="14"/>
      <c r="CV112" s="22"/>
      <c r="CW112" s="22"/>
      <c r="CX112" s="14"/>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t="e">
        <f>-2.764958 - 1.706653 * LN(#REF!) + N("38d mg# r2 0.38")</f>
        <v>#REF!</v>
      </c>
      <c r="EX112" s="22"/>
      <c r="EY112" s="22"/>
      <c r="EZ112" s="22"/>
      <c r="FA112" s="22"/>
      <c r="FB112" s="22"/>
      <c r="FC112" s="22"/>
      <c r="FD112" s="49"/>
      <c r="FE112" s="46"/>
      <c r="FF112" s="46"/>
      <c r="FG112" s="46"/>
      <c r="FH112" s="46"/>
      <c r="FI112" s="46"/>
      <c r="FJ112" s="46"/>
      <c r="FK112" s="46"/>
      <c r="FL112" s="46"/>
      <c r="FM112" s="46"/>
      <c r="FN112" s="46"/>
      <c r="FO112" s="46"/>
    </row>
    <row r="113" spans="1:171" x14ac:dyDescent="0.25">
      <c r="A113" s="5"/>
      <c r="B113" s="1"/>
      <c r="C113" s="98"/>
      <c r="D113" s="98"/>
      <c r="E113" s="1"/>
      <c r="F113" s="22"/>
      <c r="G113" s="22"/>
      <c r="H113" s="22"/>
      <c r="I113" s="22"/>
      <c r="J113" s="22"/>
      <c r="K113" s="22"/>
      <c r="L113" s="22"/>
      <c r="M113" s="22"/>
      <c r="N113" s="22"/>
      <c r="O113" s="22"/>
      <c r="P113" s="22"/>
      <c r="Q113" s="22"/>
      <c r="R113" s="22"/>
      <c r="S113" s="1"/>
      <c r="T113" s="8"/>
      <c r="U113" s="1"/>
      <c r="V113" s="1"/>
      <c r="W113" s="1"/>
      <c r="X113" s="1"/>
      <c r="Y113" s="1"/>
      <c r="Z113" s="1"/>
      <c r="AA113" s="1"/>
      <c r="AC113" s="1"/>
      <c r="AD113" s="1"/>
      <c r="AE113" s="1"/>
      <c r="AF113" s="26"/>
      <c r="AG113" s="26"/>
      <c r="AH113" s="26"/>
      <c r="AI113" s="26"/>
      <c r="AJ113" s="26"/>
      <c r="AK113" s="26"/>
      <c r="AL113" s="26"/>
      <c r="AM113" s="26"/>
      <c r="AN113" s="26"/>
      <c r="AO113" s="26"/>
      <c r="AP113" s="26"/>
      <c r="AQ113" s="26"/>
      <c r="AR113" s="26"/>
      <c r="AS113" s="26"/>
      <c r="AT113" s="26"/>
      <c r="AU113" s="26"/>
      <c r="AV113" s="1"/>
      <c r="AW113" s="26"/>
      <c r="AX113" s="26"/>
      <c r="AY113" s="26"/>
      <c r="AZ113" s="26"/>
      <c r="BA113" s="26"/>
      <c r="BB113" s="26"/>
      <c r="BC113" s="26"/>
      <c r="BD113" s="26"/>
      <c r="BE113" s="26"/>
      <c r="BF113" s="26"/>
      <c r="BG113" s="26"/>
      <c r="BH113" s="26"/>
      <c r="BI113" s="26"/>
      <c r="BJ113" s="26"/>
      <c r="BK113" s="26"/>
      <c r="BL113" s="26"/>
      <c r="BM113" s="26"/>
      <c r="BN113" s="26"/>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22"/>
      <c r="CO113" s="96"/>
      <c r="CP113" s="14"/>
      <c r="CQ113" s="14"/>
      <c r="CR113" s="14"/>
      <c r="CS113" s="14"/>
      <c r="CT113" s="22"/>
      <c r="CU113" s="14"/>
      <c r="CV113" s="22"/>
      <c r="CW113" s="22"/>
      <c r="CX113" s="14"/>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49"/>
      <c r="FE113" s="46"/>
      <c r="FF113" s="46"/>
      <c r="FG113" s="46"/>
      <c r="FH113" s="46"/>
      <c r="FI113" s="46"/>
      <c r="FJ113" s="46"/>
      <c r="FK113" s="46"/>
      <c r="FL113" s="46"/>
      <c r="FM113" s="46"/>
      <c r="FN113" s="46"/>
      <c r="FO113" s="46"/>
    </row>
    <row r="114" spans="1:171" x14ac:dyDescent="0.25">
      <c r="A114" s="5"/>
      <c r="B114" s="1"/>
      <c r="C114" s="98"/>
      <c r="D114" s="98"/>
      <c r="E114" s="1"/>
      <c r="F114" s="22"/>
      <c r="G114" s="22"/>
      <c r="H114" s="22"/>
      <c r="I114" s="22"/>
      <c r="J114" s="22"/>
      <c r="K114" s="22"/>
      <c r="L114" s="22"/>
      <c r="M114" s="22"/>
      <c r="N114" s="22"/>
      <c r="O114" s="22"/>
      <c r="P114" s="22"/>
      <c r="Q114" s="22"/>
      <c r="R114" s="22"/>
      <c r="S114" s="1"/>
      <c r="T114" s="8"/>
      <c r="U114" s="1"/>
      <c r="V114" s="1"/>
      <c r="W114" s="1"/>
      <c r="X114" s="1"/>
      <c r="Y114" s="1"/>
      <c r="Z114" s="1"/>
      <c r="AA114" s="1"/>
      <c r="AC114" s="1"/>
      <c r="AD114" s="1"/>
      <c r="AE114" s="1"/>
      <c r="AF114" s="26"/>
      <c r="AG114" s="26"/>
      <c r="AH114" s="26"/>
      <c r="AI114" s="26"/>
      <c r="AJ114" s="26"/>
      <c r="AK114" s="26"/>
      <c r="AL114" s="26"/>
      <c r="AM114" s="26"/>
      <c r="AN114" s="26"/>
      <c r="AO114" s="26"/>
      <c r="AP114" s="26"/>
      <c r="AQ114" s="26"/>
      <c r="AR114" s="26"/>
      <c r="AS114" s="26"/>
      <c r="AT114" s="26"/>
      <c r="AU114" s="26"/>
      <c r="AV114" s="1"/>
      <c r="AW114" s="26"/>
      <c r="AX114" s="26"/>
      <c r="AY114" s="26"/>
      <c r="AZ114" s="26"/>
      <c r="BA114" s="26"/>
      <c r="BB114" s="26"/>
      <c r="BC114" s="26"/>
      <c r="BD114" s="26"/>
      <c r="BE114" s="26"/>
      <c r="BF114" s="26"/>
      <c r="BG114" s="26"/>
      <c r="BH114" s="26"/>
      <c r="BI114" s="26"/>
      <c r="BJ114" s="26"/>
      <c r="BK114" s="26"/>
      <c r="BL114" s="26"/>
      <c r="BM114" s="26"/>
      <c r="BN114" s="26"/>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22"/>
      <c r="CO114" s="96"/>
      <c r="CP114" s="14"/>
      <c r="CQ114" s="14"/>
      <c r="CR114" s="14"/>
      <c r="CS114" s="14"/>
      <c r="CT114" s="22"/>
      <c r="CU114" s="14"/>
      <c r="CV114" s="22"/>
      <c r="CW114" s="22"/>
      <c r="CX114" s="14"/>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49"/>
      <c r="FE114" s="46"/>
      <c r="FF114" s="46"/>
      <c r="FG114" s="46"/>
      <c r="FH114" s="46"/>
      <c r="FI114" s="46"/>
      <c r="FJ114" s="46"/>
      <c r="FK114" s="46"/>
      <c r="FL114" s="46"/>
      <c r="FM114" s="46"/>
      <c r="FN114" s="46"/>
      <c r="FO114" s="46"/>
    </row>
    <row r="115" spans="1:171" x14ac:dyDescent="0.25">
      <c r="A115" s="5"/>
      <c r="B115" s="1"/>
      <c r="C115" s="98"/>
      <c r="D115" s="98"/>
      <c r="E115" s="1"/>
      <c r="F115" s="22"/>
      <c r="G115" s="22"/>
      <c r="H115" s="22"/>
      <c r="I115" s="22"/>
      <c r="J115" s="22"/>
      <c r="K115" s="22"/>
      <c r="L115" s="22"/>
      <c r="M115" s="22"/>
      <c r="N115" s="22"/>
      <c r="O115" s="22"/>
      <c r="P115" s="22"/>
      <c r="Q115" s="22"/>
      <c r="R115" s="22"/>
      <c r="S115" s="1"/>
      <c r="T115" s="8"/>
      <c r="U115" s="1"/>
      <c r="V115" s="1"/>
      <c r="W115" s="1"/>
      <c r="X115" s="1"/>
      <c r="Y115" s="1"/>
      <c r="Z115" s="1"/>
      <c r="AA115" s="1"/>
      <c r="AC115" s="1"/>
      <c r="AD115" s="1"/>
      <c r="AE115" s="1"/>
      <c r="AF115" s="26"/>
      <c r="AG115" s="26"/>
      <c r="AH115" s="26"/>
      <c r="AI115" s="26"/>
      <c r="AJ115" s="26"/>
      <c r="AK115" s="26"/>
      <c r="AL115" s="26"/>
      <c r="AM115" s="26"/>
      <c r="AN115" s="26"/>
      <c r="AO115" s="26"/>
      <c r="AP115" s="26"/>
      <c r="AQ115" s="26"/>
      <c r="AR115" s="26"/>
      <c r="AS115" s="26"/>
      <c r="AT115" s="26"/>
      <c r="AU115" s="26"/>
      <c r="AV115" s="1"/>
      <c r="AW115" s="26"/>
      <c r="AX115" s="26"/>
      <c r="AY115" s="26"/>
      <c r="AZ115" s="26"/>
      <c r="BA115" s="26"/>
      <c r="BB115" s="26"/>
      <c r="BC115" s="26"/>
      <c r="BD115" s="26"/>
      <c r="BE115" s="26"/>
      <c r="BF115" s="26"/>
      <c r="BG115" s="26"/>
      <c r="BH115" s="26"/>
      <c r="BI115" s="26"/>
      <c r="BJ115" s="26"/>
      <c r="BK115" s="26"/>
      <c r="BL115" s="26"/>
      <c r="BM115" s="26"/>
      <c r="BN115" s="26"/>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22"/>
      <c r="CO115" s="96"/>
      <c r="CP115" s="14"/>
      <c r="CQ115" s="14"/>
      <c r="CR115" s="14"/>
      <c r="CS115" s="14"/>
      <c r="CT115" s="22"/>
      <c r="CU115" s="14"/>
      <c r="CV115" s="22"/>
      <c r="CW115" s="22"/>
      <c r="CX115" s="14"/>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49"/>
      <c r="FE115" s="46"/>
      <c r="FF115" s="46"/>
      <c r="FG115" s="46"/>
      <c r="FH115" s="46"/>
      <c r="FI115" s="46"/>
      <c r="FJ115" s="46"/>
      <c r="FK115" s="46"/>
      <c r="FL115" s="46"/>
      <c r="FM115" s="46"/>
      <c r="FN115" s="46"/>
      <c r="FO115" s="46"/>
    </row>
    <row r="116" spans="1:171" x14ac:dyDescent="0.25">
      <c r="A116" s="5"/>
      <c r="B116" s="1"/>
      <c r="C116" s="98"/>
      <c r="D116" s="98"/>
      <c r="E116" s="1"/>
      <c r="F116" s="22"/>
      <c r="G116" s="22"/>
      <c r="H116" s="22"/>
      <c r="I116" s="22"/>
      <c r="J116" s="22"/>
      <c r="K116" s="22"/>
      <c r="L116" s="22"/>
      <c r="M116" s="22"/>
      <c r="N116" s="22"/>
      <c r="O116" s="22"/>
      <c r="P116" s="22"/>
      <c r="Q116" s="22"/>
      <c r="R116" s="22"/>
      <c r="S116" s="1"/>
      <c r="T116" s="8"/>
      <c r="U116" s="1"/>
      <c r="V116" s="1"/>
      <c r="W116" s="1"/>
      <c r="X116" s="1"/>
      <c r="Y116" s="1"/>
      <c r="Z116" s="1"/>
      <c r="AA116" s="1"/>
      <c r="AC116" s="1"/>
      <c r="AD116" s="1"/>
      <c r="AE116" s="1"/>
      <c r="AF116" s="26"/>
      <c r="AG116" s="26"/>
      <c r="AH116" s="26"/>
      <c r="AI116" s="26"/>
      <c r="AJ116" s="26"/>
      <c r="AK116" s="26"/>
      <c r="AL116" s="26"/>
      <c r="AM116" s="26"/>
      <c r="AN116" s="26"/>
      <c r="AO116" s="26"/>
      <c r="AP116" s="26"/>
      <c r="AQ116" s="26"/>
      <c r="AR116" s="26"/>
      <c r="AS116" s="26"/>
      <c r="AT116" s="26"/>
      <c r="AU116" s="26"/>
      <c r="AV116" s="1"/>
      <c r="AW116" s="26"/>
      <c r="AX116" s="26"/>
      <c r="AY116" s="26"/>
      <c r="AZ116" s="26"/>
      <c r="BA116" s="26"/>
      <c r="BB116" s="26"/>
      <c r="BC116" s="26"/>
      <c r="BD116" s="26"/>
      <c r="BE116" s="26"/>
      <c r="BF116" s="26"/>
      <c r="BG116" s="26"/>
      <c r="BH116" s="26"/>
      <c r="BI116" s="26"/>
      <c r="BJ116" s="26"/>
      <c r="BK116" s="26"/>
      <c r="BL116" s="26"/>
      <c r="BM116" s="26"/>
      <c r="BN116" s="26"/>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22"/>
      <c r="CO116" s="96"/>
      <c r="CP116" s="14"/>
      <c r="CQ116" s="14"/>
      <c r="CR116" s="14"/>
      <c r="CS116" s="14"/>
      <c r="CT116" s="22"/>
      <c r="CU116" s="14"/>
      <c r="CV116" s="22"/>
      <c r="CW116" s="22"/>
      <c r="CX116" s="14"/>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49"/>
      <c r="FE116" s="46"/>
      <c r="FF116" s="46"/>
      <c r="FG116" s="46"/>
      <c r="FH116" s="46"/>
      <c r="FI116" s="46"/>
      <c r="FJ116" s="46"/>
      <c r="FK116" s="46"/>
      <c r="FL116" s="46"/>
      <c r="FM116" s="46"/>
      <c r="FN116" s="46"/>
      <c r="FO116" s="46"/>
    </row>
    <row r="117" spans="1:171" x14ac:dyDescent="0.25">
      <c r="A117" s="5"/>
      <c r="B117" s="1"/>
      <c r="C117" s="98"/>
      <c r="D117" s="98"/>
      <c r="E117" s="1"/>
      <c r="F117" s="22"/>
      <c r="G117" s="22"/>
      <c r="H117" s="22"/>
      <c r="I117" s="22"/>
      <c r="J117" s="22"/>
      <c r="K117" s="22"/>
      <c r="L117" s="22"/>
      <c r="M117" s="22"/>
      <c r="N117" s="22"/>
      <c r="O117" s="22"/>
      <c r="P117" s="22"/>
      <c r="Q117" s="22"/>
      <c r="R117" s="22"/>
      <c r="S117" s="1"/>
      <c r="T117" s="8"/>
      <c r="U117" s="1"/>
      <c r="V117" s="1"/>
      <c r="W117" s="1"/>
      <c r="X117" s="1"/>
      <c r="Y117" s="1"/>
      <c r="Z117" s="1"/>
      <c r="AA117" s="1"/>
      <c r="AC117" s="1"/>
      <c r="AD117" s="1"/>
      <c r="AE117" s="1"/>
      <c r="AF117" s="26"/>
      <c r="AG117" s="26"/>
      <c r="AH117" s="26"/>
      <c r="AI117" s="26"/>
      <c r="AJ117" s="26"/>
      <c r="AK117" s="26"/>
      <c r="AL117" s="26"/>
      <c r="AM117" s="26"/>
      <c r="AN117" s="26"/>
      <c r="AO117" s="26"/>
      <c r="AP117" s="26"/>
      <c r="AQ117" s="26"/>
      <c r="AR117" s="26"/>
      <c r="AS117" s="26"/>
      <c r="AT117" s="26"/>
      <c r="AU117" s="26"/>
      <c r="AV117" s="1"/>
      <c r="AW117" s="26"/>
      <c r="AX117" s="26"/>
      <c r="AY117" s="26"/>
      <c r="AZ117" s="26"/>
      <c r="BA117" s="26"/>
      <c r="BB117" s="26"/>
      <c r="BC117" s="26"/>
      <c r="BD117" s="26"/>
      <c r="BE117" s="26"/>
      <c r="BF117" s="26"/>
      <c r="BG117" s="26"/>
      <c r="BH117" s="26"/>
      <c r="BI117" s="26"/>
      <c r="BJ117" s="26"/>
      <c r="BK117" s="26"/>
      <c r="BL117" s="26"/>
      <c r="BM117" s="26"/>
      <c r="BN117" s="26"/>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22"/>
      <c r="CO117" s="96"/>
      <c r="CP117" s="14"/>
      <c r="CQ117" s="14"/>
      <c r="CR117" s="14"/>
      <c r="CS117" s="14"/>
      <c r="CT117" s="22"/>
      <c r="CU117" s="14"/>
      <c r="CV117" s="22"/>
      <c r="CW117" s="22"/>
      <c r="CX117" s="14"/>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49"/>
      <c r="FE117" s="46"/>
      <c r="FF117" s="46"/>
      <c r="FG117" s="46"/>
      <c r="FH117" s="46"/>
      <c r="FI117" s="46"/>
      <c r="FJ117" s="46"/>
      <c r="FK117" s="46"/>
      <c r="FL117" s="46"/>
      <c r="FM117" s="46"/>
      <c r="FN117" s="46"/>
      <c r="FO117" s="46"/>
    </row>
    <row r="118" spans="1:171" x14ac:dyDescent="0.25">
      <c r="A118" s="5"/>
      <c r="B118" s="1"/>
      <c r="C118" s="98"/>
      <c r="D118" s="98"/>
      <c r="E118" s="1"/>
      <c r="F118" s="22"/>
      <c r="G118" s="22"/>
      <c r="H118" s="22"/>
      <c r="I118" s="22"/>
      <c r="J118" s="22"/>
      <c r="K118" s="22"/>
      <c r="L118" s="22"/>
      <c r="M118" s="22"/>
      <c r="N118" s="22"/>
      <c r="O118" s="22"/>
      <c r="P118" s="22"/>
      <c r="Q118" s="22"/>
      <c r="R118" s="22"/>
      <c r="S118" s="1"/>
      <c r="T118" s="8"/>
      <c r="U118" s="1"/>
      <c r="V118" s="1"/>
      <c r="W118" s="1"/>
      <c r="X118" s="1"/>
      <c r="Y118" s="1"/>
      <c r="Z118" s="1"/>
      <c r="AA118" s="1"/>
      <c r="AC118" s="1"/>
      <c r="AD118" s="1"/>
      <c r="AE118" s="1"/>
      <c r="AF118" s="26"/>
      <c r="AG118" s="26"/>
      <c r="AH118" s="26"/>
      <c r="AI118" s="26"/>
      <c r="AJ118" s="26"/>
      <c r="AK118" s="26"/>
      <c r="AL118" s="26"/>
      <c r="AM118" s="26"/>
      <c r="AN118" s="26"/>
      <c r="AO118" s="26"/>
      <c r="AP118" s="26"/>
      <c r="AQ118" s="26"/>
      <c r="AR118" s="26"/>
      <c r="AS118" s="26"/>
      <c r="AT118" s="26"/>
      <c r="AU118" s="26"/>
      <c r="AV118" s="1"/>
      <c r="AW118" s="26"/>
      <c r="AX118" s="26"/>
      <c r="AY118" s="26"/>
      <c r="AZ118" s="26"/>
      <c r="BA118" s="26"/>
      <c r="BB118" s="26"/>
      <c r="BC118" s="26"/>
      <c r="BD118" s="26"/>
      <c r="BE118" s="26"/>
      <c r="BF118" s="26"/>
      <c r="BG118" s="26"/>
      <c r="BH118" s="26"/>
      <c r="BI118" s="26"/>
      <c r="BJ118" s="26"/>
      <c r="BK118" s="26"/>
      <c r="BL118" s="26"/>
      <c r="BM118" s="26"/>
      <c r="BN118" s="26"/>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22"/>
      <c r="CO118" s="96"/>
      <c r="CP118" s="14"/>
      <c r="CQ118" s="14"/>
      <c r="CR118" s="14"/>
      <c r="CS118" s="14"/>
      <c r="CT118" s="22"/>
      <c r="CU118" s="14"/>
      <c r="CV118" s="22"/>
      <c r="CW118" s="22"/>
      <c r="CX118" s="14"/>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49"/>
      <c r="FE118" s="46"/>
      <c r="FF118" s="46"/>
      <c r="FG118" s="46"/>
      <c r="FH118" s="46"/>
      <c r="FI118" s="46"/>
      <c r="FJ118" s="46"/>
      <c r="FK118" s="46"/>
      <c r="FL118" s="46"/>
      <c r="FM118" s="46"/>
      <c r="FN118" s="46"/>
      <c r="FO118" s="46"/>
    </row>
    <row r="119" spans="1:171" x14ac:dyDescent="0.25">
      <c r="A119" s="5"/>
      <c r="B119" s="1"/>
      <c r="C119" s="98"/>
      <c r="D119" s="98"/>
      <c r="E119" s="1"/>
      <c r="F119" s="22"/>
      <c r="G119" s="22"/>
      <c r="H119" s="22"/>
      <c r="I119" s="22"/>
      <c r="J119" s="22"/>
      <c r="K119" s="22"/>
      <c r="L119" s="22"/>
      <c r="M119" s="22"/>
      <c r="N119" s="22"/>
      <c r="O119" s="22"/>
      <c r="P119" s="22"/>
      <c r="Q119" s="22"/>
      <c r="R119" s="22"/>
      <c r="S119" s="1"/>
      <c r="T119" s="8"/>
      <c r="U119" s="1"/>
      <c r="V119" s="1"/>
      <c r="W119" s="1"/>
      <c r="X119" s="1"/>
      <c r="Y119" s="1"/>
      <c r="Z119" s="1"/>
      <c r="AA119" s="1"/>
      <c r="AC119" s="1"/>
      <c r="AD119" s="1"/>
      <c r="AE119" s="1"/>
      <c r="AF119" s="26"/>
      <c r="AG119" s="26"/>
      <c r="AH119" s="26"/>
      <c r="AI119" s="26"/>
      <c r="AJ119" s="26"/>
      <c r="AK119" s="26"/>
      <c r="AL119" s="26"/>
      <c r="AM119" s="26"/>
      <c r="AN119" s="26"/>
      <c r="AO119" s="26"/>
      <c r="AP119" s="26"/>
      <c r="AQ119" s="26"/>
      <c r="AR119" s="26"/>
      <c r="AS119" s="26"/>
      <c r="AT119" s="26"/>
      <c r="AU119" s="26"/>
      <c r="AV119" s="1"/>
      <c r="AW119" s="26"/>
      <c r="AX119" s="26"/>
      <c r="AY119" s="26"/>
      <c r="AZ119" s="26"/>
      <c r="BA119" s="26"/>
      <c r="BB119" s="26"/>
      <c r="BC119" s="26"/>
      <c r="BD119" s="26"/>
      <c r="BE119" s="26"/>
      <c r="BF119" s="26"/>
      <c r="BG119" s="26"/>
      <c r="BH119" s="26"/>
      <c r="BI119" s="26"/>
      <c r="BJ119" s="26"/>
      <c r="BK119" s="26"/>
      <c r="BL119" s="26"/>
      <c r="BM119" s="26"/>
      <c r="BN119" s="26"/>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22"/>
      <c r="CO119" s="96"/>
      <c r="CP119" s="14"/>
      <c r="CQ119" s="14"/>
      <c r="CR119" s="14"/>
      <c r="CS119" s="14"/>
      <c r="CT119" s="22"/>
      <c r="CU119" s="14"/>
      <c r="CV119" s="22"/>
      <c r="CW119" s="22"/>
      <c r="CX119" s="14"/>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49"/>
      <c r="FE119" s="46"/>
      <c r="FF119" s="46"/>
      <c r="FG119" s="46"/>
      <c r="FH119" s="46"/>
      <c r="FI119" s="46"/>
      <c r="FJ119" s="46"/>
      <c r="FK119" s="46"/>
      <c r="FL119" s="46"/>
      <c r="FM119" s="46"/>
      <c r="FN119" s="46"/>
      <c r="FO119" s="46"/>
    </row>
    <row r="120" spans="1:171" x14ac:dyDescent="0.25">
      <c r="A120" s="5"/>
      <c r="B120" s="1"/>
      <c r="C120" s="98"/>
      <c r="D120" s="98"/>
      <c r="E120" s="1"/>
      <c r="F120" s="22"/>
      <c r="G120" s="22"/>
      <c r="H120" s="22"/>
      <c r="I120" s="22"/>
      <c r="J120" s="22"/>
      <c r="K120" s="22"/>
      <c r="L120" s="22"/>
      <c r="M120" s="22"/>
      <c r="N120" s="22"/>
      <c r="O120" s="22"/>
      <c r="P120" s="22"/>
      <c r="Q120" s="22"/>
      <c r="R120" s="22"/>
      <c r="S120" s="1"/>
      <c r="T120" s="8"/>
      <c r="U120" s="1"/>
      <c r="V120" s="1"/>
      <c r="W120" s="1"/>
      <c r="X120" s="1"/>
      <c r="Y120" s="1"/>
      <c r="Z120" s="1"/>
      <c r="AA120" s="1"/>
      <c r="AC120" s="1"/>
      <c r="AD120" s="1"/>
      <c r="AE120" s="1"/>
      <c r="AF120" s="26"/>
      <c r="AG120" s="26"/>
      <c r="AH120" s="26"/>
      <c r="AI120" s="26"/>
      <c r="AJ120" s="26"/>
      <c r="AK120" s="26"/>
      <c r="AL120" s="26"/>
      <c r="AM120" s="26"/>
      <c r="AN120" s="26"/>
      <c r="AO120" s="26"/>
      <c r="AP120" s="26"/>
      <c r="AQ120" s="26"/>
      <c r="AR120" s="26"/>
      <c r="AS120" s="26"/>
      <c r="AT120" s="26"/>
      <c r="AU120" s="26"/>
      <c r="AV120" s="1"/>
      <c r="AW120" s="26"/>
      <c r="AX120" s="26"/>
      <c r="AY120" s="26"/>
      <c r="AZ120" s="26"/>
      <c r="BA120" s="26"/>
      <c r="BB120" s="26"/>
      <c r="BC120" s="26"/>
      <c r="BD120" s="26"/>
      <c r="BE120" s="26"/>
      <c r="BF120" s="26"/>
      <c r="BG120" s="26"/>
      <c r="BH120" s="26"/>
      <c r="BI120" s="26"/>
      <c r="BJ120" s="26"/>
      <c r="BK120" s="26"/>
      <c r="BL120" s="26"/>
      <c r="BM120" s="26"/>
      <c r="BN120" s="26"/>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22"/>
      <c r="CO120" s="96"/>
      <c r="CP120" s="14"/>
      <c r="CQ120" s="14"/>
      <c r="CR120" s="14"/>
      <c r="CS120" s="14"/>
      <c r="CT120" s="22"/>
      <c r="CU120" s="14"/>
      <c r="CV120" s="22"/>
      <c r="CW120" s="22"/>
      <c r="CX120" s="14"/>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49"/>
      <c r="FE120" s="46"/>
      <c r="FF120" s="46"/>
      <c r="FG120" s="46"/>
      <c r="FH120" s="46"/>
      <c r="FI120" s="46"/>
      <c r="FJ120" s="46"/>
      <c r="FK120" s="46"/>
      <c r="FL120" s="46"/>
      <c r="FM120" s="46"/>
      <c r="FN120" s="46"/>
      <c r="FO120" s="46"/>
    </row>
    <row r="121" spans="1:171" x14ac:dyDescent="0.25">
      <c r="A121" s="5"/>
      <c r="B121" s="1"/>
      <c r="C121" s="98"/>
      <c r="D121" s="98"/>
      <c r="E121" s="1"/>
      <c r="F121" s="22"/>
      <c r="G121" s="22"/>
      <c r="H121" s="22"/>
      <c r="I121" s="22"/>
      <c r="J121" s="22"/>
      <c r="K121" s="22"/>
      <c r="L121" s="22"/>
      <c r="M121" s="22"/>
      <c r="N121" s="22"/>
      <c r="O121" s="22"/>
      <c r="P121" s="22"/>
      <c r="Q121" s="22"/>
      <c r="R121" s="22"/>
      <c r="S121" s="1"/>
      <c r="T121" s="8"/>
      <c r="U121" s="1"/>
      <c r="V121" s="1"/>
      <c r="W121" s="1"/>
      <c r="X121" s="1"/>
      <c r="Y121" s="1"/>
      <c r="Z121" s="1"/>
      <c r="AA121" s="1"/>
      <c r="AC121" s="1"/>
      <c r="AD121" s="1"/>
      <c r="AE121" s="1"/>
      <c r="AF121" s="26"/>
      <c r="AG121" s="26"/>
      <c r="AH121" s="26"/>
      <c r="AI121" s="26"/>
      <c r="AJ121" s="26"/>
      <c r="AK121" s="26"/>
      <c r="AL121" s="26"/>
      <c r="AM121" s="26"/>
      <c r="AN121" s="26"/>
      <c r="AO121" s="26"/>
      <c r="AP121" s="26"/>
      <c r="AQ121" s="26"/>
      <c r="AR121" s="26"/>
      <c r="AS121" s="26"/>
      <c r="AT121" s="26"/>
      <c r="AU121" s="26"/>
      <c r="AV121" s="1"/>
      <c r="AW121" s="26"/>
      <c r="AX121" s="26"/>
      <c r="AY121" s="26"/>
      <c r="AZ121" s="26"/>
      <c r="BA121" s="26"/>
      <c r="BB121" s="26"/>
      <c r="BC121" s="26"/>
      <c r="BD121" s="26"/>
      <c r="BE121" s="26"/>
      <c r="BF121" s="26"/>
      <c r="BG121" s="26"/>
      <c r="BH121" s="26"/>
      <c r="BI121" s="26"/>
      <c r="BJ121" s="26"/>
      <c r="BK121" s="26"/>
      <c r="BL121" s="26"/>
      <c r="BM121" s="26"/>
      <c r="BN121" s="26"/>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22"/>
      <c r="CO121" s="96"/>
      <c r="CP121" s="14"/>
      <c r="CQ121" s="14"/>
      <c r="CR121" s="14"/>
      <c r="CS121" s="14"/>
      <c r="CT121" s="22"/>
      <c r="CU121" s="14"/>
      <c r="CV121" s="22"/>
      <c r="CW121" s="22"/>
      <c r="CX121" s="14"/>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49"/>
      <c r="FE121" s="46"/>
      <c r="FF121" s="46"/>
      <c r="FG121" s="46"/>
      <c r="FH121" s="46"/>
      <c r="FI121" s="46"/>
      <c r="FJ121" s="46"/>
      <c r="FK121" s="46"/>
      <c r="FL121" s="46"/>
      <c r="FM121" s="46"/>
      <c r="FN121" s="46"/>
      <c r="FO121" s="46"/>
    </row>
    <row r="122" spans="1:171" x14ac:dyDescent="0.25">
      <c r="A122" s="5"/>
      <c r="B122" s="1"/>
      <c r="C122" s="98"/>
      <c r="D122" s="98"/>
      <c r="E122" s="1"/>
      <c r="F122" s="22"/>
      <c r="G122" s="22"/>
      <c r="H122" s="22"/>
      <c r="I122" s="22"/>
      <c r="J122" s="22"/>
      <c r="K122" s="22"/>
      <c r="L122" s="22"/>
      <c r="M122" s="22"/>
      <c r="N122" s="22"/>
      <c r="O122" s="22"/>
      <c r="P122" s="22"/>
      <c r="Q122" s="22"/>
      <c r="R122" s="22"/>
      <c r="S122" s="1"/>
      <c r="T122" s="8"/>
      <c r="U122" s="1"/>
      <c r="V122" s="1"/>
      <c r="W122" s="1"/>
      <c r="X122" s="1"/>
      <c r="Y122" s="1"/>
      <c r="Z122" s="1"/>
      <c r="AA122" s="1"/>
      <c r="AC122" s="1"/>
      <c r="AD122" s="1"/>
      <c r="AE122" s="1"/>
      <c r="AF122" s="26"/>
      <c r="AG122" s="26"/>
      <c r="AH122" s="26"/>
      <c r="AI122" s="26"/>
      <c r="AJ122" s="26"/>
      <c r="AK122" s="26"/>
      <c r="AL122" s="26"/>
      <c r="AM122" s="26"/>
      <c r="AN122" s="26"/>
      <c r="AO122" s="26"/>
      <c r="AP122" s="26"/>
      <c r="AQ122" s="26"/>
      <c r="AR122" s="26"/>
      <c r="AS122" s="26"/>
      <c r="AT122" s="26"/>
      <c r="AU122" s="26"/>
      <c r="AV122" s="1"/>
      <c r="AW122" s="26"/>
      <c r="AX122" s="26"/>
      <c r="AY122" s="26"/>
      <c r="AZ122" s="26"/>
      <c r="BA122" s="26"/>
      <c r="BB122" s="26"/>
      <c r="BC122" s="26"/>
      <c r="BD122" s="26"/>
      <c r="BE122" s="26"/>
      <c r="BF122" s="26"/>
      <c r="BG122" s="26"/>
      <c r="BH122" s="26"/>
      <c r="BI122" s="26"/>
      <c r="BJ122" s="26"/>
      <c r="BK122" s="26"/>
      <c r="BL122" s="26"/>
      <c r="BM122" s="26"/>
      <c r="BN122" s="26"/>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22"/>
      <c r="CO122" s="96"/>
      <c r="CP122" s="14"/>
      <c r="CQ122" s="14"/>
      <c r="CR122" s="14"/>
      <c r="CS122" s="14"/>
      <c r="CT122" s="22"/>
      <c r="CU122" s="14"/>
      <c r="CV122" s="22"/>
      <c r="CW122" s="22"/>
      <c r="CX122" s="14"/>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49"/>
      <c r="FE122" s="46"/>
      <c r="FF122" s="46"/>
      <c r="FG122" s="46"/>
      <c r="FH122" s="46"/>
      <c r="FI122" s="46"/>
      <c r="FJ122" s="46"/>
      <c r="FK122" s="46"/>
      <c r="FL122" s="46"/>
      <c r="FM122" s="46"/>
      <c r="FN122" s="46"/>
      <c r="FO122" s="46"/>
    </row>
    <row r="123" spans="1:171" x14ac:dyDescent="0.25">
      <c r="A123" s="5"/>
      <c r="B123" s="1"/>
      <c r="C123" s="98"/>
      <c r="D123" s="98"/>
      <c r="E123" s="1"/>
      <c r="F123" s="22"/>
      <c r="G123" s="22"/>
      <c r="H123" s="22"/>
      <c r="I123" s="22"/>
      <c r="J123" s="22"/>
      <c r="K123" s="22"/>
      <c r="L123" s="22"/>
      <c r="M123" s="22"/>
      <c r="N123" s="22"/>
      <c r="O123" s="22"/>
      <c r="P123" s="22"/>
      <c r="Q123" s="22"/>
      <c r="R123" s="1"/>
      <c r="S123" s="1"/>
      <c r="T123" s="8"/>
      <c r="U123" s="1"/>
      <c r="V123" s="1"/>
      <c r="W123" s="1"/>
      <c r="X123" s="1"/>
      <c r="Y123" s="1"/>
      <c r="Z123" s="1"/>
      <c r="AA123" s="1"/>
      <c r="AC123" s="1"/>
      <c r="AD123" s="1"/>
      <c r="AE123" s="1"/>
      <c r="AF123" s="1"/>
      <c r="AG123" s="1"/>
      <c r="AH123" s="26"/>
      <c r="AI123" s="26"/>
      <c r="AJ123" s="26"/>
      <c r="AK123" s="26"/>
      <c r="AL123" s="26"/>
      <c r="AM123" s="26"/>
      <c r="AN123" s="26"/>
      <c r="AO123" s="26"/>
      <c r="AP123" s="26"/>
      <c r="AQ123" s="26"/>
      <c r="AR123" s="26"/>
      <c r="AS123" s="26"/>
      <c r="AT123" s="26"/>
      <c r="AU123" s="26"/>
      <c r="AV123" s="26"/>
      <c r="AW123" s="26"/>
      <c r="AX123" s="26"/>
      <c r="AY123" s="1"/>
      <c r="AZ123" s="26"/>
      <c r="BA123" s="26"/>
      <c r="BB123" s="26"/>
      <c r="BC123" s="26"/>
      <c r="BD123" s="26"/>
      <c r="BE123" s="26"/>
      <c r="BF123" s="26"/>
      <c r="BG123" s="26"/>
      <c r="BH123" s="26"/>
      <c r="BI123" s="26"/>
      <c r="BJ123" s="26"/>
      <c r="BK123" s="26"/>
      <c r="BL123" s="26"/>
      <c r="BM123" s="26"/>
      <c r="BN123" s="26"/>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96"/>
      <c r="CP123" s="14"/>
      <c r="CQ123" s="14"/>
      <c r="CR123" s="14"/>
      <c r="CS123" s="14"/>
      <c r="CT123" s="1"/>
      <c r="CU123" s="14"/>
      <c r="CV123" s="1"/>
      <c r="CW123" s="1"/>
      <c r="CX123" s="14"/>
      <c r="CY123" s="1"/>
      <c r="CZ123" s="1"/>
      <c r="DA123" s="1"/>
      <c r="DB123" s="1"/>
      <c r="DC123" s="1"/>
      <c r="DD123" s="1"/>
      <c r="DE123" s="1"/>
      <c r="DF123" s="1"/>
      <c r="DG123" s="1"/>
      <c r="DH123" s="1"/>
      <c r="DI123" s="1"/>
      <c r="DJ123" s="1"/>
      <c r="DK123" s="1"/>
      <c r="DL123" s="1"/>
      <c r="DM123" s="1"/>
      <c r="DN123" s="1"/>
      <c r="DO123" s="1"/>
      <c r="DP123" s="1"/>
      <c r="DQ123" s="1"/>
      <c r="DR123" s="1"/>
      <c r="DS123" s="1"/>
      <c r="DT123" s="1"/>
      <c r="DU123" s="14"/>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29"/>
    </row>
    <row r="124" spans="1:171" x14ac:dyDescent="0.25">
      <c r="A124" s="5"/>
      <c r="B124" s="1"/>
      <c r="C124" s="98"/>
      <c r="D124" s="98"/>
      <c r="E124" s="1"/>
      <c r="F124" s="22"/>
      <c r="G124" s="22"/>
      <c r="H124" s="22"/>
      <c r="I124" s="22"/>
      <c r="J124" s="22"/>
      <c r="K124" s="22"/>
      <c r="L124" s="22"/>
      <c r="M124" s="22"/>
      <c r="N124" s="22"/>
      <c r="O124" s="22"/>
      <c r="P124" s="22"/>
      <c r="Q124" s="22"/>
      <c r="R124" s="1"/>
      <c r="S124" s="1"/>
      <c r="T124" s="8"/>
      <c r="U124" s="1"/>
      <c r="V124" s="1"/>
      <c r="W124" s="1"/>
      <c r="X124" s="1"/>
      <c r="Y124" s="1"/>
      <c r="Z124" s="1"/>
      <c r="AA124" s="1"/>
      <c r="AC124" s="1"/>
      <c r="AD124" s="1"/>
      <c r="AE124" s="1"/>
      <c r="AF124" s="1"/>
      <c r="AG124" s="1"/>
      <c r="AH124" s="26"/>
      <c r="AI124" s="26"/>
      <c r="AJ124" s="26"/>
      <c r="AK124" s="26"/>
      <c r="AL124" s="26"/>
      <c r="AM124" s="26"/>
      <c r="AN124" s="26"/>
      <c r="AO124" s="26"/>
      <c r="AP124" s="26"/>
      <c r="AQ124" s="26"/>
      <c r="AR124" s="26"/>
      <c r="AS124" s="26"/>
      <c r="AT124" s="26"/>
      <c r="AU124" s="26"/>
      <c r="AV124" s="26"/>
      <c r="AW124" s="26"/>
      <c r="AX124" s="26"/>
      <c r="AY124" s="1"/>
      <c r="AZ124" s="26"/>
      <c r="BA124" s="26"/>
      <c r="BB124" s="26"/>
      <c r="BC124" s="26"/>
      <c r="BD124" s="26"/>
      <c r="BE124" s="26"/>
      <c r="BF124" s="26"/>
      <c r="BG124" s="26"/>
      <c r="BH124" s="26"/>
      <c r="BI124" s="26"/>
      <c r="BJ124" s="26"/>
      <c r="BK124" s="26"/>
      <c r="BL124" s="26"/>
      <c r="BM124" s="26"/>
      <c r="BN124" s="26"/>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96"/>
      <c r="CP124" s="14"/>
      <c r="CQ124" s="14"/>
      <c r="CR124" s="14"/>
      <c r="CS124" s="14"/>
      <c r="CT124" s="1"/>
      <c r="CU124" s="14"/>
      <c r="CV124" s="1"/>
      <c r="CW124" s="1"/>
      <c r="CX124" s="14"/>
      <c r="CY124" s="1"/>
      <c r="CZ124" s="1"/>
      <c r="DA124" s="1"/>
      <c r="DB124" s="1"/>
      <c r="DC124" s="1"/>
      <c r="DD124" s="1"/>
      <c r="DE124" s="1"/>
      <c r="DF124" s="1"/>
      <c r="DG124" s="1"/>
      <c r="DH124" s="1"/>
      <c r="DI124" s="1"/>
      <c r="DJ124" s="1"/>
      <c r="DK124" s="1"/>
      <c r="DL124" s="1"/>
      <c r="DM124" s="1"/>
      <c r="DN124" s="1"/>
      <c r="DO124" s="1"/>
      <c r="DP124" s="1"/>
      <c r="DQ124" s="1"/>
      <c r="DR124" s="1"/>
      <c r="DS124" s="1"/>
      <c r="DT124" s="1"/>
      <c r="DU124" s="14"/>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29"/>
    </row>
    <row r="125" spans="1:171" x14ac:dyDescent="0.25">
      <c r="A125" s="5"/>
      <c r="B125" s="1"/>
      <c r="C125" s="98"/>
      <c r="D125" s="98"/>
      <c r="E125" s="1"/>
      <c r="F125" s="22"/>
      <c r="G125" s="22"/>
      <c r="H125" s="22"/>
      <c r="I125" s="22"/>
      <c r="J125" s="22"/>
      <c r="K125" s="22"/>
      <c r="L125" s="22"/>
      <c r="M125" s="22"/>
      <c r="N125" s="22"/>
      <c r="O125" s="22"/>
      <c r="P125" s="22"/>
      <c r="Q125" s="22"/>
      <c r="R125" s="1"/>
      <c r="S125" s="1"/>
      <c r="T125" s="8"/>
      <c r="U125" s="1"/>
      <c r="V125" s="1"/>
      <c r="W125" s="1"/>
      <c r="X125" s="1"/>
      <c r="Y125" s="1"/>
      <c r="Z125" s="1"/>
      <c r="AA125" s="1"/>
      <c r="AC125" s="1"/>
      <c r="AD125" s="1"/>
      <c r="AE125" s="1"/>
      <c r="AF125" s="1"/>
      <c r="AG125" s="1"/>
      <c r="AH125" s="26"/>
      <c r="AI125" s="26"/>
      <c r="AJ125" s="26"/>
      <c r="AK125" s="26"/>
      <c r="AL125" s="26"/>
      <c r="AM125" s="26"/>
      <c r="AN125" s="26"/>
      <c r="AO125" s="26"/>
      <c r="AP125" s="26"/>
      <c r="AQ125" s="26"/>
      <c r="AR125" s="26"/>
      <c r="AS125" s="26"/>
      <c r="AT125" s="26"/>
      <c r="AU125" s="26"/>
      <c r="AV125" s="26"/>
      <c r="AW125" s="26"/>
      <c r="AX125" s="26"/>
      <c r="AY125" s="1"/>
      <c r="AZ125" s="26"/>
      <c r="BA125" s="26"/>
      <c r="BB125" s="26"/>
      <c r="BC125" s="26"/>
      <c r="BD125" s="26"/>
      <c r="BE125" s="26"/>
      <c r="BF125" s="26"/>
      <c r="BG125" s="26"/>
      <c r="BH125" s="26"/>
      <c r="BI125" s="26"/>
      <c r="BJ125" s="26"/>
      <c r="BK125" s="26"/>
      <c r="BL125" s="26"/>
      <c r="BM125" s="26"/>
      <c r="BN125" s="26"/>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96"/>
      <c r="CP125" s="14"/>
      <c r="CQ125" s="14"/>
      <c r="CR125" s="14"/>
      <c r="CS125" s="14"/>
      <c r="CT125" s="1"/>
      <c r="CU125" s="14"/>
      <c r="CV125" s="1"/>
      <c r="CW125" s="1"/>
      <c r="CX125" s="14"/>
      <c r="CY125" s="1"/>
      <c r="CZ125" s="1"/>
      <c r="DA125" s="1"/>
      <c r="DB125" s="1"/>
      <c r="DC125" s="1"/>
      <c r="DD125" s="1"/>
      <c r="DE125" s="1"/>
      <c r="DF125" s="1"/>
      <c r="DG125" s="1"/>
      <c r="DH125" s="1"/>
      <c r="DI125" s="1"/>
      <c r="DJ125" s="1"/>
      <c r="DK125" s="1"/>
      <c r="DL125" s="1"/>
      <c r="DM125" s="1"/>
      <c r="DN125" s="1"/>
      <c r="DO125" s="1"/>
      <c r="DP125" s="1"/>
      <c r="DQ125" s="1"/>
      <c r="DR125" s="1"/>
      <c r="DS125" s="1"/>
      <c r="DT125" s="1"/>
      <c r="DU125" s="14"/>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29"/>
    </row>
    <row r="126" spans="1:171" x14ac:dyDescent="0.25">
      <c r="A126" s="5"/>
      <c r="B126" s="1"/>
      <c r="C126" s="98"/>
      <c r="D126" s="98"/>
      <c r="E126" s="1"/>
      <c r="F126" s="22"/>
      <c r="G126" s="22"/>
      <c r="H126" s="22"/>
      <c r="I126" s="22"/>
      <c r="J126" s="22"/>
      <c r="K126" s="22"/>
      <c r="L126" s="22"/>
      <c r="M126" s="22"/>
      <c r="N126" s="22"/>
      <c r="O126" s="22"/>
      <c r="P126" s="22"/>
      <c r="Q126" s="22"/>
      <c r="R126" s="1"/>
      <c r="S126" s="1"/>
      <c r="T126" s="8"/>
      <c r="U126" s="1"/>
      <c r="V126" s="1"/>
      <c r="W126" s="1"/>
      <c r="X126" s="1"/>
      <c r="Y126" s="1"/>
      <c r="Z126" s="1"/>
      <c r="AA126" s="1"/>
      <c r="AC126" s="1"/>
      <c r="AD126" s="1"/>
      <c r="AE126" s="1"/>
      <c r="AF126" s="1"/>
      <c r="AG126" s="1"/>
      <c r="AH126" s="26"/>
      <c r="AI126" s="26"/>
      <c r="AJ126" s="26"/>
      <c r="AK126" s="26"/>
      <c r="AL126" s="26"/>
      <c r="AM126" s="26"/>
      <c r="AN126" s="26"/>
      <c r="AO126" s="26"/>
      <c r="AP126" s="26"/>
      <c r="AQ126" s="26"/>
      <c r="AR126" s="26"/>
      <c r="AS126" s="26"/>
      <c r="AT126" s="26"/>
      <c r="AU126" s="26"/>
      <c r="AV126" s="26"/>
      <c r="AW126" s="26"/>
      <c r="AX126" s="26"/>
      <c r="AY126" s="1"/>
      <c r="AZ126" s="26"/>
      <c r="BA126" s="26"/>
      <c r="BB126" s="26"/>
      <c r="BC126" s="26"/>
      <c r="BD126" s="26"/>
      <c r="BE126" s="26"/>
      <c r="BF126" s="26"/>
      <c r="BG126" s="26"/>
      <c r="BH126" s="26"/>
      <c r="BI126" s="26"/>
      <c r="BJ126" s="26"/>
      <c r="BK126" s="26"/>
      <c r="BL126" s="26"/>
      <c r="BM126" s="26"/>
      <c r="BN126" s="26"/>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96"/>
      <c r="CP126" s="14"/>
      <c r="CQ126" s="14"/>
      <c r="CR126" s="14"/>
      <c r="CS126" s="14"/>
      <c r="CT126" s="1"/>
      <c r="CU126" s="14"/>
      <c r="CV126" s="1"/>
      <c r="CW126" s="1"/>
      <c r="CX126" s="14"/>
      <c r="CY126" s="1"/>
      <c r="CZ126" s="1"/>
      <c r="DA126" s="1"/>
      <c r="DB126" s="1"/>
      <c r="DC126" s="1"/>
      <c r="DD126" s="1"/>
      <c r="DE126" s="1"/>
      <c r="DF126" s="1"/>
      <c r="DG126" s="1"/>
      <c r="DH126" s="1"/>
      <c r="DI126" s="1"/>
      <c r="DJ126" s="1"/>
      <c r="DK126" s="1"/>
      <c r="DL126" s="1"/>
      <c r="DM126" s="1"/>
      <c r="DN126" s="1"/>
      <c r="DO126" s="1"/>
      <c r="DP126" s="1"/>
      <c r="DQ126" s="1"/>
      <c r="DR126" s="1"/>
      <c r="DS126" s="1"/>
      <c r="DT126" s="1"/>
      <c r="DU126" s="14"/>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29"/>
    </row>
    <row r="127" spans="1:171" x14ac:dyDescent="0.25">
      <c r="A127" s="5"/>
      <c r="B127" s="1"/>
      <c r="C127" s="98"/>
      <c r="D127" s="98"/>
      <c r="E127" s="1"/>
      <c r="F127" s="22"/>
      <c r="G127" s="22"/>
      <c r="H127" s="22"/>
      <c r="I127" s="22"/>
      <c r="J127" s="22"/>
      <c r="K127" s="22"/>
      <c r="L127" s="22"/>
      <c r="M127" s="22"/>
      <c r="N127" s="22"/>
      <c r="O127" s="22"/>
      <c r="P127" s="22"/>
      <c r="Q127" s="22"/>
      <c r="R127" s="1"/>
      <c r="S127" s="1"/>
      <c r="T127" s="8"/>
      <c r="U127" s="1"/>
      <c r="V127" s="1"/>
      <c r="W127" s="1"/>
      <c r="X127" s="1"/>
      <c r="Y127" s="1"/>
      <c r="Z127" s="1"/>
      <c r="AA127" s="1"/>
      <c r="AC127" s="1"/>
      <c r="AD127" s="1"/>
      <c r="AE127" s="1"/>
      <c r="AF127" s="1"/>
      <c r="AG127" s="1"/>
      <c r="AH127" s="26"/>
      <c r="AI127" s="26"/>
      <c r="AJ127" s="26"/>
      <c r="AK127" s="26"/>
      <c r="AL127" s="26"/>
      <c r="AM127" s="26"/>
      <c r="AN127" s="26"/>
      <c r="AO127" s="26"/>
      <c r="AP127" s="26"/>
      <c r="AQ127" s="26"/>
      <c r="AR127" s="26"/>
      <c r="AS127" s="26"/>
      <c r="AT127" s="26"/>
      <c r="AU127" s="26"/>
      <c r="AV127" s="26"/>
      <c r="AW127" s="26"/>
      <c r="AX127" s="26"/>
      <c r="AY127" s="1"/>
      <c r="AZ127" s="26"/>
      <c r="BA127" s="26"/>
      <c r="BB127" s="26"/>
      <c r="BC127" s="26"/>
      <c r="BD127" s="26"/>
      <c r="BE127" s="26"/>
      <c r="BF127" s="26"/>
      <c r="BG127" s="26"/>
      <c r="BH127" s="26"/>
      <c r="BI127" s="26"/>
      <c r="BJ127" s="26"/>
      <c r="BK127" s="26"/>
      <c r="BL127" s="26"/>
      <c r="BM127" s="26"/>
      <c r="BN127" s="26"/>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96"/>
      <c r="CP127" s="14"/>
      <c r="CQ127" s="14"/>
      <c r="CR127" s="14"/>
      <c r="CS127" s="14"/>
      <c r="CT127" s="1"/>
      <c r="CU127" s="14"/>
      <c r="CV127" s="1"/>
      <c r="CW127" s="1"/>
      <c r="CX127" s="14"/>
      <c r="CY127" s="1"/>
      <c r="CZ127" s="1"/>
      <c r="DA127" s="1"/>
      <c r="DB127" s="1"/>
      <c r="DC127" s="1"/>
      <c r="DD127" s="1"/>
      <c r="DE127" s="1"/>
      <c r="DF127" s="1"/>
      <c r="DG127" s="1"/>
      <c r="DH127" s="1"/>
      <c r="DI127" s="1"/>
      <c r="DJ127" s="1"/>
      <c r="DK127" s="1"/>
      <c r="DL127" s="1"/>
      <c r="DM127" s="1"/>
      <c r="DN127" s="1"/>
      <c r="DO127" s="1"/>
      <c r="DP127" s="1"/>
      <c r="DQ127" s="1"/>
      <c r="DR127" s="1"/>
      <c r="DS127" s="1"/>
      <c r="DT127" s="1"/>
      <c r="DU127" s="14"/>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29"/>
    </row>
    <row r="128" spans="1:171" x14ac:dyDescent="0.25">
      <c r="A128" s="5"/>
      <c r="B128" s="1"/>
      <c r="C128" s="98"/>
      <c r="D128" s="98"/>
      <c r="E128" s="1"/>
      <c r="F128" s="22"/>
      <c r="G128" s="22"/>
      <c r="H128" s="22"/>
      <c r="I128" s="22"/>
      <c r="J128" s="22"/>
      <c r="K128" s="22"/>
      <c r="L128" s="22"/>
      <c r="M128" s="22"/>
      <c r="N128" s="22"/>
      <c r="O128" s="22"/>
      <c r="P128" s="22"/>
      <c r="Q128" s="22"/>
      <c r="R128" s="1"/>
      <c r="S128" s="1"/>
      <c r="T128" s="8"/>
      <c r="U128" s="1"/>
      <c r="V128" s="1"/>
      <c r="W128" s="1"/>
      <c r="X128" s="1"/>
      <c r="Y128" s="1"/>
      <c r="Z128" s="1"/>
      <c r="AA128" s="1"/>
      <c r="AC128" s="1"/>
      <c r="AD128" s="1"/>
      <c r="AE128" s="1"/>
      <c r="AF128" s="1"/>
      <c r="AG128" s="1"/>
      <c r="AH128" s="26"/>
      <c r="AI128" s="26"/>
      <c r="AJ128" s="26"/>
      <c r="AK128" s="26"/>
      <c r="AL128" s="26"/>
      <c r="AM128" s="26"/>
      <c r="AN128" s="26"/>
      <c r="AO128" s="26"/>
      <c r="AP128" s="26"/>
      <c r="AQ128" s="26"/>
      <c r="AR128" s="26"/>
      <c r="AS128" s="26"/>
      <c r="AT128" s="26"/>
      <c r="AU128" s="26"/>
      <c r="AV128" s="26"/>
      <c r="AW128" s="26"/>
      <c r="AX128" s="26"/>
      <c r="AY128" s="1"/>
      <c r="AZ128" s="26"/>
      <c r="BA128" s="26"/>
      <c r="BB128" s="26"/>
      <c r="BC128" s="26"/>
      <c r="BD128" s="26"/>
      <c r="BE128" s="26"/>
      <c r="BF128" s="26"/>
      <c r="BG128" s="26"/>
      <c r="BH128" s="26"/>
      <c r="BI128" s="26"/>
      <c r="BJ128" s="26"/>
      <c r="BK128" s="26"/>
      <c r="BL128" s="26"/>
      <c r="BM128" s="26"/>
      <c r="BN128" s="26"/>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96"/>
      <c r="CP128" s="14"/>
      <c r="CQ128" s="14"/>
      <c r="CR128" s="14"/>
      <c r="CS128" s="14"/>
      <c r="CT128" s="1"/>
      <c r="CU128" s="14"/>
      <c r="CV128" s="1"/>
      <c r="CW128" s="1"/>
      <c r="CX128" s="14"/>
      <c r="CY128" s="1"/>
      <c r="CZ128" s="1"/>
      <c r="DA128" s="1"/>
      <c r="DB128" s="1"/>
      <c r="DC128" s="1"/>
      <c r="DD128" s="1"/>
      <c r="DE128" s="1"/>
      <c r="DF128" s="1"/>
      <c r="DG128" s="1"/>
      <c r="DH128" s="1"/>
      <c r="DI128" s="1"/>
      <c r="DJ128" s="1"/>
      <c r="DK128" s="1"/>
      <c r="DL128" s="1"/>
      <c r="DM128" s="1"/>
      <c r="DN128" s="1"/>
      <c r="DO128" s="1"/>
      <c r="DP128" s="1"/>
      <c r="DQ128" s="1"/>
      <c r="DR128" s="1"/>
      <c r="DS128" s="1"/>
      <c r="DT128" s="1"/>
      <c r="DU128" s="14"/>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29"/>
    </row>
    <row r="129" spans="1:160" x14ac:dyDescent="0.25">
      <c r="A129" s="5"/>
      <c r="B129" s="1"/>
      <c r="C129" s="98"/>
      <c r="D129" s="98"/>
      <c r="E129" s="1"/>
      <c r="F129" s="22"/>
      <c r="G129" s="22"/>
      <c r="H129" s="22"/>
      <c r="I129" s="22"/>
      <c r="J129" s="22"/>
      <c r="K129" s="22"/>
      <c r="L129" s="22"/>
      <c r="M129" s="22"/>
      <c r="N129" s="22"/>
      <c r="O129" s="22"/>
      <c r="P129" s="22"/>
      <c r="Q129" s="22"/>
      <c r="R129" s="1"/>
      <c r="S129" s="1"/>
      <c r="T129" s="8"/>
      <c r="U129" s="1"/>
      <c r="V129" s="1"/>
      <c r="W129" s="1"/>
      <c r="X129" s="1"/>
      <c r="Y129" s="1"/>
      <c r="Z129" s="1"/>
      <c r="AA129" s="1"/>
      <c r="AC129" s="1"/>
      <c r="AD129" s="1"/>
      <c r="AE129" s="1"/>
      <c r="AF129" s="1"/>
      <c r="AG129" s="1"/>
      <c r="AH129" s="26"/>
      <c r="AI129" s="26"/>
      <c r="AJ129" s="26"/>
      <c r="AK129" s="26"/>
      <c r="AL129" s="26"/>
      <c r="AM129" s="26"/>
      <c r="AN129" s="26"/>
      <c r="AO129" s="26"/>
      <c r="AP129" s="26"/>
      <c r="AQ129" s="26"/>
      <c r="AR129" s="26"/>
      <c r="AS129" s="26"/>
      <c r="AT129" s="26"/>
      <c r="AU129" s="26"/>
      <c r="AV129" s="26"/>
      <c r="AW129" s="26"/>
      <c r="AX129" s="26"/>
      <c r="AY129" s="1"/>
      <c r="AZ129" s="26"/>
      <c r="BA129" s="26"/>
      <c r="BB129" s="26"/>
      <c r="BC129" s="26"/>
      <c r="BD129" s="26"/>
      <c r="BE129" s="26"/>
      <c r="BF129" s="26"/>
      <c r="BG129" s="26"/>
      <c r="BH129" s="26"/>
      <c r="BI129" s="26"/>
      <c r="BJ129" s="26"/>
      <c r="BK129" s="26"/>
      <c r="BL129" s="26"/>
      <c r="BM129" s="26"/>
      <c r="BN129" s="26"/>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96"/>
      <c r="CP129" s="14"/>
      <c r="CQ129" s="14"/>
      <c r="CR129" s="14"/>
      <c r="CS129" s="14"/>
      <c r="CT129" s="1"/>
      <c r="CU129" s="14"/>
      <c r="CV129" s="1"/>
      <c r="CW129" s="1"/>
      <c r="CX129" s="14"/>
      <c r="CY129" s="1"/>
      <c r="CZ129" s="1"/>
      <c r="DA129" s="1"/>
      <c r="DB129" s="1"/>
      <c r="DC129" s="1"/>
      <c r="DD129" s="1"/>
      <c r="DE129" s="1"/>
      <c r="DF129" s="1"/>
      <c r="DG129" s="1"/>
      <c r="DH129" s="1"/>
      <c r="DI129" s="1"/>
      <c r="DJ129" s="1"/>
      <c r="DK129" s="1"/>
      <c r="DL129" s="1"/>
      <c r="DM129" s="1"/>
      <c r="DN129" s="1"/>
      <c r="DO129" s="1"/>
      <c r="DP129" s="1"/>
      <c r="DQ129" s="1"/>
      <c r="DR129" s="1"/>
      <c r="DS129" s="1"/>
      <c r="DT129" s="1"/>
      <c r="DU129" s="14"/>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29"/>
    </row>
    <row r="130" spans="1:160" x14ac:dyDescent="0.25">
      <c r="A130" s="5"/>
      <c r="B130" s="1"/>
      <c r="C130" s="98"/>
      <c r="D130" s="98"/>
      <c r="E130" s="1"/>
      <c r="F130" s="22"/>
      <c r="G130" s="22"/>
      <c r="H130" s="22"/>
      <c r="I130" s="22"/>
      <c r="J130" s="22"/>
      <c r="K130" s="22"/>
      <c r="L130" s="22"/>
      <c r="M130" s="22"/>
      <c r="N130" s="22"/>
      <c r="O130" s="22"/>
      <c r="P130" s="22"/>
      <c r="Q130" s="22"/>
      <c r="R130" s="1"/>
      <c r="S130" s="1"/>
      <c r="T130" s="8"/>
      <c r="U130" s="1"/>
      <c r="V130" s="1"/>
      <c r="W130" s="1"/>
      <c r="X130" s="1"/>
      <c r="Y130" s="1"/>
      <c r="Z130" s="1"/>
      <c r="AA130" s="1"/>
      <c r="AC130" s="1"/>
      <c r="AD130" s="1"/>
      <c r="AE130" s="1"/>
      <c r="AF130" s="1"/>
      <c r="AG130" s="1"/>
      <c r="AH130" s="26"/>
      <c r="AI130" s="26"/>
      <c r="AJ130" s="26"/>
      <c r="AK130" s="26"/>
      <c r="AL130" s="26"/>
      <c r="AM130" s="26"/>
      <c r="AN130" s="26"/>
      <c r="AO130" s="26"/>
      <c r="AP130" s="26"/>
      <c r="AQ130" s="26"/>
      <c r="AR130" s="26"/>
      <c r="AS130" s="26"/>
      <c r="AT130" s="26"/>
      <c r="AU130" s="26"/>
      <c r="AV130" s="26"/>
      <c r="AW130" s="26"/>
      <c r="AX130" s="26"/>
      <c r="AY130" s="1"/>
      <c r="AZ130" s="26"/>
      <c r="BA130" s="26"/>
      <c r="BB130" s="26"/>
      <c r="BC130" s="26"/>
      <c r="BD130" s="26"/>
      <c r="BE130" s="26"/>
      <c r="BF130" s="26"/>
      <c r="BG130" s="26"/>
      <c r="BH130" s="26"/>
      <c r="BI130" s="26"/>
      <c r="BJ130" s="26"/>
      <c r="BK130" s="26"/>
      <c r="BL130" s="26"/>
      <c r="BM130" s="26"/>
      <c r="BN130" s="26"/>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96"/>
      <c r="CP130" s="14"/>
      <c r="CQ130" s="14"/>
      <c r="CR130" s="14"/>
      <c r="CS130" s="14"/>
      <c r="CT130" s="1"/>
      <c r="CU130" s="14"/>
      <c r="CV130" s="1"/>
      <c r="CW130" s="1"/>
      <c r="CX130" s="14"/>
      <c r="CY130" s="1"/>
      <c r="CZ130" s="1"/>
      <c r="DA130" s="1"/>
      <c r="DB130" s="1"/>
      <c r="DC130" s="1"/>
      <c r="DD130" s="1"/>
      <c r="DE130" s="1"/>
      <c r="DF130" s="1"/>
      <c r="DG130" s="1"/>
      <c r="DH130" s="1"/>
      <c r="DI130" s="1"/>
      <c r="DJ130" s="1"/>
      <c r="DK130" s="1"/>
      <c r="DL130" s="1"/>
      <c r="DM130" s="1"/>
      <c r="DN130" s="1"/>
      <c r="DO130" s="1"/>
      <c r="DP130" s="1"/>
      <c r="DQ130" s="1"/>
      <c r="DR130" s="1"/>
      <c r="DS130" s="1"/>
      <c r="DT130" s="1"/>
      <c r="DU130" s="14"/>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29"/>
    </row>
    <row r="131" spans="1:160" x14ac:dyDescent="0.25">
      <c r="A131" s="5"/>
      <c r="B131" s="1"/>
      <c r="C131" s="98"/>
      <c r="D131" s="98"/>
      <c r="E131" s="1"/>
      <c r="F131" s="22"/>
      <c r="G131" s="22"/>
      <c r="H131" s="22"/>
      <c r="I131" s="22"/>
      <c r="J131" s="22"/>
      <c r="K131" s="22"/>
      <c r="L131" s="22"/>
      <c r="M131" s="22"/>
      <c r="N131" s="22"/>
      <c r="O131" s="22"/>
      <c r="P131" s="22"/>
      <c r="Q131" s="22"/>
      <c r="R131" s="1"/>
      <c r="S131" s="1"/>
      <c r="T131" s="8"/>
      <c r="U131" s="1"/>
      <c r="V131" s="1"/>
      <c r="W131" s="1"/>
      <c r="X131" s="1"/>
      <c r="Y131" s="1"/>
      <c r="Z131" s="1"/>
      <c r="AA131" s="1"/>
      <c r="AC131" s="1"/>
      <c r="AD131" s="1"/>
      <c r="AE131" s="1"/>
      <c r="AF131" s="1"/>
      <c r="AG131" s="1"/>
      <c r="AH131" s="26"/>
      <c r="AI131" s="26"/>
      <c r="AJ131" s="26"/>
      <c r="AK131" s="26"/>
      <c r="AL131" s="26"/>
      <c r="AM131" s="26"/>
      <c r="AN131" s="26"/>
      <c r="AO131" s="26"/>
      <c r="AP131" s="26"/>
      <c r="AQ131" s="26"/>
      <c r="AR131" s="26"/>
      <c r="AS131" s="26"/>
      <c r="AT131" s="26"/>
      <c r="AU131" s="26"/>
      <c r="AV131" s="26"/>
      <c r="AW131" s="26"/>
      <c r="AX131" s="26"/>
      <c r="AY131" s="1"/>
      <c r="AZ131" s="26"/>
      <c r="BA131" s="26"/>
      <c r="BB131" s="26"/>
      <c r="BC131" s="26"/>
      <c r="BD131" s="26"/>
      <c r="BE131" s="26"/>
      <c r="BF131" s="26"/>
      <c r="BG131" s="26"/>
      <c r="BH131" s="26"/>
      <c r="BI131" s="26"/>
      <c r="BJ131" s="26"/>
      <c r="BK131" s="26"/>
      <c r="BL131" s="26"/>
      <c r="BM131" s="26"/>
      <c r="BN131" s="26"/>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96"/>
      <c r="CP131" s="14"/>
      <c r="CQ131" s="14"/>
      <c r="CR131" s="14"/>
      <c r="CS131" s="14"/>
      <c r="CT131" s="1"/>
      <c r="CU131" s="14"/>
      <c r="CV131" s="1"/>
      <c r="CW131" s="1"/>
      <c r="CX131" s="14"/>
      <c r="CY131" s="1"/>
      <c r="CZ131" s="1"/>
      <c r="DA131" s="1"/>
      <c r="DB131" s="1"/>
      <c r="DC131" s="1"/>
      <c r="DD131" s="1"/>
      <c r="DE131" s="1"/>
      <c r="DF131" s="1"/>
      <c r="DG131" s="1"/>
      <c r="DH131" s="1"/>
      <c r="DI131" s="1"/>
      <c r="DJ131" s="1"/>
      <c r="DK131" s="1"/>
      <c r="DL131" s="1"/>
      <c r="DM131" s="1"/>
      <c r="DN131" s="1"/>
      <c r="DO131" s="1"/>
      <c r="DP131" s="1"/>
      <c r="DQ131" s="1"/>
      <c r="DR131" s="1"/>
      <c r="DS131" s="1"/>
      <c r="DT131" s="1"/>
      <c r="DU131" s="14"/>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29"/>
    </row>
    <row r="132" spans="1:160" x14ac:dyDescent="0.25">
      <c r="A132" s="5"/>
      <c r="B132" s="1"/>
      <c r="C132" s="98"/>
      <c r="D132" s="98"/>
      <c r="E132" s="1"/>
      <c r="F132" s="22"/>
      <c r="G132" s="22"/>
      <c r="H132" s="22"/>
      <c r="I132" s="22"/>
      <c r="J132" s="22"/>
      <c r="K132" s="22"/>
      <c r="L132" s="22"/>
      <c r="M132" s="22"/>
      <c r="N132" s="22"/>
      <c r="O132" s="22"/>
      <c r="P132" s="22"/>
      <c r="Q132" s="22"/>
      <c r="R132" s="1"/>
      <c r="S132" s="1"/>
      <c r="T132" s="8"/>
      <c r="U132" s="1"/>
      <c r="V132" s="1"/>
      <c r="W132" s="1"/>
      <c r="X132" s="1"/>
      <c r="Y132" s="1"/>
      <c r="Z132" s="1"/>
      <c r="AA132" s="1"/>
      <c r="AC132" s="1"/>
      <c r="AD132" s="1"/>
      <c r="AE132" s="1"/>
      <c r="AF132" s="1"/>
      <c r="AG132" s="1"/>
      <c r="AH132" s="26"/>
      <c r="AI132" s="26"/>
      <c r="AJ132" s="26"/>
      <c r="AK132" s="26"/>
      <c r="AL132" s="26"/>
      <c r="AM132" s="26"/>
      <c r="AN132" s="26"/>
      <c r="AO132" s="26"/>
      <c r="AP132" s="26"/>
      <c r="AQ132" s="26"/>
      <c r="AR132" s="26"/>
      <c r="AS132" s="26"/>
      <c r="AT132" s="26"/>
      <c r="AU132" s="26"/>
      <c r="AV132" s="26"/>
      <c r="AW132" s="26"/>
      <c r="AX132" s="26"/>
      <c r="AY132" s="1"/>
      <c r="AZ132" s="26"/>
      <c r="BA132" s="26"/>
      <c r="BB132" s="26"/>
      <c r="BC132" s="26"/>
      <c r="BD132" s="26"/>
      <c r="BE132" s="26"/>
      <c r="BF132" s="26"/>
      <c r="BG132" s="26"/>
      <c r="BH132" s="26"/>
      <c r="BI132" s="26"/>
      <c r="BJ132" s="26"/>
      <c r="BK132" s="26"/>
      <c r="BL132" s="26"/>
      <c r="BM132" s="26"/>
      <c r="BN132" s="26"/>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96"/>
      <c r="CP132" s="14"/>
      <c r="CQ132" s="14"/>
      <c r="CR132" s="14"/>
      <c r="CS132" s="14"/>
      <c r="CT132" s="1"/>
      <c r="CU132" s="14"/>
      <c r="CV132" s="1"/>
      <c r="CW132" s="1"/>
      <c r="CX132" s="14"/>
      <c r="CY132" s="1"/>
      <c r="CZ132" s="1"/>
      <c r="DA132" s="1"/>
      <c r="DB132" s="1"/>
      <c r="DC132" s="1"/>
      <c r="DD132" s="1"/>
      <c r="DE132" s="1"/>
      <c r="DF132" s="1"/>
      <c r="DG132" s="1"/>
      <c r="DH132" s="1"/>
      <c r="DI132" s="1"/>
      <c r="DJ132" s="1"/>
      <c r="DK132" s="1"/>
      <c r="DL132" s="1"/>
      <c r="DM132" s="1"/>
      <c r="DN132" s="1"/>
      <c r="DO132" s="1"/>
      <c r="DP132" s="1"/>
      <c r="DQ132" s="1"/>
      <c r="DR132" s="1"/>
      <c r="DS132" s="1"/>
      <c r="DT132" s="1"/>
      <c r="DU132" s="14"/>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29"/>
    </row>
    <row r="133" spans="1:160" x14ac:dyDescent="0.25">
      <c r="A133" s="5"/>
      <c r="B133" s="1"/>
      <c r="C133" s="98"/>
      <c r="D133" s="98"/>
      <c r="E133" s="1"/>
      <c r="F133" s="22"/>
      <c r="G133" s="22"/>
      <c r="H133" s="22"/>
      <c r="I133" s="22"/>
      <c r="J133" s="22"/>
      <c r="K133" s="22"/>
      <c r="L133" s="22"/>
      <c r="M133" s="22"/>
      <c r="N133" s="22"/>
      <c r="O133" s="22"/>
      <c r="P133" s="22"/>
      <c r="Q133" s="22"/>
      <c r="R133" s="1"/>
      <c r="S133" s="1"/>
      <c r="T133" s="8"/>
      <c r="U133" s="1"/>
      <c r="V133" s="1"/>
      <c r="W133" s="1"/>
      <c r="X133" s="1"/>
      <c r="Y133" s="1"/>
      <c r="Z133" s="1"/>
      <c r="AA133" s="1"/>
      <c r="AC133" s="1"/>
      <c r="AD133" s="1"/>
      <c r="AE133" s="1"/>
      <c r="AF133" s="1"/>
      <c r="AG133" s="1"/>
      <c r="AH133" s="26"/>
      <c r="AI133" s="26"/>
      <c r="AJ133" s="26"/>
      <c r="AK133" s="26"/>
      <c r="AL133" s="26"/>
      <c r="AM133" s="26"/>
      <c r="AN133" s="26"/>
      <c r="AO133" s="26"/>
      <c r="AP133" s="26"/>
      <c r="AQ133" s="26"/>
      <c r="AR133" s="26"/>
      <c r="AS133" s="26"/>
      <c r="AT133" s="26"/>
      <c r="AU133" s="26"/>
      <c r="AV133" s="26"/>
      <c r="AW133" s="26"/>
      <c r="AX133" s="26"/>
      <c r="AY133" s="1"/>
      <c r="AZ133" s="26"/>
      <c r="BA133" s="26"/>
      <c r="BB133" s="26"/>
      <c r="BC133" s="26"/>
      <c r="BD133" s="26"/>
      <c r="BE133" s="26"/>
      <c r="BF133" s="26"/>
      <c r="BG133" s="26"/>
      <c r="BH133" s="26"/>
      <c r="BI133" s="26"/>
      <c r="BJ133" s="26"/>
      <c r="BK133" s="26"/>
      <c r="BL133" s="26"/>
      <c r="BM133" s="26"/>
      <c r="BN133" s="26"/>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96"/>
      <c r="CP133" s="14"/>
      <c r="CQ133" s="14"/>
      <c r="CR133" s="14"/>
      <c r="CS133" s="14"/>
      <c r="CT133" s="1"/>
      <c r="CU133" s="14"/>
      <c r="CV133" s="1"/>
      <c r="CW133" s="1"/>
      <c r="CX133" s="14"/>
      <c r="CY133" s="1"/>
      <c r="CZ133" s="1"/>
      <c r="DA133" s="1"/>
      <c r="DB133" s="1"/>
      <c r="DC133" s="1"/>
      <c r="DD133" s="1"/>
      <c r="DE133" s="1"/>
      <c r="DF133" s="1"/>
      <c r="DG133" s="1"/>
      <c r="DH133" s="1"/>
      <c r="DI133" s="1"/>
      <c r="DJ133" s="1"/>
      <c r="DK133" s="1"/>
      <c r="DL133" s="1"/>
      <c r="DM133" s="1"/>
      <c r="DN133" s="1"/>
      <c r="DO133" s="1"/>
      <c r="DP133" s="1"/>
      <c r="DQ133" s="1"/>
      <c r="DR133" s="1"/>
      <c r="DS133" s="1"/>
      <c r="DT133" s="1"/>
      <c r="DU133" s="14"/>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29"/>
    </row>
    <row r="134" spans="1:160" x14ac:dyDescent="0.25">
      <c r="A134" s="5"/>
      <c r="B134" s="1"/>
      <c r="C134" s="98"/>
      <c r="D134" s="98"/>
      <c r="E134" s="1"/>
      <c r="F134" s="22"/>
      <c r="G134" s="22"/>
      <c r="H134" s="22"/>
      <c r="I134" s="22"/>
      <c r="J134" s="22"/>
      <c r="K134" s="22"/>
      <c r="L134" s="22"/>
      <c r="M134" s="22"/>
      <c r="N134" s="22"/>
      <c r="O134" s="22"/>
      <c r="P134" s="22"/>
      <c r="Q134" s="22"/>
      <c r="R134" s="1"/>
      <c r="S134" s="1"/>
      <c r="T134" s="8"/>
      <c r="U134" s="1"/>
      <c r="V134" s="1"/>
      <c r="W134" s="1"/>
      <c r="X134" s="1"/>
      <c r="Y134" s="1"/>
      <c r="Z134" s="1"/>
      <c r="AA134" s="1"/>
      <c r="AC134" s="1"/>
      <c r="AD134" s="1"/>
      <c r="AE134" s="1"/>
      <c r="AF134" s="1"/>
      <c r="AG134" s="1"/>
      <c r="AH134" s="26"/>
      <c r="AI134" s="26"/>
      <c r="AJ134" s="26"/>
      <c r="AK134" s="26"/>
      <c r="AL134" s="26"/>
      <c r="AM134" s="26"/>
      <c r="AN134" s="26"/>
      <c r="AO134" s="26"/>
      <c r="AP134" s="26"/>
      <c r="AQ134" s="26"/>
      <c r="AR134" s="26"/>
      <c r="AS134" s="26"/>
      <c r="AT134" s="26"/>
      <c r="AU134" s="26"/>
      <c r="AV134" s="26"/>
      <c r="AW134" s="26"/>
      <c r="AX134" s="26"/>
      <c r="AY134" s="1"/>
      <c r="AZ134" s="26"/>
      <c r="BA134" s="26"/>
      <c r="BB134" s="26"/>
      <c r="BC134" s="26"/>
      <c r="BD134" s="26"/>
      <c r="BE134" s="26"/>
      <c r="BF134" s="26"/>
      <c r="BG134" s="26"/>
      <c r="BH134" s="26"/>
      <c r="BI134" s="26"/>
      <c r="BJ134" s="26"/>
      <c r="BK134" s="26"/>
      <c r="BL134" s="26"/>
      <c r="BM134" s="26"/>
      <c r="BN134" s="26"/>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96"/>
      <c r="CP134" s="14"/>
      <c r="CQ134" s="14"/>
      <c r="CR134" s="14"/>
      <c r="CS134" s="14"/>
      <c r="CT134" s="1"/>
      <c r="CU134" s="14"/>
      <c r="CV134" s="1"/>
      <c r="CW134" s="1"/>
      <c r="CX134" s="14"/>
      <c r="CY134" s="1"/>
      <c r="CZ134" s="1"/>
      <c r="DA134" s="1"/>
      <c r="DB134" s="1"/>
      <c r="DC134" s="1"/>
      <c r="DD134" s="1"/>
      <c r="DE134" s="1"/>
      <c r="DF134" s="1"/>
      <c r="DG134" s="1"/>
      <c r="DH134" s="1"/>
      <c r="DI134" s="1"/>
      <c r="DJ134" s="1"/>
      <c r="DK134" s="1"/>
      <c r="DL134" s="1"/>
      <c r="DM134" s="1"/>
      <c r="DN134" s="1"/>
      <c r="DO134" s="1"/>
      <c r="DP134" s="1"/>
      <c r="DQ134" s="1"/>
      <c r="DR134" s="1"/>
      <c r="DS134" s="1"/>
      <c r="DT134" s="1"/>
      <c r="DU134" s="14"/>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29"/>
    </row>
    <row r="135" spans="1:160" x14ac:dyDescent="0.25">
      <c r="A135" s="5"/>
      <c r="B135" s="1"/>
      <c r="C135" s="98"/>
      <c r="D135" s="98"/>
      <c r="E135" s="1"/>
      <c r="F135" s="22"/>
      <c r="G135" s="22"/>
      <c r="H135" s="22"/>
      <c r="I135" s="22"/>
      <c r="J135" s="22"/>
      <c r="K135" s="22"/>
      <c r="L135" s="22"/>
      <c r="M135" s="22"/>
      <c r="N135" s="22"/>
      <c r="O135" s="22"/>
      <c r="P135" s="22"/>
      <c r="Q135" s="22"/>
      <c r="R135" s="1"/>
      <c r="S135" s="1"/>
      <c r="T135" s="8"/>
      <c r="U135" s="1"/>
      <c r="V135" s="1"/>
      <c r="W135" s="1"/>
      <c r="X135" s="1"/>
      <c r="Y135" s="1"/>
      <c r="Z135" s="1"/>
      <c r="AA135" s="1"/>
      <c r="AC135" s="1"/>
      <c r="AD135" s="1"/>
      <c r="AE135" s="1"/>
      <c r="AF135" s="1"/>
      <c r="AG135" s="1"/>
      <c r="AH135" s="26"/>
      <c r="AI135" s="26"/>
      <c r="AJ135" s="26"/>
      <c r="AK135" s="26"/>
      <c r="AL135" s="26"/>
      <c r="AM135" s="26"/>
      <c r="AN135" s="26"/>
      <c r="AO135" s="26"/>
      <c r="AP135" s="26"/>
      <c r="AQ135" s="26"/>
      <c r="AR135" s="26"/>
      <c r="AS135" s="26"/>
      <c r="AT135" s="26"/>
      <c r="AU135" s="26"/>
      <c r="AV135" s="26"/>
      <c r="AW135" s="26"/>
      <c r="AX135" s="26"/>
      <c r="AY135" s="1"/>
      <c r="AZ135" s="26"/>
      <c r="BA135" s="26"/>
      <c r="BB135" s="26"/>
      <c r="BC135" s="26"/>
      <c r="BD135" s="26"/>
      <c r="BE135" s="26"/>
      <c r="BF135" s="26"/>
      <c r="BG135" s="26"/>
      <c r="BH135" s="26"/>
      <c r="BI135" s="26"/>
      <c r="BJ135" s="26"/>
      <c r="BK135" s="26"/>
      <c r="BL135" s="26"/>
      <c r="BM135" s="26"/>
      <c r="BN135" s="26"/>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96"/>
      <c r="CP135" s="14"/>
      <c r="CQ135" s="14"/>
      <c r="CR135" s="14"/>
      <c r="CS135" s="14"/>
      <c r="CT135" s="1"/>
      <c r="CU135" s="14"/>
      <c r="CV135" s="1"/>
      <c r="CW135" s="1"/>
      <c r="CX135" s="14"/>
      <c r="CY135" s="1"/>
      <c r="CZ135" s="1"/>
      <c r="DA135" s="1"/>
      <c r="DB135" s="1"/>
      <c r="DC135" s="1"/>
      <c r="DD135" s="1"/>
      <c r="DE135" s="1"/>
      <c r="DF135" s="1"/>
      <c r="DG135" s="1"/>
      <c r="DH135" s="1"/>
      <c r="DI135" s="1"/>
      <c r="DJ135" s="1"/>
      <c r="DK135" s="1"/>
      <c r="DL135" s="1"/>
      <c r="DM135" s="1"/>
      <c r="DN135" s="1"/>
      <c r="DO135" s="1"/>
      <c r="DP135" s="1"/>
      <c r="DQ135" s="1"/>
      <c r="DR135" s="1"/>
      <c r="DS135" s="1"/>
      <c r="DT135" s="1"/>
      <c r="DU135" s="14"/>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29"/>
    </row>
    <row r="136" spans="1:160" x14ac:dyDescent="0.25">
      <c r="A136" s="5"/>
      <c r="B136" s="1"/>
      <c r="C136" s="98"/>
      <c r="D136" s="98"/>
      <c r="E136" s="1"/>
      <c r="F136" s="22"/>
      <c r="G136" s="22"/>
      <c r="H136" s="22"/>
      <c r="I136" s="22"/>
      <c r="J136" s="22"/>
      <c r="K136" s="22"/>
      <c r="L136" s="22"/>
      <c r="M136" s="22"/>
      <c r="N136" s="22"/>
      <c r="O136" s="22"/>
      <c r="P136" s="22"/>
      <c r="Q136" s="22"/>
      <c r="R136" s="1"/>
      <c r="S136" s="1"/>
      <c r="T136" s="8"/>
      <c r="U136" s="1"/>
      <c r="V136" s="1"/>
      <c r="W136" s="1"/>
      <c r="X136" s="1"/>
      <c r="Y136" s="1"/>
      <c r="Z136" s="1"/>
      <c r="AA136" s="1"/>
      <c r="AC136" s="1"/>
      <c r="AD136" s="1"/>
      <c r="AE136" s="1"/>
      <c r="AF136" s="1"/>
      <c r="AG136" s="1"/>
      <c r="AH136" s="26"/>
      <c r="AI136" s="26"/>
      <c r="AJ136" s="26"/>
      <c r="AK136" s="26"/>
      <c r="AL136" s="26"/>
      <c r="AM136" s="26"/>
      <c r="AN136" s="26"/>
      <c r="AO136" s="26"/>
      <c r="AP136" s="26"/>
      <c r="AQ136" s="26"/>
      <c r="AR136" s="26"/>
      <c r="AS136" s="26"/>
      <c r="AT136" s="26"/>
      <c r="AU136" s="26"/>
      <c r="AV136" s="26"/>
      <c r="AW136" s="26"/>
      <c r="AX136" s="26"/>
      <c r="AY136" s="1"/>
      <c r="AZ136" s="26"/>
      <c r="BA136" s="26"/>
      <c r="BB136" s="26"/>
      <c r="BC136" s="26"/>
      <c r="BD136" s="26"/>
      <c r="BE136" s="26"/>
      <c r="BF136" s="26"/>
      <c r="BG136" s="26"/>
      <c r="BH136" s="26"/>
      <c r="BI136" s="26"/>
      <c r="BJ136" s="26"/>
      <c r="BK136" s="26"/>
      <c r="BL136" s="26"/>
      <c r="BM136" s="26"/>
      <c r="BN136" s="26"/>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96"/>
      <c r="CP136" s="14"/>
      <c r="CQ136" s="14"/>
      <c r="CR136" s="14"/>
      <c r="CS136" s="14"/>
      <c r="CT136" s="1"/>
      <c r="CU136" s="14"/>
      <c r="CV136" s="1"/>
      <c r="CW136" s="1"/>
      <c r="CX136" s="14"/>
      <c r="CY136" s="1"/>
      <c r="CZ136" s="1"/>
      <c r="DA136" s="1"/>
      <c r="DB136" s="1"/>
      <c r="DC136" s="1"/>
      <c r="DD136" s="1"/>
      <c r="DE136" s="1"/>
      <c r="DF136" s="1"/>
      <c r="DG136" s="1"/>
      <c r="DH136" s="1"/>
      <c r="DI136" s="1"/>
      <c r="DJ136" s="1"/>
      <c r="DK136" s="1"/>
      <c r="DL136" s="1"/>
      <c r="DM136" s="1"/>
      <c r="DN136" s="1"/>
      <c r="DO136" s="1"/>
      <c r="DP136" s="1"/>
      <c r="DQ136" s="1"/>
      <c r="DR136" s="1"/>
      <c r="DS136" s="1"/>
      <c r="DT136" s="1"/>
      <c r="DU136" s="14"/>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29"/>
    </row>
    <row r="137" spans="1:160" x14ac:dyDescent="0.25">
      <c r="A137" s="5"/>
      <c r="B137" s="1"/>
      <c r="C137" s="98"/>
      <c r="D137" s="98"/>
      <c r="E137" s="1"/>
      <c r="F137" s="22"/>
      <c r="G137" s="22"/>
      <c r="H137" s="22"/>
      <c r="I137" s="22"/>
      <c r="J137" s="22"/>
      <c r="K137" s="22"/>
      <c r="L137" s="22"/>
      <c r="M137" s="22"/>
      <c r="N137" s="22"/>
      <c r="O137" s="22"/>
      <c r="P137" s="22"/>
      <c r="Q137" s="22"/>
      <c r="R137" s="1"/>
      <c r="S137" s="1"/>
      <c r="T137" s="8"/>
      <c r="U137" s="1"/>
      <c r="V137" s="1"/>
      <c r="W137" s="1"/>
      <c r="X137" s="1"/>
      <c r="Y137" s="1"/>
      <c r="Z137" s="1"/>
      <c r="AA137" s="1"/>
      <c r="AC137" s="1"/>
      <c r="AD137" s="1"/>
      <c r="AE137" s="1"/>
      <c r="AF137" s="1"/>
      <c r="AG137" s="1"/>
      <c r="AH137" s="26"/>
      <c r="AI137" s="26"/>
      <c r="AJ137" s="26"/>
      <c r="AK137" s="26"/>
      <c r="AL137" s="26"/>
      <c r="AM137" s="26"/>
      <c r="AN137" s="26"/>
      <c r="AO137" s="26"/>
      <c r="AP137" s="26"/>
      <c r="AQ137" s="26"/>
      <c r="AR137" s="26"/>
      <c r="AS137" s="26"/>
      <c r="AT137" s="26"/>
      <c r="AU137" s="26"/>
      <c r="AV137" s="26"/>
      <c r="AW137" s="26"/>
      <c r="AX137" s="26"/>
      <c r="AY137" s="1"/>
      <c r="AZ137" s="26"/>
      <c r="BA137" s="26"/>
      <c r="BB137" s="26"/>
      <c r="BC137" s="26"/>
      <c r="BD137" s="26"/>
      <c r="BE137" s="26"/>
      <c r="BF137" s="26"/>
      <c r="BG137" s="26"/>
      <c r="BH137" s="26"/>
      <c r="BI137" s="26"/>
      <c r="BJ137" s="26"/>
      <c r="BK137" s="26"/>
      <c r="BL137" s="26"/>
      <c r="BM137" s="26"/>
      <c r="BN137" s="26"/>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96"/>
      <c r="CP137" s="14"/>
      <c r="CQ137" s="14"/>
      <c r="CR137" s="14"/>
      <c r="CS137" s="14"/>
      <c r="CT137" s="1"/>
      <c r="CU137" s="14"/>
      <c r="CV137" s="1"/>
      <c r="CW137" s="1"/>
      <c r="CX137" s="14"/>
      <c r="CY137" s="1"/>
      <c r="CZ137" s="1"/>
      <c r="DA137" s="1"/>
      <c r="DB137" s="1"/>
      <c r="DC137" s="1"/>
      <c r="DD137" s="1"/>
      <c r="DE137" s="1"/>
      <c r="DF137" s="1"/>
      <c r="DG137" s="1"/>
      <c r="DH137" s="1"/>
      <c r="DI137" s="1"/>
      <c r="DJ137" s="1"/>
      <c r="DK137" s="1"/>
      <c r="DL137" s="1"/>
      <c r="DM137" s="1"/>
      <c r="DN137" s="1"/>
      <c r="DO137" s="1"/>
      <c r="DP137" s="1"/>
      <c r="DQ137" s="1"/>
      <c r="DR137" s="1"/>
      <c r="DS137" s="1"/>
      <c r="DT137" s="1"/>
      <c r="DU137" s="14"/>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29"/>
    </row>
    <row r="138" spans="1:160" x14ac:dyDescent="0.25">
      <c r="A138" s="5"/>
      <c r="B138" s="1"/>
      <c r="C138" s="98"/>
      <c r="D138" s="98"/>
      <c r="E138" s="1"/>
      <c r="F138" s="22"/>
      <c r="G138" s="22"/>
      <c r="H138" s="22"/>
      <c r="I138" s="22"/>
      <c r="J138" s="22"/>
      <c r="K138" s="22"/>
      <c r="L138" s="22"/>
      <c r="M138" s="22"/>
      <c r="N138" s="22"/>
      <c r="O138" s="22"/>
      <c r="P138" s="22"/>
      <c r="Q138" s="22"/>
      <c r="R138" s="1"/>
      <c r="S138" s="1"/>
      <c r="T138" s="8"/>
      <c r="U138" s="1"/>
      <c r="V138" s="1"/>
      <c r="W138" s="1"/>
      <c r="X138" s="1"/>
      <c r="Y138" s="1"/>
      <c r="Z138" s="1"/>
      <c r="AA138" s="1"/>
      <c r="AC138" s="1"/>
      <c r="AD138" s="1"/>
      <c r="AE138" s="1"/>
      <c r="AF138" s="1"/>
      <c r="AG138" s="1"/>
      <c r="AH138" s="26"/>
      <c r="AI138" s="26"/>
      <c r="AJ138" s="26"/>
      <c r="AK138" s="26"/>
      <c r="AL138" s="26"/>
      <c r="AM138" s="26"/>
      <c r="AN138" s="26"/>
      <c r="AO138" s="26"/>
      <c r="AP138" s="26"/>
      <c r="AQ138" s="26"/>
      <c r="AR138" s="26"/>
      <c r="AS138" s="26"/>
      <c r="AT138" s="26"/>
      <c r="AU138" s="26"/>
      <c r="AV138" s="26"/>
      <c r="AW138" s="26"/>
      <c r="AX138" s="26"/>
      <c r="AY138" s="1"/>
      <c r="AZ138" s="26"/>
      <c r="BA138" s="26"/>
      <c r="BB138" s="26"/>
      <c r="BC138" s="26"/>
      <c r="BD138" s="26"/>
      <c r="BE138" s="26"/>
      <c r="BF138" s="26"/>
      <c r="BG138" s="26"/>
      <c r="BH138" s="26"/>
      <c r="BI138" s="26"/>
      <c r="BJ138" s="26"/>
      <c r="BK138" s="26"/>
      <c r="BL138" s="26"/>
      <c r="BM138" s="26"/>
      <c r="BN138" s="26"/>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96"/>
      <c r="CP138" s="14"/>
      <c r="CQ138" s="14"/>
      <c r="CR138" s="14"/>
      <c r="CS138" s="14"/>
      <c r="CT138" s="1"/>
      <c r="CU138" s="14"/>
      <c r="CV138" s="1"/>
      <c r="CW138" s="1"/>
      <c r="CX138" s="14"/>
      <c r="CY138" s="1"/>
      <c r="CZ138" s="1"/>
      <c r="DA138" s="1"/>
      <c r="DB138" s="1"/>
      <c r="DC138" s="1"/>
      <c r="DD138" s="1"/>
      <c r="DE138" s="1"/>
      <c r="DF138" s="1"/>
      <c r="DG138" s="1"/>
      <c r="DH138" s="1"/>
      <c r="DI138" s="1"/>
      <c r="DJ138" s="1"/>
      <c r="DK138" s="1"/>
      <c r="DL138" s="1"/>
      <c r="DM138" s="1"/>
      <c r="DN138" s="1"/>
      <c r="DO138" s="1"/>
      <c r="DP138" s="1"/>
      <c r="DQ138" s="1"/>
      <c r="DR138" s="1"/>
      <c r="DS138" s="1"/>
      <c r="DT138" s="1"/>
      <c r="DU138" s="14"/>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29"/>
    </row>
    <row r="139" spans="1:160" x14ac:dyDescent="0.25">
      <c r="A139" s="5"/>
      <c r="B139" s="1"/>
      <c r="C139" s="98"/>
      <c r="D139" s="98"/>
      <c r="E139" s="1"/>
      <c r="F139" s="22"/>
      <c r="G139" s="22"/>
      <c r="H139" s="22"/>
      <c r="I139" s="22"/>
      <c r="J139" s="22"/>
      <c r="K139" s="22"/>
      <c r="L139" s="22"/>
      <c r="M139" s="22"/>
      <c r="N139" s="22"/>
      <c r="O139" s="22"/>
      <c r="P139" s="22"/>
      <c r="Q139" s="22"/>
      <c r="R139" s="1"/>
      <c r="S139" s="1"/>
      <c r="T139" s="8"/>
      <c r="U139" s="1"/>
      <c r="V139" s="1"/>
      <c r="W139" s="1"/>
      <c r="X139" s="1"/>
      <c r="Y139" s="1"/>
      <c r="Z139" s="1"/>
      <c r="AA139" s="1"/>
      <c r="AC139" s="1"/>
      <c r="AD139" s="1"/>
      <c r="AE139" s="1"/>
      <c r="AF139" s="1"/>
      <c r="AG139" s="1"/>
      <c r="AH139" s="26"/>
      <c r="AI139" s="26"/>
      <c r="AJ139" s="26"/>
      <c r="AK139" s="26"/>
      <c r="AL139" s="26"/>
      <c r="AM139" s="26"/>
      <c r="AN139" s="26"/>
      <c r="AO139" s="26"/>
      <c r="AP139" s="26"/>
      <c r="AQ139" s="26"/>
      <c r="AR139" s="26"/>
      <c r="AS139" s="26"/>
      <c r="AT139" s="26"/>
      <c r="AU139" s="26"/>
      <c r="AV139" s="26"/>
      <c r="AW139" s="26"/>
      <c r="AX139" s="26"/>
      <c r="AY139" s="1"/>
      <c r="AZ139" s="26"/>
      <c r="BA139" s="26"/>
      <c r="BB139" s="26"/>
      <c r="BC139" s="26"/>
      <c r="BD139" s="26"/>
      <c r="BE139" s="26"/>
      <c r="BF139" s="26"/>
      <c r="BG139" s="26"/>
      <c r="BH139" s="26"/>
      <c r="BI139" s="26"/>
      <c r="BJ139" s="26"/>
      <c r="BK139" s="26"/>
      <c r="BL139" s="26"/>
      <c r="BM139" s="26"/>
      <c r="BN139" s="26"/>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96"/>
      <c r="CP139" s="14"/>
      <c r="CQ139" s="14"/>
      <c r="CR139" s="14"/>
      <c r="CS139" s="14"/>
      <c r="CT139" s="1"/>
      <c r="CU139" s="14"/>
      <c r="CV139" s="1"/>
      <c r="CW139" s="1"/>
      <c r="CX139" s="14"/>
      <c r="CY139" s="1"/>
      <c r="CZ139" s="1"/>
      <c r="DA139" s="1"/>
      <c r="DB139" s="1"/>
      <c r="DC139" s="1"/>
      <c r="DD139" s="1"/>
      <c r="DE139" s="1"/>
      <c r="DF139" s="1"/>
      <c r="DG139" s="1"/>
      <c r="DH139" s="1"/>
      <c r="DI139" s="1"/>
      <c r="DJ139" s="1"/>
      <c r="DK139" s="1"/>
      <c r="DL139" s="1"/>
      <c r="DM139" s="1"/>
      <c r="DN139" s="1"/>
      <c r="DO139" s="1"/>
      <c r="DP139" s="1"/>
      <c r="DQ139" s="1"/>
      <c r="DR139" s="1"/>
      <c r="DS139" s="1"/>
      <c r="DT139" s="1"/>
      <c r="DU139" s="14"/>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29"/>
    </row>
    <row r="140" spans="1:160" x14ac:dyDescent="0.25">
      <c r="A140" s="5"/>
      <c r="B140" s="1"/>
      <c r="C140" s="98"/>
      <c r="D140" s="98"/>
      <c r="E140" s="1"/>
      <c r="F140" s="22"/>
      <c r="G140" s="22"/>
      <c r="H140" s="22"/>
      <c r="I140" s="22"/>
      <c r="J140" s="22"/>
      <c r="K140" s="22"/>
      <c r="L140" s="22"/>
      <c r="M140" s="22"/>
      <c r="N140" s="22"/>
      <c r="O140" s="22"/>
      <c r="P140" s="22"/>
      <c r="Q140" s="22"/>
      <c r="R140" s="1"/>
      <c r="S140" s="1"/>
      <c r="T140" s="8"/>
      <c r="U140" s="1"/>
      <c r="V140" s="1"/>
      <c r="W140" s="1"/>
      <c r="X140" s="1"/>
      <c r="Y140" s="1"/>
      <c r="Z140" s="1"/>
      <c r="AA140" s="1"/>
      <c r="AC140" s="1"/>
      <c r="AD140" s="1"/>
      <c r="AE140" s="1"/>
      <c r="AF140" s="1"/>
      <c r="AG140" s="1"/>
      <c r="AH140" s="26"/>
      <c r="AI140" s="26"/>
      <c r="AJ140" s="26"/>
      <c r="AK140" s="26"/>
      <c r="AL140" s="26"/>
      <c r="AM140" s="26"/>
      <c r="AN140" s="26"/>
      <c r="AO140" s="26"/>
      <c r="AP140" s="26"/>
      <c r="AQ140" s="26"/>
      <c r="AR140" s="26"/>
      <c r="AS140" s="26"/>
      <c r="AT140" s="26"/>
      <c r="AU140" s="26"/>
      <c r="AV140" s="26"/>
      <c r="AW140" s="26"/>
      <c r="AX140" s="26"/>
      <c r="AY140" s="1"/>
      <c r="AZ140" s="26"/>
      <c r="BA140" s="26"/>
      <c r="BB140" s="26"/>
      <c r="BC140" s="26"/>
      <c r="BD140" s="26"/>
      <c r="BE140" s="26"/>
      <c r="BF140" s="26"/>
      <c r="BG140" s="26"/>
      <c r="BH140" s="26"/>
      <c r="BI140" s="26"/>
      <c r="BJ140" s="26"/>
      <c r="BK140" s="26"/>
      <c r="BL140" s="26"/>
      <c r="BM140" s="26"/>
      <c r="BN140" s="26"/>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96"/>
      <c r="CP140" s="14"/>
      <c r="CQ140" s="14"/>
      <c r="CR140" s="14"/>
      <c r="CS140" s="14"/>
      <c r="CT140" s="1"/>
      <c r="CU140" s="14"/>
      <c r="CV140" s="1"/>
      <c r="CW140" s="1"/>
      <c r="CX140" s="14"/>
      <c r="CY140" s="1"/>
      <c r="CZ140" s="1"/>
      <c r="DA140" s="1"/>
      <c r="DB140" s="1"/>
      <c r="DC140" s="1"/>
      <c r="DD140" s="1"/>
      <c r="DE140" s="1"/>
      <c r="DF140" s="1"/>
      <c r="DG140" s="1"/>
      <c r="DH140" s="1"/>
      <c r="DI140" s="1"/>
      <c r="DJ140" s="1"/>
      <c r="DK140" s="1"/>
      <c r="DL140" s="1"/>
      <c r="DM140" s="1"/>
      <c r="DN140" s="1"/>
      <c r="DO140" s="1"/>
      <c r="DP140" s="1"/>
      <c r="DQ140" s="1"/>
      <c r="DR140" s="1"/>
      <c r="DS140" s="1"/>
      <c r="DT140" s="1"/>
      <c r="DU140" s="14"/>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29"/>
    </row>
    <row r="141" spans="1:160" x14ac:dyDescent="0.25">
      <c r="A141" s="5"/>
      <c r="B141" s="1"/>
      <c r="C141" s="98"/>
      <c r="D141" s="98"/>
      <c r="E141" s="1"/>
      <c r="F141" s="22"/>
      <c r="G141" s="22"/>
      <c r="H141" s="22"/>
      <c r="I141" s="22"/>
      <c r="J141" s="22"/>
      <c r="K141" s="22"/>
      <c r="L141" s="22"/>
      <c r="M141" s="22"/>
      <c r="N141" s="22"/>
      <c r="O141" s="22"/>
      <c r="P141" s="22"/>
      <c r="Q141" s="22"/>
      <c r="R141" s="1"/>
      <c r="S141" s="1"/>
      <c r="T141" s="8"/>
      <c r="U141" s="1"/>
      <c r="V141" s="1"/>
      <c r="W141" s="1"/>
      <c r="X141" s="1"/>
      <c r="Y141" s="1"/>
      <c r="Z141" s="1"/>
      <c r="AA141" s="1"/>
      <c r="AC141" s="1"/>
      <c r="AD141" s="1"/>
      <c r="AE141" s="1"/>
      <c r="AF141" s="1"/>
      <c r="AG141" s="1"/>
      <c r="AH141" s="26"/>
      <c r="AI141" s="26"/>
      <c r="AJ141" s="26"/>
      <c r="AK141" s="26"/>
      <c r="AL141" s="26"/>
      <c r="AM141" s="26"/>
      <c r="AN141" s="26"/>
      <c r="AO141" s="26"/>
      <c r="AP141" s="26"/>
      <c r="AQ141" s="26"/>
      <c r="AR141" s="26"/>
      <c r="AS141" s="26"/>
      <c r="AT141" s="26"/>
      <c r="AU141" s="26"/>
      <c r="AV141" s="26"/>
      <c r="AW141" s="26"/>
      <c r="AX141" s="26"/>
      <c r="AY141" s="1"/>
      <c r="AZ141" s="26"/>
      <c r="BA141" s="26"/>
      <c r="BB141" s="26"/>
      <c r="BC141" s="26"/>
      <c r="BD141" s="26"/>
      <c r="BE141" s="26"/>
      <c r="BF141" s="26"/>
      <c r="BG141" s="26"/>
      <c r="BH141" s="26"/>
      <c r="BI141" s="26"/>
      <c r="BJ141" s="26"/>
      <c r="BK141" s="26"/>
      <c r="BL141" s="26"/>
      <c r="BM141" s="26"/>
      <c r="BN141" s="26"/>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96"/>
      <c r="CP141" s="14"/>
      <c r="CQ141" s="14"/>
      <c r="CR141" s="14"/>
      <c r="CS141" s="14"/>
      <c r="CT141" s="1"/>
      <c r="CU141" s="14"/>
      <c r="CV141" s="1"/>
      <c r="CW141" s="1"/>
      <c r="CX141" s="14"/>
      <c r="CY141" s="1"/>
      <c r="CZ141" s="1"/>
      <c r="DA141" s="1"/>
      <c r="DB141" s="1"/>
      <c r="DC141" s="1"/>
      <c r="DD141" s="1"/>
      <c r="DE141" s="1"/>
      <c r="DF141" s="1"/>
      <c r="DG141" s="1"/>
      <c r="DH141" s="1"/>
      <c r="DI141" s="1"/>
      <c r="DJ141" s="1"/>
      <c r="DK141" s="1"/>
      <c r="DL141" s="1"/>
      <c r="DM141" s="1"/>
      <c r="DN141" s="1"/>
      <c r="DO141" s="1"/>
      <c r="DP141" s="1"/>
      <c r="DQ141" s="1"/>
      <c r="DR141" s="1"/>
      <c r="DS141" s="1"/>
      <c r="DT141" s="1"/>
      <c r="DU141" s="14"/>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29"/>
    </row>
    <row r="142" spans="1:160" x14ac:dyDescent="0.25">
      <c r="A142" s="5"/>
      <c r="B142" s="1"/>
      <c r="C142" s="98"/>
      <c r="D142" s="98"/>
      <c r="E142" s="1"/>
      <c r="F142" s="22"/>
      <c r="G142" s="22"/>
      <c r="H142" s="22"/>
      <c r="I142" s="22"/>
      <c r="J142" s="22"/>
      <c r="K142" s="22"/>
      <c r="L142" s="22"/>
      <c r="M142" s="22"/>
      <c r="N142" s="22"/>
      <c r="O142" s="22"/>
      <c r="P142" s="22"/>
      <c r="Q142" s="22"/>
      <c r="R142" s="1"/>
      <c r="S142" s="1"/>
      <c r="T142" s="8"/>
      <c r="U142" s="1"/>
      <c r="V142" s="1"/>
      <c r="W142" s="1"/>
      <c r="X142" s="1"/>
      <c r="Y142" s="1"/>
      <c r="Z142" s="1"/>
      <c r="AA142" s="1"/>
      <c r="AC142" s="1"/>
      <c r="AD142" s="1"/>
      <c r="AE142" s="1"/>
      <c r="AF142" s="1"/>
      <c r="AG142" s="1"/>
      <c r="AH142" s="26"/>
      <c r="AI142" s="26"/>
      <c r="AJ142" s="26"/>
      <c r="AK142" s="26"/>
      <c r="AL142" s="26"/>
      <c r="AM142" s="26"/>
      <c r="AN142" s="26"/>
      <c r="AO142" s="26"/>
      <c r="AP142" s="26"/>
      <c r="AQ142" s="26"/>
      <c r="AR142" s="26"/>
      <c r="AS142" s="26"/>
      <c r="AT142" s="26"/>
      <c r="AU142" s="26"/>
      <c r="AV142" s="26"/>
      <c r="AW142" s="26"/>
      <c r="AX142" s="26"/>
      <c r="AY142" s="1"/>
      <c r="AZ142" s="26"/>
      <c r="BA142" s="26"/>
      <c r="BB142" s="26"/>
      <c r="BC142" s="26"/>
      <c r="BD142" s="26"/>
      <c r="BE142" s="26"/>
      <c r="BF142" s="26"/>
      <c r="BG142" s="26"/>
      <c r="BH142" s="26"/>
      <c r="BI142" s="26"/>
      <c r="BJ142" s="26"/>
      <c r="BK142" s="26"/>
      <c r="BL142" s="26"/>
      <c r="BM142" s="26"/>
      <c r="BN142" s="26"/>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96"/>
      <c r="CP142" s="14"/>
      <c r="CQ142" s="14"/>
      <c r="CR142" s="14"/>
      <c r="CS142" s="14"/>
      <c r="CT142" s="1"/>
      <c r="CU142" s="14"/>
      <c r="CV142" s="1"/>
      <c r="CW142" s="1"/>
      <c r="CX142" s="14"/>
      <c r="CY142" s="1"/>
      <c r="CZ142" s="1"/>
      <c r="DA142" s="1"/>
      <c r="DB142" s="1"/>
      <c r="DC142" s="1"/>
      <c r="DD142" s="1"/>
      <c r="DE142" s="1"/>
      <c r="DF142" s="1"/>
      <c r="DG142" s="1"/>
      <c r="DH142" s="1"/>
      <c r="DI142" s="1"/>
      <c r="DJ142" s="1"/>
      <c r="DK142" s="1"/>
      <c r="DL142" s="1"/>
      <c r="DM142" s="1"/>
      <c r="DN142" s="1"/>
      <c r="DO142" s="1"/>
      <c r="DP142" s="1"/>
      <c r="DQ142" s="1"/>
      <c r="DR142" s="1"/>
      <c r="DS142" s="1"/>
      <c r="DT142" s="1"/>
      <c r="DU142" s="14"/>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29"/>
    </row>
    <row r="143" spans="1:160" x14ac:dyDescent="0.25">
      <c r="A143" s="5"/>
      <c r="B143" s="1"/>
      <c r="C143" s="98"/>
      <c r="D143" s="98"/>
      <c r="E143" s="1"/>
      <c r="F143" s="22"/>
      <c r="G143" s="22"/>
      <c r="H143" s="22"/>
      <c r="I143" s="22"/>
      <c r="J143" s="22"/>
      <c r="K143" s="22"/>
      <c r="L143" s="22"/>
      <c r="M143" s="22"/>
      <c r="N143" s="22"/>
      <c r="O143" s="22"/>
      <c r="P143" s="22"/>
      <c r="Q143" s="22"/>
      <c r="R143" s="1"/>
      <c r="S143" s="1"/>
      <c r="T143" s="8"/>
      <c r="U143" s="1"/>
      <c r="V143" s="1"/>
      <c r="W143" s="1"/>
      <c r="X143" s="1"/>
      <c r="Y143" s="1"/>
      <c r="Z143" s="1"/>
      <c r="AA143" s="1"/>
      <c r="AC143" s="1"/>
      <c r="AD143" s="1"/>
      <c r="AE143" s="1"/>
      <c r="AF143" s="1"/>
      <c r="AG143" s="1"/>
      <c r="AH143" s="26"/>
      <c r="AI143" s="26"/>
      <c r="AJ143" s="26"/>
      <c r="AK143" s="26"/>
      <c r="AL143" s="26"/>
      <c r="AM143" s="26"/>
      <c r="AN143" s="26"/>
      <c r="AO143" s="26"/>
      <c r="AP143" s="26"/>
      <c r="AQ143" s="26"/>
      <c r="AR143" s="26"/>
      <c r="AS143" s="26"/>
      <c r="AT143" s="26"/>
      <c r="AU143" s="26"/>
      <c r="AV143" s="26"/>
      <c r="AW143" s="26"/>
      <c r="AX143" s="26"/>
      <c r="AY143" s="1"/>
      <c r="AZ143" s="26"/>
      <c r="BA143" s="26"/>
      <c r="BB143" s="26"/>
      <c r="BC143" s="26"/>
      <c r="BD143" s="26"/>
      <c r="BE143" s="26"/>
      <c r="BF143" s="26"/>
      <c r="BG143" s="26"/>
      <c r="BH143" s="26"/>
      <c r="BI143" s="26"/>
      <c r="BJ143" s="26"/>
      <c r="BK143" s="26"/>
      <c r="BL143" s="26"/>
      <c r="BM143" s="26"/>
      <c r="BN143" s="26"/>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96"/>
      <c r="CP143" s="14"/>
      <c r="CQ143" s="14"/>
      <c r="CR143" s="14"/>
      <c r="CS143" s="14"/>
      <c r="CT143" s="1"/>
      <c r="CU143" s="14"/>
      <c r="CV143" s="1"/>
      <c r="CW143" s="1"/>
      <c r="CX143" s="14"/>
      <c r="CY143" s="1"/>
      <c r="CZ143" s="1"/>
      <c r="DA143" s="1"/>
      <c r="DB143" s="1"/>
      <c r="DC143" s="1"/>
      <c r="DD143" s="1"/>
      <c r="DE143" s="1"/>
      <c r="DF143" s="1"/>
      <c r="DG143" s="1"/>
      <c r="DH143" s="1"/>
      <c r="DI143" s="1"/>
      <c r="DJ143" s="1"/>
      <c r="DK143" s="1"/>
      <c r="DL143" s="1"/>
      <c r="DM143" s="1"/>
      <c r="DN143" s="1"/>
      <c r="DO143" s="1"/>
      <c r="DP143" s="1"/>
      <c r="DQ143" s="1"/>
      <c r="DR143" s="1"/>
      <c r="DS143" s="1"/>
      <c r="DT143" s="1"/>
      <c r="DU143" s="14"/>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29"/>
    </row>
    <row r="144" spans="1:160" x14ac:dyDescent="0.25">
      <c r="A144" s="5"/>
      <c r="B144" s="1"/>
      <c r="C144" s="98"/>
      <c r="D144" s="98"/>
      <c r="E144" s="1"/>
      <c r="F144" s="22"/>
      <c r="G144" s="22"/>
      <c r="H144" s="22"/>
      <c r="I144" s="22"/>
      <c r="J144" s="22"/>
      <c r="K144" s="22"/>
      <c r="L144" s="22"/>
      <c r="M144" s="22"/>
      <c r="N144" s="22"/>
      <c r="O144" s="22"/>
      <c r="P144" s="22"/>
      <c r="Q144" s="22"/>
      <c r="R144" s="1"/>
      <c r="S144" s="1"/>
      <c r="T144" s="8"/>
      <c r="U144" s="1"/>
      <c r="V144" s="1"/>
      <c r="W144" s="1"/>
      <c r="X144" s="1"/>
      <c r="Y144" s="1"/>
      <c r="Z144" s="1"/>
      <c r="AA144" s="1"/>
      <c r="AC144" s="1"/>
      <c r="AD144" s="1"/>
      <c r="AE144" s="1"/>
      <c r="AF144" s="1"/>
      <c r="AG144" s="1"/>
      <c r="AH144" s="26"/>
      <c r="AI144" s="26"/>
      <c r="AJ144" s="26"/>
      <c r="AK144" s="26"/>
      <c r="AL144" s="26"/>
      <c r="AM144" s="26"/>
      <c r="AN144" s="26"/>
      <c r="AO144" s="26"/>
      <c r="AP144" s="26"/>
      <c r="AQ144" s="26"/>
      <c r="AR144" s="26"/>
      <c r="AS144" s="26"/>
      <c r="AT144" s="26"/>
      <c r="AU144" s="26"/>
      <c r="AV144" s="26"/>
      <c r="AW144" s="26"/>
      <c r="AX144" s="26"/>
      <c r="AY144" s="1"/>
      <c r="AZ144" s="26"/>
      <c r="BA144" s="26"/>
      <c r="BB144" s="26"/>
      <c r="BC144" s="26"/>
      <c r="BD144" s="26"/>
      <c r="BE144" s="26"/>
      <c r="BF144" s="26"/>
      <c r="BG144" s="26"/>
      <c r="BH144" s="26"/>
      <c r="BI144" s="26"/>
      <c r="BJ144" s="26"/>
      <c r="BK144" s="26"/>
      <c r="BL144" s="26"/>
      <c r="BM144" s="26"/>
      <c r="BN144" s="26"/>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96"/>
      <c r="CP144" s="14"/>
      <c r="CQ144" s="14"/>
      <c r="CR144" s="14"/>
      <c r="CS144" s="14"/>
      <c r="CT144" s="1"/>
      <c r="CU144" s="14"/>
      <c r="CV144" s="1"/>
      <c r="CW144" s="1"/>
      <c r="CX144" s="14"/>
      <c r="CY144" s="1"/>
      <c r="CZ144" s="1"/>
      <c r="DA144" s="1"/>
      <c r="DB144" s="1"/>
      <c r="DC144" s="1"/>
      <c r="DD144" s="1"/>
      <c r="DE144" s="1"/>
      <c r="DF144" s="1"/>
      <c r="DG144" s="1"/>
      <c r="DH144" s="1"/>
      <c r="DI144" s="1"/>
      <c r="DJ144" s="1"/>
      <c r="DK144" s="1"/>
      <c r="DL144" s="1"/>
      <c r="DM144" s="1"/>
      <c r="DN144" s="1"/>
      <c r="DO144" s="1"/>
      <c r="DP144" s="1"/>
      <c r="DQ144" s="1"/>
      <c r="DR144" s="1"/>
      <c r="DS144" s="1"/>
      <c r="DT144" s="1"/>
      <c r="DU144" s="14"/>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29"/>
    </row>
    <row r="145" spans="1:160" x14ac:dyDescent="0.25">
      <c r="A145" s="5"/>
      <c r="B145" s="1"/>
      <c r="C145" s="98"/>
      <c r="D145" s="98"/>
      <c r="E145" s="1"/>
      <c r="F145" s="22"/>
      <c r="G145" s="22"/>
      <c r="H145" s="22"/>
      <c r="I145" s="22"/>
      <c r="J145" s="22"/>
      <c r="K145" s="22"/>
      <c r="L145" s="22"/>
      <c r="M145" s="22"/>
      <c r="N145" s="22"/>
      <c r="O145" s="22"/>
      <c r="P145" s="22"/>
      <c r="Q145" s="22"/>
      <c r="R145" s="1"/>
      <c r="S145" s="1"/>
      <c r="T145" s="8"/>
      <c r="U145" s="1"/>
      <c r="V145" s="1"/>
      <c r="W145" s="1"/>
      <c r="X145" s="1"/>
      <c r="Y145" s="1"/>
      <c r="Z145" s="1"/>
      <c r="AA145" s="1"/>
      <c r="AC145" s="1"/>
      <c r="AD145" s="1"/>
      <c r="AE145" s="1"/>
      <c r="AF145" s="1"/>
      <c r="AG145" s="1"/>
      <c r="AH145" s="26"/>
      <c r="AI145" s="26"/>
      <c r="AJ145" s="26"/>
      <c r="AK145" s="26"/>
      <c r="AL145" s="26"/>
      <c r="AM145" s="26"/>
      <c r="AN145" s="26"/>
      <c r="AO145" s="26"/>
      <c r="AP145" s="26"/>
      <c r="AQ145" s="26"/>
      <c r="AR145" s="26"/>
      <c r="AS145" s="26"/>
      <c r="AT145" s="26"/>
      <c r="AU145" s="26"/>
      <c r="AV145" s="26"/>
      <c r="AW145" s="26"/>
      <c r="AX145" s="26"/>
      <c r="AY145" s="1"/>
      <c r="AZ145" s="26"/>
      <c r="BA145" s="26"/>
      <c r="BB145" s="26"/>
      <c r="BC145" s="26"/>
      <c r="BD145" s="26"/>
      <c r="BE145" s="26"/>
      <c r="BF145" s="26"/>
      <c r="BG145" s="26"/>
      <c r="BH145" s="26"/>
      <c r="BI145" s="26"/>
      <c r="BJ145" s="26"/>
      <c r="BK145" s="26"/>
      <c r="BL145" s="26"/>
      <c r="BM145" s="26"/>
      <c r="BN145" s="26"/>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96"/>
      <c r="CP145" s="14"/>
      <c r="CQ145" s="14"/>
      <c r="CR145" s="14"/>
      <c r="CS145" s="14"/>
      <c r="CT145" s="1"/>
      <c r="CU145" s="14"/>
      <c r="CV145" s="1"/>
      <c r="CW145" s="1"/>
      <c r="CX145" s="14"/>
      <c r="CY145" s="1"/>
      <c r="CZ145" s="1"/>
      <c r="DA145" s="1"/>
      <c r="DB145" s="1"/>
      <c r="DC145" s="1"/>
      <c r="DD145" s="1"/>
      <c r="DE145" s="1"/>
      <c r="DF145" s="1"/>
      <c r="DG145" s="1"/>
      <c r="DH145" s="1"/>
      <c r="DI145" s="1"/>
      <c r="DJ145" s="1"/>
      <c r="DK145" s="1"/>
      <c r="DL145" s="1"/>
      <c r="DM145" s="1"/>
      <c r="DN145" s="1"/>
      <c r="DO145" s="1"/>
      <c r="DP145" s="1"/>
      <c r="DQ145" s="1"/>
      <c r="DR145" s="1"/>
      <c r="DS145" s="1"/>
      <c r="DT145" s="1"/>
      <c r="DU145" s="14"/>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29"/>
    </row>
    <row r="146" spans="1:160" x14ac:dyDescent="0.25">
      <c r="A146" s="5"/>
      <c r="B146" s="1"/>
      <c r="C146" s="98"/>
      <c r="D146" s="98"/>
      <c r="E146" s="1"/>
      <c r="F146" s="22"/>
      <c r="G146" s="22"/>
      <c r="H146" s="22"/>
      <c r="I146" s="22"/>
      <c r="J146" s="22"/>
      <c r="K146" s="22"/>
      <c r="L146" s="22"/>
      <c r="M146" s="22"/>
      <c r="N146" s="22"/>
      <c r="O146" s="22"/>
      <c r="P146" s="22"/>
      <c r="Q146" s="22"/>
      <c r="R146" s="1"/>
      <c r="S146" s="1"/>
      <c r="T146" s="8"/>
      <c r="U146" s="1"/>
      <c r="V146" s="1"/>
      <c r="W146" s="1"/>
      <c r="X146" s="1"/>
      <c r="Y146" s="1"/>
      <c r="Z146" s="1"/>
      <c r="AA146" s="1"/>
      <c r="AC146" s="1"/>
      <c r="AD146" s="1"/>
      <c r="AE146" s="1"/>
      <c r="AF146" s="1"/>
      <c r="AG146" s="1"/>
      <c r="AH146" s="26"/>
      <c r="AI146" s="26"/>
      <c r="AJ146" s="26"/>
      <c r="AK146" s="26"/>
      <c r="AL146" s="26"/>
      <c r="AM146" s="26"/>
      <c r="AN146" s="26"/>
      <c r="AO146" s="26"/>
      <c r="AP146" s="26"/>
      <c r="AQ146" s="26"/>
      <c r="AR146" s="26"/>
      <c r="AS146" s="26"/>
      <c r="AT146" s="26"/>
      <c r="AU146" s="26"/>
      <c r="AV146" s="26"/>
      <c r="AW146" s="26"/>
      <c r="AX146" s="26"/>
      <c r="AY146" s="1"/>
      <c r="AZ146" s="26"/>
      <c r="BA146" s="26"/>
      <c r="BB146" s="26"/>
      <c r="BC146" s="26"/>
      <c r="BD146" s="26"/>
      <c r="BE146" s="26"/>
      <c r="BF146" s="26"/>
      <c r="BG146" s="26"/>
      <c r="BH146" s="26"/>
      <c r="BI146" s="26"/>
      <c r="BJ146" s="26"/>
      <c r="BK146" s="26"/>
      <c r="BL146" s="26"/>
      <c r="BM146" s="26"/>
      <c r="BN146" s="26"/>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96"/>
      <c r="CP146" s="14"/>
      <c r="CQ146" s="14"/>
      <c r="CR146" s="14"/>
      <c r="CS146" s="14"/>
      <c r="CT146" s="1"/>
      <c r="CU146" s="14"/>
      <c r="CV146" s="1"/>
      <c r="CW146" s="1"/>
      <c r="CX146" s="14"/>
      <c r="CY146" s="1"/>
      <c r="CZ146" s="1"/>
      <c r="DA146" s="1"/>
      <c r="DB146" s="1"/>
      <c r="DC146" s="1"/>
      <c r="DD146" s="1"/>
      <c r="DE146" s="1"/>
      <c r="DF146" s="1"/>
      <c r="DG146" s="1"/>
      <c r="DH146" s="1"/>
      <c r="DI146" s="1"/>
      <c r="DJ146" s="1"/>
      <c r="DK146" s="1"/>
      <c r="DL146" s="1"/>
      <c r="DM146" s="1"/>
      <c r="DN146" s="1"/>
      <c r="DO146" s="1"/>
      <c r="DP146" s="1"/>
      <c r="DQ146" s="1"/>
      <c r="DR146" s="1"/>
      <c r="DS146" s="1"/>
      <c r="DT146" s="1"/>
      <c r="DU146" s="14"/>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29"/>
    </row>
    <row r="147" spans="1:160" x14ac:dyDescent="0.25">
      <c r="A147" s="5"/>
      <c r="B147" s="1"/>
      <c r="C147" s="98"/>
      <c r="D147" s="98"/>
      <c r="E147" s="1"/>
      <c r="F147" s="22"/>
      <c r="G147" s="22"/>
      <c r="H147" s="22"/>
      <c r="I147" s="22"/>
      <c r="J147" s="22"/>
      <c r="K147" s="22"/>
      <c r="L147" s="22"/>
      <c r="M147" s="22"/>
      <c r="N147" s="22"/>
      <c r="O147" s="22"/>
      <c r="P147" s="22"/>
      <c r="Q147" s="22"/>
      <c r="R147" s="1"/>
      <c r="S147" s="1"/>
      <c r="T147" s="8"/>
      <c r="U147" s="1"/>
      <c r="V147" s="1"/>
      <c r="W147" s="1"/>
      <c r="X147" s="1"/>
      <c r="Y147" s="1"/>
      <c r="Z147" s="1"/>
      <c r="AA147" s="1"/>
      <c r="AC147" s="1"/>
      <c r="AD147" s="1"/>
      <c r="AE147" s="1"/>
      <c r="AF147" s="1"/>
      <c r="AG147" s="1"/>
      <c r="AH147" s="26"/>
      <c r="AI147" s="26"/>
      <c r="AJ147" s="26"/>
      <c r="AK147" s="26"/>
      <c r="AL147" s="26"/>
      <c r="AM147" s="26"/>
      <c r="AN147" s="26"/>
      <c r="AO147" s="26"/>
      <c r="AP147" s="26"/>
      <c r="AQ147" s="26"/>
      <c r="AR147" s="26"/>
      <c r="AS147" s="26"/>
      <c r="AT147" s="26"/>
      <c r="AU147" s="26"/>
      <c r="AV147" s="26"/>
      <c r="AW147" s="26"/>
      <c r="AX147" s="26"/>
      <c r="AY147" s="1"/>
      <c r="AZ147" s="26"/>
      <c r="BA147" s="26"/>
      <c r="BB147" s="26"/>
      <c r="BC147" s="26"/>
      <c r="BD147" s="26"/>
      <c r="BE147" s="26"/>
      <c r="BF147" s="26"/>
      <c r="BG147" s="26"/>
      <c r="BH147" s="26"/>
      <c r="BI147" s="26"/>
      <c r="BJ147" s="26"/>
      <c r="BK147" s="26"/>
      <c r="BL147" s="26"/>
      <c r="BM147" s="26"/>
      <c r="BN147" s="26"/>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96"/>
      <c r="CP147" s="14"/>
      <c r="CQ147" s="14"/>
      <c r="CR147" s="14"/>
      <c r="CS147" s="14"/>
      <c r="CT147" s="1"/>
      <c r="CU147" s="14"/>
      <c r="CV147" s="1"/>
      <c r="CW147" s="1"/>
      <c r="CX147" s="14"/>
      <c r="CY147" s="1"/>
      <c r="CZ147" s="1"/>
      <c r="DA147" s="1"/>
      <c r="DB147" s="1"/>
      <c r="DC147" s="1"/>
      <c r="DD147" s="1"/>
      <c r="DE147" s="1"/>
      <c r="DF147" s="1"/>
      <c r="DG147" s="1"/>
      <c r="DH147" s="1"/>
      <c r="DI147" s="1"/>
      <c r="DJ147" s="1"/>
      <c r="DK147" s="1"/>
      <c r="DL147" s="1"/>
      <c r="DM147" s="1"/>
      <c r="DN147" s="1"/>
      <c r="DO147" s="1"/>
      <c r="DP147" s="1"/>
      <c r="DQ147" s="1"/>
      <c r="DR147" s="1"/>
      <c r="DS147" s="1"/>
      <c r="DT147" s="1"/>
      <c r="DU147" s="14"/>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29"/>
    </row>
    <row r="148" spans="1:160" x14ac:dyDescent="0.25">
      <c r="A148" s="5"/>
      <c r="B148" s="1"/>
      <c r="C148" s="98"/>
      <c r="D148" s="98"/>
      <c r="E148" s="1"/>
      <c r="F148" s="22"/>
      <c r="G148" s="22"/>
      <c r="H148" s="22"/>
      <c r="I148" s="22"/>
      <c r="J148" s="22"/>
      <c r="K148" s="22"/>
      <c r="L148" s="22"/>
      <c r="M148" s="22"/>
      <c r="N148" s="22"/>
      <c r="O148" s="22"/>
      <c r="P148" s="22"/>
      <c r="Q148" s="22"/>
      <c r="R148" s="1"/>
      <c r="S148" s="1"/>
      <c r="T148" s="8"/>
      <c r="U148" s="1"/>
      <c r="V148" s="1"/>
      <c r="W148" s="1"/>
      <c r="X148" s="1"/>
      <c r="Y148" s="1"/>
      <c r="Z148" s="1"/>
      <c r="AA148" s="1"/>
      <c r="AC148" s="1"/>
      <c r="AD148" s="1"/>
      <c r="AE148" s="1"/>
      <c r="AF148" s="1"/>
      <c r="AG148" s="1"/>
      <c r="AH148" s="26"/>
      <c r="AI148" s="26"/>
      <c r="AJ148" s="26"/>
      <c r="AK148" s="26"/>
      <c r="AL148" s="26"/>
      <c r="AM148" s="26"/>
      <c r="AN148" s="26"/>
      <c r="AO148" s="26"/>
      <c r="AP148" s="26"/>
      <c r="AQ148" s="26"/>
      <c r="AR148" s="26"/>
      <c r="AS148" s="26"/>
      <c r="AT148" s="26"/>
      <c r="AU148" s="26"/>
      <c r="AV148" s="26"/>
      <c r="AW148" s="26"/>
      <c r="AX148" s="26"/>
      <c r="AY148" s="1"/>
      <c r="AZ148" s="26"/>
      <c r="BA148" s="26"/>
      <c r="BB148" s="26"/>
      <c r="BC148" s="26"/>
      <c r="BD148" s="26"/>
      <c r="BE148" s="26"/>
      <c r="BF148" s="26"/>
      <c r="BG148" s="26"/>
      <c r="BH148" s="26"/>
      <c r="BI148" s="26"/>
      <c r="BJ148" s="26"/>
      <c r="BK148" s="26"/>
      <c r="BL148" s="26"/>
      <c r="BM148" s="26"/>
      <c r="BN148" s="26"/>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96"/>
      <c r="CP148" s="14"/>
      <c r="CQ148" s="14"/>
      <c r="CR148" s="14"/>
      <c r="CS148" s="14"/>
      <c r="CT148" s="1"/>
      <c r="CU148" s="14"/>
      <c r="CV148" s="1"/>
      <c r="CW148" s="1"/>
      <c r="CX148" s="14"/>
      <c r="CY148" s="1"/>
      <c r="CZ148" s="1"/>
      <c r="DA148" s="1"/>
      <c r="DB148" s="1"/>
      <c r="DC148" s="1"/>
      <c r="DD148" s="1"/>
      <c r="DE148" s="1"/>
      <c r="DF148" s="1"/>
      <c r="DG148" s="1"/>
      <c r="DH148" s="1"/>
      <c r="DI148" s="1"/>
      <c r="DJ148" s="1"/>
      <c r="DK148" s="1"/>
      <c r="DL148" s="1"/>
      <c r="DM148" s="1"/>
      <c r="DN148" s="1"/>
      <c r="DO148" s="1"/>
      <c r="DP148" s="1"/>
      <c r="DQ148" s="1"/>
      <c r="DR148" s="1"/>
      <c r="DS148" s="1"/>
      <c r="DT148" s="1"/>
      <c r="DU148" s="14"/>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29"/>
    </row>
    <row r="149" spans="1:160" x14ac:dyDescent="0.25">
      <c r="A149" s="5"/>
      <c r="B149" s="1"/>
      <c r="C149" s="98"/>
      <c r="D149" s="98"/>
      <c r="E149" s="1"/>
      <c r="F149" s="22"/>
      <c r="G149" s="22"/>
      <c r="H149" s="22"/>
      <c r="I149" s="22"/>
      <c r="J149" s="22"/>
      <c r="K149" s="22"/>
      <c r="L149" s="22"/>
      <c r="M149" s="22"/>
      <c r="N149" s="22"/>
      <c r="O149" s="22"/>
      <c r="P149" s="22"/>
      <c r="Q149" s="22"/>
      <c r="R149" s="1"/>
      <c r="S149" s="1"/>
      <c r="T149" s="8"/>
      <c r="U149" s="1"/>
      <c r="V149" s="1"/>
      <c r="W149" s="1"/>
      <c r="X149" s="1"/>
      <c r="Y149" s="1"/>
      <c r="Z149" s="1"/>
      <c r="AA149" s="1"/>
      <c r="AC149" s="1"/>
      <c r="AD149" s="1"/>
      <c r="AE149" s="1"/>
      <c r="AF149" s="1"/>
      <c r="AG149" s="1"/>
      <c r="AH149" s="26"/>
      <c r="AI149" s="26"/>
      <c r="AJ149" s="26"/>
      <c r="AK149" s="26"/>
      <c r="AL149" s="26"/>
      <c r="AM149" s="26"/>
      <c r="AN149" s="26"/>
      <c r="AO149" s="26"/>
      <c r="AP149" s="26"/>
      <c r="AQ149" s="26"/>
      <c r="AR149" s="26"/>
      <c r="AS149" s="26"/>
      <c r="AT149" s="26"/>
      <c r="AU149" s="26"/>
      <c r="AV149" s="26"/>
      <c r="AW149" s="26"/>
      <c r="AX149" s="26"/>
      <c r="AY149" s="1"/>
      <c r="AZ149" s="26"/>
      <c r="BA149" s="26"/>
      <c r="BB149" s="26"/>
      <c r="BC149" s="26"/>
      <c r="BD149" s="26"/>
      <c r="BE149" s="26"/>
      <c r="BF149" s="26"/>
      <c r="BG149" s="26"/>
      <c r="BH149" s="26"/>
      <c r="BI149" s="26"/>
      <c r="BJ149" s="26"/>
      <c r="BK149" s="26"/>
      <c r="BL149" s="26"/>
      <c r="BM149" s="26"/>
      <c r="BN149" s="26"/>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96"/>
      <c r="CP149" s="14"/>
      <c r="CQ149" s="14"/>
      <c r="CR149" s="14"/>
      <c r="CS149" s="14"/>
      <c r="CT149" s="1"/>
      <c r="CU149" s="14"/>
      <c r="CV149" s="1"/>
      <c r="CW149" s="1"/>
      <c r="CX149" s="14"/>
      <c r="CY149" s="1"/>
      <c r="CZ149" s="1"/>
      <c r="DA149" s="1"/>
      <c r="DB149" s="1"/>
      <c r="DC149" s="1"/>
      <c r="DD149" s="1"/>
      <c r="DE149" s="1"/>
      <c r="DF149" s="1"/>
      <c r="DG149" s="1"/>
      <c r="DH149" s="1"/>
      <c r="DI149" s="1"/>
      <c r="DJ149" s="1"/>
      <c r="DK149" s="1"/>
      <c r="DL149" s="1"/>
      <c r="DM149" s="1"/>
      <c r="DN149" s="1"/>
      <c r="DO149" s="1"/>
      <c r="DP149" s="1"/>
      <c r="DQ149" s="1"/>
      <c r="DR149" s="1"/>
      <c r="DS149" s="1"/>
      <c r="DT149" s="1"/>
      <c r="DU149" s="14"/>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29"/>
    </row>
    <row r="150" spans="1:160" x14ac:dyDescent="0.25">
      <c r="A150" s="5"/>
      <c r="B150" s="1"/>
      <c r="C150" s="98"/>
      <c r="D150" s="98"/>
      <c r="E150" s="1"/>
      <c r="F150" s="22"/>
      <c r="G150" s="22"/>
      <c r="H150" s="22"/>
      <c r="I150" s="22"/>
      <c r="J150" s="22"/>
      <c r="K150" s="22"/>
      <c r="L150" s="22"/>
      <c r="M150" s="22"/>
      <c r="N150" s="22"/>
      <c r="O150" s="22"/>
      <c r="P150" s="22"/>
      <c r="Q150" s="22"/>
      <c r="R150" s="1"/>
      <c r="S150" s="1"/>
      <c r="T150" s="8"/>
      <c r="U150" s="1"/>
      <c r="V150" s="1"/>
      <c r="W150" s="1"/>
      <c r="X150" s="1"/>
      <c r="Y150" s="1"/>
      <c r="Z150" s="1"/>
      <c r="AA150" s="1"/>
      <c r="AC150" s="1"/>
      <c r="AD150" s="1"/>
      <c r="AE150" s="1"/>
      <c r="AF150" s="1"/>
      <c r="AG150" s="1"/>
      <c r="AH150" s="26"/>
      <c r="AI150" s="26"/>
      <c r="AJ150" s="26"/>
      <c r="AK150" s="26"/>
      <c r="AL150" s="26"/>
      <c r="AM150" s="26"/>
      <c r="AN150" s="26"/>
      <c r="AO150" s="26"/>
      <c r="AP150" s="26"/>
      <c r="AQ150" s="26"/>
      <c r="AR150" s="26"/>
      <c r="AS150" s="26"/>
      <c r="AT150" s="26"/>
      <c r="AU150" s="26"/>
      <c r="AV150" s="26"/>
      <c r="AW150" s="26"/>
      <c r="AX150" s="26"/>
      <c r="AY150" s="1"/>
      <c r="AZ150" s="26"/>
      <c r="BA150" s="26"/>
      <c r="BB150" s="26"/>
      <c r="BC150" s="26"/>
      <c r="BD150" s="26"/>
      <c r="BE150" s="26"/>
      <c r="BF150" s="26"/>
      <c r="BG150" s="26"/>
      <c r="BH150" s="26"/>
      <c r="BI150" s="26"/>
      <c r="BJ150" s="26"/>
      <c r="BK150" s="26"/>
      <c r="BL150" s="26"/>
      <c r="BM150" s="26"/>
      <c r="BN150" s="26"/>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96"/>
      <c r="CP150" s="14"/>
      <c r="CQ150" s="14"/>
      <c r="CR150" s="14"/>
      <c r="CS150" s="14"/>
      <c r="CT150" s="1"/>
      <c r="CU150" s="14"/>
      <c r="CV150" s="1"/>
      <c r="CW150" s="1"/>
      <c r="CX150" s="14"/>
      <c r="CY150" s="1"/>
      <c r="CZ150" s="1"/>
      <c r="DA150" s="1"/>
      <c r="DB150" s="1"/>
      <c r="DC150" s="1"/>
      <c r="DD150" s="1"/>
      <c r="DE150" s="1"/>
      <c r="DF150" s="1"/>
      <c r="DG150" s="1"/>
      <c r="DH150" s="1"/>
      <c r="DI150" s="1"/>
      <c r="DJ150" s="1"/>
      <c r="DK150" s="1"/>
      <c r="DL150" s="1"/>
      <c r="DM150" s="1"/>
      <c r="DN150" s="1"/>
      <c r="DO150" s="1"/>
      <c r="DP150" s="1"/>
      <c r="DQ150" s="1"/>
      <c r="DR150" s="1"/>
      <c r="DS150" s="1"/>
      <c r="DT150" s="1"/>
      <c r="DU150" s="14"/>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29"/>
    </row>
    <row r="151" spans="1:160" x14ac:dyDescent="0.25">
      <c r="A151" s="5"/>
      <c r="B151" s="1"/>
      <c r="C151" s="98"/>
      <c r="D151" s="98"/>
      <c r="E151" s="1"/>
      <c r="F151" s="22"/>
      <c r="G151" s="22"/>
      <c r="H151" s="22"/>
      <c r="I151" s="22"/>
      <c r="J151" s="22"/>
      <c r="K151" s="22"/>
      <c r="L151" s="22"/>
      <c r="M151" s="22"/>
      <c r="N151" s="22"/>
      <c r="O151" s="22"/>
      <c r="P151" s="22"/>
      <c r="Q151" s="22"/>
      <c r="R151" s="1"/>
      <c r="S151" s="1"/>
      <c r="T151" s="8"/>
      <c r="U151" s="1"/>
      <c r="V151" s="1"/>
      <c r="W151" s="1"/>
      <c r="X151" s="1"/>
      <c r="Y151" s="1"/>
      <c r="Z151" s="1"/>
      <c r="AA151" s="1"/>
      <c r="AC151" s="1"/>
      <c r="AD151" s="1"/>
      <c r="AE151" s="1"/>
      <c r="AF151" s="1"/>
      <c r="AG151" s="1"/>
      <c r="AH151" s="26"/>
      <c r="AI151" s="26"/>
      <c r="AJ151" s="26"/>
      <c r="AK151" s="26"/>
      <c r="AL151" s="26"/>
      <c r="AM151" s="26"/>
      <c r="AN151" s="26"/>
      <c r="AO151" s="26"/>
      <c r="AP151" s="26"/>
      <c r="AQ151" s="26"/>
      <c r="AR151" s="26"/>
      <c r="AS151" s="26"/>
      <c r="AT151" s="26"/>
      <c r="AU151" s="26"/>
      <c r="AV151" s="26"/>
      <c r="AW151" s="26"/>
      <c r="AX151" s="26"/>
      <c r="AY151" s="1"/>
      <c r="AZ151" s="26"/>
      <c r="BA151" s="26"/>
      <c r="BB151" s="26"/>
      <c r="BC151" s="26"/>
      <c r="BD151" s="26"/>
      <c r="BE151" s="26"/>
      <c r="BF151" s="26"/>
      <c r="BG151" s="26"/>
      <c r="BH151" s="26"/>
      <c r="BI151" s="26"/>
      <c r="BJ151" s="26"/>
      <c r="BK151" s="26"/>
      <c r="BL151" s="26"/>
      <c r="BM151" s="26"/>
      <c r="BN151" s="26"/>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96"/>
      <c r="CP151" s="14"/>
      <c r="CQ151" s="14"/>
      <c r="CR151" s="14"/>
      <c r="CS151" s="14"/>
      <c r="CT151" s="1"/>
      <c r="CU151" s="14"/>
      <c r="CV151" s="1"/>
      <c r="CW151" s="1"/>
      <c r="CX151" s="14"/>
      <c r="CY151" s="1"/>
      <c r="CZ151" s="1"/>
      <c r="DA151" s="1"/>
      <c r="DB151" s="1"/>
      <c r="DC151" s="1"/>
      <c r="DD151" s="1"/>
      <c r="DE151" s="1"/>
      <c r="DF151" s="1"/>
      <c r="DG151" s="1"/>
      <c r="DH151" s="1"/>
      <c r="DI151" s="1"/>
      <c r="DJ151" s="1"/>
      <c r="DK151" s="1"/>
      <c r="DL151" s="1"/>
      <c r="DM151" s="1"/>
      <c r="DN151" s="1"/>
      <c r="DO151" s="1"/>
      <c r="DP151" s="1"/>
      <c r="DQ151" s="1"/>
      <c r="DR151" s="1"/>
      <c r="DS151" s="1"/>
      <c r="DT151" s="1"/>
      <c r="DU151" s="14"/>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29"/>
    </row>
    <row r="152" spans="1:160" x14ac:dyDescent="0.25">
      <c r="A152" s="5"/>
      <c r="B152" s="1"/>
      <c r="C152" s="98"/>
      <c r="D152" s="98"/>
      <c r="E152" s="1"/>
      <c r="F152" s="22"/>
      <c r="G152" s="22"/>
      <c r="H152" s="22"/>
      <c r="I152" s="22"/>
      <c r="J152" s="22"/>
      <c r="K152" s="22"/>
      <c r="L152" s="22"/>
      <c r="M152" s="22"/>
      <c r="N152" s="22"/>
      <c r="O152" s="22"/>
      <c r="P152" s="22"/>
      <c r="Q152" s="22"/>
      <c r="R152" s="1"/>
      <c r="S152" s="1"/>
      <c r="T152" s="8"/>
      <c r="U152" s="1"/>
      <c r="V152" s="1"/>
      <c r="W152" s="1"/>
      <c r="X152" s="1"/>
      <c r="Y152" s="1"/>
      <c r="Z152" s="1"/>
      <c r="AA152" s="1"/>
      <c r="AC152" s="1"/>
      <c r="AD152" s="1"/>
      <c r="AE152" s="1"/>
      <c r="AF152" s="1"/>
      <c r="AG152" s="1"/>
      <c r="AH152" s="26"/>
      <c r="AI152" s="26"/>
      <c r="AJ152" s="26"/>
      <c r="AK152" s="26"/>
      <c r="AL152" s="26"/>
      <c r="AM152" s="26"/>
      <c r="AN152" s="26"/>
      <c r="AO152" s="26"/>
      <c r="AP152" s="26"/>
      <c r="AQ152" s="26"/>
      <c r="AR152" s="26"/>
      <c r="AS152" s="26"/>
      <c r="AT152" s="26"/>
      <c r="AU152" s="26"/>
      <c r="AV152" s="26"/>
      <c r="AW152" s="26"/>
      <c r="AX152" s="26"/>
      <c r="AY152" s="1"/>
      <c r="AZ152" s="26"/>
      <c r="BA152" s="26"/>
      <c r="BB152" s="26"/>
      <c r="BC152" s="26"/>
      <c r="BD152" s="26"/>
      <c r="BE152" s="26"/>
      <c r="BF152" s="26"/>
      <c r="BG152" s="26"/>
      <c r="BH152" s="26"/>
      <c r="BI152" s="26"/>
      <c r="BJ152" s="26"/>
      <c r="BK152" s="26"/>
      <c r="BL152" s="26"/>
      <c r="BM152" s="26"/>
      <c r="BN152" s="26"/>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96"/>
      <c r="CP152" s="14"/>
      <c r="CQ152" s="14"/>
      <c r="CR152" s="14"/>
      <c r="CS152" s="14"/>
      <c r="CT152" s="1"/>
      <c r="CU152" s="14"/>
      <c r="CV152" s="1"/>
      <c r="CW152" s="1"/>
      <c r="CX152" s="14"/>
      <c r="CY152" s="1"/>
      <c r="CZ152" s="1"/>
      <c r="DA152" s="1"/>
      <c r="DB152" s="1"/>
      <c r="DC152" s="1"/>
      <c r="DD152" s="1"/>
      <c r="DE152" s="1"/>
      <c r="DF152" s="1"/>
      <c r="DG152" s="1"/>
      <c r="DH152" s="1"/>
      <c r="DI152" s="1"/>
      <c r="DJ152" s="1"/>
      <c r="DK152" s="1"/>
      <c r="DL152" s="1"/>
      <c r="DM152" s="1"/>
      <c r="DN152" s="1"/>
      <c r="DO152" s="1"/>
      <c r="DP152" s="1"/>
      <c r="DQ152" s="1"/>
      <c r="DR152" s="1"/>
      <c r="DS152" s="1"/>
      <c r="DT152" s="1"/>
      <c r="DU152" s="14"/>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29"/>
    </row>
    <row r="153" spans="1:160" x14ac:dyDescent="0.25">
      <c r="A153" s="5"/>
      <c r="B153" s="1"/>
      <c r="C153" s="98"/>
      <c r="D153" s="98"/>
      <c r="E153" s="1"/>
      <c r="F153" s="22"/>
      <c r="G153" s="22"/>
      <c r="H153" s="22"/>
      <c r="I153" s="22"/>
      <c r="J153" s="22"/>
      <c r="K153" s="22"/>
      <c r="L153" s="22"/>
      <c r="M153" s="22"/>
      <c r="N153" s="22"/>
      <c r="O153" s="22"/>
      <c r="P153" s="22"/>
      <c r="Q153" s="22"/>
      <c r="R153" s="1"/>
      <c r="S153" s="1"/>
      <c r="T153" s="8"/>
      <c r="U153" s="1"/>
      <c r="V153" s="1"/>
      <c r="W153" s="1"/>
      <c r="X153" s="1"/>
      <c r="Y153" s="1"/>
      <c r="Z153" s="1"/>
      <c r="AA153" s="1"/>
      <c r="AC153" s="1"/>
      <c r="AD153" s="1"/>
      <c r="AE153" s="1"/>
      <c r="AF153" s="1"/>
      <c r="AG153" s="1"/>
      <c r="AH153" s="26"/>
      <c r="AI153" s="26"/>
      <c r="AJ153" s="26"/>
      <c r="AK153" s="26"/>
      <c r="AL153" s="26"/>
      <c r="AM153" s="26"/>
      <c r="AN153" s="26"/>
      <c r="AO153" s="26"/>
      <c r="AP153" s="26"/>
      <c r="AQ153" s="26"/>
      <c r="AR153" s="26"/>
      <c r="AS153" s="26"/>
      <c r="AT153" s="26"/>
      <c r="AU153" s="26"/>
      <c r="AV153" s="26"/>
      <c r="AW153" s="26"/>
      <c r="AX153" s="26"/>
      <c r="AY153" s="1"/>
      <c r="AZ153" s="26"/>
      <c r="BA153" s="26"/>
      <c r="BB153" s="26"/>
      <c r="BC153" s="26"/>
      <c r="BD153" s="26"/>
      <c r="BE153" s="26"/>
      <c r="BF153" s="26"/>
      <c r="BG153" s="26"/>
      <c r="BH153" s="26"/>
      <c r="BI153" s="26"/>
      <c r="BJ153" s="26"/>
      <c r="BK153" s="26"/>
      <c r="BL153" s="26"/>
      <c r="BM153" s="26"/>
      <c r="BN153" s="26"/>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96"/>
      <c r="CP153" s="14"/>
      <c r="CQ153" s="14"/>
      <c r="CR153" s="14"/>
      <c r="CS153" s="14"/>
      <c r="CT153" s="1"/>
      <c r="CU153" s="14"/>
      <c r="CV153" s="1"/>
      <c r="CW153" s="1"/>
      <c r="CX153" s="14"/>
      <c r="CY153" s="1"/>
      <c r="CZ153" s="1"/>
      <c r="DA153" s="1"/>
      <c r="DB153" s="1"/>
      <c r="DC153" s="1"/>
      <c r="DD153" s="1"/>
      <c r="DE153" s="1"/>
      <c r="DF153" s="1"/>
      <c r="DG153" s="1"/>
      <c r="DH153" s="1"/>
      <c r="DI153" s="1"/>
      <c r="DJ153" s="1"/>
      <c r="DK153" s="1"/>
      <c r="DL153" s="1"/>
      <c r="DM153" s="1"/>
      <c r="DN153" s="1"/>
      <c r="DO153" s="1"/>
      <c r="DP153" s="1"/>
      <c r="DQ153" s="1"/>
      <c r="DR153" s="1"/>
      <c r="DS153" s="1"/>
      <c r="DT153" s="1"/>
      <c r="DU153" s="14"/>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29"/>
    </row>
    <row r="154" spans="1:160" x14ac:dyDescent="0.25">
      <c r="A154" s="5"/>
      <c r="B154" s="1"/>
      <c r="C154" s="98"/>
      <c r="D154" s="98"/>
      <c r="E154" s="1"/>
      <c r="F154" s="22"/>
      <c r="G154" s="22"/>
      <c r="H154" s="22"/>
      <c r="I154" s="22"/>
      <c r="J154" s="22"/>
      <c r="K154" s="22"/>
      <c r="L154" s="22"/>
      <c r="M154" s="22"/>
      <c r="N154" s="22"/>
      <c r="O154" s="22"/>
      <c r="P154" s="22"/>
      <c r="Q154" s="22"/>
      <c r="R154" s="1"/>
      <c r="S154" s="1"/>
      <c r="T154" s="8"/>
      <c r="U154" s="1"/>
      <c r="V154" s="1"/>
      <c r="W154" s="1"/>
      <c r="X154" s="1"/>
      <c r="Y154" s="1"/>
      <c r="Z154" s="1"/>
      <c r="AA154" s="1"/>
      <c r="AC154" s="1"/>
      <c r="AD154" s="1"/>
      <c r="AE154" s="1"/>
      <c r="AF154" s="1"/>
      <c r="AG154" s="1"/>
      <c r="AH154" s="26"/>
      <c r="AI154" s="26"/>
      <c r="AJ154" s="26"/>
      <c r="AK154" s="26"/>
      <c r="AL154" s="26"/>
      <c r="AM154" s="26"/>
      <c r="AN154" s="26"/>
      <c r="AO154" s="26"/>
      <c r="AP154" s="26"/>
      <c r="AQ154" s="26"/>
      <c r="AR154" s="26"/>
      <c r="AS154" s="26"/>
      <c r="AT154" s="26"/>
      <c r="AU154" s="26"/>
      <c r="AV154" s="26"/>
      <c r="AW154" s="26"/>
      <c r="AX154" s="26"/>
      <c r="AY154" s="1"/>
      <c r="AZ154" s="26"/>
      <c r="BA154" s="26"/>
      <c r="BB154" s="26"/>
      <c r="BC154" s="26"/>
      <c r="BD154" s="26"/>
      <c r="BE154" s="26"/>
      <c r="BF154" s="26"/>
      <c r="BG154" s="26"/>
      <c r="BH154" s="26"/>
      <c r="BI154" s="26"/>
      <c r="BJ154" s="26"/>
      <c r="BK154" s="26"/>
      <c r="BL154" s="26"/>
      <c r="BM154" s="26"/>
      <c r="BN154" s="26"/>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96"/>
      <c r="CP154" s="14"/>
      <c r="CQ154" s="14"/>
      <c r="CR154" s="14"/>
      <c r="CS154" s="14"/>
      <c r="CT154" s="1"/>
      <c r="CU154" s="14"/>
      <c r="CV154" s="1"/>
      <c r="CW154" s="1"/>
      <c r="CX154" s="14"/>
      <c r="CY154" s="1"/>
      <c r="CZ154" s="1"/>
      <c r="DA154" s="1"/>
      <c r="DB154" s="1"/>
      <c r="DC154" s="1"/>
      <c r="DD154" s="1"/>
      <c r="DE154" s="1"/>
      <c r="DF154" s="1"/>
      <c r="DG154" s="1"/>
      <c r="DH154" s="1"/>
      <c r="DI154" s="1"/>
      <c r="DJ154" s="1"/>
      <c r="DK154" s="1"/>
      <c r="DL154" s="1"/>
      <c r="DM154" s="1"/>
      <c r="DN154" s="1"/>
      <c r="DO154" s="1"/>
      <c r="DP154" s="1"/>
      <c r="DQ154" s="1"/>
      <c r="DR154" s="1"/>
      <c r="DS154" s="1"/>
      <c r="DT154" s="1"/>
      <c r="DU154" s="14"/>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29"/>
    </row>
    <row r="155" spans="1:160" x14ac:dyDescent="0.25">
      <c r="A155" s="5"/>
      <c r="B155" s="1"/>
      <c r="C155" s="98"/>
      <c r="D155" s="98"/>
      <c r="E155" s="1"/>
      <c r="F155" s="22"/>
      <c r="G155" s="22"/>
      <c r="H155" s="22"/>
      <c r="I155" s="22"/>
      <c r="J155" s="22"/>
      <c r="K155" s="22"/>
      <c r="L155" s="22"/>
      <c r="M155" s="22"/>
      <c r="N155" s="22"/>
      <c r="O155" s="22"/>
      <c r="P155" s="22"/>
      <c r="Q155" s="22"/>
      <c r="R155" s="1"/>
      <c r="S155" s="1"/>
      <c r="T155" s="8"/>
      <c r="U155" s="1"/>
      <c r="V155" s="1"/>
      <c r="W155" s="1"/>
      <c r="X155" s="1"/>
      <c r="Y155" s="1"/>
      <c r="Z155" s="1"/>
      <c r="AA155" s="1"/>
      <c r="AC155" s="1"/>
      <c r="AD155" s="1"/>
      <c r="AE155" s="1"/>
      <c r="AF155" s="1"/>
      <c r="AG155" s="1"/>
      <c r="AH155" s="26"/>
      <c r="AI155" s="26"/>
      <c r="AJ155" s="26"/>
      <c r="AK155" s="26"/>
      <c r="AL155" s="26"/>
      <c r="AM155" s="26"/>
      <c r="AN155" s="26"/>
      <c r="AO155" s="26"/>
      <c r="AP155" s="26"/>
      <c r="AQ155" s="26"/>
      <c r="AR155" s="26"/>
      <c r="AS155" s="26"/>
      <c r="AT155" s="26"/>
      <c r="AU155" s="26"/>
      <c r="AV155" s="26"/>
      <c r="AW155" s="26"/>
      <c r="AX155" s="26"/>
      <c r="AY155" s="1"/>
      <c r="AZ155" s="26"/>
      <c r="BA155" s="26"/>
      <c r="BB155" s="26"/>
      <c r="BC155" s="26"/>
      <c r="BD155" s="26"/>
      <c r="BE155" s="26"/>
      <c r="BF155" s="26"/>
      <c r="BG155" s="26"/>
      <c r="BH155" s="26"/>
      <c r="BI155" s="26"/>
      <c r="BJ155" s="26"/>
      <c r="BK155" s="26"/>
      <c r="BL155" s="26"/>
      <c r="BM155" s="26"/>
      <c r="BN155" s="26"/>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96"/>
      <c r="CP155" s="14"/>
      <c r="CQ155" s="14"/>
      <c r="CR155" s="14"/>
      <c r="CS155" s="14"/>
      <c r="CT155" s="1"/>
      <c r="CU155" s="14"/>
      <c r="CV155" s="1"/>
      <c r="CW155" s="1"/>
      <c r="CX155" s="14"/>
      <c r="CY155" s="1"/>
      <c r="CZ155" s="1"/>
      <c r="DA155" s="1"/>
      <c r="DB155" s="1"/>
      <c r="DC155" s="1"/>
      <c r="DD155" s="1"/>
      <c r="DE155" s="1"/>
      <c r="DF155" s="1"/>
      <c r="DG155" s="1"/>
      <c r="DH155" s="1"/>
      <c r="DI155" s="1"/>
      <c r="DJ155" s="1"/>
      <c r="DK155" s="1"/>
      <c r="DL155" s="1"/>
      <c r="DM155" s="1"/>
      <c r="DN155" s="1"/>
      <c r="DO155" s="1"/>
      <c r="DP155" s="1"/>
      <c r="DQ155" s="1"/>
      <c r="DR155" s="1"/>
      <c r="DS155" s="1"/>
      <c r="DT155" s="1"/>
      <c r="DU155" s="14"/>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29"/>
    </row>
    <row r="156" spans="1:160" x14ac:dyDescent="0.25">
      <c r="A156" s="5"/>
      <c r="B156" s="1"/>
      <c r="C156" s="98"/>
      <c r="D156" s="98"/>
      <c r="E156" s="1"/>
      <c r="F156" s="22"/>
      <c r="G156" s="22"/>
      <c r="H156" s="22"/>
      <c r="I156" s="22"/>
      <c r="J156" s="22"/>
      <c r="K156" s="22"/>
      <c r="L156" s="22"/>
      <c r="M156" s="22"/>
      <c r="N156" s="22"/>
      <c r="O156" s="22"/>
      <c r="P156" s="22"/>
      <c r="Q156" s="22"/>
      <c r="R156" s="1"/>
      <c r="S156" s="1"/>
      <c r="T156" s="8"/>
      <c r="U156" s="1"/>
      <c r="V156" s="1"/>
      <c r="W156" s="1"/>
      <c r="X156" s="1"/>
      <c r="Y156" s="1"/>
      <c r="Z156" s="1"/>
      <c r="AA156" s="1"/>
      <c r="AC156" s="1"/>
      <c r="AD156" s="1"/>
      <c r="AE156" s="1"/>
      <c r="AF156" s="1"/>
      <c r="AG156" s="1"/>
      <c r="AH156" s="26"/>
      <c r="AI156" s="26"/>
      <c r="AJ156" s="26"/>
      <c r="AK156" s="26"/>
      <c r="AL156" s="26"/>
      <c r="AM156" s="26"/>
      <c r="AN156" s="26"/>
      <c r="AO156" s="26"/>
      <c r="AP156" s="26"/>
      <c r="AQ156" s="26"/>
      <c r="AR156" s="26"/>
      <c r="AS156" s="26"/>
      <c r="AT156" s="26"/>
      <c r="AU156" s="26"/>
      <c r="AV156" s="26"/>
      <c r="AW156" s="26"/>
      <c r="AX156" s="26"/>
      <c r="AY156" s="1"/>
      <c r="AZ156" s="26"/>
      <c r="BA156" s="26"/>
      <c r="BB156" s="26"/>
      <c r="BC156" s="26"/>
      <c r="BD156" s="26"/>
      <c r="BE156" s="26"/>
      <c r="BF156" s="26"/>
      <c r="BG156" s="26"/>
      <c r="BH156" s="26"/>
      <c r="BI156" s="26"/>
      <c r="BJ156" s="26"/>
      <c r="BK156" s="26"/>
      <c r="BL156" s="26"/>
      <c r="BM156" s="26"/>
      <c r="BN156" s="26"/>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96"/>
      <c r="CP156" s="14"/>
      <c r="CQ156" s="14"/>
      <c r="CR156" s="14"/>
      <c r="CS156" s="14"/>
      <c r="CT156" s="1"/>
      <c r="CU156" s="14"/>
      <c r="CV156" s="1"/>
      <c r="CW156" s="1"/>
      <c r="CX156" s="14"/>
      <c r="CY156" s="1"/>
      <c r="CZ156" s="1"/>
      <c r="DA156" s="1"/>
      <c r="DB156" s="1"/>
      <c r="DC156" s="1"/>
      <c r="DD156" s="1"/>
      <c r="DE156" s="1"/>
      <c r="DF156" s="1"/>
      <c r="DG156" s="1"/>
      <c r="DH156" s="1"/>
      <c r="DI156" s="1"/>
      <c r="DJ156" s="1"/>
      <c r="DK156" s="1"/>
      <c r="DL156" s="1"/>
      <c r="DM156" s="1"/>
      <c r="DN156" s="1"/>
      <c r="DO156" s="1"/>
      <c r="DP156" s="1"/>
      <c r="DQ156" s="1"/>
      <c r="DR156" s="1"/>
      <c r="DS156" s="1"/>
      <c r="DT156" s="1"/>
      <c r="DU156" s="14"/>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29"/>
    </row>
    <row r="157" spans="1:160" x14ac:dyDescent="0.25">
      <c r="A157" s="5"/>
      <c r="B157" s="1"/>
      <c r="C157" s="98"/>
      <c r="D157" s="98"/>
      <c r="E157" s="1"/>
      <c r="F157" s="22"/>
      <c r="G157" s="22"/>
      <c r="H157" s="22"/>
      <c r="I157" s="22"/>
      <c r="J157" s="22"/>
      <c r="K157" s="22"/>
      <c r="L157" s="22"/>
      <c r="M157" s="22"/>
      <c r="N157" s="22"/>
      <c r="O157" s="22"/>
      <c r="P157" s="22"/>
      <c r="Q157" s="22"/>
      <c r="R157" s="1"/>
      <c r="S157" s="1"/>
      <c r="T157" s="8"/>
      <c r="U157" s="1"/>
      <c r="V157" s="1"/>
      <c r="W157" s="1"/>
      <c r="X157" s="1"/>
      <c r="Y157" s="1"/>
      <c r="Z157" s="1"/>
      <c r="AA157" s="1"/>
      <c r="AC157" s="1"/>
      <c r="AD157" s="1"/>
      <c r="AE157" s="1"/>
      <c r="AF157" s="1"/>
      <c r="AG157" s="1"/>
      <c r="AH157" s="26"/>
      <c r="AI157" s="26"/>
      <c r="AJ157" s="26"/>
      <c r="AK157" s="26"/>
      <c r="AL157" s="26"/>
      <c r="AM157" s="26"/>
      <c r="AN157" s="26"/>
      <c r="AO157" s="26"/>
      <c r="AP157" s="26"/>
      <c r="AQ157" s="26"/>
      <c r="AR157" s="26"/>
      <c r="AS157" s="26"/>
      <c r="AT157" s="26"/>
      <c r="AU157" s="26"/>
      <c r="AV157" s="26"/>
      <c r="AW157" s="26"/>
      <c r="AX157" s="26"/>
      <c r="AY157" s="1"/>
      <c r="AZ157" s="26"/>
      <c r="BA157" s="26"/>
      <c r="BB157" s="26"/>
      <c r="BC157" s="26"/>
      <c r="BD157" s="26"/>
      <c r="BE157" s="26"/>
      <c r="BF157" s="26"/>
      <c r="BG157" s="26"/>
      <c r="BH157" s="26"/>
      <c r="BI157" s="26"/>
      <c r="BJ157" s="26"/>
      <c r="BK157" s="26"/>
      <c r="BL157" s="26"/>
      <c r="BM157" s="26"/>
      <c r="BN157" s="26"/>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96"/>
      <c r="CP157" s="14"/>
      <c r="CQ157" s="14"/>
      <c r="CR157" s="14"/>
      <c r="CS157" s="14"/>
      <c r="CT157" s="1"/>
      <c r="CU157" s="14"/>
      <c r="CV157" s="1"/>
      <c r="CW157" s="1"/>
      <c r="CX157" s="14"/>
      <c r="CY157" s="1"/>
      <c r="CZ157" s="1"/>
      <c r="DA157" s="1"/>
      <c r="DB157" s="1"/>
      <c r="DC157" s="1"/>
      <c r="DD157" s="1"/>
      <c r="DE157" s="1"/>
      <c r="DF157" s="1"/>
      <c r="DG157" s="1"/>
      <c r="DH157" s="1"/>
      <c r="DI157" s="1"/>
      <c r="DJ157" s="1"/>
      <c r="DK157" s="1"/>
      <c r="DL157" s="1"/>
      <c r="DM157" s="1"/>
      <c r="DN157" s="1"/>
      <c r="DO157" s="1"/>
      <c r="DP157" s="1"/>
      <c r="DQ157" s="1"/>
      <c r="DR157" s="1"/>
      <c r="DS157" s="1"/>
      <c r="DT157" s="1"/>
      <c r="DU157" s="14"/>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29"/>
    </row>
    <row r="158" spans="1:160" x14ac:dyDescent="0.25">
      <c r="A158" s="5"/>
      <c r="B158" s="1"/>
      <c r="C158" s="98"/>
      <c r="D158" s="98"/>
      <c r="E158" s="1"/>
      <c r="F158" s="22"/>
      <c r="G158" s="22"/>
      <c r="H158" s="22"/>
      <c r="I158" s="22"/>
      <c r="J158" s="22"/>
      <c r="K158" s="22"/>
      <c r="L158" s="22"/>
      <c r="M158" s="22"/>
      <c r="N158" s="22"/>
      <c r="O158" s="22"/>
      <c r="P158" s="22"/>
      <c r="Q158" s="22"/>
      <c r="R158" s="1"/>
      <c r="S158" s="1"/>
      <c r="T158" s="8"/>
      <c r="U158" s="1"/>
      <c r="V158" s="1"/>
      <c r="W158" s="1"/>
      <c r="X158" s="1"/>
      <c r="Y158" s="1"/>
      <c r="Z158" s="1"/>
      <c r="AA158" s="1"/>
      <c r="AC158" s="1"/>
      <c r="AD158" s="1"/>
      <c r="AE158" s="1"/>
      <c r="AF158" s="1"/>
      <c r="AG158" s="1"/>
      <c r="AH158" s="26"/>
      <c r="AI158" s="26"/>
      <c r="AJ158" s="26"/>
      <c r="AK158" s="26"/>
      <c r="AL158" s="26"/>
      <c r="AM158" s="26"/>
      <c r="AN158" s="26"/>
      <c r="AO158" s="26"/>
      <c r="AP158" s="26"/>
      <c r="AQ158" s="26"/>
      <c r="AR158" s="26"/>
      <c r="AS158" s="26"/>
      <c r="AT158" s="26"/>
      <c r="AU158" s="26"/>
      <c r="AV158" s="26"/>
      <c r="AW158" s="26"/>
      <c r="AX158" s="26"/>
      <c r="AY158" s="1"/>
      <c r="AZ158" s="26"/>
      <c r="BA158" s="26"/>
      <c r="BB158" s="26"/>
      <c r="BC158" s="26"/>
      <c r="BD158" s="26"/>
      <c r="BE158" s="26"/>
      <c r="BF158" s="26"/>
      <c r="BG158" s="26"/>
      <c r="BH158" s="26"/>
      <c r="BI158" s="26"/>
      <c r="BJ158" s="26"/>
      <c r="BK158" s="26"/>
      <c r="BL158" s="26"/>
      <c r="BM158" s="26"/>
      <c r="BN158" s="26"/>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6"/>
      <c r="CP158" s="14"/>
      <c r="CQ158" s="14"/>
      <c r="CR158" s="14"/>
      <c r="CS158" s="14"/>
      <c r="CT158" s="1"/>
      <c r="CU158" s="14"/>
      <c r="CV158" s="1"/>
      <c r="CW158" s="1"/>
      <c r="CX158" s="14"/>
      <c r="CY158" s="1"/>
      <c r="CZ158" s="1"/>
      <c r="DA158" s="1"/>
      <c r="DB158" s="1"/>
      <c r="DC158" s="1"/>
      <c r="DD158" s="1"/>
      <c r="DE158" s="1"/>
      <c r="DF158" s="1"/>
      <c r="DG158" s="1"/>
      <c r="DH158" s="1"/>
      <c r="DI158" s="1"/>
      <c r="DJ158" s="1"/>
      <c r="DK158" s="1"/>
      <c r="DL158" s="1"/>
      <c r="DM158" s="1"/>
      <c r="DN158" s="1"/>
      <c r="DO158" s="1"/>
      <c r="DP158" s="1"/>
      <c r="DQ158" s="1"/>
      <c r="DR158" s="1"/>
      <c r="DS158" s="1"/>
      <c r="DT158" s="1"/>
      <c r="DU158" s="14"/>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29"/>
    </row>
    <row r="159" spans="1:160" x14ac:dyDescent="0.25">
      <c r="A159" s="5"/>
      <c r="B159" s="1"/>
      <c r="C159" s="98"/>
      <c r="D159" s="98"/>
      <c r="E159" s="1"/>
      <c r="F159" s="22"/>
      <c r="G159" s="22"/>
      <c r="H159" s="22"/>
      <c r="I159" s="22"/>
      <c r="J159" s="22"/>
      <c r="K159" s="22"/>
      <c r="L159" s="22"/>
      <c r="M159" s="22"/>
      <c r="N159" s="22"/>
      <c r="O159" s="22"/>
      <c r="P159" s="22"/>
      <c r="Q159" s="22"/>
      <c r="R159" s="1"/>
      <c r="S159" s="1"/>
      <c r="T159" s="8"/>
      <c r="U159" s="1"/>
      <c r="V159" s="1"/>
      <c r="W159" s="1"/>
      <c r="X159" s="1"/>
      <c r="Y159" s="1"/>
      <c r="Z159" s="1"/>
      <c r="AA159" s="1"/>
      <c r="AC159" s="1"/>
      <c r="AD159" s="1"/>
      <c r="AE159" s="1"/>
      <c r="AF159" s="1"/>
      <c r="AG159" s="1"/>
      <c r="AH159" s="26"/>
      <c r="AI159" s="26"/>
      <c r="AJ159" s="26"/>
      <c r="AK159" s="26"/>
      <c r="AL159" s="26"/>
      <c r="AM159" s="26"/>
      <c r="AN159" s="26"/>
      <c r="AO159" s="26"/>
      <c r="AP159" s="26"/>
      <c r="AQ159" s="26"/>
      <c r="AR159" s="26"/>
      <c r="AS159" s="26"/>
      <c r="AT159" s="26"/>
      <c r="AU159" s="26"/>
      <c r="AV159" s="26"/>
      <c r="AW159" s="26"/>
      <c r="AX159" s="26"/>
      <c r="AY159" s="1"/>
      <c r="AZ159" s="26"/>
      <c r="BA159" s="26"/>
      <c r="BB159" s="26"/>
      <c r="BC159" s="26"/>
      <c r="BD159" s="26"/>
      <c r="BE159" s="26"/>
      <c r="BF159" s="26"/>
      <c r="BG159" s="26"/>
      <c r="BH159" s="26"/>
      <c r="BI159" s="26"/>
      <c r="BJ159" s="26"/>
      <c r="BK159" s="26"/>
      <c r="BL159" s="26"/>
      <c r="BM159" s="26"/>
      <c r="BN159" s="26"/>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96"/>
      <c r="CP159" s="14"/>
      <c r="CQ159" s="14"/>
      <c r="CR159" s="14"/>
      <c r="CS159" s="14"/>
      <c r="CT159" s="1"/>
      <c r="CU159" s="14"/>
      <c r="CV159" s="1"/>
      <c r="CW159" s="1"/>
      <c r="CX159" s="14"/>
      <c r="CY159" s="1"/>
      <c r="CZ159" s="1"/>
      <c r="DA159" s="1"/>
      <c r="DB159" s="1"/>
      <c r="DC159" s="1"/>
      <c r="DD159" s="1"/>
      <c r="DE159" s="1"/>
      <c r="DF159" s="1"/>
      <c r="DG159" s="1"/>
      <c r="DH159" s="1"/>
      <c r="DI159" s="1"/>
      <c r="DJ159" s="1"/>
      <c r="DK159" s="1"/>
      <c r="DL159" s="1"/>
      <c r="DM159" s="1"/>
      <c r="DN159" s="1"/>
      <c r="DO159" s="1"/>
      <c r="DP159" s="1"/>
      <c r="DQ159" s="1"/>
      <c r="DR159" s="1"/>
      <c r="DS159" s="1"/>
      <c r="DT159" s="1"/>
      <c r="DU159" s="14"/>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29"/>
    </row>
    <row r="160" spans="1:160" x14ac:dyDescent="0.25">
      <c r="A160" s="5"/>
      <c r="B160" s="1"/>
      <c r="C160" s="98"/>
      <c r="D160" s="98"/>
      <c r="E160" s="1"/>
      <c r="F160" s="22"/>
      <c r="G160" s="22"/>
      <c r="H160" s="22"/>
      <c r="I160" s="22"/>
      <c r="J160" s="22"/>
      <c r="K160" s="22"/>
      <c r="L160" s="22"/>
      <c r="M160" s="22"/>
      <c r="N160" s="22"/>
      <c r="O160" s="22"/>
      <c r="P160" s="22"/>
      <c r="Q160" s="22"/>
      <c r="R160" s="1"/>
      <c r="S160" s="1"/>
      <c r="T160" s="8"/>
      <c r="U160" s="1"/>
      <c r="V160" s="1"/>
      <c r="W160" s="1"/>
      <c r="X160" s="1"/>
      <c r="Y160" s="1"/>
      <c r="Z160" s="1"/>
      <c r="AA160" s="1"/>
      <c r="AC160" s="1"/>
      <c r="AD160" s="1"/>
      <c r="AE160" s="1"/>
      <c r="AF160" s="1"/>
      <c r="AG160" s="1"/>
      <c r="AH160" s="26"/>
      <c r="AI160" s="26"/>
      <c r="AJ160" s="26"/>
      <c r="AK160" s="26"/>
      <c r="AL160" s="26"/>
      <c r="AM160" s="26"/>
      <c r="AN160" s="26"/>
      <c r="AO160" s="26"/>
      <c r="AP160" s="26"/>
      <c r="AQ160" s="26"/>
      <c r="AR160" s="26"/>
      <c r="AS160" s="26"/>
      <c r="AT160" s="26"/>
      <c r="AU160" s="26"/>
      <c r="AV160" s="26"/>
      <c r="AW160" s="26"/>
      <c r="AX160" s="26"/>
      <c r="AY160" s="1"/>
      <c r="AZ160" s="26"/>
      <c r="BA160" s="26"/>
      <c r="BB160" s="26"/>
      <c r="BC160" s="26"/>
      <c r="BD160" s="26"/>
      <c r="BE160" s="26"/>
      <c r="BF160" s="26"/>
      <c r="BG160" s="26"/>
      <c r="BH160" s="26"/>
      <c r="BI160" s="26"/>
      <c r="BJ160" s="26"/>
      <c r="BK160" s="26"/>
      <c r="BL160" s="26"/>
      <c r="BM160" s="26"/>
      <c r="BN160" s="26"/>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96"/>
      <c r="CP160" s="14"/>
      <c r="CQ160" s="14"/>
      <c r="CR160" s="14"/>
      <c r="CS160" s="14"/>
      <c r="CT160" s="1"/>
      <c r="CU160" s="14"/>
      <c r="CV160" s="1"/>
      <c r="CW160" s="1"/>
      <c r="CX160" s="14"/>
      <c r="CY160" s="1"/>
      <c r="CZ160" s="1"/>
      <c r="DA160" s="1"/>
      <c r="DB160" s="1"/>
      <c r="DC160" s="1"/>
      <c r="DD160" s="1"/>
      <c r="DE160" s="1"/>
      <c r="DF160" s="1"/>
      <c r="DG160" s="1"/>
      <c r="DH160" s="1"/>
      <c r="DI160" s="1"/>
      <c r="DJ160" s="1"/>
      <c r="DK160" s="1"/>
      <c r="DL160" s="1"/>
      <c r="DM160" s="1"/>
      <c r="DN160" s="1"/>
      <c r="DO160" s="1"/>
      <c r="DP160" s="1"/>
      <c r="DQ160" s="1"/>
      <c r="DR160" s="1"/>
      <c r="DS160" s="1"/>
      <c r="DT160" s="1"/>
      <c r="DU160" s="14"/>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29"/>
    </row>
    <row r="161" spans="1:160" x14ac:dyDescent="0.25">
      <c r="A161" s="5"/>
      <c r="B161" s="1"/>
      <c r="C161" s="98"/>
      <c r="D161" s="98"/>
      <c r="E161" s="1"/>
      <c r="F161" s="22"/>
      <c r="G161" s="22"/>
      <c r="H161" s="22"/>
      <c r="I161" s="22"/>
      <c r="J161" s="22"/>
      <c r="K161" s="22"/>
      <c r="L161" s="22"/>
      <c r="M161" s="22"/>
      <c r="N161" s="22"/>
      <c r="O161" s="22"/>
      <c r="P161" s="22"/>
      <c r="Q161" s="22"/>
      <c r="R161" s="1"/>
      <c r="S161" s="1"/>
      <c r="T161" s="8"/>
      <c r="U161" s="1"/>
      <c r="V161" s="1"/>
      <c r="W161" s="1"/>
      <c r="X161" s="1"/>
      <c r="Y161" s="1"/>
      <c r="Z161" s="1"/>
      <c r="AA161" s="1"/>
      <c r="AC161" s="1"/>
      <c r="AD161" s="1"/>
      <c r="AE161" s="1"/>
      <c r="AF161" s="1"/>
      <c r="AG161" s="1"/>
      <c r="AH161" s="26"/>
      <c r="AI161" s="26"/>
      <c r="AJ161" s="26"/>
      <c r="AK161" s="26"/>
      <c r="AL161" s="26"/>
      <c r="AM161" s="26"/>
      <c r="AN161" s="26"/>
      <c r="AO161" s="26"/>
      <c r="AP161" s="26"/>
      <c r="AQ161" s="26"/>
      <c r="AR161" s="26"/>
      <c r="AS161" s="26"/>
      <c r="AT161" s="26"/>
      <c r="AU161" s="26"/>
      <c r="AV161" s="26"/>
      <c r="AW161" s="26"/>
      <c r="AX161" s="26"/>
      <c r="AY161" s="1"/>
      <c r="AZ161" s="26"/>
      <c r="BA161" s="26"/>
      <c r="BB161" s="26"/>
      <c r="BC161" s="26"/>
      <c r="BD161" s="26"/>
      <c r="BE161" s="26"/>
      <c r="BF161" s="26"/>
      <c r="BG161" s="26"/>
      <c r="BH161" s="26"/>
      <c r="BI161" s="26"/>
      <c r="BJ161" s="26"/>
      <c r="BK161" s="26"/>
      <c r="BL161" s="26"/>
      <c r="BM161" s="26"/>
      <c r="BN161" s="26"/>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96"/>
      <c r="CP161" s="14"/>
      <c r="CQ161" s="14"/>
      <c r="CR161" s="14"/>
      <c r="CS161" s="14"/>
      <c r="CT161" s="1"/>
      <c r="CU161" s="14"/>
      <c r="CV161" s="1"/>
      <c r="CW161" s="1"/>
      <c r="CX161" s="14"/>
      <c r="CY161" s="1"/>
      <c r="CZ161" s="1"/>
      <c r="DA161" s="1"/>
      <c r="DB161" s="1"/>
      <c r="DC161" s="1"/>
      <c r="DD161" s="1"/>
      <c r="DE161" s="1"/>
      <c r="DF161" s="1"/>
      <c r="DG161" s="1"/>
      <c r="DH161" s="1"/>
      <c r="DI161" s="1"/>
      <c r="DJ161" s="1"/>
      <c r="DK161" s="1"/>
      <c r="DL161" s="1"/>
      <c r="DM161" s="1"/>
      <c r="DN161" s="1"/>
      <c r="DO161" s="1"/>
      <c r="DP161" s="1"/>
      <c r="DQ161" s="1"/>
      <c r="DR161" s="1"/>
      <c r="DS161" s="1"/>
      <c r="DT161" s="1"/>
      <c r="DU161" s="14"/>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29"/>
    </row>
    <row r="162" spans="1:160" x14ac:dyDescent="0.25">
      <c r="A162" s="5"/>
      <c r="B162" s="1"/>
      <c r="C162" s="98"/>
      <c r="D162" s="98"/>
      <c r="E162" s="1"/>
      <c r="F162" s="22"/>
      <c r="G162" s="22"/>
      <c r="H162" s="22"/>
      <c r="I162" s="22"/>
      <c r="J162" s="22"/>
      <c r="K162" s="22"/>
      <c r="L162" s="22"/>
      <c r="M162" s="22"/>
      <c r="N162" s="22"/>
      <c r="O162" s="22"/>
      <c r="P162" s="22"/>
      <c r="Q162" s="22"/>
      <c r="R162" s="1"/>
      <c r="S162" s="1"/>
      <c r="T162" s="8"/>
      <c r="U162" s="1"/>
      <c r="V162" s="1"/>
      <c r="W162" s="1"/>
      <c r="X162" s="1"/>
      <c r="Y162" s="1"/>
      <c r="Z162" s="1"/>
      <c r="AA162" s="1"/>
      <c r="AC162" s="1"/>
      <c r="AD162" s="1"/>
      <c r="AE162" s="1"/>
      <c r="AF162" s="1"/>
      <c r="AG162" s="1"/>
      <c r="AH162" s="26"/>
      <c r="AI162" s="26"/>
      <c r="AJ162" s="26"/>
      <c r="AK162" s="26"/>
      <c r="AL162" s="26"/>
      <c r="AM162" s="26"/>
      <c r="AN162" s="26"/>
      <c r="AO162" s="26"/>
      <c r="AP162" s="26"/>
      <c r="AQ162" s="26"/>
      <c r="AR162" s="26"/>
      <c r="AS162" s="26"/>
      <c r="AT162" s="26"/>
      <c r="AU162" s="26"/>
      <c r="AV162" s="26"/>
      <c r="AW162" s="26"/>
      <c r="AX162" s="26"/>
      <c r="AY162" s="1"/>
      <c r="AZ162" s="26"/>
      <c r="BA162" s="26"/>
      <c r="BB162" s="26"/>
      <c r="BC162" s="26"/>
      <c r="BD162" s="26"/>
      <c r="BE162" s="26"/>
      <c r="BF162" s="26"/>
      <c r="BG162" s="26"/>
      <c r="BH162" s="26"/>
      <c r="BI162" s="26"/>
      <c r="BJ162" s="26"/>
      <c r="BK162" s="26"/>
      <c r="BL162" s="26"/>
      <c r="BM162" s="26"/>
      <c r="BN162" s="26"/>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96"/>
      <c r="CP162" s="14"/>
      <c r="CQ162" s="14"/>
      <c r="CR162" s="14"/>
      <c r="CS162" s="14"/>
      <c r="CT162" s="1"/>
      <c r="CU162" s="14"/>
      <c r="CV162" s="1"/>
      <c r="CW162" s="1"/>
      <c r="CX162" s="14"/>
      <c r="CY162" s="1"/>
      <c r="CZ162" s="1"/>
      <c r="DA162" s="1"/>
      <c r="DB162" s="1"/>
      <c r="DC162" s="1"/>
      <c r="DD162" s="1"/>
      <c r="DE162" s="1"/>
      <c r="DF162" s="1"/>
      <c r="DG162" s="1"/>
      <c r="DH162" s="1"/>
      <c r="DI162" s="1"/>
      <c r="DJ162" s="1"/>
      <c r="DK162" s="1"/>
      <c r="DL162" s="1"/>
      <c r="DM162" s="1"/>
      <c r="DN162" s="1"/>
      <c r="DO162" s="1"/>
      <c r="DP162" s="1"/>
      <c r="DQ162" s="1"/>
      <c r="DR162" s="1"/>
      <c r="DS162" s="1"/>
      <c r="DT162" s="1"/>
      <c r="DU162" s="14"/>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29"/>
    </row>
    <row r="163" spans="1:160" x14ac:dyDescent="0.25">
      <c r="A163" s="5"/>
      <c r="B163" s="1"/>
      <c r="C163" s="98"/>
      <c r="D163" s="98"/>
      <c r="E163" s="1"/>
      <c r="F163" s="22"/>
      <c r="G163" s="22"/>
      <c r="H163" s="22"/>
      <c r="I163" s="22"/>
      <c r="J163" s="22"/>
      <c r="K163" s="22"/>
      <c r="L163" s="22"/>
      <c r="M163" s="22"/>
      <c r="N163" s="22"/>
      <c r="O163" s="22"/>
      <c r="P163" s="22"/>
      <c r="Q163" s="22"/>
      <c r="R163" s="1"/>
      <c r="S163" s="1"/>
      <c r="T163" s="8"/>
      <c r="U163" s="1"/>
      <c r="V163" s="1"/>
      <c r="W163" s="1"/>
      <c r="X163" s="1"/>
      <c r="Y163" s="1"/>
      <c r="Z163" s="1"/>
      <c r="AA163" s="1"/>
      <c r="AC163" s="1"/>
      <c r="AD163" s="1"/>
      <c r="AE163" s="1"/>
      <c r="AF163" s="1"/>
      <c r="AG163" s="1"/>
      <c r="AH163" s="26"/>
      <c r="AI163" s="26"/>
      <c r="AJ163" s="26"/>
      <c r="AK163" s="26"/>
      <c r="AL163" s="26"/>
      <c r="AM163" s="26"/>
      <c r="AN163" s="26"/>
      <c r="AO163" s="26"/>
      <c r="AP163" s="26"/>
      <c r="AQ163" s="26"/>
      <c r="AR163" s="26"/>
      <c r="AS163" s="26"/>
      <c r="AT163" s="26"/>
      <c r="AU163" s="26"/>
      <c r="AV163" s="26"/>
      <c r="AW163" s="26"/>
      <c r="AX163" s="26"/>
      <c r="AY163" s="1"/>
      <c r="AZ163" s="26"/>
      <c r="BA163" s="26"/>
      <c r="BB163" s="26"/>
      <c r="BC163" s="26"/>
      <c r="BD163" s="26"/>
      <c r="BE163" s="26"/>
      <c r="BF163" s="26"/>
      <c r="BG163" s="26"/>
      <c r="BH163" s="26"/>
      <c r="BI163" s="26"/>
      <c r="BJ163" s="26"/>
      <c r="BK163" s="26"/>
      <c r="BL163" s="26"/>
      <c r="BM163" s="26"/>
      <c r="BN163" s="26"/>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96"/>
      <c r="CP163" s="14"/>
      <c r="CQ163" s="14"/>
      <c r="CR163" s="14"/>
      <c r="CS163" s="14"/>
      <c r="CT163" s="1"/>
      <c r="CU163" s="14"/>
      <c r="CV163" s="1"/>
      <c r="CW163" s="1"/>
      <c r="CX163" s="14"/>
      <c r="CY163" s="1"/>
      <c r="CZ163" s="1"/>
      <c r="DA163" s="1"/>
      <c r="DB163" s="1"/>
      <c r="DC163" s="1"/>
      <c r="DD163" s="1"/>
      <c r="DE163" s="1"/>
      <c r="DF163" s="1"/>
      <c r="DG163" s="1"/>
      <c r="DH163" s="1"/>
      <c r="DI163" s="1"/>
      <c r="DJ163" s="1"/>
      <c r="DK163" s="1"/>
      <c r="DL163" s="1"/>
      <c r="DM163" s="1"/>
      <c r="DN163" s="1"/>
      <c r="DO163" s="1"/>
      <c r="DP163" s="1"/>
      <c r="DQ163" s="1"/>
      <c r="DR163" s="1"/>
      <c r="DS163" s="1"/>
      <c r="DT163" s="1"/>
      <c r="DU163" s="14"/>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29"/>
    </row>
    <row r="164" spans="1:160" x14ac:dyDescent="0.25">
      <c r="A164" s="5"/>
      <c r="B164" s="1"/>
      <c r="C164" s="98"/>
      <c r="D164" s="98"/>
      <c r="E164" s="1"/>
      <c r="F164" s="22"/>
      <c r="G164" s="22"/>
      <c r="H164" s="22"/>
      <c r="I164" s="22"/>
      <c r="J164" s="22"/>
      <c r="K164" s="22"/>
      <c r="L164" s="22"/>
      <c r="M164" s="22"/>
      <c r="N164" s="22"/>
      <c r="O164" s="22"/>
      <c r="P164" s="22"/>
      <c r="Q164" s="22"/>
      <c r="R164" s="1"/>
      <c r="S164" s="1"/>
      <c r="T164" s="8"/>
      <c r="U164" s="1"/>
      <c r="V164" s="1"/>
      <c r="W164" s="1"/>
      <c r="X164" s="1"/>
      <c r="Y164" s="1"/>
      <c r="Z164" s="1"/>
      <c r="AA164" s="1"/>
      <c r="AC164" s="1"/>
      <c r="AD164" s="1"/>
      <c r="AE164" s="1"/>
      <c r="AF164" s="1"/>
      <c r="AG164" s="1"/>
      <c r="AH164" s="26"/>
      <c r="AI164" s="26"/>
      <c r="AJ164" s="26"/>
      <c r="AK164" s="26"/>
      <c r="AL164" s="26"/>
      <c r="AM164" s="26"/>
      <c r="AN164" s="26"/>
      <c r="AO164" s="26"/>
      <c r="AP164" s="26"/>
      <c r="AQ164" s="26"/>
      <c r="AR164" s="26"/>
      <c r="AS164" s="26"/>
      <c r="AT164" s="26"/>
      <c r="AU164" s="26"/>
      <c r="AV164" s="26"/>
      <c r="AW164" s="26"/>
      <c r="AX164" s="26"/>
      <c r="AY164" s="1"/>
      <c r="AZ164" s="26"/>
      <c r="BA164" s="26"/>
      <c r="BB164" s="26"/>
      <c r="BC164" s="26"/>
      <c r="BD164" s="26"/>
      <c r="BE164" s="26"/>
      <c r="BF164" s="26"/>
      <c r="BG164" s="26"/>
      <c r="BH164" s="26"/>
      <c r="BI164" s="26"/>
      <c r="BJ164" s="26"/>
      <c r="BK164" s="26"/>
      <c r="BL164" s="26"/>
      <c r="BM164" s="26"/>
      <c r="BN164" s="26"/>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96"/>
      <c r="CP164" s="14"/>
      <c r="CQ164" s="14"/>
      <c r="CR164" s="14"/>
      <c r="CS164" s="14"/>
      <c r="CT164" s="1"/>
      <c r="CU164" s="14"/>
      <c r="CV164" s="1"/>
      <c r="CW164" s="1"/>
      <c r="CX164" s="14"/>
      <c r="CY164" s="1"/>
      <c r="CZ164" s="1"/>
      <c r="DA164" s="1"/>
      <c r="DB164" s="1"/>
      <c r="DC164" s="1"/>
      <c r="DD164" s="1"/>
      <c r="DE164" s="1"/>
      <c r="DF164" s="1"/>
      <c r="DG164" s="1"/>
      <c r="DH164" s="1"/>
      <c r="DI164" s="1"/>
      <c r="DJ164" s="1"/>
      <c r="DK164" s="1"/>
      <c r="DL164" s="1"/>
      <c r="DM164" s="1"/>
      <c r="DN164" s="1"/>
      <c r="DO164" s="1"/>
      <c r="DP164" s="1"/>
      <c r="DQ164" s="1"/>
      <c r="DR164" s="1"/>
      <c r="DS164" s="1"/>
      <c r="DT164" s="1"/>
      <c r="DU164" s="14"/>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29"/>
    </row>
    <row r="165" spans="1:160" x14ac:dyDescent="0.25">
      <c r="A165" s="5"/>
      <c r="B165" s="1"/>
      <c r="C165" s="98"/>
      <c r="D165" s="98"/>
      <c r="E165" s="1"/>
      <c r="F165" s="22"/>
      <c r="G165" s="22"/>
      <c r="H165" s="22"/>
      <c r="I165" s="22"/>
      <c r="J165" s="22"/>
      <c r="K165" s="22"/>
      <c r="L165" s="22"/>
      <c r="M165" s="22"/>
      <c r="N165" s="22"/>
      <c r="O165" s="22"/>
      <c r="P165" s="22"/>
      <c r="Q165" s="22"/>
      <c r="R165" s="1"/>
      <c r="S165" s="1"/>
      <c r="T165" s="8"/>
      <c r="U165" s="1"/>
      <c r="V165" s="1"/>
      <c r="W165" s="1"/>
      <c r="X165" s="1"/>
      <c r="Y165" s="1"/>
      <c r="Z165" s="1"/>
      <c r="AA165" s="1"/>
      <c r="AC165" s="1"/>
      <c r="AD165" s="1"/>
      <c r="AE165" s="1"/>
      <c r="AF165" s="1"/>
      <c r="AG165" s="1"/>
      <c r="AH165" s="26"/>
      <c r="AI165" s="26"/>
      <c r="AJ165" s="26"/>
      <c r="AK165" s="26"/>
      <c r="AL165" s="26"/>
      <c r="AM165" s="26"/>
      <c r="AN165" s="26"/>
      <c r="AO165" s="26"/>
      <c r="AP165" s="26"/>
      <c r="AQ165" s="26"/>
      <c r="AR165" s="26"/>
      <c r="AS165" s="26"/>
      <c r="AT165" s="26"/>
      <c r="AU165" s="26"/>
      <c r="AV165" s="26"/>
      <c r="AW165" s="26"/>
      <c r="AX165" s="26"/>
      <c r="AY165" s="1"/>
      <c r="AZ165" s="26"/>
      <c r="BA165" s="26"/>
      <c r="BB165" s="26"/>
      <c r="BC165" s="26"/>
      <c r="BD165" s="26"/>
      <c r="BE165" s="26"/>
      <c r="BF165" s="26"/>
      <c r="BG165" s="26"/>
      <c r="BH165" s="26"/>
      <c r="BI165" s="26"/>
      <c r="BJ165" s="26"/>
      <c r="BK165" s="26"/>
      <c r="BL165" s="26"/>
      <c r="BM165" s="26"/>
      <c r="BN165" s="26"/>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96"/>
      <c r="CP165" s="14"/>
      <c r="CQ165" s="14"/>
      <c r="CR165" s="14"/>
      <c r="CS165" s="14"/>
      <c r="CT165" s="1"/>
      <c r="CU165" s="14"/>
      <c r="CV165" s="1"/>
      <c r="CW165" s="1"/>
      <c r="CX165" s="14"/>
      <c r="CY165" s="1"/>
      <c r="CZ165" s="1"/>
      <c r="DA165" s="1"/>
      <c r="DB165" s="1"/>
      <c r="DC165" s="1"/>
      <c r="DD165" s="1"/>
      <c r="DE165" s="1"/>
      <c r="DF165" s="1"/>
      <c r="DG165" s="1"/>
      <c r="DH165" s="1"/>
      <c r="DI165" s="1"/>
      <c r="DJ165" s="1"/>
      <c r="DK165" s="1"/>
      <c r="DL165" s="1"/>
      <c r="DM165" s="1"/>
      <c r="DN165" s="1"/>
      <c r="DO165" s="1"/>
      <c r="DP165" s="1"/>
      <c r="DQ165" s="1"/>
      <c r="DR165" s="1"/>
      <c r="DS165" s="1"/>
      <c r="DT165" s="1"/>
      <c r="DU165" s="14"/>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29"/>
    </row>
    <row r="166" spans="1:160" x14ac:dyDescent="0.25">
      <c r="A166" s="5"/>
      <c r="B166" s="1"/>
      <c r="C166" s="98"/>
      <c r="D166" s="98"/>
      <c r="E166" s="1"/>
      <c r="F166" s="22"/>
      <c r="G166" s="22"/>
      <c r="H166" s="22"/>
      <c r="I166" s="22"/>
      <c r="J166" s="22"/>
      <c r="K166" s="22"/>
      <c r="L166" s="22"/>
      <c r="M166" s="22"/>
      <c r="N166" s="22"/>
      <c r="O166" s="22"/>
      <c r="P166" s="22"/>
      <c r="Q166" s="22"/>
      <c r="R166" s="1"/>
      <c r="S166" s="1"/>
      <c r="T166" s="8"/>
      <c r="U166" s="1"/>
      <c r="V166" s="1"/>
      <c r="W166" s="1"/>
      <c r="X166" s="1"/>
      <c r="Y166" s="1"/>
      <c r="Z166" s="1"/>
      <c r="AA166" s="1"/>
      <c r="AC166" s="1"/>
      <c r="AD166" s="1"/>
      <c r="AE166" s="1"/>
      <c r="AF166" s="1"/>
      <c r="AG166" s="1"/>
      <c r="AH166" s="26"/>
      <c r="AI166" s="26"/>
      <c r="AJ166" s="26"/>
      <c r="AK166" s="26"/>
      <c r="AL166" s="26"/>
      <c r="AM166" s="26"/>
      <c r="AN166" s="26"/>
      <c r="AO166" s="26"/>
      <c r="AP166" s="26"/>
      <c r="AQ166" s="26"/>
      <c r="AR166" s="26"/>
      <c r="AS166" s="26"/>
      <c r="AT166" s="26"/>
      <c r="AU166" s="26"/>
      <c r="AV166" s="26"/>
      <c r="AW166" s="26"/>
      <c r="AX166" s="26"/>
      <c r="AY166" s="1"/>
      <c r="AZ166" s="26"/>
      <c r="BA166" s="26"/>
      <c r="BB166" s="26"/>
      <c r="BC166" s="26"/>
      <c r="BD166" s="26"/>
      <c r="BE166" s="26"/>
      <c r="BF166" s="26"/>
      <c r="BG166" s="26"/>
      <c r="BH166" s="26"/>
      <c r="BI166" s="26"/>
      <c r="BJ166" s="26"/>
      <c r="BK166" s="26"/>
      <c r="BL166" s="26"/>
      <c r="BM166" s="26"/>
      <c r="BN166" s="26"/>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96"/>
      <c r="CP166" s="14"/>
      <c r="CQ166" s="14"/>
      <c r="CR166" s="14"/>
      <c r="CS166" s="14"/>
      <c r="CT166" s="1"/>
      <c r="CU166" s="14"/>
      <c r="CV166" s="1"/>
      <c r="CW166" s="1"/>
      <c r="CX166" s="14"/>
      <c r="CY166" s="1"/>
      <c r="CZ166" s="1"/>
      <c r="DA166" s="1"/>
      <c r="DB166" s="1"/>
      <c r="DC166" s="1"/>
      <c r="DD166" s="1"/>
      <c r="DE166" s="1"/>
      <c r="DF166" s="1"/>
      <c r="DG166" s="1"/>
      <c r="DH166" s="1"/>
      <c r="DI166" s="1"/>
      <c r="DJ166" s="1"/>
      <c r="DK166" s="1"/>
      <c r="DL166" s="1"/>
      <c r="DM166" s="1"/>
      <c r="DN166" s="1"/>
      <c r="DO166" s="1"/>
      <c r="DP166" s="1"/>
      <c r="DQ166" s="1"/>
      <c r="DR166" s="1"/>
      <c r="DS166" s="1"/>
      <c r="DT166" s="1"/>
      <c r="DU166" s="14"/>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29"/>
    </row>
    <row r="167" spans="1:160" x14ac:dyDescent="0.25">
      <c r="A167" s="5"/>
      <c r="B167" s="1"/>
      <c r="C167" s="98"/>
      <c r="D167" s="98"/>
      <c r="E167" s="1"/>
      <c r="F167" s="22"/>
      <c r="G167" s="22"/>
      <c r="H167" s="22"/>
      <c r="I167" s="22"/>
      <c r="J167" s="22"/>
      <c r="K167" s="22"/>
      <c r="L167" s="22"/>
      <c r="M167" s="22"/>
      <c r="N167" s="22"/>
      <c r="O167" s="22"/>
      <c r="P167" s="22"/>
      <c r="Q167" s="22"/>
      <c r="R167" s="1"/>
      <c r="S167" s="1"/>
      <c r="T167" s="8"/>
      <c r="U167" s="1"/>
      <c r="V167" s="1"/>
      <c r="W167" s="1"/>
      <c r="X167" s="1"/>
      <c r="Y167" s="1"/>
      <c r="Z167" s="1"/>
      <c r="AA167" s="1"/>
      <c r="AC167" s="1"/>
      <c r="AD167" s="1"/>
      <c r="AE167" s="1"/>
      <c r="AF167" s="1"/>
      <c r="AG167" s="1"/>
      <c r="AH167" s="26"/>
      <c r="AI167" s="26"/>
      <c r="AJ167" s="26"/>
      <c r="AK167" s="26"/>
      <c r="AL167" s="26"/>
      <c r="AM167" s="26"/>
      <c r="AN167" s="26"/>
      <c r="AO167" s="26"/>
      <c r="AP167" s="26"/>
      <c r="AQ167" s="26"/>
      <c r="AR167" s="26"/>
      <c r="AS167" s="26"/>
      <c r="AT167" s="26"/>
      <c r="AU167" s="26"/>
      <c r="AV167" s="26"/>
      <c r="AW167" s="26"/>
      <c r="AX167" s="26"/>
      <c r="AY167" s="1"/>
      <c r="AZ167" s="26"/>
      <c r="BA167" s="26"/>
      <c r="BB167" s="26"/>
      <c r="BC167" s="26"/>
      <c r="BD167" s="26"/>
      <c r="BE167" s="26"/>
      <c r="BF167" s="26"/>
      <c r="BG167" s="26"/>
      <c r="BH167" s="26"/>
      <c r="BI167" s="26"/>
      <c r="BJ167" s="26"/>
      <c r="BK167" s="26"/>
      <c r="BL167" s="26"/>
      <c r="BM167" s="26"/>
      <c r="BN167" s="26"/>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96"/>
      <c r="CP167" s="14"/>
      <c r="CQ167" s="14"/>
      <c r="CR167" s="14"/>
      <c r="CS167" s="14"/>
      <c r="CT167" s="1"/>
      <c r="CU167" s="14"/>
      <c r="CV167" s="1"/>
      <c r="CW167" s="1"/>
      <c r="CX167" s="14"/>
      <c r="CY167" s="1"/>
      <c r="CZ167" s="1"/>
      <c r="DA167" s="1"/>
      <c r="DB167" s="1"/>
      <c r="DC167" s="1"/>
      <c r="DD167" s="1"/>
      <c r="DE167" s="1"/>
      <c r="DF167" s="1"/>
      <c r="DG167" s="1"/>
      <c r="DH167" s="1"/>
      <c r="DI167" s="1"/>
      <c r="DJ167" s="1"/>
      <c r="DK167" s="1"/>
      <c r="DL167" s="1"/>
      <c r="DM167" s="1"/>
      <c r="DN167" s="1"/>
      <c r="DO167" s="1"/>
      <c r="DP167" s="1"/>
      <c r="DQ167" s="1"/>
      <c r="DR167" s="1"/>
      <c r="DS167" s="1"/>
      <c r="DT167" s="1"/>
      <c r="DU167" s="14"/>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29"/>
    </row>
    <row r="168" spans="1:160" x14ac:dyDescent="0.25">
      <c r="A168" s="5"/>
      <c r="B168" s="1"/>
      <c r="C168" s="98"/>
      <c r="D168" s="98"/>
      <c r="E168" s="1"/>
      <c r="F168" s="22"/>
      <c r="G168" s="22"/>
      <c r="H168" s="22"/>
      <c r="I168" s="22"/>
      <c r="J168" s="22"/>
      <c r="K168" s="22"/>
      <c r="L168" s="22"/>
      <c r="M168" s="22"/>
      <c r="N168" s="22"/>
      <c r="O168" s="22"/>
      <c r="P168" s="22"/>
      <c r="Q168" s="22"/>
      <c r="R168" s="1"/>
      <c r="S168" s="1"/>
      <c r="T168" s="8"/>
      <c r="U168" s="1"/>
      <c r="V168" s="1"/>
      <c r="W168" s="1"/>
      <c r="X168" s="1"/>
      <c r="Y168" s="1"/>
      <c r="Z168" s="1"/>
      <c r="AA168" s="1"/>
      <c r="AC168" s="1"/>
      <c r="AD168" s="1"/>
      <c r="AE168" s="1"/>
      <c r="AF168" s="1"/>
      <c r="AG168" s="1"/>
      <c r="AH168" s="26"/>
      <c r="AI168" s="26"/>
      <c r="AJ168" s="26"/>
      <c r="AK168" s="26"/>
      <c r="AL168" s="26"/>
      <c r="AM168" s="26"/>
      <c r="AN168" s="26"/>
      <c r="AO168" s="26"/>
      <c r="AP168" s="26"/>
      <c r="AQ168" s="26"/>
      <c r="AR168" s="26"/>
      <c r="AS168" s="26"/>
      <c r="AT168" s="26"/>
      <c r="AU168" s="26"/>
      <c r="AV168" s="26"/>
      <c r="AW168" s="26"/>
      <c r="AX168" s="26"/>
      <c r="AY168" s="1"/>
      <c r="AZ168" s="26"/>
      <c r="BA168" s="26"/>
      <c r="BB168" s="26"/>
      <c r="BC168" s="26"/>
      <c r="BD168" s="26"/>
      <c r="BE168" s="26"/>
      <c r="BF168" s="26"/>
      <c r="BG168" s="26"/>
      <c r="BH168" s="26"/>
      <c r="BI168" s="26"/>
      <c r="BJ168" s="26"/>
      <c r="BK168" s="26"/>
      <c r="BL168" s="26"/>
      <c r="BM168" s="26"/>
      <c r="BN168" s="26"/>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96"/>
      <c r="CP168" s="14"/>
      <c r="CQ168" s="14"/>
      <c r="CR168" s="14"/>
      <c r="CS168" s="14"/>
      <c r="CT168" s="1"/>
      <c r="CU168" s="14"/>
      <c r="CV168" s="1"/>
      <c r="CW168" s="1"/>
      <c r="CX168" s="14"/>
      <c r="CY168" s="1"/>
      <c r="CZ168" s="1"/>
      <c r="DA168" s="1"/>
      <c r="DB168" s="1"/>
      <c r="DC168" s="1"/>
      <c r="DD168" s="1"/>
      <c r="DE168" s="1"/>
      <c r="DF168" s="1"/>
      <c r="DG168" s="1"/>
      <c r="DH168" s="1"/>
      <c r="DI168" s="1"/>
      <c r="DJ168" s="1"/>
      <c r="DK168" s="1"/>
      <c r="DL168" s="1"/>
      <c r="DM168" s="1"/>
      <c r="DN168" s="1"/>
      <c r="DO168" s="1"/>
      <c r="DP168" s="1"/>
      <c r="DQ168" s="1"/>
      <c r="DR168" s="1"/>
      <c r="DS168" s="1"/>
      <c r="DT168" s="1"/>
      <c r="DU168" s="14"/>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29"/>
    </row>
    <row r="169" spans="1:160" x14ac:dyDescent="0.25">
      <c r="A169" s="5"/>
      <c r="B169" s="1"/>
      <c r="C169" s="98"/>
      <c r="D169" s="98"/>
      <c r="E169" s="1"/>
      <c r="F169" s="22"/>
      <c r="G169" s="22"/>
      <c r="H169" s="22"/>
      <c r="I169" s="22"/>
      <c r="J169" s="22"/>
      <c r="K169" s="22"/>
      <c r="L169" s="22"/>
      <c r="M169" s="22"/>
      <c r="N169" s="22"/>
      <c r="O169" s="22"/>
      <c r="P169" s="22"/>
      <c r="Q169" s="22"/>
      <c r="R169" s="1"/>
      <c r="S169" s="1"/>
      <c r="T169" s="8"/>
      <c r="U169" s="1"/>
      <c r="V169" s="1"/>
      <c r="W169" s="1"/>
      <c r="X169" s="1"/>
      <c r="Y169" s="1"/>
      <c r="Z169" s="1"/>
      <c r="AA169" s="1"/>
      <c r="AC169" s="1"/>
      <c r="AD169" s="1"/>
      <c r="AE169" s="1"/>
      <c r="AF169" s="1"/>
      <c r="AG169" s="1"/>
      <c r="AH169" s="26"/>
      <c r="AI169" s="26"/>
      <c r="AJ169" s="26"/>
      <c r="AK169" s="26"/>
      <c r="AL169" s="26"/>
      <c r="AM169" s="26"/>
      <c r="AN169" s="26"/>
      <c r="AO169" s="26"/>
      <c r="AP169" s="26"/>
      <c r="AQ169" s="26"/>
      <c r="AR169" s="26"/>
      <c r="AS169" s="26"/>
      <c r="AT169" s="26"/>
      <c r="AU169" s="26"/>
      <c r="AV169" s="26"/>
      <c r="AW169" s="26"/>
      <c r="AX169" s="26"/>
      <c r="AY169" s="1"/>
      <c r="AZ169" s="26"/>
      <c r="BA169" s="26"/>
      <c r="BB169" s="26"/>
      <c r="BC169" s="26"/>
      <c r="BD169" s="26"/>
      <c r="BE169" s="26"/>
      <c r="BF169" s="26"/>
      <c r="BG169" s="26"/>
      <c r="BH169" s="26"/>
      <c r="BI169" s="26"/>
      <c r="BJ169" s="26"/>
      <c r="BK169" s="26"/>
      <c r="BL169" s="26"/>
      <c r="BM169" s="26"/>
      <c r="BN169" s="26"/>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96"/>
      <c r="CP169" s="14"/>
      <c r="CQ169" s="14"/>
      <c r="CR169" s="14"/>
      <c r="CS169" s="14"/>
      <c r="CT169" s="1"/>
      <c r="CU169" s="14"/>
      <c r="CV169" s="1"/>
      <c r="CW169" s="1"/>
      <c r="CX169" s="14"/>
      <c r="CY169" s="1"/>
      <c r="CZ169" s="1"/>
      <c r="DA169" s="1"/>
      <c r="DB169" s="1"/>
      <c r="DC169" s="1"/>
      <c r="DD169" s="1"/>
      <c r="DE169" s="1"/>
      <c r="DF169" s="1"/>
      <c r="DG169" s="1"/>
      <c r="DH169" s="1"/>
      <c r="DI169" s="1"/>
      <c r="DJ169" s="1"/>
      <c r="DK169" s="1"/>
      <c r="DL169" s="1"/>
      <c r="DM169" s="1"/>
      <c r="DN169" s="1"/>
      <c r="DO169" s="1"/>
      <c r="DP169" s="1"/>
      <c r="DQ169" s="1"/>
      <c r="DR169" s="1"/>
      <c r="DS169" s="1"/>
      <c r="DT169" s="1"/>
      <c r="DU169" s="14"/>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29"/>
    </row>
    <row r="170" spans="1:160" x14ac:dyDescent="0.25">
      <c r="A170" s="5"/>
      <c r="B170" s="1"/>
      <c r="C170" s="98"/>
      <c r="D170" s="98"/>
      <c r="E170" s="1"/>
      <c r="F170" s="22"/>
      <c r="G170" s="22"/>
      <c r="H170" s="22"/>
      <c r="I170" s="22"/>
      <c r="J170" s="22"/>
      <c r="K170" s="22"/>
      <c r="L170" s="22"/>
      <c r="M170" s="22"/>
      <c r="N170" s="22"/>
      <c r="O170" s="22"/>
      <c r="P170" s="22"/>
      <c r="Q170" s="22"/>
      <c r="R170" s="1"/>
      <c r="S170" s="1"/>
      <c r="T170" s="8"/>
      <c r="U170" s="1"/>
      <c r="V170" s="1"/>
      <c r="W170" s="1"/>
      <c r="X170" s="1"/>
      <c r="Y170" s="1"/>
      <c r="Z170" s="1"/>
      <c r="AA170" s="1"/>
      <c r="AC170" s="1"/>
      <c r="AD170" s="1"/>
      <c r="AE170" s="1"/>
      <c r="AF170" s="1"/>
      <c r="AG170" s="1"/>
      <c r="AH170" s="26"/>
      <c r="AI170" s="26"/>
      <c r="AJ170" s="26"/>
      <c r="AK170" s="26"/>
      <c r="AL170" s="26"/>
      <c r="AM170" s="26"/>
      <c r="AN170" s="26"/>
      <c r="AO170" s="26"/>
      <c r="AP170" s="26"/>
      <c r="AQ170" s="26"/>
      <c r="AR170" s="26"/>
      <c r="AS170" s="26"/>
      <c r="AT170" s="26"/>
      <c r="AU170" s="26"/>
      <c r="AV170" s="26"/>
      <c r="AW170" s="26"/>
      <c r="AX170" s="26"/>
      <c r="AY170" s="1"/>
      <c r="AZ170" s="26"/>
      <c r="BA170" s="26"/>
      <c r="BB170" s="26"/>
      <c r="BC170" s="26"/>
      <c r="BD170" s="26"/>
      <c r="BE170" s="26"/>
      <c r="BF170" s="26"/>
      <c r="BG170" s="26"/>
      <c r="BH170" s="26"/>
      <c r="BI170" s="26"/>
      <c r="BJ170" s="26"/>
      <c r="BK170" s="26"/>
      <c r="BL170" s="26"/>
      <c r="BM170" s="26"/>
      <c r="BN170" s="26"/>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96"/>
      <c r="CP170" s="14"/>
      <c r="CQ170" s="14"/>
      <c r="CR170" s="14"/>
      <c r="CS170" s="14"/>
      <c r="CT170" s="1"/>
      <c r="CU170" s="14"/>
      <c r="CV170" s="1"/>
      <c r="CW170" s="1"/>
      <c r="CX170" s="14"/>
      <c r="CY170" s="1"/>
      <c r="CZ170" s="1"/>
      <c r="DA170" s="1"/>
      <c r="DB170" s="1"/>
      <c r="DC170" s="1"/>
      <c r="DD170" s="1"/>
      <c r="DE170" s="1"/>
      <c r="DF170" s="1"/>
      <c r="DG170" s="1"/>
      <c r="DH170" s="1"/>
      <c r="DI170" s="1"/>
      <c r="DJ170" s="1"/>
      <c r="DK170" s="1"/>
      <c r="DL170" s="1"/>
      <c r="DM170" s="1"/>
      <c r="DN170" s="1"/>
      <c r="DO170" s="1"/>
      <c r="DP170" s="1"/>
      <c r="DQ170" s="1"/>
      <c r="DR170" s="1"/>
      <c r="DS170" s="1"/>
      <c r="DT170" s="1"/>
      <c r="DU170" s="14"/>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29"/>
    </row>
    <row r="171" spans="1:160" x14ac:dyDescent="0.25">
      <c r="A171" s="5"/>
      <c r="B171" s="1"/>
      <c r="C171" s="98"/>
      <c r="D171" s="98"/>
      <c r="E171" s="1"/>
      <c r="F171" s="22"/>
      <c r="G171" s="22"/>
      <c r="H171" s="22"/>
      <c r="I171" s="22"/>
      <c r="J171" s="22"/>
      <c r="K171" s="22"/>
      <c r="L171" s="22"/>
      <c r="M171" s="22"/>
      <c r="N171" s="22"/>
      <c r="O171" s="22"/>
      <c r="P171" s="22"/>
      <c r="Q171" s="22"/>
      <c r="R171" s="1"/>
      <c r="S171" s="1"/>
      <c r="T171" s="8"/>
      <c r="U171" s="1"/>
      <c r="V171" s="1"/>
      <c r="W171" s="1"/>
      <c r="X171" s="1"/>
      <c r="Y171" s="1"/>
      <c r="Z171" s="1"/>
      <c r="AA171" s="1"/>
      <c r="AC171" s="1"/>
      <c r="AD171" s="1"/>
      <c r="AE171" s="1"/>
      <c r="AF171" s="1"/>
      <c r="AG171" s="1"/>
      <c r="AH171" s="26"/>
      <c r="AI171" s="26"/>
      <c r="AJ171" s="26"/>
      <c r="AK171" s="26"/>
      <c r="AL171" s="26"/>
      <c r="AM171" s="26"/>
      <c r="AN171" s="26"/>
      <c r="AO171" s="26"/>
      <c r="AP171" s="26"/>
      <c r="AQ171" s="26"/>
      <c r="AR171" s="26"/>
      <c r="AS171" s="26"/>
      <c r="AT171" s="26"/>
      <c r="AU171" s="26"/>
      <c r="AV171" s="26"/>
      <c r="AW171" s="26"/>
      <c r="AX171" s="26"/>
      <c r="AY171" s="1"/>
      <c r="AZ171" s="26"/>
      <c r="BA171" s="26"/>
      <c r="BB171" s="26"/>
      <c r="BC171" s="26"/>
      <c r="BD171" s="26"/>
      <c r="BE171" s="26"/>
      <c r="BF171" s="26"/>
      <c r="BG171" s="26"/>
      <c r="BH171" s="26"/>
      <c r="BI171" s="26"/>
      <c r="BJ171" s="26"/>
      <c r="BK171" s="26"/>
      <c r="BL171" s="26"/>
      <c r="BM171" s="26"/>
      <c r="BN171" s="26"/>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96"/>
      <c r="CP171" s="14"/>
      <c r="CQ171" s="14"/>
      <c r="CR171" s="14"/>
      <c r="CS171" s="14"/>
      <c r="CT171" s="1"/>
      <c r="CU171" s="14"/>
      <c r="CV171" s="1"/>
      <c r="CW171" s="1"/>
      <c r="CX171" s="14"/>
      <c r="CY171" s="1"/>
      <c r="CZ171" s="1"/>
      <c r="DA171" s="1"/>
      <c r="DB171" s="1"/>
      <c r="DC171" s="1"/>
      <c r="DD171" s="1"/>
      <c r="DE171" s="1"/>
      <c r="DF171" s="1"/>
      <c r="DG171" s="1"/>
      <c r="DH171" s="1"/>
      <c r="DI171" s="1"/>
      <c r="DJ171" s="1"/>
      <c r="DK171" s="1"/>
      <c r="DL171" s="1"/>
      <c r="DM171" s="1"/>
      <c r="DN171" s="1"/>
      <c r="DO171" s="1"/>
      <c r="DP171" s="1"/>
      <c r="DQ171" s="1"/>
      <c r="DR171" s="1"/>
      <c r="DS171" s="1"/>
      <c r="DT171" s="1"/>
      <c r="DU171" s="14"/>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29"/>
    </row>
    <row r="172" spans="1:160" x14ac:dyDescent="0.25">
      <c r="A172" s="5"/>
      <c r="B172" s="1"/>
      <c r="C172" s="98"/>
      <c r="D172" s="98"/>
      <c r="E172" s="1"/>
      <c r="F172" s="22"/>
      <c r="G172" s="22"/>
      <c r="H172" s="22"/>
      <c r="I172" s="22"/>
      <c r="J172" s="22"/>
      <c r="K172" s="22"/>
      <c r="L172" s="22"/>
      <c r="M172" s="22"/>
      <c r="N172" s="22"/>
      <c r="O172" s="22"/>
      <c r="P172" s="22"/>
      <c r="Q172" s="22"/>
      <c r="R172" s="1"/>
      <c r="S172" s="1"/>
      <c r="T172" s="8"/>
      <c r="U172" s="1"/>
      <c r="V172" s="1"/>
      <c r="W172" s="1"/>
      <c r="X172" s="1"/>
      <c r="Y172" s="1"/>
      <c r="Z172" s="1"/>
      <c r="AA172" s="1"/>
      <c r="AC172" s="1"/>
      <c r="AD172" s="1"/>
      <c r="AE172" s="1"/>
      <c r="AF172" s="1"/>
      <c r="AG172" s="1"/>
      <c r="AH172" s="26"/>
      <c r="AI172" s="26"/>
      <c r="AJ172" s="26"/>
      <c r="AK172" s="26"/>
      <c r="AL172" s="26"/>
      <c r="AM172" s="26"/>
      <c r="AN172" s="26"/>
      <c r="AO172" s="26"/>
      <c r="AP172" s="26"/>
      <c r="AQ172" s="26"/>
      <c r="AR172" s="26"/>
      <c r="AS172" s="26"/>
      <c r="AT172" s="26"/>
      <c r="AU172" s="26"/>
      <c r="AV172" s="26"/>
      <c r="AW172" s="26"/>
      <c r="AX172" s="26"/>
      <c r="AY172" s="1"/>
      <c r="AZ172" s="26"/>
      <c r="BA172" s="26"/>
      <c r="BB172" s="26"/>
      <c r="BC172" s="26"/>
      <c r="BD172" s="26"/>
      <c r="BE172" s="26"/>
      <c r="BF172" s="26"/>
      <c r="BG172" s="26"/>
      <c r="BH172" s="26"/>
      <c r="BI172" s="26"/>
      <c r="BJ172" s="26"/>
      <c r="BK172" s="26"/>
      <c r="BL172" s="26"/>
      <c r="BM172" s="26"/>
      <c r="BN172" s="26"/>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96"/>
      <c r="CP172" s="14"/>
      <c r="CQ172" s="14"/>
      <c r="CR172" s="14"/>
      <c r="CS172" s="14"/>
      <c r="CT172" s="1"/>
      <c r="CU172" s="14"/>
      <c r="CV172" s="1"/>
      <c r="CW172" s="1"/>
      <c r="CX172" s="14"/>
      <c r="CY172" s="1"/>
      <c r="CZ172" s="1"/>
      <c r="DA172" s="1"/>
      <c r="DB172" s="1"/>
      <c r="DC172" s="1"/>
      <c r="DD172" s="1"/>
      <c r="DE172" s="1"/>
      <c r="DF172" s="1"/>
      <c r="DG172" s="1"/>
      <c r="DH172" s="1"/>
      <c r="DI172" s="1"/>
      <c r="DJ172" s="1"/>
      <c r="DK172" s="1"/>
      <c r="DL172" s="1"/>
      <c r="DM172" s="1"/>
      <c r="DN172" s="1"/>
      <c r="DO172" s="1"/>
      <c r="DP172" s="1"/>
      <c r="DQ172" s="1"/>
      <c r="DR172" s="1"/>
      <c r="DS172" s="1"/>
      <c r="DT172" s="1"/>
      <c r="DU172" s="14"/>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29"/>
    </row>
    <row r="173" spans="1:160" x14ac:dyDescent="0.25">
      <c r="A173" s="5"/>
      <c r="B173" s="1"/>
      <c r="C173" s="98"/>
      <c r="D173" s="98"/>
      <c r="E173" s="1"/>
      <c r="F173" s="22"/>
      <c r="G173" s="22"/>
      <c r="H173" s="22"/>
      <c r="I173" s="22"/>
      <c r="J173" s="22"/>
      <c r="K173" s="22"/>
      <c r="L173" s="22"/>
      <c r="M173" s="22"/>
      <c r="N173" s="22"/>
      <c r="O173" s="22"/>
      <c r="P173" s="22"/>
      <c r="Q173" s="22"/>
      <c r="R173" s="1"/>
      <c r="S173" s="1"/>
      <c r="T173" s="8"/>
      <c r="U173" s="1"/>
      <c r="V173" s="1"/>
      <c r="W173" s="1"/>
      <c r="X173" s="1"/>
      <c r="Y173" s="1"/>
      <c r="Z173" s="1"/>
      <c r="AA173" s="1"/>
      <c r="AC173" s="1"/>
      <c r="AD173" s="1"/>
      <c r="AE173" s="1"/>
      <c r="AF173" s="1"/>
      <c r="AG173" s="1"/>
      <c r="AH173" s="26"/>
      <c r="AI173" s="26"/>
      <c r="AJ173" s="26"/>
      <c r="AK173" s="26"/>
      <c r="AL173" s="26"/>
      <c r="AM173" s="26"/>
      <c r="AN173" s="26"/>
      <c r="AO173" s="26"/>
      <c r="AP173" s="26"/>
      <c r="AQ173" s="26"/>
      <c r="AR173" s="26"/>
      <c r="AS173" s="26"/>
      <c r="AT173" s="26"/>
      <c r="AU173" s="26"/>
      <c r="AV173" s="26"/>
      <c r="AW173" s="26"/>
      <c r="AX173" s="26"/>
      <c r="AY173" s="1"/>
      <c r="AZ173" s="26"/>
      <c r="BA173" s="26"/>
      <c r="BB173" s="26"/>
      <c r="BC173" s="26"/>
      <c r="BD173" s="26"/>
      <c r="BE173" s="26"/>
      <c r="BF173" s="26"/>
      <c r="BG173" s="26"/>
      <c r="BH173" s="26"/>
      <c r="BI173" s="26"/>
      <c r="BJ173" s="26"/>
      <c r="BK173" s="26"/>
      <c r="BL173" s="26"/>
      <c r="BM173" s="26"/>
      <c r="BN173" s="26"/>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96"/>
      <c r="CP173" s="14"/>
      <c r="CQ173" s="14"/>
      <c r="CR173" s="14"/>
      <c r="CS173" s="14"/>
      <c r="CT173" s="1"/>
      <c r="CU173" s="14"/>
      <c r="CV173" s="1"/>
      <c r="CW173" s="1"/>
      <c r="CX173" s="14"/>
      <c r="CY173" s="1"/>
      <c r="CZ173" s="1"/>
      <c r="DA173" s="1"/>
      <c r="DB173" s="1"/>
      <c r="DC173" s="1"/>
      <c r="DD173" s="1"/>
      <c r="DE173" s="1"/>
      <c r="DF173" s="1"/>
      <c r="DG173" s="1"/>
      <c r="DH173" s="1"/>
      <c r="DI173" s="1"/>
      <c r="DJ173" s="1"/>
      <c r="DK173" s="1"/>
      <c r="DL173" s="1"/>
      <c r="DM173" s="1"/>
      <c r="DN173" s="1"/>
      <c r="DO173" s="1"/>
      <c r="DP173" s="1"/>
      <c r="DQ173" s="1"/>
      <c r="DR173" s="1"/>
      <c r="DS173" s="1"/>
      <c r="DT173" s="1"/>
      <c r="DU173" s="14"/>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29"/>
    </row>
    <row r="174" spans="1:160" x14ac:dyDescent="0.25">
      <c r="A174" s="5"/>
      <c r="B174" s="1"/>
      <c r="C174" s="98"/>
      <c r="D174" s="98"/>
      <c r="E174" s="1"/>
      <c r="F174" s="22"/>
      <c r="G174" s="22"/>
      <c r="H174" s="22"/>
      <c r="I174" s="22"/>
      <c r="J174" s="22"/>
      <c r="K174" s="22"/>
      <c r="L174" s="22"/>
      <c r="M174" s="22"/>
      <c r="N174" s="22"/>
      <c r="O174" s="22"/>
      <c r="P174" s="22"/>
      <c r="Q174" s="22"/>
      <c r="R174" s="1"/>
      <c r="S174" s="1"/>
      <c r="T174" s="8"/>
      <c r="U174" s="1"/>
      <c r="V174" s="1"/>
      <c r="W174" s="1"/>
      <c r="X174" s="1"/>
      <c r="Y174" s="1"/>
      <c r="Z174" s="1"/>
      <c r="AA174" s="1"/>
      <c r="AC174" s="1"/>
      <c r="AD174" s="1"/>
      <c r="AE174" s="1"/>
      <c r="AF174" s="1"/>
      <c r="AG174" s="1"/>
      <c r="AH174" s="26"/>
      <c r="AI174" s="26"/>
      <c r="AJ174" s="26"/>
      <c r="AK174" s="26"/>
      <c r="AL174" s="26"/>
      <c r="AM174" s="26"/>
      <c r="AN174" s="26"/>
      <c r="AO174" s="26"/>
      <c r="AP174" s="26"/>
      <c r="AQ174" s="26"/>
      <c r="AR174" s="26"/>
      <c r="AS174" s="26"/>
      <c r="AT174" s="26"/>
      <c r="AU174" s="26"/>
      <c r="AV174" s="26"/>
      <c r="AW174" s="26"/>
      <c r="AX174" s="26"/>
      <c r="AY174" s="1"/>
      <c r="AZ174" s="26"/>
      <c r="BA174" s="26"/>
      <c r="BB174" s="26"/>
      <c r="BC174" s="26"/>
      <c r="BD174" s="26"/>
      <c r="BE174" s="26"/>
      <c r="BF174" s="26"/>
      <c r="BG174" s="26"/>
      <c r="BH174" s="26"/>
      <c r="BI174" s="26"/>
      <c r="BJ174" s="26"/>
      <c r="BK174" s="26"/>
      <c r="BL174" s="26"/>
      <c r="BM174" s="26"/>
      <c r="BN174" s="26"/>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96"/>
      <c r="CP174" s="14"/>
      <c r="CQ174" s="14"/>
      <c r="CR174" s="14"/>
      <c r="CS174" s="14"/>
      <c r="CT174" s="1"/>
      <c r="CU174" s="14"/>
      <c r="CV174" s="1"/>
      <c r="CW174" s="1"/>
      <c r="CX174" s="14"/>
      <c r="CY174" s="1"/>
      <c r="CZ174" s="1"/>
      <c r="DA174" s="1"/>
      <c r="DB174" s="1"/>
      <c r="DC174" s="1"/>
      <c r="DD174" s="1"/>
      <c r="DE174" s="1"/>
      <c r="DF174" s="1"/>
      <c r="DG174" s="1"/>
      <c r="DH174" s="1"/>
      <c r="DI174" s="1"/>
      <c r="DJ174" s="1"/>
      <c r="DK174" s="1"/>
      <c r="DL174" s="1"/>
      <c r="DM174" s="1"/>
      <c r="DN174" s="1"/>
      <c r="DO174" s="1"/>
      <c r="DP174" s="1"/>
      <c r="DQ174" s="1"/>
      <c r="DR174" s="1"/>
      <c r="DS174" s="1"/>
      <c r="DT174" s="1"/>
      <c r="DU174" s="14"/>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29"/>
    </row>
    <row r="175" spans="1:160" x14ac:dyDescent="0.25">
      <c r="A175" s="5"/>
      <c r="B175" s="1"/>
      <c r="C175" s="98"/>
      <c r="D175" s="98"/>
      <c r="E175" s="1"/>
      <c r="F175" s="22"/>
      <c r="G175" s="22"/>
      <c r="H175" s="22"/>
      <c r="I175" s="22"/>
      <c r="J175" s="22"/>
      <c r="K175" s="22"/>
      <c r="L175" s="22"/>
      <c r="M175" s="22"/>
      <c r="N175" s="22"/>
      <c r="O175" s="22"/>
      <c r="P175" s="22"/>
      <c r="Q175" s="22"/>
      <c r="R175" s="1"/>
      <c r="S175" s="1"/>
      <c r="T175" s="8"/>
      <c r="U175" s="1"/>
      <c r="V175" s="1"/>
      <c r="W175" s="1"/>
      <c r="X175" s="1"/>
      <c r="Y175" s="1"/>
      <c r="Z175" s="1"/>
      <c r="AA175" s="1"/>
      <c r="AC175" s="1"/>
      <c r="AD175" s="1"/>
      <c r="AE175" s="1"/>
      <c r="AF175" s="1"/>
      <c r="AG175" s="1"/>
      <c r="AH175" s="26"/>
      <c r="AI175" s="26"/>
      <c r="AJ175" s="26"/>
      <c r="AK175" s="26"/>
      <c r="AL175" s="26"/>
      <c r="AM175" s="26"/>
      <c r="AN175" s="26"/>
      <c r="AO175" s="26"/>
      <c r="AP175" s="26"/>
      <c r="AQ175" s="26"/>
      <c r="AR175" s="26"/>
      <c r="AS175" s="26"/>
      <c r="AT175" s="26"/>
      <c r="AU175" s="26"/>
      <c r="AV175" s="26"/>
      <c r="AW175" s="26"/>
      <c r="AX175" s="26"/>
      <c r="AY175" s="1"/>
      <c r="AZ175" s="26"/>
      <c r="BA175" s="26"/>
      <c r="BB175" s="26"/>
      <c r="BC175" s="26"/>
      <c r="BD175" s="26"/>
      <c r="BE175" s="26"/>
      <c r="BF175" s="26"/>
      <c r="BG175" s="26"/>
      <c r="BH175" s="26"/>
      <c r="BI175" s="26"/>
      <c r="BJ175" s="26"/>
      <c r="BK175" s="26"/>
      <c r="BL175" s="26"/>
      <c r="BM175" s="26"/>
      <c r="BN175" s="26"/>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96"/>
      <c r="CP175" s="14"/>
      <c r="CQ175" s="14"/>
      <c r="CR175" s="14"/>
      <c r="CS175" s="14"/>
      <c r="CT175" s="1"/>
      <c r="CU175" s="14"/>
      <c r="CV175" s="1"/>
      <c r="CW175" s="1"/>
      <c r="CX175" s="14"/>
      <c r="CY175" s="1"/>
      <c r="CZ175" s="1"/>
      <c r="DA175" s="1"/>
      <c r="DB175" s="1"/>
      <c r="DC175" s="1"/>
      <c r="DD175" s="1"/>
      <c r="DE175" s="1"/>
      <c r="DF175" s="1"/>
      <c r="DG175" s="1"/>
      <c r="DH175" s="1"/>
      <c r="DI175" s="1"/>
      <c r="DJ175" s="1"/>
      <c r="DK175" s="1"/>
      <c r="DL175" s="1"/>
      <c r="DM175" s="1"/>
      <c r="DN175" s="1"/>
      <c r="DO175" s="1"/>
      <c r="DP175" s="1"/>
      <c r="DQ175" s="1"/>
      <c r="DR175" s="1"/>
      <c r="DS175" s="1"/>
      <c r="DT175" s="1"/>
      <c r="DU175" s="14"/>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29"/>
    </row>
    <row r="176" spans="1:160" x14ac:dyDescent="0.25">
      <c r="A176" s="5"/>
      <c r="B176" s="1"/>
      <c r="C176" s="98"/>
      <c r="D176" s="98"/>
      <c r="E176" s="1"/>
      <c r="F176" s="22"/>
      <c r="G176" s="22"/>
      <c r="H176" s="22"/>
      <c r="I176" s="22"/>
      <c r="J176" s="22"/>
      <c r="K176" s="22"/>
      <c r="L176" s="22"/>
      <c r="M176" s="22"/>
      <c r="N176" s="22"/>
      <c r="O176" s="22"/>
      <c r="P176" s="22"/>
      <c r="Q176" s="22"/>
      <c r="R176" s="1"/>
      <c r="S176" s="1"/>
      <c r="T176" s="8"/>
      <c r="U176" s="1"/>
      <c r="V176" s="1"/>
      <c r="W176" s="1"/>
      <c r="X176" s="1"/>
      <c r="Y176" s="1"/>
      <c r="Z176" s="1"/>
      <c r="AA176" s="1"/>
      <c r="AC176" s="1"/>
      <c r="AD176" s="1"/>
      <c r="AE176" s="1"/>
      <c r="AF176" s="1"/>
      <c r="AG176" s="1"/>
      <c r="AH176" s="26"/>
      <c r="AI176" s="26"/>
      <c r="AJ176" s="26"/>
      <c r="AK176" s="26"/>
      <c r="AL176" s="26"/>
      <c r="AM176" s="26"/>
      <c r="AN176" s="26"/>
      <c r="AO176" s="26"/>
      <c r="AP176" s="26"/>
      <c r="AQ176" s="26"/>
      <c r="AR176" s="26"/>
      <c r="AS176" s="26"/>
      <c r="AT176" s="26"/>
      <c r="AU176" s="26"/>
      <c r="AV176" s="26"/>
      <c r="AW176" s="26"/>
      <c r="AX176" s="26"/>
      <c r="AY176" s="1"/>
      <c r="AZ176" s="26"/>
      <c r="BA176" s="26"/>
      <c r="BB176" s="26"/>
      <c r="BC176" s="26"/>
      <c r="BD176" s="26"/>
      <c r="BE176" s="26"/>
      <c r="BF176" s="26"/>
      <c r="BG176" s="26"/>
      <c r="BH176" s="26"/>
      <c r="BI176" s="26"/>
      <c r="BJ176" s="26"/>
      <c r="BK176" s="26"/>
      <c r="BL176" s="26"/>
      <c r="BM176" s="26"/>
      <c r="BN176" s="26"/>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96"/>
      <c r="CP176" s="14"/>
      <c r="CQ176" s="14"/>
      <c r="CR176" s="14"/>
      <c r="CS176" s="14"/>
      <c r="CT176" s="1"/>
      <c r="CU176" s="14"/>
      <c r="CV176" s="1"/>
      <c r="CW176" s="1"/>
      <c r="CX176" s="14"/>
      <c r="CY176" s="1"/>
      <c r="CZ176" s="1"/>
      <c r="DA176" s="1"/>
      <c r="DB176" s="1"/>
      <c r="DC176" s="1"/>
      <c r="DD176" s="1"/>
      <c r="DE176" s="1"/>
      <c r="DF176" s="1"/>
      <c r="DG176" s="1"/>
      <c r="DH176" s="1"/>
      <c r="DI176" s="1"/>
      <c r="DJ176" s="1"/>
      <c r="DK176" s="1"/>
      <c r="DL176" s="1"/>
      <c r="DM176" s="1"/>
      <c r="DN176" s="1"/>
      <c r="DO176" s="1"/>
      <c r="DP176" s="1"/>
      <c r="DQ176" s="1"/>
      <c r="DR176" s="1"/>
      <c r="DS176" s="1"/>
      <c r="DT176" s="1"/>
      <c r="DU176" s="14"/>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29"/>
    </row>
    <row r="177" spans="1:160" x14ac:dyDescent="0.25">
      <c r="A177" s="5"/>
      <c r="B177" s="1"/>
      <c r="C177" s="98"/>
      <c r="D177" s="98"/>
      <c r="E177" s="1"/>
      <c r="F177" s="22"/>
      <c r="G177" s="22"/>
      <c r="H177" s="22"/>
      <c r="I177" s="22"/>
      <c r="J177" s="22"/>
      <c r="K177" s="22"/>
      <c r="L177" s="22"/>
      <c r="M177" s="22"/>
      <c r="N177" s="22"/>
      <c r="O177" s="22"/>
      <c r="P177" s="22"/>
      <c r="Q177" s="22"/>
      <c r="R177" s="1"/>
      <c r="S177" s="1"/>
      <c r="T177" s="8"/>
      <c r="U177" s="1"/>
      <c r="V177" s="1"/>
      <c r="W177" s="1"/>
      <c r="X177" s="1"/>
      <c r="Y177" s="1"/>
      <c r="Z177" s="1"/>
      <c r="AA177" s="1"/>
      <c r="AC177" s="1"/>
      <c r="AD177" s="1"/>
      <c r="AE177" s="1"/>
      <c r="AF177" s="1"/>
      <c r="AG177" s="1"/>
      <c r="AH177" s="26"/>
      <c r="AI177" s="26"/>
      <c r="AJ177" s="26"/>
      <c r="AK177" s="26"/>
      <c r="AL177" s="26"/>
      <c r="AM177" s="26"/>
      <c r="AN177" s="26"/>
      <c r="AO177" s="26"/>
      <c r="AP177" s="26"/>
      <c r="AQ177" s="26"/>
      <c r="AR177" s="26"/>
      <c r="AS177" s="26"/>
      <c r="AT177" s="26"/>
      <c r="AU177" s="26"/>
      <c r="AV177" s="26"/>
      <c r="AW177" s="26"/>
      <c r="AX177" s="26"/>
      <c r="AY177" s="1"/>
      <c r="AZ177" s="26"/>
      <c r="BA177" s="26"/>
      <c r="BB177" s="26"/>
      <c r="BC177" s="26"/>
      <c r="BD177" s="26"/>
      <c r="BE177" s="26"/>
      <c r="BF177" s="26"/>
      <c r="BG177" s="26"/>
      <c r="BH177" s="26"/>
      <c r="BI177" s="26"/>
      <c r="BJ177" s="26"/>
      <c r="BK177" s="26"/>
      <c r="BL177" s="26"/>
      <c r="BM177" s="26"/>
      <c r="BN177" s="26"/>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96"/>
      <c r="CP177" s="14"/>
      <c r="CQ177" s="14"/>
      <c r="CR177" s="14"/>
      <c r="CS177" s="14"/>
      <c r="CT177" s="1"/>
      <c r="CU177" s="14"/>
      <c r="CV177" s="1"/>
      <c r="CW177" s="1"/>
      <c r="CX177" s="14"/>
      <c r="CY177" s="1"/>
      <c r="CZ177" s="1"/>
      <c r="DA177" s="1"/>
      <c r="DB177" s="1"/>
      <c r="DC177" s="1"/>
      <c r="DD177" s="1"/>
      <c r="DE177" s="1"/>
      <c r="DF177" s="1"/>
      <c r="DG177" s="1"/>
      <c r="DH177" s="1"/>
      <c r="DI177" s="1"/>
      <c r="DJ177" s="1"/>
      <c r="DK177" s="1"/>
      <c r="DL177" s="1"/>
      <c r="DM177" s="1"/>
      <c r="DN177" s="1"/>
      <c r="DO177" s="1"/>
      <c r="DP177" s="1"/>
      <c r="DQ177" s="1"/>
      <c r="DR177" s="1"/>
      <c r="DS177" s="1"/>
      <c r="DT177" s="1"/>
      <c r="DU177" s="14"/>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29"/>
    </row>
    <row r="178" spans="1:160" x14ac:dyDescent="0.25">
      <c r="A178" s="5"/>
      <c r="B178" s="1"/>
      <c r="C178" s="98"/>
      <c r="D178" s="98"/>
      <c r="E178" s="1"/>
      <c r="F178" s="22"/>
      <c r="G178" s="22"/>
      <c r="H178" s="22"/>
      <c r="I178" s="22"/>
      <c r="J178" s="22"/>
      <c r="K178" s="22"/>
      <c r="L178" s="22"/>
      <c r="M178" s="22"/>
      <c r="N178" s="22"/>
      <c r="O178" s="22"/>
      <c r="P178" s="22"/>
      <c r="Q178" s="22"/>
      <c r="R178" s="1"/>
      <c r="S178" s="1"/>
      <c r="T178" s="8"/>
      <c r="U178" s="1"/>
      <c r="V178" s="1"/>
      <c r="W178" s="1"/>
      <c r="X178" s="1"/>
      <c r="Y178" s="1"/>
      <c r="Z178" s="1"/>
      <c r="AA178" s="1"/>
      <c r="AC178" s="1"/>
      <c r="AD178" s="1"/>
      <c r="AE178" s="1"/>
      <c r="AF178" s="1"/>
      <c r="AG178" s="1"/>
      <c r="AH178" s="26"/>
      <c r="AI178" s="26"/>
      <c r="AJ178" s="26"/>
      <c r="AK178" s="26"/>
      <c r="AL178" s="26"/>
      <c r="AM178" s="26"/>
      <c r="AN178" s="26"/>
      <c r="AO178" s="26"/>
      <c r="AP178" s="26"/>
      <c r="AQ178" s="26"/>
      <c r="AR178" s="26"/>
      <c r="AS178" s="26"/>
      <c r="AT178" s="26"/>
      <c r="AU178" s="26"/>
      <c r="AV178" s="26"/>
      <c r="AW178" s="26"/>
      <c r="AX178" s="26"/>
      <c r="AY178" s="1"/>
      <c r="AZ178" s="26"/>
      <c r="BA178" s="26"/>
      <c r="BB178" s="26"/>
      <c r="BC178" s="26"/>
      <c r="BD178" s="26"/>
      <c r="BE178" s="26"/>
      <c r="BF178" s="26"/>
      <c r="BG178" s="26"/>
      <c r="BH178" s="26"/>
      <c r="BI178" s="26"/>
      <c r="BJ178" s="26"/>
      <c r="BK178" s="26"/>
      <c r="BL178" s="26"/>
      <c r="BM178" s="26"/>
      <c r="BN178" s="26"/>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96"/>
      <c r="CP178" s="14"/>
      <c r="CQ178" s="14"/>
      <c r="CR178" s="14"/>
      <c r="CS178" s="14"/>
      <c r="CT178" s="1"/>
      <c r="CU178" s="14"/>
      <c r="CV178" s="1"/>
      <c r="CW178" s="1"/>
      <c r="CX178" s="14"/>
      <c r="CY178" s="1"/>
      <c r="CZ178" s="1"/>
      <c r="DA178" s="1"/>
      <c r="DB178" s="1"/>
      <c r="DC178" s="1"/>
      <c r="DD178" s="1"/>
      <c r="DE178" s="1"/>
      <c r="DF178" s="1"/>
      <c r="DG178" s="1"/>
      <c r="DH178" s="1"/>
      <c r="DI178" s="1"/>
      <c r="DJ178" s="1"/>
      <c r="DK178" s="1"/>
      <c r="DL178" s="1"/>
      <c r="DM178" s="1"/>
      <c r="DN178" s="1"/>
      <c r="DO178" s="1"/>
      <c r="DP178" s="1"/>
      <c r="DQ178" s="1"/>
      <c r="DR178" s="1"/>
      <c r="DS178" s="1"/>
      <c r="DT178" s="1"/>
      <c r="DU178" s="14"/>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29"/>
    </row>
    <row r="179" spans="1:160" x14ac:dyDescent="0.25">
      <c r="A179" s="5"/>
      <c r="B179" s="1"/>
      <c r="C179" s="98"/>
      <c r="D179" s="98"/>
      <c r="E179" s="1"/>
      <c r="F179" s="22"/>
      <c r="G179" s="22"/>
      <c r="H179" s="22"/>
      <c r="I179" s="22"/>
      <c r="J179" s="22"/>
      <c r="K179" s="22"/>
      <c r="L179" s="22"/>
      <c r="M179" s="22"/>
      <c r="N179" s="22"/>
      <c r="O179" s="22"/>
      <c r="P179" s="22"/>
      <c r="Q179" s="22"/>
      <c r="R179" s="1"/>
      <c r="S179" s="1"/>
      <c r="T179" s="8"/>
      <c r="U179" s="1"/>
      <c r="V179" s="1"/>
      <c r="W179" s="1"/>
      <c r="X179" s="1"/>
      <c r="Y179" s="1"/>
      <c r="Z179" s="1"/>
      <c r="AA179" s="1"/>
      <c r="AC179" s="1"/>
      <c r="AD179" s="1"/>
      <c r="AE179" s="1"/>
      <c r="AF179" s="1"/>
      <c r="AG179" s="1"/>
      <c r="AH179" s="26"/>
      <c r="AI179" s="26"/>
      <c r="AJ179" s="26"/>
      <c r="AK179" s="26"/>
      <c r="AL179" s="26"/>
      <c r="AM179" s="26"/>
      <c r="AN179" s="26"/>
      <c r="AO179" s="26"/>
      <c r="AP179" s="26"/>
      <c r="AQ179" s="26"/>
      <c r="AR179" s="26"/>
      <c r="AS179" s="26"/>
      <c r="AT179" s="26"/>
      <c r="AU179" s="26"/>
      <c r="AV179" s="26"/>
      <c r="AW179" s="26"/>
      <c r="AX179" s="26"/>
      <c r="AY179" s="1"/>
      <c r="AZ179" s="26"/>
      <c r="BA179" s="26"/>
      <c r="BB179" s="26"/>
      <c r="BC179" s="26"/>
      <c r="BD179" s="26"/>
      <c r="BE179" s="26"/>
      <c r="BF179" s="26"/>
      <c r="BG179" s="26"/>
      <c r="BH179" s="26"/>
      <c r="BI179" s="26"/>
      <c r="BJ179" s="26"/>
      <c r="BK179" s="26"/>
      <c r="BL179" s="26"/>
      <c r="BM179" s="26"/>
      <c r="BN179" s="26"/>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96"/>
      <c r="CP179" s="14"/>
      <c r="CQ179" s="14"/>
      <c r="CR179" s="14"/>
      <c r="CS179" s="14"/>
      <c r="CT179" s="1"/>
      <c r="CU179" s="14"/>
      <c r="CV179" s="1"/>
      <c r="CW179" s="1"/>
      <c r="CX179" s="14"/>
      <c r="CY179" s="1"/>
      <c r="CZ179" s="1"/>
      <c r="DA179" s="1"/>
      <c r="DB179" s="1"/>
      <c r="DC179" s="1"/>
      <c r="DD179" s="1"/>
      <c r="DE179" s="1"/>
      <c r="DF179" s="1"/>
      <c r="DG179" s="1"/>
      <c r="DH179" s="1"/>
      <c r="DI179" s="1"/>
      <c r="DJ179" s="1"/>
      <c r="DK179" s="1"/>
      <c r="DL179" s="1"/>
      <c r="DM179" s="1"/>
      <c r="DN179" s="1"/>
      <c r="DO179" s="1"/>
      <c r="DP179" s="1"/>
      <c r="DQ179" s="1"/>
      <c r="DR179" s="1"/>
      <c r="DS179" s="1"/>
      <c r="DT179" s="1"/>
      <c r="DU179" s="14"/>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29"/>
    </row>
    <row r="180" spans="1:160" x14ac:dyDescent="0.25">
      <c r="A180" s="5"/>
      <c r="B180" s="1"/>
      <c r="C180" s="98"/>
      <c r="D180" s="98"/>
      <c r="E180" s="1"/>
      <c r="F180" s="22"/>
      <c r="G180" s="22"/>
      <c r="H180" s="22"/>
      <c r="I180" s="22"/>
      <c r="J180" s="22"/>
      <c r="K180" s="22"/>
      <c r="L180" s="22"/>
      <c r="M180" s="22"/>
      <c r="N180" s="22"/>
      <c r="O180" s="22"/>
      <c r="P180" s="22"/>
      <c r="Q180" s="22"/>
      <c r="R180" s="1"/>
      <c r="S180" s="1"/>
      <c r="T180" s="8"/>
      <c r="U180" s="1"/>
      <c r="V180" s="1"/>
      <c r="W180" s="1"/>
      <c r="X180" s="1"/>
      <c r="Y180" s="1"/>
      <c r="Z180" s="1"/>
      <c r="AA180" s="1"/>
      <c r="AC180" s="1"/>
      <c r="AD180" s="1"/>
      <c r="AE180" s="1"/>
      <c r="AF180" s="1"/>
      <c r="AG180" s="1"/>
      <c r="AH180" s="26"/>
      <c r="AI180" s="26"/>
      <c r="AJ180" s="26"/>
      <c r="AK180" s="26"/>
      <c r="AL180" s="26"/>
      <c r="AM180" s="26"/>
      <c r="AN180" s="26"/>
      <c r="AO180" s="26"/>
      <c r="AP180" s="26"/>
      <c r="AQ180" s="26"/>
      <c r="AR180" s="26"/>
      <c r="AS180" s="26"/>
      <c r="AT180" s="26"/>
      <c r="AU180" s="26"/>
      <c r="AV180" s="26"/>
      <c r="AW180" s="26"/>
      <c r="AX180" s="26"/>
      <c r="AY180" s="1"/>
      <c r="AZ180" s="26"/>
      <c r="BA180" s="26"/>
      <c r="BB180" s="26"/>
      <c r="BC180" s="26"/>
      <c r="BD180" s="26"/>
      <c r="BE180" s="26"/>
      <c r="BF180" s="26"/>
      <c r="BG180" s="26"/>
      <c r="BH180" s="26"/>
      <c r="BI180" s="26"/>
      <c r="BJ180" s="26"/>
      <c r="BK180" s="26"/>
      <c r="BL180" s="26"/>
      <c r="BM180" s="26"/>
      <c r="BN180" s="26"/>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96"/>
      <c r="CP180" s="14"/>
      <c r="CQ180" s="14"/>
      <c r="CR180" s="14"/>
      <c r="CS180" s="14"/>
      <c r="CT180" s="1"/>
      <c r="CU180" s="14"/>
      <c r="CV180" s="1"/>
      <c r="CW180" s="1"/>
      <c r="CX180" s="14"/>
      <c r="CY180" s="1"/>
      <c r="CZ180" s="1"/>
      <c r="DA180" s="1"/>
      <c r="DB180" s="1"/>
      <c r="DC180" s="1"/>
      <c r="DD180" s="1"/>
      <c r="DE180" s="1"/>
      <c r="DF180" s="1"/>
      <c r="DG180" s="1"/>
      <c r="DH180" s="1"/>
      <c r="DI180" s="1"/>
      <c r="DJ180" s="1"/>
      <c r="DK180" s="1"/>
      <c r="DL180" s="1"/>
      <c r="DM180" s="1"/>
      <c r="DN180" s="1"/>
      <c r="DO180" s="1"/>
      <c r="DP180" s="1"/>
      <c r="DQ180" s="1"/>
      <c r="DR180" s="1"/>
      <c r="DS180" s="1"/>
      <c r="DT180" s="1"/>
      <c r="DU180" s="14"/>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29"/>
    </row>
    <row r="181" spans="1:160" x14ac:dyDescent="0.25">
      <c r="A181" s="5"/>
      <c r="B181" s="1"/>
      <c r="C181" s="98"/>
      <c r="D181" s="98"/>
      <c r="E181" s="1"/>
      <c r="F181" s="22"/>
      <c r="G181" s="22"/>
      <c r="H181" s="22"/>
      <c r="I181" s="22"/>
      <c r="J181" s="22"/>
      <c r="K181" s="22"/>
      <c r="L181" s="22"/>
      <c r="M181" s="22"/>
      <c r="N181" s="22"/>
      <c r="O181" s="22"/>
      <c r="P181" s="22"/>
      <c r="Q181" s="22"/>
      <c r="R181" s="1"/>
      <c r="S181" s="1"/>
      <c r="T181" s="8"/>
      <c r="U181" s="1"/>
      <c r="V181" s="1"/>
      <c r="W181" s="1"/>
      <c r="X181" s="1"/>
      <c r="Y181" s="1"/>
      <c r="Z181" s="1"/>
      <c r="AA181" s="1"/>
      <c r="AC181" s="1"/>
      <c r="AD181" s="1"/>
      <c r="AE181" s="1"/>
      <c r="AF181" s="1"/>
      <c r="AG181" s="1"/>
      <c r="AH181" s="26"/>
      <c r="AI181" s="26"/>
      <c r="AJ181" s="26"/>
      <c r="AK181" s="26"/>
      <c r="AL181" s="26"/>
      <c r="AM181" s="26"/>
      <c r="AN181" s="26"/>
      <c r="AO181" s="26"/>
      <c r="AP181" s="26"/>
      <c r="AQ181" s="26"/>
      <c r="AR181" s="26"/>
      <c r="AS181" s="26"/>
      <c r="AT181" s="26"/>
      <c r="AU181" s="26"/>
      <c r="AV181" s="26"/>
      <c r="AW181" s="26"/>
      <c r="AX181" s="26"/>
      <c r="AY181" s="1"/>
      <c r="AZ181" s="26"/>
      <c r="BA181" s="26"/>
      <c r="BB181" s="26"/>
      <c r="BC181" s="26"/>
      <c r="BD181" s="26"/>
      <c r="BE181" s="26"/>
      <c r="BF181" s="26"/>
      <c r="BG181" s="26"/>
      <c r="BH181" s="26"/>
      <c r="BI181" s="26"/>
      <c r="BJ181" s="26"/>
      <c r="BK181" s="26"/>
      <c r="BL181" s="26"/>
      <c r="BM181" s="26"/>
      <c r="BN181" s="26"/>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96"/>
      <c r="CP181" s="14"/>
      <c r="CQ181" s="14"/>
      <c r="CR181" s="14"/>
      <c r="CS181" s="14"/>
      <c r="CT181" s="1"/>
      <c r="CU181" s="14"/>
      <c r="CV181" s="1"/>
      <c r="CW181" s="1"/>
      <c r="CX181" s="14"/>
      <c r="CY181" s="1"/>
      <c r="CZ181" s="1"/>
      <c r="DA181" s="1"/>
      <c r="DB181" s="1"/>
      <c r="DC181" s="1"/>
      <c r="DD181" s="1"/>
      <c r="DE181" s="1"/>
      <c r="DF181" s="1"/>
      <c r="DG181" s="1"/>
      <c r="DH181" s="1"/>
      <c r="DI181" s="1"/>
      <c r="DJ181" s="1"/>
      <c r="DK181" s="1"/>
      <c r="DL181" s="1"/>
      <c r="DM181" s="1"/>
      <c r="DN181" s="1"/>
      <c r="DO181" s="1"/>
      <c r="DP181" s="1"/>
      <c r="DQ181" s="1"/>
      <c r="DR181" s="1"/>
      <c r="DS181" s="1"/>
      <c r="DT181" s="1"/>
      <c r="DU181" s="14"/>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29"/>
    </row>
    <row r="182" spans="1:160" x14ac:dyDescent="0.25">
      <c r="A182" s="5"/>
      <c r="B182" s="1"/>
      <c r="C182" s="98"/>
      <c r="D182" s="98"/>
      <c r="E182" s="1"/>
      <c r="F182" s="22"/>
      <c r="G182" s="22"/>
      <c r="H182" s="22"/>
      <c r="I182" s="22"/>
      <c r="J182" s="22"/>
      <c r="K182" s="22"/>
      <c r="L182" s="22"/>
      <c r="M182" s="22"/>
      <c r="N182" s="22"/>
      <c r="O182" s="22"/>
      <c r="P182" s="22"/>
      <c r="Q182" s="22"/>
      <c r="R182" s="1"/>
      <c r="S182" s="1"/>
      <c r="T182" s="8"/>
      <c r="U182" s="1"/>
      <c r="V182" s="1"/>
      <c r="W182" s="1"/>
      <c r="X182" s="1"/>
      <c r="Y182" s="1"/>
      <c r="Z182" s="1"/>
      <c r="AA182" s="1"/>
      <c r="AC182" s="1"/>
      <c r="AD182" s="1"/>
      <c r="AE182" s="1"/>
      <c r="AF182" s="1"/>
      <c r="AG182" s="1"/>
      <c r="AH182" s="26"/>
      <c r="AI182" s="26"/>
      <c r="AJ182" s="26"/>
      <c r="AK182" s="26"/>
      <c r="AL182" s="26"/>
      <c r="AM182" s="26"/>
      <c r="AN182" s="26"/>
      <c r="AO182" s="26"/>
      <c r="AP182" s="26"/>
      <c r="AQ182" s="26"/>
      <c r="AR182" s="26"/>
      <c r="AS182" s="26"/>
      <c r="AT182" s="26"/>
      <c r="AU182" s="26"/>
      <c r="AV182" s="26"/>
      <c r="AW182" s="26"/>
      <c r="AX182" s="26"/>
      <c r="AY182" s="1"/>
      <c r="AZ182" s="26"/>
      <c r="BA182" s="26"/>
      <c r="BB182" s="26"/>
      <c r="BC182" s="26"/>
      <c r="BD182" s="26"/>
      <c r="BE182" s="26"/>
      <c r="BF182" s="26"/>
      <c r="BG182" s="26"/>
      <c r="BH182" s="26"/>
      <c r="BI182" s="26"/>
      <c r="BJ182" s="26"/>
      <c r="BK182" s="26"/>
      <c r="BL182" s="26"/>
      <c r="BM182" s="26"/>
      <c r="BN182" s="26"/>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96"/>
      <c r="CP182" s="14"/>
      <c r="CQ182" s="14"/>
      <c r="CR182" s="14"/>
      <c r="CS182" s="14"/>
      <c r="CT182" s="1"/>
      <c r="CU182" s="14"/>
      <c r="CV182" s="1"/>
      <c r="CW182" s="1"/>
      <c r="CX182" s="14"/>
      <c r="CY182" s="1"/>
      <c r="CZ182" s="1"/>
      <c r="DA182" s="1"/>
      <c r="DB182" s="1"/>
      <c r="DC182" s="1"/>
      <c r="DD182" s="1"/>
      <c r="DE182" s="1"/>
      <c r="DF182" s="1"/>
      <c r="DG182" s="1"/>
      <c r="DH182" s="1"/>
      <c r="DI182" s="1"/>
      <c r="DJ182" s="1"/>
      <c r="DK182" s="1"/>
      <c r="DL182" s="1"/>
      <c r="DM182" s="1"/>
      <c r="DN182" s="1"/>
      <c r="DO182" s="1"/>
      <c r="DP182" s="1"/>
      <c r="DQ182" s="1"/>
      <c r="DR182" s="1"/>
      <c r="DS182" s="1"/>
      <c r="DT182" s="1"/>
      <c r="DU182" s="14"/>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29"/>
    </row>
    <row r="183" spans="1:160" x14ac:dyDescent="0.25">
      <c r="A183" s="5"/>
      <c r="B183" s="1"/>
      <c r="C183" s="98"/>
      <c r="D183" s="98"/>
      <c r="E183" s="1"/>
      <c r="F183" s="22"/>
      <c r="G183" s="22"/>
      <c r="H183" s="22"/>
      <c r="I183" s="22"/>
      <c r="J183" s="22"/>
      <c r="K183" s="22"/>
      <c r="L183" s="22"/>
      <c r="M183" s="22"/>
      <c r="N183" s="22"/>
      <c r="O183" s="22"/>
      <c r="P183" s="22"/>
      <c r="Q183" s="22"/>
      <c r="R183" s="1"/>
      <c r="S183" s="1"/>
      <c r="T183" s="8"/>
      <c r="U183" s="1"/>
      <c r="V183" s="1"/>
      <c r="W183" s="1"/>
      <c r="X183" s="1"/>
      <c r="Y183" s="1"/>
      <c r="Z183" s="1"/>
      <c r="AA183" s="1"/>
      <c r="AC183" s="1"/>
      <c r="AD183" s="1"/>
      <c r="AE183" s="1"/>
      <c r="AF183" s="1"/>
      <c r="AG183" s="1"/>
      <c r="AH183" s="26"/>
      <c r="AI183" s="26"/>
      <c r="AJ183" s="26"/>
      <c r="AK183" s="26"/>
      <c r="AL183" s="26"/>
      <c r="AM183" s="26"/>
      <c r="AN183" s="26"/>
      <c r="AO183" s="26"/>
      <c r="AP183" s="26"/>
      <c r="AQ183" s="26"/>
      <c r="AR183" s="26"/>
      <c r="AS183" s="26"/>
      <c r="AT183" s="26"/>
      <c r="AU183" s="26"/>
      <c r="AV183" s="26"/>
      <c r="AW183" s="26"/>
      <c r="AX183" s="26"/>
      <c r="AY183" s="1"/>
      <c r="AZ183" s="26"/>
      <c r="BA183" s="26"/>
      <c r="BB183" s="26"/>
      <c r="BC183" s="26"/>
      <c r="BD183" s="26"/>
      <c r="BE183" s="26"/>
      <c r="BF183" s="26"/>
      <c r="BG183" s="26"/>
      <c r="BH183" s="26"/>
      <c r="BI183" s="26"/>
      <c r="BJ183" s="26"/>
      <c r="BK183" s="26"/>
      <c r="BL183" s="26"/>
      <c r="BM183" s="26"/>
      <c r="BN183" s="26"/>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96"/>
      <c r="CP183" s="14"/>
      <c r="CQ183" s="14"/>
      <c r="CR183" s="14"/>
      <c r="CS183" s="14"/>
      <c r="CT183" s="1"/>
      <c r="CU183" s="14"/>
      <c r="CV183" s="1"/>
      <c r="CW183" s="1"/>
      <c r="CX183" s="14"/>
      <c r="CY183" s="1"/>
      <c r="CZ183" s="1"/>
      <c r="DA183" s="1"/>
      <c r="DB183" s="1"/>
      <c r="DC183" s="1"/>
      <c r="DD183" s="1"/>
      <c r="DE183" s="1"/>
      <c r="DF183" s="1"/>
      <c r="DG183" s="1"/>
      <c r="DH183" s="1"/>
      <c r="DI183" s="1"/>
      <c r="DJ183" s="1"/>
      <c r="DK183" s="1"/>
      <c r="DL183" s="1"/>
      <c r="DM183" s="1"/>
      <c r="DN183" s="1"/>
      <c r="DO183" s="1"/>
      <c r="DP183" s="1"/>
      <c r="DQ183" s="1"/>
      <c r="DR183" s="1"/>
      <c r="DS183" s="1"/>
      <c r="DT183" s="1"/>
      <c r="DU183" s="14"/>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29"/>
    </row>
    <row r="184" spans="1:160" x14ac:dyDescent="0.25">
      <c r="A184" s="5"/>
      <c r="B184" s="1"/>
      <c r="C184" s="98"/>
      <c r="D184" s="98"/>
      <c r="E184" s="1"/>
      <c r="F184" s="22"/>
      <c r="G184" s="22"/>
      <c r="H184" s="22"/>
      <c r="I184" s="22"/>
      <c r="J184" s="22"/>
      <c r="K184" s="22"/>
      <c r="L184" s="22"/>
      <c r="M184" s="22"/>
      <c r="N184" s="22"/>
      <c r="O184" s="22"/>
      <c r="P184" s="22"/>
      <c r="Q184" s="22"/>
      <c r="R184" s="1"/>
      <c r="S184" s="1"/>
      <c r="T184" s="8"/>
      <c r="U184" s="1"/>
      <c r="V184" s="1"/>
      <c r="W184" s="1"/>
      <c r="X184" s="1"/>
      <c r="Y184" s="1"/>
      <c r="Z184" s="1"/>
      <c r="AA184" s="1"/>
      <c r="AC184" s="1"/>
      <c r="AD184" s="1"/>
      <c r="AE184" s="1"/>
      <c r="AF184" s="1"/>
      <c r="AG184" s="1"/>
      <c r="AH184" s="26"/>
      <c r="AI184" s="26"/>
      <c r="AJ184" s="26"/>
      <c r="AK184" s="26"/>
      <c r="AL184" s="26"/>
      <c r="AM184" s="26"/>
      <c r="AN184" s="26"/>
      <c r="AO184" s="26"/>
      <c r="AP184" s="26"/>
      <c r="AQ184" s="26"/>
      <c r="AR184" s="26"/>
      <c r="AS184" s="26"/>
      <c r="AT184" s="26"/>
      <c r="AU184" s="26"/>
      <c r="AV184" s="26"/>
      <c r="AW184" s="26"/>
      <c r="AX184" s="26"/>
      <c r="AY184" s="1"/>
      <c r="AZ184" s="26"/>
      <c r="BA184" s="26"/>
      <c r="BB184" s="26"/>
      <c r="BC184" s="26"/>
      <c r="BD184" s="26"/>
      <c r="BE184" s="26"/>
      <c r="BF184" s="26"/>
      <c r="BG184" s="26"/>
      <c r="BH184" s="26"/>
      <c r="BI184" s="26"/>
      <c r="BJ184" s="26"/>
      <c r="BK184" s="26"/>
      <c r="BL184" s="26"/>
      <c r="BM184" s="26"/>
      <c r="BN184" s="26"/>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96"/>
      <c r="CP184" s="14"/>
      <c r="CQ184" s="14"/>
      <c r="CR184" s="14"/>
      <c r="CS184" s="14"/>
      <c r="CT184" s="1"/>
      <c r="CU184" s="14"/>
      <c r="CV184" s="1"/>
      <c r="CW184" s="1"/>
      <c r="CX184" s="14"/>
      <c r="CY184" s="1"/>
      <c r="CZ184" s="1"/>
      <c r="DA184" s="1"/>
      <c r="DB184" s="1"/>
      <c r="DC184" s="1"/>
      <c r="DD184" s="1"/>
      <c r="DE184" s="1"/>
      <c r="DF184" s="1"/>
      <c r="DG184" s="1"/>
      <c r="DH184" s="1"/>
      <c r="DI184" s="1"/>
      <c r="DJ184" s="1"/>
      <c r="DK184" s="1"/>
      <c r="DL184" s="1"/>
      <c r="DM184" s="1"/>
      <c r="DN184" s="1"/>
      <c r="DO184" s="1"/>
      <c r="DP184" s="1"/>
      <c r="DQ184" s="1"/>
      <c r="DR184" s="1"/>
      <c r="DS184" s="1"/>
      <c r="DT184" s="1"/>
      <c r="DU184" s="14"/>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29"/>
    </row>
    <row r="185" spans="1:160" x14ac:dyDescent="0.25">
      <c r="A185" s="5"/>
      <c r="B185" s="1"/>
      <c r="C185" s="98"/>
      <c r="D185" s="98"/>
      <c r="E185" s="1"/>
      <c r="F185" s="22"/>
      <c r="G185" s="22"/>
      <c r="H185" s="22"/>
      <c r="I185" s="22"/>
      <c r="J185" s="22"/>
      <c r="K185" s="22"/>
      <c r="L185" s="22"/>
      <c r="M185" s="22"/>
      <c r="N185" s="22"/>
      <c r="O185" s="22"/>
      <c r="P185" s="22"/>
      <c r="Q185" s="22"/>
      <c r="R185" s="1"/>
      <c r="S185" s="1"/>
      <c r="T185" s="8"/>
      <c r="U185" s="1"/>
      <c r="V185" s="1"/>
      <c r="W185" s="1"/>
      <c r="X185" s="1"/>
      <c r="Y185" s="1"/>
      <c r="Z185" s="1"/>
      <c r="AA185" s="1"/>
      <c r="AC185" s="1"/>
      <c r="AD185" s="1"/>
      <c r="AE185" s="1"/>
      <c r="AF185" s="1"/>
      <c r="AG185" s="1"/>
      <c r="AH185" s="26"/>
      <c r="AI185" s="26"/>
      <c r="AJ185" s="26"/>
      <c r="AK185" s="26"/>
      <c r="AL185" s="26"/>
      <c r="AM185" s="26"/>
      <c r="AN185" s="26"/>
      <c r="AO185" s="26"/>
      <c r="AP185" s="26"/>
      <c r="AQ185" s="26"/>
      <c r="AR185" s="26"/>
      <c r="AS185" s="26"/>
      <c r="AT185" s="26"/>
      <c r="AU185" s="26"/>
      <c r="AV185" s="26"/>
      <c r="AW185" s="26"/>
      <c r="AX185" s="26"/>
      <c r="AY185" s="1"/>
      <c r="AZ185" s="26"/>
      <c r="BA185" s="26"/>
      <c r="BB185" s="26"/>
      <c r="BC185" s="26"/>
      <c r="BD185" s="26"/>
      <c r="BE185" s="26"/>
      <c r="BF185" s="26"/>
      <c r="BG185" s="26"/>
      <c r="BH185" s="26"/>
      <c r="BI185" s="26"/>
      <c r="BJ185" s="26"/>
      <c r="BK185" s="26"/>
      <c r="BL185" s="26"/>
      <c r="BM185" s="26"/>
      <c r="BN185" s="26"/>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96"/>
      <c r="CP185" s="14"/>
      <c r="CQ185" s="14"/>
      <c r="CR185" s="14"/>
      <c r="CS185" s="14"/>
      <c r="CT185" s="1"/>
      <c r="CU185" s="14"/>
      <c r="CV185" s="1"/>
      <c r="CW185" s="1"/>
      <c r="CX185" s="14"/>
      <c r="CY185" s="1"/>
      <c r="CZ185" s="1"/>
      <c r="DA185" s="1"/>
      <c r="DB185" s="1"/>
      <c r="DC185" s="1"/>
      <c r="DD185" s="1"/>
      <c r="DE185" s="1"/>
      <c r="DF185" s="1"/>
      <c r="DG185" s="1"/>
      <c r="DH185" s="1"/>
      <c r="DI185" s="1"/>
      <c r="DJ185" s="1"/>
      <c r="DK185" s="1"/>
      <c r="DL185" s="1"/>
      <c r="DM185" s="1"/>
      <c r="DN185" s="1"/>
      <c r="DO185" s="1"/>
      <c r="DP185" s="1"/>
      <c r="DQ185" s="1"/>
      <c r="DR185" s="1"/>
      <c r="DS185" s="1"/>
      <c r="DT185" s="1"/>
      <c r="DU185" s="14"/>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29"/>
    </row>
    <row r="186" spans="1:160" x14ac:dyDescent="0.25">
      <c r="A186" s="5"/>
      <c r="B186" s="1"/>
      <c r="C186" s="98"/>
      <c r="D186" s="98"/>
      <c r="E186" s="1"/>
      <c r="F186" s="22"/>
      <c r="G186" s="22"/>
      <c r="H186" s="22"/>
      <c r="I186" s="22"/>
      <c r="J186" s="22"/>
      <c r="K186" s="22"/>
      <c r="L186" s="22"/>
      <c r="M186" s="22"/>
      <c r="N186" s="22"/>
      <c r="O186" s="22"/>
      <c r="P186" s="22"/>
      <c r="Q186" s="22"/>
      <c r="R186" s="1"/>
      <c r="S186" s="1"/>
      <c r="T186" s="8"/>
      <c r="U186" s="1"/>
      <c r="V186" s="1"/>
      <c r="W186" s="1"/>
      <c r="X186" s="1"/>
      <c r="Y186" s="1"/>
      <c r="Z186" s="1"/>
      <c r="AA186" s="1"/>
      <c r="AC186" s="1"/>
      <c r="AD186" s="1"/>
      <c r="AE186" s="1"/>
      <c r="AF186" s="1"/>
      <c r="AG186" s="1"/>
      <c r="AH186" s="26"/>
      <c r="AI186" s="26"/>
      <c r="AJ186" s="26"/>
      <c r="AK186" s="26"/>
      <c r="AL186" s="26"/>
      <c r="AM186" s="26"/>
      <c r="AN186" s="26"/>
      <c r="AO186" s="26"/>
      <c r="AP186" s="26"/>
      <c r="AQ186" s="26"/>
      <c r="AR186" s="26"/>
      <c r="AS186" s="26"/>
      <c r="AT186" s="26"/>
      <c r="AU186" s="26"/>
      <c r="AV186" s="26"/>
      <c r="AW186" s="26"/>
      <c r="AX186" s="26"/>
      <c r="AY186" s="1"/>
      <c r="AZ186" s="26"/>
      <c r="BA186" s="26"/>
      <c r="BB186" s="26"/>
      <c r="BC186" s="26"/>
      <c r="BD186" s="26"/>
      <c r="BE186" s="26"/>
      <c r="BF186" s="26"/>
      <c r="BG186" s="26"/>
      <c r="BH186" s="26"/>
      <c r="BI186" s="26"/>
      <c r="BJ186" s="26"/>
      <c r="BK186" s="26"/>
      <c r="BL186" s="26"/>
      <c r="BM186" s="26"/>
      <c r="BN186" s="26"/>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96"/>
      <c r="CP186" s="14"/>
      <c r="CQ186" s="14"/>
      <c r="CR186" s="14"/>
      <c r="CS186" s="14"/>
      <c r="CT186" s="1"/>
      <c r="CU186" s="14"/>
      <c r="CV186" s="1"/>
      <c r="CW186" s="1"/>
      <c r="CX186" s="14"/>
      <c r="CY186" s="1"/>
      <c r="CZ186" s="1"/>
      <c r="DA186" s="1"/>
      <c r="DB186" s="1"/>
      <c r="DC186" s="1"/>
      <c r="DD186" s="1"/>
      <c r="DE186" s="1"/>
      <c r="DF186" s="1"/>
      <c r="DG186" s="1"/>
      <c r="DH186" s="1"/>
      <c r="DI186" s="1"/>
      <c r="DJ186" s="1"/>
      <c r="DK186" s="1"/>
      <c r="DL186" s="1"/>
      <c r="DM186" s="1"/>
      <c r="DN186" s="1"/>
      <c r="DO186" s="1"/>
      <c r="DP186" s="1"/>
      <c r="DQ186" s="1"/>
      <c r="DR186" s="1"/>
      <c r="DS186" s="1"/>
      <c r="DT186" s="1"/>
      <c r="DU186" s="14"/>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29"/>
    </row>
    <row r="187" spans="1:160" x14ac:dyDescent="0.25">
      <c r="A187" s="5"/>
      <c r="B187" s="1"/>
      <c r="C187" s="98"/>
      <c r="D187" s="98"/>
      <c r="E187" s="1"/>
      <c r="F187" s="22"/>
      <c r="G187" s="22"/>
      <c r="H187" s="22"/>
      <c r="I187" s="22"/>
      <c r="J187" s="22"/>
      <c r="K187" s="22"/>
      <c r="L187" s="22"/>
      <c r="M187" s="22"/>
      <c r="N187" s="22"/>
      <c r="O187" s="22"/>
      <c r="P187" s="22"/>
      <c r="Q187" s="22"/>
      <c r="R187" s="1"/>
      <c r="S187" s="1"/>
      <c r="T187" s="8"/>
      <c r="U187" s="1"/>
      <c r="V187" s="1"/>
      <c r="W187" s="1"/>
      <c r="X187" s="1"/>
      <c r="Y187" s="1"/>
      <c r="Z187" s="1"/>
      <c r="AA187" s="1"/>
      <c r="AC187" s="1"/>
      <c r="AD187" s="1"/>
      <c r="AE187" s="1"/>
      <c r="AF187" s="1"/>
      <c r="AG187" s="1"/>
      <c r="AH187" s="26"/>
      <c r="AI187" s="26"/>
      <c r="AJ187" s="26"/>
      <c r="AK187" s="26"/>
      <c r="AL187" s="26"/>
      <c r="AM187" s="26"/>
      <c r="AN187" s="26"/>
      <c r="AO187" s="26"/>
      <c r="AP187" s="26"/>
      <c r="AQ187" s="26"/>
      <c r="AR187" s="26"/>
      <c r="AS187" s="26"/>
      <c r="AT187" s="26"/>
      <c r="AU187" s="26"/>
      <c r="AV187" s="26"/>
      <c r="AW187" s="26"/>
      <c r="AX187" s="26"/>
      <c r="AY187" s="1"/>
      <c r="AZ187" s="26"/>
      <c r="BA187" s="26"/>
      <c r="BB187" s="26"/>
      <c r="BC187" s="26"/>
      <c r="BD187" s="26"/>
      <c r="BE187" s="26"/>
      <c r="BF187" s="26"/>
      <c r="BG187" s="26"/>
      <c r="BH187" s="26"/>
      <c r="BI187" s="26"/>
      <c r="BJ187" s="26"/>
      <c r="BK187" s="26"/>
      <c r="BL187" s="26"/>
      <c r="BM187" s="26"/>
      <c r="BN187" s="26"/>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96"/>
      <c r="CP187" s="14"/>
      <c r="CQ187" s="14"/>
      <c r="CR187" s="14"/>
      <c r="CS187" s="14"/>
      <c r="CT187" s="1"/>
      <c r="CU187" s="14"/>
      <c r="CV187" s="1"/>
      <c r="CW187" s="1"/>
      <c r="CX187" s="14"/>
      <c r="CY187" s="1"/>
      <c r="CZ187" s="1"/>
      <c r="DA187" s="1"/>
      <c r="DB187" s="1"/>
      <c r="DC187" s="1"/>
      <c r="DD187" s="1"/>
      <c r="DE187" s="1"/>
      <c r="DF187" s="1"/>
      <c r="DG187" s="1"/>
      <c r="DH187" s="1"/>
      <c r="DI187" s="1"/>
      <c r="DJ187" s="1"/>
      <c r="DK187" s="1"/>
      <c r="DL187" s="1"/>
      <c r="DM187" s="1"/>
      <c r="DN187" s="1"/>
      <c r="DO187" s="1"/>
      <c r="DP187" s="1"/>
      <c r="DQ187" s="1"/>
      <c r="DR187" s="1"/>
      <c r="DS187" s="1"/>
      <c r="DT187" s="1"/>
      <c r="DU187" s="14"/>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29"/>
    </row>
    <row r="188" spans="1:160" x14ac:dyDescent="0.25">
      <c r="A188" s="5"/>
      <c r="B188" s="1"/>
      <c r="C188" s="98"/>
      <c r="D188" s="98"/>
      <c r="E188" s="1"/>
      <c r="F188" s="22"/>
      <c r="G188" s="22"/>
      <c r="H188" s="22"/>
      <c r="I188" s="22"/>
      <c r="J188" s="22"/>
      <c r="K188" s="22"/>
      <c r="L188" s="22"/>
      <c r="M188" s="22"/>
      <c r="N188" s="22"/>
      <c r="O188" s="22"/>
      <c r="P188" s="22"/>
      <c r="Q188" s="22"/>
      <c r="R188" s="1"/>
      <c r="S188" s="1"/>
      <c r="T188" s="8"/>
      <c r="U188" s="1"/>
      <c r="V188" s="1"/>
      <c r="W188" s="1"/>
      <c r="X188" s="1"/>
      <c r="Y188" s="1"/>
      <c r="Z188" s="1"/>
      <c r="AA188" s="1"/>
      <c r="AC188" s="1"/>
      <c r="AD188" s="1"/>
      <c r="AE188" s="1"/>
      <c r="AF188" s="1"/>
      <c r="AG188" s="1"/>
      <c r="AH188" s="26"/>
      <c r="AI188" s="26"/>
      <c r="AJ188" s="26"/>
      <c r="AK188" s="26"/>
      <c r="AL188" s="26"/>
      <c r="AM188" s="26"/>
      <c r="AN188" s="26"/>
      <c r="AO188" s="26"/>
      <c r="AP188" s="26"/>
      <c r="AQ188" s="26"/>
      <c r="AR188" s="26"/>
      <c r="AS188" s="26"/>
      <c r="AT188" s="26"/>
      <c r="AU188" s="26"/>
      <c r="AV188" s="26"/>
      <c r="AW188" s="26"/>
      <c r="AX188" s="26"/>
      <c r="AY188" s="1"/>
      <c r="AZ188" s="26"/>
      <c r="BA188" s="26"/>
      <c r="BB188" s="26"/>
      <c r="BC188" s="26"/>
      <c r="BD188" s="26"/>
      <c r="BE188" s="26"/>
      <c r="BF188" s="26"/>
      <c r="BG188" s="26"/>
      <c r="BH188" s="26"/>
      <c r="BI188" s="26"/>
      <c r="BJ188" s="26"/>
      <c r="BK188" s="26"/>
      <c r="BL188" s="26"/>
      <c r="BM188" s="26"/>
      <c r="BN188" s="26"/>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96"/>
      <c r="CP188" s="14"/>
      <c r="CQ188" s="14"/>
      <c r="CR188" s="14"/>
      <c r="CS188" s="14"/>
      <c r="CT188" s="1"/>
      <c r="CU188" s="14"/>
      <c r="CV188" s="1"/>
      <c r="CW188" s="1"/>
      <c r="CX188" s="14"/>
      <c r="CY188" s="1"/>
      <c r="CZ188" s="1"/>
      <c r="DA188" s="1"/>
      <c r="DB188" s="1"/>
      <c r="DC188" s="1"/>
      <c r="DD188" s="1"/>
      <c r="DE188" s="1"/>
      <c r="DF188" s="1"/>
      <c r="DG188" s="1"/>
      <c r="DH188" s="1"/>
      <c r="DI188" s="1"/>
      <c r="DJ188" s="1"/>
      <c r="DK188" s="1"/>
      <c r="DL188" s="1"/>
      <c r="DM188" s="1"/>
      <c r="DN188" s="1"/>
      <c r="DO188" s="1"/>
      <c r="DP188" s="1"/>
      <c r="DQ188" s="1"/>
      <c r="DR188" s="1"/>
      <c r="DS188" s="1"/>
      <c r="DT188" s="1"/>
      <c r="DU188" s="14"/>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29"/>
    </row>
    <row r="189" spans="1:160" x14ac:dyDescent="0.25">
      <c r="A189" s="5"/>
      <c r="B189" s="1"/>
      <c r="C189" s="98"/>
      <c r="D189" s="98"/>
      <c r="E189" s="1"/>
      <c r="F189" s="22"/>
      <c r="G189" s="22"/>
      <c r="H189" s="22"/>
      <c r="I189" s="22"/>
      <c r="J189" s="22"/>
      <c r="K189" s="22"/>
      <c r="L189" s="22"/>
      <c r="M189" s="22"/>
      <c r="N189" s="22"/>
      <c r="O189" s="22"/>
      <c r="P189" s="22"/>
      <c r="Q189" s="22"/>
      <c r="R189" s="1"/>
      <c r="S189" s="1"/>
      <c r="T189" s="8"/>
      <c r="U189" s="1"/>
      <c r="V189" s="1"/>
      <c r="W189" s="1"/>
      <c r="X189" s="1"/>
      <c r="Y189" s="1"/>
      <c r="Z189" s="1"/>
      <c r="AA189" s="1"/>
      <c r="AC189" s="1"/>
      <c r="AD189" s="1"/>
      <c r="AE189" s="1"/>
      <c r="AF189" s="1"/>
      <c r="AG189" s="1"/>
      <c r="AH189" s="26"/>
      <c r="AI189" s="26"/>
      <c r="AJ189" s="26"/>
      <c r="AK189" s="26"/>
      <c r="AL189" s="26"/>
      <c r="AM189" s="26"/>
      <c r="AN189" s="26"/>
      <c r="AO189" s="26"/>
      <c r="AP189" s="26"/>
      <c r="AQ189" s="26"/>
      <c r="AR189" s="26"/>
      <c r="AS189" s="26"/>
      <c r="AT189" s="26"/>
      <c r="AU189" s="26"/>
      <c r="AV189" s="26"/>
      <c r="AW189" s="26"/>
      <c r="AX189" s="26"/>
      <c r="AY189" s="1"/>
      <c r="AZ189" s="26"/>
      <c r="BA189" s="26"/>
      <c r="BB189" s="26"/>
      <c r="BC189" s="26"/>
      <c r="BD189" s="26"/>
      <c r="BE189" s="26"/>
      <c r="BF189" s="26"/>
      <c r="BG189" s="26"/>
      <c r="BH189" s="26"/>
      <c r="BI189" s="26"/>
      <c r="BJ189" s="26"/>
      <c r="BK189" s="26"/>
      <c r="BL189" s="26"/>
      <c r="BM189" s="26"/>
      <c r="BN189" s="26"/>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96"/>
      <c r="CP189" s="14"/>
      <c r="CQ189" s="14"/>
      <c r="CR189" s="14"/>
      <c r="CS189" s="14"/>
      <c r="CT189" s="1"/>
      <c r="CU189" s="14"/>
      <c r="CV189" s="1"/>
      <c r="CW189" s="1"/>
      <c r="CX189" s="14"/>
      <c r="CY189" s="1"/>
      <c r="CZ189" s="1"/>
      <c r="DA189" s="1"/>
      <c r="DB189" s="1"/>
      <c r="DC189" s="1"/>
      <c r="DD189" s="1"/>
      <c r="DE189" s="1"/>
      <c r="DF189" s="1"/>
      <c r="DG189" s="1"/>
      <c r="DH189" s="1"/>
      <c r="DI189" s="1"/>
      <c r="DJ189" s="1"/>
      <c r="DK189" s="1"/>
      <c r="DL189" s="1"/>
      <c r="DM189" s="1"/>
      <c r="DN189" s="1"/>
      <c r="DO189" s="1"/>
      <c r="DP189" s="1"/>
      <c r="DQ189" s="1"/>
      <c r="DR189" s="1"/>
      <c r="DS189" s="1"/>
      <c r="DT189" s="1"/>
      <c r="DU189" s="14"/>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29"/>
    </row>
    <row r="190" spans="1:160" x14ac:dyDescent="0.25">
      <c r="A190" s="5"/>
      <c r="B190" s="1"/>
      <c r="C190" s="98"/>
      <c r="D190" s="98"/>
      <c r="E190" s="1"/>
      <c r="F190" s="22"/>
      <c r="G190" s="22"/>
      <c r="H190" s="22"/>
      <c r="I190" s="22"/>
      <c r="J190" s="22"/>
      <c r="K190" s="22"/>
      <c r="L190" s="22"/>
      <c r="M190" s="22"/>
      <c r="N190" s="22"/>
      <c r="O190" s="22"/>
      <c r="P190" s="22"/>
      <c r="Q190" s="22"/>
      <c r="R190" s="1"/>
      <c r="S190" s="1"/>
      <c r="T190" s="8"/>
      <c r="U190" s="1"/>
      <c r="V190" s="1"/>
      <c r="W190" s="1"/>
      <c r="X190" s="1"/>
      <c r="Y190" s="1"/>
      <c r="Z190" s="1"/>
      <c r="AA190" s="1"/>
      <c r="AC190" s="1"/>
      <c r="AD190" s="1"/>
      <c r="AE190" s="1"/>
      <c r="AF190" s="1"/>
      <c r="AG190" s="1"/>
      <c r="AH190" s="26"/>
      <c r="AI190" s="26"/>
      <c r="AJ190" s="26"/>
      <c r="AK190" s="26"/>
      <c r="AL190" s="26"/>
      <c r="AM190" s="26"/>
      <c r="AN190" s="26"/>
      <c r="AO190" s="26"/>
      <c r="AP190" s="26"/>
      <c r="AQ190" s="26"/>
      <c r="AR190" s="26"/>
      <c r="AS190" s="26"/>
      <c r="AT190" s="26"/>
      <c r="AU190" s="26"/>
      <c r="AV190" s="26"/>
      <c r="AW190" s="26"/>
      <c r="AX190" s="26"/>
      <c r="AY190" s="1"/>
      <c r="AZ190" s="26"/>
      <c r="BA190" s="26"/>
      <c r="BB190" s="26"/>
      <c r="BC190" s="26"/>
      <c r="BD190" s="26"/>
      <c r="BE190" s="26"/>
      <c r="BF190" s="26"/>
      <c r="BG190" s="26"/>
      <c r="BH190" s="26"/>
      <c r="BI190" s="26"/>
      <c r="BJ190" s="26"/>
      <c r="BK190" s="26"/>
      <c r="BL190" s="26"/>
      <c r="BM190" s="26"/>
      <c r="BN190" s="26"/>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96"/>
      <c r="CP190" s="14"/>
      <c r="CQ190" s="14"/>
      <c r="CR190" s="14"/>
      <c r="CS190" s="14"/>
      <c r="CT190" s="1"/>
      <c r="CU190" s="14"/>
      <c r="CV190" s="1"/>
      <c r="CW190" s="1"/>
      <c r="CX190" s="14"/>
      <c r="CY190" s="1"/>
      <c r="CZ190" s="1"/>
      <c r="DA190" s="1"/>
      <c r="DB190" s="1"/>
      <c r="DC190" s="1"/>
      <c r="DD190" s="1"/>
      <c r="DE190" s="1"/>
      <c r="DF190" s="1"/>
      <c r="DG190" s="1"/>
      <c r="DH190" s="1"/>
      <c r="DI190" s="1"/>
      <c r="DJ190" s="1"/>
      <c r="DK190" s="1"/>
      <c r="DL190" s="1"/>
      <c r="DM190" s="1"/>
      <c r="DN190" s="1"/>
      <c r="DO190" s="1"/>
      <c r="DP190" s="1"/>
      <c r="DQ190" s="1"/>
      <c r="DR190" s="1"/>
      <c r="DS190" s="1"/>
      <c r="DT190" s="1"/>
      <c r="DU190" s="14"/>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29"/>
    </row>
    <row r="191" spans="1:160" x14ac:dyDescent="0.25">
      <c r="A191" s="5"/>
      <c r="B191" s="1"/>
      <c r="C191" s="98"/>
      <c r="D191" s="98"/>
      <c r="E191" s="1"/>
      <c r="F191" s="22"/>
      <c r="G191" s="22"/>
      <c r="H191" s="22"/>
      <c r="I191" s="22"/>
      <c r="J191" s="22"/>
      <c r="K191" s="22"/>
      <c r="L191" s="22"/>
      <c r="M191" s="22"/>
      <c r="N191" s="22"/>
      <c r="O191" s="22"/>
      <c r="P191" s="22"/>
      <c r="Q191" s="22"/>
      <c r="R191" s="1"/>
      <c r="S191" s="1"/>
      <c r="T191" s="8"/>
      <c r="U191" s="1"/>
      <c r="V191" s="1"/>
      <c r="W191" s="1"/>
      <c r="X191" s="1"/>
      <c r="Y191" s="1"/>
      <c r="Z191" s="1"/>
      <c r="AA191" s="1"/>
      <c r="AC191" s="1"/>
      <c r="AD191" s="1"/>
      <c r="AE191" s="1"/>
      <c r="AF191" s="1"/>
      <c r="AG191" s="1"/>
      <c r="AH191" s="26"/>
      <c r="AI191" s="26"/>
      <c r="AJ191" s="26"/>
      <c r="AK191" s="26"/>
      <c r="AL191" s="26"/>
      <c r="AM191" s="26"/>
      <c r="AN191" s="26"/>
      <c r="AO191" s="26"/>
      <c r="AP191" s="26"/>
      <c r="AQ191" s="26"/>
      <c r="AR191" s="26"/>
      <c r="AS191" s="26"/>
      <c r="AT191" s="26"/>
      <c r="AU191" s="26"/>
      <c r="AV191" s="26"/>
      <c r="AW191" s="26"/>
      <c r="AX191" s="26"/>
      <c r="AY191" s="1"/>
      <c r="AZ191" s="26"/>
      <c r="BA191" s="26"/>
      <c r="BB191" s="26"/>
      <c r="BC191" s="26"/>
      <c r="BD191" s="26"/>
      <c r="BE191" s="26"/>
      <c r="BF191" s="26"/>
      <c r="BG191" s="26"/>
      <c r="BH191" s="26"/>
      <c r="BI191" s="26"/>
      <c r="BJ191" s="26"/>
      <c r="BK191" s="26"/>
      <c r="BL191" s="26"/>
      <c r="BM191" s="26"/>
      <c r="BN191" s="26"/>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96"/>
      <c r="CP191" s="14"/>
      <c r="CQ191" s="14"/>
      <c r="CR191" s="14"/>
      <c r="CS191" s="14"/>
      <c r="CT191" s="1"/>
      <c r="CU191" s="14"/>
      <c r="CV191" s="1"/>
      <c r="CW191" s="1"/>
      <c r="CX191" s="14"/>
      <c r="CY191" s="1"/>
      <c r="CZ191" s="1"/>
      <c r="DA191" s="1"/>
      <c r="DB191" s="1"/>
      <c r="DC191" s="1"/>
      <c r="DD191" s="1"/>
      <c r="DE191" s="1"/>
      <c r="DF191" s="1"/>
      <c r="DG191" s="1"/>
      <c r="DH191" s="1"/>
      <c r="DI191" s="1"/>
      <c r="DJ191" s="1"/>
      <c r="DK191" s="1"/>
      <c r="DL191" s="1"/>
      <c r="DM191" s="1"/>
      <c r="DN191" s="1"/>
      <c r="DO191" s="1"/>
      <c r="DP191" s="1"/>
      <c r="DQ191" s="1"/>
      <c r="DR191" s="1"/>
      <c r="DS191" s="1"/>
      <c r="DT191" s="1"/>
      <c r="DU191" s="14"/>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29"/>
    </row>
    <row r="192" spans="1:160" x14ac:dyDescent="0.25">
      <c r="A192" s="5"/>
      <c r="B192" s="1"/>
      <c r="C192" s="98"/>
      <c r="D192" s="98"/>
      <c r="E192" s="1"/>
      <c r="F192" s="22"/>
      <c r="G192" s="22"/>
      <c r="H192" s="22"/>
      <c r="I192" s="22"/>
      <c r="J192" s="22"/>
      <c r="K192" s="22"/>
      <c r="L192" s="22"/>
      <c r="M192" s="22"/>
      <c r="N192" s="22"/>
      <c r="O192" s="22"/>
      <c r="P192" s="22"/>
      <c r="Q192" s="22"/>
      <c r="R192" s="1"/>
      <c r="S192" s="1"/>
      <c r="T192" s="8"/>
      <c r="U192" s="1"/>
      <c r="V192" s="1"/>
      <c r="W192" s="1"/>
      <c r="X192" s="1"/>
      <c r="Y192" s="1"/>
      <c r="Z192" s="1"/>
      <c r="AA192" s="1"/>
      <c r="AC192" s="1"/>
      <c r="AD192" s="1"/>
      <c r="AE192" s="1"/>
      <c r="AF192" s="1"/>
      <c r="AG192" s="1"/>
      <c r="AH192" s="26"/>
      <c r="AI192" s="26"/>
      <c r="AJ192" s="26"/>
      <c r="AK192" s="26"/>
      <c r="AL192" s="26"/>
      <c r="AM192" s="26"/>
      <c r="AN192" s="26"/>
      <c r="AO192" s="26"/>
      <c r="AP192" s="26"/>
      <c r="AQ192" s="26"/>
      <c r="AR192" s="26"/>
      <c r="AS192" s="26"/>
      <c r="AT192" s="26"/>
      <c r="AU192" s="26"/>
      <c r="AV192" s="26"/>
      <c r="AW192" s="26"/>
      <c r="AX192" s="26"/>
      <c r="AY192" s="1"/>
      <c r="AZ192" s="26"/>
      <c r="BA192" s="26"/>
      <c r="BB192" s="26"/>
      <c r="BC192" s="26"/>
      <c r="BD192" s="26"/>
      <c r="BE192" s="26"/>
      <c r="BF192" s="26"/>
      <c r="BG192" s="26"/>
      <c r="BH192" s="26"/>
      <c r="BI192" s="26"/>
      <c r="BJ192" s="26"/>
      <c r="BK192" s="26"/>
      <c r="BL192" s="26"/>
      <c r="BM192" s="26"/>
      <c r="BN192" s="26"/>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96"/>
      <c r="CP192" s="14"/>
      <c r="CQ192" s="14"/>
      <c r="CR192" s="14"/>
      <c r="CS192" s="14"/>
      <c r="CT192" s="1"/>
      <c r="CU192" s="14"/>
      <c r="CV192" s="1"/>
      <c r="CW192" s="1"/>
      <c r="CX192" s="14"/>
      <c r="CY192" s="1"/>
      <c r="CZ192" s="1"/>
      <c r="DA192" s="1"/>
      <c r="DB192" s="1"/>
      <c r="DC192" s="1"/>
      <c r="DD192" s="1"/>
      <c r="DE192" s="1"/>
      <c r="DF192" s="1"/>
      <c r="DG192" s="1"/>
      <c r="DH192" s="1"/>
      <c r="DI192" s="1"/>
      <c r="DJ192" s="1"/>
      <c r="DK192" s="1"/>
      <c r="DL192" s="1"/>
      <c r="DM192" s="1"/>
      <c r="DN192" s="1"/>
      <c r="DO192" s="1"/>
      <c r="DP192" s="1"/>
      <c r="DQ192" s="1"/>
      <c r="DR192" s="1"/>
      <c r="DS192" s="1"/>
      <c r="DT192" s="1"/>
      <c r="DU192" s="14"/>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29"/>
    </row>
    <row r="193" spans="1:160" x14ac:dyDescent="0.25">
      <c r="A193" s="5"/>
      <c r="B193" s="1"/>
      <c r="C193" s="98"/>
      <c r="D193" s="98"/>
      <c r="E193" s="1"/>
      <c r="F193" s="22"/>
      <c r="G193" s="22"/>
      <c r="H193" s="22"/>
      <c r="I193" s="22"/>
      <c r="J193" s="22"/>
      <c r="K193" s="22"/>
      <c r="L193" s="22"/>
      <c r="M193" s="22"/>
      <c r="N193" s="22"/>
      <c r="O193" s="22"/>
      <c r="P193" s="22"/>
      <c r="Q193" s="22"/>
      <c r="R193" s="1"/>
      <c r="S193" s="1"/>
      <c r="T193" s="8"/>
      <c r="U193" s="1"/>
      <c r="V193" s="1"/>
      <c r="W193" s="1"/>
      <c r="X193" s="1"/>
      <c r="Y193" s="1"/>
      <c r="Z193" s="1"/>
      <c r="AA193" s="1"/>
      <c r="AC193" s="1"/>
      <c r="AD193" s="1"/>
      <c r="AE193" s="1"/>
      <c r="AF193" s="1"/>
      <c r="AG193" s="1"/>
      <c r="AH193" s="26"/>
      <c r="AI193" s="26"/>
      <c r="AJ193" s="26"/>
      <c r="AK193" s="26"/>
      <c r="AL193" s="26"/>
      <c r="AM193" s="26"/>
      <c r="AN193" s="26"/>
      <c r="AO193" s="26"/>
      <c r="AP193" s="26"/>
      <c r="AQ193" s="26"/>
      <c r="AR193" s="26"/>
      <c r="AS193" s="26"/>
      <c r="AT193" s="26"/>
      <c r="AU193" s="26"/>
      <c r="AV193" s="26"/>
      <c r="AW193" s="26"/>
      <c r="AX193" s="26"/>
      <c r="AY193" s="1"/>
      <c r="AZ193" s="26"/>
      <c r="BA193" s="26"/>
      <c r="BB193" s="26"/>
      <c r="BC193" s="26"/>
      <c r="BD193" s="26"/>
      <c r="BE193" s="26"/>
      <c r="BF193" s="26"/>
      <c r="BG193" s="26"/>
      <c r="BH193" s="26"/>
      <c r="BI193" s="26"/>
      <c r="BJ193" s="26"/>
      <c r="BK193" s="26"/>
      <c r="BL193" s="26"/>
      <c r="BM193" s="26"/>
      <c r="BN193" s="26"/>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96"/>
      <c r="CP193" s="14"/>
      <c r="CQ193" s="14"/>
      <c r="CR193" s="14"/>
      <c r="CS193" s="14"/>
      <c r="CT193" s="1"/>
      <c r="CU193" s="14"/>
      <c r="CV193" s="1"/>
      <c r="CW193" s="1"/>
      <c r="CX193" s="14"/>
      <c r="CY193" s="1"/>
      <c r="CZ193" s="1"/>
      <c r="DA193" s="1"/>
      <c r="DB193" s="1"/>
      <c r="DC193" s="1"/>
      <c r="DD193" s="1"/>
      <c r="DE193" s="1"/>
      <c r="DF193" s="1"/>
      <c r="DG193" s="1"/>
      <c r="DH193" s="1"/>
      <c r="DI193" s="1"/>
      <c r="DJ193" s="1"/>
      <c r="DK193" s="1"/>
      <c r="DL193" s="1"/>
      <c r="DM193" s="1"/>
      <c r="DN193" s="1"/>
      <c r="DO193" s="1"/>
      <c r="DP193" s="1"/>
      <c r="DQ193" s="1"/>
      <c r="DR193" s="1"/>
      <c r="DS193" s="1"/>
      <c r="DT193" s="1"/>
      <c r="DU193" s="14"/>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29"/>
    </row>
    <row r="194" spans="1:160" x14ac:dyDescent="0.25">
      <c r="A194" s="5"/>
      <c r="B194" s="1"/>
      <c r="C194" s="98"/>
      <c r="D194" s="98"/>
      <c r="E194" s="1"/>
      <c r="F194" s="22"/>
      <c r="G194" s="22"/>
      <c r="H194" s="22"/>
      <c r="I194" s="22"/>
      <c r="J194" s="22"/>
      <c r="K194" s="22"/>
      <c r="L194" s="22"/>
      <c r="M194" s="22"/>
      <c r="N194" s="22"/>
      <c r="O194" s="22"/>
      <c r="P194" s="22"/>
      <c r="Q194" s="22"/>
      <c r="R194" s="1"/>
      <c r="S194" s="1"/>
      <c r="T194" s="8"/>
      <c r="U194" s="1"/>
      <c r="V194" s="1"/>
      <c r="W194" s="1"/>
      <c r="X194" s="1"/>
      <c r="Y194" s="1"/>
      <c r="Z194" s="1"/>
      <c r="AA194" s="1"/>
      <c r="AC194" s="1"/>
      <c r="AD194" s="1"/>
      <c r="AE194" s="1"/>
      <c r="AF194" s="1"/>
      <c r="AG194" s="1"/>
      <c r="AH194" s="26"/>
      <c r="AI194" s="26"/>
      <c r="AJ194" s="26"/>
      <c r="AK194" s="26"/>
      <c r="AL194" s="26"/>
      <c r="AM194" s="26"/>
      <c r="AN194" s="26"/>
      <c r="AO194" s="26"/>
      <c r="AP194" s="26"/>
      <c r="AQ194" s="26"/>
      <c r="AR194" s="26"/>
      <c r="AS194" s="26"/>
      <c r="AT194" s="26"/>
      <c r="AU194" s="26"/>
      <c r="AV194" s="26"/>
      <c r="AW194" s="26"/>
      <c r="AX194" s="26"/>
      <c r="AY194" s="1"/>
      <c r="AZ194" s="26"/>
      <c r="BA194" s="26"/>
      <c r="BB194" s="26"/>
      <c r="BC194" s="26"/>
      <c r="BD194" s="26"/>
      <c r="BE194" s="26"/>
      <c r="BF194" s="26"/>
      <c r="BG194" s="26"/>
      <c r="BH194" s="26"/>
      <c r="BI194" s="26"/>
      <c r="BJ194" s="26"/>
      <c r="BK194" s="26"/>
      <c r="BL194" s="26"/>
      <c r="BM194" s="26"/>
      <c r="BN194" s="26"/>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96"/>
      <c r="CP194" s="14"/>
      <c r="CQ194" s="14"/>
      <c r="CR194" s="14"/>
      <c r="CS194" s="14"/>
      <c r="CT194" s="1"/>
      <c r="CU194" s="14"/>
      <c r="CV194" s="1"/>
      <c r="CW194" s="1"/>
      <c r="CX194" s="14"/>
      <c r="CY194" s="1"/>
      <c r="CZ194" s="1"/>
      <c r="DA194" s="1"/>
      <c r="DB194" s="1"/>
      <c r="DC194" s="1"/>
      <c r="DD194" s="1"/>
      <c r="DE194" s="1"/>
      <c r="DF194" s="1"/>
      <c r="DG194" s="1"/>
      <c r="DH194" s="1"/>
      <c r="DI194" s="1"/>
      <c r="DJ194" s="1"/>
      <c r="DK194" s="1"/>
      <c r="DL194" s="1"/>
      <c r="DM194" s="1"/>
      <c r="DN194" s="1"/>
      <c r="DO194" s="1"/>
      <c r="DP194" s="1"/>
      <c r="DQ194" s="1"/>
      <c r="DR194" s="1"/>
      <c r="DS194" s="1"/>
      <c r="DT194" s="1"/>
      <c r="DU194" s="14"/>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29"/>
    </row>
    <row r="195" spans="1:160" x14ac:dyDescent="0.25">
      <c r="A195" s="5"/>
      <c r="B195" s="1"/>
      <c r="C195" s="98"/>
      <c r="D195" s="98"/>
      <c r="E195" s="1"/>
      <c r="F195" s="22"/>
      <c r="G195" s="22"/>
      <c r="H195" s="22"/>
      <c r="I195" s="22"/>
      <c r="J195" s="22"/>
      <c r="K195" s="22"/>
      <c r="L195" s="22"/>
      <c r="M195" s="22"/>
      <c r="N195" s="22"/>
      <c r="O195" s="22"/>
      <c r="P195" s="22"/>
      <c r="Q195" s="22"/>
      <c r="R195" s="1"/>
      <c r="S195" s="1"/>
      <c r="T195" s="8"/>
      <c r="U195" s="1"/>
      <c r="V195" s="1"/>
      <c r="W195" s="1"/>
      <c r="X195" s="1"/>
      <c r="Y195" s="1"/>
      <c r="Z195" s="1"/>
      <c r="AA195" s="1"/>
      <c r="AC195" s="1"/>
      <c r="AD195" s="1"/>
      <c r="AE195" s="1"/>
      <c r="AF195" s="1"/>
      <c r="AG195" s="1"/>
      <c r="AH195" s="26"/>
      <c r="AI195" s="26"/>
      <c r="AJ195" s="26"/>
      <c r="AK195" s="26"/>
      <c r="AL195" s="26"/>
      <c r="AM195" s="26"/>
      <c r="AN195" s="26"/>
      <c r="AO195" s="26"/>
      <c r="AP195" s="26"/>
      <c r="AQ195" s="26"/>
      <c r="AR195" s="26"/>
      <c r="AS195" s="26"/>
      <c r="AT195" s="26"/>
      <c r="AU195" s="26"/>
      <c r="AV195" s="26"/>
      <c r="AW195" s="26"/>
      <c r="AX195" s="26"/>
      <c r="AY195" s="1"/>
      <c r="AZ195" s="26"/>
      <c r="BA195" s="26"/>
      <c r="BB195" s="26"/>
      <c r="BC195" s="26"/>
      <c r="BD195" s="26"/>
      <c r="BE195" s="26"/>
      <c r="BF195" s="26"/>
      <c r="BG195" s="26"/>
      <c r="BH195" s="26"/>
      <c r="BI195" s="26"/>
      <c r="BJ195" s="26"/>
      <c r="BK195" s="26"/>
      <c r="BL195" s="26"/>
      <c r="BM195" s="26"/>
      <c r="BN195" s="26"/>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96"/>
      <c r="CP195" s="14"/>
      <c r="CQ195" s="14"/>
      <c r="CR195" s="14"/>
      <c r="CS195" s="14"/>
      <c r="CT195" s="1"/>
      <c r="CU195" s="14"/>
      <c r="CV195" s="1"/>
      <c r="CW195" s="1"/>
      <c r="CX195" s="14"/>
      <c r="CY195" s="1"/>
      <c r="CZ195" s="1"/>
      <c r="DA195" s="1"/>
      <c r="DB195" s="1"/>
      <c r="DC195" s="1"/>
      <c r="DD195" s="1"/>
      <c r="DE195" s="1"/>
      <c r="DF195" s="1"/>
      <c r="DG195" s="1"/>
      <c r="DH195" s="1"/>
      <c r="DI195" s="1"/>
      <c r="DJ195" s="1"/>
      <c r="DK195" s="1"/>
      <c r="DL195" s="1"/>
      <c r="DM195" s="1"/>
      <c r="DN195" s="1"/>
      <c r="DO195" s="1"/>
      <c r="DP195" s="1"/>
      <c r="DQ195" s="1"/>
      <c r="DR195" s="1"/>
      <c r="DS195" s="1"/>
      <c r="DT195" s="1"/>
      <c r="DU195" s="14"/>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29"/>
    </row>
    <row r="196" spans="1:160" x14ac:dyDescent="0.25">
      <c r="A196" s="5"/>
      <c r="B196" s="1"/>
      <c r="C196" s="98"/>
      <c r="D196" s="98"/>
      <c r="E196" s="1"/>
      <c r="F196" s="22"/>
      <c r="G196" s="22"/>
      <c r="H196" s="22"/>
      <c r="I196" s="22"/>
      <c r="J196" s="22"/>
      <c r="K196" s="22"/>
      <c r="L196" s="22"/>
      <c r="M196" s="22"/>
      <c r="N196" s="22"/>
      <c r="O196" s="22"/>
      <c r="P196" s="22"/>
      <c r="Q196" s="22"/>
      <c r="R196" s="1"/>
      <c r="S196" s="1"/>
      <c r="T196" s="8"/>
      <c r="U196" s="1"/>
      <c r="V196" s="1"/>
      <c r="W196" s="1"/>
      <c r="X196" s="1"/>
      <c r="Y196" s="1"/>
      <c r="Z196" s="1"/>
      <c r="AA196" s="1"/>
      <c r="AC196" s="1"/>
      <c r="AD196" s="1"/>
      <c r="AE196" s="1"/>
      <c r="AF196" s="1"/>
      <c r="AG196" s="1"/>
      <c r="AH196" s="26"/>
      <c r="AI196" s="26"/>
      <c r="AJ196" s="26"/>
      <c r="AK196" s="26"/>
      <c r="AL196" s="26"/>
      <c r="AM196" s="26"/>
      <c r="AN196" s="26"/>
      <c r="AO196" s="26"/>
      <c r="AP196" s="26"/>
      <c r="AQ196" s="26"/>
      <c r="AR196" s="26"/>
      <c r="AS196" s="26"/>
      <c r="AT196" s="26"/>
      <c r="AU196" s="26"/>
      <c r="AV196" s="26"/>
      <c r="AW196" s="26"/>
      <c r="AX196" s="26"/>
      <c r="AY196" s="1"/>
      <c r="AZ196" s="26"/>
      <c r="BA196" s="26"/>
      <c r="BB196" s="26"/>
      <c r="BC196" s="26"/>
      <c r="BD196" s="26"/>
      <c r="BE196" s="26"/>
      <c r="BF196" s="26"/>
      <c r="BG196" s="26"/>
      <c r="BH196" s="26"/>
      <c r="BI196" s="26"/>
      <c r="BJ196" s="26"/>
      <c r="BK196" s="26"/>
      <c r="BL196" s="26"/>
      <c r="BM196" s="26"/>
      <c r="BN196" s="26"/>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96"/>
      <c r="CP196" s="14"/>
      <c r="CQ196" s="14"/>
      <c r="CR196" s="14"/>
      <c r="CS196" s="14"/>
      <c r="CT196" s="1"/>
      <c r="CU196" s="14"/>
      <c r="CV196" s="1"/>
      <c r="CW196" s="1"/>
      <c r="CX196" s="14"/>
      <c r="CY196" s="1"/>
      <c r="CZ196" s="1"/>
      <c r="DA196" s="1"/>
      <c r="DB196" s="1"/>
      <c r="DC196" s="1"/>
      <c r="DD196" s="1"/>
      <c r="DE196" s="1"/>
      <c r="DF196" s="1"/>
      <c r="DG196" s="1"/>
      <c r="DH196" s="1"/>
      <c r="DI196" s="1"/>
      <c r="DJ196" s="1"/>
      <c r="DK196" s="1"/>
      <c r="DL196" s="1"/>
      <c r="DM196" s="1"/>
      <c r="DN196" s="1"/>
      <c r="DO196" s="1"/>
      <c r="DP196" s="1"/>
      <c r="DQ196" s="1"/>
      <c r="DR196" s="1"/>
      <c r="DS196" s="1"/>
      <c r="DT196" s="1"/>
      <c r="DU196" s="14"/>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29"/>
    </row>
    <row r="197" spans="1:160" x14ac:dyDescent="0.25">
      <c r="A197" s="5"/>
      <c r="B197" s="1"/>
      <c r="C197" s="98"/>
      <c r="D197" s="98"/>
      <c r="E197" s="1"/>
      <c r="F197" s="22"/>
      <c r="G197" s="22"/>
      <c r="H197" s="22"/>
      <c r="I197" s="22"/>
      <c r="J197" s="22"/>
      <c r="K197" s="22"/>
      <c r="L197" s="22"/>
      <c r="M197" s="22"/>
      <c r="N197" s="22"/>
      <c r="O197" s="22"/>
      <c r="P197" s="22"/>
      <c r="Q197" s="22"/>
      <c r="R197" s="1"/>
      <c r="S197" s="1"/>
      <c r="T197" s="8"/>
      <c r="U197" s="1"/>
      <c r="V197" s="1"/>
      <c r="W197" s="1"/>
      <c r="X197" s="1"/>
      <c r="Y197" s="1"/>
      <c r="Z197" s="1"/>
      <c r="AA197" s="1"/>
      <c r="AC197" s="1"/>
      <c r="AD197" s="1"/>
      <c r="AE197" s="1"/>
      <c r="AF197" s="1"/>
      <c r="AG197" s="1"/>
      <c r="AH197" s="26"/>
      <c r="AI197" s="26"/>
      <c r="AJ197" s="26"/>
      <c r="AK197" s="26"/>
      <c r="AL197" s="26"/>
      <c r="AM197" s="26"/>
      <c r="AN197" s="26"/>
      <c r="AO197" s="26"/>
      <c r="AP197" s="26"/>
      <c r="AQ197" s="26"/>
      <c r="AR197" s="26"/>
      <c r="AS197" s="26"/>
      <c r="AT197" s="26"/>
      <c r="AU197" s="26"/>
      <c r="AV197" s="26"/>
      <c r="AW197" s="26"/>
      <c r="AX197" s="26"/>
      <c r="AY197" s="1"/>
      <c r="AZ197" s="26"/>
      <c r="BA197" s="26"/>
      <c r="BB197" s="26"/>
      <c r="BC197" s="26"/>
      <c r="BD197" s="26"/>
      <c r="BE197" s="26"/>
      <c r="BF197" s="26"/>
      <c r="BG197" s="26"/>
      <c r="BH197" s="26"/>
      <c r="BI197" s="26"/>
      <c r="BJ197" s="26"/>
      <c r="BK197" s="26"/>
      <c r="BL197" s="26"/>
      <c r="BM197" s="26"/>
      <c r="BN197" s="26"/>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96"/>
      <c r="CP197" s="14"/>
      <c r="CQ197" s="14"/>
      <c r="CR197" s="14"/>
      <c r="CS197" s="14"/>
      <c r="CT197" s="1"/>
      <c r="CU197" s="14"/>
      <c r="CV197" s="1"/>
      <c r="CW197" s="1"/>
      <c r="CX197" s="14"/>
      <c r="CY197" s="1"/>
      <c r="CZ197" s="1"/>
      <c r="DA197" s="1"/>
      <c r="DB197" s="1"/>
      <c r="DC197" s="1"/>
      <c r="DD197" s="1"/>
      <c r="DE197" s="1"/>
      <c r="DF197" s="1"/>
      <c r="DG197" s="1"/>
      <c r="DH197" s="1"/>
      <c r="DI197" s="1"/>
      <c r="DJ197" s="1"/>
      <c r="DK197" s="1"/>
      <c r="DL197" s="1"/>
      <c r="DM197" s="1"/>
      <c r="DN197" s="1"/>
      <c r="DO197" s="1"/>
      <c r="DP197" s="1"/>
      <c r="DQ197" s="1"/>
      <c r="DR197" s="1"/>
      <c r="DS197" s="1"/>
      <c r="DT197" s="1"/>
      <c r="DU197" s="14"/>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29"/>
    </row>
    <row r="198" spans="1:160" x14ac:dyDescent="0.25">
      <c r="A198" s="5"/>
      <c r="B198" s="1"/>
      <c r="C198" s="98"/>
      <c r="D198" s="98"/>
      <c r="E198" s="1"/>
      <c r="F198" s="22"/>
      <c r="G198" s="22"/>
      <c r="H198" s="22"/>
      <c r="I198" s="22"/>
      <c r="J198" s="22"/>
      <c r="K198" s="22"/>
      <c r="L198" s="22"/>
      <c r="M198" s="22"/>
      <c r="N198" s="22"/>
      <c r="O198" s="22"/>
      <c r="P198" s="22"/>
      <c r="Q198" s="22"/>
      <c r="R198" s="1"/>
      <c r="S198" s="1"/>
      <c r="T198" s="8"/>
      <c r="U198" s="1"/>
      <c r="V198" s="1"/>
      <c r="W198" s="1"/>
      <c r="X198" s="1"/>
      <c r="Y198" s="1"/>
      <c r="Z198" s="1"/>
      <c r="AA198" s="1"/>
      <c r="AC198" s="1"/>
      <c r="AD198" s="1"/>
      <c r="AE198" s="1"/>
      <c r="AF198" s="1"/>
      <c r="AG198" s="1"/>
      <c r="AH198" s="26"/>
      <c r="AI198" s="26"/>
      <c r="AJ198" s="26"/>
      <c r="AK198" s="26"/>
      <c r="AL198" s="26"/>
      <c r="AM198" s="26"/>
      <c r="AN198" s="26"/>
      <c r="AO198" s="26"/>
      <c r="AP198" s="26"/>
      <c r="AQ198" s="26"/>
      <c r="AR198" s="26"/>
      <c r="AS198" s="26"/>
      <c r="AT198" s="26"/>
      <c r="AU198" s="26"/>
      <c r="AV198" s="26"/>
      <c r="AW198" s="26"/>
      <c r="AX198" s="26"/>
      <c r="AY198" s="1"/>
      <c r="AZ198" s="26"/>
      <c r="BA198" s="26"/>
      <c r="BB198" s="26"/>
      <c r="BC198" s="26"/>
      <c r="BD198" s="26"/>
      <c r="BE198" s="26"/>
      <c r="BF198" s="26"/>
      <c r="BG198" s="26"/>
      <c r="BH198" s="26"/>
      <c r="BI198" s="26"/>
      <c r="BJ198" s="26"/>
      <c r="BK198" s="26"/>
      <c r="BL198" s="26"/>
      <c r="BM198" s="26"/>
      <c r="BN198" s="26"/>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96"/>
      <c r="CP198" s="14"/>
      <c r="CQ198" s="14"/>
      <c r="CR198" s="14"/>
      <c r="CS198" s="14"/>
      <c r="CT198" s="1"/>
      <c r="CU198" s="14"/>
      <c r="CV198" s="1"/>
      <c r="CW198" s="1"/>
      <c r="CX198" s="14"/>
      <c r="CY198" s="1"/>
      <c r="CZ198" s="1"/>
      <c r="DA198" s="1"/>
      <c r="DB198" s="1"/>
      <c r="DC198" s="1"/>
      <c r="DD198" s="1"/>
      <c r="DE198" s="1"/>
      <c r="DF198" s="1"/>
      <c r="DG198" s="1"/>
      <c r="DH198" s="1"/>
      <c r="DI198" s="1"/>
      <c r="DJ198" s="1"/>
      <c r="DK198" s="1"/>
      <c r="DL198" s="1"/>
      <c r="DM198" s="1"/>
      <c r="DN198" s="1"/>
      <c r="DO198" s="1"/>
      <c r="DP198" s="1"/>
      <c r="DQ198" s="1"/>
      <c r="DR198" s="1"/>
      <c r="DS198" s="1"/>
      <c r="DT198" s="1"/>
      <c r="DU198" s="14"/>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29"/>
    </row>
    <row r="199" spans="1:160" x14ac:dyDescent="0.25">
      <c r="A199" s="5"/>
      <c r="B199" s="1"/>
      <c r="C199" s="98"/>
      <c r="D199" s="98"/>
      <c r="E199" s="1"/>
      <c r="F199" s="22"/>
      <c r="G199" s="22"/>
      <c r="H199" s="22"/>
      <c r="I199" s="22"/>
      <c r="J199" s="22"/>
      <c r="K199" s="22"/>
      <c r="L199" s="22"/>
      <c r="M199" s="22"/>
      <c r="N199" s="22"/>
      <c r="O199" s="22"/>
      <c r="P199" s="22"/>
      <c r="Q199" s="22"/>
      <c r="R199" s="1"/>
      <c r="S199" s="1"/>
      <c r="T199" s="8"/>
      <c r="U199" s="1"/>
      <c r="V199" s="1"/>
      <c r="W199" s="1"/>
      <c r="X199" s="1"/>
      <c r="Y199" s="1"/>
      <c r="Z199" s="1"/>
      <c r="AA199" s="1"/>
      <c r="AC199" s="1"/>
      <c r="AD199" s="1"/>
      <c r="AE199" s="1"/>
      <c r="AF199" s="1"/>
      <c r="AG199" s="1"/>
      <c r="AH199" s="26"/>
      <c r="AI199" s="26"/>
      <c r="AJ199" s="26"/>
      <c r="AK199" s="26"/>
      <c r="AL199" s="26"/>
      <c r="AM199" s="26"/>
      <c r="AN199" s="26"/>
      <c r="AO199" s="26"/>
      <c r="AP199" s="26"/>
      <c r="AQ199" s="26"/>
      <c r="AR199" s="26"/>
      <c r="AS199" s="26"/>
      <c r="AT199" s="26"/>
      <c r="AU199" s="26"/>
      <c r="AV199" s="26"/>
      <c r="AW199" s="26"/>
      <c r="AX199" s="26"/>
      <c r="AY199" s="1"/>
      <c r="AZ199" s="26"/>
      <c r="BA199" s="26"/>
      <c r="BB199" s="26"/>
      <c r="BC199" s="26"/>
      <c r="BD199" s="26"/>
      <c r="BE199" s="26"/>
      <c r="BF199" s="26"/>
      <c r="BG199" s="26"/>
      <c r="BH199" s="26"/>
      <c r="BI199" s="26"/>
      <c r="BJ199" s="26"/>
      <c r="BK199" s="26"/>
      <c r="BL199" s="26"/>
      <c r="BM199" s="26"/>
      <c r="BN199" s="26"/>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96"/>
      <c r="CP199" s="14"/>
      <c r="CQ199" s="14"/>
      <c r="CR199" s="14"/>
      <c r="CS199" s="14"/>
      <c r="CT199" s="1"/>
      <c r="CU199" s="14"/>
      <c r="CV199" s="1"/>
      <c r="CW199" s="1"/>
      <c r="CX199" s="14"/>
      <c r="CY199" s="1"/>
      <c r="CZ199" s="1"/>
      <c r="DA199" s="1"/>
      <c r="DB199" s="1"/>
      <c r="DC199" s="1"/>
      <c r="DD199" s="1"/>
      <c r="DE199" s="1"/>
      <c r="DF199" s="1"/>
      <c r="DG199" s="1"/>
      <c r="DH199" s="1"/>
      <c r="DI199" s="1"/>
      <c r="DJ199" s="1"/>
      <c r="DK199" s="1"/>
      <c r="DL199" s="1"/>
      <c r="DM199" s="1"/>
      <c r="DN199" s="1"/>
      <c r="DO199" s="1"/>
      <c r="DP199" s="1"/>
      <c r="DQ199" s="1"/>
      <c r="DR199" s="1"/>
      <c r="DS199" s="1"/>
      <c r="DT199" s="1"/>
      <c r="DU199" s="14"/>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29"/>
    </row>
    <row r="200" spans="1:160" x14ac:dyDescent="0.25">
      <c r="A200" s="5"/>
      <c r="B200" s="1"/>
      <c r="C200" s="98"/>
      <c r="D200" s="98"/>
      <c r="E200" s="1"/>
      <c r="F200" s="22"/>
      <c r="G200" s="22"/>
      <c r="H200" s="22"/>
      <c r="I200" s="22"/>
      <c r="J200" s="22"/>
      <c r="K200" s="22"/>
      <c r="L200" s="22"/>
      <c r="M200" s="22"/>
      <c r="N200" s="22"/>
      <c r="O200" s="22"/>
      <c r="P200" s="22"/>
      <c r="Q200" s="22"/>
      <c r="R200" s="1"/>
      <c r="S200" s="1"/>
      <c r="T200" s="8"/>
      <c r="U200" s="1"/>
      <c r="V200" s="1"/>
      <c r="W200" s="1"/>
      <c r="X200" s="1"/>
      <c r="Y200" s="1"/>
      <c r="Z200" s="1"/>
      <c r="AA200" s="1"/>
      <c r="AC200" s="1"/>
      <c r="AD200" s="1"/>
      <c r="AE200" s="1"/>
      <c r="AF200" s="1"/>
      <c r="AG200" s="1"/>
      <c r="AH200" s="26"/>
      <c r="AI200" s="26"/>
      <c r="AJ200" s="26"/>
      <c r="AK200" s="26"/>
      <c r="AL200" s="26"/>
      <c r="AM200" s="26"/>
      <c r="AN200" s="26"/>
      <c r="AO200" s="26"/>
      <c r="AP200" s="26"/>
      <c r="AQ200" s="26"/>
      <c r="AR200" s="26"/>
      <c r="AS200" s="26"/>
      <c r="AT200" s="26"/>
      <c r="AU200" s="26"/>
      <c r="AV200" s="26"/>
      <c r="AW200" s="26"/>
      <c r="AX200" s="26"/>
      <c r="AY200" s="1"/>
      <c r="AZ200" s="26"/>
      <c r="BA200" s="26"/>
      <c r="BB200" s="26"/>
      <c r="BC200" s="26"/>
      <c r="BD200" s="26"/>
      <c r="BE200" s="26"/>
      <c r="BF200" s="26"/>
      <c r="BG200" s="26"/>
      <c r="BH200" s="26"/>
      <c r="BI200" s="26"/>
      <c r="BJ200" s="26"/>
      <c r="BK200" s="26"/>
      <c r="BL200" s="26"/>
      <c r="BM200" s="26"/>
      <c r="BN200" s="26"/>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96"/>
      <c r="CP200" s="14"/>
      <c r="CQ200" s="14"/>
      <c r="CR200" s="14"/>
      <c r="CS200" s="14"/>
      <c r="CT200" s="1"/>
      <c r="CU200" s="14"/>
      <c r="CV200" s="1"/>
      <c r="CW200" s="1"/>
      <c r="CX200" s="14"/>
      <c r="CY200" s="1"/>
      <c r="CZ200" s="1"/>
      <c r="DA200" s="1"/>
      <c r="DB200" s="1"/>
      <c r="DC200" s="1"/>
      <c r="DD200" s="1"/>
      <c r="DE200" s="1"/>
      <c r="DF200" s="1"/>
      <c r="DG200" s="1"/>
      <c r="DH200" s="1"/>
      <c r="DI200" s="1"/>
      <c r="DJ200" s="1"/>
      <c r="DK200" s="1"/>
      <c r="DL200" s="1"/>
      <c r="DM200" s="1"/>
      <c r="DN200" s="1"/>
      <c r="DO200" s="1"/>
      <c r="DP200" s="1"/>
      <c r="DQ200" s="1"/>
      <c r="DR200" s="1"/>
      <c r="DS200" s="1"/>
      <c r="DT200" s="1"/>
      <c r="DU200" s="14"/>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29"/>
    </row>
    <row r="201" spans="1:160" x14ac:dyDescent="0.25">
      <c r="A201" s="5"/>
      <c r="B201" s="1"/>
      <c r="C201" s="98"/>
      <c r="D201" s="98"/>
      <c r="E201" s="1"/>
      <c r="F201" s="22"/>
      <c r="G201" s="22"/>
      <c r="H201" s="22"/>
      <c r="I201" s="22"/>
      <c r="J201" s="22"/>
      <c r="K201" s="22"/>
      <c r="L201" s="22"/>
      <c r="M201" s="22"/>
      <c r="N201" s="22"/>
      <c r="O201" s="22"/>
      <c r="P201" s="22"/>
      <c r="Q201" s="22"/>
      <c r="R201" s="1"/>
      <c r="S201" s="1"/>
      <c r="T201" s="8"/>
      <c r="U201" s="1"/>
      <c r="V201" s="1"/>
      <c r="W201" s="1"/>
      <c r="X201" s="1"/>
      <c r="Y201" s="1"/>
      <c r="Z201" s="1"/>
      <c r="AA201" s="1"/>
      <c r="AC201" s="1"/>
      <c r="AD201" s="1"/>
      <c r="AE201" s="1"/>
      <c r="AF201" s="1"/>
      <c r="AG201" s="1"/>
      <c r="AH201" s="26"/>
      <c r="AI201" s="26"/>
      <c r="AJ201" s="26"/>
      <c r="AK201" s="26"/>
      <c r="AL201" s="26"/>
      <c r="AM201" s="26"/>
      <c r="AN201" s="26"/>
      <c r="AO201" s="26"/>
      <c r="AP201" s="26"/>
      <c r="AQ201" s="26"/>
      <c r="AR201" s="26"/>
      <c r="AS201" s="26"/>
      <c r="AT201" s="26"/>
      <c r="AU201" s="26"/>
      <c r="AV201" s="26"/>
      <c r="AW201" s="26"/>
      <c r="AX201" s="26"/>
      <c r="AY201" s="1"/>
      <c r="AZ201" s="26"/>
      <c r="BA201" s="26"/>
      <c r="BB201" s="26"/>
      <c r="BC201" s="26"/>
      <c r="BD201" s="26"/>
      <c r="BE201" s="26"/>
      <c r="BF201" s="26"/>
      <c r="BG201" s="26"/>
      <c r="BH201" s="26"/>
      <c r="BI201" s="26"/>
      <c r="BJ201" s="26"/>
      <c r="BK201" s="26"/>
      <c r="BL201" s="26"/>
      <c r="BM201" s="26"/>
      <c r="BN201" s="26"/>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96"/>
      <c r="CP201" s="14"/>
      <c r="CQ201" s="14"/>
      <c r="CR201" s="14"/>
      <c r="CS201" s="14"/>
      <c r="CT201" s="1"/>
      <c r="CU201" s="14"/>
      <c r="CV201" s="1"/>
      <c r="CW201" s="1"/>
      <c r="CX201" s="14"/>
      <c r="CY201" s="1"/>
      <c r="CZ201" s="1"/>
      <c r="DA201" s="1"/>
      <c r="DB201" s="1"/>
      <c r="DC201" s="1"/>
      <c r="DD201" s="1"/>
      <c r="DE201" s="1"/>
      <c r="DF201" s="1"/>
      <c r="DG201" s="1"/>
      <c r="DH201" s="1"/>
      <c r="DI201" s="1"/>
      <c r="DJ201" s="1"/>
      <c r="DK201" s="1"/>
      <c r="DL201" s="1"/>
      <c r="DM201" s="1"/>
      <c r="DN201" s="1"/>
      <c r="DO201" s="1"/>
      <c r="DP201" s="1"/>
      <c r="DQ201" s="1"/>
      <c r="DR201" s="1"/>
      <c r="DS201" s="1"/>
      <c r="DT201" s="1"/>
      <c r="DU201" s="14"/>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29"/>
    </row>
    <row r="202" spans="1:160" x14ac:dyDescent="0.25">
      <c r="A202" s="5"/>
      <c r="B202" s="1"/>
      <c r="C202" s="98"/>
      <c r="D202" s="98"/>
      <c r="E202" s="1"/>
      <c r="F202" s="22"/>
      <c r="G202" s="22"/>
      <c r="H202" s="22"/>
      <c r="I202" s="22"/>
      <c r="J202" s="22"/>
      <c r="K202" s="22"/>
      <c r="L202" s="22"/>
      <c r="M202" s="22"/>
      <c r="N202" s="22"/>
      <c r="O202" s="22"/>
      <c r="P202" s="22"/>
      <c r="Q202" s="22"/>
      <c r="R202" s="1"/>
      <c r="S202" s="1"/>
      <c r="T202" s="8"/>
      <c r="U202" s="1"/>
      <c r="V202" s="1"/>
      <c r="W202" s="1"/>
      <c r="X202" s="1"/>
      <c r="Y202" s="1"/>
      <c r="Z202" s="1"/>
      <c r="AA202" s="1"/>
      <c r="AC202" s="1"/>
      <c r="AD202" s="1"/>
      <c r="AE202" s="1"/>
      <c r="AF202" s="1"/>
      <c r="AG202" s="1"/>
      <c r="AH202" s="26"/>
      <c r="AI202" s="26"/>
      <c r="AJ202" s="26"/>
      <c r="AK202" s="26"/>
      <c r="AL202" s="26"/>
      <c r="AM202" s="26"/>
      <c r="AN202" s="26"/>
      <c r="AO202" s="26"/>
      <c r="AP202" s="26"/>
      <c r="AQ202" s="26"/>
      <c r="AR202" s="26"/>
      <c r="AS202" s="26"/>
      <c r="AT202" s="26"/>
      <c r="AU202" s="26"/>
      <c r="AV202" s="26"/>
      <c r="AW202" s="26"/>
      <c r="AX202" s="26"/>
      <c r="AY202" s="1"/>
      <c r="AZ202" s="26"/>
      <c r="BA202" s="26"/>
      <c r="BB202" s="26"/>
      <c r="BC202" s="26"/>
      <c r="BD202" s="26"/>
      <c r="BE202" s="26"/>
      <c r="BF202" s="26"/>
      <c r="BG202" s="26"/>
      <c r="BH202" s="26"/>
      <c r="BI202" s="26"/>
      <c r="BJ202" s="26"/>
      <c r="BK202" s="26"/>
      <c r="BL202" s="26"/>
      <c r="BM202" s="26"/>
      <c r="BN202" s="26"/>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96"/>
      <c r="CP202" s="14"/>
      <c r="CQ202" s="14"/>
      <c r="CR202" s="14"/>
      <c r="CS202" s="14"/>
      <c r="CT202" s="1"/>
      <c r="CU202" s="14"/>
      <c r="CV202" s="1"/>
      <c r="CW202" s="1"/>
      <c r="CX202" s="14"/>
      <c r="CY202" s="1"/>
      <c r="CZ202" s="1"/>
      <c r="DA202" s="1"/>
      <c r="DB202" s="1"/>
      <c r="DC202" s="1"/>
      <c r="DD202" s="1"/>
      <c r="DE202" s="1"/>
      <c r="DF202" s="1"/>
      <c r="DG202" s="1"/>
      <c r="DH202" s="1"/>
      <c r="DI202" s="1"/>
      <c r="DJ202" s="1"/>
      <c r="DK202" s="1"/>
      <c r="DL202" s="1"/>
      <c r="DM202" s="1"/>
      <c r="DN202" s="1"/>
      <c r="DO202" s="1"/>
      <c r="DP202" s="1"/>
      <c r="DQ202" s="1"/>
      <c r="DR202" s="1"/>
      <c r="DS202" s="1"/>
      <c r="DT202" s="1"/>
      <c r="DU202" s="14"/>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29"/>
    </row>
    <row r="203" spans="1:160" x14ac:dyDescent="0.25">
      <c r="A203" s="5"/>
      <c r="B203" s="1"/>
      <c r="C203" s="98"/>
      <c r="D203" s="98"/>
      <c r="E203" s="1"/>
      <c r="F203" s="22"/>
      <c r="G203" s="22"/>
      <c r="H203" s="22"/>
      <c r="I203" s="22"/>
      <c r="J203" s="22"/>
      <c r="K203" s="22"/>
      <c r="L203" s="22"/>
      <c r="M203" s="22"/>
      <c r="N203" s="22"/>
      <c r="O203" s="22"/>
      <c r="P203" s="22"/>
      <c r="Q203" s="22"/>
      <c r="R203" s="1"/>
      <c r="S203" s="1"/>
      <c r="T203" s="8"/>
      <c r="U203" s="1"/>
      <c r="V203" s="1"/>
      <c r="W203" s="1"/>
      <c r="X203" s="1"/>
      <c r="Y203" s="1"/>
      <c r="Z203" s="1"/>
      <c r="AA203" s="1"/>
      <c r="AC203" s="1"/>
      <c r="AD203" s="1"/>
      <c r="AE203" s="1"/>
      <c r="AF203" s="1"/>
      <c r="AG203" s="1"/>
      <c r="AH203" s="26"/>
      <c r="AI203" s="26"/>
      <c r="AJ203" s="26"/>
      <c r="AK203" s="26"/>
      <c r="AL203" s="26"/>
      <c r="AM203" s="26"/>
      <c r="AN203" s="26"/>
      <c r="AO203" s="26"/>
      <c r="AP203" s="26"/>
      <c r="AQ203" s="26"/>
      <c r="AR203" s="26"/>
      <c r="AS203" s="26"/>
      <c r="AT203" s="26"/>
      <c r="AU203" s="26"/>
      <c r="AV203" s="26"/>
      <c r="AW203" s="26"/>
      <c r="AX203" s="26"/>
      <c r="AY203" s="1"/>
      <c r="AZ203" s="26"/>
      <c r="BA203" s="26"/>
      <c r="BB203" s="26"/>
      <c r="BC203" s="26"/>
      <c r="BD203" s="26"/>
      <c r="BE203" s="26"/>
      <c r="BF203" s="26"/>
      <c r="BG203" s="26"/>
      <c r="BH203" s="26"/>
      <c r="BI203" s="26"/>
      <c r="BJ203" s="26"/>
      <c r="BK203" s="26"/>
      <c r="BL203" s="26"/>
      <c r="BM203" s="26"/>
      <c r="BN203" s="26"/>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96"/>
      <c r="CP203" s="14"/>
      <c r="CQ203" s="14"/>
      <c r="CR203" s="14"/>
      <c r="CS203" s="14"/>
      <c r="CT203" s="1"/>
      <c r="CU203" s="14"/>
      <c r="CV203" s="1"/>
      <c r="CW203" s="1"/>
      <c r="CX203" s="14"/>
      <c r="CY203" s="1"/>
      <c r="CZ203" s="1"/>
      <c r="DA203" s="1"/>
      <c r="DB203" s="1"/>
      <c r="DC203" s="1"/>
      <c r="DD203" s="1"/>
      <c r="DE203" s="1"/>
      <c r="DF203" s="1"/>
      <c r="DG203" s="1"/>
      <c r="DH203" s="1"/>
      <c r="DI203" s="1"/>
      <c r="DJ203" s="1"/>
      <c r="DK203" s="1"/>
      <c r="DL203" s="1"/>
      <c r="DM203" s="1"/>
      <c r="DN203" s="1"/>
      <c r="DO203" s="1"/>
      <c r="DP203" s="1"/>
      <c r="DQ203" s="1"/>
      <c r="DR203" s="1"/>
      <c r="DS203" s="1"/>
      <c r="DT203" s="1"/>
      <c r="DU203" s="14"/>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29"/>
    </row>
    <row r="204" spans="1:160" x14ac:dyDescent="0.25">
      <c r="A204" s="5"/>
      <c r="B204" s="1"/>
      <c r="C204" s="98"/>
      <c r="D204" s="98"/>
      <c r="E204" s="1"/>
      <c r="F204" s="22"/>
      <c r="G204" s="22"/>
      <c r="H204" s="22"/>
      <c r="I204" s="22"/>
      <c r="J204" s="22"/>
      <c r="K204" s="22"/>
      <c r="L204" s="22"/>
      <c r="M204" s="22"/>
      <c r="N204" s="22"/>
      <c r="O204" s="22"/>
      <c r="P204" s="22"/>
      <c r="Q204" s="22"/>
      <c r="R204" s="1"/>
      <c r="S204" s="1"/>
      <c r="T204" s="8"/>
      <c r="U204" s="1"/>
      <c r="V204" s="1"/>
      <c r="W204" s="1"/>
      <c r="X204" s="1"/>
      <c r="Y204" s="1"/>
      <c r="Z204" s="1"/>
      <c r="AA204" s="1"/>
      <c r="AC204" s="1"/>
      <c r="AD204" s="1"/>
      <c r="AE204" s="1"/>
      <c r="AF204" s="1"/>
      <c r="AG204" s="1"/>
      <c r="AH204" s="26"/>
      <c r="AI204" s="26"/>
      <c r="AJ204" s="26"/>
      <c r="AK204" s="26"/>
      <c r="AL204" s="26"/>
      <c r="AM204" s="26"/>
      <c r="AN204" s="26"/>
      <c r="AO204" s="26"/>
      <c r="AP204" s="26"/>
      <c r="AQ204" s="26"/>
      <c r="AR204" s="26"/>
      <c r="AS204" s="26"/>
      <c r="AT204" s="26"/>
      <c r="AU204" s="26"/>
      <c r="AV204" s="26"/>
      <c r="AW204" s="26"/>
      <c r="AX204" s="26"/>
      <c r="AY204" s="1"/>
      <c r="AZ204" s="26"/>
      <c r="BA204" s="26"/>
      <c r="BB204" s="26"/>
      <c r="BC204" s="26"/>
      <c r="BD204" s="26"/>
      <c r="BE204" s="26"/>
      <c r="BF204" s="26"/>
      <c r="BG204" s="26"/>
      <c r="BH204" s="26"/>
      <c r="BI204" s="26"/>
      <c r="BJ204" s="26"/>
      <c r="BK204" s="26"/>
      <c r="BL204" s="26"/>
      <c r="BM204" s="26"/>
      <c r="BN204" s="26"/>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96"/>
      <c r="CP204" s="14"/>
      <c r="CQ204" s="14"/>
      <c r="CR204" s="14"/>
      <c r="CS204" s="14"/>
      <c r="CT204" s="1"/>
      <c r="CU204" s="14"/>
      <c r="CV204" s="1"/>
      <c r="CW204" s="1"/>
      <c r="CX204" s="14"/>
      <c r="CY204" s="1"/>
      <c r="CZ204" s="1"/>
      <c r="DA204" s="1"/>
      <c r="DB204" s="1"/>
      <c r="DC204" s="1"/>
      <c r="DD204" s="1"/>
      <c r="DE204" s="1"/>
      <c r="DF204" s="1"/>
      <c r="DG204" s="1"/>
      <c r="DH204" s="1"/>
      <c r="DI204" s="1"/>
      <c r="DJ204" s="1"/>
      <c r="DK204" s="1"/>
      <c r="DL204" s="1"/>
      <c r="DM204" s="1"/>
      <c r="DN204" s="1"/>
      <c r="DO204" s="1"/>
      <c r="DP204" s="1"/>
      <c r="DQ204" s="1"/>
      <c r="DR204" s="1"/>
      <c r="DS204" s="1"/>
      <c r="DT204" s="1"/>
      <c r="DU204" s="14"/>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29"/>
    </row>
    <row r="205" spans="1:160" x14ac:dyDescent="0.25">
      <c r="A205" s="5"/>
      <c r="B205" s="1"/>
      <c r="C205" s="98"/>
      <c r="D205" s="98"/>
      <c r="E205" s="1"/>
      <c r="F205" s="22"/>
      <c r="G205" s="22"/>
      <c r="H205" s="22"/>
      <c r="I205" s="22"/>
      <c r="J205" s="22"/>
      <c r="K205" s="22"/>
      <c r="L205" s="22"/>
      <c r="M205" s="22"/>
      <c r="N205" s="22"/>
      <c r="O205" s="22"/>
      <c r="P205" s="22"/>
      <c r="Q205" s="22"/>
      <c r="R205" s="1"/>
      <c r="S205" s="1"/>
      <c r="T205" s="8"/>
      <c r="U205" s="1"/>
      <c r="V205" s="1"/>
      <c r="W205" s="1"/>
      <c r="X205" s="1"/>
      <c r="Y205" s="1"/>
      <c r="Z205" s="1"/>
      <c r="AA205" s="1"/>
      <c r="AC205" s="1"/>
      <c r="AD205" s="1"/>
      <c r="AE205" s="1"/>
      <c r="AF205" s="1"/>
      <c r="AG205" s="1"/>
      <c r="AH205" s="26"/>
      <c r="AI205" s="26"/>
      <c r="AJ205" s="26"/>
      <c r="AK205" s="26"/>
      <c r="AL205" s="26"/>
      <c r="AM205" s="26"/>
      <c r="AN205" s="26"/>
      <c r="AO205" s="26"/>
      <c r="AP205" s="26"/>
      <c r="AQ205" s="26"/>
      <c r="AR205" s="26"/>
      <c r="AS205" s="26"/>
      <c r="AT205" s="26"/>
      <c r="AU205" s="26"/>
      <c r="AV205" s="26"/>
      <c r="AW205" s="26"/>
      <c r="AX205" s="26"/>
      <c r="AY205" s="1"/>
      <c r="AZ205" s="26"/>
      <c r="BA205" s="26"/>
      <c r="BB205" s="26"/>
      <c r="BC205" s="26"/>
      <c r="BD205" s="26"/>
      <c r="BE205" s="26"/>
      <c r="BF205" s="26"/>
      <c r="BG205" s="26"/>
      <c r="BH205" s="26"/>
      <c r="BI205" s="26"/>
      <c r="BJ205" s="26"/>
      <c r="BK205" s="26"/>
      <c r="BL205" s="26"/>
      <c r="BM205" s="26"/>
      <c r="BN205" s="26"/>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6"/>
      <c r="CP205" s="14"/>
      <c r="CQ205" s="14"/>
      <c r="CR205" s="14"/>
      <c r="CS205" s="14"/>
      <c r="CT205" s="1"/>
      <c r="CU205" s="14"/>
      <c r="CV205" s="1"/>
      <c r="CW205" s="1"/>
      <c r="CX205" s="14"/>
      <c r="CY205" s="1"/>
      <c r="CZ205" s="1"/>
      <c r="DA205" s="1"/>
      <c r="DB205" s="1"/>
      <c r="DC205" s="1"/>
      <c r="DD205" s="1"/>
      <c r="DE205" s="1"/>
      <c r="DF205" s="1"/>
      <c r="DG205" s="1"/>
      <c r="DH205" s="1"/>
      <c r="DI205" s="1"/>
      <c r="DJ205" s="1"/>
      <c r="DK205" s="1"/>
      <c r="DL205" s="1"/>
      <c r="DM205" s="1"/>
      <c r="DN205" s="1"/>
      <c r="DO205" s="1"/>
      <c r="DP205" s="1"/>
      <c r="DQ205" s="1"/>
      <c r="DR205" s="1"/>
      <c r="DS205" s="1"/>
      <c r="DT205" s="1"/>
      <c r="DU205" s="14"/>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29"/>
    </row>
    <row r="206" spans="1:160" x14ac:dyDescent="0.25">
      <c r="A206" s="5"/>
      <c r="B206" s="1"/>
      <c r="C206" s="98"/>
      <c r="D206" s="98"/>
      <c r="E206" s="1"/>
      <c r="F206" s="22"/>
      <c r="G206" s="22"/>
      <c r="H206" s="22"/>
      <c r="I206" s="22"/>
      <c r="J206" s="22"/>
      <c r="K206" s="22"/>
      <c r="L206" s="22"/>
      <c r="M206" s="22"/>
      <c r="N206" s="22"/>
      <c r="O206" s="22"/>
      <c r="P206" s="22"/>
      <c r="Q206" s="22"/>
      <c r="R206" s="1"/>
      <c r="S206" s="1"/>
      <c r="T206" s="8"/>
      <c r="U206" s="1"/>
      <c r="V206" s="1"/>
      <c r="W206" s="1"/>
      <c r="X206" s="1"/>
      <c r="Y206" s="1"/>
      <c r="Z206" s="1"/>
      <c r="AA206" s="1"/>
      <c r="AC206" s="1"/>
      <c r="AD206" s="1"/>
      <c r="AE206" s="1"/>
      <c r="AF206" s="1"/>
      <c r="AG206" s="1"/>
      <c r="AH206" s="26"/>
      <c r="AI206" s="26"/>
      <c r="AJ206" s="26"/>
      <c r="AK206" s="26"/>
      <c r="AL206" s="26"/>
      <c r="AM206" s="26"/>
      <c r="AN206" s="26"/>
      <c r="AO206" s="26"/>
      <c r="AP206" s="26"/>
      <c r="AQ206" s="26"/>
      <c r="AR206" s="26"/>
      <c r="AS206" s="26"/>
      <c r="AT206" s="26"/>
      <c r="AU206" s="26"/>
      <c r="AV206" s="26"/>
      <c r="AW206" s="26"/>
      <c r="AX206" s="26"/>
      <c r="AY206" s="1"/>
      <c r="AZ206" s="26"/>
      <c r="BA206" s="26"/>
      <c r="BB206" s="26"/>
      <c r="BC206" s="26"/>
      <c r="BD206" s="26"/>
      <c r="BE206" s="26"/>
      <c r="BF206" s="26"/>
      <c r="BG206" s="26"/>
      <c r="BH206" s="26"/>
      <c r="BI206" s="26"/>
      <c r="BJ206" s="26"/>
      <c r="BK206" s="26"/>
      <c r="BL206" s="26"/>
      <c r="BM206" s="26"/>
      <c r="BN206" s="26"/>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96"/>
      <c r="CP206" s="14"/>
      <c r="CQ206" s="14"/>
      <c r="CR206" s="14"/>
      <c r="CS206" s="14"/>
      <c r="CT206" s="1"/>
      <c r="CU206" s="14"/>
      <c r="CV206" s="1"/>
      <c r="CW206" s="1"/>
      <c r="CX206" s="14"/>
      <c r="CY206" s="1"/>
      <c r="CZ206" s="1"/>
      <c r="DA206" s="1"/>
      <c r="DB206" s="1"/>
      <c r="DC206" s="1"/>
      <c r="DD206" s="1"/>
      <c r="DE206" s="1"/>
      <c r="DF206" s="1"/>
      <c r="DG206" s="1"/>
      <c r="DH206" s="1"/>
      <c r="DI206" s="1"/>
      <c r="DJ206" s="1"/>
      <c r="DK206" s="1"/>
      <c r="DL206" s="1"/>
      <c r="DM206" s="1"/>
      <c r="DN206" s="1"/>
      <c r="DO206" s="1"/>
      <c r="DP206" s="1"/>
      <c r="DQ206" s="1"/>
      <c r="DR206" s="1"/>
      <c r="DS206" s="1"/>
      <c r="DT206" s="1"/>
      <c r="DU206" s="14"/>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29"/>
    </row>
    <row r="207" spans="1:160" x14ac:dyDescent="0.25">
      <c r="A207" s="5"/>
      <c r="B207" s="1"/>
      <c r="C207" s="98"/>
      <c r="D207" s="98"/>
      <c r="E207" s="1"/>
      <c r="F207" s="22"/>
      <c r="G207" s="22"/>
      <c r="H207" s="22"/>
      <c r="I207" s="22"/>
      <c r="J207" s="22"/>
      <c r="K207" s="22"/>
      <c r="L207" s="22"/>
      <c r="M207" s="22"/>
      <c r="N207" s="22"/>
      <c r="O207" s="22"/>
      <c r="P207" s="22"/>
      <c r="Q207" s="22"/>
      <c r="R207" s="1"/>
      <c r="S207" s="1"/>
      <c r="T207" s="8"/>
      <c r="U207" s="1"/>
      <c r="V207" s="1"/>
      <c r="W207" s="1"/>
      <c r="X207" s="1"/>
      <c r="Y207" s="1"/>
      <c r="Z207" s="1"/>
      <c r="AA207" s="1"/>
      <c r="AC207" s="1"/>
      <c r="AD207" s="1"/>
      <c r="AE207" s="1"/>
      <c r="AF207" s="1"/>
      <c r="AG207" s="1"/>
      <c r="AH207" s="26"/>
      <c r="AI207" s="26"/>
      <c r="AJ207" s="26"/>
      <c r="AK207" s="26"/>
      <c r="AL207" s="26"/>
      <c r="AM207" s="26"/>
      <c r="AN207" s="26"/>
      <c r="AO207" s="26"/>
      <c r="AP207" s="26"/>
      <c r="AQ207" s="26"/>
      <c r="AR207" s="26"/>
      <c r="AS207" s="26"/>
      <c r="AT207" s="26"/>
      <c r="AU207" s="26"/>
      <c r="AV207" s="26"/>
      <c r="AW207" s="26"/>
      <c r="AX207" s="26"/>
      <c r="AY207" s="1"/>
      <c r="AZ207" s="26"/>
      <c r="BA207" s="26"/>
      <c r="BB207" s="26"/>
      <c r="BC207" s="26"/>
      <c r="BD207" s="26"/>
      <c r="BE207" s="26"/>
      <c r="BF207" s="26"/>
      <c r="BG207" s="26"/>
      <c r="BH207" s="26"/>
      <c r="BI207" s="26"/>
      <c r="BJ207" s="26"/>
      <c r="BK207" s="26"/>
      <c r="BL207" s="26"/>
      <c r="BM207" s="26"/>
      <c r="BN207" s="26"/>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96"/>
      <c r="CP207" s="14"/>
      <c r="CQ207" s="14"/>
      <c r="CR207" s="14"/>
      <c r="CS207" s="14"/>
      <c r="CT207" s="1"/>
      <c r="CU207" s="14"/>
      <c r="CV207" s="1"/>
      <c r="CW207" s="1"/>
      <c r="CX207" s="14"/>
      <c r="CY207" s="1"/>
      <c r="CZ207" s="1"/>
      <c r="DA207" s="1"/>
      <c r="DB207" s="1"/>
      <c r="DC207" s="1"/>
      <c r="DD207" s="1"/>
      <c r="DE207" s="1"/>
      <c r="DF207" s="1"/>
      <c r="DG207" s="1"/>
      <c r="DH207" s="1"/>
      <c r="DI207" s="1"/>
      <c r="DJ207" s="1"/>
      <c r="DK207" s="1"/>
      <c r="DL207" s="1"/>
      <c r="DM207" s="1"/>
      <c r="DN207" s="1"/>
      <c r="DO207" s="1"/>
      <c r="DP207" s="1"/>
      <c r="DQ207" s="1"/>
      <c r="DR207" s="1"/>
      <c r="DS207" s="1"/>
      <c r="DT207" s="1"/>
      <c r="DU207" s="14"/>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29"/>
    </row>
    <row r="208" spans="1:160" x14ac:dyDescent="0.25">
      <c r="A208" s="5"/>
      <c r="B208" s="1"/>
      <c r="C208" s="98"/>
      <c r="D208" s="98"/>
      <c r="E208" s="1"/>
      <c r="F208" s="22"/>
      <c r="G208" s="22"/>
      <c r="H208" s="22"/>
      <c r="I208" s="22"/>
      <c r="J208" s="22"/>
      <c r="K208" s="22"/>
      <c r="L208" s="22"/>
      <c r="M208" s="22"/>
      <c r="N208" s="22"/>
      <c r="O208" s="22"/>
      <c r="P208" s="22"/>
      <c r="Q208" s="22"/>
      <c r="R208" s="1"/>
      <c r="S208" s="1"/>
      <c r="T208" s="8"/>
      <c r="U208" s="1"/>
      <c r="V208" s="1"/>
      <c r="W208" s="1"/>
      <c r="X208" s="1"/>
      <c r="Y208" s="1"/>
      <c r="Z208" s="1"/>
      <c r="AA208" s="1"/>
      <c r="AC208" s="1"/>
      <c r="AD208" s="1"/>
      <c r="AE208" s="1"/>
      <c r="AF208" s="1"/>
      <c r="AG208" s="1"/>
      <c r="AH208" s="26"/>
      <c r="AI208" s="26"/>
      <c r="AJ208" s="26"/>
      <c r="AK208" s="26"/>
      <c r="AL208" s="26"/>
      <c r="AM208" s="26"/>
      <c r="AN208" s="26"/>
      <c r="AO208" s="26"/>
      <c r="AP208" s="26"/>
      <c r="AQ208" s="26"/>
      <c r="AR208" s="26"/>
      <c r="AS208" s="26"/>
      <c r="AT208" s="26"/>
      <c r="AU208" s="26"/>
      <c r="AV208" s="26"/>
      <c r="AW208" s="26"/>
      <c r="AX208" s="26"/>
      <c r="AY208" s="1"/>
      <c r="AZ208" s="26"/>
      <c r="BA208" s="26"/>
      <c r="BB208" s="26"/>
      <c r="BC208" s="26"/>
      <c r="BD208" s="26"/>
      <c r="BE208" s="26"/>
      <c r="BF208" s="26"/>
      <c r="BG208" s="26"/>
      <c r="BH208" s="26"/>
      <c r="BI208" s="26"/>
      <c r="BJ208" s="26"/>
      <c r="BK208" s="26"/>
      <c r="BL208" s="26"/>
      <c r="BM208" s="26"/>
      <c r="BN208" s="26"/>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96"/>
      <c r="CP208" s="14"/>
      <c r="CQ208" s="14"/>
      <c r="CR208" s="14"/>
      <c r="CS208" s="14"/>
      <c r="CT208" s="1"/>
      <c r="CU208" s="14"/>
      <c r="CV208" s="1"/>
      <c r="CW208" s="1"/>
      <c r="CX208" s="14"/>
      <c r="CY208" s="1"/>
      <c r="CZ208" s="1"/>
      <c r="DA208" s="1"/>
      <c r="DB208" s="1"/>
      <c r="DC208" s="1"/>
      <c r="DD208" s="1"/>
      <c r="DE208" s="1"/>
      <c r="DF208" s="1"/>
      <c r="DG208" s="1"/>
      <c r="DH208" s="1"/>
      <c r="DI208" s="1"/>
      <c r="DJ208" s="1"/>
      <c r="DK208" s="1"/>
      <c r="DL208" s="1"/>
      <c r="DM208" s="1"/>
      <c r="DN208" s="1"/>
      <c r="DO208" s="1"/>
      <c r="DP208" s="1"/>
      <c r="DQ208" s="1"/>
      <c r="DR208" s="1"/>
      <c r="DS208" s="1"/>
      <c r="DT208" s="1"/>
      <c r="DU208" s="14"/>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29"/>
    </row>
    <row r="209" spans="1:160" x14ac:dyDescent="0.25">
      <c r="A209" s="5"/>
      <c r="B209" s="1"/>
      <c r="C209" s="98"/>
      <c r="D209" s="98"/>
      <c r="E209" s="1"/>
      <c r="F209" s="22"/>
      <c r="G209" s="22"/>
      <c r="H209" s="22"/>
      <c r="I209" s="22"/>
      <c r="J209" s="22"/>
      <c r="K209" s="22"/>
      <c r="L209" s="22"/>
      <c r="M209" s="22"/>
      <c r="N209" s="22"/>
      <c r="O209" s="22"/>
      <c r="P209" s="22"/>
      <c r="Q209" s="22"/>
      <c r="R209" s="1"/>
      <c r="S209" s="1"/>
      <c r="T209" s="8"/>
      <c r="U209" s="1"/>
      <c r="V209" s="1"/>
      <c r="W209" s="1"/>
      <c r="X209" s="1"/>
      <c r="Y209" s="1"/>
      <c r="Z209" s="1"/>
      <c r="AA209" s="1"/>
      <c r="AC209" s="1"/>
      <c r="AD209" s="1"/>
      <c r="AE209" s="1"/>
      <c r="AF209" s="1"/>
      <c r="AG209" s="1"/>
      <c r="AH209" s="26"/>
      <c r="AI209" s="26"/>
      <c r="AJ209" s="26"/>
      <c r="AK209" s="26"/>
      <c r="AL209" s="26"/>
      <c r="AM209" s="26"/>
      <c r="AN209" s="26"/>
      <c r="AO209" s="26"/>
      <c r="AP209" s="26"/>
      <c r="AQ209" s="26"/>
      <c r="AR209" s="26"/>
      <c r="AS209" s="26"/>
      <c r="AT209" s="26"/>
      <c r="AU209" s="26"/>
      <c r="AV209" s="26"/>
      <c r="AW209" s="26"/>
      <c r="AX209" s="26"/>
      <c r="AY209" s="1"/>
      <c r="AZ209" s="26"/>
      <c r="BA209" s="26"/>
      <c r="BB209" s="26"/>
      <c r="BC209" s="26"/>
      <c r="BD209" s="26"/>
      <c r="BE209" s="26"/>
      <c r="BF209" s="26"/>
      <c r="BG209" s="26"/>
      <c r="BH209" s="26"/>
      <c r="BI209" s="26"/>
      <c r="BJ209" s="26"/>
      <c r="BK209" s="26"/>
      <c r="BL209" s="26"/>
      <c r="BM209" s="26"/>
      <c r="BN209" s="26"/>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96"/>
      <c r="CP209" s="14"/>
      <c r="CQ209" s="14"/>
      <c r="CR209" s="14"/>
      <c r="CS209" s="14"/>
      <c r="CT209" s="1"/>
      <c r="CU209" s="14"/>
      <c r="CV209" s="1"/>
      <c r="CW209" s="1"/>
      <c r="CX209" s="14"/>
      <c r="CY209" s="1"/>
      <c r="CZ209" s="1"/>
      <c r="DA209" s="1"/>
      <c r="DB209" s="1"/>
      <c r="DC209" s="1"/>
      <c r="DD209" s="1"/>
      <c r="DE209" s="1"/>
      <c r="DF209" s="1"/>
      <c r="DG209" s="1"/>
      <c r="DH209" s="1"/>
      <c r="DI209" s="1"/>
      <c r="DJ209" s="1"/>
      <c r="DK209" s="1"/>
      <c r="DL209" s="1"/>
      <c r="DM209" s="1"/>
      <c r="DN209" s="1"/>
      <c r="DO209" s="1"/>
      <c r="DP209" s="1"/>
      <c r="DQ209" s="1"/>
      <c r="DR209" s="1"/>
      <c r="DS209" s="1"/>
      <c r="DT209" s="1"/>
      <c r="DU209" s="14"/>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29"/>
    </row>
    <row r="210" spans="1:160" x14ac:dyDescent="0.25">
      <c r="A210" s="5"/>
      <c r="B210" s="1"/>
      <c r="C210" s="98"/>
      <c r="D210" s="98"/>
      <c r="E210" s="1"/>
      <c r="F210" s="22"/>
      <c r="G210" s="22"/>
      <c r="H210" s="22"/>
      <c r="I210" s="22"/>
      <c r="J210" s="22"/>
      <c r="K210" s="22"/>
      <c r="L210" s="22"/>
      <c r="M210" s="22"/>
      <c r="N210" s="22"/>
      <c r="O210" s="22"/>
      <c r="P210" s="22"/>
      <c r="Q210" s="22"/>
      <c r="R210" s="1"/>
      <c r="S210" s="1"/>
      <c r="T210" s="8"/>
      <c r="U210" s="1"/>
      <c r="V210" s="1"/>
      <c r="W210" s="1"/>
      <c r="X210" s="1"/>
      <c r="Y210" s="1"/>
      <c r="Z210" s="1"/>
      <c r="AA210" s="1"/>
      <c r="AC210" s="1"/>
      <c r="AD210" s="1"/>
      <c r="AE210" s="1"/>
      <c r="AF210" s="1"/>
      <c r="AG210" s="1"/>
      <c r="AH210" s="26"/>
      <c r="AI210" s="26"/>
      <c r="AJ210" s="26"/>
      <c r="AK210" s="26"/>
      <c r="AL210" s="26"/>
      <c r="AM210" s="26"/>
      <c r="AN210" s="26"/>
      <c r="AO210" s="26"/>
      <c r="AP210" s="26"/>
      <c r="AQ210" s="26"/>
      <c r="AR210" s="26"/>
      <c r="AS210" s="26"/>
      <c r="AT210" s="26"/>
      <c r="AU210" s="26"/>
      <c r="AV210" s="26"/>
      <c r="AW210" s="26"/>
      <c r="AX210" s="26"/>
      <c r="AY210" s="1"/>
      <c r="AZ210" s="26"/>
      <c r="BA210" s="26"/>
      <c r="BB210" s="26"/>
      <c r="BC210" s="26"/>
      <c r="BD210" s="26"/>
      <c r="BE210" s="26"/>
      <c r="BF210" s="26"/>
      <c r="BG210" s="26"/>
      <c r="BH210" s="26"/>
      <c r="BI210" s="26"/>
      <c r="BJ210" s="26"/>
      <c r="BK210" s="26"/>
      <c r="BL210" s="26"/>
      <c r="BM210" s="26"/>
      <c r="BN210" s="26"/>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96"/>
      <c r="CP210" s="14"/>
      <c r="CQ210" s="14"/>
      <c r="CR210" s="14"/>
      <c r="CS210" s="14"/>
      <c r="CT210" s="1"/>
      <c r="CU210" s="14"/>
      <c r="CV210" s="1"/>
      <c r="CW210" s="1"/>
      <c r="CX210" s="14"/>
      <c r="CY210" s="1"/>
      <c r="CZ210" s="1"/>
      <c r="DA210" s="1"/>
      <c r="DB210" s="1"/>
      <c r="DC210" s="1"/>
      <c r="DD210" s="1"/>
      <c r="DE210" s="1"/>
      <c r="DF210" s="1"/>
      <c r="DG210" s="1"/>
      <c r="DH210" s="1"/>
      <c r="DI210" s="1"/>
      <c r="DJ210" s="1"/>
      <c r="DK210" s="1"/>
      <c r="DL210" s="1"/>
      <c r="DM210" s="1"/>
      <c r="DN210" s="1"/>
      <c r="DO210" s="1"/>
      <c r="DP210" s="1"/>
      <c r="DQ210" s="1"/>
      <c r="DR210" s="1"/>
      <c r="DS210" s="1"/>
      <c r="DT210" s="1"/>
      <c r="DU210" s="14"/>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29"/>
    </row>
    <row r="211" spans="1:160" x14ac:dyDescent="0.25">
      <c r="A211" s="5"/>
      <c r="B211" s="1"/>
      <c r="C211" s="98"/>
      <c r="D211" s="98"/>
      <c r="E211" s="1"/>
      <c r="F211" s="22"/>
      <c r="G211" s="22"/>
      <c r="H211" s="22"/>
      <c r="I211" s="22"/>
      <c r="J211" s="22"/>
      <c r="K211" s="22"/>
      <c r="L211" s="22"/>
      <c r="M211" s="22"/>
      <c r="N211" s="22"/>
      <c r="O211" s="22"/>
      <c r="P211" s="22"/>
      <c r="Q211" s="22"/>
      <c r="R211" s="1"/>
      <c r="S211" s="1"/>
      <c r="T211" s="8"/>
      <c r="U211" s="1"/>
      <c r="V211" s="1"/>
      <c r="W211" s="1"/>
      <c r="X211" s="1"/>
      <c r="Y211" s="1"/>
      <c r="Z211" s="1"/>
      <c r="AA211" s="1"/>
      <c r="AC211" s="1"/>
      <c r="AD211" s="1"/>
      <c r="AE211" s="1"/>
      <c r="AF211" s="1"/>
      <c r="AG211" s="1"/>
      <c r="AH211" s="26"/>
      <c r="AI211" s="26"/>
      <c r="AJ211" s="26"/>
      <c r="AK211" s="26"/>
      <c r="AL211" s="26"/>
      <c r="AM211" s="26"/>
      <c r="AN211" s="26"/>
      <c r="AO211" s="26"/>
      <c r="AP211" s="26"/>
      <c r="AQ211" s="26"/>
      <c r="AR211" s="26"/>
      <c r="AS211" s="26"/>
      <c r="AT211" s="26"/>
      <c r="AU211" s="26"/>
      <c r="AV211" s="26"/>
      <c r="AW211" s="26"/>
      <c r="AX211" s="26"/>
      <c r="AY211" s="1"/>
      <c r="AZ211" s="26"/>
      <c r="BA211" s="26"/>
      <c r="BB211" s="26"/>
      <c r="BC211" s="26"/>
      <c r="BD211" s="26"/>
      <c r="BE211" s="26"/>
      <c r="BF211" s="26"/>
      <c r="BG211" s="26"/>
      <c r="BH211" s="26"/>
      <c r="BI211" s="26"/>
      <c r="BJ211" s="26"/>
      <c r="BK211" s="26"/>
      <c r="BL211" s="26"/>
      <c r="BM211" s="26"/>
      <c r="BN211" s="26"/>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96"/>
      <c r="CP211" s="14"/>
      <c r="CQ211" s="14"/>
      <c r="CR211" s="14"/>
      <c r="CS211" s="14"/>
      <c r="CT211" s="1"/>
      <c r="CU211" s="14"/>
      <c r="CV211" s="1"/>
      <c r="CW211" s="1"/>
      <c r="CX211" s="14"/>
      <c r="CY211" s="1"/>
      <c r="CZ211" s="1"/>
      <c r="DA211" s="1"/>
      <c r="DB211" s="1"/>
      <c r="DC211" s="1"/>
      <c r="DD211" s="1"/>
      <c r="DE211" s="1"/>
      <c r="DF211" s="1"/>
      <c r="DG211" s="1"/>
      <c r="DH211" s="1"/>
      <c r="DI211" s="1"/>
      <c r="DJ211" s="1"/>
      <c r="DK211" s="1"/>
      <c r="DL211" s="1"/>
      <c r="DM211" s="1"/>
      <c r="DN211" s="1"/>
      <c r="DO211" s="1"/>
      <c r="DP211" s="1"/>
      <c r="DQ211" s="1"/>
      <c r="DR211" s="1"/>
      <c r="DS211" s="1"/>
      <c r="DT211" s="1"/>
      <c r="DU211" s="14"/>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29"/>
    </row>
    <row r="212" spans="1:160" x14ac:dyDescent="0.25">
      <c r="A212" s="5"/>
      <c r="B212" s="1"/>
      <c r="C212" s="98"/>
      <c r="D212" s="98"/>
      <c r="E212" s="1"/>
      <c r="F212" s="22"/>
      <c r="G212" s="22"/>
      <c r="H212" s="22"/>
      <c r="I212" s="22"/>
      <c r="J212" s="22"/>
      <c r="K212" s="22"/>
      <c r="L212" s="22"/>
      <c r="M212" s="22"/>
      <c r="N212" s="22"/>
      <c r="O212" s="22"/>
      <c r="P212" s="22"/>
      <c r="Q212" s="22"/>
      <c r="R212" s="1"/>
      <c r="S212" s="1"/>
      <c r="T212" s="8"/>
      <c r="U212" s="1"/>
      <c r="V212" s="1"/>
      <c r="W212" s="1"/>
      <c r="X212" s="1"/>
      <c r="Y212" s="1"/>
      <c r="Z212" s="1"/>
      <c r="AA212" s="1"/>
      <c r="AC212" s="1"/>
      <c r="AD212" s="1"/>
      <c r="AE212" s="1"/>
      <c r="AF212" s="1"/>
      <c r="AG212" s="1"/>
      <c r="AH212" s="26"/>
      <c r="AI212" s="26"/>
      <c r="AJ212" s="26"/>
      <c r="AK212" s="26"/>
      <c r="AL212" s="26"/>
      <c r="AM212" s="26"/>
      <c r="AN212" s="26"/>
      <c r="AO212" s="26"/>
      <c r="AP212" s="26"/>
      <c r="AQ212" s="26"/>
      <c r="AR212" s="26"/>
      <c r="AS212" s="26"/>
      <c r="AT212" s="26"/>
      <c r="AU212" s="26"/>
      <c r="AV212" s="26"/>
      <c r="AW212" s="26"/>
      <c r="AX212" s="26"/>
      <c r="AY212" s="1"/>
      <c r="AZ212" s="26"/>
      <c r="BA212" s="26"/>
      <c r="BB212" s="26"/>
      <c r="BC212" s="26"/>
      <c r="BD212" s="26"/>
      <c r="BE212" s="26"/>
      <c r="BF212" s="26"/>
      <c r="BG212" s="26"/>
      <c r="BH212" s="26"/>
      <c r="BI212" s="26"/>
      <c r="BJ212" s="26"/>
      <c r="BK212" s="26"/>
      <c r="BL212" s="26"/>
      <c r="BM212" s="26"/>
      <c r="BN212" s="26"/>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96"/>
      <c r="CP212" s="14"/>
      <c r="CQ212" s="14"/>
      <c r="CR212" s="14"/>
      <c r="CS212" s="14"/>
      <c r="CT212" s="1"/>
      <c r="CU212" s="14"/>
      <c r="CV212" s="1"/>
      <c r="CW212" s="1"/>
      <c r="CX212" s="14"/>
      <c r="CY212" s="1"/>
      <c r="CZ212" s="1"/>
      <c r="DA212" s="1"/>
      <c r="DB212" s="1"/>
      <c r="DC212" s="1"/>
      <c r="DD212" s="1"/>
      <c r="DE212" s="1"/>
      <c r="DF212" s="1"/>
      <c r="DG212" s="1"/>
      <c r="DH212" s="1"/>
      <c r="DI212" s="1"/>
      <c r="DJ212" s="1"/>
      <c r="DK212" s="1"/>
      <c r="DL212" s="1"/>
      <c r="DM212" s="1"/>
      <c r="DN212" s="1"/>
      <c r="DO212" s="1"/>
      <c r="DP212" s="1"/>
      <c r="DQ212" s="1"/>
      <c r="DR212" s="1"/>
      <c r="DS212" s="1"/>
      <c r="DT212" s="1"/>
      <c r="DU212" s="14"/>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29"/>
    </row>
    <row r="213" spans="1:160" x14ac:dyDescent="0.25">
      <c r="A213" s="5"/>
      <c r="B213" s="1"/>
      <c r="C213" s="98"/>
      <c r="D213" s="98"/>
      <c r="E213" s="1"/>
      <c r="F213" s="22"/>
      <c r="G213" s="22"/>
      <c r="H213" s="22"/>
      <c r="I213" s="22"/>
      <c r="J213" s="22"/>
      <c r="K213" s="22"/>
      <c r="L213" s="22"/>
      <c r="M213" s="22"/>
      <c r="N213" s="22"/>
      <c r="O213" s="22"/>
      <c r="P213" s="22"/>
      <c r="Q213" s="22"/>
      <c r="R213" s="1"/>
      <c r="S213" s="1"/>
      <c r="T213" s="8"/>
      <c r="U213" s="1"/>
      <c r="V213" s="1"/>
      <c r="W213" s="1"/>
      <c r="X213" s="1"/>
      <c r="Y213" s="1"/>
      <c r="Z213" s="1"/>
      <c r="AA213" s="1"/>
      <c r="AC213" s="1"/>
      <c r="AD213" s="1"/>
      <c r="AE213" s="1"/>
      <c r="AF213" s="1"/>
      <c r="AG213" s="1"/>
      <c r="AH213" s="26"/>
      <c r="AI213" s="26"/>
      <c r="AJ213" s="26"/>
      <c r="AK213" s="26"/>
      <c r="AL213" s="26"/>
      <c r="AM213" s="26"/>
      <c r="AN213" s="26"/>
      <c r="AO213" s="26"/>
      <c r="AP213" s="26"/>
      <c r="AQ213" s="26"/>
      <c r="AR213" s="26"/>
      <c r="AS213" s="26"/>
      <c r="AT213" s="26"/>
      <c r="AU213" s="26"/>
      <c r="AV213" s="26"/>
      <c r="AW213" s="26"/>
      <c r="AX213" s="26"/>
      <c r="AY213" s="1"/>
      <c r="AZ213" s="26"/>
      <c r="BA213" s="26"/>
      <c r="BB213" s="26"/>
      <c r="BC213" s="26"/>
      <c r="BD213" s="26"/>
      <c r="BE213" s="26"/>
      <c r="BF213" s="26"/>
      <c r="BG213" s="26"/>
      <c r="BH213" s="26"/>
      <c r="BI213" s="26"/>
      <c r="BJ213" s="26"/>
      <c r="BK213" s="26"/>
      <c r="BL213" s="26"/>
      <c r="BM213" s="26"/>
      <c r="BN213" s="26"/>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96"/>
      <c r="CP213" s="14"/>
      <c r="CQ213" s="14"/>
      <c r="CR213" s="14"/>
      <c r="CS213" s="14"/>
      <c r="CT213" s="1"/>
      <c r="CU213" s="14"/>
      <c r="CV213" s="1"/>
      <c r="CW213" s="1"/>
      <c r="CX213" s="14"/>
      <c r="CY213" s="1"/>
      <c r="CZ213" s="1"/>
      <c r="DA213" s="1"/>
      <c r="DB213" s="1"/>
      <c r="DC213" s="1"/>
      <c r="DD213" s="1"/>
      <c r="DE213" s="1"/>
      <c r="DF213" s="1"/>
      <c r="DG213" s="1"/>
      <c r="DH213" s="1"/>
      <c r="DI213" s="1"/>
      <c r="DJ213" s="1"/>
      <c r="DK213" s="1"/>
      <c r="DL213" s="1"/>
      <c r="DM213" s="1"/>
      <c r="DN213" s="1"/>
      <c r="DO213" s="1"/>
      <c r="DP213" s="1"/>
      <c r="DQ213" s="1"/>
      <c r="DR213" s="1"/>
      <c r="DS213" s="1"/>
      <c r="DT213" s="1"/>
      <c r="DU213" s="14"/>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29"/>
    </row>
    <row r="214" spans="1:160" x14ac:dyDescent="0.25">
      <c r="A214" s="5"/>
      <c r="B214" s="1"/>
      <c r="C214" s="98"/>
      <c r="D214" s="98"/>
      <c r="E214" s="1"/>
      <c r="F214" s="22"/>
      <c r="G214" s="22"/>
      <c r="H214" s="22"/>
      <c r="I214" s="22"/>
      <c r="J214" s="22"/>
      <c r="K214" s="22"/>
      <c r="L214" s="22"/>
      <c r="M214" s="22"/>
      <c r="N214" s="22"/>
      <c r="O214" s="22"/>
      <c r="P214" s="22"/>
      <c r="Q214" s="22"/>
      <c r="R214" s="1"/>
      <c r="S214" s="1"/>
      <c r="T214" s="8"/>
      <c r="U214" s="1"/>
      <c r="V214" s="1"/>
      <c r="W214" s="1"/>
      <c r="X214" s="1"/>
      <c r="Y214" s="1"/>
      <c r="Z214" s="1"/>
      <c r="AA214" s="1"/>
      <c r="AC214" s="1"/>
      <c r="AD214" s="1"/>
      <c r="AE214" s="1"/>
      <c r="AF214" s="1"/>
      <c r="AG214" s="1"/>
      <c r="AH214" s="26"/>
      <c r="AI214" s="26"/>
      <c r="AJ214" s="26"/>
      <c r="AK214" s="26"/>
      <c r="AL214" s="26"/>
      <c r="AM214" s="26"/>
      <c r="AN214" s="26"/>
      <c r="AO214" s="26"/>
      <c r="AP214" s="26"/>
      <c r="AQ214" s="26"/>
      <c r="AR214" s="26"/>
      <c r="AS214" s="26"/>
      <c r="AT214" s="26"/>
      <c r="AU214" s="26"/>
      <c r="AV214" s="26"/>
      <c r="AW214" s="26"/>
      <c r="AX214" s="26"/>
      <c r="AY214" s="1"/>
      <c r="AZ214" s="26"/>
      <c r="BA214" s="26"/>
      <c r="BB214" s="26"/>
      <c r="BC214" s="26"/>
      <c r="BD214" s="26"/>
      <c r="BE214" s="26"/>
      <c r="BF214" s="26"/>
      <c r="BG214" s="26"/>
      <c r="BH214" s="26"/>
      <c r="BI214" s="26"/>
      <c r="BJ214" s="26"/>
      <c r="BK214" s="26"/>
      <c r="BL214" s="26"/>
      <c r="BM214" s="26"/>
      <c r="BN214" s="26"/>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96"/>
      <c r="CP214" s="14"/>
      <c r="CQ214" s="14"/>
      <c r="CR214" s="14"/>
      <c r="CS214" s="14"/>
      <c r="CT214" s="1"/>
      <c r="CU214" s="14"/>
      <c r="CV214" s="1"/>
      <c r="CW214" s="1"/>
      <c r="CX214" s="14"/>
      <c r="CY214" s="1"/>
      <c r="CZ214" s="1"/>
      <c r="DA214" s="1"/>
      <c r="DB214" s="1"/>
      <c r="DC214" s="1"/>
      <c r="DD214" s="1"/>
      <c r="DE214" s="1"/>
      <c r="DF214" s="1"/>
      <c r="DG214" s="1"/>
      <c r="DH214" s="1"/>
      <c r="DI214" s="1"/>
      <c r="DJ214" s="1"/>
      <c r="DK214" s="1"/>
      <c r="DL214" s="1"/>
      <c r="DM214" s="1"/>
      <c r="DN214" s="1"/>
      <c r="DO214" s="1"/>
      <c r="DP214" s="1"/>
      <c r="DQ214" s="1"/>
      <c r="DR214" s="1"/>
      <c r="DS214" s="1"/>
      <c r="DT214" s="1"/>
      <c r="DU214" s="14"/>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29"/>
    </row>
    <row r="215" spans="1:160" x14ac:dyDescent="0.25">
      <c r="A215" s="5"/>
      <c r="B215" s="1"/>
      <c r="C215" s="98"/>
      <c r="D215" s="98"/>
      <c r="E215" s="1"/>
      <c r="F215" s="22"/>
      <c r="G215" s="22"/>
      <c r="H215" s="22"/>
      <c r="I215" s="22"/>
      <c r="J215" s="22"/>
      <c r="K215" s="22"/>
      <c r="L215" s="22"/>
      <c r="M215" s="22"/>
      <c r="N215" s="22"/>
      <c r="O215" s="22"/>
      <c r="P215" s="22"/>
      <c r="Q215" s="22"/>
      <c r="R215" s="1"/>
      <c r="S215" s="1"/>
      <c r="T215" s="8"/>
      <c r="U215" s="1"/>
      <c r="V215" s="1"/>
      <c r="W215" s="1"/>
      <c r="X215" s="1"/>
      <c r="Y215" s="1"/>
      <c r="Z215" s="1"/>
      <c r="AA215" s="1"/>
      <c r="AC215" s="1"/>
      <c r="AD215" s="1"/>
      <c r="AE215" s="1"/>
      <c r="AF215" s="1"/>
      <c r="AG215" s="1"/>
      <c r="AH215" s="26"/>
      <c r="AI215" s="26"/>
      <c r="AJ215" s="26"/>
      <c r="AK215" s="26"/>
      <c r="AL215" s="26"/>
      <c r="AM215" s="26"/>
      <c r="AN215" s="26"/>
      <c r="AO215" s="26"/>
      <c r="AP215" s="26"/>
      <c r="AQ215" s="26"/>
      <c r="AR215" s="26"/>
      <c r="AS215" s="26"/>
      <c r="AT215" s="26"/>
      <c r="AU215" s="26"/>
      <c r="AV215" s="26"/>
      <c r="AW215" s="26"/>
      <c r="AX215" s="26"/>
      <c r="AY215" s="1"/>
      <c r="AZ215" s="26"/>
      <c r="BA215" s="26"/>
      <c r="BB215" s="26"/>
      <c r="BC215" s="26"/>
      <c r="BD215" s="26"/>
      <c r="BE215" s="26"/>
      <c r="BF215" s="26"/>
      <c r="BG215" s="26"/>
      <c r="BH215" s="26"/>
      <c r="BI215" s="26"/>
      <c r="BJ215" s="26"/>
      <c r="BK215" s="26"/>
      <c r="BL215" s="26"/>
      <c r="BM215" s="26"/>
      <c r="BN215" s="26"/>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96"/>
      <c r="CP215" s="14"/>
      <c r="CQ215" s="14"/>
      <c r="CR215" s="14"/>
      <c r="CS215" s="14"/>
      <c r="CT215" s="1"/>
      <c r="CU215" s="14"/>
      <c r="CV215" s="1"/>
      <c r="CW215" s="1"/>
      <c r="CX215" s="14"/>
      <c r="CY215" s="1"/>
      <c r="CZ215" s="1"/>
      <c r="DA215" s="1"/>
      <c r="DB215" s="1"/>
      <c r="DC215" s="1"/>
      <c r="DD215" s="1"/>
      <c r="DE215" s="1"/>
      <c r="DF215" s="1"/>
      <c r="DG215" s="1"/>
      <c r="DH215" s="1"/>
      <c r="DI215" s="1"/>
      <c r="DJ215" s="1"/>
      <c r="DK215" s="1"/>
      <c r="DL215" s="1"/>
      <c r="DM215" s="1"/>
      <c r="DN215" s="1"/>
      <c r="DO215" s="1"/>
      <c r="DP215" s="1"/>
      <c r="DQ215" s="1"/>
      <c r="DR215" s="1"/>
      <c r="DS215" s="1"/>
      <c r="DT215" s="1"/>
      <c r="DU215" s="14"/>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29"/>
    </row>
    <row r="216" spans="1:160" x14ac:dyDescent="0.25">
      <c r="A216" s="5"/>
      <c r="B216" s="1"/>
      <c r="C216" s="98"/>
      <c r="D216" s="98"/>
      <c r="E216" s="1"/>
      <c r="F216" s="22"/>
      <c r="G216" s="22"/>
      <c r="H216" s="22"/>
      <c r="I216" s="22"/>
      <c r="J216" s="22"/>
      <c r="K216" s="22"/>
      <c r="L216" s="22"/>
      <c r="M216" s="22"/>
      <c r="N216" s="22"/>
      <c r="O216" s="22"/>
      <c r="P216" s="22"/>
      <c r="Q216" s="22"/>
      <c r="R216" s="1"/>
      <c r="S216" s="1"/>
      <c r="T216" s="8"/>
      <c r="U216" s="1"/>
      <c r="V216" s="1"/>
      <c r="W216" s="1"/>
      <c r="X216" s="1"/>
      <c r="Y216" s="1"/>
      <c r="Z216" s="1"/>
      <c r="AA216" s="1"/>
      <c r="AC216" s="1"/>
      <c r="AD216" s="1"/>
      <c r="AE216" s="1"/>
      <c r="AF216" s="1"/>
      <c r="AG216" s="1"/>
      <c r="AH216" s="26"/>
      <c r="AI216" s="26"/>
      <c r="AJ216" s="26"/>
      <c r="AK216" s="26"/>
      <c r="AL216" s="26"/>
      <c r="AM216" s="26"/>
      <c r="AN216" s="26"/>
      <c r="AO216" s="26"/>
      <c r="AP216" s="26"/>
      <c r="AQ216" s="26"/>
      <c r="AR216" s="26"/>
      <c r="AS216" s="26"/>
      <c r="AT216" s="26"/>
      <c r="AU216" s="26"/>
      <c r="AV216" s="26"/>
      <c r="AW216" s="26"/>
      <c r="AX216" s="26"/>
      <c r="AY216" s="1"/>
      <c r="AZ216" s="26"/>
      <c r="BA216" s="26"/>
      <c r="BB216" s="26"/>
      <c r="BC216" s="26"/>
      <c r="BD216" s="26"/>
      <c r="BE216" s="26"/>
      <c r="BF216" s="26"/>
      <c r="BG216" s="26"/>
      <c r="BH216" s="26"/>
      <c r="BI216" s="26"/>
      <c r="BJ216" s="26"/>
      <c r="BK216" s="26"/>
      <c r="BL216" s="26"/>
      <c r="BM216" s="26"/>
      <c r="BN216" s="26"/>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96"/>
      <c r="CP216" s="14"/>
      <c r="CQ216" s="14"/>
      <c r="CR216" s="14"/>
      <c r="CS216" s="14"/>
      <c r="CT216" s="1"/>
      <c r="CU216" s="14"/>
      <c r="CV216" s="1"/>
      <c r="CW216" s="1"/>
      <c r="CX216" s="14"/>
      <c r="CY216" s="1"/>
      <c r="CZ216" s="1"/>
      <c r="DA216" s="1"/>
      <c r="DB216" s="1"/>
      <c r="DC216" s="1"/>
      <c r="DD216" s="1"/>
      <c r="DE216" s="1"/>
      <c r="DF216" s="1"/>
      <c r="DG216" s="1"/>
      <c r="DH216" s="1"/>
      <c r="DI216" s="1"/>
      <c r="DJ216" s="1"/>
      <c r="DK216" s="1"/>
      <c r="DL216" s="1"/>
      <c r="DM216" s="1"/>
      <c r="DN216" s="1"/>
      <c r="DO216" s="1"/>
      <c r="DP216" s="1"/>
      <c r="DQ216" s="1"/>
      <c r="DR216" s="1"/>
      <c r="DS216" s="1"/>
      <c r="DT216" s="1"/>
      <c r="DU216" s="14"/>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29"/>
    </row>
    <row r="217" spans="1:160" x14ac:dyDescent="0.25">
      <c r="A217" s="5"/>
      <c r="B217" s="1"/>
      <c r="C217" s="98"/>
      <c r="D217" s="98"/>
      <c r="E217" s="1"/>
      <c r="F217" s="22"/>
      <c r="G217" s="22"/>
      <c r="H217" s="22"/>
      <c r="I217" s="22"/>
      <c r="J217" s="22"/>
      <c r="K217" s="22"/>
      <c r="L217" s="22"/>
      <c r="M217" s="22"/>
      <c r="N217" s="22"/>
      <c r="O217" s="22"/>
      <c r="P217" s="22"/>
      <c r="Q217" s="22"/>
      <c r="R217" s="1"/>
      <c r="S217" s="1"/>
      <c r="T217" s="8"/>
      <c r="U217" s="1"/>
      <c r="V217" s="1"/>
      <c r="W217" s="1"/>
      <c r="X217" s="1"/>
      <c r="Y217" s="1"/>
      <c r="Z217" s="1"/>
      <c r="AA217" s="1"/>
      <c r="AC217" s="1"/>
      <c r="AD217" s="1"/>
      <c r="AE217" s="1"/>
      <c r="AF217" s="1"/>
      <c r="AG217" s="1"/>
      <c r="AH217" s="26"/>
      <c r="AI217" s="26"/>
      <c r="AJ217" s="26"/>
      <c r="AK217" s="26"/>
      <c r="AL217" s="26"/>
      <c r="AM217" s="26"/>
      <c r="AN217" s="26"/>
      <c r="AO217" s="26"/>
      <c r="AP217" s="26"/>
      <c r="AQ217" s="26"/>
      <c r="AR217" s="26"/>
      <c r="AS217" s="26"/>
      <c r="AT217" s="26"/>
      <c r="AU217" s="26"/>
      <c r="AV217" s="26"/>
      <c r="AW217" s="26"/>
      <c r="AX217" s="26"/>
      <c r="AY217" s="1"/>
      <c r="AZ217" s="26"/>
      <c r="BA217" s="26"/>
      <c r="BB217" s="26"/>
      <c r="BC217" s="26"/>
      <c r="BD217" s="26"/>
      <c r="BE217" s="26"/>
      <c r="BF217" s="26"/>
      <c r="BG217" s="26"/>
      <c r="BH217" s="26"/>
      <c r="BI217" s="26"/>
      <c r="BJ217" s="26"/>
      <c r="BK217" s="26"/>
      <c r="BL217" s="26"/>
      <c r="BM217" s="26"/>
      <c r="BN217" s="26"/>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96"/>
      <c r="CP217" s="14"/>
      <c r="CQ217" s="14"/>
      <c r="CR217" s="14"/>
      <c r="CS217" s="14"/>
      <c r="CT217" s="1"/>
      <c r="CU217" s="14"/>
      <c r="CV217" s="1"/>
      <c r="CW217" s="1"/>
      <c r="CX217" s="14"/>
      <c r="CY217" s="1"/>
      <c r="CZ217" s="1"/>
      <c r="DA217" s="1"/>
      <c r="DB217" s="1"/>
      <c r="DC217" s="1"/>
      <c r="DD217" s="1"/>
      <c r="DE217" s="1"/>
      <c r="DF217" s="1"/>
      <c r="DG217" s="1"/>
      <c r="DH217" s="1"/>
      <c r="DI217" s="1"/>
      <c r="DJ217" s="1"/>
      <c r="DK217" s="1"/>
      <c r="DL217" s="1"/>
      <c r="DM217" s="1"/>
      <c r="DN217" s="1"/>
      <c r="DO217" s="1"/>
      <c r="DP217" s="1"/>
      <c r="DQ217" s="1"/>
      <c r="DR217" s="1"/>
      <c r="DS217" s="1"/>
      <c r="DT217" s="1"/>
      <c r="DU217" s="14"/>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29"/>
    </row>
    <row r="218" spans="1:160" x14ac:dyDescent="0.25">
      <c r="A218" s="5"/>
      <c r="B218" s="1"/>
      <c r="C218" s="98"/>
      <c r="D218" s="98"/>
      <c r="E218" s="1"/>
      <c r="F218" s="22"/>
      <c r="G218" s="22"/>
      <c r="H218" s="22"/>
      <c r="I218" s="22"/>
      <c r="J218" s="22"/>
      <c r="K218" s="22"/>
      <c r="L218" s="22"/>
      <c r="M218" s="22"/>
      <c r="N218" s="22"/>
      <c r="O218" s="22"/>
      <c r="P218" s="22"/>
      <c r="Q218" s="22"/>
      <c r="R218" s="1"/>
      <c r="S218" s="1"/>
      <c r="T218" s="8"/>
      <c r="U218" s="1"/>
      <c r="V218" s="1"/>
      <c r="W218" s="1"/>
      <c r="X218" s="1"/>
      <c r="Y218" s="1"/>
      <c r="Z218" s="1"/>
      <c r="AA218" s="1"/>
      <c r="AC218" s="1"/>
      <c r="AD218" s="1"/>
      <c r="AE218" s="1"/>
      <c r="AF218" s="1"/>
      <c r="AG218" s="1"/>
      <c r="AH218" s="26"/>
      <c r="AI218" s="26"/>
      <c r="AJ218" s="26"/>
      <c r="AK218" s="26"/>
      <c r="AL218" s="26"/>
      <c r="AM218" s="26"/>
      <c r="AN218" s="26"/>
      <c r="AO218" s="26"/>
      <c r="AP218" s="26"/>
      <c r="AQ218" s="26"/>
      <c r="AR218" s="26"/>
      <c r="AS218" s="26"/>
      <c r="AT218" s="26"/>
      <c r="AU218" s="26"/>
      <c r="AV218" s="26"/>
      <c r="AW218" s="26"/>
      <c r="AX218" s="26"/>
      <c r="AY218" s="1"/>
      <c r="AZ218" s="26"/>
      <c r="BA218" s="26"/>
      <c r="BB218" s="26"/>
      <c r="BC218" s="26"/>
      <c r="BD218" s="26"/>
      <c r="BE218" s="26"/>
      <c r="BF218" s="26"/>
      <c r="BG218" s="26"/>
      <c r="BH218" s="26"/>
      <c r="BI218" s="26"/>
      <c r="BJ218" s="26"/>
      <c r="BK218" s="26"/>
      <c r="BL218" s="26"/>
      <c r="BM218" s="26"/>
      <c r="BN218" s="26"/>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96"/>
      <c r="CP218" s="14"/>
      <c r="CQ218" s="14"/>
      <c r="CR218" s="14"/>
      <c r="CS218" s="14"/>
      <c r="CT218" s="1"/>
      <c r="CU218" s="14"/>
      <c r="CV218" s="1"/>
      <c r="CW218" s="1"/>
      <c r="CX218" s="14"/>
      <c r="CY218" s="1"/>
      <c r="CZ218" s="1"/>
      <c r="DA218" s="1"/>
      <c r="DB218" s="1"/>
      <c r="DC218" s="1"/>
      <c r="DD218" s="1"/>
      <c r="DE218" s="1"/>
      <c r="DF218" s="1"/>
      <c r="DG218" s="1"/>
      <c r="DH218" s="1"/>
      <c r="DI218" s="1"/>
      <c r="DJ218" s="1"/>
      <c r="DK218" s="1"/>
      <c r="DL218" s="1"/>
      <c r="DM218" s="1"/>
      <c r="DN218" s="1"/>
      <c r="DO218" s="1"/>
      <c r="DP218" s="1"/>
      <c r="DQ218" s="1"/>
      <c r="DR218" s="1"/>
      <c r="DS218" s="1"/>
      <c r="DT218" s="1"/>
      <c r="DU218" s="14"/>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29"/>
    </row>
    <row r="219" spans="1:160" x14ac:dyDescent="0.25">
      <c r="A219" s="5"/>
      <c r="B219" s="1"/>
      <c r="C219" s="98"/>
      <c r="D219" s="98"/>
      <c r="E219" s="1"/>
      <c r="F219" s="22"/>
      <c r="G219" s="22"/>
      <c r="H219" s="22"/>
      <c r="I219" s="22"/>
      <c r="J219" s="22"/>
      <c r="K219" s="22"/>
      <c r="L219" s="22"/>
      <c r="M219" s="22"/>
      <c r="N219" s="22"/>
      <c r="O219" s="22"/>
      <c r="P219" s="22"/>
      <c r="Q219" s="22"/>
      <c r="R219" s="1"/>
      <c r="S219" s="1"/>
      <c r="T219" s="8"/>
      <c r="U219" s="1"/>
      <c r="V219" s="1"/>
      <c r="W219" s="1"/>
      <c r="X219" s="1"/>
      <c r="Y219" s="1"/>
      <c r="Z219" s="1"/>
      <c r="AA219" s="1"/>
      <c r="AC219" s="1"/>
      <c r="AD219" s="1"/>
      <c r="AE219" s="1"/>
      <c r="AF219" s="1"/>
      <c r="AG219" s="1"/>
      <c r="AH219" s="26"/>
      <c r="AI219" s="26"/>
      <c r="AJ219" s="26"/>
      <c r="AK219" s="26"/>
      <c r="AL219" s="26"/>
      <c r="AM219" s="26"/>
      <c r="AN219" s="26"/>
      <c r="AO219" s="26"/>
      <c r="AP219" s="26"/>
      <c r="AQ219" s="26"/>
      <c r="AR219" s="26"/>
      <c r="AS219" s="26"/>
      <c r="AT219" s="26"/>
      <c r="AU219" s="26"/>
      <c r="AV219" s="26"/>
      <c r="AW219" s="26"/>
      <c r="AX219" s="26"/>
      <c r="AY219" s="1"/>
      <c r="AZ219" s="26"/>
      <c r="BA219" s="26"/>
      <c r="BB219" s="26"/>
      <c r="BC219" s="26"/>
      <c r="BD219" s="26"/>
      <c r="BE219" s="26"/>
      <c r="BF219" s="26"/>
      <c r="BG219" s="26"/>
      <c r="BH219" s="26"/>
      <c r="BI219" s="26"/>
      <c r="BJ219" s="26"/>
      <c r="BK219" s="26"/>
      <c r="BL219" s="26"/>
      <c r="BM219" s="26"/>
      <c r="BN219" s="26"/>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96"/>
      <c r="CP219" s="14"/>
      <c r="CQ219" s="14"/>
      <c r="CR219" s="14"/>
      <c r="CS219" s="14"/>
      <c r="CT219" s="1"/>
      <c r="CU219" s="14"/>
      <c r="CV219" s="1"/>
      <c r="CW219" s="1"/>
      <c r="CX219" s="14"/>
      <c r="CY219" s="1"/>
      <c r="CZ219" s="1"/>
      <c r="DA219" s="1"/>
      <c r="DB219" s="1"/>
      <c r="DC219" s="1"/>
      <c r="DD219" s="1"/>
      <c r="DE219" s="1"/>
      <c r="DF219" s="1"/>
      <c r="DG219" s="1"/>
      <c r="DH219" s="1"/>
      <c r="DI219" s="1"/>
      <c r="DJ219" s="1"/>
      <c r="DK219" s="1"/>
      <c r="DL219" s="1"/>
      <c r="DM219" s="1"/>
      <c r="DN219" s="1"/>
      <c r="DO219" s="1"/>
      <c r="DP219" s="1"/>
      <c r="DQ219" s="1"/>
      <c r="DR219" s="1"/>
      <c r="DS219" s="1"/>
      <c r="DT219" s="1"/>
      <c r="DU219" s="14"/>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29"/>
    </row>
    <row r="220" spans="1:160" x14ac:dyDescent="0.25">
      <c r="A220" s="5"/>
      <c r="B220" s="1"/>
      <c r="C220" s="98"/>
      <c r="D220" s="98"/>
      <c r="E220" s="1"/>
      <c r="F220" s="22"/>
      <c r="G220" s="22"/>
      <c r="H220" s="22"/>
      <c r="I220" s="22"/>
      <c r="J220" s="22"/>
      <c r="K220" s="22"/>
      <c r="L220" s="22"/>
      <c r="M220" s="22"/>
      <c r="N220" s="22"/>
      <c r="O220" s="22"/>
      <c r="P220" s="22"/>
      <c r="Q220" s="22"/>
      <c r="R220" s="1"/>
      <c r="S220" s="1"/>
      <c r="T220" s="8"/>
      <c r="U220" s="1"/>
      <c r="V220" s="1"/>
      <c r="W220" s="1"/>
      <c r="X220" s="1"/>
      <c r="Y220" s="1"/>
      <c r="Z220" s="1"/>
      <c r="AA220" s="1"/>
      <c r="AC220" s="1"/>
      <c r="AD220" s="1"/>
      <c r="AE220" s="1"/>
      <c r="AF220" s="1"/>
      <c r="AG220" s="1"/>
      <c r="AH220" s="26"/>
      <c r="AI220" s="26"/>
      <c r="AJ220" s="26"/>
      <c r="AK220" s="26"/>
      <c r="AL220" s="26"/>
      <c r="AM220" s="26"/>
      <c r="AN220" s="26"/>
      <c r="AO220" s="26"/>
      <c r="AP220" s="26"/>
      <c r="AQ220" s="26"/>
      <c r="AR220" s="26"/>
      <c r="AS220" s="26"/>
      <c r="AT220" s="26"/>
      <c r="AU220" s="26"/>
      <c r="AV220" s="26"/>
      <c r="AW220" s="26"/>
      <c r="AX220" s="26"/>
      <c r="AY220" s="1"/>
      <c r="AZ220" s="26"/>
      <c r="BA220" s="26"/>
      <c r="BB220" s="26"/>
      <c r="BC220" s="26"/>
      <c r="BD220" s="26"/>
      <c r="BE220" s="26"/>
      <c r="BF220" s="26"/>
      <c r="BG220" s="26"/>
      <c r="BH220" s="26"/>
      <c r="BI220" s="26"/>
      <c r="BJ220" s="26"/>
      <c r="BK220" s="26"/>
      <c r="BL220" s="26"/>
      <c r="BM220" s="26"/>
      <c r="BN220" s="26"/>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96"/>
      <c r="CP220" s="14"/>
      <c r="CQ220" s="14"/>
      <c r="CR220" s="14"/>
      <c r="CS220" s="14"/>
      <c r="CT220" s="1"/>
      <c r="CU220" s="14"/>
      <c r="CV220" s="1"/>
      <c r="CW220" s="1"/>
      <c r="CX220" s="14"/>
      <c r="CY220" s="1"/>
      <c r="CZ220" s="1"/>
      <c r="DA220" s="1"/>
      <c r="DB220" s="1"/>
      <c r="DC220" s="1"/>
      <c r="DD220" s="1"/>
      <c r="DE220" s="1"/>
      <c r="DF220" s="1"/>
      <c r="DG220" s="1"/>
      <c r="DH220" s="1"/>
      <c r="DI220" s="1"/>
      <c r="DJ220" s="1"/>
      <c r="DK220" s="1"/>
      <c r="DL220" s="1"/>
      <c r="DM220" s="1"/>
      <c r="DN220" s="1"/>
      <c r="DO220" s="1"/>
      <c r="DP220" s="1"/>
      <c r="DQ220" s="1"/>
      <c r="DR220" s="1"/>
      <c r="DS220" s="1"/>
      <c r="DT220" s="1"/>
      <c r="DU220" s="14"/>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29"/>
    </row>
    <row r="221" spans="1:160" x14ac:dyDescent="0.25">
      <c r="A221" s="5"/>
      <c r="B221" s="1"/>
      <c r="C221" s="98"/>
      <c r="D221" s="98"/>
      <c r="E221" s="1"/>
      <c r="F221" s="22"/>
      <c r="G221" s="22"/>
      <c r="H221" s="22"/>
      <c r="I221" s="22"/>
      <c r="J221" s="22"/>
      <c r="K221" s="22"/>
      <c r="L221" s="22"/>
      <c r="M221" s="22"/>
      <c r="N221" s="22"/>
      <c r="O221" s="22"/>
      <c r="P221" s="22"/>
      <c r="Q221" s="22"/>
      <c r="R221" s="1"/>
      <c r="S221" s="1"/>
      <c r="T221" s="8"/>
      <c r="U221" s="1"/>
      <c r="V221" s="1"/>
      <c r="W221" s="1"/>
      <c r="X221" s="1"/>
      <c r="Y221" s="1"/>
      <c r="Z221" s="1"/>
      <c r="AA221" s="1"/>
      <c r="AC221" s="1"/>
      <c r="AD221" s="1"/>
      <c r="AE221" s="1"/>
      <c r="AF221" s="1"/>
      <c r="AG221" s="1"/>
      <c r="AH221" s="26"/>
      <c r="AI221" s="26"/>
      <c r="AJ221" s="26"/>
      <c r="AK221" s="26"/>
      <c r="AL221" s="26"/>
      <c r="AM221" s="26"/>
      <c r="AN221" s="26"/>
      <c r="AO221" s="26"/>
      <c r="AP221" s="26"/>
      <c r="AQ221" s="26"/>
      <c r="AR221" s="26"/>
      <c r="AS221" s="26"/>
      <c r="AT221" s="26"/>
      <c r="AU221" s="26"/>
      <c r="AV221" s="26"/>
      <c r="AW221" s="26"/>
      <c r="AX221" s="26"/>
      <c r="AY221" s="1"/>
      <c r="AZ221" s="26"/>
      <c r="BA221" s="26"/>
      <c r="BB221" s="26"/>
      <c r="BC221" s="26"/>
      <c r="BD221" s="26"/>
      <c r="BE221" s="26"/>
      <c r="BF221" s="26"/>
      <c r="BG221" s="26"/>
      <c r="BH221" s="26"/>
      <c r="BI221" s="26"/>
      <c r="BJ221" s="26"/>
      <c r="BK221" s="26"/>
      <c r="BL221" s="26"/>
      <c r="BM221" s="26"/>
      <c r="BN221" s="26"/>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96"/>
      <c r="CP221" s="14"/>
      <c r="CQ221" s="14"/>
      <c r="CR221" s="14"/>
      <c r="CS221" s="14"/>
      <c r="CT221" s="1"/>
      <c r="CU221" s="14"/>
      <c r="CV221" s="1"/>
      <c r="CW221" s="1"/>
      <c r="CX221" s="14"/>
      <c r="CY221" s="1"/>
      <c r="CZ221" s="1"/>
      <c r="DA221" s="1"/>
      <c r="DB221" s="1"/>
      <c r="DC221" s="1"/>
      <c r="DD221" s="1"/>
      <c r="DE221" s="1"/>
      <c r="DF221" s="1"/>
      <c r="DG221" s="1"/>
      <c r="DH221" s="1"/>
      <c r="DI221" s="1"/>
      <c r="DJ221" s="1"/>
      <c r="DK221" s="1"/>
      <c r="DL221" s="1"/>
      <c r="DM221" s="1"/>
      <c r="DN221" s="1"/>
      <c r="DO221" s="1"/>
      <c r="DP221" s="1"/>
      <c r="DQ221" s="1"/>
      <c r="DR221" s="1"/>
      <c r="DS221" s="1"/>
      <c r="DT221" s="1"/>
      <c r="DU221" s="14"/>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29"/>
    </row>
    <row r="222" spans="1:160" x14ac:dyDescent="0.25">
      <c r="A222" s="5"/>
      <c r="B222" s="1"/>
      <c r="C222" s="98"/>
      <c r="D222" s="98"/>
      <c r="E222" s="1"/>
      <c r="F222" s="22"/>
      <c r="G222" s="22"/>
      <c r="H222" s="22"/>
      <c r="I222" s="22"/>
      <c r="J222" s="22"/>
      <c r="K222" s="22"/>
      <c r="L222" s="22"/>
      <c r="M222" s="22"/>
      <c r="N222" s="22"/>
      <c r="O222" s="22"/>
      <c r="P222" s="22"/>
      <c r="Q222" s="22"/>
      <c r="R222" s="1"/>
      <c r="S222" s="1"/>
      <c r="T222" s="8"/>
      <c r="U222" s="1"/>
      <c r="V222" s="1"/>
      <c r="W222" s="1"/>
      <c r="X222" s="1"/>
      <c r="Y222" s="1"/>
      <c r="Z222" s="1"/>
      <c r="AA222" s="1"/>
      <c r="AC222" s="1"/>
      <c r="AD222" s="1"/>
      <c r="AE222" s="1"/>
      <c r="AF222" s="1"/>
      <c r="AG222" s="1"/>
      <c r="AH222" s="26"/>
      <c r="AI222" s="26"/>
      <c r="AJ222" s="26"/>
      <c r="AK222" s="26"/>
      <c r="AL222" s="26"/>
      <c r="AM222" s="26"/>
      <c r="AN222" s="26"/>
      <c r="AO222" s="26"/>
      <c r="AP222" s="26"/>
      <c r="AQ222" s="26"/>
      <c r="AR222" s="26"/>
      <c r="AS222" s="26"/>
      <c r="AT222" s="26"/>
      <c r="AU222" s="26"/>
      <c r="AV222" s="26"/>
      <c r="AW222" s="26"/>
      <c r="AX222" s="26"/>
      <c r="AY222" s="1"/>
      <c r="AZ222" s="26"/>
      <c r="BA222" s="26"/>
      <c r="BB222" s="26"/>
      <c r="BC222" s="26"/>
      <c r="BD222" s="26"/>
      <c r="BE222" s="26"/>
      <c r="BF222" s="26"/>
      <c r="BG222" s="26"/>
      <c r="BH222" s="26"/>
      <c r="BI222" s="26"/>
      <c r="BJ222" s="26"/>
      <c r="BK222" s="26"/>
      <c r="BL222" s="26"/>
      <c r="BM222" s="26"/>
      <c r="BN222" s="26"/>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96"/>
      <c r="CP222" s="14"/>
      <c r="CQ222" s="14"/>
      <c r="CR222" s="14"/>
      <c r="CS222" s="14"/>
      <c r="CT222" s="1"/>
      <c r="CU222" s="14"/>
      <c r="CV222" s="1"/>
      <c r="CW222" s="1"/>
      <c r="CX222" s="14"/>
      <c r="CY222" s="1"/>
      <c r="CZ222" s="1"/>
      <c r="DA222" s="1"/>
      <c r="DB222" s="1"/>
      <c r="DC222" s="1"/>
      <c r="DD222" s="1"/>
      <c r="DE222" s="1"/>
      <c r="DF222" s="1"/>
      <c r="DG222" s="1"/>
      <c r="DH222" s="1"/>
      <c r="DI222" s="1"/>
      <c r="DJ222" s="1"/>
      <c r="DK222" s="1"/>
      <c r="DL222" s="1"/>
      <c r="DM222" s="1"/>
      <c r="DN222" s="1"/>
      <c r="DO222" s="1"/>
      <c r="DP222" s="1"/>
      <c r="DQ222" s="1"/>
      <c r="DR222" s="1"/>
      <c r="DS222" s="1"/>
      <c r="DT222" s="1"/>
      <c r="DU222" s="14"/>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29"/>
    </row>
    <row r="223" spans="1:160" x14ac:dyDescent="0.25">
      <c r="A223" s="5"/>
      <c r="B223" s="1"/>
      <c r="C223" s="98"/>
      <c r="D223" s="98"/>
      <c r="E223" s="1"/>
      <c r="F223" s="22"/>
      <c r="G223" s="22"/>
      <c r="H223" s="22"/>
      <c r="I223" s="22"/>
      <c r="J223" s="22"/>
      <c r="K223" s="22"/>
      <c r="L223" s="22"/>
      <c r="M223" s="22"/>
      <c r="N223" s="22"/>
      <c r="O223" s="22"/>
      <c r="P223" s="22"/>
      <c r="Q223" s="22"/>
      <c r="R223" s="1"/>
      <c r="S223" s="1"/>
      <c r="T223" s="8"/>
      <c r="U223" s="1"/>
      <c r="V223" s="1"/>
      <c r="W223" s="1"/>
      <c r="X223" s="1"/>
      <c r="Y223" s="1"/>
      <c r="Z223" s="1"/>
      <c r="AA223" s="1"/>
      <c r="AC223" s="1"/>
      <c r="AD223" s="1"/>
      <c r="AE223" s="1"/>
      <c r="AF223" s="1"/>
      <c r="AG223" s="1"/>
      <c r="AH223" s="26"/>
      <c r="AI223" s="26"/>
      <c r="AJ223" s="26"/>
      <c r="AK223" s="26"/>
      <c r="AL223" s="26"/>
      <c r="AM223" s="26"/>
      <c r="AN223" s="26"/>
      <c r="AO223" s="26"/>
      <c r="AP223" s="26"/>
      <c r="AQ223" s="26"/>
      <c r="AR223" s="26"/>
      <c r="AS223" s="26"/>
      <c r="AT223" s="26"/>
      <c r="AU223" s="26"/>
      <c r="AV223" s="26"/>
      <c r="AW223" s="26"/>
      <c r="AX223" s="26"/>
      <c r="AY223" s="1"/>
      <c r="AZ223" s="26"/>
      <c r="BA223" s="26"/>
      <c r="BB223" s="26"/>
      <c r="BC223" s="26"/>
      <c r="BD223" s="26"/>
      <c r="BE223" s="26"/>
      <c r="BF223" s="26"/>
      <c r="BG223" s="26"/>
      <c r="BH223" s="26"/>
      <c r="BI223" s="26"/>
      <c r="BJ223" s="26"/>
      <c r="BK223" s="26"/>
      <c r="BL223" s="26"/>
      <c r="BM223" s="26"/>
      <c r="BN223" s="26"/>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96"/>
      <c r="CP223" s="14"/>
      <c r="CQ223" s="14"/>
      <c r="CR223" s="14"/>
      <c r="CS223" s="14"/>
      <c r="CT223" s="1"/>
      <c r="CU223" s="14"/>
      <c r="CV223" s="1"/>
      <c r="CW223" s="1"/>
      <c r="CX223" s="14"/>
      <c r="CY223" s="1"/>
      <c r="CZ223" s="1"/>
      <c r="DA223" s="1"/>
      <c r="DB223" s="1"/>
      <c r="DC223" s="1"/>
      <c r="DD223" s="1"/>
      <c r="DE223" s="1"/>
      <c r="DF223" s="1"/>
      <c r="DG223" s="1"/>
      <c r="DH223" s="1"/>
      <c r="DI223" s="1"/>
      <c r="DJ223" s="1"/>
      <c r="DK223" s="1"/>
      <c r="DL223" s="1"/>
      <c r="DM223" s="1"/>
      <c r="DN223" s="1"/>
      <c r="DO223" s="1"/>
      <c r="DP223" s="1"/>
      <c r="DQ223" s="1"/>
      <c r="DR223" s="1"/>
      <c r="DS223" s="1"/>
      <c r="DT223" s="1"/>
      <c r="DU223" s="14"/>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29"/>
    </row>
    <row r="224" spans="1:160" x14ac:dyDescent="0.25">
      <c r="A224" s="5"/>
      <c r="B224" s="1"/>
      <c r="C224" s="98"/>
      <c r="D224" s="98"/>
      <c r="E224" s="1"/>
      <c r="F224" s="22"/>
      <c r="G224" s="22"/>
      <c r="H224" s="22"/>
      <c r="I224" s="22"/>
      <c r="J224" s="22"/>
      <c r="K224" s="22"/>
      <c r="L224" s="22"/>
      <c r="M224" s="22"/>
      <c r="N224" s="22"/>
      <c r="O224" s="22"/>
      <c r="P224" s="22"/>
      <c r="Q224" s="22"/>
      <c r="R224" s="1"/>
      <c r="S224" s="1"/>
      <c r="T224" s="8"/>
      <c r="U224" s="1"/>
      <c r="V224" s="1"/>
      <c r="W224" s="1"/>
      <c r="X224" s="1"/>
      <c r="Y224" s="1"/>
      <c r="Z224" s="1"/>
      <c r="AA224" s="1"/>
      <c r="AC224" s="1"/>
      <c r="AD224" s="1"/>
      <c r="AE224" s="1"/>
      <c r="AF224" s="1"/>
      <c r="AG224" s="1"/>
      <c r="AH224" s="26"/>
      <c r="AI224" s="26"/>
      <c r="AJ224" s="26"/>
      <c r="AK224" s="26"/>
      <c r="AL224" s="26"/>
      <c r="AM224" s="26"/>
      <c r="AN224" s="26"/>
      <c r="AO224" s="26"/>
      <c r="AP224" s="26"/>
      <c r="AQ224" s="26"/>
      <c r="AR224" s="26"/>
      <c r="AS224" s="26"/>
      <c r="AT224" s="26"/>
      <c r="AU224" s="26"/>
      <c r="AV224" s="26"/>
      <c r="AW224" s="26"/>
      <c r="AX224" s="26"/>
      <c r="AY224" s="1"/>
      <c r="AZ224" s="26"/>
      <c r="BA224" s="26"/>
      <c r="BB224" s="26"/>
      <c r="BC224" s="26"/>
      <c r="BD224" s="26"/>
      <c r="BE224" s="26"/>
      <c r="BF224" s="26"/>
      <c r="BG224" s="26"/>
      <c r="BH224" s="26"/>
      <c r="BI224" s="26"/>
      <c r="BJ224" s="26"/>
      <c r="BK224" s="26"/>
      <c r="BL224" s="26"/>
      <c r="BM224" s="26"/>
      <c r="BN224" s="26"/>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96"/>
      <c r="CP224" s="14"/>
      <c r="CQ224" s="14"/>
      <c r="CR224" s="14"/>
      <c r="CS224" s="14"/>
      <c r="CT224" s="1"/>
      <c r="CU224" s="14"/>
      <c r="CV224" s="1"/>
      <c r="CW224" s="1"/>
      <c r="CX224" s="14"/>
      <c r="CY224" s="1"/>
      <c r="CZ224" s="1"/>
      <c r="DA224" s="1"/>
      <c r="DB224" s="1"/>
      <c r="DC224" s="1"/>
      <c r="DD224" s="1"/>
      <c r="DE224" s="1"/>
      <c r="DF224" s="1"/>
      <c r="DG224" s="1"/>
      <c r="DH224" s="1"/>
      <c r="DI224" s="1"/>
      <c r="DJ224" s="1"/>
      <c r="DK224" s="1"/>
      <c r="DL224" s="1"/>
      <c r="DM224" s="1"/>
      <c r="DN224" s="1"/>
      <c r="DO224" s="1"/>
      <c r="DP224" s="1"/>
      <c r="DQ224" s="1"/>
      <c r="DR224" s="1"/>
      <c r="DS224" s="1"/>
      <c r="DT224" s="1"/>
      <c r="DU224" s="14"/>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29"/>
    </row>
    <row r="225" spans="1:160" x14ac:dyDescent="0.25">
      <c r="A225" s="5"/>
      <c r="B225" s="1"/>
      <c r="C225" s="98"/>
      <c r="D225" s="98"/>
      <c r="E225" s="1"/>
      <c r="F225" s="22"/>
      <c r="G225" s="22"/>
      <c r="H225" s="22"/>
      <c r="I225" s="22"/>
      <c r="J225" s="22"/>
      <c r="K225" s="22"/>
      <c r="L225" s="22"/>
      <c r="M225" s="22"/>
      <c r="N225" s="22"/>
      <c r="O225" s="22"/>
      <c r="P225" s="22"/>
      <c r="Q225" s="22"/>
      <c r="R225" s="1"/>
      <c r="S225" s="1"/>
      <c r="T225" s="8"/>
      <c r="U225" s="1"/>
      <c r="V225" s="1"/>
      <c r="W225" s="1"/>
      <c r="X225" s="1"/>
      <c r="Y225" s="1"/>
      <c r="Z225" s="1"/>
      <c r="AA225" s="1"/>
      <c r="AC225" s="1"/>
      <c r="AD225" s="1"/>
      <c r="AE225" s="1"/>
      <c r="AF225" s="1"/>
      <c r="AG225" s="1"/>
      <c r="AH225" s="26"/>
      <c r="AI225" s="26"/>
      <c r="AJ225" s="26"/>
      <c r="AK225" s="26"/>
      <c r="AL225" s="26"/>
      <c r="AM225" s="26"/>
      <c r="AN225" s="26"/>
      <c r="AO225" s="26"/>
      <c r="AP225" s="26"/>
      <c r="AQ225" s="26"/>
      <c r="AR225" s="26"/>
      <c r="AS225" s="26"/>
      <c r="AT225" s="26"/>
      <c r="AU225" s="26"/>
      <c r="AV225" s="26"/>
      <c r="AW225" s="26"/>
      <c r="AX225" s="26"/>
      <c r="AY225" s="1"/>
      <c r="AZ225" s="26"/>
      <c r="BA225" s="26"/>
      <c r="BB225" s="26"/>
      <c r="BC225" s="26"/>
      <c r="BD225" s="26"/>
      <c r="BE225" s="26"/>
      <c r="BF225" s="26"/>
      <c r="BG225" s="26"/>
      <c r="BH225" s="26"/>
      <c r="BI225" s="26"/>
      <c r="BJ225" s="26"/>
      <c r="BK225" s="26"/>
      <c r="BL225" s="26"/>
      <c r="BM225" s="26"/>
      <c r="BN225" s="26"/>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96"/>
      <c r="CP225" s="14"/>
      <c r="CQ225" s="14"/>
      <c r="CR225" s="14"/>
      <c r="CS225" s="14"/>
      <c r="CT225" s="1"/>
      <c r="CU225" s="14"/>
      <c r="CV225" s="1"/>
      <c r="CW225" s="1"/>
      <c r="CX225" s="14"/>
      <c r="CY225" s="1"/>
      <c r="CZ225" s="1"/>
      <c r="DA225" s="1"/>
      <c r="DB225" s="1"/>
      <c r="DC225" s="1"/>
      <c r="DD225" s="1"/>
      <c r="DE225" s="1"/>
      <c r="DF225" s="1"/>
      <c r="DG225" s="1"/>
      <c r="DH225" s="1"/>
      <c r="DI225" s="1"/>
      <c r="DJ225" s="1"/>
      <c r="DK225" s="1"/>
      <c r="DL225" s="1"/>
      <c r="DM225" s="1"/>
      <c r="DN225" s="1"/>
      <c r="DO225" s="1"/>
      <c r="DP225" s="1"/>
      <c r="DQ225" s="1"/>
      <c r="DR225" s="1"/>
      <c r="DS225" s="1"/>
      <c r="DT225" s="1"/>
      <c r="DU225" s="14"/>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29"/>
    </row>
    <row r="226" spans="1:160" x14ac:dyDescent="0.25">
      <c r="A226" s="5"/>
      <c r="B226" s="1"/>
      <c r="C226" s="98"/>
      <c r="D226" s="98"/>
      <c r="E226" s="1"/>
      <c r="F226" s="22"/>
      <c r="G226" s="22"/>
      <c r="H226" s="22"/>
      <c r="I226" s="22"/>
      <c r="J226" s="22"/>
      <c r="K226" s="22"/>
      <c r="L226" s="22"/>
      <c r="M226" s="22"/>
      <c r="N226" s="22"/>
      <c r="O226" s="22"/>
      <c r="P226" s="22"/>
      <c r="Q226" s="22"/>
      <c r="R226" s="1"/>
      <c r="S226" s="1"/>
      <c r="T226" s="8"/>
      <c r="U226" s="1"/>
      <c r="V226" s="1"/>
      <c r="W226" s="1"/>
      <c r="X226" s="1"/>
      <c r="Y226" s="1"/>
      <c r="Z226" s="1"/>
      <c r="AA226" s="1"/>
      <c r="AC226" s="1"/>
      <c r="AD226" s="1"/>
      <c r="AE226" s="1"/>
      <c r="AF226" s="1"/>
      <c r="AG226" s="1"/>
      <c r="AH226" s="26"/>
      <c r="AI226" s="26"/>
      <c r="AJ226" s="26"/>
      <c r="AK226" s="26"/>
      <c r="AL226" s="26"/>
      <c r="AM226" s="26"/>
      <c r="AN226" s="26"/>
      <c r="AO226" s="26"/>
      <c r="AP226" s="26"/>
      <c r="AQ226" s="26"/>
      <c r="AR226" s="26"/>
      <c r="AS226" s="26"/>
      <c r="AT226" s="26"/>
      <c r="AU226" s="26"/>
      <c r="AV226" s="26"/>
      <c r="AW226" s="26"/>
      <c r="AX226" s="26"/>
      <c r="AY226" s="1"/>
      <c r="AZ226" s="26"/>
      <c r="BA226" s="26"/>
      <c r="BB226" s="26"/>
      <c r="BC226" s="26"/>
      <c r="BD226" s="26"/>
      <c r="BE226" s="26"/>
      <c r="BF226" s="26"/>
      <c r="BG226" s="26"/>
      <c r="BH226" s="26"/>
      <c r="BI226" s="26"/>
      <c r="BJ226" s="26"/>
      <c r="BK226" s="26"/>
      <c r="BL226" s="26"/>
      <c r="BM226" s="26"/>
      <c r="BN226" s="26"/>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96"/>
      <c r="CP226" s="14"/>
      <c r="CQ226" s="14"/>
      <c r="CR226" s="14"/>
      <c r="CS226" s="14"/>
      <c r="CT226" s="1"/>
      <c r="CU226" s="14"/>
      <c r="CV226" s="1"/>
      <c r="CW226" s="1"/>
      <c r="CX226" s="14"/>
      <c r="CY226" s="1"/>
      <c r="CZ226" s="1"/>
      <c r="DA226" s="1"/>
      <c r="DB226" s="1"/>
      <c r="DC226" s="1"/>
      <c r="DD226" s="1"/>
      <c r="DE226" s="1"/>
      <c r="DF226" s="1"/>
      <c r="DG226" s="1"/>
      <c r="DH226" s="1"/>
      <c r="DI226" s="1"/>
      <c r="DJ226" s="1"/>
      <c r="DK226" s="1"/>
      <c r="DL226" s="1"/>
      <c r="DM226" s="1"/>
      <c r="DN226" s="1"/>
      <c r="DO226" s="1"/>
      <c r="DP226" s="1"/>
      <c r="DQ226" s="1"/>
      <c r="DR226" s="1"/>
      <c r="DS226" s="1"/>
      <c r="DT226" s="1"/>
      <c r="DU226" s="14"/>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29"/>
    </row>
    <row r="227" spans="1:160" x14ac:dyDescent="0.25">
      <c r="A227" s="5"/>
      <c r="B227" s="1"/>
      <c r="C227" s="98"/>
      <c r="D227" s="98"/>
      <c r="E227" s="1"/>
      <c r="F227" s="22"/>
      <c r="G227" s="22"/>
      <c r="H227" s="22"/>
      <c r="I227" s="22"/>
      <c r="J227" s="22"/>
      <c r="K227" s="22"/>
      <c r="L227" s="22"/>
      <c r="M227" s="22"/>
      <c r="N227" s="22"/>
      <c r="O227" s="22"/>
      <c r="P227" s="22"/>
      <c r="Q227" s="22"/>
      <c r="R227" s="1"/>
      <c r="S227" s="1"/>
      <c r="T227" s="8"/>
      <c r="U227" s="1"/>
      <c r="V227" s="1"/>
      <c r="W227" s="1"/>
      <c r="X227" s="1"/>
      <c r="Y227" s="1"/>
      <c r="Z227" s="1"/>
      <c r="AA227" s="1"/>
      <c r="AC227" s="1"/>
      <c r="AD227" s="1"/>
      <c r="AE227" s="1"/>
      <c r="AF227" s="1"/>
      <c r="AG227" s="1"/>
      <c r="AH227" s="26"/>
      <c r="AI227" s="26"/>
      <c r="AJ227" s="26"/>
      <c r="AK227" s="26"/>
      <c r="AL227" s="26"/>
      <c r="AM227" s="26"/>
      <c r="AN227" s="26"/>
      <c r="AO227" s="26"/>
      <c r="AP227" s="26"/>
      <c r="AQ227" s="26"/>
      <c r="AR227" s="26"/>
      <c r="AS227" s="26"/>
      <c r="AT227" s="26"/>
      <c r="AU227" s="26"/>
      <c r="AV227" s="26"/>
      <c r="AW227" s="26"/>
      <c r="AX227" s="26"/>
      <c r="AY227" s="1"/>
      <c r="AZ227" s="26"/>
      <c r="BA227" s="26"/>
      <c r="BB227" s="26"/>
      <c r="BC227" s="26"/>
      <c r="BD227" s="26"/>
      <c r="BE227" s="26"/>
      <c r="BF227" s="26"/>
      <c r="BG227" s="26"/>
      <c r="BH227" s="26"/>
      <c r="BI227" s="26"/>
      <c r="BJ227" s="26"/>
      <c r="BK227" s="26"/>
      <c r="BL227" s="26"/>
      <c r="BM227" s="26"/>
      <c r="BN227" s="26"/>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96"/>
      <c r="CP227" s="14"/>
      <c r="CQ227" s="14"/>
      <c r="CR227" s="14"/>
      <c r="CS227" s="14"/>
      <c r="CT227" s="1"/>
      <c r="CU227" s="14"/>
      <c r="CV227" s="1"/>
      <c r="CW227" s="1"/>
      <c r="CX227" s="14"/>
      <c r="CY227" s="1"/>
      <c r="CZ227" s="1"/>
      <c r="DA227" s="1"/>
      <c r="DB227" s="1"/>
      <c r="DC227" s="1"/>
      <c r="DD227" s="1"/>
      <c r="DE227" s="1"/>
      <c r="DF227" s="1"/>
      <c r="DG227" s="1"/>
      <c r="DH227" s="1"/>
      <c r="DI227" s="1"/>
      <c r="DJ227" s="1"/>
      <c r="DK227" s="1"/>
      <c r="DL227" s="1"/>
      <c r="DM227" s="1"/>
      <c r="DN227" s="1"/>
      <c r="DO227" s="1"/>
      <c r="DP227" s="1"/>
      <c r="DQ227" s="1"/>
      <c r="DR227" s="1"/>
      <c r="DS227" s="1"/>
      <c r="DT227" s="1"/>
      <c r="DU227" s="14"/>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29"/>
    </row>
    <row r="228" spans="1:160" x14ac:dyDescent="0.25">
      <c r="A228" s="5"/>
      <c r="B228" s="1"/>
      <c r="C228" s="98"/>
      <c r="D228" s="98"/>
      <c r="E228" s="1"/>
      <c r="F228" s="22"/>
      <c r="G228" s="22"/>
      <c r="H228" s="22"/>
      <c r="I228" s="22"/>
      <c r="J228" s="22"/>
      <c r="K228" s="22"/>
      <c r="L228" s="22"/>
      <c r="M228" s="22"/>
      <c r="N228" s="22"/>
      <c r="O228" s="22"/>
      <c r="P228" s="22"/>
      <c r="Q228" s="22"/>
      <c r="R228" s="1"/>
      <c r="S228" s="1"/>
      <c r="T228" s="8"/>
      <c r="U228" s="1"/>
      <c r="V228" s="1"/>
      <c r="W228" s="1"/>
      <c r="X228" s="1"/>
      <c r="Y228" s="1"/>
      <c r="Z228" s="1"/>
      <c r="AA228" s="1"/>
      <c r="AC228" s="1"/>
      <c r="AD228" s="1"/>
      <c r="AE228" s="1"/>
      <c r="AF228" s="1"/>
      <c r="AG228" s="1"/>
      <c r="AH228" s="26"/>
      <c r="AI228" s="26"/>
      <c r="AJ228" s="26"/>
      <c r="AK228" s="26"/>
      <c r="AL228" s="26"/>
      <c r="AM228" s="26"/>
      <c r="AN228" s="26"/>
      <c r="AO228" s="26"/>
      <c r="AP228" s="26"/>
      <c r="AQ228" s="26"/>
      <c r="AR228" s="26"/>
      <c r="AS228" s="26"/>
      <c r="AT228" s="26"/>
      <c r="AU228" s="26"/>
      <c r="AV228" s="26"/>
      <c r="AW228" s="26"/>
      <c r="AX228" s="26"/>
      <c r="AY228" s="1"/>
      <c r="AZ228" s="26"/>
      <c r="BA228" s="26"/>
      <c r="BB228" s="26"/>
      <c r="BC228" s="26"/>
      <c r="BD228" s="26"/>
      <c r="BE228" s="26"/>
      <c r="BF228" s="26"/>
      <c r="BG228" s="26"/>
      <c r="BH228" s="26"/>
      <c r="BI228" s="26"/>
      <c r="BJ228" s="26"/>
      <c r="BK228" s="26"/>
      <c r="BL228" s="26"/>
      <c r="BM228" s="26"/>
      <c r="BN228" s="26"/>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96"/>
      <c r="CP228" s="14"/>
      <c r="CQ228" s="14"/>
      <c r="CR228" s="14"/>
      <c r="CS228" s="14"/>
      <c r="CT228" s="1"/>
      <c r="CU228" s="14"/>
      <c r="CV228" s="1"/>
      <c r="CW228" s="1"/>
      <c r="CX228" s="14"/>
      <c r="CY228" s="1"/>
      <c r="CZ228" s="1"/>
      <c r="DA228" s="1"/>
      <c r="DB228" s="1"/>
      <c r="DC228" s="1"/>
      <c r="DD228" s="1"/>
      <c r="DE228" s="1"/>
      <c r="DF228" s="1"/>
      <c r="DG228" s="1"/>
      <c r="DH228" s="1"/>
      <c r="DI228" s="1"/>
      <c r="DJ228" s="1"/>
      <c r="DK228" s="1"/>
      <c r="DL228" s="1"/>
      <c r="DM228" s="1"/>
      <c r="DN228" s="1"/>
      <c r="DO228" s="1"/>
      <c r="DP228" s="1"/>
      <c r="DQ228" s="1"/>
      <c r="DR228" s="1"/>
      <c r="DS228" s="1"/>
      <c r="DT228" s="1"/>
      <c r="DU228" s="14"/>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29"/>
    </row>
    <row r="229" spans="1:160" x14ac:dyDescent="0.25">
      <c r="A229" s="5"/>
      <c r="B229" s="1"/>
      <c r="C229" s="98"/>
      <c r="D229" s="98"/>
      <c r="E229" s="1"/>
      <c r="F229" s="22"/>
      <c r="G229" s="22"/>
      <c r="H229" s="22"/>
      <c r="I229" s="22"/>
      <c r="J229" s="22"/>
      <c r="K229" s="22"/>
      <c r="L229" s="22"/>
      <c r="M229" s="22"/>
      <c r="N229" s="22"/>
      <c r="O229" s="22"/>
      <c r="P229" s="22"/>
      <c r="Q229" s="22"/>
      <c r="R229" s="1"/>
      <c r="S229" s="1"/>
      <c r="T229" s="8"/>
      <c r="U229" s="1"/>
      <c r="V229" s="1"/>
      <c r="W229" s="1"/>
      <c r="X229" s="1"/>
      <c r="Y229" s="1"/>
      <c r="Z229" s="1"/>
      <c r="AA229" s="1"/>
      <c r="AC229" s="1"/>
      <c r="AD229" s="1"/>
      <c r="AE229" s="1"/>
      <c r="AF229" s="1"/>
      <c r="AG229" s="1"/>
      <c r="AH229" s="26"/>
      <c r="AI229" s="26"/>
      <c r="AJ229" s="26"/>
      <c r="AK229" s="26"/>
      <c r="AL229" s="26"/>
      <c r="AM229" s="26"/>
      <c r="AN229" s="26"/>
      <c r="AO229" s="26"/>
      <c r="AP229" s="26"/>
      <c r="AQ229" s="26"/>
      <c r="AR229" s="26"/>
      <c r="AS229" s="26"/>
      <c r="AT229" s="26"/>
      <c r="AU229" s="26"/>
      <c r="AV229" s="26"/>
      <c r="AW229" s="26"/>
      <c r="AX229" s="26"/>
      <c r="AY229" s="1"/>
      <c r="AZ229" s="26"/>
      <c r="BA229" s="26"/>
      <c r="BB229" s="26"/>
      <c r="BC229" s="26"/>
      <c r="BD229" s="26"/>
      <c r="BE229" s="26"/>
      <c r="BF229" s="26"/>
      <c r="BG229" s="26"/>
      <c r="BH229" s="26"/>
      <c r="BI229" s="26"/>
      <c r="BJ229" s="26"/>
      <c r="BK229" s="26"/>
      <c r="BL229" s="26"/>
      <c r="BM229" s="26"/>
      <c r="BN229" s="26"/>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96"/>
      <c r="CP229" s="14"/>
      <c r="CQ229" s="14"/>
      <c r="CR229" s="14"/>
      <c r="CS229" s="14"/>
      <c r="CT229" s="1"/>
      <c r="CU229" s="14"/>
      <c r="CV229" s="1"/>
      <c r="CW229" s="1"/>
      <c r="CX229" s="14"/>
      <c r="CY229" s="1"/>
      <c r="CZ229" s="1"/>
      <c r="DA229" s="1"/>
      <c r="DB229" s="1"/>
      <c r="DC229" s="1"/>
      <c r="DD229" s="1"/>
      <c r="DE229" s="1"/>
      <c r="DF229" s="1"/>
      <c r="DG229" s="1"/>
      <c r="DH229" s="1"/>
      <c r="DI229" s="1"/>
      <c r="DJ229" s="1"/>
      <c r="DK229" s="1"/>
      <c r="DL229" s="1"/>
      <c r="DM229" s="1"/>
      <c r="DN229" s="1"/>
      <c r="DO229" s="1"/>
      <c r="DP229" s="1"/>
      <c r="DQ229" s="1"/>
      <c r="DR229" s="1"/>
      <c r="DS229" s="1"/>
      <c r="DT229" s="1"/>
      <c r="DU229" s="14"/>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29"/>
    </row>
    <row r="230" spans="1:160" x14ac:dyDescent="0.25">
      <c r="A230" s="5"/>
      <c r="B230" s="1"/>
      <c r="C230" s="98"/>
      <c r="D230" s="98"/>
      <c r="E230" s="1"/>
      <c r="F230" s="22"/>
      <c r="G230" s="22"/>
      <c r="H230" s="22"/>
      <c r="I230" s="22"/>
      <c r="J230" s="22"/>
      <c r="K230" s="22"/>
      <c r="L230" s="22"/>
      <c r="M230" s="22"/>
      <c r="N230" s="22"/>
      <c r="O230" s="22"/>
      <c r="P230" s="22"/>
      <c r="Q230" s="22"/>
      <c r="R230" s="1"/>
      <c r="S230" s="1"/>
      <c r="T230" s="8"/>
      <c r="U230" s="1"/>
      <c r="V230" s="1"/>
      <c r="W230" s="1"/>
      <c r="X230" s="1"/>
      <c r="Y230" s="1"/>
      <c r="Z230" s="1"/>
      <c r="AA230" s="1"/>
      <c r="AC230" s="1"/>
      <c r="AD230" s="1"/>
      <c r="AE230" s="1"/>
      <c r="AF230" s="1"/>
      <c r="AG230" s="1"/>
      <c r="AH230" s="26"/>
      <c r="AI230" s="26"/>
      <c r="AJ230" s="26"/>
      <c r="AK230" s="26"/>
      <c r="AL230" s="26"/>
      <c r="AM230" s="26"/>
      <c r="AN230" s="26"/>
      <c r="AO230" s="26"/>
      <c r="AP230" s="26"/>
      <c r="AQ230" s="26"/>
      <c r="AR230" s="26"/>
      <c r="AS230" s="26"/>
      <c r="AT230" s="26"/>
      <c r="AU230" s="26"/>
      <c r="AV230" s="26"/>
      <c r="AW230" s="26"/>
      <c r="AX230" s="26"/>
      <c r="AY230" s="1"/>
      <c r="AZ230" s="26"/>
      <c r="BA230" s="26"/>
      <c r="BB230" s="26"/>
      <c r="BC230" s="26"/>
      <c r="BD230" s="26"/>
      <c r="BE230" s="26"/>
      <c r="BF230" s="26"/>
      <c r="BG230" s="26"/>
      <c r="BH230" s="26"/>
      <c r="BI230" s="26"/>
      <c r="BJ230" s="26"/>
      <c r="BK230" s="26"/>
      <c r="BL230" s="26"/>
      <c r="BM230" s="26"/>
      <c r="BN230" s="26"/>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96"/>
      <c r="CP230" s="14"/>
      <c r="CQ230" s="14"/>
      <c r="CR230" s="14"/>
      <c r="CS230" s="14"/>
      <c r="CT230" s="1"/>
      <c r="CU230" s="14"/>
      <c r="CV230" s="1"/>
      <c r="CW230" s="1"/>
      <c r="CX230" s="14"/>
      <c r="CY230" s="1"/>
      <c r="CZ230" s="1"/>
      <c r="DA230" s="1"/>
      <c r="DB230" s="1"/>
      <c r="DC230" s="1"/>
      <c r="DD230" s="1"/>
      <c r="DE230" s="1"/>
      <c r="DF230" s="1"/>
      <c r="DG230" s="1"/>
      <c r="DH230" s="1"/>
      <c r="DI230" s="1"/>
      <c r="DJ230" s="1"/>
      <c r="DK230" s="1"/>
      <c r="DL230" s="1"/>
      <c r="DM230" s="1"/>
      <c r="DN230" s="1"/>
      <c r="DO230" s="1"/>
      <c r="DP230" s="1"/>
      <c r="DQ230" s="1"/>
      <c r="DR230" s="1"/>
      <c r="DS230" s="1"/>
      <c r="DT230" s="1"/>
      <c r="DU230" s="14"/>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29"/>
    </row>
    <row r="231" spans="1:160" x14ac:dyDescent="0.25">
      <c r="A231" s="5"/>
      <c r="B231" s="1"/>
      <c r="C231" s="98"/>
      <c r="D231" s="98"/>
      <c r="E231" s="1"/>
      <c r="F231" s="22"/>
      <c r="G231" s="22"/>
      <c r="H231" s="22"/>
      <c r="I231" s="22"/>
      <c r="J231" s="22"/>
      <c r="K231" s="22"/>
      <c r="L231" s="22"/>
      <c r="M231" s="22"/>
      <c r="N231" s="22"/>
      <c r="O231" s="22"/>
      <c r="P231" s="22"/>
      <c r="Q231" s="22"/>
      <c r="R231" s="1"/>
      <c r="S231" s="1"/>
      <c r="T231" s="8"/>
      <c r="U231" s="1"/>
      <c r="V231" s="1"/>
      <c r="W231" s="1"/>
      <c r="X231" s="1"/>
      <c r="Y231" s="1"/>
      <c r="Z231" s="1"/>
      <c r="AA231" s="1"/>
      <c r="AC231" s="1"/>
      <c r="AD231" s="1"/>
      <c r="AE231" s="1"/>
      <c r="AF231" s="1"/>
      <c r="AG231" s="1"/>
      <c r="AH231" s="26"/>
      <c r="AI231" s="26"/>
      <c r="AJ231" s="26"/>
      <c r="AK231" s="26"/>
      <c r="AL231" s="26"/>
      <c r="AM231" s="26"/>
      <c r="AN231" s="26"/>
      <c r="AO231" s="26"/>
      <c r="AP231" s="26"/>
      <c r="AQ231" s="26"/>
      <c r="AR231" s="26"/>
      <c r="AS231" s="26"/>
      <c r="AT231" s="26"/>
      <c r="AU231" s="26"/>
      <c r="AV231" s="26"/>
      <c r="AW231" s="26"/>
      <c r="AX231" s="26"/>
      <c r="AY231" s="1"/>
      <c r="AZ231" s="26"/>
      <c r="BA231" s="26"/>
      <c r="BB231" s="26"/>
      <c r="BC231" s="26"/>
      <c r="BD231" s="26"/>
      <c r="BE231" s="26"/>
      <c r="BF231" s="26"/>
      <c r="BG231" s="26"/>
      <c r="BH231" s="26"/>
      <c r="BI231" s="26"/>
      <c r="BJ231" s="26"/>
      <c r="BK231" s="26"/>
      <c r="BL231" s="26"/>
      <c r="BM231" s="26"/>
      <c r="BN231" s="26"/>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96"/>
      <c r="CP231" s="14"/>
      <c r="CQ231" s="14"/>
      <c r="CR231" s="14"/>
      <c r="CS231" s="14"/>
      <c r="CT231" s="1"/>
      <c r="CU231" s="14"/>
      <c r="CV231" s="1"/>
      <c r="CW231" s="1"/>
      <c r="CX231" s="14"/>
      <c r="CY231" s="1"/>
      <c r="CZ231" s="1"/>
      <c r="DA231" s="1"/>
      <c r="DB231" s="1"/>
      <c r="DC231" s="1"/>
      <c r="DD231" s="1"/>
      <c r="DE231" s="1"/>
      <c r="DF231" s="1"/>
      <c r="DG231" s="1"/>
      <c r="DH231" s="1"/>
      <c r="DI231" s="1"/>
      <c r="DJ231" s="1"/>
      <c r="DK231" s="1"/>
      <c r="DL231" s="1"/>
      <c r="DM231" s="1"/>
      <c r="DN231" s="1"/>
      <c r="DO231" s="1"/>
      <c r="DP231" s="1"/>
      <c r="DQ231" s="1"/>
      <c r="DR231" s="1"/>
      <c r="DS231" s="1"/>
      <c r="DT231" s="1"/>
      <c r="DU231" s="14"/>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29"/>
    </row>
    <row r="232" spans="1:160" x14ac:dyDescent="0.25">
      <c r="A232" s="5"/>
      <c r="B232" s="1"/>
      <c r="C232" s="98"/>
      <c r="D232" s="98"/>
      <c r="E232" s="1"/>
      <c r="F232" s="22"/>
      <c r="G232" s="22"/>
      <c r="H232" s="22"/>
      <c r="I232" s="22"/>
      <c r="J232" s="22"/>
      <c r="K232" s="22"/>
      <c r="L232" s="22"/>
      <c r="M232" s="22"/>
      <c r="N232" s="22"/>
      <c r="O232" s="22"/>
      <c r="P232" s="22"/>
      <c r="Q232" s="22"/>
      <c r="R232" s="1"/>
      <c r="S232" s="1"/>
      <c r="T232" s="8"/>
      <c r="U232" s="1"/>
      <c r="V232" s="1"/>
      <c r="W232" s="1"/>
      <c r="X232" s="1"/>
      <c r="Y232" s="1"/>
      <c r="Z232" s="1"/>
      <c r="AA232" s="1"/>
      <c r="AC232" s="1"/>
      <c r="AD232" s="1"/>
      <c r="AE232" s="1"/>
      <c r="AF232" s="1"/>
      <c r="AG232" s="1"/>
      <c r="AH232" s="26"/>
      <c r="AI232" s="26"/>
      <c r="AJ232" s="26"/>
      <c r="AK232" s="26"/>
      <c r="AL232" s="26"/>
      <c r="AM232" s="26"/>
      <c r="AN232" s="26"/>
      <c r="AO232" s="26"/>
      <c r="AP232" s="26"/>
      <c r="AQ232" s="26"/>
      <c r="AR232" s="26"/>
      <c r="AS232" s="26"/>
      <c r="AT232" s="26"/>
      <c r="AU232" s="26"/>
      <c r="AV232" s="26"/>
      <c r="AW232" s="26"/>
      <c r="AX232" s="26"/>
      <c r="AY232" s="1"/>
      <c r="AZ232" s="26"/>
      <c r="BA232" s="26"/>
      <c r="BB232" s="26"/>
      <c r="BC232" s="26"/>
      <c r="BD232" s="26"/>
      <c r="BE232" s="26"/>
      <c r="BF232" s="26"/>
      <c r="BG232" s="26"/>
      <c r="BH232" s="26"/>
      <c r="BI232" s="26"/>
      <c r="BJ232" s="26"/>
      <c r="BK232" s="26"/>
      <c r="BL232" s="26"/>
      <c r="BM232" s="26"/>
      <c r="BN232" s="26"/>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96"/>
      <c r="CP232" s="14"/>
      <c r="CQ232" s="14"/>
      <c r="CR232" s="14"/>
      <c r="CS232" s="14"/>
      <c r="CT232" s="1"/>
      <c r="CU232" s="14"/>
      <c r="CV232" s="1"/>
      <c r="CW232" s="1"/>
      <c r="CX232" s="14"/>
      <c r="CY232" s="1"/>
      <c r="CZ232" s="1"/>
      <c r="DA232" s="1"/>
      <c r="DB232" s="1"/>
      <c r="DC232" s="1"/>
      <c r="DD232" s="1"/>
      <c r="DE232" s="1"/>
      <c r="DF232" s="1"/>
      <c r="DG232" s="1"/>
      <c r="DH232" s="1"/>
      <c r="DI232" s="1"/>
      <c r="DJ232" s="1"/>
      <c r="DK232" s="1"/>
      <c r="DL232" s="1"/>
      <c r="DM232" s="1"/>
      <c r="DN232" s="1"/>
      <c r="DO232" s="1"/>
      <c r="DP232" s="1"/>
      <c r="DQ232" s="1"/>
      <c r="DR232" s="1"/>
      <c r="DS232" s="1"/>
      <c r="DT232" s="1"/>
      <c r="DU232" s="14"/>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29"/>
    </row>
    <row r="233" spans="1:160" x14ac:dyDescent="0.25">
      <c r="A233" s="5"/>
      <c r="B233" s="1"/>
      <c r="C233" s="98"/>
      <c r="D233" s="98"/>
      <c r="E233" s="1"/>
      <c r="F233" s="22"/>
      <c r="G233" s="22"/>
      <c r="H233" s="22"/>
      <c r="I233" s="22"/>
      <c r="J233" s="22"/>
      <c r="K233" s="22"/>
      <c r="L233" s="22"/>
      <c r="M233" s="22"/>
      <c r="N233" s="22"/>
      <c r="O233" s="22"/>
      <c r="P233" s="22"/>
      <c r="Q233" s="22"/>
      <c r="R233" s="1"/>
      <c r="S233" s="1"/>
      <c r="T233" s="8"/>
      <c r="U233" s="1"/>
      <c r="V233" s="1"/>
      <c r="W233" s="1"/>
      <c r="X233" s="1"/>
      <c r="Y233" s="1"/>
      <c r="Z233" s="1"/>
      <c r="AA233" s="1"/>
      <c r="AC233" s="1"/>
      <c r="AD233" s="1"/>
      <c r="AE233" s="1"/>
      <c r="AF233" s="1"/>
      <c r="AG233" s="1"/>
      <c r="AH233" s="26"/>
      <c r="AI233" s="26"/>
      <c r="AJ233" s="26"/>
      <c r="AK233" s="26"/>
      <c r="AL233" s="26"/>
      <c r="AM233" s="26"/>
      <c r="AN233" s="26"/>
      <c r="AO233" s="26"/>
      <c r="AP233" s="26"/>
      <c r="AQ233" s="26"/>
      <c r="AR233" s="26"/>
      <c r="AS233" s="26"/>
      <c r="AT233" s="26"/>
      <c r="AU233" s="26"/>
      <c r="AV233" s="26"/>
      <c r="AW233" s="26"/>
      <c r="AX233" s="26"/>
      <c r="AY233" s="1"/>
      <c r="AZ233" s="26"/>
      <c r="BA233" s="26"/>
      <c r="BB233" s="26"/>
      <c r="BC233" s="26"/>
      <c r="BD233" s="26"/>
      <c r="BE233" s="26"/>
      <c r="BF233" s="26"/>
      <c r="BG233" s="26"/>
      <c r="BH233" s="26"/>
      <c r="BI233" s="26"/>
      <c r="BJ233" s="26"/>
      <c r="BK233" s="26"/>
      <c r="BL233" s="26"/>
      <c r="BM233" s="26"/>
      <c r="BN233" s="26"/>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96"/>
      <c r="CP233" s="14"/>
      <c r="CQ233" s="14"/>
      <c r="CR233" s="14"/>
      <c r="CS233" s="14"/>
      <c r="CT233" s="1"/>
      <c r="CU233" s="14"/>
      <c r="CV233" s="1"/>
      <c r="CW233" s="1"/>
      <c r="CX233" s="14"/>
      <c r="CY233" s="1"/>
      <c r="CZ233" s="1"/>
      <c r="DA233" s="1"/>
      <c r="DB233" s="1"/>
      <c r="DC233" s="1"/>
      <c r="DD233" s="1"/>
      <c r="DE233" s="1"/>
      <c r="DF233" s="1"/>
      <c r="DG233" s="1"/>
      <c r="DH233" s="1"/>
      <c r="DI233" s="1"/>
      <c r="DJ233" s="1"/>
      <c r="DK233" s="1"/>
      <c r="DL233" s="1"/>
      <c r="DM233" s="1"/>
      <c r="DN233" s="1"/>
      <c r="DO233" s="1"/>
      <c r="DP233" s="1"/>
      <c r="DQ233" s="1"/>
      <c r="DR233" s="1"/>
      <c r="DS233" s="1"/>
      <c r="DT233" s="1"/>
      <c r="DU233" s="14"/>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29"/>
    </row>
    <row r="234" spans="1:160" x14ac:dyDescent="0.25">
      <c r="A234" s="5"/>
      <c r="B234" s="1"/>
      <c r="C234" s="98"/>
      <c r="D234" s="98"/>
      <c r="E234" s="1"/>
      <c r="F234" s="22"/>
      <c r="G234" s="22"/>
      <c r="H234" s="22"/>
      <c r="I234" s="22"/>
      <c r="J234" s="22"/>
      <c r="K234" s="22"/>
      <c r="L234" s="22"/>
      <c r="M234" s="22"/>
      <c r="N234" s="22"/>
      <c r="O234" s="22"/>
      <c r="P234" s="22"/>
      <c r="Q234" s="22"/>
      <c r="R234" s="1"/>
      <c r="S234" s="1"/>
      <c r="T234" s="8"/>
      <c r="U234" s="1"/>
      <c r="V234" s="1"/>
      <c r="W234" s="1"/>
      <c r="X234" s="1"/>
      <c r="Y234" s="1"/>
      <c r="Z234" s="1"/>
      <c r="AA234" s="1"/>
      <c r="AC234" s="1"/>
      <c r="AD234" s="1"/>
      <c r="AE234" s="1"/>
      <c r="AF234" s="1"/>
      <c r="AG234" s="1"/>
      <c r="AH234" s="26"/>
      <c r="AI234" s="26"/>
      <c r="AJ234" s="26"/>
      <c r="AK234" s="26"/>
      <c r="AL234" s="26"/>
      <c r="AM234" s="26"/>
      <c r="AN234" s="26"/>
      <c r="AO234" s="26"/>
      <c r="AP234" s="26"/>
      <c r="AQ234" s="26"/>
      <c r="AR234" s="26"/>
      <c r="AS234" s="26"/>
      <c r="AT234" s="26"/>
      <c r="AU234" s="26"/>
      <c r="AV234" s="26"/>
      <c r="AW234" s="26"/>
      <c r="AX234" s="26"/>
      <c r="AY234" s="1"/>
      <c r="AZ234" s="26"/>
      <c r="BA234" s="26"/>
      <c r="BB234" s="26"/>
      <c r="BC234" s="26"/>
      <c r="BD234" s="26"/>
      <c r="BE234" s="26"/>
      <c r="BF234" s="26"/>
      <c r="BG234" s="26"/>
      <c r="BH234" s="26"/>
      <c r="BI234" s="26"/>
      <c r="BJ234" s="26"/>
      <c r="BK234" s="26"/>
      <c r="BL234" s="26"/>
      <c r="BM234" s="26"/>
      <c r="BN234" s="26"/>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96"/>
      <c r="CP234" s="14"/>
      <c r="CQ234" s="14"/>
      <c r="CR234" s="14"/>
      <c r="CS234" s="14"/>
      <c r="CT234" s="1"/>
      <c r="CU234" s="14"/>
      <c r="CV234" s="1"/>
      <c r="CW234" s="1"/>
      <c r="CX234" s="14"/>
      <c r="CY234" s="1"/>
      <c r="CZ234" s="1"/>
      <c r="DA234" s="1"/>
      <c r="DB234" s="1"/>
      <c r="DC234" s="1"/>
      <c r="DD234" s="1"/>
      <c r="DE234" s="1"/>
      <c r="DF234" s="1"/>
      <c r="DG234" s="1"/>
      <c r="DH234" s="1"/>
      <c r="DI234" s="1"/>
      <c r="DJ234" s="1"/>
      <c r="DK234" s="1"/>
      <c r="DL234" s="1"/>
      <c r="DM234" s="1"/>
      <c r="DN234" s="1"/>
      <c r="DO234" s="1"/>
      <c r="DP234" s="1"/>
      <c r="DQ234" s="1"/>
      <c r="DR234" s="1"/>
      <c r="DS234" s="1"/>
      <c r="DT234" s="1"/>
      <c r="DU234" s="14"/>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29"/>
    </row>
    <row r="235" spans="1:160" x14ac:dyDescent="0.25">
      <c r="A235" s="5"/>
      <c r="B235" s="1"/>
      <c r="C235" s="98"/>
      <c r="D235" s="98"/>
      <c r="E235" s="1"/>
      <c r="F235" s="22"/>
      <c r="G235" s="22"/>
      <c r="H235" s="22"/>
      <c r="I235" s="22"/>
      <c r="J235" s="22"/>
      <c r="K235" s="22"/>
      <c r="L235" s="22"/>
      <c r="M235" s="22"/>
      <c r="N235" s="22"/>
      <c r="O235" s="22"/>
      <c r="P235" s="22"/>
      <c r="Q235" s="22"/>
      <c r="R235" s="1"/>
      <c r="S235" s="1"/>
      <c r="T235" s="8"/>
      <c r="U235" s="1"/>
      <c r="V235" s="1"/>
      <c r="W235" s="1"/>
      <c r="X235" s="1"/>
      <c r="Y235" s="1"/>
      <c r="Z235" s="1"/>
      <c r="AA235" s="1"/>
      <c r="AC235" s="1"/>
      <c r="AD235" s="1"/>
      <c r="AE235" s="1"/>
      <c r="AF235" s="1"/>
      <c r="AG235" s="1"/>
      <c r="AH235" s="26"/>
      <c r="AI235" s="26"/>
      <c r="AJ235" s="26"/>
      <c r="AK235" s="26"/>
      <c r="AL235" s="26"/>
      <c r="AM235" s="26"/>
      <c r="AN235" s="26"/>
      <c r="AO235" s="26"/>
      <c r="AP235" s="26"/>
      <c r="AQ235" s="26"/>
      <c r="AR235" s="26"/>
      <c r="AS235" s="26"/>
      <c r="AT235" s="26"/>
      <c r="AU235" s="26"/>
      <c r="AV235" s="26"/>
      <c r="AW235" s="26"/>
      <c r="AX235" s="26"/>
      <c r="AY235" s="1"/>
      <c r="AZ235" s="26"/>
      <c r="BA235" s="26"/>
      <c r="BB235" s="26"/>
      <c r="BC235" s="26"/>
      <c r="BD235" s="26"/>
      <c r="BE235" s="26"/>
      <c r="BF235" s="26"/>
      <c r="BG235" s="26"/>
      <c r="BH235" s="26"/>
      <c r="BI235" s="26"/>
      <c r="BJ235" s="26"/>
      <c r="BK235" s="26"/>
      <c r="BL235" s="26"/>
      <c r="BM235" s="26"/>
      <c r="BN235" s="26"/>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96"/>
      <c r="CP235" s="14"/>
      <c r="CQ235" s="14"/>
      <c r="CR235" s="14"/>
      <c r="CS235" s="14"/>
      <c r="CT235" s="1"/>
      <c r="CU235" s="14"/>
      <c r="CV235" s="1"/>
      <c r="CW235" s="1"/>
      <c r="CX235" s="14"/>
      <c r="CY235" s="1"/>
      <c r="CZ235" s="1"/>
      <c r="DA235" s="1"/>
      <c r="DB235" s="1"/>
      <c r="DC235" s="1"/>
      <c r="DD235" s="1"/>
      <c r="DE235" s="1"/>
      <c r="DF235" s="1"/>
      <c r="DG235" s="1"/>
      <c r="DH235" s="1"/>
      <c r="DI235" s="1"/>
      <c r="DJ235" s="1"/>
      <c r="DK235" s="1"/>
      <c r="DL235" s="1"/>
      <c r="DM235" s="1"/>
      <c r="DN235" s="1"/>
      <c r="DO235" s="1"/>
      <c r="DP235" s="1"/>
      <c r="DQ235" s="1"/>
      <c r="DR235" s="1"/>
      <c r="DS235" s="1"/>
      <c r="DT235" s="1"/>
      <c r="DU235" s="14"/>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29"/>
    </row>
    <row r="236" spans="1:160" x14ac:dyDescent="0.25">
      <c r="A236" s="5"/>
      <c r="B236" s="1"/>
      <c r="C236" s="98"/>
      <c r="D236" s="98"/>
      <c r="E236" s="1"/>
      <c r="F236" s="22"/>
      <c r="G236" s="22"/>
      <c r="H236" s="22"/>
      <c r="I236" s="22"/>
      <c r="J236" s="22"/>
      <c r="K236" s="22"/>
      <c r="L236" s="22"/>
      <c r="M236" s="22"/>
      <c r="N236" s="22"/>
      <c r="O236" s="22"/>
      <c r="P236" s="22"/>
      <c r="Q236" s="22"/>
      <c r="R236" s="1"/>
      <c r="S236" s="1"/>
      <c r="T236" s="8"/>
      <c r="U236" s="1"/>
      <c r="V236" s="1"/>
      <c r="W236" s="1"/>
      <c r="X236" s="1"/>
      <c r="Y236" s="1"/>
      <c r="Z236" s="1"/>
      <c r="AA236" s="1"/>
      <c r="AC236" s="1"/>
      <c r="AD236" s="1"/>
      <c r="AE236" s="1"/>
      <c r="AF236" s="1"/>
      <c r="AG236" s="1"/>
      <c r="AH236" s="26"/>
      <c r="AI236" s="26"/>
      <c r="AJ236" s="26"/>
      <c r="AK236" s="26"/>
      <c r="AL236" s="26"/>
      <c r="AM236" s="26"/>
      <c r="AN236" s="26"/>
      <c r="AO236" s="26"/>
      <c r="AP236" s="26"/>
      <c r="AQ236" s="26"/>
      <c r="AR236" s="26"/>
      <c r="AS236" s="26"/>
      <c r="AT236" s="26"/>
      <c r="AU236" s="26"/>
      <c r="AV236" s="26"/>
      <c r="AW236" s="26"/>
      <c r="AX236" s="26"/>
      <c r="AY236" s="1"/>
      <c r="AZ236" s="26"/>
      <c r="BA236" s="26"/>
      <c r="BB236" s="26"/>
      <c r="BC236" s="26"/>
      <c r="BD236" s="26"/>
      <c r="BE236" s="26"/>
      <c r="BF236" s="26"/>
      <c r="BG236" s="26"/>
      <c r="BH236" s="26"/>
      <c r="BI236" s="26"/>
      <c r="BJ236" s="26"/>
      <c r="BK236" s="26"/>
      <c r="BL236" s="26"/>
      <c r="BM236" s="26"/>
      <c r="BN236" s="26"/>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96"/>
      <c r="CP236" s="14"/>
      <c r="CQ236" s="14"/>
      <c r="CR236" s="14"/>
      <c r="CS236" s="14"/>
      <c r="CT236" s="1"/>
      <c r="CU236" s="14"/>
      <c r="CV236" s="1"/>
      <c r="CW236" s="1"/>
      <c r="CX236" s="14"/>
      <c r="CY236" s="1"/>
      <c r="CZ236" s="1"/>
      <c r="DA236" s="1"/>
      <c r="DB236" s="1"/>
      <c r="DC236" s="1"/>
      <c r="DD236" s="1"/>
      <c r="DE236" s="1"/>
      <c r="DF236" s="1"/>
      <c r="DG236" s="1"/>
      <c r="DH236" s="1"/>
      <c r="DI236" s="1"/>
      <c r="DJ236" s="1"/>
      <c r="DK236" s="1"/>
      <c r="DL236" s="1"/>
      <c r="DM236" s="1"/>
      <c r="DN236" s="1"/>
      <c r="DO236" s="1"/>
      <c r="DP236" s="1"/>
      <c r="DQ236" s="1"/>
      <c r="DR236" s="1"/>
      <c r="DS236" s="1"/>
      <c r="DT236" s="1"/>
      <c r="DU236" s="14"/>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29"/>
    </row>
    <row r="237" spans="1:160" x14ac:dyDescent="0.25">
      <c r="A237" s="5"/>
      <c r="B237" s="1"/>
      <c r="C237" s="98"/>
      <c r="D237" s="98"/>
      <c r="E237" s="1"/>
      <c r="F237" s="22"/>
      <c r="G237" s="22"/>
      <c r="H237" s="22"/>
      <c r="I237" s="22"/>
      <c r="J237" s="22"/>
      <c r="K237" s="22"/>
      <c r="L237" s="22"/>
      <c r="M237" s="22"/>
      <c r="N237" s="22"/>
      <c r="O237" s="22"/>
      <c r="P237" s="22"/>
      <c r="Q237" s="22"/>
      <c r="R237" s="1"/>
      <c r="S237" s="1"/>
      <c r="T237" s="8"/>
      <c r="U237" s="1"/>
      <c r="V237" s="1"/>
      <c r="W237" s="1"/>
      <c r="X237" s="1"/>
      <c r="Y237" s="1"/>
      <c r="Z237" s="1"/>
      <c r="AA237" s="1"/>
      <c r="AC237" s="1"/>
      <c r="AD237" s="1"/>
      <c r="AE237" s="1"/>
      <c r="AF237" s="1"/>
      <c r="AG237" s="1"/>
      <c r="AH237" s="26"/>
      <c r="AI237" s="26"/>
      <c r="AJ237" s="26"/>
      <c r="AK237" s="26"/>
      <c r="AL237" s="26"/>
      <c r="AM237" s="26"/>
      <c r="AN237" s="26"/>
      <c r="AO237" s="26"/>
      <c r="AP237" s="26"/>
      <c r="AQ237" s="26"/>
      <c r="AR237" s="26"/>
      <c r="AS237" s="26"/>
      <c r="AT237" s="26"/>
      <c r="AU237" s="26"/>
      <c r="AV237" s="26"/>
      <c r="AW237" s="26"/>
      <c r="AX237" s="26"/>
      <c r="AY237" s="1"/>
      <c r="AZ237" s="26"/>
      <c r="BA237" s="26"/>
      <c r="BB237" s="26"/>
      <c r="BC237" s="26"/>
      <c r="BD237" s="26"/>
      <c r="BE237" s="26"/>
      <c r="BF237" s="26"/>
      <c r="BG237" s="26"/>
      <c r="BH237" s="26"/>
      <c r="BI237" s="26"/>
      <c r="BJ237" s="26"/>
      <c r="BK237" s="26"/>
      <c r="BL237" s="26"/>
      <c r="BM237" s="26"/>
      <c r="BN237" s="26"/>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96"/>
      <c r="CP237" s="14"/>
      <c r="CQ237" s="14"/>
      <c r="CR237" s="14"/>
      <c r="CS237" s="14"/>
      <c r="CT237" s="1"/>
      <c r="CU237" s="14"/>
      <c r="CV237" s="1"/>
      <c r="CW237" s="1"/>
      <c r="CX237" s="14"/>
      <c r="CY237" s="1"/>
      <c r="CZ237" s="1"/>
      <c r="DA237" s="1"/>
      <c r="DB237" s="1"/>
      <c r="DC237" s="1"/>
      <c r="DD237" s="1"/>
      <c r="DE237" s="1"/>
      <c r="DF237" s="1"/>
      <c r="DG237" s="1"/>
      <c r="DH237" s="1"/>
      <c r="DI237" s="1"/>
      <c r="DJ237" s="1"/>
      <c r="DK237" s="1"/>
      <c r="DL237" s="1"/>
      <c r="DM237" s="1"/>
      <c r="DN237" s="1"/>
      <c r="DO237" s="1"/>
      <c r="DP237" s="1"/>
      <c r="DQ237" s="1"/>
      <c r="DR237" s="1"/>
      <c r="DS237" s="1"/>
      <c r="DT237" s="1"/>
      <c r="DU237" s="14"/>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29"/>
    </row>
    <row r="238" spans="1:160" x14ac:dyDescent="0.25">
      <c r="A238" s="5"/>
      <c r="B238" s="1"/>
      <c r="C238" s="98"/>
      <c r="D238" s="98"/>
      <c r="E238" s="1"/>
      <c r="F238" s="22"/>
      <c r="G238" s="22"/>
      <c r="H238" s="22"/>
      <c r="I238" s="22"/>
      <c r="J238" s="22"/>
      <c r="K238" s="22"/>
      <c r="L238" s="22"/>
      <c r="M238" s="22"/>
      <c r="N238" s="22"/>
      <c r="O238" s="22"/>
      <c r="P238" s="22"/>
      <c r="Q238" s="22"/>
      <c r="R238" s="1"/>
      <c r="S238" s="1"/>
      <c r="T238" s="8"/>
      <c r="U238" s="1"/>
      <c r="V238" s="1"/>
      <c r="W238" s="1"/>
      <c r="X238" s="1"/>
      <c r="Y238" s="1"/>
      <c r="Z238" s="1"/>
      <c r="AA238" s="1"/>
      <c r="AC238" s="1"/>
      <c r="AD238" s="1"/>
      <c r="AE238" s="1"/>
      <c r="AF238" s="1"/>
      <c r="AG238" s="1"/>
      <c r="AH238" s="26"/>
      <c r="AI238" s="26"/>
      <c r="AJ238" s="26"/>
      <c r="AK238" s="26"/>
      <c r="AL238" s="26"/>
      <c r="AM238" s="26"/>
      <c r="AN238" s="26"/>
      <c r="AO238" s="26"/>
      <c r="AP238" s="26"/>
      <c r="AQ238" s="26"/>
      <c r="AR238" s="26"/>
      <c r="AS238" s="26"/>
      <c r="AT238" s="26"/>
      <c r="AU238" s="26"/>
      <c r="AV238" s="26"/>
      <c r="AW238" s="26"/>
      <c r="AX238" s="26"/>
      <c r="AY238" s="1"/>
      <c r="AZ238" s="26"/>
      <c r="BA238" s="26"/>
      <c r="BB238" s="26"/>
      <c r="BC238" s="26"/>
      <c r="BD238" s="26"/>
      <c r="BE238" s="26"/>
      <c r="BF238" s="26"/>
      <c r="BG238" s="26"/>
      <c r="BH238" s="26"/>
      <c r="BI238" s="26"/>
      <c r="BJ238" s="26"/>
      <c r="BK238" s="26"/>
      <c r="BL238" s="26"/>
      <c r="BM238" s="26"/>
      <c r="BN238" s="26"/>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96"/>
      <c r="CP238" s="14"/>
      <c r="CQ238" s="14"/>
      <c r="CR238" s="14"/>
      <c r="CS238" s="14"/>
      <c r="CT238" s="1"/>
      <c r="CU238" s="14"/>
      <c r="CV238" s="1"/>
      <c r="CW238" s="1"/>
      <c r="CX238" s="14"/>
      <c r="CY238" s="1"/>
      <c r="CZ238" s="1"/>
      <c r="DA238" s="1"/>
      <c r="DB238" s="1"/>
      <c r="DC238" s="1"/>
      <c r="DD238" s="1"/>
      <c r="DE238" s="1"/>
      <c r="DF238" s="1"/>
      <c r="DG238" s="1"/>
      <c r="DH238" s="1"/>
      <c r="DI238" s="1"/>
      <c r="DJ238" s="1"/>
      <c r="DK238" s="1"/>
      <c r="DL238" s="1"/>
      <c r="DM238" s="1"/>
      <c r="DN238" s="1"/>
      <c r="DO238" s="1"/>
      <c r="DP238" s="1"/>
      <c r="DQ238" s="1"/>
      <c r="DR238" s="1"/>
      <c r="DS238" s="1"/>
      <c r="DT238" s="1"/>
      <c r="DU238" s="14"/>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29"/>
    </row>
    <row r="239" spans="1:160" x14ac:dyDescent="0.25">
      <c r="A239" s="5"/>
      <c r="B239" s="1"/>
      <c r="C239" s="98"/>
      <c r="D239" s="98"/>
      <c r="E239" s="1"/>
      <c r="F239" s="22"/>
      <c r="G239" s="22"/>
      <c r="H239" s="22"/>
      <c r="I239" s="22"/>
      <c r="J239" s="22"/>
      <c r="K239" s="22"/>
      <c r="L239" s="22"/>
      <c r="M239" s="22"/>
      <c r="N239" s="22"/>
      <c r="O239" s="22"/>
      <c r="P239" s="22"/>
      <c r="Q239" s="22"/>
      <c r="R239" s="1"/>
      <c r="S239" s="1"/>
      <c r="T239" s="8"/>
      <c r="U239" s="1"/>
      <c r="V239" s="1"/>
      <c r="W239" s="1"/>
      <c r="X239" s="1"/>
      <c r="Y239" s="1"/>
      <c r="Z239" s="1"/>
      <c r="AA239" s="1"/>
      <c r="AC239" s="1"/>
      <c r="AD239" s="1"/>
      <c r="AE239" s="1"/>
      <c r="AF239" s="1"/>
      <c r="AG239" s="1"/>
      <c r="AH239" s="26"/>
      <c r="AI239" s="26"/>
      <c r="AJ239" s="26"/>
      <c r="AK239" s="26"/>
      <c r="AL239" s="26"/>
      <c r="AM239" s="26"/>
      <c r="AN239" s="26"/>
      <c r="AO239" s="26"/>
      <c r="AP239" s="26"/>
      <c r="AQ239" s="26"/>
      <c r="AR239" s="26"/>
      <c r="AS239" s="26"/>
      <c r="AT239" s="26"/>
      <c r="AU239" s="26"/>
      <c r="AV239" s="26"/>
      <c r="AW239" s="26"/>
      <c r="AX239" s="26"/>
      <c r="AY239" s="1"/>
      <c r="AZ239" s="26"/>
      <c r="BA239" s="26"/>
      <c r="BB239" s="26"/>
      <c r="BC239" s="26"/>
      <c r="BD239" s="26"/>
      <c r="BE239" s="26"/>
      <c r="BF239" s="26"/>
      <c r="BG239" s="26"/>
      <c r="BH239" s="26"/>
      <c r="BI239" s="26"/>
      <c r="BJ239" s="26"/>
      <c r="BK239" s="26"/>
      <c r="BL239" s="26"/>
      <c r="BM239" s="26"/>
      <c r="BN239" s="26"/>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96"/>
      <c r="CP239" s="14"/>
      <c r="CQ239" s="14"/>
      <c r="CR239" s="14"/>
      <c r="CS239" s="14"/>
      <c r="CT239" s="1"/>
      <c r="CU239" s="14"/>
      <c r="CV239" s="1"/>
      <c r="CW239" s="1"/>
      <c r="CX239" s="14"/>
      <c r="CY239" s="1"/>
      <c r="CZ239" s="1"/>
      <c r="DA239" s="1"/>
      <c r="DB239" s="1"/>
      <c r="DC239" s="1"/>
      <c r="DD239" s="1"/>
      <c r="DE239" s="1"/>
      <c r="DF239" s="1"/>
      <c r="DG239" s="1"/>
      <c r="DH239" s="1"/>
      <c r="DI239" s="1"/>
      <c r="DJ239" s="1"/>
      <c r="DK239" s="1"/>
      <c r="DL239" s="1"/>
      <c r="DM239" s="1"/>
      <c r="DN239" s="1"/>
      <c r="DO239" s="1"/>
      <c r="DP239" s="1"/>
      <c r="DQ239" s="1"/>
      <c r="DR239" s="1"/>
      <c r="DS239" s="1"/>
      <c r="DT239" s="1"/>
      <c r="DU239" s="14"/>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29"/>
    </row>
    <row r="240" spans="1:160" x14ac:dyDescent="0.25">
      <c r="A240" s="5"/>
      <c r="B240" s="1"/>
      <c r="C240" s="98"/>
      <c r="D240" s="98"/>
      <c r="E240" s="1"/>
      <c r="F240" s="22"/>
      <c r="G240" s="22"/>
      <c r="H240" s="22"/>
      <c r="I240" s="22"/>
      <c r="J240" s="22"/>
      <c r="K240" s="22"/>
      <c r="L240" s="22"/>
      <c r="M240" s="22"/>
      <c r="N240" s="22"/>
      <c r="O240" s="22"/>
      <c r="P240" s="22"/>
      <c r="Q240" s="22"/>
      <c r="R240" s="1"/>
      <c r="S240" s="1"/>
      <c r="T240" s="8"/>
      <c r="U240" s="1"/>
      <c r="V240" s="1"/>
      <c r="W240" s="1"/>
      <c r="X240" s="1"/>
      <c r="Y240" s="1"/>
      <c r="Z240" s="1"/>
      <c r="AA240" s="1"/>
      <c r="AC240" s="1"/>
      <c r="AD240" s="1"/>
      <c r="AE240" s="1"/>
      <c r="AF240" s="1"/>
      <c r="AG240" s="1"/>
      <c r="AH240" s="26"/>
      <c r="AI240" s="26"/>
      <c r="AJ240" s="26"/>
      <c r="AK240" s="26"/>
      <c r="AL240" s="26"/>
      <c r="AM240" s="26"/>
      <c r="AN240" s="26"/>
      <c r="AO240" s="26"/>
      <c r="AP240" s="26"/>
      <c r="AQ240" s="26"/>
      <c r="AR240" s="26"/>
      <c r="AS240" s="26"/>
      <c r="AT240" s="26"/>
      <c r="AU240" s="26"/>
      <c r="AV240" s="26"/>
      <c r="AW240" s="26"/>
      <c r="AX240" s="26"/>
      <c r="AY240" s="1"/>
      <c r="AZ240" s="26"/>
      <c r="BA240" s="26"/>
      <c r="BB240" s="26"/>
      <c r="BC240" s="26"/>
      <c r="BD240" s="26"/>
      <c r="BE240" s="26"/>
      <c r="BF240" s="26"/>
      <c r="BG240" s="26"/>
      <c r="BH240" s="26"/>
      <c r="BI240" s="26"/>
      <c r="BJ240" s="26"/>
      <c r="BK240" s="26"/>
      <c r="BL240" s="26"/>
      <c r="BM240" s="26"/>
      <c r="BN240" s="26"/>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96"/>
      <c r="CP240" s="14"/>
      <c r="CQ240" s="14"/>
      <c r="CR240" s="14"/>
      <c r="CS240" s="14"/>
      <c r="CT240" s="1"/>
      <c r="CU240" s="14"/>
      <c r="CV240" s="1"/>
      <c r="CW240" s="1"/>
      <c r="CX240" s="14"/>
      <c r="CY240" s="1"/>
      <c r="CZ240" s="1"/>
      <c r="DA240" s="1"/>
      <c r="DB240" s="1"/>
      <c r="DC240" s="1"/>
      <c r="DD240" s="1"/>
      <c r="DE240" s="1"/>
      <c r="DF240" s="1"/>
      <c r="DG240" s="1"/>
      <c r="DH240" s="1"/>
      <c r="DI240" s="1"/>
      <c r="DJ240" s="1"/>
      <c r="DK240" s="1"/>
      <c r="DL240" s="1"/>
      <c r="DM240" s="1"/>
      <c r="DN240" s="1"/>
      <c r="DO240" s="1"/>
      <c r="DP240" s="1"/>
      <c r="DQ240" s="1"/>
      <c r="DR240" s="1"/>
      <c r="DS240" s="1"/>
      <c r="DT240" s="1"/>
      <c r="DU240" s="14"/>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29"/>
    </row>
    <row r="241" spans="1:160" x14ac:dyDescent="0.25">
      <c r="A241" s="5"/>
      <c r="B241" s="1"/>
      <c r="C241" s="98"/>
      <c r="D241" s="98"/>
      <c r="E241" s="1"/>
      <c r="F241" s="22"/>
      <c r="G241" s="22"/>
      <c r="H241" s="22"/>
      <c r="I241" s="22"/>
      <c r="J241" s="22"/>
      <c r="K241" s="22"/>
      <c r="L241" s="22"/>
      <c r="M241" s="22"/>
      <c r="N241" s="22"/>
      <c r="O241" s="22"/>
      <c r="P241" s="22"/>
      <c r="Q241" s="22"/>
      <c r="R241" s="1"/>
      <c r="S241" s="1"/>
      <c r="T241" s="8"/>
      <c r="U241" s="1"/>
      <c r="V241" s="1"/>
      <c r="W241" s="1"/>
      <c r="X241" s="1"/>
      <c r="Y241" s="1"/>
      <c r="Z241" s="1"/>
      <c r="AA241" s="1"/>
      <c r="AC241" s="1"/>
      <c r="AD241" s="1"/>
      <c r="AE241" s="1"/>
      <c r="AF241" s="1"/>
      <c r="AG241" s="1"/>
      <c r="AH241" s="26"/>
      <c r="AI241" s="26"/>
      <c r="AJ241" s="26"/>
      <c r="AK241" s="26"/>
      <c r="AL241" s="26"/>
      <c r="AM241" s="26"/>
      <c r="AN241" s="26"/>
      <c r="AO241" s="26"/>
      <c r="AP241" s="26"/>
      <c r="AQ241" s="26"/>
      <c r="AR241" s="26"/>
      <c r="AS241" s="26"/>
      <c r="AT241" s="26"/>
      <c r="AU241" s="26"/>
      <c r="AV241" s="26"/>
      <c r="AW241" s="26"/>
      <c r="AX241" s="26"/>
      <c r="AY241" s="1"/>
      <c r="AZ241" s="26"/>
      <c r="BA241" s="26"/>
      <c r="BB241" s="26"/>
      <c r="BC241" s="26"/>
      <c r="BD241" s="26"/>
      <c r="BE241" s="26"/>
      <c r="BF241" s="26"/>
      <c r="BG241" s="26"/>
      <c r="BH241" s="26"/>
      <c r="BI241" s="26"/>
      <c r="BJ241" s="26"/>
      <c r="BK241" s="26"/>
      <c r="BL241" s="26"/>
      <c r="BM241" s="26"/>
      <c r="BN241" s="26"/>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96"/>
      <c r="CP241" s="14"/>
      <c r="CQ241" s="14"/>
      <c r="CR241" s="14"/>
      <c r="CS241" s="14"/>
      <c r="CT241" s="1"/>
      <c r="CU241" s="14"/>
      <c r="CV241" s="1"/>
      <c r="CW241" s="1"/>
      <c r="CX241" s="14"/>
      <c r="CY241" s="1"/>
      <c r="CZ241" s="1"/>
      <c r="DA241" s="1"/>
      <c r="DB241" s="1"/>
      <c r="DC241" s="1"/>
      <c r="DD241" s="1"/>
      <c r="DE241" s="1"/>
      <c r="DF241" s="1"/>
      <c r="DG241" s="1"/>
      <c r="DH241" s="1"/>
      <c r="DI241" s="1"/>
      <c r="DJ241" s="1"/>
      <c r="DK241" s="1"/>
      <c r="DL241" s="1"/>
      <c r="DM241" s="1"/>
      <c r="DN241" s="1"/>
      <c r="DO241" s="1"/>
      <c r="DP241" s="1"/>
      <c r="DQ241" s="1"/>
      <c r="DR241" s="1"/>
      <c r="DS241" s="1"/>
      <c r="DT241" s="1"/>
      <c r="DU241" s="14"/>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29"/>
    </row>
    <row r="242" spans="1:160" x14ac:dyDescent="0.25">
      <c r="A242" s="5"/>
      <c r="B242" s="1"/>
      <c r="C242" s="98"/>
      <c r="D242" s="98"/>
      <c r="E242" s="1"/>
      <c r="F242" s="22"/>
      <c r="G242" s="22"/>
      <c r="H242" s="22"/>
      <c r="I242" s="22"/>
      <c r="J242" s="22"/>
      <c r="K242" s="22"/>
      <c r="L242" s="22"/>
      <c r="M242" s="22"/>
      <c r="N242" s="22"/>
      <c r="O242" s="22"/>
      <c r="P242" s="22"/>
      <c r="Q242" s="22"/>
      <c r="R242" s="1"/>
      <c r="S242" s="1"/>
      <c r="T242" s="8"/>
      <c r="U242" s="1"/>
      <c r="V242" s="1"/>
      <c r="W242" s="1"/>
      <c r="X242" s="1"/>
      <c r="Y242" s="1"/>
      <c r="Z242" s="1"/>
      <c r="AA242" s="1"/>
      <c r="AC242" s="1"/>
      <c r="AD242" s="1"/>
      <c r="AE242" s="1"/>
      <c r="AF242" s="1"/>
      <c r="AG242" s="1"/>
      <c r="AH242" s="26"/>
      <c r="AI242" s="26"/>
      <c r="AJ242" s="26"/>
      <c r="AK242" s="26"/>
      <c r="AL242" s="26"/>
      <c r="AM242" s="26"/>
      <c r="AN242" s="26"/>
      <c r="AO242" s="26"/>
      <c r="AP242" s="26"/>
      <c r="AQ242" s="26"/>
      <c r="AR242" s="26"/>
      <c r="AS242" s="26"/>
      <c r="AT242" s="26"/>
      <c r="AU242" s="26"/>
      <c r="AV242" s="26"/>
      <c r="AW242" s="26"/>
      <c r="AX242" s="26"/>
      <c r="AY242" s="1"/>
      <c r="AZ242" s="26"/>
      <c r="BA242" s="26"/>
      <c r="BB242" s="26"/>
      <c r="BC242" s="26"/>
      <c r="BD242" s="26"/>
      <c r="BE242" s="26"/>
      <c r="BF242" s="26"/>
      <c r="BG242" s="26"/>
      <c r="BH242" s="26"/>
      <c r="BI242" s="26"/>
      <c r="BJ242" s="26"/>
      <c r="BK242" s="26"/>
      <c r="BL242" s="26"/>
      <c r="BM242" s="26"/>
      <c r="BN242" s="26"/>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96"/>
      <c r="CP242" s="14"/>
      <c r="CQ242" s="14"/>
      <c r="CR242" s="14"/>
      <c r="CS242" s="14"/>
      <c r="CT242" s="1"/>
      <c r="CU242" s="14"/>
      <c r="CV242" s="1"/>
      <c r="CW242" s="1"/>
      <c r="CX242" s="14"/>
      <c r="CY242" s="1"/>
      <c r="CZ242" s="1"/>
      <c r="DA242" s="1"/>
      <c r="DB242" s="1"/>
      <c r="DC242" s="1"/>
      <c r="DD242" s="1"/>
      <c r="DE242" s="1"/>
      <c r="DF242" s="1"/>
      <c r="DG242" s="1"/>
      <c r="DH242" s="1"/>
      <c r="DI242" s="1"/>
      <c r="DJ242" s="1"/>
      <c r="DK242" s="1"/>
      <c r="DL242" s="1"/>
      <c r="DM242" s="1"/>
      <c r="DN242" s="1"/>
      <c r="DO242" s="1"/>
      <c r="DP242" s="1"/>
      <c r="DQ242" s="1"/>
      <c r="DR242" s="1"/>
      <c r="DS242" s="1"/>
      <c r="DT242" s="1"/>
      <c r="DU242" s="14"/>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29"/>
    </row>
    <row r="243" spans="1:160" x14ac:dyDescent="0.25">
      <c r="A243" s="5"/>
      <c r="B243" s="1"/>
      <c r="C243" s="98"/>
      <c r="D243" s="98"/>
      <c r="E243" s="1"/>
      <c r="F243" s="22"/>
      <c r="G243" s="22"/>
      <c r="H243" s="22"/>
      <c r="I243" s="22"/>
      <c r="J243" s="22"/>
      <c r="K243" s="22"/>
      <c r="L243" s="22"/>
      <c r="M243" s="22"/>
      <c r="N243" s="22"/>
      <c r="O243" s="22"/>
      <c r="P243" s="22"/>
      <c r="Q243" s="22"/>
      <c r="R243" s="1"/>
      <c r="S243" s="1"/>
      <c r="T243" s="8"/>
      <c r="U243" s="1"/>
      <c r="V243" s="1"/>
      <c r="W243" s="1"/>
      <c r="X243" s="1"/>
      <c r="Y243" s="1"/>
      <c r="Z243" s="1"/>
      <c r="AA243" s="1"/>
      <c r="AC243" s="1"/>
      <c r="AD243" s="1"/>
      <c r="AE243" s="1"/>
      <c r="AF243" s="1"/>
      <c r="AG243" s="1"/>
      <c r="AH243" s="26"/>
      <c r="AI243" s="26"/>
      <c r="AJ243" s="26"/>
      <c r="AK243" s="26"/>
      <c r="AL243" s="26"/>
      <c r="AM243" s="26"/>
      <c r="AN243" s="26"/>
      <c r="AO243" s="26"/>
      <c r="AP243" s="26"/>
      <c r="AQ243" s="26"/>
      <c r="AR243" s="26"/>
      <c r="AS243" s="26"/>
      <c r="AT243" s="26"/>
      <c r="AU243" s="26"/>
      <c r="AV243" s="26"/>
      <c r="AW243" s="26"/>
      <c r="AX243" s="26"/>
      <c r="AY243" s="1"/>
      <c r="AZ243" s="26"/>
      <c r="BA243" s="26"/>
      <c r="BB243" s="26"/>
      <c r="BC243" s="26"/>
      <c r="BD243" s="26"/>
      <c r="BE243" s="26"/>
      <c r="BF243" s="26"/>
      <c r="BG243" s="26"/>
      <c r="BH243" s="26"/>
      <c r="BI243" s="26"/>
      <c r="BJ243" s="26"/>
      <c r="BK243" s="26"/>
      <c r="BL243" s="26"/>
      <c r="BM243" s="26"/>
      <c r="BN243" s="26"/>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96"/>
      <c r="CP243" s="14"/>
      <c r="CQ243" s="14"/>
      <c r="CR243" s="14"/>
      <c r="CS243" s="14"/>
      <c r="CT243" s="1"/>
      <c r="CU243" s="14"/>
      <c r="CV243" s="1"/>
      <c r="CW243" s="1"/>
      <c r="CX243" s="14"/>
      <c r="CY243" s="1"/>
      <c r="CZ243" s="1"/>
      <c r="DA243" s="1"/>
      <c r="DB243" s="1"/>
      <c r="DC243" s="1"/>
      <c r="DD243" s="1"/>
      <c r="DE243" s="1"/>
      <c r="DF243" s="1"/>
      <c r="DG243" s="1"/>
      <c r="DH243" s="1"/>
      <c r="DI243" s="1"/>
      <c r="DJ243" s="1"/>
      <c r="DK243" s="1"/>
      <c r="DL243" s="1"/>
      <c r="DM243" s="1"/>
      <c r="DN243" s="1"/>
      <c r="DO243" s="1"/>
      <c r="DP243" s="1"/>
      <c r="DQ243" s="1"/>
      <c r="DR243" s="1"/>
      <c r="DS243" s="1"/>
      <c r="DT243" s="1"/>
      <c r="DU243" s="14"/>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29"/>
    </row>
    <row r="244" spans="1:160" x14ac:dyDescent="0.25">
      <c r="A244" s="5"/>
      <c r="B244" s="1"/>
      <c r="C244" s="98"/>
      <c r="D244" s="98"/>
      <c r="E244" s="1"/>
      <c r="F244" s="22"/>
      <c r="G244" s="22"/>
      <c r="H244" s="22"/>
      <c r="I244" s="22"/>
      <c r="J244" s="22"/>
      <c r="K244" s="22"/>
      <c r="L244" s="22"/>
      <c r="M244" s="22"/>
      <c r="N244" s="22"/>
      <c r="O244" s="22"/>
      <c r="P244" s="22"/>
      <c r="Q244" s="22"/>
      <c r="R244" s="1"/>
      <c r="S244" s="1"/>
      <c r="T244" s="8"/>
      <c r="U244" s="1"/>
      <c r="V244" s="1"/>
      <c r="W244" s="1"/>
      <c r="X244" s="1"/>
      <c r="Y244" s="1"/>
      <c r="Z244" s="1"/>
      <c r="AA244" s="1"/>
      <c r="AC244" s="1"/>
      <c r="AD244" s="1"/>
      <c r="AE244" s="1"/>
      <c r="AF244" s="1"/>
      <c r="AG244" s="1"/>
      <c r="AH244" s="26"/>
      <c r="AI244" s="26"/>
      <c r="AJ244" s="26"/>
      <c r="AK244" s="26"/>
      <c r="AL244" s="26"/>
      <c r="AM244" s="26"/>
      <c r="AN244" s="26"/>
      <c r="AO244" s="26"/>
      <c r="AP244" s="26"/>
      <c r="AQ244" s="26"/>
      <c r="AR244" s="26"/>
      <c r="AS244" s="26"/>
      <c r="AT244" s="26"/>
      <c r="AU244" s="26"/>
      <c r="AV244" s="26"/>
      <c r="AW244" s="26"/>
      <c r="AX244" s="26"/>
      <c r="AY244" s="1"/>
      <c r="AZ244" s="26"/>
      <c r="BA244" s="26"/>
      <c r="BB244" s="26"/>
      <c r="BC244" s="26"/>
      <c r="BD244" s="26"/>
      <c r="BE244" s="26"/>
      <c r="BF244" s="26"/>
      <c r="BG244" s="26"/>
      <c r="BH244" s="26"/>
      <c r="BI244" s="26"/>
      <c r="BJ244" s="26"/>
      <c r="BK244" s="26"/>
      <c r="BL244" s="26"/>
      <c r="BM244" s="26"/>
      <c r="BN244" s="26"/>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96"/>
      <c r="CP244" s="14"/>
      <c r="CQ244" s="14"/>
      <c r="CR244" s="14"/>
      <c r="CS244" s="14"/>
      <c r="CT244" s="1"/>
      <c r="CU244" s="14"/>
      <c r="CV244" s="1"/>
      <c r="CW244" s="1"/>
      <c r="CX244" s="14"/>
      <c r="CY244" s="1"/>
      <c r="CZ244" s="1"/>
      <c r="DA244" s="1"/>
      <c r="DB244" s="1"/>
      <c r="DC244" s="1"/>
      <c r="DD244" s="1"/>
      <c r="DE244" s="1"/>
      <c r="DF244" s="1"/>
      <c r="DG244" s="1"/>
      <c r="DH244" s="1"/>
      <c r="DI244" s="1"/>
      <c r="DJ244" s="1"/>
      <c r="DK244" s="1"/>
      <c r="DL244" s="1"/>
      <c r="DM244" s="1"/>
      <c r="DN244" s="1"/>
      <c r="DO244" s="1"/>
      <c r="DP244" s="1"/>
      <c r="DQ244" s="1"/>
      <c r="DR244" s="1"/>
      <c r="DS244" s="1"/>
      <c r="DT244" s="1"/>
      <c r="DU244" s="14"/>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29"/>
    </row>
    <row r="245" spans="1:160" x14ac:dyDescent="0.25">
      <c r="A245" s="5"/>
      <c r="B245" s="1"/>
      <c r="C245" s="98"/>
      <c r="D245" s="98"/>
      <c r="E245" s="1"/>
      <c r="F245" s="22"/>
      <c r="G245" s="22"/>
      <c r="H245" s="22"/>
      <c r="I245" s="22"/>
      <c r="J245" s="22"/>
      <c r="K245" s="22"/>
      <c r="L245" s="22"/>
      <c r="M245" s="22"/>
      <c r="N245" s="22"/>
      <c r="O245" s="22"/>
      <c r="P245" s="22"/>
      <c r="Q245" s="22"/>
      <c r="R245" s="1"/>
      <c r="S245" s="1"/>
      <c r="T245" s="8"/>
      <c r="U245" s="1"/>
      <c r="V245" s="1"/>
      <c r="W245" s="1"/>
      <c r="X245" s="1"/>
      <c r="Y245" s="1"/>
      <c r="Z245" s="1"/>
      <c r="AA245" s="1"/>
      <c r="AC245" s="1"/>
      <c r="AD245" s="1"/>
      <c r="AE245" s="1"/>
      <c r="AF245" s="1"/>
      <c r="AG245" s="1"/>
      <c r="AH245" s="26"/>
      <c r="AI245" s="26"/>
      <c r="AJ245" s="26"/>
      <c r="AK245" s="26"/>
      <c r="AL245" s="26"/>
      <c r="AM245" s="26"/>
      <c r="AN245" s="26"/>
      <c r="AO245" s="26"/>
      <c r="AP245" s="26"/>
      <c r="AQ245" s="26"/>
      <c r="AR245" s="26"/>
      <c r="AS245" s="26"/>
      <c r="AT245" s="26"/>
      <c r="AU245" s="26"/>
      <c r="AV245" s="26"/>
      <c r="AW245" s="26"/>
      <c r="AX245" s="26"/>
      <c r="AY245" s="1"/>
      <c r="AZ245" s="26"/>
      <c r="BA245" s="26"/>
      <c r="BB245" s="26"/>
      <c r="BC245" s="26"/>
      <c r="BD245" s="26"/>
      <c r="BE245" s="26"/>
      <c r="BF245" s="26"/>
      <c r="BG245" s="26"/>
      <c r="BH245" s="26"/>
      <c r="BI245" s="26"/>
      <c r="BJ245" s="26"/>
      <c r="BK245" s="26"/>
      <c r="BL245" s="26"/>
      <c r="BM245" s="26"/>
      <c r="BN245" s="26"/>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96"/>
      <c r="CP245" s="14"/>
      <c r="CQ245" s="14"/>
      <c r="CR245" s="14"/>
      <c r="CS245" s="14"/>
      <c r="CT245" s="1"/>
      <c r="CU245" s="14"/>
      <c r="CV245" s="1"/>
      <c r="CW245" s="1"/>
      <c r="CX245" s="14"/>
      <c r="CY245" s="1"/>
      <c r="CZ245" s="1"/>
      <c r="DA245" s="1"/>
      <c r="DB245" s="1"/>
      <c r="DC245" s="1"/>
      <c r="DD245" s="1"/>
      <c r="DE245" s="1"/>
      <c r="DF245" s="1"/>
      <c r="DG245" s="1"/>
      <c r="DH245" s="1"/>
      <c r="DI245" s="1"/>
      <c r="DJ245" s="1"/>
      <c r="DK245" s="1"/>
      <c r="DL245" s="1"/>
      <c r="DM245" s="1"/>
      <c r="DN245" s="1"/>
      <c r="DO245" s="1"/>
      <c r="DP245" s="1"/>
      <c r="DQ245" s="1"/>
      <c r="DR245" s="1"/>
      <c r="DS245" s="1"/>
      <c r="DT245" s="1"/>
      <c r="DU245" s="14"/>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29"/>
    </row>
    <row r="246" spans="1:160" x14ac:dyDescent="0.25">
      <c r="A246" s="5"/>
      <c r="B246" s="1"/>
      <c r="C246" s="98"/>
      <c r="D246" s="98"/>
      <c r="E246" s="1"/>
      <c r="F246" s="22"/>
      <c r="G246" s="22"/>
      <c r="H246" s="22"/>
      <c r="I246" s="22"/>
      <c r="J246" s="22"/>
      <c r="K246" s="22"/>
      <c r="L246" s="22"/>
      <c r="M246" s="22"/>
      <c r="N246" s="22"/>
      <c r="O246" s="22"/>
      <c r="P246" s="22"/>
      <c r="Q246" s="22"/>
      <c r="R246" s="1"/>
      <c r="S246" s="1"/>
      <c r="T246" s="8"/>
      <c r="U246" s="1"/>
      <c r="V246" s="1"/>
      <c r="W246" s="1"/>
      <c r="X246" s="1"/>
      <c r="Y246" s="1"/>
      <c r="Z246" s="1"/>
      <c r="AA246" s="1"/>
      <c r="AC246" s="1"/>
      <c r="AD246" s="1"/>
      <c r="AE246" s="1"/>
      <c r="AF246" s="1"/>
      <c r="AG246" s="1"/>
      <c r="AH246" s="26"/>
      <c r="AI246" s="26"/>
      <c r="AJ246" s="26"/>
      <c r="AK246" s="26"/>
      <c r="AL246" s="26"/>
      <c r="AM246" s="26"/>
      <c r="AN246" s="26"/>
      <c r="AO246" s="26"/>
      <c r="AP246" s="26"/>
      <c r="AQ246" s="26"/>
      <c r="AR246" s="26"/>
      <c r="AS246" s="26"/>
      <c r="AT246" s="26"/>
      <c r="AU246" s="26"/>
      <c r="AV246" s="26"/>
      <c r="AW246" s="26"/>
      <c r="AX246" s="26"/>
      <c r="AY246" s="1"/>
      <c r="AZ246" s="26"/>
      <c r="BA246" s="26"/>
      <c r="BB246" s="26"/>
      <c r="BC246" s="26"/>
      <c r="BD246" s="26"/>
      <c r="BE246" s="26"/>
      <c r="BF246" s="26"/>
      <c r="BG246" s="26"/>
      <c r="BH246" s="26"/>
      <c r="BI246" s="26"/>
      <c r="BJ246" s="26"/>
      <c r="BK246" s="26"/>
      <c r="BL246" s="26"/>
      <c r="BM246" s="26"/>
      <c r="BN246" s="26"/>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96"/>
      <c r="CP246" s="14"/>
      <c r="CQ246" s="14"/>
      <c r="CR246" s="14"/>
      <c r="CS246" s="14"/>
      <c r="CT246" s="1"/>
      <c r="CU246" s="14"/>
      <c r="CV246" s="1"/>
      <c r="CW246" s="1"/>
      <c r="CX246" s="14"/>
      <c r="CY246" s="1"/>
      <c r="CZ246" s="1"/>
      <c r="DA246" s="1"/>
      <c r="DB246" s="1"/>
      <c r="DC246" s="1"/>
      <c r="DD246" s="1"/>
      <c r="DE246" s="1"/>
      <c r="DF246" s="1"/>
      <c r="DG246" s="1"/>
      <c r="DH246" s="1"/>
      <c r="DI246" s="1"/>
      <c r="DJ246" s="1"/>
      <c r="DK246" s="1"/>
      <c r="DL246" s="1"/>
      <c r="DM246" s="1"/>
      <c r="DN246" s="1"/>
      <c r="DO246" s="1"/>
      <c r="DP246" s="1"/>
      <c r="DQ246" s="1"/>
      <c r="DR246" s="1"/>
      <c r="DS246" s="1"/>
      <c r="DT246" s="1"/>
      <c r="DU246" s="14"/>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29"/>
    </row>
    <row r="247" spans="1:160" x14ac:dyDescent="0.25">
      <c r="A247" s="5"/>
      <c r="B247" s="1"/>
      <c r="C247" s="98"/>
      <c r="D247" s="98"/>
      <c r="E247" s="1"/>
      <c r="F247" s="22"/>
      <c r="G247" s="22"/>
      <c r="H247" s="22"/>
      <c r="I247" s="22"/>
      <c r="J247" s="22"/>
      <c r="K247" s="22"/>
      <c r="L247" s="22"/>
      <c r="M247" s="22"/>
      <c r="N247" s="22"/>
      <c r="O247" s="22"/>
      <c r="P247" s="22"/>
      <c r="Q247" s="22"/>
      <c r="R247" s="1"/>
      <c r="S247" s="1"/>
      <c r="T247" s="8"/>
      <c r="U247" s="1"/>
      <c r="V247" s="1"/>
      <c r="W247" s="1"/>
      <c r="X247" s="1"/>
      <c r="Y247" s="1"/>
      <c r="Z247" s="1"/>
      <c r="AA247" s="1"/>
      <c r="AC247" s="1"/>
      <c r="AD247" s="1"/>
      <c r="AE247" s="1"/>
      <c r="AF247" s="1"/>
      <c r="AG247" s="1"/>
      <c r="AH247" s="26"/>
      <c r="AI247" s="26"/>
      <c r="AJ247" s="26"/>
      <c r="AK247" s="26"/>
      <c r="AL247" s="26"/>
      <c r="AM247" s="26"/>
      <c r="AN247" s="26"/>
      <c r="AO247" s="26"/>
      <c r="AP247" s="26"/>
      <c r="AQ247" s="26"/>
      <c r="AR247" s="26"/>
      <c r="AS247" s="26"/>
      <c r="AT247" s="26"/>
      <c r="AU247" s="26"/>
      <c r="AV247" s="26"/>
      <c r="AW247" s="26"/>
      <c r="AX247" s="26"/>
      <c r="AY247" s="1"/>
      <c r="AZ247" s="26"/>
      <c r="BA247" s="26"/>
      <c r="BB247" s="26"/>
      <c r="BC247" s="26"/>
      <c r="BD247" s="26"/>
      <c r="BE247" s="26"/>
      <c r="BF247" s="26"/>
      <c r="BG247" s="26"/>
      <c r="BH247" s="26"/>
      <c r="BI247" s="26"/>
      <c r="BJ247" s="26"/>
      <c r="BK247" s="26"/>
      <c r="BL247" s="26"/>
      <c r="BM247" s="26"/>
      <c r="BN247" s="26"/>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96"/>
      <c r="CP247" s="14"/>
      <c r="CQ247" s="14"/>
      <c r="CR247" s="14"/>
      <c r="CS247" s="14"/>
      <c r="CT247" s="1"/>
      <c r="CU247" s="14"/>
      <c r="CV247" s="1"/>
      <c r="CW247" s="1"/>
      <c r="CX247" s="14"/>
      <c r="CY247" s="1"/>
      <c r="CZ247" s="1"/>
      <c r="DA247" s="1"/>
      <c r="DB247" s="1"/>
      <c r="DC247" s="1"/>
      <c r="DD247" s="1"/>
      <c r="DE247" s="1"/>
      <c r="DF247" s="1"/>
      <c r="DG247" s="1"/>
      <c r="DH247" s="1"/>
      <c r="DI247" s="1"/>
      <c r="DJ247" s="1"/>
      <c r="DK247" s="1"/>
      <c r="DL247" s="1"/>
      <c r="DM247" s="1"/>
      <c r="DN247" s="1"/>
      <c r="DO247" s="1"/>
      <c r="DP247" s="1"/>
      <c r="DQ247" s="1"/>
      <c r="DR247" s="1"/>
      <c r="DS247" s="1"/>
      <c r="DT247" s="1"/>
      <c r="DU247" s="14"/>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29"/>
    </row>
    <row r="248" spans="1:160" x14ac:dyDescent="0.25">
      <c r="A248" s="5"/>
      <c r="B248" s="1"/>
      <c r="C248" s="98"/>
      <c r="D248" s="98"/>
      <c r="E248" s="1"/>
      <c r="F248" s="22"/>
      <c r="G248" s="22"/>
      <c r="H248" s="22"/>
      <c r="I248" s="22"/>
      <c r="J248" s="22"/>
      <c r="K248" s="22"/>
      <c r="L248" s="22"/>
      <c r="M248" s="22"/>
      <c r="N248" s="22"/>
      <c r="O248" s="22"/>
      <c r="P248" s="22"/>
      <c r="Q248" s="22"/>
      <c r="R248" s="1"/>
      <c r="S248" s="1"/>
      <c r="T248" s="8"/>
      <c r="U248" s="1"/>
      <c r="V248" s="1"/>
      <c r="W248" s="1"/>
      <c r="X248" s="1"/>
      <c r="Y248" s="1"/>
      <c r="Z248" s="1"/>
      <c r="AA248" s="1"/>
      <c r="AC248" s="1"/>
      <c r="AD248" s="1"/>
      <c r="AE248" s="1"/>
      <c r="AF248" s="1"/>
      <c r="AG248" s="1"/>
      <c r="AH248" s="26"/>
      <c r="AI248" s="26"/>
      <c r="AJ248" s="26"/>
      <c r="AK248" s="26"/>
      <c r="AL248" s="26"/>
      <c r="AM248" s="26"/>
      <c r="AN248" s="26"/>
      <c r="AO248" s="26"/>
      <c r="AP248" s="26"/>
      <c r="AQ248" s="26"/>
      <c r="AR248" s="26"/>
      <c r="AS248" s="26"/>
      <c r="AT248" s="26"/>
      <c r="AU248" s="26"/>
      <c r="AV248" s="26"/>
      <c r="AW248" s="26"/>
      <c r="AX248" s="26"/>
      <c r="AY248" s="1"/>
      <c r="AZ248" s="26"/>
      <c r="BA248" s="26"/>
      <c r="BB248" s="26"/>
      <c r="BC248" s="26"/>
      <c r="BD248" s="26"/>
      <c r="BE248" s="26"/>
      <c r="BF248" s="26"/>
      <c r="BG248" s="26"/>
      <c r="BH248" s="26"/>
      <c r="BI248" s="26"/>
      <c r="BJ248" s="26"/>
      <c r="BK248" s="26"/>
      <c r="BL248" s="26"/>
      <c r="BM248" s="26"/>
      <c r="BN248" s="26"/>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96"/>
      <c r="CP248" s="14"/>
      <c r="CQ248" s="14"/>
      <c r="CR248" s="14"/>
      <c r="CS248" s="14"/>
      <c r="CT248" s="1"/>
      <c r="CU248" s="14"/>
      <c r="CV248" s="1"/>
      <c r="CW248" s="1"/>
      <c r="CX248" s="14"/>
      <c r="CY248" s="1"/>
      <c r="CZ248" s="1"/>
      <c r="DA248" s="1"/>
      <c r="DB248" s="1"/>
      <c r="DC248" s="1"/>
      <c r="DD248" s="1"/>
      <c r="DE248" s="1"/>
      <c r="DF248" s="1"/>
      <c r="DG248" s="1"/>
      <c r="DH248" s="1"/>
      <c r="DI248" s="1"/>
      <c r="DJ248" s="1"/>
      <c r="DK248" s="1"/>
      <c r="DL248" s="1"/>
      <c r="DM248" s="1"/>
      <c r="DN248" s="1"/>
      <c r="DO248" s="1"/>
      <c r="DP248" s="1"/>
      <c r="DQ248" s="1"/>
      <c r="DR248" s="1"/>
      <c r="DS248" s="1"/>
      <c r="DT248" s="1"/>
      <c r="DU248" s="14"/>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29"/>
    </row>
    <row r="249" spans="1:160" x14ac:dyDescent="0.25">
      <c r="A249" s="5"/>
      <c r="B249" s="1"/>
      <c r="C249" s="98"/>
      <c r="D249" s="98"/>
      <c r="E249" s="1"/>
      <c r="F249" s="22"/>
      <c r="G249" s="22"/>
      <c r="H249" s="22"/>
      <c r="I249" s="22"/>
      <c r="J249" s="22"/>
      <c r="K249" s="22"/>
      <c r="L249" s="22"/>
      <c r="M249" s="22"/>
      <c r="N249" s="22"/>
      <c r="O249" s="22"/>
      <c r="P249" s="22"/>
      <c r="Q249" s="22"/>
      <c r="R249" s="1"/>
      <c r="S249" s="1"/>
      <c r="T249" s="8"/>
      <c r="U249" s="1"/>
      <c r="V249" s="1"/>
      <c r="W249" s="1"/>
      <c r="X249" s="1"/>
      <c r="Y249" s="1"/>
      <c r="Z249" s="1"/>
      <c r="AA249" s="1"/>
      <c r="AC249" s="1"/>
      <c r="AD249" s="1"/>
      <c r="AE249" s="1"/>
      <c r="AF249" s="1"/>
      <c r="AG249" s="1"/>
      <c r="AH249" s="26"/>
      <c r="AI249" s="26"/>
      <c r="AJ249" s="26"/>
      <c r="AK249" s="26"/>
      <c r="AL249" s="26"/>
      <c r="AM249" s="26"/>
      <c r="AN249" s="26"/>
      <c r="AO249" s="26"/>
      <c r="AP249" s="26"/>
      <c r="AQ249" s="26"/>
      <c r="AR249" s="26"/>
      <c r="AS249" s="26"/>
      <c r="AT249" s="26"/>
      <c r="AU249" s="26"/>
      <c r="AV249" s="26"/>
      <c r="AW249" s="26"/>
      <c r="AX249" s="26"/>
      <c r="AY249" s="1"/>
      <c r="AZ249" s="26"/>
      <c r="BA249" s="26"/>
      <c r="BB249" s="26"/>
      <c r="BC249" s="26"/>
      <c r="BD249" s="26"/>
      <c r="BE249" s="26"/>
      <c r="BF249" s="26"/>
      <c r="BG249" s="26"/>
      <c r="BH249" s="26"/>
      <c r="BI249" s="26"/>
      <c r="BJ249" s="26"/>
      <c r="BK249" s="26"/>
      <c r="BL249" s="26"/>
      <c r="BM249" s="26"/>
      <c r="BN249" s="26"/>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96"/>
      <c r="CP249" s="14"/>
      <c r="CQ249" s="14"/>
      <c r="CR249" s="14"/>
      <c r="CS249" s="14"/>
      <c r="CT249" s="1"/>
      <c r="CU249" s="14"/>
      <c r="CV249" s="1"/>
      <c r="CW249" s="1"/>
      <c r="CX249" s="14"/>
      <c r="CY249" s="1"/>
      <c r="CZ249" s="1"/>
      <c r="DA249" s="1"/>
      <c r="DB249" s="1"/>
      <c r="DC249" s="1"/>
      <c r="DD249" s="1"/>
      <c r="DE249" s="1"/>
      <c r="DF249" s="1"/>
      <c r="DG249" s="1"/>
      <c r="DH249" s="1"/>
      <c r="DI249" s="1"/>
      <c r="DJ249" s="1"/>
      <c r="DK249" s="1"/>
      <c r="DL249" s="1"/>
      <c r="DM249" s="1"/>
      <c r="DN249" s="1"/>
      <c r="DO249" s="1"/>
      <c r="DP249" s="1"/>
      <c r="DQ249" s="1"/>
      <c r="DR249" s="1"/>
      <c r="DS249" s="1"/>
      <c r="DT249" s="1"/>
      <c r="DU249" s="14"/>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29"/>
    </row>
    <row r="250" spans="1:160" x14ac:dyDescent="0.25">
      <c r="A250" s="5"/>
      <c r="B250" s="1"/>
      <c r="C250" s="98"/>
      <c r="D250" s="98"/>
      <c r="E250" s="1"/>
      <c r="F250" s="22"/>
      <c r="G250" s="22"/>
      <c r="H250" s="22"/>
      <c r="I250" s="22"/>
      <c r="J250" s="22"/>
      <c r="K250" s="22"/>
      <c r="L250" s="22"/>
      <c r="M250" s="22"/>
      <c r="N250" s="22"/>
      <c r="O250" s="22"/>
      <c r="P250" s="22"/>
      <c r="Q250" s="22"/>
      <c r="R250" s="1"/>
      <c r="S250" s="1"/>
      <c r="T250" s="8"/>
      <c r="U250" s="1"/>
      <c r="V250" s="1"/>
      <c r="W250" s="1"/>
      <c r="X250" s="1"/>
      <c r="Y250" s="1"/>
      <c r="Z250" s="1"/>
      <c r="AA250" s="1"/>
      <c r="AC250" s="1"/>
      <c r="AD250" s="1"/>
      <c r="AE250" s="1"/>
      <c r="AF250" s="1"/>
      <c r="AG250" s="1"/>
      <c r="AH250" s="26"/>
      <c r="AI250" s="26"/>
      <c r="AJ250" s="26"/>
      <c r="AK250" s="26"/>
      <c r="AL250" s="26"/>
      <c r="AM250" s="26"/>
      <c r="AN250" s="26"/>
      <c r="AO250" s="26"/>
      <c r="AP250" s="26"/>
      <c r="AQ250" s="26"/>
      <c r="AR250" s="26"/>
      <c r="AS250" s="26"/>
      <c r="AT250" s="26"/>
      <c r="AU250" s="26"/>
      <c r="AV250" s="26"/>
      <c r="AW250" s="26"/>
      <c r="AX250" s="26"/>
      <c r="AY250" s="1"/>
      <c r="AZ250" s="26"/>
      <c r="BA250" s="26"/>
      <c r="BB250" s="26"/>
      <c r="BC250" s="26"/>
      <c r="BD250" s="26"/>
      <c r="BE250" s="26"/>
      <c r="BF250" s="26"/>
      <c r="BG250" s="26"/>
      <c r="BH250" s="26"/>
      <c r="BI250" s="26"/>
      <c r="BJ250" s="26"/>
      <c r="BK250" s="26"/>
      <c r="BL250" s="26"/>
      <c r="BM250" s="26"/>
      <c r="BN250" s="26"/>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96"/>
      <c r="CP250" s="14"/>
      <c r="CQ250" s="14"/>
      <c r="CR250" s="14"/>
      <c r="CS250" s="14"/>
      <c r="CT250" s="1"/>
      <c r="CU250" s="14"/>
      <c r="CV250" s="1"/>
      <c r="CW250" s="1"/>
      <c r="CX250" s="14"/>
      <c r="CY250" s="1"/>
      <c r="CZ250" s="1"/>
      <c r="DA250" s="1"/>
      <c r="DB250" s="1"/>
      <c r="DC250" s="1"/>
      <c r="DD250" s="1"/>
      <c r="DE250" s="1"/>
      <c r="DF250" s="1"/>
      <c r="DG250" s="1"/>
      <c r="DH250" s="1"/>
      <c r="DI250" s="1"/>
      <c r="DJ250" s="1"/>
      <c r="DK250" s="1"/>
      <c r="DL250" s="1"/>
      <c r="DM250" s="1"/>
      <c r="DN250" s="1"/>
      <c r="DO250" s="1"/>
      <c r="DP250" s="1"/>
      <c r="DQ250" s="1"/>
      <c r="DR250" s="1"/>
      <c r="DS250" s="1"/>
      <c r="DT250" s="1"/>
      <c r="DU250" s="14"/>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29"/>
    </row>
    <row r="251" spans="1:160" x14ac:dyDescent="0.25">
      <c r="A251" s="5"/>
      <c r="B251" s="1"/>
      <c r="C251" s="98"/>
      <c r="D251" s="98"/>
      <c r="E251" s="1"/>
      <c r="F251" s="22"/>
      <c r="G251" s="22"/>
      <c r="H251" s="22"/>
      <c r="I251" s="22"/>
      <c r="J251" s="22"/>
      <c r="K251" s="22"/>
      <c r="L251" s="22"/>
      <c r="M251" s="22"/>
      <c r="N251" s="22"/>
      <c r="O251" s="22"/>
      <c r="P251" s="22"/>
      <c r="Q251" s="22"/>
      <c r="R251" s="1"/>
      <c r="S251" s="1"/>
      <c r="T251" s="8"/>
      <c r="U251" s="1"/>
      <c r="V251" s="1"/>
      <c r="W251" s="1"/>
      <c r="X251" s="1"/>
      <c r="Y251" s="1"/>
      <c r="Z251" s="1"/>
      <c r="AA251" s="1"/>
      <c r="AC251" s="1"/>
      <c r="AD251" s="1"/>
      <c r="AE251" s="1"/>
      <c r="AF251" s="1"/>
      <c r="AG251" s="1"/>
      <c r="AH251" s="26"/>
      <c r="AI251" s="26"/>
      <c r="AJ251" s="26"/>
      <c r="AK251" s="26"/>
      <c r="AL251" s="26"/>
      <c r="AM251" s="26"/>
      <c r="AN251" s="26"/>
      <c r="AO251" s="26"/>
      <c r="AP251" s="26"/>
      <c r="AQ251" s="26"/>
      <c r="AR251" s="26"/>
      <c r="AS251" s="26"/>
      <c r="AT251" s="26"/>
      <c r="AU251" s="26"/>
      <c r="AV251" s="26"/>
      <c r="AW251" s="26"/>
      <c r="AX251" s="26"/>
      <c r="AY251" s="1"/>
      <c r="AZ251" s="26"/>
      <c r="BA251" s="26"/>
      <c r="BB251" s="26"/>
      <c r="BC251" s="26"/>
      <c r="BD251" s="26"/>
      <c r="BE251" s="26"/>
      <c r="BF251" s="26"/>
      <c r="BG251" s="26"/>
      <c r="BH251" s="26"/>
      <c r="BI251" s="26"/>
      <c r="BJ251" s="26"/>
      <c r="BK251" s="26"/>
      <c r="BL251" s="26"/>
      <c r="BM251" s="26"/>
      <c r="BN251" s="26"/>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6"/>
      <c r="CP251" s="14"/>
      <c r="CQ251" s="14"/>
      <c r="CR251" s="14"/>
      <c r="CS251" s="14"/>
      <c r="CT251" s="1"/>
      <c r="CU251" s="14"/>
      <c r="CV251" s="1"/>
      <c r="CW251" s="1"/>
      <c r="CX251" s="14"/>
      <c r="CY251" s="1"/>
      <c r="CZ251" s="1"/>
      <c r="DA251" s="1"/>
      <c r="DB251" s="1"/>
      <c r="DC251" s="1"/>
      <c r="DD251" s="1"/>
      <c r="DE251" s="1"/>
      <c r="DF251" s="1"/>
      <c r="DG251" s="1"/>
      <c r="DH251" s="1"/>
      <c r="DI251" s="1"/>
      <c r="DJ251" s="1"/>
      <c r="DK251" s="1"/>
      <c r="DL251" s="1"/>
      <c r="DM251" s="1"/>
      <c r="DN251" s="1"/>
      <c r="DO251" s="1"/>
      <c r="DP251" s="1"/>
      <c r="DQ251" s="1"/>
      <c r="DR251" s="1"/>
      <c r="DS251" s="1"/>
      <c r="DT251" s="1"/>
      <c r="DU251" s="14"/>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29"/>
    </row>
    <row r="252" spans="1:160" x14ac:dyDescent="0.25">
      <c r="A252" s="5"/>
      <c r="B252" s="1"/>
      <c r="C252" s="98"/>
      <c r="D252" s="98"/>
      <c r="E252" s="1"/>
      <c r="F252" s="22"/>
      <c r="G252" s="22"/>
      <c r="H252" s="22"/>
      <c r="I252" s="22"/>
      <c r="J252" s="22"/>
      <c r="K252" s="22"/>
      <c r="L252" s="22"/>
      <c r="M252" s="22"/>
      <c r="N252" s="22"/>
      <c r="O252" s="22"/>
      <c r="P252" s="22"/>
      <c r="Q252" s="22"/>
      <c r="R252" s="1"/>
      <c r="S252" s="1"/>
      <c r="T252" s="8"/>
      <c r="U252" s="1"/>
      <c r="V252" s="1"/>
      <c r="W252" s="1"/>
      <c r="X252" s="1"/>
      <c r="Y252" s="1"/>
      <c r="Z252" s="1"/>
      <c r="AA252" s="1"/>
      <c r="AC252" s="1"/>
      <c r="AD252" s="1"/>
      <c r="AE252" s="1"/>
      <c r="AF252" s="1"/>
      <c r="AG252" s="1"/>
      <c r="AH252" s="26"/>
      <c r="AI252" s="26"/>
      <c r="AJ252" s="26"/>
      <c r="AK252" s="26"/>
      <c r="AL252" s="26"/>
      <c r="AM252" s="26"/>
      <c r="AN252" s="26"/>
      <c r="AO252" s="26"/>
      <c r="AP252" s="26"/>
      <c r="AQ252" s="26"/>
      <c r="AR252" s="26"/>
      <c r="AS252" s="26"/>
      <c r="AT252" s="26"/>
      <c r="AU252" s="26"/>
      <c r="AV252" s="26"/>
      <c r="AW252" s="26"/>
      <c r="AX252" s="26"/>
      <c r="AY252" s="1"/>
      <c r="AZ252" s="26"/>
      <c r="BA252" s="26"/>
      <c r="BB252" s="26"/>
      <c r="BC252" s="26"/>
      <c r="BD252" s="26"/>
      <c r="BE252" s="26"/>
      <c r="BF252" s="26"/>
      <c r="BG252" s="26"/>
      <c r="BH252" s="26"/>
      <c r="BI252" s="26"/>
      <c r="BJ252" s="26"/>
      <c r="BK252" s="26"/>
      <c r="BL252" s="26"/>
      <c r="BM252" s="26"/>
      <c r="BN252" s="26"/>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96"/>
      <c r="CP252" s="14"/>
      <c r="CQ252" s="14"/>
      <c r="CR252" s="14"/>
      <c r="CS252" s="14"/>
      <c r="CT252" s="1"/>
      <c r="CU252" s="14"/>
      <c r="CV252" s="1"/>
      <c r="CW252" s="1"/>
      <c r="CX252" s="14"/>
      <c r="CY252" s="1"/>
      <c r="CZ252" s="1"/>
      <c r="DA252" s="1"/>
      <c r="DB252" s="1"/>
      <c r="DC252" s="1"/>
      <c r="DD252" s="1"/>
      <c r="DE252" s="1"/>
      <c r="DF252" s="1"/>
      <c r="DG252" s="1"/>
      <c r="DH252" s="1"/>
      <c r="DI252" s="1"/>
      <c r="DJ252" s="1"/>
      <c r="DK252" s="1"/>
      <c r="DL252" s="1"/>
      <c r="DM252" s="1"/>
      <c r="DN252" s="1"/>
      <c r="DO252" s="1"/>
      <c r="DP252" s="1"/>
      <c r="DQ252" s="1"/>
      <c r="DR252" s="1"/>
      <c r="DS252" s="1"/>
      <c r="DT252" s="1"/>
      <c r="DU252" s="14"/>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29"/>
    </row>
    <row r="253" spans="1:160" x14ac:dyDescent="0.25">
      <c r="A253" s="5"/>
      <c r="B253" s="1"/>
      <c r="C253" s="98"/>
      <c r="D253" s="98"/>
      <c r="E253" s="1"/>
      <c r="F253" s="22"/>
      <c r="G253" s="22"/>
      <c r="H253" s="22"/>
      <c r="I253" s="22"/>
      <c r="J253" s="22"/>
      <c r="K253" s="22"/>
      <c r="L253" s="22"/>
      <c r="M253" s="22"/>
      <c r="N253" s="22"/>
      <c r="O253" s="22"/>
      <c r="P253" s="22"/>
      <c r="Q253" s="22"/>
      <c r="R253" s="1"/>
      <c r="S253" s="1"/>
      <c r="T253" s="8"/>
      <c r="U253" s="1"/>
      <c r="V253" s="1"/>
      <c r="W253" s="1"/>
      <c r="X253" s="1"/>
      <c r="Y253" s="1"/>
      <c r="Z253" s="1"/>
      <c r="AA253" s="1"/>
      <c r="AC253" s="1"/>
      <c r="AD253" s="1"/>
      <c r="AE253" s="1"/>
      <c r="AF253" s="1"/>
      <c r="AG253" s="1"/>
      <c r="AH253" s="26"/>
      <c r="AI253" s="26"/>
      <c r="AJ253" s="26"/>
      <c r="AK253" s="26"/>
      <c r="AL253" s="26"/>
      <c r="AM253" s="26"/>
      <c r="AN253" s="26"/>
      <c r="AO253" s="26"/>
      <c r="AP253" s="26"/>
      <c r="AQ253" s="26"/>
      <c r="AR253" s="26"/>
      <c r="AS253" s="26"/>
      <c r="AT253" s="26"/>
      <c r="AU253" s="26"/>
      <c r="AV253" s="26"/>
      <c r="AW253" s="26"/>
      <c r="AX253" s="26"/>
      <c r="AY253" s="1"/>
      <c r="AZ253" s="26"/>
      <c r="BA253" s="26"/>
      <c r="BB253" s="26"/>
      <c r="BC253" s="26"/>
      <c r="BD253" s="26"/>
      <c r="BE253" s="26"/>
      <c r="BF253" s="26"/>
      <c r="BG253" s="26"/>
      <c r="BH253" s="26"/>
      <c r="BI253" s="26"/>
      <c r="BJ253" s="26"/>
      <c r="BK253" s="26"/>
      <c r="BL253" s="26"/>
      <c r="BM253" s="26"/>
      <c r="BN253" s="26"/>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96"/>
      <c r="CP253" s="14"/>
      <c r="CQ253" s="14"/>
      <c r="CR253" s="14"/>
      <c r="CS253" s="14"/>
      <c r="CT253" s="1"/>
      <c r="CU253" s="14"/>
      <c r="CV253" s="1"/>
      <c r="CW253" s="1"/>
      <c r="CX253" s="14"/>
      <c r="CY253" s="1"/>
      <c r="CZ253" s="1"/>
      <c r="DA253" s="1"/>
      <c r="DB253" s="1"/>
      <c r="DC253" s="1"/>
      <c r="DD253" s="1"/>
      <c r="DE253" s="1"/>
      <c r="DF253" s="1"/>
      <c r="DG253" s="1"/>
      <c r="DH253" s="1"/>
      <c r="DI253" s="1"/>
      <c r="DJ253" s="1"/>
      <c r="DK253" s="1"/>
      <c r="DL253" s="1"/>
      <c r="DM253" s="1"/>
      <c r="DN253" s="1"/>
      <c r="DO253" s="1"/>
      <c r="DP253" s="1"/>
      <c r="DQ253" s="1"/>
      <c r="DR253" s="1"/>
      <c r="DS253" s="1"/>
      <c r="DT253" s="1"/>
      <c r="DU253" s="14"/>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29"/>
    </row>
    <row r="254" spans="1:160" x14ac:dyDescent="0.25">
      <c r="A254" s="5"/>
      <c r="B254" s="1"/>
      <c r="C254" s="98"/>
      <c r="D254" s="98"/>
      <c r="E254" s="1"/>
      <c r="F254" s="22"/>
      <c r="G254" s="22"/>
      <c r="H254" s="22"/>
      <c r="I254" s="22"/>
      <c r="J254" s="22"/>
      <c r="K254" s="22"/>
      <c r="L254" s="22"/>
      <c r="M254" s="22"/>
      <c r="N254" s="22"/>
      <c r="O254" s="22"/>
      <c r="P254" s="22"/>
      <c r="Q254" s="22"/>
      <c r="R254" s="1"/>
      <c r="S254" s="1"/>
      <c r="T254" s="8"/>
      <c r="U254" s="1"/>
      <c r="V254" s="1"/>
      <c r="W254" s="1"/>
      <c r="X254" s="1"/>
      <c r="Y254" s="1"/>
      <c r="Z254" s="1"/>
      <c r="AA254" s="1"/>
      <c r="AC254" s="1"/>
      <c r="AD254" s="1"/>
      <c r="AE254" s="1"/>
      <c r="AF254" s="1"/>
      <c r="AG254" s="1"/>
      <c r="AH254" s="26"/>
      <c r="AI254" s="26"/>
      <c r="AJ254" s="26"/>
      <c r="AK254" s="26"/>
      <c r="AL254" s="26"/>
      <c r="AM254" s="26"/>
      <c r="AN254" s="26"/>
      <c r="AO254" s="26"/>
      <c r="AP254" s="26"/>
      <c r="AQ254" s="26"/>
      <c r="AR254" s="26"/>
      <c r="AS254" s="26"/>
      <c r="AT254" s="26"/>
      <c r="AU254" s="26"/>
      <c r="AV254" s="26"/>
      <c r="AW254" s="26"/>
      <c r="AX254" s="26"/>
      <c r="AY254" s="1"/>
      <c r="AZ254" s="26"/>
      <c r="BA254" s="26"/>
      <c r="BB254" s="26"/>
      <c r="BC254" s="26"/>
      <c r="BD254" s="26"/>
      <c r="BE254" s="26"/>
      <c r="BF254" s="26"/>
      <c r="BG254" s="26"/>
      <c r="BH254" s="26"/>
      <c r="BI254" s="26"/>
      <c r="BJ254" s="26"/>
      <c r="BK254" s="26"/>
      <c r="BL254" s="26"/>
      <c r="BM254" s="26"/>
      <c r="BN254" s="26"/>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96"/>
      <c r="CP254" s="14"/>
      <c r="CQ254" s="14"/>
      <c r="CR254" s="14"/>
      <c r="CS254" s="14"/>
      <c r="CT254" s="1"/>
      <c r="CU254" s="14"/>
      <c r="CV254" s="1"/>
      <c r="CW254" s="1"/>
      <c r="CX254" s="14"/>
      <c r="CY254" s="1"/>
      <c r="CZ254" s="1"/>
      <c r="DA254" s="1"/>
      <c r="DB254" s="1"/>
      <c r="DC254" s="1"/>
      <c r="DD254" s="1"/>
      <c r="DE254" s="1"/>
      <c r="DF254" s="1"/>
      <c r="DG254" s="1"/>
      <c r="DH254" s="1"/>
      <c r="DI254" s="1"/>
      <c r="DJ254" s="1"/>
      <c r="DK254" s="1"/>
      <c r="DL254" s="1"/>
      <c r="DM254" s="1"/>
      <c r="DN254" s="1"/>
      <c r="DO254" s="1"/>
      <c r="DP254" s="1"/>
      <c r="DQ254" s="1"/>
      <c r="DR254" s="1"/>
      <c r="DS254" s="1"/>
      <c r="DT254" s="1"/>
      <c r="DU254" s="14"/>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29"/>
    </row>
    <row r="255" spans="1:160" x14ac:dyDescent="0.25">
      <c r="A255" s="5"/>
      <c r="B255" s="1"/>
      <c r="C255" s="98"/>
      <c r="D255" s="98"/>
      <c r="E255" s="1"/>
      <c r="F255" s="22"/>
      <c r="G255" s="22"/>
      <c r="H255" s="22"/>
      <c r="I255" s="22"/>
      <c r="J255" s="22"/>
      <c r="K255" s="22"/>
      <c r="L255" s="22"/>
      <c r="M255" s="22"/>
      <c r="N255" s="22"/>
      <c r="O255" s="22"/>
      <c r="P255" s="22"/>
      <c r="Q255" s="22"/>
      <c r="R255" s="1"/>
      <c r="S255" s="1"/>
      <c r="T255" s="8"/>
      <c r="U255" s="1"/>
      <c r="V255" s="1"/>
      <c r="W255" s="1"/>
      <c r="X255" s="1"/>
      <c r="Y255" s="1"/>
      <c r="Z255" s="1"/>
      <c r="AA255" s="1"/>
      <c r="AC255" s="1"/>
      <c r="AD255" s="1"/>
      <c r="AE255" s="1"/>
      <c r="AF255" s="1"/>
      <c r="AG255" s="1"/>
      <c r="AH255" s="26"/>
      <c r="AI255" s="26"/>
      <c r="AJ255" s="26"/>
      <c r="AK255" s="26"/>
      <c r="AL255" s="26"/>
      <c r="AM255" s="26"/>
      <c r="AN255" s="26"/>
      <c r="AO255" s="26"/>
      <c r="AP255" s="26"/>
      <c r="AQ255" s="26"/>
      <c r="AR255" s="26"/>
      <c r="AS255" s="26"/>
      <c r="AT255" s="26"/>
      <c r="AU255" s="26"/>
      <c r="AV255" s="26"/>
      <c r="AW255" s="26"/>
      <c r="AX255" s="26"/>
      <c r="AY255" s="1"/>
      <c r="AZ255" s="26"/>
      <c r="BA255" s="26"/>
      <c r="BB255" s="26"/>
      <c r="BC255" s="26"/>
      <c r="BD255" s="26"/>
      <c r="BE255" s="26"/>
      <c r="BF255" s="26"/>
      <c r="BG255" s="26"/>
      <c r="BH255" s="26"/>
      <c r="BI255" s="26"/>
      <c r="BJ255" s="26"/>
      <c r="BK255" s="26"/>
      <c r="BL255" s="26"/>
      <c r="BM255" s="26"/>
      <c r="BN255" s="26"/>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96"/>
      <c r="CP255" s="14"/>
      <c r="CQ255" s="14"/>
      <c r="CR255" s="14"/>
      <c r="CS255" s="14"/>
      <c r="CT255" s="1"/>
      <c r="CU255" s="14"/>
      <c r="CV255" s="1"/>
      <c r="CW255" s="1"/>
      <c r="CX255" s="14"/>
      <c r="CY255" s="1"/>
      <c r="CZ255" s="1"/>
      <c r="DA255" s="1"/>
      <c r="DB255" s="1"/>
      <c r="DC255" s="1"/>
      <c r="DD255" s="1"/>
      <c r="DE255" s="1"/>
      <c r="DF255" s="1"/>
      <c r="DG255" s="1"/>
      <c r="DH255" s="1"/>
      <c r="DI255" s="1"/>
      <c r="DJ255" s="1"/>
      <c r="DK255" s="1"/>
      <c r="DL255" s="1"/>
      <c r="DM255" s="1"/>
      <c r="DN255" s="1"/>
      <c r="DO255" s="1"/>
      <c r="DP255" s="1"/>
      <c r="DQ255" s="1"/>
      <c r="DR255" s="1"/>
      <c r="DS255" s="1"/>
      <c r="DT255" s="1"/>
      <c r="DU255" s="14"/>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29"/>
    </row>
    <row r="256" spans="1:160" x14ac:dyDescent="0.25">
      <c r="A256" s="5"/>
      <c r="B256" s="1"/>
      <c r="C256" s="98"/>
      <c r="D256" s="98"/>
      <c r="E256" s="1"/>
      <c r="F256" s="22"/>
      <c r="G256" s="22"/>
      <c r="H256" s="22"/>
      <c r="I256" s="22"/>
      <c r="J256" s="22"/>
      <c r="K256" s="22"/>
      <c r="L256" s="22"/>
      <c r="M256" s="22"/>
      <c r="N256" s="22"/>
      <c r="O256" s="22"/>
      <c r="P256" s="22"/>
      <c r="Q256" s="22"/>
      <c r="R256" s="1"/>
      <c r="S256" s="1"/>
      <c r="T256" s="8"/>
      <c r="U256" s="1"/>
      <c r="V256" s="1"/>
      <c r="W256" s="1"/>
      <c r="X256" s="1"/>
      <c r="Y256" s="1"/>
      <c r="Z256" s="1"/>
      <c r="AA256" s="1"/>
      <c r="AC256" s="1"/>
      <c r="AD256" s="1"/>
      <c r="AE256" s="1"/>
      <c r="AF256" s="1"/>
      <c r="AG256" s="1"/>
      <c r="AH256" s="26"/>
      <c r="AI256" s="26"/>
      <c r="AJ256" s="26"/>
      <c r="AK256" s="26"/>
      <c r="AL256" s="26"/>
      <c r="AM256" s="26"/>
      <c r="AN256" s="26"/>
      <c r="AO256" s="26"/>
      <c r="AP256" s="26"/>
      <c r="AQ256" s="26"/>
      <c r="AR256" s="26"/>
      <c r="AS256" s="26"/>
      <c r="AT256" s="26"/>
      <c r="AU256" s="26"/>
      <c r="AV256" s="26"/>
      <c r="AW256" s="26"/>
      <c r="AX256" s="26"/>
      <c r="AY256" s="1"/>
      <c r="AZ256" s="26"/>
      <c r="BA256" s="26"/>
      <c r="BB256" s="26"/>
      <c r="BC256" s="26"/>
      <c r="BD256" s="26"/>
      <c r="BE256" s="26"/>
      <c r="BF256" s="26"/>
      <c r="BG256" s="26"/>
      <c r="BH256" s="26"/>
      <c r="BI256" s="26"/>
      <c r="BJ256" s="26"/>
      <c r="BK256" s="26"/>
      <c r="BL256" s="26"/>
      <c r="BM256" s="26"/>
      <c r="BN256" s="26"/>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96"/>
      <c r="CP256" s="14"/>
      <c r="CQ256" s="14"/>
      <c r="CR256" s="14"/>
      <c r="CS256" s="14"/>
      <c r="CT256" s="1"/>
      <c r="CU256" s="14"/>
      <c r="CV256" s="1"/>
      <c r="CW256" s="1"/>
      <c r="CX256" s="14"/>
      <c r="CY256" s="1"/>
      <c r="CZ256" s="1"/>
      <c r="DA256" s="1"/>
      <c r="DB256" s="1"/>
      <c r="DC256" s="1"/>
      <c r="DD256" s="1"/>
      <c r="DE256" s="1"/>
      <c r="DF256" s="1"/>
      <c r="DG256" s="1"/>
      <c r="DH256" s="1"/>
      <c r="DI256" s="1"/>
      <c r="DJ256" s="1"/>
      <c r="DK256" s="1"/>
      <c r="DL256" s="1"/>
      <c r="DM256" s="1"/>
      <c r="DN256" s="1"/>
      <c r="DO256" s="1"/>
      <c r="DP256" s="1"/>
      <c r="DQ256" s="1"/>
      <c r="DR256" s="1"/>
      <c r="DS256" s="1"/>
      <c r="DT256" s="1"/>
      <c r="DU256" s="14"/>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29"/>
    </row>
    <row r="257" spans="1:160" x14ac:dyDescent="0.25">
      <c r="A257" s="5"/>
      <c r="B257" s="1"/>
      <c r="C257" s="98"/>
      <c r="D257" s="98"/>
      <c r="E257" s="1"/>
      <c r="F257" s="22"/>
      <c r="G257" s="22"/>
      <c r="H257" s="22"/>
      <c r="I257" s="22"/>
      <c r="J257" s="22"/>
      <c r="K257" s="22"/>
      <c r="L257" s="22"/>
      <c r="M257" s="22"/>
      <c r="N257" s="22"/>
      <c r="O257" s="22"/>
      <c r="P257" s="22"/>
      <c r="Q257" s="22"/>
      <c r="R257" s="1"/>
      <c r="S257" s="1"/>
      <c r="T257" s="8"/>
      <c r="U257" s="1"/>
      <c r="V257" s="1"/>
      <c r="W257" s="1"/>
      <c r="X257" s="1"/>
      <c r="Y257" s="1"/>
      <c r="Z257" s="1"/>
      <c r="AA257" s="1"/>
      <c r="AC257" s="1"/>
      <c r="AD257" s="1"/>
      <c r="AE257" s="1"/>
      <c r="AF257" s="1"/>
      <c r="AG257" s="1"/>
      <c r="AH257" s="26"/>
      <c r="AI257" s="26"/>
      <c r="AJ257" s="26"/>
      <c r="AK257" s="26"/>
      <c r="AL257" s="26"/>
      <c r="AM257" s="26"/>
      <c r="AN257" s="26"/>
      <c r="AO257" s="26"/>
      <c r="AP257" s="26"/>
      <c r="AQ257" s="26"/>
      <c r="AR257" s="26"/>
      <c r="AS257" s="26"/>
      <c r="AT257" s="26"/>
      <c r="AU257" s="26"/>
      <c r="AV257" s="26"/>
      <c r="AW257" s="26"/>
      <c r="AX257" s="26"/>
      <c r="AY257" s="1"/>
      <c r="AZ257" s="26"/>
      <c r="BA257" s="26"/>
      <c r="BB257" s="26"/>
      <c r="BC257" s="26"/>
      <c r="BD257" s="26"/>
      <c r="BE257" s="26"/>
      <c r="BF257" s="26"/>
      <c r="BG257" s="26"/>
      <c r="BH257" s="26"/>
      <c r="BI257" s="26"/>
      <c r="BJ257" s="26"/>
      <c r="BK257" s="26"/>
      <c r="BL257" s="26"/>
      <c r="BM257" s="26"/>
      <c r="BN257" s="26"/>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96"/>
      <c r="CP257" s="14"/>
      <c r="CQ257" s="14"/>
      <c r="CR257" s="14"/>
      <c r="CS257" s="14"/>
      <c r="CT257" s="1"/>
      <c r="CU257" s="14"/>
      <c r="CV257" s="1"/>
      <c r="CW257" s="1"/>
      <c r="CX257" s="14"/>
      <c r="CY257" s="1"/>
      <c r="CZ257" s="1"/>
      <c r="DA257" s="1"/>
      <c r="DB257" s="1"/>
      <c r="DC257" s="1"/>
      <c r="DD257" s="1"/>
      <c r="DE257" s="1"/>
      <c r="DF257" s="1"/>
      <c r="DG257" s="1"/>
      <c r="DH257" s="1"/>
      <c r="DI257" s="1"/>
      <c r="DJ257" s="1"/>
      <c r="DK257" s="1"/>
      <c r="DL257" s="1"/>
      <c r="DM257" s="1"/>
      <c r="DN257" s="1"/>
      <c r="DO257" s="1"/>
      <c r="DP257" s="1"/>
      <c r="DQ257" s="1"/>
      <c r="DR257" s="1"/>
      <c r="DS257" s="1"/>
      <c r="DT257" s="1"/>
      <c r="DU257" s="14"/>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29"/>
    </row>
    <row r="258" spans="1:160" x14ac:dyDescent="0.25">
      <c r="A258" s="5"/>
      <c r="B258" s="1"/>
      <c r="C258" s="98"/>
      <c r="D258" s="98"/>
      <c r="E258" s="1"/>
      <c r="F258" s="22"/>
      <c r="G258" s="22"/>
      <c r="H258" s="22"/>
      <c r="I258" s="22"/>
      <c r="J258" s="22"/>
      <c r="K258" s="22"/>
      <c r="L258" s="22"/>
      <c r="M258" s="22"/>
      <c r="N258" s="22"/>
      <c r="O258" s="22"/>
      <c r="P258" s="22"/>
      <c r="Q258" s="22"/>
      <c r="R258" s="1"/>
      <c r="S258" s="1"/>
      <c r="T258" s="8"/>
      <c r="U258" s="1"/>
      <c r="V258" s="1"/>
      <c r="W258" s="1"/>
      <c r="X258" s="1"/>
      <c r="Y258" s="1"/>
      <c r="Z258" s="1"/>
      <c r="AA258" s="1"/>
      <c r="AC258" s="1"/>
      <c r="AD258" s="1"/>
      <c r="AE258" s="1"/>
      <c r="AF258" s="1"/>
      <c r="AG258" s="1"/>
      <c r="AH258" s="26"/>
      <c r="AI258" s="26"/>
      <c r="AJ258" s="26"/>
      <c r="AK258" s="26"/>
      <c r="AL258" s="26"/>
      <c r="AM258" s="26"/>
      <c r="AN258" s="26"/>
      <c r="AO258" s="26"/>
      <c r="AP258" s="26"/>
      <c r="AQ258" s="26"/>
      <c r="AR258" s="26"/>
      <c r="AS258" s="26"/>
      <c r="AT258" s="26"/>
      <c r="AU258" s="26"/>
      <c r="AV258" s="26"/>
      <c r="AW258" s="26"/>
      <c r="AX258" s="26"/>
      <c r="AY258" s="1"/>
      <c r="AZ258" s="26"/>
      <c r="BA258" s="26"/>
      <c r="BB258" s="26"/>
      <c r="BC258" s="26"/>
      <c r="BD258" s="26"/>
      <c r="BE258" s="26"/>
      <c r="BF258" s="26"/>
      <c r="BG258" s="26"/>
      <c r="BH258" s="26"/>
      <c r="BI258" s="26"/>
      <c r="BJ258" s="26"/>
      <c r="BK258" s="26"/>
      <c r="BL258" s="26"/>
      <c r="BM258" s="26"/>
      <c r="BN258" s="26"/>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96"/>
      <c r="CP258" s="14"/>
      <c r="CQ258" s="14"/>
      <c r="CR258" s="14"/>
      <c r="CS258" s="14"/>
      <c r="CT258" s="1"/>
      <c r="CU258" s="14"/>
      <c r="CV258" s="1"/>
      <c r="CW258" s="1"/>
      <c r="CX258" s="14"/>
      <c r="CY258" s="1"/>
      <c r="CZ258" s="1"/>
      <c r="DA258" s="1"/>
      <c r="DB258" s="1"/>
      <c r="DC258" s="1"/>
      <c r="DD258" s="1"/>
      <c r="DE258" s="1"/>
      <c r="DF258" s="1"/>
      <c r="DG258" s="1"/>
      <c r="DH258" s="1"/>
      <c r="DI258" s="1"/>
      <c r="DJ258" s="1"/>
      <c r="DK258" s="1"/>
      <c r="DL258" s="1"/>
      <c r="DM258" s="1"/>
      <c r="DN258" s="1"/>
      <c r="DO258" s="1"/>
      <c r="DP258" s="1"/>
      <c r="DQ258" s="1"/>
      <c r="DR258" s="1"/>
      <c r="DS258" s="1"/>
      <c r="DT258" s="1"/>
      <c r="DU258" s="14"/>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29"/>
    </row>
    <row r="259" spans="1:160" x14ac:dyDescent="0.25">
      <c r="A259" s="5"/>
      <c r="B259" s="1"/>
      <c r="C259" s="98"/>
      <c r="D259" s="98"/>
      <c r="E259" s="1"/>
      <c r="F259" s="22"/>
      <c r="G259" s="22"/>
      <c r="H259" s="22"/>
      <c r="I259" s="22"/>
      <c r="J259" s="22"/>
      <c r="K259" s="22"/>
      <c r="L259" s="22"/>
      <c r="M259" s="22"/>
      <c r="N259" s="22"/>
      <c r="O259" s="22"/>
      <c r="P259" s="22"/>
      <c r="Q259" s="22"/>
      <c r="R259" s="1"/>
      <c r="S259" s="1"/>
      <c r="T259" s="8"/>
      <c r="U259" s="1"/>
      <c r="V259" s="1"/>
      <c r="W259" s="1"/>
      <c r="X259" s="1"/>
      <c r="Y259" s="1"/>
      <c r="Z259" s="1"/>
      <c r="AA259" s="1"/>
      <c r="AC259" s="1"/>
      <c r="AD259" s="1"/>
      <c r="AE259" s="1"/>
      <c r="AF259" s="1"/>
      <c r="AG259" s="1"/>
      <c r="AH259" s="26"/>
      <c r="AI259" s="26"/>
      <c r="AJ259" s="26"/>
      <c r="AK259" s="26"/>
      <c r="AL259" s="26"/>
      <c r="AM259" s="26"/>
      <c r="AN259" s="26"/>
      <c r="AO259" s="26"/>
      <c r="AP259" s="26"/>
      <c r="AQ259" s="26"/>
      <c r="AR259" s="26"/>
      <c r="AS259" s="26"/>
      <c r="AT259" s="26"/>
      <c r="AU259" s="26"/>
      <c r="AV259" s="26"/>
      <c r="AW259" s="26"/>
      <c r="AX259" s="26"/>
      <c r="AY259" s="1"/>
      <c r="AZ259" s="26"/>
      <c r="BA259" s="26"/>
      <c r="BB259" s="26"/>
      <c r="BC259" s="26"/>
      <c r="BD259" s="26"/>
      <c r="BE259" s="26"/>
      <c r="BF259" s="26"/>
      <c r="BG259" s="26"/>
      <c r="BH259" s="26"/>
      <c r="BI259" s="26"/>
      <c r="BJ259" s="26"/>
      <c r="BK259" s="26"/>
      <c r="BL259" s="26"/>
      <c r="BM259" s="26"/>
      <c r="BN259" s="26"/>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96"/>
      <c r="CP259" s="14"/>
      <c r="CQ259" s="14"/>
      <c r="CR259" s="14"/>
      <c r="CS259" s="14"/>
      <c r="CT259" s="1"/>
      <c r="CU259" s="14"/>
      <c r="CV259" s="1"/>
      <c r="CW259" s="1"/>
      <c r="CX259" s="14"/>
      <c r="CY259" s="1"/>
      <c r="CZ259" s="1"/>
      <c r="DA259" s="1"/>
      <c r="DB259" s="1"/>
      <c r="DC259" s="1"/>
      <c r="DD259" s="1"/>
      <c r="DE259" s="1"/>
      <c r="DF259" s="1"/>
      <c r="DG259" s="1"/>
      <c r="DH259" s="1"/>
      <c r="DI259" s="1"/>
      <c r="DJ259" s="1"/>
      <c r="DK259" s="1"/>
      <c r="DL259" s="1"/>
      <c r="DM259" s="1"/>
      <c r="DN259" s="1"/>
      <c r="DO259" s="1"/>
      <c r="DP259" s="1"/>
      <c r="DQ259" s="1"/>
      <c r="DR259" s="1"/>
      <c r="DS259" s="1"/>
      <c r="DT259" s="1"/>
      <c r="DU259" s="14"/>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29"/>
    </row>
    <row r="260" spans="1:160" x14ac:dyDescent="0.25">
      <c r="A260" s="5"/>
      <c r="B260" s="1"/>
      <c r="C260" s="98"/>
      <c r="D260" s="98"/>
      <c r="E260" s="1"/>
      <c r="F260" s="22"/>
      <c r="G260" s="22"/>
      <c r="H260" s="22"/>
      <c r="I260" s="22"/>
      <c r="J260" s="22"/>
      <c r="K260" s="22"/>
      <c r="L260" s="22"/>
      <c r="M260" s="22"/>
      <c r="N260" s="22"/>
      <c r="O260" s="22"/>
      <c r="P260" s="22"/>
      <c r="Q260" s="22"/>
      <c r="R260" s="1"/>
      <c r="S260" s="1"/>
      <c r="T260" s="8"/>
      <c r="U260" s="1"/>
      <c r="V260" s="1"/>
      <c r="W260" s="1"/>
      <c r="X260" s="1"/>
      <c r="Y260" s="1"/>
      <c r="Z260" s="1"/>
      <c r="AA260" s="1"/>
      <c r="AC260" s="1"/>
      <c r="AD260" s="1"/>
      <c r="AE260" s="1"/>
      <c r="AF260" s="1"/>
      <c r="AG260" s="1"/>
      <c r="AH260" s="26"/>
      <c r="AI260" s="26"/>
      <c r="AJ260" s="26"/>
      <c r="AK260" s="26"/>
      <c r="AL260" s="26"/>
      <c r="AM260" s="26"/>
      <c r="AN260" s="26"/>
      <c r="AO260" s="26"/>
      <c r="AP260" s="26"/>
      <c r="AQ260" s="26"/>
      <c r="AR260" s="26"/>
      <c r="AS260" s="26"/>
      <c r="AT260" s="26"/>
      <c r="AU260" s="26"/>
      <c r="AV260" s="26"/>
      <c r="AW260" s="26"/>
      <c r="AX260" s="26"/>
      <c r="AY260" s="1"/>
      <c r="AZ260" s="26"/>
      <c r="BA260" s="26"/>
      <c r="BB260" s="26"/>
      <c r="BC260" s="26"/>
      <c r="BD260" s="26"/>
      <c r="BE260" s="26"/>
      <c r="BF260" s="26"/>
      <c r="BG260" s="26"/>
      <c r="BH260" s="26"/>
      <c r="BI260" s="26"/>
      <c r="BJ260" s="26"/>
      <c r="BK260" s="26"/>
      <c r="BL260" s="26"/>
      <c r="BM260" s="26"/>
      <c r="BN260" s="26"/>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96"/>
      <c r="CP260" s="14"/>
      <c r="CQ260" s="14"/>
      <c r="CR260" s="14"/>
      <c r="CS260" s="14"/>
      <c r="CT260" s="1"/>
      <c r="CU260" s="14"/>
      <c r="CV260" s="1"/>
      <c r="CW260" s="1"/>
      <c r="CX260" s="14"/>
      <c r="CY260" s="1"/>
      <c r="CZ260" s="1"/>
      <c r="DA260" s="1"/>
      <c r="DB260" s="1"/>
      <c r="DC260" s="1"/>
      <c r="DD260" s="1"/>
      <c r="DE260" s="1"/>
      <c r="DF260" s="1"/>
      <c r="DG260" s="1"/>
      <c r="DH260" s="1"/>
      <c r="DI260" s="1"/>
      <c r="DJ260" s="1"/>
      <c r="DK260" s="1"/>
      <c r="DL260" s="1"/>
      <c r="DM260" s="1"/>
      <c r="DN260" s="1"/>
      <c r="DO260" s="1"/>
      <c r="DP260" s="1"/>
      <c r="DQ260" s="1"/>
      <c r="DR260" s="1"/>
      <c r="DS260" s="1"/>
      <c r="DT260" s="1"/>
      <c r="DU260" s="14"/>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29"/>
    </row>
    <row r="261" spans="1:160" x14ac:dyDescent="0.25">
      <c r="A261" s="5"/>
      <c r="B261" s="1"/>
      <c r="C261" s="98"/>
      <c r="D261" s="98"/>
      <c r="E261" s="1"/>
      <c r="F261" s="22"/>
      <c r="G261" s="22"/>
      <c r="H261" s="22"/>
      <c r="I261" s="22"/>
      <c r="J261" s="22"/>
      <c r="K261" s="22"/>
      <c r="L261" s="22"/>
      <c r="M261" s="22"/>
      <c r="N261" s="22"/>
      <c r="O261" s="22"/>
      <c r="P261" s="22"/>
      <c r="Q261" s="22"/>
      <c r="R261" s="1"/>
      <c r="S261" s="1"/>
      <c r="T261" s="8"/>
      <c r="U261" s="1"/>
      <c r="V261" s="1"/>
      <c r="W261" s="1"/>
      <c r="X261" s="1"/>
      <c r="Y261" s="1"/>
      <c r="Z261" s="1"/>
      <c r="AA261" s="1"/>
      <c r="AC261" s="1"/>
      <c r="AD261" s="1"/>
      <c r="AE261" s="1"/>
      <c r="AF261" s="1"/>
      <c r="AG261" s="1"/>
      <c r="AH261" s="26"/>
      <c r="AI261" s="26"/>
      <c r="AJ261" s="26"/>
      <c r="AK261" s="26"/>
      <c r="AL261" s="26"/>
      <c r="AM261" s="26"/>
      <c r="AN261" s="26"/>
      <c r="AO261" s="26"/>
      <c r="AP261" s="26"/>
      <c r="AQ261" s="26"/>
      <c r="AR261" s="26"/>
      <c r="AS261" s="26"/>
      <c r="AT261" s="26"/>
      <c r="AU261" s="26"/>
      <c r="AV261" s="26"/>
      <c r="AW261" s="26"/>
      <c r="AX261" s="26"/>
      <c r="AY261" s="1"/>
      <c r="AZ261" s="26"/>
      <c r="BA261" s="26"/>
      <c r="BB261" s="26"/>
      <c r="BC261" s="26"/>
      <c r="BD261" s="26"/>
      <c r="BE261" s="26"/>
      <c r="BF261" s="26"/>
      <c r="BG261" s="26"/>
      <c r="BH261" s="26"/>
      <c r="BI261" s="26"/>
      <c r="BJ261" s="26"/>
      <c r="BK261" s="26"/>
      <c r="BL261" s="26"/>
      <c r="BM261" s="26"/>
      <c r="BN261" s="26"/>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96"/>
      <c r="CP261" s="14"/>
      <c r="CQ261" s="14"/>
      <c r="CR261" s="14"/>
      <c r="CS261" s="14"/>
      <c r="CT261" s="1"/>
      <c r="CU261" s="14"/>
      <c r="CV261" s="1"/>
      <c r="CW261" s="1"/>
      <c r="CX261" s="14"/>
      <c r="CY261" s="1"/>
      <c r="CZ261" s="1"/>
      <c r="DA261" s="1"/>
      <c r="DB261" s="1"/>
      <c r="DC261" s="1"/>
      <c r="DD261" s="1"/>
      <c r="DE261" s="1"/>
      <c r="DF261" s="1"/>
      <c r="DG261" s="1"/>
      <c r="DH261" s="1"/>
      <c r="DI261" s="1"/>
      <c r="DJ261" s="1"/>
      <c r="DK261" s="1"/>
      <c r="DL261" s="1"/>
      <c r="DM261" s="1"/>
      <c r="DN261" s="1"/>
      <c r="DO261" s="1"/>
      <c r="DP261" s="1"/>
      <c r="DQ261" s="1"/>
      <c r="DR261" s="1"/>
      <c r="DS261" s="1"/>
      <c r="DT261" s="1"/>
      <c r="DU261" s="14"/>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29"/>
    </row>
    <row r="262" spans="1:160" x14ac:dyDescent="0.25">
      <c r="A262" s="5"/>
      <c r="B262" s="1"/>
      <c r="C262" s="98"/>
      <c r="D262" s="98"/>
      <c r="E262" s="1"/>
      <c r="F262" s="22"/>
      <c r="G262" s="22"/>
      <c r="H262" s="22"/>
      <c r="I262" s="22"/>
      <c r="J262" s="22"/>
      <c r="K262" s="22"/>
      <c r="L262" s="22"/>
      <c r="M262" s="22"/>
      <c r="N262" s="22"/>
      <c r="O262" s="22"/>
      <c r="P262" s="22"/>
      <c r="Q262" s="22"/>
      <c r="R262" s="1"/>
      <c r="S262" s="1"/>
      <c r="T262" s="8"/>
      <c r="U262" s="1"/>
      <c r="V262" s="1"/>
      <c r="W262" s="1"/>
      <c r="X262" s="1"/>
      <c r="Y262" s="1"/>
      <c r="Z262" s="1"/>
      <c r="AA262" s="1"/>
      <c r="AC262" s="1"/>
      <c r="AD262" s="1"/>
      <c r="AE262" s="1"/>
      <c r="AF262" s="1"/>
      <c r="AG262" s="1"/>
      <c r="AH262" s="26"/>
      <c r="AI262" s="26"/>
      <c r="AJ262" s="26"/>
      <c r="AK262" s="26"/>
      <c r="AL262" s="26"/>
      <c r="AM262" s="26"/>
      <c r="AN262" s="26"/>
      <c r="AO262" s="26"/>
      <c r="AP262" s="26"/>
      <c r="AQ262" s="26"/>
      <c r="AR262" s="26"/>
      <c r="AS262" s="26"/>
      <c r="AT262" s="26"/>
      <c r="AU262" s="26"/>
      <c r="AV262" s="26"/>
      <c r="AW262" s="26"/>
      <c r="AX262" s="26"/>
      <c r="AY262" s="1"/>
      <c r="AZ262" s="26"/>
      <c r="BA262" s="26"/>
      <c r="BB262" s="26"/>
      <c r="BC262" s="26"/>
      <c r="BD262" s="26"/>
      <c r="BE262" s="26"/>
      <c r="BF262" s="26"/>
      <c r="BG262" s="26"/>
      <c r="BH262" s="26"/>
      <c r="BI262" s="26"/>
      <c r="BJ262" s="26"/>
      <c r="BK262" s="26"/>
      <c r="BL262" s="26"/>
      <c r="BM262" s="26"/>
      <c r="BN262" s="26"/>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96"/>
      <c r="CP262" s="14"/>
      <c r="CQ262" s="14"/>
      <c r="CR262" s="14"/>
      <c r="CS262" s="14"/>
      <c r="CT262" s="1"/>
      <c r="CU262" s="14"/>
      <c r="CV262" s="1"/>
      <c r="CW262" s="1"/>
      <c r="CX262" s="14"/>
      <c r="CY262" s="1"/>
      <c r="CZ262" s="1"/>
      <c r="DA262" s="1"/>
      <c r="DB262" s="1"/>
      <c r="DC262" s="1"/>
      <c r="DD262" s="1"/>
      <c r="DE262" s="1"/>
      <c r="DF262" s="1"/>
      <c r="DG262" s="1"/>
      <c r="DH262" s="1"/>
      <c r="DI262" s="1"/>
      <c r="DJ262" s="1"/>
      <c r="DK262" s="1"/>
      <c r="DL262" s="1"/>
      <c r="DM262" s="1"/>
      <c r="DN262" s="1"/>
      <c r="DO262" s="1"/>
      <c r="DP262" s="1"/>
      <c r="DQ262" s="1"/>
      <c r="DR262" s="1"/>
      <c r="DS262" s="1"/>
      <c r="DT262" s="1"/>
      <c r="DU262" s="14"/>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29"/>
    </row>
    <row r="263" spans="1:160" x14ac:dyDescent="0.25">
      <c r="A263" s="5"/>
      <c r="B263" s="1"/>
      <c r="C263" s="98"/>
      <c r="D263" s="98"/>
      <c r="E263" s="1"/>
      <c r="F263" s="22"/>
      <c r="G263" s="22"/>
      <c r="H263" s="22"/>
      <c r="I263" s="22"/>
      <c r="J263" s="22"/>
      <c r="K263" s="22"/>
      <c r="L263" s="22"/>
      <c r="M263" s="22"/>
      <c r="N263" s="22"/>
      <c r="O263" s="22"/>
      <c r="P263" s="22"/>
      <c r="Q263" s="22"/>
      <c r="R263" s="1"/>
      <c r="S263" s="1"/>
      <c r="T263" s="8"/>
      <c r="U263" s="1"/>
      <c r="V263" s="1"/>
      <c r="W263" s="1"/>
      <c r="X263" s="1"/>
      <c r="Y263" s="1"/>
      <c r="Z263" s="1"/>
      <c r="AA263" s="1"/>
      <c r="AC263" s="1"/>
      <c r="AD263" s="1"/>
      <c r="AE263" s="1"/>
      <c r="AF263" s="1"/>
      <c r="AG263" s="1"/>
      <c r="AH263" s="26"/>
      <c r="AI263" s="26"/>
      <c r="AJ263" s="26"/>
      <c r="AK263" s="26"/>
      <c r="AL263" s="26"/>
      <c r="AM263" s="26"/>
      <c r="AN263" s="26"/>
      <c r="AO263" s="26"/>
      <c r="AP263" s="26"/>
      <c r="AQ263" s="26"/>
      <c r="AR263" s="26"/>
      <c r="AS263" s="26"/>
      <c r="AT263" s="26"/>
      <c r="AU263" s="26"/>
      <c r="AV263" s="26"/>
      <c r="AW263" s="26"/>
      <c r="AX263" s="26"/>
      <c r="AY263" s="1"/>
      <c r="AZ263" s="26"/>
      <c r="BA263" s="26"/>
      <c r="BB263" s="26"/>
      <c r="BC263" s="26"/>
      <c r="BD263" s="26"/>
      <c r="BE263" s="26"/>
      <c r="BF263" s="26"/>
      <c r="BG263" s="26"/>
      <c r="BH263" s="26"/>
      <c r="BI263" s="26"/>
      <c r="BJ263" s="26"/>
      <c r="BK263" s="26"/>
      <c r="BL263" s="26"/>
      <c r="BM263" s="26"/>
      <c r="BN263" s="26"/>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96"/>
      <c r="CP263" s="14"/>
      <c r="CQ263" s="14"/>
      <c r="CR263" s="14"/>
      <c r="CS263" s="14"/>
      <c r="CT263" s="1"/>
      <c r="CU263" s="14"/>
      <c r="CV263" s="1"/>
      <c r="CW263" s="1"/>
      <c r="CX263" s="14"/>
      <c r="CY263" s="1"/>
      <c r="CZ263" s="1"/>
      <c r="DA263" s="1"/>
      <c r="DB263" s="1"/>
      <c r="DC263" s="1"/>
      <c r="DD263" s="1"/>
      <c r="DE263" s="1"/>
      <c r="DF263" s="1"/>
      <c r="DG263" s="1"/>
      <c r="DH263" s="1"/>
      <c r="DI263" s="1"/>
      <c r="DJ263" s="1"/>
      <c r="DK263" s="1"/>
      <c r="DL263" s="1"/>
      <c r="DM263" s="1"/>
      <c r="DN263" s="1"/>
      <c r="DO263" s="1"/>
      <c r="DP263" s="1"/>
      <c r="DQ263" s="1"/>
      <c r="DR263" s="1"/>
      <c r="DS263" s="1"/>
      <c r="DT263" s="1"/>
      <c r="DU263" s="14"/>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29"/>
    </row>
    <row r="264" spans="1:160" x14ac:dyDescent="0.25">
      <c r="A264" s="5"/>
      <c r="B264" s="1"/>
      <c r="C264" s="98"/>
      <c r="D264" s="98"/>
      <c r="E264" s="1"/>
      <c r="F264" s="22"/>
      <c r="G264" s="22"/>
      <c r="H264" s="22"/>
      <c r="I264" s="22"/>
      <c r="J264" s="22"/>
      <c r="K264" s="22"/>
      <c r="L264" s="22"/>
      <c r="M264" s="22"/>
      <c r="N264" s="22"/>
      <c r="O264" s="22"/>
      <c r="P264" s="22"/>
      <c r="Q264" s="22"/>
      <c r="R264" s="1"/>
      <c r="S264" s="1"/>
      <c r="T264" s="8"/>
      <c r="U264" s="1"/>
      <c r="V264" s="1"/>
      <c r="W264" s="1"/>
      <c r="X264" s="1"/>
      <c r="Y264" s="1"/>
      <c r="Z264" s="1"/>
      <c r="AA264" s="1"/>
      <c r="AC264" s="1"/>
      <c r="AD264" s="1"/>
      <c r="AE264" s="1"/>
      <c r="AF264" s="1"/>
      <c r="AG264" s="1"/>
      <c r="AH264" s="26"/>
      <c r="AI264" s="26"/>
      <c r="AJ264" s="26"/>
      <c r="AK264" s="26"/>
      <c r="AL264" s="26"/>
      <c r="AM264" s="26"/>
      <c r="AN264" s="26"/>
      <c r="AO264" s="26"/>
      <c r="AP264" s="26"/>
      <c r="AQ264" s="26"/>
      <c r="AR264" s="26"/>
      <c r="AS264" s="26"/>
      <c r="AT264" s="26"/>
      <c r="AU264" s="26"/>
      <c r="AV264" s="26"/>
      <c r="AW264" s="26"/>
      <c r="AX264" s="26"/>
      <c r="AY264" s="1"/>
      <c r="AZ264" s="26"/>
      <c r="BA264" s="26"/>
      <c r="BB264" s="26"/>
      <c r="BC264" s="26"/>
      <c r="BD264" s="26"/>
      <c r="BE264" s="26"/>
      <c r="BF264" s="26"/>
      <c r="BG264" s="26"/>
      <c r="BH264" s="26"/>
      <c r="BI264" s="26"/>
      <c r="BJ264" s="26"/>
      <c r="BK264" s="26"/>
      <c r="BL264" s="26"/>
      <c r="BM264" s="26"/>
      <c r="BN264" s="26"/>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96"/>
      <c r="CP264" s="14"/>
      <c r="CQ264" s="14"/>
      <c r="CR264" s="14"/>
      <c r="CS264" s="14"/>
      <c r="CT264" s="1"/>
      <c r="CU264" s="14"/>
      <c r="CV264" s="1"/>
      <c r="CW264" s="1"/>
      <c r="CX264" s="14"/>
      <c r="CY264" s="1"/>
      <c r="CZ264" s="1"/>
      <c r="DA264" s="1"/>
      <c r="DB264" s="1"/>
      <c r="DC264" s="1"/>
      <c r="DD264" s="1"/>
      <c r="DE264" s="1"/>
      <c r="DF264" s="1"/>
      <c r="DG264" s="1"/>
      <c r="DH264" s="1"/>
      <c r="DI264" s="1"/>
      <c r="DJ264" s="1"/>
      <c r="DK264" s="1"/>
      <c r="DL264" s="1"/>
      <c r="DM264" s="1"/>
      <c r="DN264" s="1"/>
      <c r="DO264" s="1"/>
      <c r="DP264" s="1"/>
      <c r="DQ264" s="1"/>
      <c r="DR264" s="1"/>
      <c r="DS264" s="1"/>
      <c r="DT264" s="1"/>
      <c r="DU264" s="14"/>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29"/>
    </row>
    <row r="265" spans="1:160" x14ac:dyDescent="0.25">
      <c r="A265" s="5"/>
      <c r="B265" s="1"/>
      <c r="C265" s="98"/>
      <c r="D265" s="98"/>
      <c r="E265" s="1"/>
      <c r="F265" s="22"/>
      <c r="G265" s="22"/>
      <c r="H265" s="22"/>
      <c r="I265" s="22"/>
      <c r="J265" s="22"/>
      <c r="K265" s="22"/>
      <c r="L265" s="22"/>
      <c r="M265" s="22"/>
      <c r="N265" s="22"/>
      <c r="O265" s="22"/>
      <c r="P265" s="22"/>
      <c r="Q265" s="22"/>
      <c r="R265" s="1"/>
      <c r="S265" s="1"/>
      <c r="T265" s="8"/>
      <c r="U265" s="1"/>
      <c r="V265" s="1"/>
      <c r="W265" s="1"/>
      <c r="X265" s="1"/>
      <c r="Y265" s="1"/>
      <c r="Z265" s="1"/>
      <c r="AA265" s="1"/>
      <c r="AC265" s="1"/>
      <c r="AD265" s="1"/>
      <c r="AE265" s="1"/>
      <c r="AF265" s="1"/>
      <c r="AG265" s="1"/>
      <c r="AH265" s="26"/>
      <c r="AI265" s="26"/>
      <c r="AJ265" s="26"/>
      <c r="AK265" s="26"/>
      <c r="AL265" s="26"/>
      <c r="AM265" s="26"/>
      <c r="AN265" s="26"/>
      <c r="AO265" s="26"/>
      <c r="AP265" s="26"/>
      <c r="AQ265" s="26"/>
      <c r="AR265" s="26"/>
      <c r="AS265" s="26"/>
      <c r="AT265" s="26"/>
      <c r="AU265" s="26"/>
      <c r="AV265" s="26"/>
      <c r="AW265" s="26"/>
      <c r="AX265" s="26"/>
      <c r="AY265" s="1"/>
      <c r="AZ265" s="26"/>
      <c r="BA265" s="26"/>
      <c r="BB265" s="26"/>
      <c r="BC265" s="26"/>
      <c r="BD265" s="26"/>
      <c r="BE265" s="26"/>
      <c r="BF265" s="26"/>
      <c r="BG265" s="26"/>
      <c r="BH265" s="26"/>
      <c r="BI265" s="26"/>
      <c r="BJ265" s="26"/>
      <c r="BK265" s="26"/>
      <c r="BL265" s="26"/>
      <c r="BM265" s="26"/>
      <c r="BN265" s="26"/>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96"/>
      <c r="CP265" s="14"/>
      <c r="CQ265" s="14"/>
      <c r="CR265" s="14"/>
      <c r="CS265" s="14"/>
      <c r="CT265" s="1"/>
      <c r="CU265" s="14"/>
      <c r="CV265" s="1"/>
      <c r="CW265" s="1"/>
      <c r="CX265" s="14"/>
      <c r="CY265" s="1"/>
      <c r="CZ265" s="1"/>
      <c r="DA265" s="1"/>
      <c r="DB265" s="1"/>
      <c r="DC265" s="1"/>
      <c r="DD265" s="1"/>
      <c r="DE265" s="1"/>
      <c r="DF265" s="1"/>
      <c r="DG265" s="1"/>
      <c r="DH265" s="1"/>
      <c r="DI265" s="1"/>
      <c r="DJ265" s="1"/>
      <c r="DK265" s="1"/>
      <c r="DL265" s="1"/>
      <c r="DM265" s="1"/>
      <c r="DN265" s="1"/>
      <c r="DO265" s="1"/>
      <c r="DP265" s="1"/>
      <c r="DQ265" s="1"/>
      <c r="DR265" s="1"/>
      <c r="DS265" s="1"/>
      <c r="DT265" s="1"/>
      <c r="DU265" s="14"/>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29"/>
    </row>
    <row r="266" spans="1:160" x14ac:dyDescent="0.25">
      <c r="A266" s="5"/>
      <c r="B266" s="1"/>
      <c r="C266" s="98"/>
      <c r="D266" s="98"/>
      <c r="E266" s="1"/>
      <c r="F266" s="22"/>
      <c r="G266" s="22"/>
      <c r="H266" s="22"/>
      <c r="I266" s="22"/>
      <c r="J266" s="22"/>
      <c r="K266" s="22"/>
      <c r="L266" s="22"/>
      <c r="M266" s="22"/>
      <c r="N266" s="22"/>
      <c r="O266" s="22"/>
      <c r="P266" s="22"/>
      <c r="Q266" s="22"/>
      <c r="R266" s="1"/>
      <c r="S266" s="1"/>
      <c r="T266" s="8"/>
      <c r="U266" s="1"/>
      <c r="V266" s="1"/>
      <c r="W266" s="1"/>
      <c r="X266" s="1"/>
      <c r="Y266" s="1"/>
      <c r="Z266" s="1"/>
      <c r="AA266" s="1"/>
      <c r="AC266" s="1"/>
      <c r="AD266" s="1"/>
      <c r="AE266" s="1"/>
      <c r="AF266" s="1"/>
      <c r="AG266" s="1"/>
      <c r="AH266" s="26"/>
      <c r="AI266" s="26"/>
      <c r="AJ266" s="26"/>
      <c r="AK266" s="26"/>
      <c r="AL266" s="26"/>
      <c r="AM266" s="26"/>
      <c r="AN266" s="26"/>
      <c r="AO266" s="26"/>
      <c r="AP266" s="26"/>
      <c r="AQ266" s="26"/>
      <c r="AR266" s="26"/>
      <c r="AS266" s="26"/>
      <c r="AT266" s="26"/>
      <c r="AU266" s="26"/>
      <c r="AV266" s="26"/>
      <c r="AW266" s="26"/>
      <c r="AX266" s="26"/>
      <c r="AY266" s="1"/>
      <c r="AZ266" s="26"/>
      <c r="BA266" s="26"/>
      <c r="BB266" s="26"/>
      <c r="BC266" s="26"/>
      <c r="BD266" s="26"/>
      <c r="BE266" s="26"/>
      <c r="BF266" s="26"/>
      <c r="BG266" s="26"/>
      <c r="BH266" s="26"/>
      <c r="BI266" s="26"/>
      <c r="BJ266" s="26"/>
      <c r="BK266" s="26"/>
      <c r="BL266" s="26"/>
      <c r="BM266" s="26"/>
      <c r="BN266" s="26"/>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96"/>
      <c r="CP266" s="14"/>
      <c r="CQ266" s="14"/>
      <c r="CR266" s="14"/>
      <c r="CS266" s="14"/>
      <c r="CT266" s="1"/>
      <c r="CU266" s="14"/>
      <c r="CV266" s="1"/>
      <c r="CW266" s="1"/>
      <c r="CX266" s="14"/>
      <c r="CY266" s="1"/>
      <c r="CZ266" s="1"/>
      <c r="DA266" s="1"/>
      <c r="DB266" s="1"/>
      <c r="DC266" s="1"/>
      <c r="DD266" s="1"/>
      <c r="DE266" s="1"/>
      <c r="DF266" s="1"/>
      <c r="DG266" s="1"/>
      <c r="DH266" s="1"/>
      <c r="DI266" s="1"/>
      <c r="DJ266" s="1"/>
      <c r="DK266" s="1"/>
      <c r="DL266" s="1"/>
      <c r="DM266" s="1"/>
      <c r="DN266" s="1"/>
      <c r="DO266" s="1"/>
      <c r="DP266" s="1"/>
      <c r="DQ266" s="1"/>
      <c r="DR266" s="1"/>
      <c r="DS266" s="1"/>
      <c r="DT266" s="1"/>
      <c r="DU266" s="14"/>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29"/>
    </row>
    <row r="267" spans="1:160" x14ac:dyDescent="0.25">
      <c r="A267" s="5"/>
      <c r="B267" s="1"/>
      <c r="C267" s="98"/>
      <c r="D267" s="98"/>
      <c r="E267" s="1"/>
      <c r="F267" s="22"/>
      <c r="G267" s="22"/>
      <c r="H267" s="22"/>
      <c r="I267" s="22"/>
      <c r="J267" s="22"/>
      <c r="K267" s="22"/>
      <c r="L267" s="22"/>
      <c r="M267" s="22"/>
      <c r="N267" s="22"/>
      <c r="O267" s="22"/>
      <c r="P267" s="22"/>
      <c r="Q267" s="22"/>
      <c r="R267" s="1"/>
      <c r="S267" s="1"/>
      <c r="T267" s="8"/>
      <c r="U267" s="1"/>
      <c r="V267" s="1"/>
      <c r="W267" s="1"/>
      <c r="X267" s="1"/>
      <c r="Y267" s="1"/>
      <c r="Z267" s="1"/>
      <c r="AA267" s="1"/>
      <c r="AC267" s="1"/>
      <c r="AD267" s="1"/>
      <c r="AE267" s="1"/>
      <c r="AF267" s="1"/>
      <c r="AG267" s="1"/>
      <c r="AH267" s="26"/>
      <c r="AI267" s="26"/>
      <c r="AJ267" s="26"/>
      <c r="AK267" s="26"/>
      <c r="AL267" s="26"/>
      <c r="AM267" s="26"/>
      <c r="AN267" s="26"/>
      <c r="AO267" s="26"/>
      <c r="AP267" s="26"/>
      <c r="AQ267" s="26"/>
      <c r="AR267" s="26"/>
      <c r="AS267" s="26"/>
      <c r="AT267" s="26"/>
      <c r="AU267" s="26"/>
      <c r="AV267" s="26"/>
      <c r="AW267" s="26"/>
      <c r="AX267" s="26"/>
      <c r="AY267" s="1"/>
      <c r="AZ267" s="26"/>
      <c r="BA267" s="26"/>
      <c r="BB267" s="26"/>
      <c r="BC267" s="26"/>
      <c r="BD267" s="26"/>
      <c r="BE267" s="26"/>
      <c r="BF267" s="26"/>
      <c r="BG267" s="26"/>
      <c r="BH267" s="26"/>
      <c r="BI267" s="26"/>
      <c r="BJ267" s="26"/>
      <c r="BK267" s="26"/>
      <c r="BL267" s="26"/>
      <c r="BM267" s="26"/>
      <c r="BN267" s="26"/>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96"/>
      <c r="CP267" s="14"/>
      <c r="CQ267" s="14"/>
      <c r="CR267" s="14"/>
      <c r="CS267" s="14"/>
      <c r="CT267" s="1"/>
      <c r="CU267" s="14"/>
      <c r="CV267" s="1"/>
      <c r="CW267" s="1"/>
      <c r="CX267" s="14"/>
      <c r="CY267" s="1"/>
      <c r="CZ267" s="1"/>
      <c r="DA267" s="1"/>
      <c r="DB267" s="1"/>
      <c r="DC267" s="1"/>
      <c r="DD267" s="1"/>
      <c r="DE267" s="1"/>
      <c r="DF267" s="1"/>
      <c r="DG267" s="1"/>
      <c r="DH267" s="1"/>
      <c r="DI267" s="1"/>
      <c r="DJ267" s="1"/>
      <c r="DK267" s="1"/>
      <c r="DL267" s="1"/>
      <c r="DM267" s="1"/>
      <c r="DN267" s="1"/>
      <c r="DO267" s="1"/>
      <c r="DP267" s="1"/>
      <c r="DQ267" s="1"/>
      <c r="DR267" s="1"/>
      <c r="DS267" s="1"/>
      <c r="DT267" s="1"/>
      <c r="DU267" s="14"/>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29"/>
    </row>
    <row r="268" spans="1:160" x14ac:dyDescent="0.25">
      <c r="A268" s="5"/>
      <c r="B268" s="1"/>
      <c r="C268" s="98"/>
      <c r="D268" s="98"/>
      <c r="E268" s="1"/>
      <c r="F268" s="22"/>
      <c r="G268" s="22"/>
      <c r="H268" s="22"/>
      <c r="I268" s="22"/>
      <c r="J268" s="22"/>
      <c r="K268" s="22"/>
      <c r="L268" s="22"/>
      <c r="M268" s="22"/>
      <c r="N268" s="22"/>
      <c r="O268" s="22"/>
      <c r="P268" s="22"/>
      <c r="Q268" s="22"/>
      <c r="R268" s="1"/>
      <c r="S268" s="1"/>
      <c r="T268" s="8"/>
      <c r="U268" s="1"/>
      <c r="V268" s="1"/>
      <c r="W268" s="1"/>
      <c r="X268" s="1"/>
      <c r="Y268" s="1"/>
      <c r="Z268" s="1"/>
      <c r="AA268" s="1"/>
      <c r="AC268" s="1"/>
      <c r="AD268" s="1"/>
      <c r="AE268" s="1"/>
      <c r="AF268" s="1"/>
      <c r="AG268" s="1"/>
      <c r="AH268" s="26"/>
      <c r="AI268" s="26"/>
      <c r="AJ268" s="26"/>
      <c r="AK268" s="26"/>
      <c r="AL268" s="26"/>
      <c r="AM268" s="26"/>
      <c r="AN268" s="26"/>
      <c r="AO268" s="26"/>
      <c r="AP268" s="26"/>
      <c r="AQ268" s="26"/>
      <c r="AR268" s="26"/>
      <c r="AS268" s="26"/>
      <c r="AT268" s="26"/>
      <c r="AU268" s="26"/>
      <c r="AV268" s="26"/>
      <c r="AW268" s="26"/>
      <c r="AX268" s="26"/>
      <c r="AY268" s="1"/>
      <c r="AZ268" s="26"/>
      <c r="BA268" s="26"/>
      <c r="BB268" s="26"/>
      <c r="BC268" s="26"/>
      <c r="BD268" s="26"/>
      <c r="BE268" s="26"/>
      <c r="BF268" s="26"/>
      <c r="BG268" s="26"/>
      <c r="BH268" s="26"/>
      <c r="BI268" s="26"/>
      <c r="BJ268" s="26"/>
      <c r="BK268" s="26"/>
      <c r="BL268" s="26"/>
      <c r="BM268" s="26"/>
      <c r="BN268" s="26"/>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96"/>
      <c r="CP268" s="14"/>
      <c r="CQ268" s="14"/>
      <c r="CR268" s="14"/>
      <c r="CS268" s="14"/>
      <c r="CT268" s="1"/>
      <c r="CU268" s="14"/>
      <c r="CV268" s="1"/>
      <c r="CW268" s="1"/>
      <c r="CX268" s="14"/>
      <c r="CY268" s="1"/>
      <c r="CZ268" s="1"/>
      <c r="DA268" s="1"/>
      <c r="DB268" s="1"/>
      <c r="DC268" s="1"/>
      <c r="DD268" s="1"/>
      <c r="DE268" s="1"/>
      <c r="DF268" s="1"/>
      <c r="DG268" s="1"/>
      <c r="DH268" s="1"/>
      <c r="DI268" s="1"/>
      <c r="DJ268" s="1"/>
      <c r="DK268" s="1"/>
      <c r="DL268" s="1"/>
      <c r="DM268" s="1"/>
      <c r="DN268" s="1"/>
      <c r="DO268" s="1"/>
      <c r="DP268" s="1"/>
      <c r="DQ268" s="1"/>
      <c r="DR268" s="1"/>
      <c r="DS268" s="1"/>
      <c r="DT268" s="1"/>
      <c r="DU268" s="14"/>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29"/>
    </row>
    <row r="269" spans="1:160" x14ac:dyDescent="0.25">
      <c r="A269" s="5"/>
      <c r="B269" s="1"/>
      <c r="C269" s="98"/>
      <c r="D269" s="98"/>
      <c r="E269" s="1"/>
      <c r="F269" s="22"/>
      <c r="G269" s="22"/>
      <c r="H269" s="22"/>
      <c r="I269" s="22"/>
      <c r="J269" s="22"/>
      <c r="K269" s="22"/>
      <c r="L269" s="22"/>
      <c r="M269" s="22"/>
      <c r="N269" s="22"/>
      <c r="O269" s="22"/>
      <c r="P269" s="22"/>
      <c r="Q269" s="22"/>
      <c r="R269" s="1"/>
      <c r="S269" s="1"/>
      <c r="T269" s="8"/>
      <c r="U269" s="1"/>
      <c r="V269" s="1"/>
      <c r="W269" s="1"/>
      <c r="X269" s="1"/>
      <c r="Y269" s="1"/>
      <c r="Z269" s="1"/>
      <c r="AA269" s="1"/>
      <c r="AC269" s="1"/>
      <c r="AD269" s="1"/>
      <c r="AE269" s="1"/>
      <c r="AF269" s="1"/>
      <c r="AG269" s="1"/>
      <c r="AH269" s="26"/>
      <c r="AI269" s="26"/>
      <c r="AJ269" s="26"/>
      <c r="AK269" s="26"/>
      <c r="AL269" s="26"/>
      <c r="AM269" s="26"/>
      <c r="AN269" s="26"/>
      <c r="AO269" s="26"/>
      <c r="AP269" s="26"/>
      <c r="AQ269" s="26"/>
      <c r="AR269" s="26"/>
      <c r="AS269" s="26"/>
      <c r="AT269" s="26"/>
      <c r="AU269" s="26"/>
      <c r="AV269" s="26"/>
      <c r="AW269" s="26"/>
      <c r="AX269" s="26"/>
      <c r="AY269" s="1"/>
      <c r="AZ269" s="26"/>
      <c r="BA269" s="26"/>
      <c r="BB269" s="26"/>
      <c r="BC269" s="26"/>
      <c r="BD269" s="26"/>
      <c r="BE269" s="26"/>
      <c r="BF269" s="26"/>
      <c r="BG269" s="26"/>
      <c r="BH269" s="26"/>
      <c r="BI269" s="26"/>
      <c r="BJ269" s="26"/>
      <c r="BK269" s="26"/>
      <c r="BL269" s="26"/>
      <c r="BM269" s="26"/>
      <c r="BN269" s="26"/>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96"/>
      <c r="CP269" s="14"/>
      <c r="CQ269" s="14"/>
      <c r="CR269" s="14"/>
      <c r="CS269" s="14"/>
      <c r="CT269" s="1"/>
      <c r="CU269" s="14"/>
      <c r="CV269" s="1"/>
      <c r="CW269" s="1"/>
      <c r="CX269" s="14"/>
      <c r="CY269" s="1"/>
      <c r="CZ269" s="1"/>
      <c r="DA269" s="1"/>
      <c r="DB269" s="1"/>
      <c r="DC269" s="1"/>
      <c r="DD269" s="1"/>
      <c r="DE269" s="1"/>
      <c r="DF269" s="1"/>
      <c r="DG269" s="1"/>
      <c r="DH269" s="1"/>
      <c r="DI269" s="1"/>
      <c r="DJ269" s="1"/>
      <c r="DK269" s="1"/>
      <c r="DL269" s="1"/>
      <c r="DM269" s="1"/>
      <c r="DN269" s="1"/>
      <c r="DO269" s="1"/>
      <c r="DP269" s="1"/>
      <c r="DQ269" s="1"/>
      <c r="DR269" s="1"/>
      <c r="DS269" s="1"/>
      <c r="DT269" s="1"/>
      <c r="DU269" s="14"/>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29"/>
    </row>
    <row r="270" spans="1:160" x14ac:dyDescent="0.25">
      <c r="A270" s="5"/>
      <c r="B270" s="1"/>
      <c r="C270" s="98"/>
      <c r="D270" s="98"/>
      <c r="E270" s="1"/>
      <c r="F270" s="22"/>
      <c r="G270" s="22"/>
      <c r="H270" s="22"/>
      <c r="I270" s="22"/>
      <c r="J270" s="22"/>
      <c r="K270" s="22"/>
      <c r="L270" s="22"/>
      <c r="M270" s="22"/>
      <c r="N270" s="22"/>
      <c r="O270" s="22"/>
      <c r="P270" s="22"/>
      <c r="Q270" s="22"/>
      <c r="R270" s="1"/>
      <c r="S270" s="1"/>
      <c r="T270" s="8"/>
      <c r="U270" s="1"/>
      <c r="V270" s="1"/>
      <c r="W270" s="1"/>
      <c r="X270" s="1"/>
      <c r="Y270" s="1"/>
      <c r="Z270" s="1"/>
      <c r="AA270" s="1"/>
      <c r="AC270" s="1"/>
      <c r="AD270" s="1"/>
      <c r="AE270" s="1"/>
      <c r="AF270" s="1"/>
      <c r="AG270" s="1"/>
      <c r="AH270" s="26"/>
      <c r="AI270" s="26"/>
      <c r="AJ270" s="26"/>
      <c r="AK270" s="26"/>
      <c r="AL270" s="26"/>
      <c r="AM270" s="26"/>
      <c r="AN270" s="26"/>
      <c r="AO270" s="26"/>
      <c r="AP270" s="26"/>
      <c r="AQ270" s="26"/>
      <c r="AR270" s="26"/>
      <c r="AS270" s="26"/>
      <c r="AT270" s="26"/>
      <c r="AU270" s="26"/>
      <c r="AV270" s="26"/>
      <c r="AW270" s="26"/>
      <c r="AX270" s="26"/>
      <c r="AY270" s="1"/>
      <c r="AZ270" s="26"/>
      <c r="BA270" s="26"/>
      <c r="BB270" s="26"/>
      <c r="BC270" s="26"/>
      <c r="BD270" s="26"/>
      <c r="BE270" s="26"/>
      <c r="BF270" s="26"/>
      <c r="BG270" s="26"/>
      <c r="BH270" s="26"/>
      <c r="BI270" s="26"/>
      <c r="BJ270" s="26"/>
      <c r="BK270" s="26"/>
      <c r="BL270" s="26"/>
      <c r="BM270" s="26"/>
      <c r="BN270" s="26"/>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96"/>
      <c r="CP270" s="14"/>
      <c r="CQ270" s="14"/>
      <c r="CR270" s="14"/>
      <c r="CS270" s="14"/>
      <c r="CT270" s="1"/>
      <c r="CU270" s="14"/>
      <c r="CV270" s="1"/>
      <c r="CW270" s="1"/>
      <c r="CX270" s="14"/>
      <c r="CY270" s="1"/>
      <c r="CZ270" s="1"/>
      <c r="DA270" s="1"/>
      <c r="DB270" s="1"/>
      <c r="DC270" s="1"/>
      <c r="DD270" s="1"/>
      <c r="DE270" s="1"/>
      <c r="DF270" s="1"/>
      <c r="DG270" s="1"/>
      <c r="DH270" s="1"/>
      <c r="DI270" s="1"/>
      <c r="DJ270" s="1"/>
      <c r="DK270" s="1"/>
      <c r="DL270" s="1"/>
      <c r="DM270" s="1"/>
      <c r="DN270" s="1"/>
      <c r="DO270" s="1"/>
      <c r="DP270" s="1"/>
      <c r="DQ270" s="1"/>
      <c r="DR270" s="1"/>
      <c r="DS270" s="1"/>
      <c r="DT270" s="1"/>
      <c r="DU270" s="14"/>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29"/>
    </row>
    <row r="271" spans="1:160" x14ac:dyDescent="0.25">
      <c r="A271" s="5"/>
      <c r="B271" s="1"/>
      <c r="C271" s="98"/>
      <c r="D271" s="98"/>
      <c r="E271" s="1"/>
      <c r="F271" s="22"/>
      <c r="G271" s="22"/>
      <c r="H271" s="22"/>
      <c r="I271" s="22"/>
      <c r="J271" s="22"/>
      <c r="K271" s="22"/>
      <c r="L271" s="22"/>
      <c r="M271" s="22"/>
      <c r="N271" s="22"/>
      <c r="O271" s="22"/>
      <c r="P271" s="22"/>
      <c r="Q271" s="22"/>
      <c r="R271" s="1"/>
      <c r="S271" s="1"/>
      <c r="T271" s="8"/>
      <c r="U271" s="1"/>
      <c r="V271" s="1"/>
      <c r="W271" s="1"/>
      <c r="X271" s="1"/>
      <c r="Y271" s="1"/>
      <c r="Z271" s="1"/>
      <c r="AA271" s="1"/>
      <c r="AC271" s="1"/>
      <c r="AD271" s="1"/>
      <c r="AE271" s="1"/>
      <c r="AF271" s="1"/>
      <c r="AG271" s="1"/>
      <c r="AH271" s="26"/>
      <c r="AI271" s="26"/>
      <c r="AJ271" s="26"/>
      <c r="AK271" s="26"/>
      <c r="AL271" s="26"/>
      <c r="AM271" s="26"/>
      <c r="AN271" s="26"/>
      <c r="AO271" s="26"/>
      <c r="AP271" s="26"/>
      <c r="AQ271" s="26"/>
      <c r="AR271" s="26"/>
      <c r="AS271" s="26"/>
      <c r="AT271" s="26"/>
      <c r="AU271" s="26"/>
      <c r="AV271" s="26"/>
      <c r="AW271" s="26"/>
      <c r="AX271" s="26"/>
      <c r="AY271" s="1"/>
      <c r="AZ271" s="26"/>
      <c r="BA271" s="26"/>
      <c r="BB271" s="26"/>
      <c r="BC271" s="26"/>
      <c r="BD271" s="26"/>
      <c r="BE271" s="26"/>
      <c r="BF271" s="26"/>
      <c r="BG271" s="26"/>
      <c r="BH271" s="26"/>
      <c r="BI271" s="26"/>
      <c r="BJ271" s="26"/>
      <c r="BK271" s="26"/>
      <c r="BL271" s="26"/>
      <c r="BM271" s="26"/>
      <c r="BN271" s="26"/>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96"/>
      <c r="CP271" s="14"/>
      <c r="CQ271" s="14"/>
      <c r="CR271" s="14"/>
      <c r="CS271" s="14"/>
      <c r="CT271" s="1"/>
      <c r="CU271" s="14"/>
      <c r="CV271" s="1"/>
      <c r="CW271" s="1"/>
      <c r="CX271" s="14"/>
      <c r="CY271" s="1"/>
      <c r="CZ271" s="1"/>
      <c r="DA271" s="1"/>
      <c r="DB271" s="1"/>
      <c r="DC271" s="1"/>
      <c r="DD271" s="1"/>
      <c r="DE271" s="1"/>
      <c r="DF271" s="1"/>
      <c r="DG271" s="1"/>
      <c r="DH271" s="1"/>
      <c r="DI271" s="1"/>
      <c r="DJ271" s="1"/>
      <c r="DK271" s="1"/>
      <c r="DL271" s="1"/>
      <c r="DM271" s="1"/>
      <c r="DN271" s="1"/>
      <c r="DO271" s="1"/>
      <c r="DP271" s="1"/>
      <c r="DQ271" s="1"/>
      <c r="DR271" s="1"/>
      <c r="DS271" s="1"/>
      <c r="DT271" s="1"/>
      <c r="DU271" s="14"/>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29"/>
    </row>
    <row r="272" spans="1:160" x14ac:dyDescent="0.25">
      <c r="A272" s="5"/>
      <c r="B272" s="1"/>
      <c r="C272" s="98"/>
      <c r="D272" s="98"/>
      <c r="E272" s="1"/>
      <c r="F272" s="22"/>
      <c r="G272" s="22"/>
      <c r="H272" s="22"/>
      <c r="I272" s="22"/>
      <c r="J272" s="22"/>
      <c r="K272" s="22"/>
      <c r="L272" s="22"/>
      <c r="M272" s="22"/>
      <c r="N272" s="22"/>
      <c r="O272" s="22"/>
      <c r="P272" s="22"/>
      <c r="Q272" s="22"/>
      <c r="R272" s="1"/>
      <c r="S272" s="1"/>
      <c r="T272" s="8"/>
      <c r="U272" s="1"/>
      <c r="V272" s="1"/>
      <c r="W272" s="1"/>
      <c r="X272" s="1"/>
      <c r="Y272" s="1"/>
      <c r="Z272" s="1"/>
      <c r="AA272" s="1"/>
      <c r="AC272" s="1"/>
      <c r="AD272" s="1"/>
      <c r="AE272" s="1"/>
      <c r="AF272" s="1"/>
      <c r="AG272" s="1"/>
      <c r="AH272" s="26"/>
      <c r="AI272" s="26"/>
      <c r="AJ272" s="26"/>
      <c r="AK272" s="26"/>
      <c r="AL272" s="26"/>
      <c r="AM272" s="26"/>
      <c r="AN272" s="26"/>
      <c r="AO272" s="26"/>
      <c r="AP272" s="26"/>
      <c r="AQ272" s="26"/>
      <c r="AR272" s="26"/>
      <c r="AS272" s="26"/>
      <c r="AT272" s="26"/>
      <c r="AU272" s="26"/>
      <c r="AV272" s="26"/>
      <c r="AW272" s="26"/>
      <c r="AX272" s="26"/>
      <c r="AY272" s="1"/>
      <c r="AZ272" s="26"/>
      <c r="BA272" s="26"/>
      <c r="BB272" s="26"/>
      <c r="BC272" s="26"/>
      <c r="BD272" s="26"/>
      <c r="BE272" s="26"/>
      <c r="BF272" s="26"/>
      <c r="BG272" s="26"/>
      <c r="BH272" s="26"/>
      <c r="BI272" s="26"/>
      <c r="BJ272" s="26"/>
      <c r="BK272" s="26"/>
      <c r="BL272" s="26"/>
      <c r="BM272" s="26"/>
      <c r="BN272" s="26"/>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96"/>
      <c r="CP272" s="14"/>
      <c r="CQ272" s="14"/>
      <c r="CR272" s="14"/>
      <c r="CS272" s="14"/>
      <c r="CT272" s="1"/>
      <c r="CU272" s="14"/>
      <c r="CV272" s="1"/>
      <c r="CW272" s="1"/>
      <c r="CX272" s="14"/>
      <c r="CY272" s="1"/>
      <c r="CZ272" s="1"/>
      <c r="DA272" s="1"/>
      <c r="DB272" s="1"/>
      <c r="DC272" s="1"/>
      <c r="DD272" s="1"/>
      <c r="DE272" s="1"/>
      <c r="DF272" s="1"/>
      <c r="DG272" s="1"/>
      <c r="DH272" s="1"/>
      <c r="DI272" s="1"/>
      <c r="DJ272" s="1"/>
      <c r="DK272" s="1"/>
      <c r="DL272" s="1"/>
      <c r="DM272" s="1"/>
      <c r="DN272" s="1"/>
      <c r="DO272" s="1"/>
      <c r="DP272" s="1"/>
      <c r="DQ272" s="1"/>
      <c r="DR272" s="1"/>
      <c r="DS272" s="1"/>
      <c r="DT272" s="1"/>
      <c r="DU272" s="14"/>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29"/>
    </row>
    <row r="273" spans="1:160" x14ac:dyDescent="0.25">
      <c r="A273" s="5"/>
      <c r="B273" s="1"/>
      <c r="C273" s="98"/>
      <c r="D273" s="98"/>
      <c r="E273" s="1"/>
      <c r="F273" s="22"/>
      <c r="G273" s="22"/>
      <c r="H273" s="22"/>
      <c r="I273" s="22"/>
      <c r="J273" s="22"/>
      <c r="K273" s="22"/>
      <c r="L273" s="22"/>
      <c r="M273" s="22"/>
      <c r="N273" s="22"/>
      <c r="O273" s="22"/>
      <c r="P273" s="22"/>
      <c r="Q273" s="22"/>
      <c r="R273" s="1"/>
      <c r="S273" s="1"/>
      <c r="T273" s="8"/>
      <c r="U273" s="1"/>
      <c r="V273" s="1"/>
      <c r="W273" s="1"/>
      <c r="X273" s="1"/>
      <c r="Y273" s="1"/>
      <c r="Z273" s="1"/>
      <c r="AA273" s="1"/>
      <c r="AC273" s="1"/>
      <c r="AD273" s="1"/>
      <c r="AE273" s="1"/>
      <c r="AF273" s="1"/>
      <c r="AG273" s="1"/>
      <c r="AH273" s="26"/>
      <c r="AI273" s="26"/>
      <c r="AJ273" s="26"/>
      <c r="AK273" s="26"/>
      <c r="AL273" s="26"/>
      <c r="AM273" s="26"/>
      <c r="AN273" s="26"/>
      <c r="AO273" s="26"/>
      <c r="AP273" s="26"/>
      <c r="AQ273" s="26"/>
      <c r="AR273" s="26"/>
      <c r="AS273" s="26"/>
      <c r="AT273" s="26"/>
      <c r="AU273" s="26"/>
      <c r="AV273" s="26"/>
      <c r="AW273" s="26"/>
      <c r="AX273" s="26"/>
      <c r="AY273" s="1"/>
      <c r="AZ273" s="26"/>
      <c r="BA273" s="26"/>
      <c r="BB273" s="26"/>
      <c r="BC273" s="26"/>
      <c r="BD273" s="26"/>
      <c r="BE273" s="26"/>
      <c r="BF273" s="26"/>
      <c r="BG273" s="26"/>
      <c r="BH273" s="26"/>
      <c r="BI273" s="26"/>
      <c r="BJ273" s="26"/>
      <c r="BK273" s="26"/>
      <c r="BL273" s="26"/>
      <c r="BM273" s="26"/>
      <c r="BN273" s="26"/>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96"/>
      <c r="CP273" s="14"/>
      <c r="CQ273" s="14"/>
      <c r="CR273" s="14"/>
      <c r="CS273" s="14"/>
      <c r="CT273" s="1"/>
      <c r="CU273" s="14"/>
      <c r="CV273" s="1"/>
      <c r="CW273" s="1"/>
      <c r="CX273" s="14"/>
      <c r="CY273" s="1"/>
      <c r="CZ273" s="1"/>
      <c r="DA273" s="1"/>
      <c r="DB273" s="1"/>
      <c r="DC273" s="1"/>
      <c r="DD273" s="1"/>
      <c r="DE273" s="1"/>
      <c r="DF273" s="1"/>
      <c r="DG273" s="1"/>
      <c r="DH273" s="1"/>
      <c r="DI273" s="1"/>
      <c r="DJ273" s="1"/>
      <c r="DK273" s="1"/>
      <c r="DL273" s="1"/>
      <c r="DM273" s="1"/>
      <c r="DN273" s="1"/>
      <c r="DO273" s="1"/>
      <c r="DP273" s="1"/>
      <c r="DQ273" s="1"/>
      <c r="DR273" s="1"/>
      <c r="DS273" s="1"/>
      <c r="DT273" s="1"/>
      <c r="DU273" s="14"/>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29"/>
    </row>
    <row r="274" spans="1:160" x14ac:dyDescent="0.25">
      <c r="A274" s="5"/>
      <c r="B274" s="1"/>
      <c r="C274" s="98"/>
      <c r="D274" s="98"/>
      <c r="E274" s="1"/>
      <c r="F274" s="22"/>
      <c r="G274" s="22"/>
      <c r="H274" s="22"/>
      <c r="I274" s="22"/>
      <c r="J274" s="22"/>
      <c r="K274" s="22"/>
      <c r="L274" s="22"/>
      <c r="M274" s="22"/>
      <c r="N274" s="22"/>
      <c r="O274" s="22"/>
      <c r="P274" s="22"/>
      <c r="Q274" s="22"/>
      <c r="R274" s="1"/>
      <c r="S274" s="1"/>
      <c r="T274" s="8"/>
      <c r="U274" s="1"/>
      <c r="V274" s="1"/>
      <c r="W274" s="1"/>
      <c r="X274" s="1"/>
      <c r="Y274" s="1"/>
      <c r="Z274" s="1"/>
      <c r="AA274" s="1"/>
      <c r="AC274" s="1"/>
      <c r="AD274" s="1"/>
      <c r="AE274" s="1"/>
      <c r="AF274" s="1"/>
      <c r="AG274" s="1"/>
      <c r="AH274" s="26"/>
      <c r="AI274" s="26"/>
      <c r="AJ274" s="26"/>
      <c r="AK274" s="26"/>
      <c r="AL274" s="26"/>
      <c r="AM274" s="26"/>
      <c r="AN274" s="26"/>
      <c r="AO274" s="26"/>
      <c r="AP274" s="26"/>
      <c r="AQ274" s="26"/>
      <c r="AR274" s="26"/>
      <c r="AS274" s="26"/>
      <c r="AT274" s="26"/>
      <c r="AU274" s="26"/>
      <c r="AV274" s="26"/>
      <c r="AW274" s="26"/>
      <c r="AX274" s="26"/>
      <c r="AY274" s="1"/>
      <c r="AZ274" s="26"/>
      <c r="BA274" s="26"/>
      <c r="BB274" s="26"/>
      <c r="BC274" s="26"/>
      <c r="BD274" s="26"/>
      <c r="BE274" s="26"/>
      <c r="BF274" s="26"/>
      <c r="BG274" s="26"/>
      <c r="BH274" s="26"/>
      <c r="BI274" s="26"/>
      <c r="BJ274" s="26"/>
      <c r="BK274" s="26"/>
      <c r="BL274" s="26"/>
      <c r="BM274" s="26"/>
      <c r="BN274" s="26"/>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96"/>
      <c r="CP274" s="14"/>
      <c r="CQ274" s="14"/>
      <c r="CR274" s="14"/>
      <c r="CS274" s="14"/>
      <c r="CT274" s="1"/>
      <c r="CU274" s="14"/>
      <c r="CV274" s="1"/>
      <c r="CW274" s="1"/>
      <c r="CX274" s="14"/>
      <c r="CY274" s="1"/>
      <c r="CZ274" s="1"/>
      <c r="DA274" s="1"/>
      <c r="DB274" s="1"/>
      <c r="DC274" s="1"/>
      <c r="DD274" s="1"/>
      <c r="DE274" s="1"/>
      <c r="DF274" s="1"/>
      <c r="DG274" s="1"/>
      <c r="DH274" s="1"/>
      <c r="DI274" s="1"/>
      <c r="DJ274" s="1"/>
      <c r="DK274" s="1"/>
      <c r="DL274" s="1"/>
      <c r="DM274" s="1"/>
      <c r="DN274" s="1"/>
      <c r="DO274" s="1"/>
      <c r="DP274" s="1"/>
      <c r="DQ274" s="1"/>
      <c r="DR274" s="1"/>
      <c r="DS274" s="1"/>
      <c r="DT274" s="1"/>
      <c r="DU274" s="14"/>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29"/>
    </row>
    <row r="275" spans="1:160" x14ac:dyDescent="0.25">
      <c r="A275" s="5"/>
      <c r="B275" s="1"/>
      <c r="C275" s="98"/>
      <c r="D275" s="98"/>
      <c r="E275" s="1"/>
      <c r="F275" s="22"/>
      <c r="G275" s="22"/>
      <c r="H275" s="22"/>
      <c r="I275" s="22"/>
      <c r="J275" s="22"/>
      <c r="K275" s="22"/>
      <c r="L275" s="22"/>
      <c r="M275" s="22"/>
      <c r="N275" s="22"/>
      <c r="O275" s="22"/>
      <c r="P275" s="22"/>
      <c r="Q275" s="22"/>
      <c r="R275" s="1"/>
      <c r="S275" s="1"/>
      <c r="T275" s="8"/>
      <c r="U275" s="1"/>
      <c r="V275" s="1"/>
      <c r="W275" s="1"/>
      <c r="X275" s="1"/>
      <c r="Y275" s="1"/>
      <c r="Z275" s="1"/>
      <c r="AA275" s="1"/>
      <c r="AC275" s="1"/>
      <c r="AD275" s="1"/>
      <c r="AE275" s="1"/>
      <c r="AF275" s="1"/>
      <c r="AG275" s="1"/>
      <c r="AH275" s="26"/>
      <c r="AI275" s="26"/>
      <c r="AJ275" s="26"/>
      <c r="AK275" s="26"/>
      <c r="AL275" s="26"/>
      <c r="AM275" s="26"/>
      <c r="AN275" s="26"/>
      <c r="AO275" s="26"/>
      <c r="AP275" s="26"/>
      <c r="AQ275" s="26"/>
      <c r="AR275" s="26"/>
      <c r="AS275" s="26"/>
      <c r="AT275" s="26"/>
      <c r="AU275" s="26"/>
      <c r="AV275" s="26"/>
      <c r="AW275" s="26"/>
      <c r="AX275" s="26"/>
      <c r="AY275" s="1"/>
      <c r="AZ275" s="26"/>
      <c r="BA275" s="26"/>
      <c r="BB275" s="26"/>
      <c r="BC275" s="26"/>
      <c r="BD275" s="26"/>
      <c r="BE275" s="26"/>
      <c r="BF275" s="26"/>
      <c r="BG275" s="26"/>
      <c r="BH275" s="26"/>
      <c r="BI275" s="26"/>
      <c r="BJ275" s="26"/>
      <c r="BK275" s="26"/>
      <c r="BL275" s="26"/>
      <c r="BM275" s="26"/>
      <c r="BN275" s="26"/>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96"/>
      <c r="CP275" s="14"/>
      <c r="CQ275" s="14"/>
      <c r="CR275" s="14"/>
      <c r="CS275" s="14"/>
      <c r="CT275" s="1"/>
      <c r="CU275" s="14"/>
      <c r="CV275" s="1"/>
      <c r="CW275" s="1"/>
      <c r="CX275" s="14"/>
      <c r="CY275" s="1"/>
      <c r="CZ275" s="1"/>
      <c r="DA275" s="1"/>
      <c r="DB275" s="1"/>
      <c r="DC275" s="1"/>
      <c r="DD275" s="1"/>
      <c r="DE275" s="1"/>
      <c r="DF275" s="1"/>
      <c r="DG275" s="1"/>
      <c r="DH275" s="1"/>
      <c r="DI275" s="1"/>
      <c r="DJ275" s="1"/>
      <c r="DK275" s="1"/>
      <c r="DL275" s="1"/>
      <c r="DM275" s="1"/>
      <c r="DN275" s="1"/>
      <c r="DO275" s="1"/>
      <c r="DP275" s="1"/>
      <c r="DQ275" s="1"/>
      <c r="DR275" s="1"/>
      <c r="DS275" s="1"/>
      <c r="DT275" s="1"/>
      <c r="DU275" s="14"/>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29"/>
    </row>
    <row r="276" spans="1:160" x14ac:dyDescent="0.25">
      <c r="A276" s="5"/>
      <c r="B276" s="1"/>
      <c r="C276" s="98"/>
      <c r="D276" s="98"/>
      <c r="E276" s="1"/>
      <c r="F276" s="22"/>
      <c r="G276" s="22"/>
      <c r="H276" s="22"/>
      <c r="I276" s="22"/>
      <c r="J276" s="22"/>
      <c r="K276" s="22"/>
      <c r="L276" s="22"/>
      <c r="M276" s="22"/>
      <c r="N276" s="22"/>
      <c r="O276" s="22"/>
      <c r="P276" s="22"/>
      <c r="Q276" s="22"/>
      <c r="R276" s="1"/>
      <c r="S276" s="1"/>
      <c r="T276" s="8"/>
      <c r="U276" s="1"/>
      <c r="V276" s="1"/>
      <c r="W276" s="1"/>
      <c r="X276" s="1"/>
      <c r="Y276" s="1"/>
      <c r="Z276" s="1"/>
      <c r="AA276" s="1"/>
      <c r="AC276" s="1"/>
      <c r="AD276" s="1"/>
      <c r="AE276" s="1"/>
      <c r="AF276" s="1"/>
      <c r="AG276" s="1"/>
      <c r="AH276" s="26"/>
      <c r="AI276" s="26"/>
      <c r="AJ276" s="26"/>
      <c r="AK276" s="26"/>
      <c r="AL276" s="26"/>
      <c r="AM276" s="26"/>
      <c r="AN276" s="26"/>
      <c r="AO276" s="26"/>
      <c r="AP276" s="26"/>
      <c r="AQ276" s="26"/>
      <c r="AR276" s="26"/>
      <c r="AS276" s="26"/>
      <c r="AT276" s="26"/>
      <c r="AU276" s="26"/>
      <c r="AV276" s="26"/>
      <c r="AW276" s="26"/>
      <c r="AX276" s="26"/>
      <c r="AY276" s="1"/>
      <c r="AZ276" s="26"/>
      <c r="BA276" s="26"/>
      <c r="BB276" s="26"/>
      <c r="BC276" s="26"/>
      <c r="BD276" s="26"/>
      <c r="BE276" s="26"/>
      <c r="BF276" s="26"/>
      <c r="BG276" s="26"/>
      <c r="BH276" s="26"/>
      <c r="BI276" s="26"/>
      <c r="BJ276" s="26"/>
      <c r="BK276" s="26"/>
      <c r="BL276" s="26"/>
      <c r="BM276" s="26"/>
      <c r="BN276" s="26"/>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96"/>
      <c r="CP276" s="14"/>
      <c r="CQ276" s="14"/>
      <c r="CR276" s="14"/>
      <c r="CS276" s="14"/>
      <c r="CT276" s="1"/>
      <c r="CU276" s="14"/>
      <c r="CV276" s="1"/>
      <c r="CW276" s="1"/>
      <c r="CX276" s="14"/>
      <c r="CY276" s="1"/>
      <c r="CZ276" s="1"/>
      <c r="DA276" s="1"/>
      <c r="DB276" s="1"/>
      <c r="DC276" s="1"/>
      <c r="DD276" s="1"/>
      <c r="DE276" s="1"/>
      <c r="DF276" s="1"/>
      <c r="DG276" s="1"/>
      <c r="DH276" s="1"/>
      <c r="DI276" s="1"/>
      <c r="DJ276" s="1"/>
      <c r="DK276" s="1"/>
      <c r="DL276" s="1"/>
      <c r="DM276" s="1"/>
      <c r="DN276" s="1"/>
      <c r="DO276" s="1"/>
      <c r="DP276" s="1"/>
      <c r="DQ276" s="1"/>
      <c r="DR276" s="1"/>
      <c r="DS276" s="1"/>
      <c r="DT276" s="1"/>
      <c r="DU276" s="14"/>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29"/>
    </row>
    <row r="277" spans="1:160" x14ac:dyDescent="0.25">
      <c r="A277" s="5"/>
      <c r="B277" s="1"/>
      <c r="C277" s="98"/>
      <c r="D277" s="98"/>
      <c r="E277" s="1"/>
      <c r="F277" s="22"/>
      <c r="G277" s="22"/>
      <c r="H277" s="22"/>
      <c r="I277" s="22"/>
      <c r="J277" s="22"/>
      <c r="K277" s="22"/>
      <c r="L277" s="22"/>
      <c r="M277" s="22"/>
      <c r="N277" s="22"/>
      <c r="O277" s="22"/>
      <c r="P277" s="22"/>
      <c r="Q277" s="22"/>
      <c r="R277" s="1"/>
      <c r="S277" s="1"/>
      <c r="T277" s="8"/>
      <c r="U277" s="1"/>
      <c r="V277" s="1"/>
      <c r="W277" s="1"/>
      <c r="X277" s="1"/>
      <c r="Y277" s="1"/>
      <c r="Z277" s="1"/>
      <c r="AA277" s="1"/>
      <c r="AC277" s="1"/>
      <c r="AD277" s="1"/>
      <c r="AE277" s="1"/>
      <c r="AF277" s="1"/>
      <c r="AG277" s="1"/>
      <c r="AH277" s="26"/>
      <c r="AI277" s="26"/>
      <c r="AJ277" s="26"/>
      <c r="AK277" s="26"/>
      <c r="AL277" s="26"/>
      <c r="AM277" s="26"/>
      <c r="AN277" s="26"/>
      <c r="AO277" s="26"/>
      <c r="AP277" s="26"/>
      <c r="AQ277" s="26"/>
      <c r="AR277" s="26"/>
      <c r="AS277" s="26"/>
      <c r="AT277" s="26"/>
      <c r="AU277" s="26"/>
      <c r="AV277" s="26"/>
      <c r="AW277" s="26"/>
      <c r="AX277" s="26"/>
      <c r="AY277" s="1"/>
      <c r="AZ277" s="26"/>
      <c r="BA277" s="26"/>
      <c r="BB277" s="26"/>
      <c r="BC277" s="26"/>
      <c r="BD277" s="26"/>
      <c r="BE277" s="26"/>
      <c r="BF277" s="26"/>
      <c r="BG277" s="26"/>
      <c r="BH277" s="26"/>
      <c r="BI277" s="26"/>
      <c r="BJ277" s="26"/>
      <c r="BK277" s="26"/>
      <c r="BL277" s="26"/>
      <c r="BM277" s="26"/>
      <c r="BN277" s="26"/>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96"/>
      <c r="CP277" s="14"/>
      <c r="CQ277" s="14"/>
      <c r="CR277" s="14"/>
      <c r="CS277" s="14"/>
      <c r="CT277" s="1"/>
      <c r="CU277" s="14"/>
      <c r="CV277" s="1"/>
      <c r="CW277" s="1"/>
      <c r="CX277" s="14"/>
      <c r="CY277" s="1"/>
      <c r="CZ277" s="1"/>
      <c r="DA277" s="1"/>
      <c r="DB277" s="1"/>
      <c r="DC277" s="1"/>
      <c r="DD277" s="1"/>
      <c r="DE277" s="1"/>
      <c r="DF277" s="1"/>
      <c r="DG277" s="1"/>
      <c r="DH277" s="1"/>
      <c r="DI277" s="1"/>
      <c r="DJ277" s="1"/>
      <c r="DK277" s="1"/>
      <c r="DL277" s="1"/>
      <c r="DM277" s="1"/>
      <c r="DN277" s="1"/>
      <c r="DO277" s="1"/>
      <c r="DP277" s="1"/>
      <c r="DQ277" s="1"/>
      <c r="DR277" s="1"/>
      <c r="DS277" s="1"/>
      <c r="DT277" s="1"/>
      <c r="DU277" s="14"/>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29"/>
    </row>
    <row r="278" spans="1:160" x14ac:dyDescent="0.25">
      <c r="A278" s="5"/>
      <c r="B278" s="1"/>
      <c r="C278" s="98"/>
      <c r="D278" s="98"/>
      <c r="E278" s="1"/>
      <c r="F278" s="22"/>
      <c r="G278" s="22"/>
      <c r="H278" s="22"/>
      <c r="I278" s="22"/>
      <c r="J278" s="22"/>
      <c r="K278" s="22"/>
      <c r="L278" s="22"/>
      <c r="M278" s="22"/>
      <c r="N278" s="22"/>
      <c r="O278" s="22"/>
      <c r="P278" s="22"/>
      <c r="Q278" s="22"/>
      <c r="R278" s="1"/>
      <c r="S278" s="1"/>
      <c r="T278" s="8"/>
      <c r="U278" s="1"/>
      <c r="V278" s="1"/>
      <c r="W278" s="1"/>
      <c r="X278" s="1"/>
      <c r="Y278" s="1"/>
      <c r="Z278" s="1"/>
      <c r="AA278" s="1"/>
      <c r="AC278" s="1"/>
      <c r="AD278" s="1"/>
      <c r="AE278" s="1"/>
      <c r="AF278" s="1"/>
      <c r="AG278" s="1"/>
      <c r="AH278" s="26"/>
      <c r="AI278" s="26"/>
      <c r="AJ278" s="26"/>
      <c r="AK278" s="26"/>
      <c r="AL278" s="26"/>
      <c r="AM278" s="26"/>
      <c r="AN278" s="26"/>
      <c r="AO278" s="26"/>
      <c r="AP278" s="26"/>
      <c r="AQ278" s="26"/>
      <c r="AR278" s="26"/>
      <c r="AS278" s="26"/>
      <c r="AT278" s="26"/>
      <c r="AU278" s="26"/>
      <c r="AV278" s="26"/>
      <c r="AW278" s="26"/>
      <c r="AX278" s="26"/>
      <c r="AY278" s="1"/>
      <c r="AZ278" s="26"/>
      <c r="BA278" s="26"/>
      <c r="BB278" s="26"/>
      <c r="BC278" s="26"/>
      <c r="BD278" s="26"/>
      <c r="BE278" s="26"/>
      <c r="BF278" s="26"/>
      <c r="BG278" s="26"/>
      <c r="BH278" s="26"/>
      <c r="BI278" s="26"/>
      <c r="BJ278" s="26"/>
      <c r="BK278" s="26"/>
      <c r="BL278" s="26"/>
      <c r="BM278" s="26"/>
      <c r="BN278" s="26"/>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96"/>
      <c r="CP278" s="14"/>
      <c r="CQ278" s="14"/>
      <c r="CR278" s="14"/>
      <c r="CS278" s="14"/>
      <c r="CT278" s="1"/>
      <c r="CU278" s="14"/>
      <c r="CV278" s="1"/>
      <c r="CW278" s="1"/>
      <c r="CX278" s="14"/>
      <c r="CY278" s="1"/>
      <c r="CZ278" s="1"/>
      <c r="DA278" s="1"/>
      <c r="DB278" s="1"/>
      <c r="DC278" s="1"/>
      <c r="DD278" s="1"/>
      <c r="DE278" s="1"/>
      <c r="DF278" s="1"/>
      <c r="DG278" s="1"/>
      <c r="DH278" s="1"/>
      <c r="DI278" s="1"/>
      <c r="DJ278" s="1"/>
      <c r="DK278" s="1"/>
      <c r="DL278" s="1"/>
      <c r="DM278" s="1"/>
      <c r="DN278" s="1"/>
      <c r="DO278" s="1"/>
      <c r="DP278" s="1"/>
      <c r="DQ278" s="1"/>
      <c r="DR278" s="1"/>
      <c r="DS278" s="1"/>
      <c r="DT278" s="1"/>
      <c r="DU278" s="14"/>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29"/>
    </row>
    <row r="279" spans="1:160" x14ac:dyDescent="0.25">
      <c r="A279" s="5"/>
      <c r="B279" s="1"/>
      <c r="C279" s="98"/>
      <c r="D279" s="98"/>
      <c r="E279" s="1"/>
      <c r="F279" s="22"/>
      <c r="G279" s="22"/>
      <c r="H279" s="22"/>
      <c r="I279" s="22"/>
      <c r="J279" s="22"/>
      <c r="K279" s="22"/>
      <c r="L279" s="22"/>
      <c r="M279" s="22"/>
      <c r="N279" s="22"/>
      <c r="O279" s="22"/>
      <c r="P279" s="22"/>
      <c r="Q279" s="22"/>
      <c r="R279" s="1"/>
      <c r="S279" s="1"/>
      <c r="T279" s="8"/>
      <c r="U279" s="1"/>
      <c r="V279" s="1"/>
      <c r="W279" s="1"/>
      <c r="X279" s="1"/>
      <c r="Y279" s="1"/>
      <c r="Z279" s="1"/>
      <c r="AA279" s="1"/>
      <c r="AC279" s="1"/>
      <c r="AD279" s="1"/>
      <c r="AE279" s="1"/>
      <c r="AF279" s="1"/>
      <c r="AG279" s="1"/>
      <c r="AH279" s="26"/>
      <c r="AI279" s="26"/>
      <c r="AJ279" s="26"/>
      <c r="AK279" s="26"/>
      <c r="AL279" s="26"/>
      <c r="AM279" s="26"/>
      <c r="AN279" s="26"/>
      <c r="AO279" s="26"/>
      <c r="AP279" s="26"/>
      <c r="AQ279" s="26"/>
      <c r="AR279" s="26"/>
      <c r="AS279" s="26"/>
      <c r="AT279" s="26"/>
      <c r="AU279" s="26"/>
      <c r="AV279" s="26"/>
      <c r="AW279" s="26"/>
      <c r="AX279" s="26"/>
      <c r="AY279" s="1"/>
      <c r="AZ279" s="26"/>
      <c r="BA279" s="26"/>
      <c r="BB279" s="26"/>
      <c r="BC279" s="26"/>
      <c r="BD279" s="26"/>
      <c r="BE279" s="26"/>
      <c r="BF279" s="26"/>
      <c r="BG279" s="26"/>
      <c r="BH279" s="26"/>
      <c r="BI279" s="26"/>
      <c r="BJ279" s="26"/>
      <c r="BK279" s="26"/>
      <c r="BL279" s="26"/>
      <c r="BM279" s="26"/>
      <c r="BN279" s="26"/>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96"/>
      <c r="CP279" s="14"/>
      <c r="CQ279" s="14"/>
      <c r="CR279" s="14"/>
      <c r="CS279" s="14"/>
      <c r="CT279" s="1"/>
      <c r="CU279" s="14"/>
      <c r="CV279" s="1"/>
      <c r="CW279" s="1"/>
      <c r="CX279" s="14"/>
      <c r="CY279" s="1"/>
      <c r="CZ279" s="1"/>
      <c r="DA279" s="1"/>
      <c r="DB279" s="1"/>
      <c r="DC279" s="1"/>
      <c r="DD279" s="1"/>
      <c r="DE279" s="1"/>
      <c r="DF279" s="1"/>
      <c r="DG279" s="1"/>
      <c r="DH279" s="1"/>
      <c r="DI279" s="1"/>
      <c r="DJ279" s="1"/>
      <c r="DK279" s="1"/>
      <c r="DL279" s="1"/>
      <c r="DM279" s="1"/>
      <c r="DN279" s="1"/>
      <c r="DO279" s="1"/>
      <c r="DP279" s="1"/>
      <c r="DQ279" s="1"/>
      <c r="DR279" s="1"/>
      <c r="DS279" s="1"/>
      <c r="DT279" s="1"/>
      <c r="DU279" s="14"/>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29"/>
    </row>
    <row r="280" spans="1:160" x14ac:dyDescent="0.25">
      <c r="A280" s="5"/>
      <c r="B280" s="1"/>
      <c r="C280" s="98"/>
      <c r="D280" s="98"/>
      <c r="E280" s="1"/>
      <c r="F280" s="22"/>
      <c r="G280" s="22"/>
      <c r="H280" s="22"/>
      <c r="I280" s="22"/>
      <c r="J280" s="22"/>
      <c r="K280" s="22"/>
      <c r="L280" s="22"/>
      <c r="M280" s="22"/>
      <c r="N280" s="22"/>
      <c r="O280" s="22"/>
      <c r="P280" s="22"/>
      <c r="Q280" s="22"/>
      <c r="R280" s="1"/>
      <c r="S280" s="1"/>
      <c r="T280" s="8"/>
      <c r="U280" s="1"/>
      <c r="V280" s="1"/>
      <c r="W280" s="1"/>
      <c r="X280" s="1"/>
      <c r="Y280" s="1"/>
      <c r="Z280" s="1"/>
      <c r="AA280" s="1"/>
      <c r="AC280" s="1"/>
      <c r="AD280" s="1"/>
      <c r="AE280" s="1"/>
      <c r="AF280" s="1"/>
      <c r="AG280" s="1"/>
      <c r="AH280" s="26"/>
      <c r="AI280" s="26"/>
      <c r="AJ280" s="26"/>
      <c r="AK280" s="26"/>
      <c r="AL280" s="26"/>
      <c r="AM280" s="26"/>
      <c r="AN280" s="26"/>
      <c r="AO280" s="26"/>
      <c r="AP280" s="26"/>
      <c r="AQ280" s="26"/>
      <c r="AR280" s="26"/>
      <c r="AS280" s="26"/>
      <c r="AT280" s="26"/>
      <c r="AU280" s="26"/>
      <c r="AV280" s="26"/>
      <c r="AW280" s="26"/>
      <c r="AX280" s="26"/>
      <c r="AY280" s="1"/>
      <c r="AZ280" s="26"/>
      <c r="BA280" s="26"/>
      <c r="BB280" s="26"/>
      <c r="BC280" s="26"/>
      <c r="BD280" s="26"/>
      <c r="BE280" s="26"/>
      <c r="BF280" s="26"/>
      <c r="BG280" s="26"/>
      <c r="BH280" s="26"/>
      <c r="BI280" s="26"/>
      <c r="BJ280" s="26"/>
      <c r="BK280" s="26"/>
      <c r="BL280" s="26"/>
      <c r="BM280" s="26"/>
      <c r="BN280" s="26"/>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96"/>
      <c r="CP280" s="14"/>
      <c r="CQ280" s="14"/>
      <c r="CR280" s="14"/>
      <c r="CS280" s="14"/>
      <c r="CT280" s="1"/>
      <c r="CU280" s="14"/>
      <c r="CV280" s="1"/>
      <c r="CW280" s="1"/>
      <c r="CX280" s="14"/>
      <c r="CY280" s="1"/>
      <c r="CZ280" s="1"/>
      <c r="DA280" s="1"/>
      <c r="DB280" s="1"/>
      <c r="DC280" s="1"/>
      <c r="DD280" s="1"/>
      <c r="DE280" s="1"/>
      <c r="DF280" s="1"/>
      <c r="DG280" s="1"/>
      <c r="DH280" s="1"/>
      <c r="DI280" s="1"/>
      <c r="DJ280" s="1"/>
      <c r="DK280" s="1"/>
      <c r="DL280" s="1"/>
      <c r="DM280" s="1"/>
      <c r="DN280" s="1"/>
      <c r="DO280" s="1"/>
      <c r="DP280" s="1"/>
      <c r="DQ280" s="1"/>
      <c r="DR280" s="1"/>
      <c r="DS280" s="1"/>
      <c r="DT280" s="1"/>
      <c r="DU280" s="14"/>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29"/>
    </row>
    <row r="281" spans="1:160" x14ac:dyDescent="0.25">
      <c r="A281" s="5"/>
      <c r="B281" s="1"/>
      <c r="C281" s="98"/>
      <c r="D281" s="98"/>
      <c r="E281" s="1"/>
      <c r="F281" s="22"/>
      <c r="G281" s="22"/>
      <c r="H281" s="22"/>
      <c r="I281" s="22"/>
      <c r="J281" s="22"/>
      <c r="K281" s="22"/>
      <c r="L281" s="22"/>
      <c r="M281" s="22"/>
      <c r="N281" s="22"/>
      <c r="O281" s="22"/>
      <c r="P281" s="22"/>
      <c r="Q281" s="22"/>
      <c r="R281" s="1"/>
      <c r="S281" s="1"/>
      <c r="T281" s="8"/>
      <c r="U281" s="1"/>
      <c r="V281" s="1"/>
      <c r="W281" s="1"/>
      <c r="X281" s="1"/>
      <c r="Y281" s="1"/>
      <c r="Z281" s="1"/>
      <c r="AA281" s="1"/>
      <c r="AC281" s="1"/>
      <c r="AD281" s="1"/>
      <c r="AE281" s="1"/>
      <c r="AF281" s="1"/>
      <c r="AG281" s="1"/>
      <c r="AH281" s="26"/>
      <c r="AI281" s="26"/>
      <c r="AJ281" s="26"/>
      <c r="AK281" s="26"/>
      <c r="AL281" s="26"/>
      <c r="AM281" s="26"/>
      <c r="AN281" s="26"/>
      <c r="AO281" s="26"/>
      <c r="AP281" s="26"/>
      <c r="AQ281" s="26"/>
      <c r="AR281" s="26"/>
      <c r="AS281" s="26"/>
      <c r="AT281" s="26"/>
      <c r="AU281" s="26"/>
      <c r="AV281" s="26"/>
      <c r="AW281" s="26"/>
      <c r="AX281" s="26"/>
      <c r="AY281" s="1"/>
      <c r="AZ281" s="26"/>
      <c r="BA281" s="26"/>
      <c r="BB281" s="26"/>
      <c r="BC281" s="26"/>
      <c r="BD281" s="26"/>
      <c r="BE281" s="26"/>
      <c r="BF281" s="26"/>
      <c r="BG281" s="26"/>
      <c r="BH281" s="26"/>
      <c r="BI281" s="26"/>
      <c r="BJ281" s="26"/>
      <c r="BK281" s="26"/>
      <c r="BL281" s="26"/>
      <c r="BM281" s="26"/>
      <c r="BN281" s="26"/>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96"/>
      <c r="CP281" s="14"/>
      <c r="CQ281" s="14"/>
      <c r="CR281" s="14"/>
      <c r="CS281" s="14"/>
      <c r="CT281" s="1"/>
      <c r="CU281" s="14"/>
      <c r="CV281" s="1"/>
      <c r="CW281" s="1"/>
      <c r="CX281" s="14"/>
      <c r="CY281" s="1"/>
      <c r="CZ281" s="1"/>
      <c r="DA281" s="1"/>
      <c r="DB281" s="1"/>
      <c r="DC281" s="1"/>
      <c r="DD281" s="1"/>
      <c r="DE281" s="1"/>
      <c r="DF281" s="1"/>
      <c r="DG281" s="1"/>
      <c r="DH281" s="1"/>
      <c r="DI281" s="1"/>
      <c r="DJ281" s="1"/>
      <c r="DK281" s="1"/>
      <c r="DL281" s="1"/>
      <c r="DM281" s="1"/>
      <c r="DN281" s="1"/>
      <c r="DO281" s="1"/>
      <c r="DP281" s="1"/>
      <c r="DQ281" s="1"/>
      <c r="DR281" s="1"/>
      <c r="DS281" s="1"/>
      <c r="DT281" s="1"/>
      <c r="DU281" s="14"/>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29"/>
    </row>
    <row r="282" spans="1:160" x14ac:dyDescent="0.25">
      <c r="A282" s="5"/>
      <c r="B282" s="1"/>
      <c r="C282" s="98"/>
      <c r="D282" s="98"/>
      <c r="E282" s="1"/>
      <c r="F282" s="22"/>
      <c r="G282" s="22"/>
      <c r="H282" s="22"/>
      <c r="I282" s="22"/>
      <c r="J282" s="22"/>
      <c r="K282" s="22"/>
      <c r="L282" s="22"/>
      <c r="M282" s="22"/>
      <c r="N282" s="22"/>
      <c r="O282" s="22"/>
      <c r="P282" s="22"/>
      <c r="Q282" s="22"/>
      <c r="R282" s="1"/>
      <c r="S282" s="1"/>
      <c r="T282" s="8"/>
      <c r="U282" s="1"/>
      <c r="V282" s="1"/>
      <c r="W282" s="1"/>
      <c r="X282" s="1"/>
      <c r="Y282" s="1"/>
      <c r="Z282" s="1"/>
      <c r="AA282" s="1"/>
      <c r="AC282" s="1"/>
      <c r="AD282" s="1"/>
      <c r="AE282" s="1"/>
      <c r="AF282" s="1"/>
      <c r="AG282" s="1"/>
      <c r="AH282" s="26"/>
      <c r="AI282" s="26"/>
      <c r="AJ282" s="26"/>
      <c r="AK282" s="26"/>
      <c r="AL282" s="26"/>
      <c r="AM282" s="26"/>
      <c r="AN282" s="26"/>
      <c r="AO282" s="26"/>
      <c r="AP282" s="26"/>
      <c r="AQ282" s="26"/>
      <c r="AR282" s="26"/>
      <c r="AS282" s="26"/>
      <c r="AT282" s="26"/>
      <c r="AU282" s="26"/>
      <c r="AV282" s="26"/>
      <c r="AW282" s="26"/>
      <c r="AX282" s="26"/>
      <c r="AY282" s="1"/>
      <c r="AZ282" s="26"/>
      <c r="BA282" s="26"/>
      <c r="BB282" s="26"/>
      <c r="BC282" s="26"/>
      <c r="BD282" s="26"/>
      <c r="BE282" s="26"/>
      <c r="BF282" s="26"/>
      <c r="BG282" s="26"/>
      <c r="BH282" s="26"/>
      <c r="BI282" s="26"/>
      <c r="BJ282" s="26"/>
      <c r="BK282" s="26"/>
      <c r="BL282" s="26"/>
      <c r="BM282" s="26"/>
      <c r="BN282" s="26"/>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96"/>
      <c r="CP282" s="14"/>
      <c r="CQ282" s="14"/>
      <c r="CR282" s="14"/>
      <c r="CS282" s="14"/>
      <c r="CT282" s="1"/>
      <c r="CU282" s="14"/>
      <c r="CV282" s="1"/>
      <c r="CW282" s="1"/>
      <c r="CX282" s="14"/>
      <c r="CY282" s="1"/>
      <c r="CZ282" s="1"/>
      <c r="DA282" s="1"/>
      <c r="DB282" s="1"/>
      <c r="DC282" s="1"/>
      <c r="DD282" s="1"/>
      <c r="DE282" s="1"/>
      <c r="DF282" s="1"/>
      <c r="DG282" s="1"/>
      <c r="DH282" s="1"/>
      <c r="DI282" s="1"/>
      <c r="DJ282" s="1"/>
      <c r="DK282" s="1"/>
      <c r="DL282" s="1"/>
      <c r="DM282" s="1"/>
      <c r="DN282" s="1"/>
      <c r="DO282" s="1"/>
      <c r="DP282" s="1"/>
      <c r="DQ282" s="1"/>
      <c r="DR282" s="1"/>
      <c r="DS282" s="1"/>
      <c r="DT282" s="1"/>
      <c r="DU282" s="14"/>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29"/>
    </row>
    <row r="283" spans="1:160" x14ac:dyDescent="0.25">
      <c r="A283" s="5"/>
      <c r="B283" s="1"/>
      <c r="C283" s="98"/>
      <c r="D283" s="98"/>
      <c r="E283" s="1"/>
      <c r="F283" s="22"/>
      <c r="G283" s="22"/>
      <c r="H283" s="22"/>
      <c r="I283" s="22"/>
      <c r="J283" s="22"/>
      <c r="K283" s="22"/>
      <c r="L283" s="22"/>
      <c r="M283" s="22"/>
      <c r="N283" s="22"/>
      <c r="O283" s="22"/>
      <c r="P283" s="22"/>
      <c r="Q283" s="22"/>
      <c r="R283" s="1"/>
      <c r="S283" s="1"/>
      <c r="T283" s="8"/>
      <c r="U283" s="1"/>
      <c r="V283" s="1"/>
      <c r="W283" s="1"/>
      <c r="X283" s="1"/>
      <c r="Y283" s="1"/>
      <c r="Z283" s="1"/>
      <c r="AA283" s="1"/>
      <c r="AC283" s="1"/>
      <c r="AD283" s="1"/>
      <c r="AE283" s="1"/>
      <c r="AF283" s="1"/>
      <c r="AG283" s="1"/>
      <c r="AH283" s="26"/>
      <c r="AI283" s="26"/>
      <c r="AJ283" s="26"/>
      <c r="AK283" s="26"/>
      <c r="AL283" s="26"/>
      <c r="AM283" s="26"/>
      <c r="AN283" s="26"/>
      <c r="AO283" s="26"/>
      <c r="AP283" s="26"/>
      <c r="AQ283" s="26"/>
      <c r="AR283" s="26"/>
      <c r="AS283" s="26"/>
      <c r="AT283" s="26"/>
      <c r="AU283" s="26"/>
      <c r="AV283" s="26"/>
      <c r="AW283" s="26"/>
      <c r="AX283" s="26"/>
      <c r="AY283" s="1"/>
      <c r="AZ283" s="26"/>
      <c r="BA283" s="26"/>
      <c r="BB283" s="26"/>
      <c r="BC283" s="26"/>
      <c r="BD283" s="26"/>
      <c r="BE283" s="26"/>
      <c r="BF283" s="26"/>
      <c r="BG283" s="26"/>
      <c r="BH283" s="26"/>
      <c r="BI283" s="26"/>
      <c r="BJ283" s="26"/>
      <c r="BK283" s="26"/>
      <c r="BL283" s="26"/>
      <c r="BM283" s="26"/>
      <c r="BN283" s="26"/>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96"/>
      <c r="CP283" s="14"/>
      <c r="CQ283" s="14"/>
      <c r="CR283" s="14"/>
      <c r="CS283" s="14"/>
      <c r="CT283" s="1"/>
      <c r="CU283" s="14"/>
      <c r="CV283" s="1"/>
      <c r="CW283" s="1"/>
      <c r="CX283" s="14"/>
      <c r="CY283" s="1"/>
      <c r="CZ283" s="1"/>
      <c r="DA283" s="1"/>
      <c r="DB283" s="1"/>
      <c r="DC283" s="1"/>
      <c r="DD283" s="1"/>
      <c r="DE283" s="1"/>
      <c r="DF283" s="1"/>
      <c r="DG283" s="1"/>
      <c r="DH283" s="1"/>
      <c r="DI283" s="1"/>
      <c r="DJ283" s="1"/>
      <c r="DK283" s="1"/>
      <c r="DL283" s="1"/>
      <c r="DM283" s="1"/>
      <c r="DN283" s="1"/>
      <c r="DO283" s="1"/>
      <c r="DP283" s="1"/>
      <c r="DQ283" s="1"/>
      <c r="DR283" s="1"/>
      <c r="DS283" s="1"/>
      <c r="DT283" s="1"/>
      <c r="DU283" s="14"/>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29"/>
    </row>
    <row r="284" spans="1:160" x14ac:dyDescent="0.25">
      <c r="A284" s="5"/>
      <c r="B284" s="1"/>
      <c r="C284" s="98"/>
      <c r="D284" s="98"/>
      <c r="E284" s="1"/>
      <c r="F284" s="22"/>
      <c r="G284" s="22"/>
      <c r="H284" s="22"/>
      <c r="I284" s="22"/>
      <c r="J284" s="22"/>
      <c r="K284" s="22"/>
      <c r="L284" s="22"/>
      <c r="M284" s="22"/>
      <c r="N284" s="22"/>
      <c r="O284" s="22"/>
      <c r="P284" s="22"/>
      <c r="Q284" s="22"/>
      <c r="R284" s="1"/>
      <c r="S284" s="1"/>
      <c r="T284" s="8"/>
      <c r="U284" s="1"/>
      <c r="V284" s="1"/>
      <c r="W284" s="1"/>
      <c r="X284" s="1"/>
      <c r="Y284" s="1"/>
      <c r="Z284" s="1"/>
      <c r="AA284" s="1"/>
      <c r="AC284" s="1"/>
      <c r="AD284" s="1"/>
      <c r="AE284" s="1"/>
      <c r="AF284" s="1"/>
      <c r="AG284" s="1"/>
      <c r="AH284" s="26"/>
      <c r="AI284" s="26"/>
      <c r="AJ284" s="26"/>
      <c r="AK284" s="26"/>
      <c r="AL284" s="26"/>
      <c r="AM284" s="26"/>
      <c r="AN284" s="26"/>
      <c r="AO284" s="26"/>
      <c r="AP284" s="26"/>
      <c r="AQ284" s="26"/>
      <c r="AR284" s="26"/>
      <c r="AS284" s="26"/>
      <c r="AT284" s="26"/>
      <c r="AU284" s="26"/>
      <c r="AV284" s="26"/>
      <c r="AW284" s="26"/>
      <c r="AX284" s="26"/>
      <c r="AY284" s="1"/>
      <c r="AZ284" s="26"/>
      <c r="BA284" s="26"/>
      <c r="BB284" s="26"/>
      <c r="BC284" s="26"/>
      <c r="BD284" s="26"/>
      <c r="BE284" s="26"/>
      <c r="BF284" s="26"/>
      <c r="BG284" s="26"/>
      <c r="BH284" s="26"/>
      <c r="BI284" s="26"/>
      <c r="BJ284" s="26"/>
      <c r="BK284" s="26"/>
      <c r="BL284" s="26"/>
      <c r="BM284" s="26"/>
      <c r="BN284" s="26"/>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96"/>
      <c r="CP284" s="14"/>
      <c r="CQ284" s="14"/>
      <c r="CR284" s="14"/>
      <c r="CS284" s="14"/>
      <c r="CT284" s="1"/>
      <c r="CU284" s="14"/>
      <c r="CV284" s="1"/>
      <c r="CW284" s="1"/>
      <c r="CX284" s="14"/>
      <c r="CY284" s="1"/>
      <c r="CZ284" s="1"/>
      <c r="DA284" s="1"/>
      <c r="DB284" s="1"/>
      <c r="DC284" s="1"/>
      <c r="DD284" s="1"/>
      <c r="DE284" s="1"/>
      <c r="DF284" s="1"/>
      <c r="DG284" s="1"/>
      <c r="DH284" s="1"/>
      <c r="DI284" s="1"/>
      <c r="DJ284" s="1"/>
      <c r="DK284" s="1"/>
      <c r="DL284" s="1"/>
      <c r="DM284" s="1"/>
      <c r="DN284" s="1"/>
      <c r="DO284" s="1"/>
      <c r="DP284" s="1"/>
      <c r="DQ284" s="1"/>
      <c r="DR284" s="1"/>
      <c r="DS284" s="1"/>
      <c r="DT284" s="1"/>
      <c r="DU284" s="14"/>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29"/>
    </row>
    <row r="285" spans="1:160" x14ac:dyDescent="0.25">
      <c r="A285" s="5"/>
      <c r="B285" s="1"/>
      <c r="C285" s="98"/>
      <c r="D285" s="98"/>
      <c r="E285" s="1"/>
      <c r="F285" s="22"/>
      <c r="G285" s="22"/>
      <c r="H285" s="22"/>
      <c r="I285" s="22"/>
      <c r="J285" s="22"/>
      <c r="K285" s="22"/>
      <c r="L285" s="22"/>
      <c r="M285" s="22"/>
      <c r="N285" s="22"/>
      <c r="O285" s="22"/>
      <c r="P285" s="22"/>
      <c r="Q285" s="22"/>
      <c r="R285" s="1"/>
      <c r="S285" s="1"/>
      <c r="T285" s="8"/>
      <c r="U285" s="1"/>
      <c r="V285" s="1"/>
      <c r="W285" s="1"/>
      <c r="X285" s="1"/>
      <c r="Y285" s="1"/>
      <c r="Z285" s="1"/>
      <c r="AA285" s="1"/>
      <c r="AC285" s="1"/>
      <c r="AD285" s="1"/>
      <c r="AE285" s="1"/>
      <c r="AF285" s="1"/>
      <c r="AG285" s="1"/>
      <c r="AH285" s="26"/>
      <c r="AI285" s="26"/>
      <c r="AJ285" s="26"/>
      <c r="AK285" s="26"/>
      <c r="AL285" s="26"/>
      <c r="AM285" s="26"/>
      <c r="AN285" s="26"/>
      <c r="AO285" s="26"/>
      <c r="AP285" s="26"/>
      <c r="AQ285" s="26"/>
      <c r="AR285" s="26"/>
      <c r="AS285" s="26"/>
      <c r="AT285" s="26"/>
      <c r="AU285" s="26"/>
      <c r="AV285" s="26"/>
      <c r="AW285" s="26"/>
      <c r="AX285" s="26"/>
      <c r="AY285" s="1"/>
      <c r="AZ285" s="26"/>
      <c r="BA285" s="26"/>
      <c r="BB285" s="26"/>
      <c r="BC285" s="26"/>
      <c r="BD285" s="26"/>
      <c r="BE285" s="26"/>
      <c r="BF285" s="26"/>
      <c r="BG285" s="26"/>
      <c r="BH285" s="26"/>
      <c r="BI285" s="26"/>
      <c r="BJ285" s="26"/>
      <c r="BK285" s="26"/>
      <c r="BL285" s="26"/>
      <c r="BM285" s="26"/>
      <c r="BN285" s="26"/>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96"/>
      <c r="CP285" s="14"/>
      <c r="CQ285" s="14"/>
      <c r="CR285" s="14"/>
      <c r="CS285" s="14"/>
      <c r="CT285" s="1"/>
      <c r="CU285" s="14"/>
      <c r="CV285" s="1"/>
      <c r="CW285" s="1"/>
      <c r="CX285" s="14"/>
      <c r="CY285" s="1"/>
      <c r="CZ285" s="1"/>
      <c r="DA285" s="1"/>
      <c r="DB285" s="1"/>
      <c r="DC285" s="1"/>
      <c r="DD285" s="1"/>
      <c r="DE285" s="1"/>
      <c r="DF285" s="1"/>
      <c r="DG285" s="1"/>
      <c r="DH285" s="1"/>
      <c r="DI285" s="1"/>
      <c r="DJ285" s="1"/>
      <c r="DK285" s="1"/>
      <c r="DL285" s="1"/>
      <c r="DM285" s="1"/>
      <c r="DN285" s="1"/>
      <c r="DO285" s="1"/>
      <c r="DP285" s="1"/>
      <c r="DQ285" s="1"/>
      <c r="DR285" s="1"/>
      <c r="DS285" s="1"/>
      <c r="DT285" s="1"/>
      <c r="DU285" s="14"/>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29"/>
    </row>
    <row r="286" spans="1:160" x14ac:dyDescent="0.25">
      <c r="A286" s="5"/>
      <c r="B286" s="1"/>
      <c r="C286" s="98"/>
      <c r="D286" s="98"/>
      <c r="E286" s="1"/>
      <c r="F286" s="22"/>
      <c r="G286" s="22"/>
      <c r="H286" s="22"/>
      <c r="I286" s="22"/>
      <c r="J286" s="22"/>
      <c r="K286" s="22"/>
      <c r="L286" s="22"/>
      <c r="M286" s="22"/>
      <c r="N286" s="22"/>
      <c r="O286" s="22"/>
      <c r="P286" s="22"/>
      <c r="Q286" s="22"/>
      <c r="R286" s="1"/>
      <c r="S286" s="1"/>
      <c r="T286" s="8"/>
      <c r="U286" s="1"/>
      <c r="V286" s="1"/>
      <c r="W286" s="1"/>
      <c r="X286" s="1"/>
      <c r="Y286" s="1"/>
      <c r="Z286" s="1"/>
      <c r="AA286" s="1"/>
      <c r="AC286" s="1"/>
      <c r="AD286" s="1"/>
      <c r="AE286" s="1"/>
      <c r="AF286" s="1"/>
      <c r="AG286" s="1"/>
      <c r="AH286" s="26"/>
      <c r="AI286" s="26"/>
      <c r="AJ286" s="26"/>
      <c r="AK286" s="26"/>
      <c r="AL286" s="26"/>
      <c r="AM286" s="26"/>
      <c r="AN286" s="26"/>
      <c r="AO286" s="26"/>
      <c r="AP286" s="26"/>
      <c r="AQ286" s="26"/>
      <c r="AR286" s="26"/>
      <c r="AS286" s="26"/>
      <c r="AT286" s="26"/>
      <c r="AU286" s="26"/>
      <c r="AV286" s="26"/>
      <c r="AW286" s="26"/>
      <c r="AX286" s="26"/>
      <c r="AY286" s="1"/>
      <c r="AZ286" s="26"/>
      <c r="BA286" s="26"/>
      <c r="BB286" s="26"/>
      <c r="BC286" s="26"/>
      <c r="BD286" s="26"/>
      <c r="BE286" s="26"/>
      <c r="BF286" s="26"/>
      <c r="BG286" s="26"/>
      <c r="BH286" s="26"/>
      <c r="BI286" s="26"/>
      <c r="BJ286" s="26"/>
      <c r="BK286" s="26"/>
      <c r="BL286" s="26"/>
      <c r="BM286" s="26"/>
      <c r="BN286" s="26"/>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96"/>
      <c r="CP286" s="14"/>
      <c r="CQ286" s="14"/>
      <c r="CR286" s="14"/>
      <c r="CS286" s="14"/>
      <c r="CT286" s="1"/>
      <c r="CU286" s="14"/>
      <c r="CV286" s="1"/>
      <c r="CW286" s="1"/>
      <c r="CX286" s="14"/>
      <c r="CY286" s="1"/>
      <c r="CZ286" s="1"/>
      <c r="DA286" s="1"/>
      <c r="DB286" s="1"/>
      <c r="DC286" s="1"/>
      <c r="DD286" s="1"/>
      <c r="DE286" s="1"/>
      <c r="DF286" s="1"/>
      <c r="DG286" s="1"/>
      <c r="DH286" s="1"/>
      <c r="DI286" s="1"/>
      <c r="DJ286" s="1"/>
      <c r="DK286" s="1"/>
      <c r="DL286" s="1"/>
      <c r="DM286" s="1"/>
      <c r="DN286" s="1"/>
      <c r="DO286" s="1"/>
      <c r="DP286" s="1"/>
      <c r="DQ286" s="1"/>
      <c r="DR286" s="1"/>
      <c r="DS286" s="1"/>
      <c r="DT286" s="1"/>
      <c r="DU286" s="14"/>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29"/>
    </row>
    <row r="287" spans="1:160" x14ac:dyDescent="0.25">
      <c r="A287" s="5"/>
      <c r="B287" s="1"/>
      <c r="C287" s="98"/>
      <c r="D287" s="98"/>
      <c r="E287" s="1"/>
      <c r="F287" s="22"/>
      <c r="G287" s="22"/>
      <c r="H287" s="22"/>
      <c r="I287" s="22"/>
      <c r="J287" s="22"/>
      <c r="K287" s="22"/>
      <c r="L287" s="22"/>
      <c r="M287" s="22"/>
      <c r="N287" s="22"/>
      <c r="O287" s="22"/>
      <c r="P287" s="22"/>
      <c r="Q287" s="22"/>
      <c r="R287" s="1"/>
      <c r="S287" s="1"/>
      <c r="T287" s="8"/>
      <c r="U287" s="1"/>
      <c r="V287" s="1"/>
      <c r="W287" s="1"/>
      <c r="X287" s="1"/>
      <c r="Y287" s="1"/>
      <c r="Z287" s="1"/>
      <c r="AA287" s="1"/>
      <c r="AC287" s="1"/>
      <c r="AD287" s="1"/>
      <c r="AE287" s="1"/>
      <c r="AF287" s="1"/>
      <c r="AG287" s="1"/>
      <c r="AH287" s="26"/>
      <c r="AI287" s="26"/>
      <c r="AJ287" s="26"/>
      <c r="AK287" s="26"/>
      <c r="AL287" s="26"/>
      <c r="AM287" s="26"/>
      <c r="AN287" s="26"/>
      <c r="AO287" s="26"/>
      <c r="AP287" s="26"/>
      <c r="AQ287" s="26"/>
      <c r="AR287" s="26"/>
      <c r="AS287" s="26"/>
      <c r="AT287" s="26"/>
      <c r="AU287" s="26"/>
      <c r="AV287" s="26"/>
      <c r="AW287" s="26"/>
      <c r="AX287" s="26"/>
      <c r="AY287" s="1"/>
      <c r="AZ287" s="26"/>
      <c r="BA287" s="26"/>
      <c r="BB287" s="26"/>
      <c r="BC287" s="26"/>
      <c r="BD287" s="26"/>
      <c r="BE287" s="26"/>
      <c r="BF287" s="26"/>
      <c r="BG287" s="26"/>
      <c r="BH287" s="26"/>
      <c r="BI287" s="26"/>
      <c r="BJ287" s="26"/>
      <c r="BK287" s="26"/>
      <c r="BL287" s="26"/>
      <c r="BM287" s="26"/>
      <c r="BN287" s="26"/>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96"/>
      <c r="CP287" s="14"/>
      <c r="CQ287" s="14"/>
      <c r="CR287" s="14"/>
      <c r="CS287" s="14"/>
      <c r="CT287" s="1"/>
      <c r="CU287" s="14"/>
      <c r="CV287" s="1"/>
      <c r="CW287" s="1"/>
      <c r="CX287" s="14"/>
      <c r="CY287" s="1"/>
      <c r="CZ287" s="1"/>
      <c r="DA287" s="1"/>
      <c r="DB287" s="1"/>
      <c r="DC287" s="1"/>
      <c r="DD287" s="1"/>
      <c r="DE287" s="1"/>
      <c r="DF287" s="1"/>
      <c r="DG287" s="1"/>
      <c r="DH287" s="1"/>
      <c r="DI287" s="1"/>
      <c r="DJ287" s="1"/>
      <c r="DK287" s="1"/>
      <c r="DL287" s="1"/>
      <c r="DM287" s="1"/>
      <c r="DN287" s="1"/>
      <c r="DO287" s="1"/>
      <c r="DP287" s="1"/>
      <c r="DQ287" s="1"/>
      <c r="DR287" s="1"/>
      <c r="DS287" s="1"/>
      <c r="DT287" s="1"/>
      <c r="DU287" s="14"/>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29"/>
    </row>
    <row r="288" spans="1:160" x14ac:dyDescent="0.25">
      <c r="A288" s="5"/>
      <c r="B288" s="1"/>
      <c r="C288" s="98"/>
      <c r="D288" s="98"/>
      <c r="E288" s="1"/>
      <c r="F288" s="22"/>
      <c r="G288" s="22"/>
      <c r="H288" s="22"/>
      <c r="I288" s="22"/>
      <c r="J288" s="22"/>
      <c r="K288" s="22"/>
      <c r="L288" s="22"/>
      <c r="M288" s="22"/>
      <c r="N288" s="22"/>
      <c r="O288" s="22"/>
      <c r="P288" s="22"/>
      <c r="Q288" s="22"/>
      <c r="R288" s="1"/>
      <c r="S288" s="1"/>
      <c r="T288" s="8"/>
      <c r="U288" s="1"/>
      <c r="V288" s="1"/>
      <c r="W288" s="1"/>
      <c r="X288" s="1"/>
      <c r="Y288" s="1"/>
      <c r="Z288" s="1"/>
      <c r="AA288" s="1"/>
      <c r="AC288" s="1"/>
      <c r="AD288" s="1"/>
      <c r="AE288" s="1"/>
      <c r="AF288" s="1"/>
      <c r="AG288" s="1"/>
      <c r="AH288" s="26"/>
      <c r="AI288" s="26"/>
      <c r="AJ288" s="26"/>
      <c r="AK288" s="26"/>
      <c r="AL288" s="26"/>
      <c r="AM288" s="26"/>
      <c r="AN288" s="26"/>
      <c r="AO288" s="26"/>
      <c r="AP288" s="26"/>
      <c r="AQ288" s="26"/>
      <c r="AR288" s="26"/>
      <c r="AS288" s="26"/>
      <c r="AT288" s="26"/>
      <c r="AU288" s="26"/>
      <c r="AV288" s="26"/>
      <c r="AW288" s="26"/>
      <c r="AX288" s="26"/>
      <c r="AY288" s="1"/>
      <c r="AZ288" s="26"/>
      <c r="BA288" s="26"/>
      <c r="BB288" s="26"/>
      <c r="BC288" s="26"/>
      <c r="BD288" s="26"/>
      <c r="BE288" s="26"/>
      <c r="BF288" s="26"/>
      <c r="BG288" s="26"/>
      <c r="BH288" s="26"/>
      <c r="BI288" s="26"/>
      <c r="BJ288" s="26"/>
      <c r="BK288" s="26"/>
      <c r="BL288" s="26"/>
      <c r="BM288" s="26"/>
      <c r="BN288" s="26"/>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96"/>
      <c r="CP288" s="14"/>
      <c r="CQ288" s="14"/>
      <c r="CR288" s="14"/>
      <c r="CS288" s="14"/>
      <c r="CT288" s="1"/>
      <c r="CU288" s="14"/>
      <c r="CV288" s="1"/>
      <c r="CW288" s="1"/>
      <c r="CX288" s="14"/>
      <c r="CY288" s="1"/>
      <c r="CZ288" s="1"/>
      <c r="DA288" s="1"/>
      <c r="DB288" s="1"/>
      <c r="DC288" s="1"/>
      <c r="DD288" s="1"/>
      <c r="DE288" s="1"/>
      <c r="DF288" s="1"/>
      <c r="DG288" s="1"/>
      <c r="DH288" s="1"/>
      <c r="DI288" s="1"/>
      <c r="DJ288" s="1"/>
      <c r="DK288" s="1"/>
      <c r="DL288" s="1"/>
      <c r="DM288" s="1"/>
      <c r="DN288" s="1"/>
      <c r="DO288" s="1"/>
      <c r="DP288" s="1"/>
      <c r="DQ288" s="1"/>
      <c r="DR288" s="1"/>
      <c r="DS288" s="1"/>
      <c r="DT288" s="1"/>
      <c r="DU288" s="14"/>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29"/>
    </row>
    <row r="289" spans="1:160" x14ac:dyDescent="0.25">
      <c r="A289" s="5"/>
      <c r="B289" s="1"/>
      <c r="C289" s="98"/>
      <c r="D289" s="98"/>
      <c r="E289" s="1"/>
      <c r="F289" s="22"/>
      <c r="G289" s="22"/>
      <c r="H289" s="22"/>
      <c r="I289" s="22"/>
      <c r="J289" s="22"/>
      <c r="K289" s="22"/>
      <c r="L289" s="22"/>
      <c r="M289" s="22"/>
      <c r="N289" s="22"/>
      <c r="O289" s="22"/>
      <c r="P289" s="22"/>
      <c r="Q289" s="22"/>
      <c r="R289" s="1"/>
      <c r="S289" s="1"/>
      <c r="T289" s="8"/>
      <c r="U289" s="1"/>
      <c r="V289" s="1"/>
      <c r="W289" s="1"/>
      <c r="X289" s="1"/>
      <c r="Y289" s="1"/>
      <c r="Z289" s="1"/>
      <c r="AA289" s="1"/>
      <c r="AC289" s="1"/>
      <c r="AD289" s="1"/>
      <c r="AE289" s="1"/>
      <c r="AF289" s="1"/>
      <c r="AG289" s="1"/>
      <c r="AH289" s="26"/>
      <c r="AI289" s="26"/>
      <c r="AJ289" s="26"/>
      <c r="AK289" s="26"/>
      <c r="AL289" s="26"/>
      <c r="AM289" s="26"/>
      <c r="AN289" s="26"/>
      <c r="AO289" s="26"/>
      <c r="AP289" s="26"/>
      <c r="AQ289" s="26"/>
      <c r="AR289" s="26"/>
      <c r="AS289" s="26"/>
      <c r="AT289" s="26"/>
      <c r="AU289" s="26"/>
      <c r="AV289" s="26"/>
      <c r="AW289" s="26"/>
      <c r="AX289" s="26"/>
      <c r="AY289" s="1"/>
      <c r="AZ289" s="26"/>
      <c r="BA289" s="26"/>
      <c r="BB289" s="26"/>
      <c r="BC289" s="26"/>
      <c r="BD289" s="26"/>
      <c r="BE289" s="26"/>
      <c r="BF289" s="26"/>
      <c r="BG289" s="26"/>
      <c r="BH289" s="26"/>
      <c r="BI289" s="26"/>
      <c r="BJ289" s="26"/>
      <c r="BK289" s="26"/>
      <c r="BL289" s="26"/>
      <c r="BM289" s="26"/>
      <c r="BN289" s="26"/>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96"/>
      <c r="CP289" s="14"/>
      <c r="CQ289" s="14"/>
      <c r="CR289" s="14"/>
      <c r="CS289" s="14"/>
      <c r="CT289" s="1"/>
      <c r="CU289" s="14"/>
      <c r="CV289" s="1"/>
      <c r="CW289" s="1"/>
      <c r="CX289" s="14"/>
      <c r="CY289" s="1"/>
      <c r="CZ289" s="1"/>
      <c r="DA289" s="1"/>
      <c r="DB289" s="1"/>
      <c r="DC289" s="1"/>
      <c r="DD289" s="1"/>
      <c r="DE289" s="1"/>
      <c r="DF289" s="1"/>
      <c r="DG289" s="1"/>
      <c r="DH289" s="1"/>
      <c r="DI289" s="1"/>
      <c r="DJ289" s="1"/>
      <c r="DK289" s="1"/>
      <c r="DL289" s="1"/>
      <c r="DM289" s="1"/>
      <c r="DN289" s="1"/>
      <c r="DO289" s="1"/>
      <c r="DP289" s="1"/>
      <c r="DQ289" s="1"/>
      <c r="DR289" s="1"/>
      <c r="DS289" s="1"/>
      <c r="DT289" s="1"/>
      <c r="DU289" s="14"/>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29"/>
    </row>
    <row r="290" spans="1:160" x14ac:dyDescent="0.25">
      <c r="A290" s="5"/>
      <c r="B290" s="1"/>
      <c r="C290" s="98"/>
      <c r="D290" s="98"/>
      <c r="E290" s="1"/>
      <c r="F290" s="22"/>
      <c r="G290" s="22"/>
      <c r="H290" s="22"/>
      <c r="I290" s="22"/>
      <c r="J290" s="22"/>
      <c r="K290" s="22"/>
      <c r="L290" s="22"/>
      <c r="M290" s="22"/>
      <c r="N290" s="22"/>
      <c r="O290" s="22"/>
      <c r="P290" s="22"/>
      <c r="Q290" s="22"/>
      <c r="R290" s="1"/>
      <c r="S290" s="1"/>
      <c r="T290" s="8"/>
      <c r="U290" s="1"/>
      <c r="V290" s="1"/>
      <c r="W290" s="1"/>
      <c r="X290" s="1"/>
      <c r="Y290" s="1"/>
      <c r="Z290" s="1"/>
      <c r="AA290" s="1"/>
      <c r="AC290" s="1"/>
      <c r="AD290" s="1"/>
      <c r="AE290" s="1"/>
      <c r="AF290" s="1"/>
      <c r="AG290" s="1"/>
      <c r="AH290" s="26"/>
      <c r="AI290" s="26"/>
      <c r="AJ290" s="26"/>
      <c r="AK290" s="26"/>
      <c r="AL290" s="26"/>
      <c r="AM290" s="26"/>
      <c r="AN290" s="26"/>
      <c r="AO290" s="26"/>
      <c r="AP290" s="26"/>
      <c r="AQ290" s="26"/>
      <c r="AR290" s="26"/>
      <c r="AS290" s="26"/>
      <c r="AT290" s="26"/>
      <c r="AU290" s="26"/>
      <c r="AV290" s="26"/>
      <c r="AW290" s="26"/>
      <c r="AX290" s="26"/>
      <c r="AY290" s="1"/>
      <c r="AZ290" s="26"/>
      <c r="BA290" s="26"/>
      <c r="BB290" s="26"/>
      <c r="BC290" s="26"/>
      <c r="BD290" s="26"/>
      <c r="BE290" s="26"/>
      <c r="BF290" s="26"/>
      <c r="BG290" s="26"/>
      <c r="BH290" s="26"/>
      <c r="BI290" s="26"/>
      <c r="BJ290" s="26"/>
      <c r="BK290" s="26"/>
      <c r="BL290" s="26"/>
      <c r="BM290" s="26"/>
      <c r="BN290" s="26"/>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96"/>
      <c r="CP290" s="14"/>
      <c r="CQ290" s="14"/>
      <c r="CR290" s="14"/>
      <c r="CS290" s="14"/>
      <c r="CT290" s="1"/>
      <c r="CU290" s="14"/>
      <c r="CV290" s="1"/>
      <c r="CW290" s="1"/>
      <c r="CX290" s="14"/>
      <c r="CY290" s="1"/>
      <c r="CZ290" s="1"/>
      <c r="DA290" s="1"/>
      <c r="DB290" s="1"/>
      <c r="DC290" s="1"/>
      <c r="DD290" s="1"/>
      <c r="DE290" s="1"/>
      <c r="DF290" s="1"/>
      <c r="DG290" s="1"/>
      <c r="DH290" s="1"/>
      <c r="DI290" s="1"/>
      <c r="DJ290" s="1"/>
      <c r="DK290" s="1"/>
      <c r="DL290" s="1"/>
      <c r="DM290" s="1"/>
      <c r="DN290" s="1"/>
      <c r="DO290" s="1"/>
      <c r="DP290" s="1"/>
      <c r="DQ290" s="1"/>
      <c r="DR290" s="1"/>
      <c r="DS290" s="1"/>
      <c r="DT290" s="1"/>
      <c r="DU290" s="14"/>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29"/>
    </row>
    <row r="291" spans="1:160" x14ac:dyDescent="0.25">
      <c r="A291" s="5"/>
      <c r="B291" s="1"/>
      <c r="C291" s="98"/>
      <c r="D291" s="98"/>
      <c r="E291" s="1"/>
      <c r="F291" s="22"/>
      <c r="G291" s="22"/>
      <c r="H291" s="22"/>
      <c r="I291" s="22"/>
      <c r="J291" s="22"/>
      <c r="K291" s="22"/>
      <c r="L291" s="22"/>
      <c r="M291" s="22"/>
      <c r="N291" s="22"/>
      <c r="O291" s="22"/>
      <c r="P291" s="22"/>
      <c r="Q291" s="22"/>
      <c r="R291" s="1"/>
      <c r="S291" s="1"/>
      <c r="T291" s="8"/>
      <c r="U291" s="1"/>
      <c r="V291" s="1"/>
      <c r="W291" s="1"/>
      <c r="X291" s="1"/>
      <c r="Y291" s="1"/>
      <c r="Z291" s="1"/>
      <c r="AA291" s="1"/>
      <c r="AC291" s="1"/>
      <c r="AD291" s="1"/>
      <c r="AE291" s="1"/>
      <c r="AF291" s="1"/>
      <c r="AG291" s="1"/>
      <c r="AH291" s="26"/>
      <c r="AI291" s="26"/>
      <c r="AJ291" s="26"/>
      <c r="AK291" s="26"/>
      <c r="AL291" s="26"/>
      <c r="AM291" s="26"/>
      <c r="AN291" s="26"/>
      <c r="AO291" s="26"/>
      <c r="AP291" s="26"/>
      <c r="AQ291" s="26"/>
      <c r="AR291" s="26"/>
      <c r="AS291" s="26"/>
      <c r="AT291" s="26"/>
      <c r="AU291" s="26"/>
      <c r="AV291" s="26"/>
      <c r="AW291" s="26"/>
      <c r="AX291" s="26"/>
      <c r="AY291" s="1"/>
      <c r="AZ291" s="26"/>
      <c r="BA291" s="26"/>
      <c r="BB291" s="26"/>
      <c r="BC291" s="26"/>
      <c r="BD291" s="26"/>
      <c r="BE291" s="26"/>
      <c r="BF291" s="26"/>
      <c r="BG291" s="26"/>
      <c r="BH291" s="26"/>
      <c r="BI291" s="26"/>
      <c r="BJ291" s="26"/>
      <c r="BK291" s="26"/>
      <c r="BL291" s="26"/>
      <c r="BM291" s="26"/>
      <c r="BN291" s="26"/>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96"/>
      <c r="CP291" s="14"/>
      <c r="CQ291" s="14"/>
      <c r="CR291" s="14"/>
      <c r="CS291" s="14"/>
      <c r="CT291" s="1"/>
      <c r="CU291" s="14"/>
      <c r="CV291" s="1"/>
      <c r="CW291" s="1"/>
      <c r="CX291" s="14"/>
      <c r="CY291" s="1"/>
      <c r="CZ291" s="1"/>
      <c r="DA291" s="1"/>
      <c r="DB291" s="1"/>
      <c r="DC291" s="1"/>
      <c r="DD291" s="1"/>
      <c r="DE291" s="1"/>
      <c r="DF291" s="1"/>
      <c r="DG291" s="1"/>
      <c r="DH291" s="1"/>
      <c r="DI291" s="1"/>
      <c r="DJ291" s="1"/>
      <c r="DK291" s="1"/>
      <c r="DL291" s="1"/>
      <c r="DM291" s="1"/>
      <c r="DN291" s="1"/>
      <c r="DO291" s="1"/>
      <c r="DP291" s="1"/>
      <c r="DQ291" s="1"/>
      <c r="DR291" s="1"/>
      <c r="DS291" s="1"/>
      <c r="DT291" s="1"/>
      <c r="DU291" s="14"/>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29"/>
    </row>
    <row r="292" spans="1:160" x14ac:dyDescent="0.25">
      <c r="A292" s="5"/>
      <c r="B292" s="1"/>
      <c r="C292" s="98"/>
      <c r="D292" s="98"/>
      <c r="E292" s="1"/>
      <c r="F292" s="22"/>
      <c r="G292" s="22"/>
      <c r="H292" s="22"/>
      <c r="I292" s="22"/>
      <c r="J292" s="22"/>
      <c r="K292" s="22"/>
      <c r="L292" s="22"/>
      <c r="M292" s="22"/>
      <c r="N292" s="22"/>
      <c r="O292" s="22"/>
      <c r="P292" s="22"/>
      <c r="Q292" s="22"/>
      <c r="R292" s="1"/>
      <c r="S292" s="1"/>
      <c r="T292" s="8"/>
      <c r="U292" s="1"/>
      <c r="V292" s="1"/>
      <c r="W292" s="1"/>
      <c r="X292" s="1"/>
      <c r="Y292" s="1"/>
      <c r="Z292" s="1"/>
      <c r="AA292" s="1"/>
      <c r="AC292" s="1"/>
      <c r="AD292" s="1"/>
      <c r="AE292" s="1"/>
      <c r="AF292" s="1"/>
      <c r="AG292" s="1"/>
      <c r="AH292" s="26"/>
      <c r="AI292" s="26"/>
      <c r="AJ292" s="26"/>
      <c r="AK292" s="26"/>
      <c r="AL292" s="26"/>
      <c r="AM292" s="26"/>
      <c r="AN292" s="26"/>
      <c r="AO292" s="26"/>
      <c r="AP292" s="26"/>
      <c r="AQ292" s="26"/>
      <c r="AR292" s="26"/>
      <c r="AS292" s="26"/>
      <c r="AT292" s="26"/>
      <c r="AU292" s="26"/>
      <c r="AV292" s="26"/>
      <c r="AW292" s="26"/>
      <c r="AX292" s="26"/>
      <c r="AY292" s="1"/>
      <c r="AZ292" s="26"/>
      <c r="BA292" s="26"/>
      <c r="BB292" s="26"/>
      <c r="BC292" s="26"/>
      <c r="BD292" s="26"/>
      <c r="BE292" s="26"/>
      <c r="BF292" s="26"/>
      <c r="BG292" s="26"/>
      <c r="BH292" s="26"/>
      <c r="BI292" s="26"/>
      <c r="BJ292" s="26"/>
      <c r="BK292" s="26"/>
      <c r="BL292" s="26"/>
      <c r="BM292" s="26"/>
      <c r="BN292" s="26"/>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96"/>
      <c r="CP292" s="14"/>
      <c r="CQ292" s="14"/>
      <c r="CR292" s="14"/>
      <c r="CS292" s="14"/>
      <c r="CT292" s="1"/>
      <c r="CU292" s="14"/>
      <c r="CV292" s="1"/>
      <c r="CW292" s="1"/>
      <c r="CX292" s="14"/>
      <c r="CY292" s="1"/>
      <c r="CZ292" s="1"/>
      <c r="DA292" s="1"/>
      <c r="DB292" s="1"/>
      <c r="DC292" s="1"/>
      <c r="DD292" s="1"/>
      <c r="DE292" s="1"/>
      <c r="DF292" s="1"/>
      <c r="DG292" s="1"/>
      <c r="DH292" s="1"/>
      <c r="DI292" s="1"/>
      <c r="DJ292" s="1"/>
      <c r="DK292" s="1"/>
      <c r="DL292" s="1"/>
      <c r="DM292" s="1"/>
      <c r="DN292" s="1"/>
      <c r="DO292" s="1"/>
      <c r="DP292" s="1"/>
      <c r="DQ292" s="1"/>
      <c r="DR292" s="1"/>
      <c r="DS292" s="1"/>
      <c r="DT292" s="1"/>
      <c r="DU292" s="14"/>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29"/>
    </row>
    <row r="293" spans="1:160" x14ac:dyDescent="0.25">
      <c r="A293" s="5"/>
      <c r="B293" s="1"/>
      <c r="C293" s="98"/>
      <c r="D293" s="98"/>
      <c r="E293" s="1"/>
      <c r="F293" s="22"/>
      <c r="G293" s="22"/>
      <c r="H293" s="22"/>
      <c r="I293" s="22"/>
      <c r="J293" s="22"/>
      <c r="K293" s="22"/>
      <c r="L293" s="22"/>
      <c r="M293" s="22"/>
      <c r="N293" s="22"/>
      <c r="O293" s="22"/>
      <c r="P293" s="22"/>
      <c r="Q293" s="22"/>
      <c r="R293" s="1"/>
      <c r="S293" s="1"/>
      <c r="T293" s="8"/>
      <c r="U293" s="1"/>
      <c r="V293" s="1"/>
      <c r="W293" s="1"/>
      <c r="X293" s="1"/>
      <c r="Y293" s="1"/>
      <c r="Z293" s="1"/>
      <c r="AA293" s="1"/>
      <c r="AC293" s="1"/>
      <c r="AD293" s="1"/>
      <c r="AE293" s="1"/>
      <c r="AF293" s="1"/>
      <c r="AG293" s="1"/>
      <c r="AH293" s="26"/>
      <c r="AI293" s="26"/>
      <c r="AJ293" s="26"/>
      <c r="AK293" s="26"/>
      <c r="AL293" s="26"/>
      <c r="AM293" s="26"/>
      <c r="AN293" s="26"/>
      <c r="AO293" s="26"/>
      <c r="AP293" s="26"/>
      <c r="AQ293" s="26"/>
      <c r="AR293" s="26"/>
      <c r="AS293" s="26"/>
      <c r="AT293" s="26"/>
      <c r="AU293" s="26"/>
      <c r="AV293" s="26"/>
      <c r="AW293" s="26"/>
      <c r="AX293" s="26"/>
      <c r="AY293" s="1"/>
      <c r="AZ293" s="26"/>
      <c r="BA293" s="26"/>
      <c r="BB293" s="26"/>
      <c r="BC293" s="26"/>
      <c r="BD293" s="26"/>
      <c r="BE293" s="26"/>
      <c r="BF293" s="26"/>
      <c r="BG293" s="26"/>
      <c r="BH293" s="26"/>
      <c r="BI293" s="26"/>
      <c r="BJ293" s="26"/>
      <c r="BK293" s="26"/>
      <c r="BL293" s="26"/>
      <c r="BM293" s="26"/>
      <c r="BN293" s="26"/>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96"/>
      <c r="CP293" s="14"/>
      <c r="CQ293" s="14"/>
      <c r="CR293" s="14"/>
      <c r="CS293" s="14"/>
      <c r="CT293" s="1"/>
      <c r="CU293" s="14"/>
      <c r="CV293" s="1"/>
      <c r="CW293" s="1"/>
      <c r="CX293" s="14"/>
      <c r="CY293" s="1"/>
      <c r="CZ293" s="1"/>
      <c r="DA293" s="1"/>
      <c r="DB293" s="1"/>
      <c r="DC293" s="1"/>
      <c r="DD293" s="1"/>
      <c r="DE293" s="1"/>
      <c r="DF293" s="1"/>
      <c r="DG293" s="1"/>
      <c r="DH293" s="1"/>
      <c r="DI293" s="1"/>
      <c r="DJ293" s="1"/>
      <c r="DK293" s="1"/>
      <c r="DL293" s="1"/>
      <c r="DM293" s="1"/>
      <c r="DN293" s="1"/>
      <c r="DO293" s="1"/>
      <c r="DP293" s="1"/>
      <c r="DQ293" s="1"/>
      <c r="DR293" s="1"/>
      <c r="DS293" s="1"/>
      <c r="DT293" s="1"/>
      <c r="DU293" s="14"/>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29"/>
    </row>
    <row r="294" spans="1:160" x14ac:dyDescent="0.25">
      <c r="A294" s="5"/>
      <c r="B294" s="1"/>
      <c r="C294" s="98"/>
      <c r="D294" s="98"/>
      <c r="E294" s="1"/>
      <c r="F294" s="22"/>
      <c r="G294" s="22"/>
      <c r="H294" s="22"/>
      <c r="I294" s="22"/>
      <c r="J294" s="22"/>
      <c r="K294" s="22"/>
      <c r="L294" s="22"/>
      <c r="M294" s="22"/>
      <c r="N294" s="22"/>
      <c r="O294" s="22"/>
      <c r="P294" s="22"/>
      <c r="Q294" s="22"/>
      <c r="R294" s="1"/>
      <c r="S294" s="1"/>
      <c r="T294" s="8"/>
      <c r="U294" s="1"/>
      <c r="V294" s="1"/>
      <c r="W294" s="1"/>
      <c r="X294" s="1"/>
      <c r="Y294" s="1"/>
      <c r="Z294" s="1"/>
      <c r="AA294" s="1"/>
      <c r="AC294" s="1"/>
      <c r="AD294" s="1"/>
      <c r="AE294" s="1"/>
      <c r="AF294" s="1"/>
      <c r="AG294" s="1"/>
      <c r="AH294" s="26"/>
      <c r="AI294" s="26"/>
      <c r="AJ294" s="26"/>
      <c r="AK294" s="26"/>
      <c r="AL294" s="26"/>
      <c r="AM294" s="26"/>
      <c r="AN294" s="26"/>
      <c r="AO294" s="26"/>
      <c r="AP294" s="26"/>
      <c r="AQ294" s="26"/>
      <c r="AR294" s="26"/>
      <c r="AS294" s="26"/>
      <c r="AT294" s="26"/>
      <c r="AU294" s="26"/>
      <c r="AV294" s="26"/>
      <c r="AW294" s="26"/>
      <c r="AX294" s="26"/>
      <c r="AY294" s="1"/>
      <c r="AZ294" s="26"/>
      <c r="BA294" s="26"/>
      <c r="BB294" s="26"/>
      <c r="BC294" s="26"/>
      <c r="BD294" s="26"/>
      <c r="BE294" s="26"/>
      <c r="BF294" s="26"/>
      <c r="BG294" s="26"/>
      <c r="BH294" s="26"/>
      <c r="BI294" s="26"/>
      <c r="BJ294" s="26"/>
      <c r="BK294" s="26"/>
      <c r="BL294" s="26"/>
      <c r="BM294" s="26"/>
      <c r="BN294" s="26"/>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96"/>
      <c r="CP294" s="14"/>
      <c r="CQ294" s="14"/>
      <c r="CR294" s="14"/>
      <c r="CS294" s="14"/>
      <c r="CT294" s="1"/>
      <c r="CU294" s="14"/>
      <c r="CV294" s="1"/>
      <c r="CW294" s="1"/>
      <c r="CX294" s="14"/>
      <c r="CY294" s="1"/>
      <c r="CZ294" s="1"/>
      <c r="DA294" s="1"/>
      <c r="DB294" s="1"/>
      <c r="DC294" s="1"/>
      <c r="DD294" s="1"/>
      <c r="DE294" s="1"/>
      <c r="DF294" s="1"/>
      <c r="DG294" s="1"/>
      <c r="DH294" s="1"/>
      <c r="DI294" s="1"/>
      <c r="DJ294" s="1"/>
      <c r="DK294" s="1"/>
      <c r="DL294" s="1"/>
      <c r="DM294" s="1"/>
      <c r="DN294" s="1"/>
      <c r="DO294" s="1"/>
      <c r="DP294" s="1"/>
      <c r="DQ294" s="1"/>
      <c r="DR294" s="1"/>
      <c r="DS294" s="1"/>
      <c r="DT294" s="1"/>
      <c r="DU294" s="14"/>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29"/>
    </row>
    <row r="295" spans="1:160" x14ac:dyDescent="0.25">
      <c r="A295" s="5"/>
      <c r="B295" s="1"/>
      <c r="C295" s="98"/>
      <c r="D295" s="98"/>
      <c r="E295" s="1"/>
      <c r="F295" s="22"/>
      <c r="G295" s="22"/>
      <c r="H295" s="22"/>
      <c r="I295" s="22"/>
      <c r="J295" s="22"/>
      <c r="K295" s="22"/>
      <c r="L295" s="22"/>
      <c r="M295" s="22"/>
      <c r="N295" s="22"/>
      <c r="O295" s="22"/>
      <c r="P295" s="22"/>
      <c r="Q295" s="22"/>
      <c r="R295" s="1"/>
      <c r="S295" s="1"/>
      <c r="T295" s="8"/>
      <c r="U295" s="1"/>
      <c r="V295" s="1"/>
      <c r="W295" s="1"/>
      <c r="X295" s="1"/>
      <c r="Y295" s="1"/>
      <c r="Z295" s="1"/>
      <c r="AA295" s="1"/>
      <c r="AC295" s="1"/>
      <c r="AD295" s="1"/>
      <c r="AE295" s="1"/>
      <c r="AF295" s="1"/>
      <c r="AG295" s="1"/>
      <c r="AH295" s="26"/>
      <c r="AI295" s="26"/>
      <c r="AJ295" s="26"/>
      <c r="AK295" s="26"/>
      <c r="AL295" s="26"/>
      <c r="AM295" s="26"/>
      <c r="AN295" s="26"/>
      <c r="AO295" s="26"/>
      <c r="AP295" s="26"/>
      <c r="AQ295" s="26"/>
      <c r="AR295" s="26"/>
      <c r="AS295" s="26"/>
      <c r="AT295" s="26"/>
      <c r="AU295" s="26"/>
      <c r="AV295" s="26"/>
      <c r="AW295" s="26"/>
      <c r="AX295" s="26"/>
      <c r="AY295" s="1"/>
      <c r="AZ295" s="26"/>
      <c r="BA295" s="26"/>
      <c r="BB295" s="26"/>
      <c r="BC295" s="26"/>
      <c r="BD295" s="26"/>
      <c r="BE295" s="26"/>
      <c r="BF295" s="26"/>
      <c r="BG295" s="26"/>
      <c r="BH295" s="26"/>
      <c r="BI295" s="26"/>
      <c r="BJ295" s="26"/>
      <c r="BK295" s="26"/>
      <c r="BL295" s="26"/>
      <c r="BM295" s="26"/>
      <c r="BN295" s="26"/>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96"/>
      <c r="CP295" s="14"/>
      <c r="CQ295" s="14"/>
      <c r="CR295" s="14"/>
      <c r="CS295" s="14"/>
      <c r="CT295" s="1"/>
      <c r="CU295" s="14"/>
      <c r="CV295" s="1"/>
      <c r="CW295" s="1"/>
      <c r="CX295" s="14"/>
      <c r="CY295" s="1"/>
      <c r="CZ295" s="1"/>
      <c r="DA295" s="1"/>
      <c r="DB295" s="1"/>
      <c r="DC295" s="1"/>
      <c r="DD295" s="1"/>
      <c r="DE295" s="1"/>
      <c r="DF295" s="1"/>
      <c r="DG295" s="1"/>
      <c r="DH295" s="1"/>
      <c r="DI295" s="1"/>
      <c r="DJ295" s="1"/>
      <c r="DK295" s="1"/>
      <c r="DL295" s="1"/>
      <c r="DM295" s="1"/>
      <c r="DN295" s="1"/>
      <c r="DO295" s="1"/>
      <c r="DP295" s="1"/>
      <c r="DQ295" s="1"/>
      <c r="DR295" s="1"/>
      <c r="DS295" s="1"/>
      <c r="DT295" s="1"/>
      <c r="DU295" s="14"/>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29"/>
    </row>
    <row r="296" spans="1:160" x14ac:dyDescent="0.25">
      <c r="A296" s="5"/>
      <c r="B296" s="1"/>
      <c r="C296" s="98"/>
      <c r="D296" s="98"/>
      <c r="E296" s="1"/>
      <c r="F296" s="22"/>
      <c r="G296" s="22"/>
      <c r="H296" s="22"/>
      <c r="I296" s="22"/>
      <c r="J296" s="22"/>
      <c r="K296" s="22"/>
      <c r="L296" s="22"/>
      <c r="M296" s="22"/>
      <c r="N296" s="22"/>
      <c r="O296" s="22"/>
      <c r="P296" s="22"/>
      <c r="Q296" s="22"/>
      <c r="R296" s="1"/>
      <c r="S296" s="1"/>
      <c r="T296" s="8"/>
      <c r="U296" s="1"/>
      <c r="V296" s="1"/>
      <c r="W296" s="1"/>
      <c r="X296" s="1"/>
      <c r="Y296" s="1"/>
      <c r="Z296" s="1"/>
      <c r="AA296" s="1"/>
      <c r="AC296" s="1"/>
      <c r="AD296" s="1"/>
      <c r="AE296" s="1"/>
      <c r="AF296" s="1"/>
      <c r="AG296" s="1"/>
      <c r="AH296" s="26"/>
      <c r="AI296" s="26"/>
      <c r="AJ296" s="26"/>
      <c r="AK296" s="26"/>
      <c r="AL296" s="26"/>
      <c r="AM296" s="26"/>
      <c r="AN296" s="26"/>
      <c r="AO296" s="26"/>
      <c r="AP296" s="26"/>
      <c r="AQ296" s="26"/>
      <c r="AR296" s="26"/>
      <c r="AS296" s="26"/>
      <c r="AT296" s="26"/>
      <c r="AU296" s="26"/>
      <c r="AV296" s="26"/>
      <c r="AW296" s="26"/>
      <c r="AX296" s="26"/>
      <c r="AY296" s="1"/>
      <c r="AZ296" s="26"/>
      <c r="BA296" s="26"/>
      <c r="BB296" s="26"/>
      <c r="BC296" s="26"/>
      <c r="BD296" s="26"/>
      <c r="BE296" s="26"/>
      <c r="BF296" s="26"/>
      <c r="BG296" s="26"/>
      <c r="BH296" s="26"/>
      <c r="BI296" s="26"/>
      <c r="BJ296" s="26"/>
      <c r="BK296" s="26"/>
      <c r="BL296" s="26"/>
      <c r="BM296" s="26"/>
      <c r="BN296" s="26"/>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6"/>
      <c r="CP296" s="14"/>
      <c r="CQ296" s="14"/>
      <c r="CR296" s="14"/>
      <c r="CS296" s="14"/>
      <c r="CT296" s="1"/>
      <c r="CU296" s="14"/>
      <c r="CV296" s="1"/>
      <c r="CW296" s="1"/>
      <c r="CX296" s="14"/>
      <c r="CY296" s="1"/>
      <c r="CZ296" s="1"/>
      <c r="DA296" s="1"/>
      <c r="DB296" s="1"/>
      <c r="DC296" s="1"/>
      <c r="DD296" s="1"/>
      <c r="DE296" s="1"/>
      <c r="DF296" s="1"/>
      <c r="DG296" s="1"/>
      <c r="DH296" s="1"/>
      <c r="DI296" s="1"/>
      <c r="DJ296" s="1"/>
      <c r="DK296" s="1"/>
      <c r="DL296" s="1"/>
      <c r="DM296" s="1"/>
      <c r="DN296" s="1"/>
      <c r="DO296" s="1"/>
      <c r="DP296" s="1"/>
      <c r="DQ296" s="1"/>
      <c r="DR296" s="1"/>
      <c r="DS296" s="1"/>
      <c r="DT296" s="1"/>
      <c r="DU296" s="14"/>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29"/>
    </row>
    <row r="297" spans="1:160" x14ac:dyDescent="0.25">
      <c r="A297" s="5"/>
      <c r="B297" s="1"/>
      <c r="C297" s="98"/>
      <c r="D297" s="98"/>
      <c r="E297" s="1"/>
      <c r="F297" s="22"/>
      <c r="G297" s="22"/>
      <c r="H297" s="22"/>
      <c r="I297" s="22"/>
      <c r="J297" s="22"/>
      <c r="K297" s="22"/>
      <c r="L297" s="22"/>
      <c r="M297" s="22"/>
      <c r="N297" s="22"/>
      <c r="O297" s="22"/>
      <c r="P297" s="22"/>
      <c r="Q297" s="22"/>
      <c r="R297" s="1"/>
      <c r="S297" s="1"/>
      <c r="T297" s="8"/>
      <c r="U297" s="1"/>
      <c r="V297" s="1"/>
      <c r="W297" s="1"/>
      <c r="X297" s="1"/>
      <c r="Y297" s="1"/>
      <c r="Z297" s="1"/>
      <c r="AA297" s="1"/>
      <c r="AC297" s="1"/>
      <c r="AD297" s="1"/>
      <c r="AE297" s="1"/>
      <c r="AF297" s="1"/>
      <c r="AG297" s="1"/>
      <c r="AH297" s="26"/>
      <c r="AI297" s="26"/>
      <c r="AJ297" s="26"/>
      <c r="AK297" s="26"/>
      <c r="AL297" s="26"/>
      <c r="AM297" s="26"/>
      <c r="AN297" s="26"/>
      <c r="AO297" s="26"/>
      <c r="AP297" s="26"/>
      <c r="AQ297" s="26"/>
      <c r="AR297" s="26"/>
      <c r="AS297" s="26"/>
      <c r="AT297" s="26"/>
      <c r="AU297" s="26"/>
      <c r="AV297" s="26"/>
      <c r="AW297" s="26"/>
      <c r="AX297" s="26"/>
      <c r="AY297" s="1"/>
      <c r="AZ297" s="26"/>
      <c r="BA297" s="26"/>
      <c r="BB297" s="26"/>
      <c r="BC297" s="26"/>
      <c r="BD297" s="26"/>
      <c r="BE297" s="26"/>
      <c r="BF297" s="26"/>
      <c r="BG297" s="26"/>
      <c r="BH297" s="26"/>
      <c r="BI297" s="26"/>
      <c r="BJ297" s="26"/>
      <c r="BK297" s="26"/>
      <c r="BL297" s="26"/>
      <c r="BM297" s="26"/>
      <c r="BN297" s="26"/>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96"/>
      <c r="CP297" s="14"/>
      <c r="CQ297" s="14"/>
      <c r="CR297" s="14"/>
      <c r="CS297" s="14"/>
      <c r="CT297" s="1"/>
      <c r="CU297" s="14"/>
      <c r="CV297" s="1"/>
      <c r="CW297" s="1"/>
      <c r="CX297" s="14"/>
      <c r="CY297" s="1"/>
      <c r="CZ297" s="1"/>
      <c r="DA297" s="1"/>
      <c r="DB297" s="1"/>
      <c r="DC297" s="1"/>
      <c r="DD297" s="1"/>
      <c r="DE297" s="1"/>
      <c r="DF297" s="1"/>
      <c r="DG297" s="1"/>
      <c r="DH297" s="1"/>
      <c r="DI297" s="1"/>
      <c r="DJ297" s="1"/>
      <c r="DK297" s="1"/>
      <c r="DL297" s="1"/>
      <c r="DM297" s="1"/>
      <c r="DN297" s="1"/>
      <c r="DO297" s="1"/>
      <c r="DP297" s="1"/>
      <c r="DQ297" s="1"/>
      <c r="DR297" s="1"/>
      <c r="DS297" s="1"/>
      <c r="DT297" s="1"/>
      <c r="DU297" s="14"/>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29"/>
    </row>
    <row r="298" spans="1:160" x14ac:dyDescent="0.25">
      <c r="A298" s="5"/>
      <c r="B298" s="1"/>
      <c r="C298" s="98"/>
      <c r="D298" s="98"/>
      <c r="E298" s="1"/>
      <c r="F298" s="22"/>
      <c r="G298" s="22"/>
      <c r="H298" s="22"/>
      <c r="I298" s="22"/>
      <c r="J298" s="22"/>
      <c r="K298" s="22"/>
      <c r="L298" s="22"/>
      <c r="M298" s="22"/>
      <c r="N298" s="22"/>
      <c r="O298" s="22"/>
      <c r="P298" s="22"/>
      <c r="Q298" s="22"/>
      <c r="R298" s="1"/>
      <c r="S298" s="1"/>
      <c r="T298" s="8"/>
      <c r="U298" s="1"/>
      <c r="V298" s="1"/>
      <c r="W298" s="1"/>
      <c r="X298" s="1"/>
      <c r="Y298" s="1"/>
      <c r="Z298" s="1"/>
      <c r="AA298" s="1"/>
      <c r="AC298" s="1"/>
      <c r="AD298" s="1"/>
      <c r="AE298" s="1"/>
      <c r="AF298" s="1"/>
      <c r="AG298" s="1"/>
      <c r="AH298" s="26"/>
      <c r="AI298" s="26"/>
      <c r="AJ298" s="26"/>
      <c r="AK298" s="26"/>
      <c r="AL298" s="26"/>
      <c r="AM298" s="26"/>
      <c r="AN298" s="26"/>
      <c r="AO298" s="26"/>
      <c r="AP298" s="26"/>
      <c r="AQ298" s="26"/>
      <c r="AR298" s="26"/>
      <c r="AS298" s="26"/>
      <c r="AT298" s="26"/>
      <c r="AU298" s="26"/>
      <c r="AV298" s="26"/>
      <c r="AW298" s="26"/>
      <c r="AX298" s="26"/>
      <c r="AY298" s="1"/>
      <c r="AZ298" s="26"/>
      <c r="BA298" s="26"/>
      <c r="BB298" s="26"/>
      <c r="BC298" s="26"/>
      <c r="BD298" s="26"/>
      <c r="BE298" s="26"/>
      <c r="BF298" s="26"/>
      <c r="BG298" s="26"/>
      <c r="BH298" s="26"/>
      <c r="BI298" s="26"/>
      <c r="BJ298" s="26"/>
      <c r="BK298" s="26"/>
      <c r="BL298" s="26"/>
      <c r="BM298" s="26"/>
      <c r="BN298" s="26"/>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96"/>
      <c r="CP298" s="14"/>
      <c r="CQ298" s="14"/>
      <c r="CR298" s="14"/>
      <c r="CS298" s="14"/>
      <c r="CT298" s="1"/>
      <c r="CU298" s="14"/>
      <c r="CV298" s="1"/>
      <c r="CW298" s="1"/>
      <c r="CX298" s="14"/>
      <c r="CY298" s="1"/>
      <c r="CZ298" s="1"/>
      <c r="DA298" s="1"/>
      <c r="DB298" s="1"/>
      <c r="DC298" s="1"/>
      <c r="DD298" s="1"/>
      <c r="DE298" s="1"/>
      <c r="DF298" s="1"/>
      <c r="DG298" s="1"/>
      <c r="DH298" s="1"/>
      <c r="DI298" s="1"/>
      <c r="DJ298" s="1"/>
      <c r="DK298" s="1"/>
      <c r="DL298" s="1"/>
      <c r="DM298" s="1"/>
      <c r="DN298" s="1"/>
      <c r="DO298" s="1"/>
      <c r="DP298" s="1"/>
      <c r="DQ298" s="1"/>
      <c r="DR298" s="1"/>
      <c r="DS298" s="1"/>
      <c r="DT298" s="1"/>
      <c r="DU298" s="14"/>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29"/>
    </row>
    <row r="299" spans="1:160" x14ac:dyDescent="0.25">
      <c r="A299" s="5"/>
      <c r="B299" s="1"/>
      <c r="C299" s="98"/>
      <c r="D299" s="98"/>
      <c r="E299" s="1"/>
      <c r="F299" s="22"/>
      <c r="G299" s="22"/>
      <c r="H299" s="22"/>
      <c r="I299" s="22"/>
      <c r="J299" s="22"/>
      <c r="K299" s="22"/>
      <c r="L299" s="22"/>
      <c r="M299" s="22"/>
      <c r="N299" s="22"/>
      <c r="O299" s="22"/>
      <c r="P299" s="22"/>
      <c r="Q299" s="22"/>
      <c r="R299" s="1"/>
      <c r="S299" s="1"/>
      <c r="T299" s="8"/>
      <c r="U299" s="1"/>
      <c r="V299" s="1"/>
      <c r="W299" s="1"/>
      <c r="X299" s="1"/>
      <c r="Y299" s="1"/>
      <c r="Z299" s="1"/>
      <c r="AA299" s="1"/>
      <c r="AC299" s="1"/>
      <c r="AD299" s="1"/>
      <c r="AE299" s="1"/>
      <c r="AF299" s="1"/>
      <c r="AG299" s="1"/>
      <c r="AH299" s="26"/>
      <c r="AI299" s="26"/>
      <c r="AJ299" s="26"/>
      <c r="AK299" s="26"/>
      <c r="AL299" s="26"/>
      <c r="AM299" s="26"/>
      <c r="AN299" s="26"/>
      <c r="AO299" s="26"/>
      <c r="AP299" s="26"/>
      <c r="AQ299" s="26"/>
      <c r="AR299" s="26"/>
      <c r="AS299" s="26"/>
      <c r="AT299" s="26"/>
      <c r="AU299" s="26"/>
      <c r="AV299" s="26"/>
      <c r="AW299" s="26"/>
      <c r="AX299" s="26"/>
      <c r="AY299" s="1"/>
      <c r="AZ299" s="26"/>
      <c r="BA299" s="26"/>
      <c r="BB299" s="26"/>
      <c r="BC299" s="26"/>
      <c r="BD299" s="26"/>
      <c r="BE299" s="26"/>
      <c r="BF299" s="26"/>
      <c r="BG299" s="26"/>
      <c r="BH299" s="26"/>
      <c r="BI299" s="26"/>
      <c r="BJ299" s="26"/>
      <c r="BK299" s="26"/>
      <c r="BL299" s="26"/>
      <c r="BM299" s="26"/>
      <c r="BN299" s="26"/>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96"/>
      <c r="CP299" s="14"/>
      <c r="CQ299" s="14"/>
      <c r="CR299" s="14"/>
      <c r="CS299" s="14"/>
      <c r="CT299" s="1"/>
      <c r="CU299" s="14"/>
      <c r="CV299" s="1"/>
      <c r="CW299" s="1"/>
      <c r="CX299" s="14"/>
      <c r="CY299" s="1"/>
      <c r="CZ299" s="1"/>
      <c r="DA299" s="1"/>
      <c r="DB299" s="1"/>
      <c r="DC299" s="1"/>
      <c r="DD299" s="1"/>
      <c r="DE299" s="1"/>
      <c r="DF299" s="1"/>
      <c r="DG299" s="1"/>
      <c r="DH299" s="1"/>
      <c r="DI299" s="1"/>
      <c r="DJ299" s="1"/>
      <c r="DK299" s="1"/>
      <c r="DL299" s="1"/>
      <c r="DM299" s="1"/>
      <c r="DN299" s="1"/>
      <c r="DO299" s="1"/>
      <c r="DP299" s="1"/>
      <c r="DQ299" s="1"/>
      <c r="DR299" s="1"/>
      <c r="DS299" s="1"/>
      <c r="DT299" s="1"/>
      <c r="DU299" s="14"/>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29"/>
    </row>
    <row r="300" spans="1:160" x14ac:dyDescent="0.25">
      <c r="A300" s="5"/>
      <c r="B300" s="1"/>
      <c r="C300" s="98"/>
      <c r="D300" s="98"/>
      <c r="E300" s="1"/>
      <c r="F300" s="22"/>
      <c r="G300" s="22"/>
      <c r="H300" s="22"/>
      <c r="I300" s="22"/>
      <c r="J300" s="22"/>
      <c r="K300" s="22"/>
      <c r="L300" s="22"/>
      <c r="M300" s="22"/>
      <c r="N300" s="22"/>
      <c r="O300" s="22"/>
      <c r="P300" s="22"/>
      <c r="Q300" s="22"/>
      <c r="R300" s="1"/>
      <c r="S300" s="1"/>
      <c r="T300" s="8"/>
      <c r="U300" s="1"/>
      <c r="V300" s="1"/>
      <c r="W300" s="1"/>
      <c r="X300" s="1"/>
      <c r="Y300" s="1"/>
      <c r="Z300" s="1"/>
      <c r="AA300" s="1"/>
      <c r="AC300" s="1"/>
      <c r="AD300" s="1"/>
      <c r="AE300" s="1"/>
      <c r="AF300" s="1"/>
      <c r="AG300" s="1"/>
      <c r="AH300" s="26"/>
      <c r="AI300" s="26"/>
      <c r="AJ300" s="26"/>
      <c r="AK300" s="26"/>
      <c r="AL300" s="26"/>
      <c r="AM300" s="26"/>
      <c r="AN300" s="26"/>
      <c r="AO300" s="26"/>
      <c r="AP300" s="26"/>
      <c r="AQ300" s="26"/>
      <c r="AR300" s="26"/>
      <c r="AS300" s="26"/>
      <c r="AT300" s="26"/>
      <c r="AU300" s="26"/>
      <c r="AV300" s="26"/>
      <c r="AW300" s="26"/>
      <c r="AX300" s="26"/>
      <c r="AY300" s="1"/>
      <c r="AZ300" s="26"/>
      <c r="BA300" s="26"/>
      <c r="BB300" s="26"/>
      <c r="BC300" s="26"/>
      <c r="BD300" s="26"/>
      <c r="BE300" s="26"/>
      <c r="BF300" s="26"/>
      <c r="BG300" s="26"/>
      <c r="BH300" s="26"/>
      <c r="BI300" s="26"/>
      <c r="BJ300" s="26"/>
      <c r="BK300" s="26"/>
      <c r="BL300" s="26"/>
      <c r="BM300" s="26"/>
      <c r="BN300" s="26"/>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96"/>
      <c r="CP300" s="14"/>
      <c r="CQ300" s="14"/>
      <c r="CR300" s="14"/>
      <c r="CS300" s="14"/>
      <c r="CT300" s="1"/>
      <c r="CU300" s="14"/>
      <c r="CV300" s="1"/>
      <c r="CW300" s="1"/>
      <c r="CX300" s="14"/>
      <c r="CY300" s="1"/>
      <c r="CZ300" s="1"/>
      <c r="DA300" s="1"/>
      <c r="DB300" s="1"/>
      <c r="DC300" s="1"/>
      <c r="DD300" s="1"/>
      <c r="DE300" s="1"/>
      <c r="DF300" s="1"/>
      <c r="DG300" s="1"/>
      <c r="DH300" s="1"/>
      <c r="DI300" s="1"/>
      <c r="DJ300" s="1"/>
      <c r="DK300" s="1"/>
      <c r="DL300" s="1"/>
      <c r="DM300" s="1"/>
      <c r="DN300" s="1"/>
      <c r="DO300" s="1"/>
      <c r="DP300" s="1"/>
      <c r="DQ300" s="1"/>
      <c r="DR300" s="1"/>
      <c r="DS300" s="1"/>
      <c r="DT300" s="1"/>
      <c r="DU300" s="14"/>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29"/>
    </row>
    <row r="301" spans="1:160" x14ac:dyDescent="0.25">
      <c r="A301" s="5"/>
      <c r="B301" s="1"/>
      <c r="C301" s="98"/>
      <c r="D301" s="98"/>
      <c r="E301" s="1"/>
      <c r="F301" s="22"/>
      <c r="G301" s="22"/>
      <c r="H301" s="22"/>
      <c r="I301" s="22"/>
      <c r="J301" s="22"/>
      <c r="K301" s="22"/>
      <c r="L301" s="22"/>
      <c r="M301" s="22"/>
      <c r="N301" s="22"/>
      <c r="O301" s="22"/>
      <c r="P301" s="22"/>
      <c r="Q301" s="22"/>
      <c r="R301" s="1"/>
      <c r="S301" s="1"/>
      <c r="T301" s="8"/>
      <c r="U301" s="1"/>
      <c r="V301" s="1"/>
      <c r="W301" s="1"/>
      <c r="X301" s="1"/>
      <c r="Y301" s="1"/>
      <c r="Z301" s="1"/>
      <c r="AA301" s="1"/>
      <c r="AC301" s="1"/>
      <c r="AD301" s="1"/>
      <c r="AE301" s="1"/>
      <c r="AF301" s="1"/>
      <c r="AG301" s="1"/>
      <c r="AH301" s="26"/>
      <c r="AI301" s="26"/>
      <c r="AJ301" s="26"/>
      <c r="AK301" s="26"/>
      <c r="AL301" s="26"/>
      <c r="AM301" s="26"/>
      <c r="AN301" s="26"/>
      <c r="AO301" s="26"/>
      <c r="AP301" s="26"/>
      <c r="AQ301" s="26"/>
      <c r="AR301" s="26"/>
      <c r="AS301" s="26"/>
      <c r="AT301" s="26"/>
      <c r="AU301" s="26"/>
      <c r="AV301" s="26"/>
      <c r="AW301" s="26"/>
      <c r="AX301" s="26"/>
      <c r="AY301" s="1"/>
      <c r="AZ301" s="26"/>
      <c r="BA301" s="26"/>
      <c r="BB301" s="26"/>
      <c r="BC301" s="26"/>
      <c r="BD301" s="26"/>
      <c r="BE301" s="26"/>
      <c r="BF301" s="26"/>
      <c r="BG301" s="26"/>
      <c r="BH301" s="26"/>
      <c r="BI301" s="26"/>
      <c r="BJ301" s="26"/>
      <c r="BK301" s="26"/>
      <c r="BL301" s="26"/>
      <c r="BM301" s="26"/>
      <c r="BN301" s="26"/>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96"/>
      <c r="CP301" s="14"/>
      <c r="CQ301" s="14"/>
      <c r="CR301" s="14"/>
      <c r="CS301" s="14"/>
      <c r="CT301" s="1"/>
      <c r="CU301" s="14"/>
      <c r="CV301" s="1"/>
      <c r="CW301" s="1"/>
      <c r="CX301" s="14"/>
      <c r="CY301" s="1"/>
      <c r="CZ301" s="1"/>
      <c r="DA301" s="1"/>
      <c r="DB301" s="1"/>
      <c r="DC301" s="1"/>
      <c r="DD301" s="1"/>
      <c r="DE301" s="1"/>
      <c r="DF301" s="1"/>
      <c r="DG301" s="1"/>
      <c r="DH301" s="1"/>
      <c r="DI301" s="1"/>
      <c r="DJ301" s="1"/>
      <c r="DK301" s="1"/>
      <c r="DL301" s="1"/>
      <c r="DM301" s="1"/>
      <c r="DN301" s="1"/>
      <c r="DO301" s="1"/>
      <c r="DP301" s="1"/>
      <c r="DQ301" s="1"/>
      <c r="DR301" s="1"/>
      <c r="DS301" s="1"/>
      <c r="DT301" s="1"/>
      <c r="DU301" s="14"/>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29"/>
    </row>
    <row r="302" spans="1:160" x14ac:dyDescent="0.25">
      <c r="A302" s="5"/>
      <c r="B302" s="1"/>
      <c r="C302" s="98"/>
      <c r="D302" s="98"/>
      <c r="E302" s="1"/>
      <c r="F302" s="22"/>
      <c r="G302" s="22"/>
      <c r="H302" s="22"/>
      <c r="I302" s="22"/>
      <c r="J302" s="22"/>
      <c r="K302" s="22"/>
      <c r="L302" s="22"/>
      <c r="M302" s="22"/>
      <c r="N302" s="22"/>
      <c r="O302" s="22"/>
      <c r="P302" s="22"/>
      <c r="Q302" s="22"/>
      <c r="R302" s="1"/>
      <c r="S302" s="1"/>
      <c r="T302" s="8"/>
      <c r="U302" s="1"/>
      <c r="V302" s="1"/>
      <c r="W302" s="1"/>
      <c r="X302" s="1"/>
      <c r="Y302" s="1"/>
      <c r="Z302" s="1"/>
      <c r="AA302" s="1"/>
      <c r="AC302" s="1"/>
      <c r="AD302" s="1"/>
      <c r="AE302" s="1"/>
      <c r="AF302" s="1"/>
      <c r="AG302" s="1"/>
      <c r="AH302" s="26"/>
      <c r="AI302" s="26"/>
      <c r="AJ302" s="26"/>
      <c r="AK302" s="26"/>
      <c r="AL302" s="26"/>
      <c r="AM302" s="26"/>
      <c r="AN302" s="26"/>
      <c r="AO302" s="26"/>
      <c r="AP302" s="26"/>
      <c r="AQ302" s="26"/>
      <c r="AR302" s="26"/>
      <c r="AS302" s="26"/>
      <c r="AT302" s="26"/>
      <c r="AU302" s="26"/>
      <c r="AV302" s="26"/>
      <c r="AW302" s="26"/>
      <c r="AX302" s="26"/>
      <c r="AY302" s="1"/>
      <c r="AZ302" s="26"/>
      <c r="BA302" s="26"/>
      <c r="BB302" s="26"/>
      <c r="BC302" s="26"/>
      <c r="BD302" s="26"/>
      <c r="BE302" s="26"/>
      <c r="BF302" s="26"/>
      <c r="BG302" s="26"/>
      <c r="BH302" s="26"/>
      <c r="BI302" s="26"/>
      <c r="BJ302" s="26"/>
      <c r="BK302" s="26"/>
      <c r="BL302" s="26"/>
      <c r="BM302" s="26"/>
      <c r="BN302" s="26"/>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96"/>
      <c r="CP302" s="14"/>
      <c r="CQ302" s="14"/>
      <c r="CR302" s="14"/>
      <c r="CS302" s="14"/>
      <c r="CT302" s="1"/>
      <c r="CU302" s="14"/>
      <c r="CV302" s="1"/>
      <c r="CW302" s="1"/>
      <c r="CX302" s="14"/>
      <c r="CY302" s="1"/>
      <c r="CZ302" s="1"/>
      <c r="DA302" s="1"/>
      <c r="DB302" s="1"/>
      <c r="DC302" s="1"/>
      <c r="DD302" s="1"/>
      <c r="DE302" s="1"/>
      <c r="DF302" s="1"/>
      <c r="DG302" s="1"/>
      <c r="DH302" s="1"/>
      <c r="DI302" s="1"/>
      <c r="DJ302" s="1"/>
      <c r="DK302" s="1"/>
      <c r="DL302" s="1"/>
      <c r="DM302" s="1"/>
      <c r="DN302" s="1"/>
      <c r="DO302" s="1"/>
      <c r="DP302" s="1"/>
      <c r="DQ302" s="1"/>
      <c r="DR302" s="1"/>
      <c r="DS302" s="1"/>
      <c r="DT302" s="1"/>
      <c r="DU302" s="14"/>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29"/>
    </row>
    <row r="303" spans="1:160" x14ac:dyDescent="0.25">
      <c r="A303" s="5"/>
      <c r="B303" s="1"/>
      <c r="C303" s="98"/>
      <c r="D303" s="98"/>
      <c r="E303" s="1"/>
      <c r="F303" s="22"/>
      <c r="G303" s="22"/>
      <c r="H303" s="22"/>
      <c r="I303" s="22"/>
      <c r="J303" s="22"/>
      <c r="K303" s="22"/>
      <c r="L303" s="22"/>
      <c r="M303" s="22"/>
      <c r="N303" s="22"/>
      <c r="O303" s="22"/>
      <c r="P303" s="22"/>
      <c r="Q303" s="22"/>
      <c r="R303" s="1"/>
      <c r="S303" s="1"/>
      <c r="T303" s="8"/>
      <c r="U303" s="1"/>
      <c r="V303" s="1"/>
      <c r="W303" s="1"/>
      <c r="X303" s="1"/>
      <c r="Y303" s="1"/>
      <c r="Z303" s="1"/>
      <c r="AA303" s="1"/>
      <c r="AC303" s="1"/>
      <c r="AD303" s="1"/>
      <c r="AE303" s="1"/>
      <c r="AF303" s="1"/>
      <c r="AG303" s="1"/>
      <c r="AH303" s="26"/>
      <c r="AI303" s="26"/>
      <c r="AJ303" s="26"/>
      <c r="AK303" s="26"/>
      <c r="AL303" s="26"/>
      <c r="AM303" s="26"/>
      <c r="AN303" s="26"/>
      <c r="AO303" s="26"/>
      <c r="AP303" s="26"/>
      <c r="AQ303" s="26"/>
      <c r="AR303" s="26"/>
      <c r="AS303" s="26"/>
      <c r="AT303" s="26"/>
      <c r="AU303" s="26"/>
      <c r="AV303" s="26"/>
      <c r="AW303" s="26"/>
      <c r="AX303" s="26"/>
      <c r="AY303" s="1"/>
      <c r="AZ303" s="26"/>
      <c r="BA303" s="26"/>
      <c r="BB303" s="26"/>
      <c r="BC303" s="26"/>
      <c r="BD303" s="26"/>
      <c r="BE303" s="26"/>
      <c r="BF303" s="26"/>
      <c r="BG303" s="26"/>
      <c r="BH303" s="26"/>
      <c r="BI303" s="26"/>
      <c r="BJ303" s="26"/>
      <c r="BK303" s="26"/>
      <c r="BL303" s="26"/>
      <c r="BM303" s="26"/>
      <c r="BN303" s="26"/>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96"/>
      <c r="CP303" s="14"/>
      <c r="CQ303" s="14"/>
      <c r="CR303" s="14"/>
      <c r="CS303" s="14"/>
      <c r="CT303" s="1"/>
      <c r="CU303" s="14"/>
      <c r="CV303" s="1"/>
      <c r="CW303" s="1"/>
      <c r="CX303" s="14"/>
      <c r="CY303" s="1"/>
      <c r="CZ303" s="1"/>
      <c r="DA303" s="1"/>
      <c r="DB303" s="1"/>
      <c r="DC303" s="1"/>
      <c r="DD303" s="1"/>
      <c r="DE303" s="1"/>
      <c r="DF303" s="1"/>
      <c r="DG303" s="1"/>
      <c r="DH303" s="1"/>
      <c r="DI303" s="1"/>
      <c r="DJ303" s="1"/>
      <c r="DK303" s="1"/>
      <c r="DL303" s="1"/>
      <c r="DM303" s="1"/>
      <c r="DN303" s="1"/>
      <c r="DO303" s="1"/>
      <c r="DP303" s="1"/>
      <c r="DQ303" s="1"/>
      <c r="DR303" s="1"/>
      <c r="DS303" s="1"/>
      <c r="DT303" s="1"/>
      <c r="DU303" s="14"/>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29"/>
    </row>
    <row r="304" spans="1:160" x14ac:dyDescent="0.25">
      <c r="A304" s="5"/>
      <c r="B304" s="1"/>
      <c r="C304" s="98"/>
      <c r="D304" s="98"/>
      <c r="E304" s="1"/>
      <c r="F304" s="22"/>
      <c r="G304" s="22"/>
      <c r="H304" s="22"/>
      <c r="I304" s="22"/>
      <c r="J304" s="22"/>
      <c r="K304" s="22"/>
      <c r="L304" s="22"/>
      <c r="M304" s="22"/>
      <c r="N304" s="22"/>
      <c r="O304" s="22"/>
      <c r="P304" s="22"/>
      <c r="Q304" s="22"/>
      <c r="R304" s="1"/>
      <c r="S304" s="1"/>
      <c r="T304" s="8"/>
      <c r="U304" s="1"/>
      <c r="V304" s="1"/>
      <c r="W304" s="1"/>
      <c r="X304" s="1"/>
      <c r="Y304" s="1"/>
      <c r="Z304" s="1"/>
      <c r="AA304" s="1"/>
      <c r="AC304" s="1"/>
      <c r="AD304" s="1"/>
      <c r="AE304" s="1"/>
      <c r="AF304" s="1"/>
      <c r="AG304" s="1"/>
      <c r="AH304" s="26"/>
      <c r="AI304" s="26"/>
      <c r="AJ304" s="26"/>
      <c r="AK304" s="26"/>
      <c r="AL304" s="26"/>
      <c r="AM304" s="26"/>
      <c r="AN304" s="26"/>
      <c r="AO304" s="26"/>
      <c r="AP304" s="26"/>
      <c r="AQ304" s="26"/>
      <c r="AR304" s="26"/>
      <c r="AS304" s="26"/>
      <c r="AT304" s="26"/>
      <c r="AU304" s="26"/>
      <c r="AV304" s="26"/>
      <c r="AW304" s="26"/>
      <c r="AX304" s="26"/>
      <c r="AY304" s="1"/>
      <c r="AZ304" s="26"/>
      <c r="BA304" s="26"/>
      <c r="BB304" s="26"/>
      <c r="BC304" s="26"/>
      <c r="BD304" s="26"/>
      <c r="BE304" s="26"/>
      <c r="BF304" s="26"/>
      <c r="BG304" s="26"/>
      <c r="BH304" s="26"/>
      <c r="BI304" s="26"/>
      <c r="BJ304" s="26"/>
      <c r="BK304" s="26"/>
      <c r="BL304" s="26"/>
      <c r="BM304" s="26"/>
      <c r="BN304" s="26"/>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96"/>
      <c r="CP304" s="14"/>
      <c r="CQ304" s="14"/>
      <c r="CR304" s="14"/>
      <c r="CS304" s="14"/>
      <c r="CT304" s="1"/>
      <c r="CU304" s="14"/>
      <c r="CV304" s="1"/>
      <c r="CW304" s="1"/>
      <c r="CX304" s="14"/>
      <c r="CY304" s="1"/>
      <c r="CZ304" s="1"/>
      <c r="DA304" s="1"/>
      <c r="DB304" s="1"/>
      <c r="DC304" s="1"/>
      <c r="DD304" s="1"/>
      <c r="DE304" s="1"/>
      <c r="DF304" s="1"/>
      <c r="DG304" s="1"/>
      <c r="DH304" s="1"/>
      <c r="DI304" s="1"/>
      <c r="DJ304" s="1"/>
      <c r="DK304" s="1"/>
      <c r="DL304" s="1"/>
      <c r="DM304" s="1"/>
      <c r="DN304" s="1"/>
      <c r="DO304" s="1"/>
      <c r="DP304" s="1"/>
      <c r="DQ304" s="1"/>
      <c r="DR304" s="1"/>
      <c r="DS304" s="1"/>
      <c r="DT304" s="1"/>
      <c r="DU304" s="14"/>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29"/>
    </row>
    <row r="305" spans="1:160" x14ac:dyDescent="0.25">
      <c r="A305" s="5"/>
      <c r="B305" s="1"/>
      <c r="C305" s="98"/>
      <c r="D305" s="98"/>
      <c r="E305" s="1"/>
      <c r="F305" s="22"/>
      <c r="G305" s="22"/>
      <c r="H305" s="22"/>
      <c r="I305" s="22"/>
      <c r="J305" s="22"/>
      <c r="K305" s="22"/>
      <c r="L305" s="22"/>
      <c r="M305" s="22"/>
      <c r="N305" s="22"/>
      <c r="O305" s="22"/>
      <c r="P305" s="22"/>
      <c r="Q305" s="22"/>
      <c r="R305" s="1"/>
      <c r="S305" s="1"/>
      <c r="T305" s="8"/>
      <c r="U305" s="1"/>
      <c r="V305" s="1"/>
      <c r="W305" s="1"/>
      <c r="X305" s="1"/>
      <c r="Y305" s="1"/>
      <c r="Z305" s="1"/>
      <c r="AA305" s="1"/>
      <c r="AC305" s="1"/>
      <c r="AD305" s="1"/>
      <c r="AE305" s="1"/>
      <c r="AF305" s="1"/>
      <c r="AG305" s="1"/>
      <c r="AH305" s="26"/>
      <c r="AI305" s="26"/>
      <c r="AJ305" s="26"/>
      <c r="AK305" s="26"/>
      <c r="AL305" s="26"/>
      <c r="AM305" s="26"/>
      <c r="AN305" s="26"/>
      <c r="AO305" s="26"/>
      <c r="AP305" s="26"/>
      <c r="AQ305" s="26"/>
      <c r="AR305" s="26"/>
      <c r="AS305" s="26"/>
      <c r="AT305" s="26"/>
      <c r="AU305" s="26"/>
      <c r="AV305" s="26"/>
      <c r="AW305" s="26"/>
      <c r="AX305" s="26"/>
      <c r="AY305" s="1"/>
      <c r="AZ305" s="26"/>
      <c r="BA305" s="26"/>
      <c r="BB305" s="26"/>
      <c r="BC305" s="26"/>
      <c r="BD305" s="26"/>
      <c r="BE305" s="26"/>
      <c r="BF305" s="26"/>
      <c r="BG305" s="26"/>
      <c r="BH305" s="26"/>
      <c r="BI305" s="26"/>
      <c r="BJ305" s="26"/>
      <c r="BK305" s="26"/>
      <c r="BL305" s="26"/>
      <c r="BM305" s="26"/>
      <c r="BN305" s="26"/>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96"/>
      <c r="CP305" s="14"/>
      <c r="CQ305" s="14"/>
      <c r="CR305" s="14"/>
      <c r="CS305" s="14"/>
      <c r="CT305" s="1"/>
      <c r="CU305" s="14"/>
      <c r="CV305" s="1"/>
      <c r="CW305" s="1"/>
      <c r="CX305" s="14"/>
      <c r="CY305" s="1"/>
      <c r="CZ305" s="1"/>
      <c r="DA305" s="1"/>
      <c r="DB305" s="1"/>
      <c r="DC305" s="1"/>
      <c r="DD305" s="1"/>
      <c r="DE305" s="1"/>
      <c r="DF305" s="1"/>
      <c r="DG305" s="1"/>
      <c r="DH305" s="1"/>
      <c r="DI305" s="1"/>
      <c r="DJ305" s="1"/>
      <c r="DK305" s="1"/>
      <c r="DL305" s="1"/>
      <c r="DM305" s="1"/>
      <c r="DN305" s="1"/>
      <c r="DO305" s="1"/>
      <c r="DP305" s="1"/>
      <c r="DQ305" s="1"/>
      <c r="DR305" s="1"/>
      <c r="DS305" s="1"/>
      <c r="DT305" s="1"/>
      <c r="DU305" s="14"/>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29"/>
    </row>
    <row r="306" spans="1:160" x14ac:dyDescent="0.25">
      <c r="A306" s="5"/>
      <c r="B306" s="1"/>
      <c r="C306" s="98"/>
      <c r="D306" s="98"/>
      <c r="E306" s="1"/>
      <c r="F306" s="22"/>
      <c r="G306" s="22"/>
      <c r="H306" s="22"/>
      <c r="I306" s="22"/>
      <c r="J306" s="22"/>
      <c r="K306" s="22"/>
      <c r="L306" s="22"/>
      <c r="M306" s="22"/>
      <c r="N306" s="22"/>
      <c r="O306" s="22"/>
      <c r="P306" s="22"/>
      <c r="Q306" s="22"/>
      <c r="R306" s="1"/>
      <c r="S306" s="1"/>
      <c r="T306" s="8"/>
      <c r="U306" s="1"/>
      <c r="V306" s="1"/>
      <c r="W306" s="1"/>
      <c r="X306" s="1"/>
      <c r="Y306" s="1"/>
      <c r="Z306" s="1"/>
      <c r="AA306" s="1"/>
      <c r="AC306" s="1"/>
      <c r="AD306" s="1"/>
      <c r="AE306" s="1"/>
      <c r="AF306" s="1"/>
      <c r="AG306" s="1"/>
      <c r="AH306" s="26"/>
      <c r="AI306" s="26"/>
      <c r="AJ306" s="26"/>
      <c r="AK306" s="26"/>
      <c r="AL306" s="26"/>
      <c r="AM306" s="26"/>
      <c r="AN306" s="26"/>
      <c r="AO306" s="26"/>
      <c r="AP306" s="26"/>
      <c r="AQ306" s="26"/>
      <c r="AR306" s="26"/>
      <c r="AS306" s="26"/>
      <c r="AT306" s="26"/>
      <c r="AU306" s="26"/>
      <c r="AV306" s="26"/>
      <c r="AW306" s="26"/>
      <c r="AX306" s="26"/>
      <c r="AY306" s="1"/>
      <c r="AZ306" s="26"/>
      <c r="BA306" s="26"/>
      <c r="BB306" s="26"/>
      <c r="BC306" s="26"/>
      <c r="BD306" s="26"/>
      <c r="BE306" s="26"/>
      <c r="BF306" s="26"/>
      <c r="BG306" s="26"/>
      <c r="BH306" s="26"/>
      <c r="BI306" s="26"/>
      <c r="BJ306" s="26"/>
      <c r="BK306" s="26"/>
      <c r="BL306" s="26"/>
      <c r="BM306" s="26"/>
      <c r="BN306" s="26"/>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96"/>
      <c r="CP306" s="14"/>
      <c r="CQ306" s="14"/>
      <c r="CR306" s="14"/>
      <c r="CS306" s="14"/>
      <c r="CT306" s="1"/>
      <c r="CU306" s="14"/>
      <c r="CV306" s="1"/>
      <c r="CW306" s="1"/>
      <c r="CX306" s="14"/>
      <c r="CY306" s="1"/>
      <c r="CZ306" s="1"/>
      <c r="DA306" s="1"/>
      <c r="DB306" s="1"/>
      <c r="DC306" s="1"/>
      <c r="DD306" s="1"/>
      <c r="DE306" s="1"/>
      <c r="DF306" s="1"/>
      <c r="DG306" s="1"/>
      <c r="DH306" s="1"/>
      <c r="DI306" s="1"/>
      <c r="DJ306" s="1"/>
      <c r="DK306" s="1"/>
      <c r="DL306" s="1"/>
      <c r="DM306" s="1"/>
      <c r="DN306" s="1"/>
      <c r="DO306" s="1"/>
      <c r="DP306" s="1"/>
      <c r="DQ306" s="1"/>
      <c r="DR306" s="1"/>
      <c r="DS306" s="1"/>
      <c r="DT306" s="1"/>
      <c r="DU306" s="14"/>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29"/>
    </row>
    <row r="307" spans="1:160" x14ac:dyDescent="0.25">
      <c r="A307" s="5"/>
      <c r="B307" s="1"/>
      <c r="C307" s="98"/>
      <c r="D307" s="98"/>
      <c r="E307" s="1"/>
      <c r="F307" s="22"/>
      <c r="G307" s="22"/>
      <c r="H307" s="22"/>
      <c r="I307" s="22"/>
      <c r="J307" s="22"/>
      <c r="K307" s="22"/>
      <c r="L307" s="22"/>
      <c r="M307" s="22"/>
      <c r="N307" s="22"/>
      <c r="O307" s="22"/>
      <c r="P307" s="22"/>
      <c r="Q307" s="22"/>
      <c r="R307" s="1"/>
      <c r="S307" s="1"/>
      <c r="T307" s="8"/>
      <c r="U307" s="1"/>
      <c r="V307" s="1"/>
      <c r="W307" s="1"/>
      <c r="X307" s="1"/>
      <c r="Y307" s="1"/>
      <c r="Z307" s="1"/>
      <c r="AA307" s="1"/>
      <c r="AC307" s="1"/>
      <c r="AD307" s="1"/>
      <c r="AE307" s="1"/>
      <c r="AF307" s="1"/>
      <c r="AG307" s="1"/>
      <c r="AH307" s="26"/>
      <c r="AI307" s="26"/>
      <c r="AJ307" s="26"/>
      <c r="AK307" s="26"/>
      <c r="AL307" s="26"/>
      <c r="AM307" s="26"/>
      <c r="AN307" s="26"/>
      <c r="AO307" s="26"/>
      <c r="AP307" s="26"/>
      <c r="AQ307" s="26"/>
      <c r="AR307" s="26"/>
      <c r="AS307" s="26"/>
      <c r="AT307" s="26"/>
      <c r="AU307" s="26"/>
      <c r="AV307" s="26"/>
      <c r="AW307" s="26"/>
      <c r="AX307" s="26"/>
      <c r="AY307" s="1"/>
      <c r="AZ307" s="26"/>
      <c r="BA307" s="26"/>
      <c r="BB307" s="26"/>
      <c r="BC307" s="26"/>
      <c r="BD307" s="26"/>
      <c r="BE307" s="26"/>
      <c r="BF307" s="26"/>
      <c r="BG307" s="26"/>
      <c r="BH307" s="26"/>
      <c r="BI307" s="26"/>
      <c r="BJ307" s="26"/>
      <c r="BK307" s="26"/>
      <c r="BL307" s="26"/>
      <c r="BM307" s="26"/>
      <c r="BN307" s="26"/>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96"/>
      <c r="CP307" s="14"/>
      <c r="CQ307" s="14"/>
      <c r="CR307" s="14"/>
      <c r="CS307" s="14"/>
      <c r="CT307" s="1"/>
      <c r="CU307" s="14"/>
      <c r="CV307" s="1"/>
      <c r="CW307" s="1"/>
      <c r="CX307" s="14"/>
      <c r="CY307" s="1"/>
      <c r="CZ307" s="1"/>
      <c r="DA307" s="1"/>
      <c r="DB307" s="1"/>
      <c r="DC307" s="1"/>
      <c r="DD307" s="1"/>
      <c r="DE307" s="1"/>
      <c r="DF307" s="1"/>
      <c r="DG307" s="1"/>
      <c r="DH307" s="1"/>
      <c r="DI307" s="1"/>
      <c r="DJ307" s="1"/>
      <c r="DK307" s="1"/>
      <c r="DL307" s="1"/>
      <c r="DM307" s="1"/>
      <c r="DN307" s="1"/>
      <c r="DO307" s="1"/>
      <c r="DP307" s="1"/>
      <c r="DQ307" s="1"/>
      <c r="DR307" s="1"/>
      <c r="DS307" s="1"/>
      <c r="DT307" s="1"/>
      <c r="DU307" s="14"/>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29"/>
    </row>
    <row r="308" spans="1:160" x14ac:dyDescent="0.25">
      <c r="A308" s="5"/>
      <c r="B308" s="1"/>
      <c r="C308" s="98"/>
      <c r="D308" s="98"/>
      <c r="E308" s="1"/>
      <c r="F308" s="22"/>
      <c r="G308" s="22"/>
      <c r="H308" s="22"/>
      <c r="I308" s="22"/>
      <c r="J308" s="22"/>
      <c r="K308" s="22"/>
      <c r="L308" s="22"/>
      <c r="M308" s="22"/>
      <c r="N308" s="22"/>
      <c r="O308" s="22"/>
      <c r="P308" s="22"/>
      <c r="Q308" s="22"/>
      <c r="R308" s="1"/>
      <c r="S308" s="1"/>
      <c r="T308" s="8"/>
      <c r="U308" s="1"/>
      <c r="V308" s="1"/>
      <c r="W308" s="1"/>
      <c r="X308" s="1"/>
      <c r="Y308" s="1"/>
      <c r="Z308" s="1"/>
      <c r="AA308" s="1"/>
      <c r="AC308" s="1"/>
      <c r="AD308" s="1"/>
      <c r="AE308" s="1"/>
      <c r="AF308" s="1"/>
      <c r="AG308" s="1"/>
      <c r="AH308" s="26"/>
      <c r="AI308" s="26"/>
      <c r="AJ308" s="26"/>
      <c r="AK308" s="26"/>
      <c r="AL308" s="26"/>
      <c r="AM308" s="26"/>
      <c r="AN308" s="26"/>
      <c r="AO308" s="26"/>
      <c r="AP308" s="26"/>
      <c r="AQ308" s="26"/>
      <c r="AR308" s="26"/>
      <c r="AS308" s="26"/>
      <c r="AT308" s="26"/>
      <c r="AU308" s="26"/>
      <c r="AV308" s="26"/>
      <c r="AW308" s="26"/>
      <c r="AX308" s="26"/>
      <c r="AY308" s="1"/>
      <c r="AZ308" s="26"/>
      <c r="BA308" s="26"/>
      <c r="BB308" s="26"/>
      <c r="BC308" s="26"/>
      <c r="BD308" s="26"/>
      <c r="BE308" s="26"/>
      <c r="BF308" s="26"/>
      <c r="BG308" s="26"/>
      <c r="BH308" s="26"/>
      <c r="BI308" s="26"/>
      <c r="BJ308" s="26"/>
      <c r="BK308" s="26"/>
      <c r="BL308" s="26"/>
      <c r="BM308" s="26"/>
      <c r="BN308" s="26"/>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96"/>
      <c r="CP308" s="14"/>
      <c r="CQ308" s="14"/>
      <c r="CR308" s="14"/>
      <c r="CS308" s="14"/>
      <c r="CT308" s="1"/>
      <c r="CU308" s="14"/>
      <c r="CV308" s="1"/>
      <c r="CW308" s="1"/>
      <c r="CX308" s="14"/>
      <c r="CY308" s="1"/>
      <c r="CZ308" s="1"/>
      <c r="DA308" s="1"/>
      <c r="DB308" s="1"/>
      <c r="DC308" s="1"/>
      <c r="DD308" s="1"/>
      <c r="DE308" s="1"/>
      <c r="DF308" s="1"/>
      <c r="DG308" s="1"/>
      <c r="DH308" s="1"/>
      <c r="DI308" s="1"/>
      <c r="DJ308" s="1"/>
      <c r="DK308" s="1"/>
      <c r="DL308" s="1"/>
      <c r="DM308" s="1"/>
      <c r="DN308" s="1"/>
      <c r="DO308" s="1"/>
      <c r="DP308" s="1"/>
      <c r="DQ308" s="1"/>
      <c r="DR308" s="1"/>
      <c r="DS308" s="1"/>
      <c r="DT308" s="1"/>
      <c r="DU308" s="14"/>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29"/>
    </row>
    <row r="309" spans="1:160" x14ac:dyDescent="0.25">
      <c r="A309" s="5"/>
      <c r="B309" s="1"/>
      <c r="C309" s="98"/>
      <c r="D309" s="98"/>
      <c r="E309" s="1"/>
      <c r="F309" s="22"/>
      <c r="G309" s="22"/>
      <c r="H309" s="22"/>
      <c r="I309" s="22"/>
      <c r="J309" s="22"/>
      <c r="K309" s="22"/>
      <c r="L309" s="22"/>
      <c r="M309" s="22"/>
      <c r="N309" s="22"/>
      <c r="O309" s="22"/>
      <c r="P309" s="22"/>
      <c r="Q309" s="22"/>
      <c r="R309" s="1"/>
      <c r="S309" s="1"/>
      <c r="T309" s="8"/>
      <c r="U309" s="1"/>
      <c r="V309" s="1"/>
      <c r="W309" s="1"/>
      <c r="X309" s="1"/>
      <c r="Y309" s="1"/>
      <c r="Z309" s="1"/>
      <c r="AA309" s="1"/>
      <c r="AC309" s="1"/>
      <c r="AD309" s="1"/>
      <c r="AE309" s="1"/>
      <c r="AF309" s="1"/>
      <c r="AG309" s="1"/>
      <c r="AH309" s="26"/>
      <c r="AI309" s="26"/>
      <c r="AJ309" s="26"/>
      <c r="AK309" s="26"/>
      <c r="AL309" s="26"/>
      <c r="AM309" s="26"/>
      <c r="AN309" s="26"/>
      <c r="AO309" s="26"/>
      <c r="AP309" s="26"/>
      <c r="AQ309" s="26"/>
      <c r="AR309" s="26"/>
      <c r="AS309" s="26"/>
      <c r="AT309" s="26"/>
      <c r="AU309" s="26"/>
      <c r="AV309" s="26"/>
      <c r="AW309" s="26"/>
      <c r="AX309" s="26"/>
      <c r="AY309" s="1"/>
      <c r="AZ309" s="26"/>
      <c r="BA309" s="26"/>
      <c r="BB309" s="26"/>
      <c r="BC309" s="26"/>
      <c r="BD309" s="26"/>
      <c r="BE309" s="26"/>
      <c r="BF309" s="26"/>
      <c r="BG309" s="26"/>
      <c r="BH309" s="26"/>
      <c r="BI309" s="26"/>
      <c r="BJ309" s="26"/>
      <c r="BK309" s="26"/>
      <c r="BL309" s="26"/>
      <c r="BM309" s="26"/>
      <c r="BN309" s="26"/>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96"/>
      <c r="CP309" s="14"/>
      <c r="CQ309" s="14"/>
      <c r="CR309" s="14"/>
      <c r="CS309" s="14"/>
      <c r="CT309" s="1"/>
      <c r="CU309" s="14"/>
      <c r="CV309" s="1"/>
      <c r="CW309" s="1"/>
      <c r="CX309" s="14"/>
      <c r="CY309" s="1"/>
      <c r="CZ309" s="1"/>
      <c r="DA309" s="1"/>
      <c r="DB309" s="1"/>
      <c r="DC309" s="1"/>
      <c r="DD309" s="1"/>
      <c r="DE309" s="1"/>
      <c r="DF309" s="1"/>
      <c r="DG309" s="1"/>
      <c r="DH309" s="1"/>
      <c r="DI309" s="1"/>
      <c r="DJ309" s="1"/>
      <c r="DK309" s="1"/>
      <c r="DL309" s="1"/>
      <c r="DM309" s="1"/>
      <c r="DN309" s="1"/>
      <c r="DO309" s="1"/>
      <c r="DP309" s="1"/>
      <c r="DQ309" s="1"/>
      <c r="DR309" s="1"/>
      <c r="DS309" s="1"/>
      <c r="DT309" s="1"/>
      <c r="DU309" s="14"/>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29"/>
    </row>
    <row r="310" spans="1:160" x14ac:dyDescent="0.25">
      <c r="A310" s="5"/>
      <c r="B310" s="1"/>
      <c r="C310" s="98"/>
      <c r="D310" s="98"/>
      <c r="E310" s="1"/>
      <c r="F310" s="22"/>
      <c r="G310" s="22"/>
      <c r="H310" s="22"/>
      <c r="I310" s="22"/>
      <c r="J310" s="22"/>
      <c r="K310" s="22"/>
      <c r="L310" s="22"/>
      <c r="M310" s="22"/>
      <c r="N310" s="22"/>
      <c r="O310" s="22"/>
      <c r="P310" s="22"/>
      <c r="Q310" s="22"/>
      <c r="R310" s="1"/>
      <c r="S310" s="1"/>
      <c r="T310" s="8"/>
      <c r="U310" s="1"/>
      <c r="V310" s="1"/>
      <c r="W310" s="1"/>
      <c r="X310" s="1"/>
      <c r="Y310" s="1"/>
      <c r="Z310" s="1"/>
      <c r="AA310" s="1"/>
      <c r="AC310" s="1"/>
      <c r="AD310" s="1"/>
      <c r="AE310" s="1"/>
      <c r="AF310" s="1"/>
      <c r="AG310" s="1"/>
      <c r="AH310" s="26"/>
      <c r="AI310" s="26"/>
      <c r="AJ310" s="26"/>
      <c r="AK310" s="26"/>
      <c r="AL310" s="26"/>
      <c r="AM310" s="26"/>
      <c r="AN310" s="26"/>
      <c r="AO310" s="26"/>
      <c r="AP310" s="26"/>
      <c r="AQ310" s="26"/>
      <c r="AR310" s="26"/>
      <c r="AS310" s="26"/>
      <c r="AT310" s="26"/>
      <c r="AU310" s="26"/>
      <c r="AV310" s="26"/>
      <c r="AW310" s="26"/>
      <c r="AX310" s="26"/>
      <c r="AY310" s="1"/>
      <c r="AZ310" s="26"/>
      <c r="BA310" s="26"/>
      <c r="BB310" s="26"/>
      <c r="BC310" s="26"/>
      <c r="BD310" s="26"/>
      <c r="BE310" s="26"/>
      <c r="BF310" s="26"/>
      <c r="BG310" s="26"/>
      <c r="BH310" s="26"/>
      <c r="BI310" s="26"/>
      <c r="BJ310" s="26"/>
      <c r="BK310" s="26"/>
      <c r="BL310" s="26"/>
      <c r="BM310" s="26"/>
      <c r="BN310" s="26"/>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96"/>
      <c r="CP310" s="14"/>
      <c r="CQ310" s="14"/>
      <c r="CR310" s="14"/>
      <c r="CS310" s="14"/>
      <c r="CT310" s="1"/>
      <c r="CU310" s="14"/>
      <c r="CV310" s="1"/>
      <c r="CW310" s="1"/>
      <c r="CX310" s="14"/>
      <c r="CY310" s="1"/>
      <c r="CZ310" s="1"/>
      <c r="DA310" s="1"/>
      <c r="DB310" s="1"/>
      <c r="DC310" s="1"/>
      <c r="DD310" s="1"/>
      <c r="DE310" s="1"/>
      <c r="DF310" s="1"/>
      <c r="DG310" s="1"/>
      <c r="DH310" s="1"/>
      <c r="DI310" s="1"/>
      <c r="DJ310" s="1"/>
      <c r="DK310" s="1"/>
      <c r="DL310" s="1"/>
      <c r="DM310" s="1"/>
      <c r="DN310" s="1"/>
      <c r="DO310" s="1"/>
      <c r="DP310" s="1"/>
      <c r="DQ310" s="1"/>
      <c r="DR310" s="1"/>
      <c r="DS310" s="1"/>
      <c r="DT310" s="1"/>
      <c r="DU310" s="14"/>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29"/>
    </row>
    <row r="311" spans="1:160" x14ac:dyDescent="0.25">
      <c r="A311" s="5"/>
      <c r="B311" s="1"/>
      <c r="C311" s="98"/>
      <c r="D311" s="98"/>
      <c r="E311" s="1"/>
      <c r="F311" s="22"/>
      <c r="G311" s="22"/>
      <c r="H311" s="22"/>
      <c r="I311" s="22"/>
      <c r="J311" s="22"/>
      <c r="K311" s="22"/>
      <c r="L311" s="22"/>
      <c r="M311" s="22"/>
      <c r="N311" s="22"/>
      <c r="O311" s="22"/>
      <c r="P311" s="22"/>
      <c r="Q311" s="22"/>
      <c r="R311" s="1"/>
      <c r="S311" s="1"/>
      <c r="T311" s="8"/>
      <c r="U311" s="1"/>
      <c r="V311" s="1"/>
      <c r="W311" s="1"/>
      <c r="X311" s="1"/>
      <c r="Y311" s="1"/>
      <c r="Z311" s="1"/>
      <c r="AA311" s="1"/>
      <c r="AC311" s="1"/>
      <c r="AD311" s="1"/>
      <c r="AE311" s="1"/>
      <c r="AF311" s="1"/>
      <c r="AG311" s="1"/>
      <c r="AH311" s="26"/>
      <c r="AI311" s="26"/>
      <c r="AJ311" s="26"/>
      <c r="AK311" s="26"/>
      <c r="AL311" s="26"/>
      <c r="AM311" s="26"/>
      <c r="AN311" s="26"/>
      <c r="AO311" s="26"/>
      <c r="AP311" s="26"/>
      <c r="AQ311" s="26"/>
      <c r="AR311" s="26"/>
      <c r="AS311" s="26"/>
      <c r="AT311" s="26"/>
      <c r="AU311" s="26"/>
      <c r="AV311" s="26"/>
      <c r="AW311" s="26"/>
      <c r="AX311" s="26"/>
      <c r="AY311" s="1"/>
      <c r="AZ311" s="26"/>
      <c r="BA311" s="26"/>
      <c r="BB311" s="26"/>
      <c r="BC311" s="26"/>
      <c r="BD311" s="26"/>
      <c r="BE311" s="26"/>
      <c r="BF311" s="26"/>
      <c r="BG311" s="26"/>
      <c r="BH311" s="26"/>
      <c r="BI311" s="26"/>
      <c r="BJ311" s="26"/>
      <c r="BK311" s="26"/>
      <c r="BL311" s="26"/>
      <c r="BM311" s="26"/>
      <c r="BN311" s="26"/>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96"/>
      <c r="CP311" s="14"/>
      <c r="CQ311" s="14"/>
      <c r="CR311" s="14"/>
      <c r="CS311" s="14"/>
      <c r="CT311" s="1"/>
      <c r="CU311" s="14"/>
      <c r="CV311" s="1"/>
      <c r="CW311" s="1"/>
      <c r="CX311" s="14"/>
      <c r="CY311" s="1"/>
      <c r="CZ311" s="1"/>
      <c r="DA311" s="1"/>
      <c r="DB311" s="1"/>
      <c r="DC311" s="1"/>
      <c r="DD311" s="1"/>
      <c r="DE311" s="1"/>
      <c r="DF311" s="1"/>
      <c r="DG311" s="1"/>
      <c r="DH311" s="1"/>
      <c r="DI311" s="1"/>
      <c r="DJ311" s="1"/>
      <c r="DK311" s="1"/>
      <c r="DL311" s="1"/>
      <c r="DM311" s="1"/>
      <c r="DN311" s="1"/>
      <c r="DO311" s="1"/>
      <c r="DP311" s="1"/>
      <c r="DQ311" s="1"/>
      <c r="DR311" s="1"/>
      <c r="DS311" s="1"/>
      <c r="DT311" s="1"/>
      <c r="DU311" s="14"/>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29"/>
    </row>
    <row r="312" spans="1:160" x14ac:dyDescent="0.25">
      <c r="A312" s="5"/>
      <c r="B312" s="1"/>
      <c r="C312" s="98"/>
      <c r="D312" s="98"/>
      <c r="E312" s="1"/>
      <c r="F312" s="22"/>
      <c r="G312" s="22"/>
      <c r="H312" s="22"/>
      <c r="I312" s="22"/>
      <c r="J312" s="22"/>
      <c r="K312" s="22"/>
      <c r="L312" s="22"/>
      <c r="M312" s="22"/>
      <c r="N312" s="22"/>
      <c r="O312" s="22"/>
      <c r="P312" s="22"/>
      <c r="Q312" s="22"/>
      <c r="R312" s="1"/>
      <c r="S312" s="1"/>
      <c r="T312" s="8"/>
      <c r="U312" s="1"/>
      <c r="V312" s="1"/>
      <c r="W312" s="1"/>
      <c r="X312" s="1"/>
      <c r="Y312" s="1"/>
      <c r="Z312" s="1"/>
      <c r="AA312" s="1"/>
      <c r="AC312" s="1"/>
      <c r="AD312" s="1"/>
      <c r="AE312" s="1"/>
      <c r="AF312" s="1"/>
      <c r="AG312" s="1"/>
      <c r="AH312" s="26"/>
      <c r="AI312" s="26"/>
      <c r="AJ312" s="26"/>
      <c r="AK312" s="26"/>
      <c r="AL312" s="26"/>
      <c r="AM312" s="26"/>
      <c r="AN312" s="26"/>
      <c r="AO312" s="26"/>
      <c r="AP312" s="26"/>
      <c r="AQ312" s="26"/>
      <c r="AR312" s="26"/>
      <c r="AS312" s="26"/>
      <c r="AT312" s="26"/>
      <c r="AU312" s="26"/>
      <c r="AV312" s="26"/>
      <c r="AW312" s="26"/>
      <c r="AX312" s="26"/>
      <c r="AY312" s="1"/>
      <c r="AZ312" s="26"/>
      <c r="BA312" s="26"/>
      <c r="BB312" s="26"/>
      <c r="BC312" s="26"/>
      <c r="BD312" s="26"/>
      <c r="BE312" s="26"/>
      <c r="BF312" s="26"/>
      <c r="BG312" s="26"/>
      <c r="BH312" s="26"/>
      <c r="BI312" s="26"/>
      <c r="BJ312" s="26"/>
      <c r="BK312" s="26"/>
      <c r="BL312" s="26"/>
      <c r="BM312" s="26"/>
      <c r="BN312" s="26"/>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96"/>
      <c r="CP312" s="14"/>
      <c r="CQ312" s="14"/>
      <c r="CR312" s="14"/>
      <c r="CS312" s="14"/>
      <c r="CT312" s="1"/>
      <c r="CU312" s="14"/>
      <c r="CV312" s="1"/>
      <c r="CW312" s="1"/>
      <c r="CX312" s="14"/>
      <c r="CY312" s="1"/>
      <c r="CZ312" s="1"/>
      <c r="DA312" s="1"/>
      <c r="DB312" s="1"/>
      <c r="DC312" s="1"/>
      <c r="DD312" s="1"/>
      <c r="DE312" s="1"/>
      <c r="DF312" s="1"/>
      <c r="DG312" s="1"/>
      <c r="DH312" s="1"/>
      <c r="DI312" s="1"/>
      <c r="DJ312" s="1"/>
      <c r="DK312" s="1"/>
      <c r="DL312" s="1"/>
      <c r="DM312" s="1"/>
      <c r="DN312" s="1"/>
      <c r="DO312" s="1"/>
      <c r="DP312" s="1"/>
      <c r="DQ312" s="1"/>
      <c r="DR312" s="1"/>
      <c r="DS312" s="1"/>
      <c r="DT312" s="1"/>
      <c r="DU312" s="14"/>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29"/>
    </row>
    <row r="313" spans="1:160" x14ac:dyDescent="0.25">
      <c r="A313" s="5"/>
      <c r="B313" s="1"/>
      <c r="C313" s="98"/>
      <c r="D313" s="98"/>
      <c r="E313" s="1"/>
      <c r="F313" s="22"/>
      <c r="G313" s="22"/>
      <c r="H313" s="22"/>
      <c r="I313" s="22"/>
      <c r="J313" s="22"/>
      <c r="K313" s="22"/>
      <c r="L313" s="22"/>
      <c r="M313" s="22"/>
      <c r="N313" s="22"/>
      <c r="O313" s="22"/>
      <c r="P313" s="22"/>
      <c r="Q313" s="22"/>
      <c r="R313" s="1"/>
      <c r="S313" s="1"/>
      <c r="T313" s="8"/>
      <c r="U313" s="1"/>
      <c r="V313" s="1"/>
      <c r="W313" s="1"/>
      <c r="X313" s="1"/>
      <c r="Y313" s="1"/>
      <c r="Z313" s="1"/>
      <c r="AA313" s="1"/>
      <c r="AC313" s="1"/>
      <c r="AD313" s="1"/>
      <c r="AE313" s="1"/>
      <c r="AF313" s="1"/>
      <c r="AG313" s="1"/>
      <c r="AH313" s="26"/>
      <c r="AI313" s="26"/>
      <c r="AJ313" s="26"/>
      <c r="AK313" s="26"/>
      <c r="AL313" s="26"/>
      <c r="AM313" s="26"/>
      <c r="AN313" s="26"/>
      <c r="AO313" s="26"/>
      <c r="AP313" s="26"/>
      <c r="AQ313" s="26"/>
      <c r="AR313" s="26"/>
      <c r="AS313" s="26"/>
      <c r="AT313" s="26"/>
      <c r="AU313" s="26"/>
      <c r="AV313" s="26"/>
      <c r="AW313" s="26"/>
      <c r="AX313" s="26"/>
      <c r="AY313" s="1"/>
      <c r="AZ313" s="26"/>
      <c r="BA313" s="26"/>
      <c r="BB313" s="26"/>
      <c r="BC313" s="26"/>
      <c r="BD313" s="26"/>
      <c r="BE313" s="26"/>
      <c r="BF313" s="26"/>
      <c r="BG313" s="26"/>
      <c r="BH313" s="26"/>
      <c r="BI313" s="26"/>
      <c r="BJ313" s="26"/>
      <c r="BK313" s="26"/>
      <c r="BL313" s="26"/>
      <c r="BM313" s="26"/>
      <c r="BN313" s="26"/>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96"/>
      <c r="CP313" s="14"/>
      <c r="CQ313" s="14"/>
      <c r="CR313" s="14"/>
      <c r="CS313" s="14"/>
      <c r="CT313" s="1"/>
      <c r="CU313" s="14"/>
      <c r="CV313" s="1"/>
      <c r="CW313" s="1"/>
      <c r="CX313" s="14"/>
      <c r="CY313" s="1"/>
      <c r="CZ313" s="1"/>
      <c r="DA313" s="1"/>
      <c r="DB313" s="1"/>
      <c r="DC313" s="1"/>
      <c r="DD313" s="1"/>
      <c r="DE313" s="1"/>
      <c r="DF313" s="1"/>
      <c r="DG313" s="1"/>
      <c r="DH313" s="1"/>
      <c r="DI313" s="1"/>
      <c r="DJ313" s="1"/>
      <c r="DK313" s="1"/>
      <c r="DL313" s="1"/>
      <c r="DM313" s="1"/>
      <c r="DN313" s="1"/>
      <c r="DO313" s="1"/>
      <c r="DP313" s="1"/>
      <c r="DQ313" s="1"/>
      <c r="DR313" s="1"/>
      <c r="DS313" s="1"/>
      <c r="DT313" s="1"/>
      <c r="DU313" s="14"/>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29"/>
    </row>
    <row r="314" spans="1:160" x14ac:dyDescent="0.25">
      <c r="A314" s="5"/>
      <c r="B314" s="1"/>
      <c r="C314" s="98"/>
      <c r="D314" s="98"/>
      <c r="E314" s="1"/>
      <c r="F314" s="22"/>
      <c r="G314" s="22"/>
      <c r="H314" s="22"/>
      <c r="I314" s="22"/>
      <c r="J314" s="22"/>
      <c r="K314" s="22"/>
      <c r="L314" s="22"/>
      <c r="M314" s="22"/>
      <c r="N314" s="22"/>
      <c r="O314" s="22"/>
      <c r="P314" s="22"/>
      <c r="Q314" s="22"/>
      <c r="R314" s="1"/>
      <c r="S314" s="1"/>
      <c r="T314" s="8"/>
      <c r="U314" s="1"/>
      <c r="V314" s="1"/>
      <c r="W314" s="1"/>
      <c r="X314" s="1"/>
      <c r="Y314" s="1"/>
      <c r="Z314" s="1"/>
      <c r="AA314" s="1"/>
      <c r="AC314" s="1"/>
      <c r="AD314" s="1"/>
      <c r="AE314" s="1"/>
      <c r="AF314" s="1"/>
      <c r="AG314" s="1"/>
      <c r="AH314" s="26"/>
      <c r="AI314" s="26"/>
      <c r="AJ314" s="26"/>
      <c r="AK314" s="26"/>
      <c r="AL314" s="26"/>
      <c r="AM314" s="26"/>
      <c r="AN314" s="26"/>
      <c r="AO314" s="26"/>
      <c r="AP314" s="26"/>
      <c r="AQ314" s="26"/>
      <c r="AR314" s="26"/>
      <c r="AS314" s="26"/>
      <c r="AT314" s="26"/>
      <c r="AU314" s="26"/>
      <c r="AV314" s="26"/>
      <c r="AW314" s="26"/>
      <c r="AX314" s="26"/>
      <c r="AY314" s="1"/>
      <c r="AZ314" s="26"/>
      <c r="BA314" s="26"/>
      <c r="BB314" s="26"/>
      <c r="BC314" s="26"/>
      <c r="BD314" s="26"/>
      <c r="BE314" s="26"/>
      <c r="BF314" s="26"/>
      <c r="BG314" s="26"/>
      <c r="BH314" s="26"/>
      <c r="BI314" s="26"/>
      <c r="BJ314" s="26"/>
      <c r="BK314" s="26"/>
      <c r="BL314" s="26"/>
      <c r="BM314" s="26"/>
      <c r="BN314" s="26"/>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96"/>
      <c r="CP314" s="14"/>
      <c r="CQ314" s="14"/>
      <c r="CR314" s="14"/>
      <c r="CS314" s="14"/>
      <c r="CT314" s="1"/>
      <c r="CU314" s="14"/>
      <c r="CV314" s="1"/>
      <c r="CW314" s="1"/>
      <c r="CX314" s="14"/>
      <c r="CY314" s="1"/>
      <c r="CZ314" s="1"/>
      <c r="DA314" s="1"/>
      <c r="DB314" s="1"/>
      <c r="DC314" s="1"/>
      <c r="DD314" s="1"/>
      <c r="DE314" s="1"/>
      <c r="DF314" s="1"/>
      <c r="DG314" s="1"/>
      <c r="DH314" s="1"/>
      <c r="DI314" s="1"/>
      <c r="DJ314" s="1"/>
      <c r="DK314" s="1"/>
      <c r="DL314" s="1"/>
      <c r="DM314" s="1"/>
      <c r="DN314" s="1"/>
      <c r="DO314" s="1"/>
      <c r="DP314" s="1"/>
      <c r="DQ314" s="1"/>
      <c r="DR314" s="1"/>
      <c r="DS314" s="1"/>
      <c r="DT314" s="1"/>
      <c r="DU314" s="14"/>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29"/>
    </row>
    <row r="315" spans="1:160" x14ac:dyDescent="0.25">
      <c r="A315" s="5"/>
      <c r="B315" s="1"/>
      <c r="C315" s="98"/>
      <c r="D315" s="98"/>
      <c r="E315" s="1"/>
      <c r="F315" s="22"/>
      <c r="G315" s="22"/>
      <c r="H315" s="22"/>
      <c r="I315" s="22"/>
      <c r="J315" s="22"/>
      <c r="K315" s="22"/>
      <c r="L315" s="22"/>
      <c r="M315" s="22"/>
      <c r="N315" s="22"/>
      <c r="O315" s="22"/>
      <c r="P315" s="22"/>
      <c r="Q315" s="22"/>
      <c r="R315" s="1"/>
      <c r="S315" s="1"/>
      <c r="T315" s="8"/>
      <c r="U315" s="1"/>
      <c r="V315" s="1"/>
      <c r="W315" s="1"/>
      <c r="X315" s="1"/>
      <c r="Y315" s="1"/>
      <c r="Z315" s="1"/>
      <c r="AA315" s="1"/>
      <c r="AC315" s="1"/>
      <c r="AD315" s="1"/>
      <c r="AE315" s="1"/>
      <c r="AF315" s="1"/>
      <c r="AG315" s="1"/>
      <c r="AH315" s="26"/>
      <c r="AI315" s="26"/>
      <c r="AJ315" s="26"/>
      <c r="AK315" s="26"/>
      <c r="AL315" s="26"/>
      <c r="AM315" s="26"/>
      <c r="AN315" s="26"/>
      <c r="AO315" s="26"/>
      <c r="AP315" s="26"/>
      <c r="AQ315" s="26"/>
      <c r="AR315" s="26"/>
      <c r="AS315" s="26"/>
      <c r="AT315" s="26"/>
      <c r="AU315" s="26"/>
      <c r="AV315" s="26"/>
      <c r="AW315" s="26"/>
      <c r="AX315" s="26"/>
      <c r="AY315" s="1"/>
      <c r="AZ315" s="26"/>
      <c r="BA315" s="26"/>
      <c r="BB315" s="26"/>
      <c r="BC315" s="26"/>
      <c r="BD315" s="26"/>
      <c r="BE315" s="26"/>
      <c r="BF315" s="26"/>
      <c r="BG315" s="26"/>
      <c r="BH315" s="26"/>
      <c r="BI315" s="26"/>
      <c r="BJ315" s="26"/>
      <c r="BK315" s="26"/>
      <c r="BL315" s="26"/>
      <c r="BM315" s="26"/>
      <c r="BN315" s="26"/>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96"/>
      <c r="CP315" s="14"/>
      <c r="CQ315" s="14"/>
      <c r="CR315" s="14"/>
      <c r="CS315" s="14"/>
      <c r="CT315" s="1"/>
      <c r="CU315" s="14"/>
      <c r="CV315" s="1"/>
      <c r="CW315" s="1"/>
      <c r="CX315" s="14"/>
      <c r="CY315" s="1"/>
      <c r="CZ315" s="1"/>
      <c r="DA315" s="1"/>
      <c r="DB315" s="1"/>
      <c r="DC315" s="1"/>
      <c r="DD315" s="1"/>
      <c r="DE315" s="1"/>
      <c r="DF315" s="1"/>
      <c r="DG315" s="1"/>
      <c r="DH315" s="1"/>
      <c r="DI315" s="1"/>
      <c r="DJ315" s="1"/>
      <c r="DK315" s="1"/>
      <c r="DL315" s="1"/>
      <c r="DM315" s="1"/>
      <c r="DN315" s="1"/>
      <c r="DO315" s="1"/>
      <c r="DP315" s="1"/>
      <c r="DQ315" s="1"/>
      <c r="DR315" s="1"/>
      <c r="DS315" s="1"/>
      <c r="DT315" s="1"/>
      <c r="DU315" s="14"/>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29"/>
    </row>
    <row r="316" spans="1:160" x14ac:dyDescent="0.25">
      <c r="A316" s="5"/>
      <c r="B316" s="1"/>
      <c r="C316" s="98"/>
      <c r="D316" s="98"/>
      <c r="E316" s="1"/>
      <c r="F316" s="22"/>
      <c r="G316" s="22"/>
      <c r="H316" s="22"/>
      <c r="I316" s="22"/>
      <c r="J316" s="22"/>
      <c r="K316" s="22"/>
      <c r="L316" s="22"/>
      <c r="M316" s="22"/>
      <c r="N316" s="22"/>
      <c r="O316" s="22"/>
      <c r="P316" s="22"/>
      <c r="Q316" s="22"/>
      <c r="R316" s="1"/>
      <c r="S316" s="1"/>
      <c r="T316" s="8"/>
      <c r="U316" s="1"/>
      <c r="V316" s="1"/>
      <c r="W316" s="1"/>
      <c r="X316" s="1"/>
      <c r="Y316" s="1"/>
      <c r="Z316" s="1"/>
      <c r="AA316" s="1"/>
      <c r="AC316" s="1"/>
      <c r="AD316" s="1"/>
      <c r="AE316" s="1"/>
      <c r="AF316" s="1"/>
      <c r="AG316" s="1"/>
      <c r="AH316" s="26"/>
      <c r="AI316" s="26"/>
      <c r="AJ316" s="26"/>
      <c r="AK316" s="26"/>
      <c r="AL316" s="26"/>
      <c r="AM316" s="26"/>
      <c r="AN316" s="26"/>
      <c r="AO316" s="26"/>
      <c r="AP316" s="26"/>
      <c r="AQ316" s="26"/>
      <c r="AR316" s="26"/>
      <c r="AS316" s="26"/>
      <c r="AT316" s="26"/>
      <c r="AU316" s="26"/>
      <c r="AV316" s="26"/>
      <c r="AW316" s="26"/>
      <c r="AX316" s="26"/>
      <c r="AY316" s="1"/>
      <c r="AZ316" s="26"/>
      <c r="BA316" s="26"/>
      <c r="BB316" s="26"/>
      <c r="BC316" s="26"/>
      <c r="BD316" s="26"/>
      <c r="BE316" s="26"/>
      <c r="BF316" s="26"/>
      <c r="BG316" s="26"/>
      <c r="BH316" s="26"/>
      <c r="BI316" s="26"/>
      <c r="BJ316" s="26"/>
      <c r="BK316" s="26"/>
      <c r="BL316" s="26"/>
      <c r="BM316" s="26"/>
      <c r="BN316" s="26"/>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96"/>
      <c r="CP316" s="14"/>
      <c r="CQ316" s="14"/>
      <c r="CR316" s="14"/>
      <c r="CS316" s="14"/>
      <c r="CT316" s="1"/>
      <c r="CU316" s="14"/>
      <c r="CV316" s="1"/>
      <c r="CW316" s="1"/>
      <c r="CX316" s="14"/>
      <c r="CY316" s="1"/>
      <c r="CZ316" s="1"/>
      <c r="DA316" s="1"/>
      <c r="DB316" s="1"/>
      <c r="DC316" s="1"/>
      <c r="DD316" s="1"/>
      <c r="DE316" s="1"/>
      <c r="DF316" s="1"/>
      <c r="DG316" s="1"/>
      <c r="DH316" s="1"/>
      <c r="DI316" s="1"/>
      <c r="DJ316" s="1"/>
      <c r="DK316" s="1"/>
      <c r="DL316" s="1"/>
      <c r="DM316" s="1"/>
      <c r="DN316" s="1"/>
      <c r="DO316" s="1"/>
      <c r="DP316" s="1"/>
      <c r="DQ316" s="1"/>
      <c r="DR316" s="1"/>
      <c r="DS316" s="1"/>
      <c r="DT316" s="1"/>
      <c r="DU316" s="14"/>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29"/>
    </row>
    <row r="317" spans="1:160" x14ac:dyDescent="0.25">
      <c r="A317" s="5"/>
      <c r="B317" s="1"/>
      <c r="C317" s="98"/>
      <c r="D317" s="98"/>
      <c r="E317" s="1"/>
      <c r="F317" s="22"/>
      <c r="G317" s="22"/>
      <c r="H317" s="22"/>
      <c r="I317" s="22"/>
      <c r="J317" s="22"/>
      <c r="K317" s="22"/>
      <c r="L317" s="22"/>
      <c r="M317" s="22"/>
      <c r="N317" s="22"/>
      <c r="O317" s="22"/>
      <c r="P317" s="22"/>
      <c r="Q317" s="22"/>
      <c r="R317" s="1"/>
      <c r="S317" s="1"/>
      <c r="T317" s="8"/>
      <c r="U317" s="1"/>
      <c r="V317" s="1"/>
      <c r="W317" s="1"/>
      <c r="X317" s="1"/>
      <c r="Y317" s="1"/>
      <c r="Z317" s="1"/>
      <c r="AA317" s="1"/>
      <c r="AC317" s="1"/>
      <c r="AD317" s="1"/>
      <c r="AE317" s="1"/>
      <c r="AF317" s="1"/>
      <c r="AG317" s="1"/>
      <c r="AH317" s="26"/>
      <c r="AI317" s="26"/>
      <c r="AJ317" s="26"/>
      <c r="AK317" s="26"/>
      <c r="AL317" s="26"/>
      <c r="AM317" s="26"/>
      <c r="AN317" s="26"/>
      <c r="AO317" s="26"/>
      <c r="AP317" s="26"/>
      <c r="AQ317" s="26"/>
      <c r="AR317" s="26"/>
      <c r="AS317" s="26"/>
      <c r="AT317" s="26"/>
      <c r="AU317" s="26"/>
      <c r="AV317" s="26"/>
      <c r="AW317" s="26"/>
      <c r="AX317" s="26"/>
      <c r="AY317" s="1"/>
      <c r="AZ317" s="26"/>
      <c r="BA317" s="26"/>
      <c r="BB317" s="26"/>
      <c r="BC317" s="26"/>
      <c r="BD317" s="26"/>
      <c r="BE317" s="26"/>
      <c r="BF317" s="26"/>
      <c r="BG317" s="26"/>
      <c r="BH317" s="26"/>
      <c r="BI317" s="26"/>
      <c r="BJ317" s="26"/>
      <c r="BK317" s="26"/>
      <c r="BL317" s="26"/>
      <c r="BM317" s="26"/>
      <c r="BN317" s="26"/>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96"/>
      <c r="CP317" s="14"/>
      <c r="CQ317" s="14"/>
      <c r="CR317" s="14"/>
      <c r="CS317" s="14"/>
      <c r="CT317" s="1"/>
      <c r="CU317" s="14"/>
      <c r="CV317" s="1"/>
      <c r="CW317" s="1"/>
      <c r="CX317" s="14"/>
      <c r="CY317" s="1"/>
      <c r="CZ317" s="1"/>
      <c r="DA317" s="1"/>
      <c r="DB317" s="1"/>
      <c r="DC317" s="1"/>
      <c r="DD317" s="1"/>
      <c r="DE317" s="1"/>
      <c r="DF317" s="1"/>
      <c r="DG317" s="1"/>
      <c r="DH317" s="1"/>
      <c r="DI317" s="1"/>
      <c r="DJ317" s="1"/>
      <c r="DK317" s="1"/>
      <c r="DL317" s="1"/>
      <c r="DM317" s="1"/>
      <c r="DN317" s="1"/>
      <c r="DO317" s="1"/>
      <c r="DP317" s="1"/>
      <c r="DQ317" s="1"/>
      <c r="DR317" s="1"/>
      <c r="DS317" s="1"/>
      <c r="DT317" s="1"/>
      <c r="DU317" s="14"/>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29"/>
    </row>
    <row r="318" spans="1:160" x14ac:dyDescent="0.25">
      <c r="A318" s="5"/>
      <c r="B318" s="1"/>
      <c r="C318" s="98"/>
      <c r="D318" s="98"/>
      <c r="E318" s="1"/>
      <c r="F318" s="22"/>
      <c r="G318" s="22"/>
      <c r="H318" s="22"/>
      <c r="I318" s="22"/>
      <c r="J318" s="22"/>
      <c r="K318" s="22"/>
      <c r="L318" s="22"/>
      <c r="M318" s="22"/>
      <c r="N318" s="22"/>
      <c r="O318" s="22"/>
      <c r="P318" s="22"/>
      <c r="Q318" s="22"/>
      <c r="R318" s="1"/>
      <c r="S318" s="1"/>
      <c r="T318" s="8"/>
      <c r="U318" s="1"/>
      <c r="V318" s="1"/>
      <c r="W318" s="1"/>
      <c r="X318" s="1"/>
      <c r="Y318" s="1"/>
      <c r="Z318" s="1"/>
      <c r="AA318" s="1"/>
      <c r="AC318" s="1"/>
      <c r="AD318" s="1"/>
      <c r="AE318" s="1"/>
      <c r="AF318" s="1"/>
      <c r="AG318" s="1"/>
      <c r="AH318" s="26"/>
      <c r="AI318" s="26"/>
      <c r="AJ318" s="26"/>
      <c r="AK318" s="26"/>
      <c r="AL318" s="26"/>
      <c r="AM318" s="26"/>
      <c r="AN318" s="26"/>
      <c r="AO318" s="26"/>
      <c r="AP318" s="26"/>
      <c r="AQ318" s="26"/>
      <c r="AR318" s="26"/>
      <c r="AS318" s="26"/>
      <c r="AT318" s="26"/>
      <c r="AU318" s="26"/>
      <c r="AV318" s="26"/>
      <c r="AW318" s="26"/>
      <c r="AX318" s="26"/>
      <c r="AY318" s="1"/>
      <c r="AZ318" s="26"/>
      <c r="BA318" s="26"/>
      <c r="BB318" s="26"/>
      <c r="BC318" s="26"/>
      <c r="BD318" s="26"/>
      <c r="BE318" s="26"/>
      <c r="BF318" s="26"/>
      <c r="BG318" s="26"/>
      <c r="BH318" s="26"/>
      <c r="BI318" s="26"/>
      <c r="BJ318" s="26"/>
      <c r="BK318" s="26"/>
      <c r="BL318" s="26"/>
      <c r="BM318" s="26"/>
      <c r="BN318" s="26"/>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96"/>
      <c r="CP318" s="14"/>
      <c r="CQ318" s="14"/>
      <c r="CR318" s="14"/>
      <c r="CS318" s="14"/>
      <c r="CT318" s="1"/>
      <c r="CU318" s="14"/>
      <c r="CV318" s="1"/>
      <c r="CW318" s="1"/>
      <c r="CX318" s="14"/>
      <c r="CY318" s="1"/>
      <c r="CZ318" s="1"/>
      <c r="DA318" s="1"/>
      <c r="DB318" s="1"/>
      <c r="DC318" s="1"/>
      <c r="DD318" s="1"/>
      <c r="DE318" s="1"/>
      <c r="DF318" s="1"/>
      <c r="DG318" s="1"/>
      <c r="DH318" s="1"/>
      <c r="DI318" s="1"/>
      <c r="DJ318" s="1"/>
      <c r="DK318" s="1"/>
      <c r="DL318" s="1"/>
      <c r="DM318" s="1"/>
      <c r="DN318" s="1"/>
      <c r="DO318" s="1"/>
      <c r="DP318" s="1"/>
      <c r="DQ318" s="1"/>
      <c r="DR318" s="1"/>
      <c r="DS318" s="1"/>
      <c r="DT318" s="1"/>
      <c r="DU318" s="14"/>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29"/>
    </row>
    <row r="319" spans="1:160" x14ac:dyDescent="0.25">
      <c r="A319" s="5"/>
      <c r="B319" s="1"/>
      <c r="C319" s="98"/>
      <c r="D319" s="98"/>
      <c r="E319" s="1"/>
      <c r="F319" s="22"/>
      <c r="G319" s="22"/>
      <c r="H319" s="22"/>
      <c r="I319" s="22"/>
      <c r="J319" s="22"/>
      <c r="K319" s="22"/>
      <c r="L319" s="22"/>
      <c r="M319" s="22"/>
      <c r="N319" s="22"/>
      <c r="O319" s="22"/>
      <c r="P319" s="22"/>
      <c r="Q319" s="22"/>
      <c r="R319" s="1"/>
      <c r="S319" s="1"/>
      <c r="T319" s="8"/>
      <c r="U319" s="1"/>
      <c r="V319" s="1"/>
      <c r="W319" s="1"/>
      <c r="X319" s="1"/>
      <c r="Y319" s="1"/>
      <c r="Z319" s="1"/>
      <c r="AA319" s="1"/>
      <c r="AC319" s="1"/>
      <c r="AD319" s="1"/>
      <c r="AE319" s="1"/>
      <c r="AF319" s="1"/>
      <c r="AG319" s="1"/>
      <c r="AH319" s="26"/>
      <c r="AI319" s="26"/>
      <c r="AJ319" s="26"/>
      <c r="AK319" s="26"/>
      <c r="AL319" s="26"/>
      <c r="AM319" s="26"/>
      <c r="AN319" s="26"/>
      <c r="AO319" s="26"/>
      <c r="AP319" s="26"/>
      <c r="AQ319" s="26"/>
      <c r="AR319" s="26"/>
      <c r="AS319" s="26"/>
      <c r="AT319" s="26"/>
      <c r="AU319" s="26"/>
      <c r="AV319" s="26"/>
      <c r="AW319" s="26"/>
      <c r="AX319" s="26"/>
      <c r="AY319" s="1"/>
      <c r="AZ319" s="26"/>
      <c r="BA319" s="26"/>
      <c r="BB319" s="26"/>
      <c r="BC319" s="26"/>
      <c r="BD319" s="26"/>
      <c r="BE319" s="26"/>
      <c r="BF319" s="26"/>
      <c r="BG319" s="26"/>
      <c r="BH319" s="26"/>
      <c r="BI319" s="26"/>
      <c r="BJ319" s="26"/>
      <c r="BK319" s="26"/>
      <c r="BL319" s="26"/>
      <c r="BM319" s="26"/>
      <c r="BN319" s="26"/>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96"/>
      <c r="CP319" s="14"/>
      <c r="CQ319" s="14"/>
      <c r="CR319" s="14"/>
      <c r="CS319" s="14"/>
      <c r="CT319" s="1"/>
      <c r="CU319" s="14"/>
      <c r="CV319" s="1"/>
      <c r="CW319" s="1"/>
      <c r="CX319" s="14"/>
      <c r="CY319" s="1"/>
      <c r="CZ319" s="1"/>
      <c r="DA319" s="1"/>
      <c r="DB319" s="1"/>
      <c r="DC319" s="1"/>
      <c r="DD319" s="1"/>
      <c r="DE319" s="1"/>
      <c r="DF319" s="1"/>
      <c r="DG319" s="1"/>
      <c r="DH319" s="1"/>
      <c r="DI319" s="1"/>
      <c r="DJ319" s="1"/>
      <c r="DK319" s="1"/>
      <c r="DL319" s="1"/>
      <c r="DM319" s="1"/>
      <c r="DN319" s="1"/>
      <c r="DO319" s="1"/>
      <c r="DP319" s="1"/>
      <c r="DQ319" s="1"/>
      <c r="DR319" s="1"/>
      <c r="DS319" s="1"/>
      <c r="DT319" s="1"/>
      <c r="DU319" s="14"/>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29"/>
    </row>
    <row r="320" spans="1:160" x14ac:dyDescent="0.25">
      <c r="A320" s="5"/>
      <c r="B320" s="1"/>
      <c r="C320" s="98"/>
      <c r="D320" s="98"/>
      <c r="E320" s="1"/>
      <c r="F320" s="22"/>
      <c r="G320" s="22"/>
      <c r="H320" s="22"/>
      <c r="I320" s="22"/>
      <c r="J320" s="22"/>
      <c r="K320" s="22"/>
      <c r="L320" s="22"/>
      <c r="M320" s="22"/>
      <c r="N320" s="22"/>
      <c r="O320" s="22"/>
      <c r="P320" s="22"/>
      <c r="Q320" s="22"/>
      <c r="R320" s="1"/>
      <c r="S320" s="1"/>
      <c r="T320" s="8"/>
      <c r="U320" s="1"/>
      <c r="V320" s="1"/>
      <c r="W320" s="1"/>
      <c r="X320" s="1"/>
      <c r="Y320" s="1"/>
      <c r="Z320" s="1"/>
      <c r="AA320" s="1"/>
      <c r="AC320" s="1"/>
      <c r="AD320" s="1"/>
      <c r="AE320" s="1"/>
      <c r="AF320" s="1"/>
      <c r="AG320" s="1"/>
      <c r="AH320" s="26"/>
      <c r="AI320" s="26"/>
      <c r="AJ320" s="26"/>
      <c r="AK320" s="26"/>
      <c r="AL320" s="26"/>
      <c r="AM320" s="26"/>
      <c r="AN320" s="26"/>
      <c r="AO320" s="26"/>
      <c r="AP320" s="26"/>
      <c r="AQ320" s="26"/>
      <c r="AR320" s="26"/>
      <c r="AS320" s="26"/>
      <c r="AT320" s="26"/>
      <c r="AU320" s="26"/>
      <c r="AV320" s="26"/>
      <c r="AW320" s="26"/>
      <c r="AX320" s="26"/>
      <c r="AY320" s="1"/>
      <c r="AZ320" s="26"/>
      <c r="BA320" s="26"/>
      <c r="BB320" s="26"/>
      <c r="BC320" s="26"/>
      <c r="BD320" s="26"/>
      <c r="BE320" s="26"/>
      <c r="BF320" s="26"/>
      <c r="BG320" s="26"/>
      <c r="BH320" s="26"/>
      <c r="BI320" s="26"/>
      <c r="BJ320" s="26"/>
      <c r="BK320" s="26"/>
      <c r="BL320" s="26"/>
      <c r="BM320" s="26"/>
      <c r="BN320" s="26"/>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96"/>
      <c r="CP320" s="14"/>
      <c r="CQ320" s="14"/>
      <c r="CR320" s="14"/>
      <c r="CS320" s="14"/>
      <c r="CT320" s="1"/>
      <c r="CU320" s="14"/>
      <c r="CV320" s="1"/>
      <c r="CW320" s="1"/>
      <c r="CX320" s="14"/>
      <c r="CY320" s="1"/>
      <c r="CZ320" s="1"/>
      <c r="DA320" s="1"/>
      <c r="DB320" s="1"/>
      <c r="DC320" s="1"/>
      <c r="DD320" s="1"/>
      <c r="DE320" s="1"/>
      <c r="DF320" s="1"/>
      <c r="DG320" s="1"/>
      <c r="DH320" s="1"/>
      <c r="DI320" s="1"/>
      <c r="DJ320" s="1"/>
      <c r="DK320" s="1"/>
      <c r="DL320" s="1"/>
      <c r="DM320" s="1"/>
      <c r="DN320" s="1"/>
      <c r="DO320" s="1"/>
      <c r="DP320" s="1"/>
      <c r="DQ320" s="1"/>
      <c r="DR320" s="1"/>
      <c r="DS320" s="1"/>
      <c r="DT320" s="1"/>
      <c r="DU320" s="14"/>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29"/>
    </row>
    <row r="321" spans="1:160" x14ac:dyDescent="0.25">
      <c r="A321" s="5"/>
      <c r="B321" s="1"/>
      <c r="C321" s="98"/>
      <c r="D321" s="98"/>
      <c r="E321" s="1"/>
      <c r="F321" s="22"/>
      <c r="G321" s="22"/>
      <c r="H321" s="22"/>
      <c r="I321" s="22"/>
      <c r="J321" s="22"/>
      <c r="K321" s="22"/>
      <c r="L321" s="22"/>
      <c r="M321" s="22"/>
      <c r="N321" s="22"/>
      <c r="O321" s="22"/>
      <c r="P321" s="22"/>
      <c r="Q321" s="22"/>
      <c r="R321" s="1"/>
      <c r="S321" s="1"/>
      <c r="T321" s="8"/>
      <c r="U321" s="1"/>
      <c r="V321" s="1"/>
      <c r="W321" s="1"/>
      <c r="X321" s="1"/>
      <c r="Y321" s="1"/>
      <c r="Z321" s="1"/>
      <c r="AA321" s="1"/>
      <c r="AC321" s="1"/>
      <c r="AD321" s="1"/>
      <c r="AE321" s="1"/>
      <c r="AF321" s="1"/>
      <c r="AG321" s="1"/>
      <c r="AH321" s="26"/>
      <c r="AI321" s="26"/>
      <c r="AJ321" s="26"/>
      <c r="AK321" s="26"/>
      <c r="AL321" s="26"/>
      <c r="AM321" s="26"/>
      <c r="AN321" s="26"/>
      <c r="AO321" s="26"/>
      <c r="AP321" s="26"/>
      <c r="AQ321" s="26"/>
      <c r="AR321" s="26"/>
      <c r="AS321" s="26"/>
      <c r="AT321" s="26"/>
      <c r="AU321" s="26"/>
      <c r="AV321" s="26"/>
      <c r="AW321" s="26"/>
      <c r="AX321" s="26"/>
      <c r="AY321" s="1"/>
      <c r="AZ321" s="26"/>
      <c r="BA321" s="26"/>
      <c r="BB321" s="26"/>
      <c r="BC321" s="26"/>
      <c r="BD321" s="26"/>
      <c r="BE321" s="26"/>
      <c r="BF321" s="26"/>
      <c r="BG321" s="26"/>
      <c r="BH321" s="26"/>
      <c r="BI321" s="26"/>
      <c r="BJ321" s="26"/>
      <c r="BK321" s="26"/>
      <c r="BL321" s="26"/>
      <c r="BM321" s="26"/>
      <c r="BN321" s="26"/>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96"/>
      <c r="CP321" s="14"/>
      <c r="CQ321" s="14"/>
      <c r="CR321" s="14"/>
      <c r="CS321" s="14"/>
      <c r="CT321" s="1"/>
      <c r="CU321" s="14"/>
      <c r="CV321" s="1"/>
      <c r="CW321" s="1"/>
      <c r="CX321" s="14"/>
      <c r="CY321" s="1"/>
      <c r="CZ321" s="1"/>
      <c r="DA321" s="1"/>
      <c r="DB321" s="1"/>
      <c r="DC321" s="1"/>
      <c r="DD321" s="1"/>
      <c r="DE321" s="1"/>
      <c r="DF321" s="1"/>
      <c r="DG321" s="1"/>
      <c r="DH321" s="1"/>
      <c r="DI321" s="1"/>
      <c r="DJ321" s="1"/>
      <c r="DK321" s="1"/>
      <c r="DL321" s="1"/>
      <c r="DM321" s="1"/>
      <c r="DN321" s="1"/>
      <c r="DO321" s="1"/>
      <c r="DP321" s="1"/>
      <c r="DQ321" s="1"/>
      <c r="DR321" s="1"/>
      <c r="DS321" s="1"/>
      <c r="DT321" s="1"/>
      <c r="DU321" s="14"/>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29"/>
    </row>
    <row r="322" spans="1:160" x14ac:dyDescent="0.25">
      <c r="A322" s="5"/>
      <c r="B322" s="1"/>
      <c r="C322" s="98"/>
      <c r="D322" s="98"/>
      <c r="E322" s="1"/>
      <c r="F322" s="22"/>
      <c r="G322" s="22"/>
      <c r="H322" s="22"/>
      <c r="I322" s="22"/>
      <c r="J322" s="22"/>
      <c r="K322" s="22"/>
      <c r="L322" s="22"/>
      <c r="M322" s="22"/>
      <c r="N322" s="22"/>
      <c r="O322" s="22"/>
      <c r="P322" s="22"/>
      <c r="Q322" s="22"/>
      <c r="R322" s="1"/>
      <c r="S322" s="1"/>
      <c r="T322" s="8"/>
      <c r="U322" s="1"/>
      <c r="V322" s="1"/>
      <c r="W322" s="1"/>
      <c r="X322" s="1"/>
      <c r="Y322" s="1"/>
      <c r="Z322" s="1"/>
      <c r="AA322" s="1"/>
      <c r="AC322" s="1"/>
      <c r="AD322" s="1"/>
      <c r="AE322" s="1"/>
      <c r="AF322" s="1"/>
      <c r="AG322" s="1"/>
      <c r="AH322" s="26"/>
      <c r="AI322" s="26"/>
      <c r="AJ322" s="26"/>
      <c r="AK322" s="26"/>
      <c r="AL322" s="26"/>
      <c r="AM322" s="26"/>
      <c r="AN322" s="26"/>
      <c r="AO322" s="26"/>
      <c r="AP322" s="26"/>
      <c r="AQ322" s="26"/>
      <c r="AR322" s="26"/>
      <c r="AS322" s="26"/>
      <c r="AT322" s="26"/>
      <c r="AU322" s="26"/>
      <c r="AV322" s="26"/>
      <c r="AW322" s="26"/>
      <c r="AX322" s="26"/>
      <c r="AY322" s="1"/>
      <c r="AZ322" s="26"/>
      <c r="BA322" s="26"/>
      <c r="BB322" s="26"/>
      <c r="BC322" s="26"/>
      <c r="BD322" s="26"/>
      <c r="BE322" s="26"/>
      <c r="BF322" s="26"/>
      <c r="BG322" s="26"/>
      <c r="BH322" s="26"/>
      <c r="BI322" s="26"/>
      <c r="BJ322" s="26"/>
      <c r="BK322" s="26"/>
      <c r="BL322" s="26"/>
      <c r="BM322" s="26"/>
      <c r="BN322" s="26"/>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96"/>
      <c r="CP322" s="14"/>
      <c r="CQ322" s="14"/>
      <c r="CR322" s="14"/>
      <c r="CS322" s="14"/>
      <c r="CT322" s="1"/>
      <c r="CU322" s="14"/>
      <c r="CV322" s="1"/>
      <c r="CW322" s="1"/>
      <c r="CX322" s="14"/>
      <c r="CY322" s="1"/>
      <c r="CZ322" s="1"/>
      <c r="DA322" s="1"/>
      <c r="DB322" s="1"/>
      <c r="DC322" s="1"/>
      <c r="DD322" s="1"/>
      <c r="DE322" s="1"/>
      <c r="DF322" s="1"/>
      <c r="DG322" s="1"/>
      <c r="DH322" s="1"/>
      <c r="DI322" s="1"/>
      <c r="DJ322" s="1"/>
      <c r="DK322" s="1"/>
      <c r="DL322" s="1"/>
      <c r="DM322" s="1"/>
      <c r="DN322" s="1"/>
      <c r="DO322" s="1"/>
      <c r="DP322" s="1"/>
      <c r="DQ322" s="1"/>
      <c r="DR322" s="1"/>
      <c r="DS322" s="1"/>
      <c r="DT322" s="1"/>
      <c r="DU322" s="14"/>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29"/>
    </row>
    <row r="323" spans="1:160" x14ac:dyDescent="0.25">
      <c r="A323" s="5"/>
      <c r="B323" s="1"/>
      <c r="C323" s="98"/>
      <c r="D323" s="98"/>
      <c r="E323" s="1"/>
      <c r="F323" s="22"/>
      <c r="G323" s="22"/>
      <c r="H323" s="22"/>
      <c r="I323" s="22"/>
      <c r="J323" s="22"/>
      <c r="K323" s="22"/>
      <c r="L323" s="22"/>
      <c r="M323" s="22"/>
      <c r="N323" s="22"/>
      <c r="O323" s="22"/>
      <c r="P323" s="22"/>
      <c r="Q323" s="22"/>
      <c r="R323" s="1"/>
      <c r="S323" s="1"/>
      <c r="T323" s="8"/>
      <c r="U323" s="1"/>
      <c r="V323" s="1"/>
      <c r="W323" s="1"/>
      <c r="X323" s="1"/>
      <c r="Y323" s="1"/>
      <c r="Z323" s="1"/>
      <c r="AA323" s="1"/>
      <c r="AC323" s="1"/>
      <c r="AD323" s="1"/>
      <c r="AE323" s="1"/>
      <c r="AF323" s="1"/>
      <c r="AG323" s="1"/>
      <c r="AH323" s="26"/>
      <c r="AI323" s="26"/>
      <c r="AJ323" s="26"/>
      <c r="AK323" s="26"/>
      <c r="AL323" s="26"/>
      <c r="AM323" s="26"/>
      <c r="AN323" s="26"/>
      <c r="AO323" s="26"/>
      <c r="AP323" s="26"/>
      <c r="AQ323" s="26"/>
      <c r="AR323" s="26"/>
      <c r="AS323" s="26"/>
      <c r="AT323" s="26"/>
      <c r="AU323" s="26"/>
      <c r="AV323" s="26"/>
      <c r="AW323" s="26"/>
      <c r="AX323" s="26"/>
      <c r="AY323" s="1"/>
      <c r="AZ323" s="26"/>
      <c r="BA323" s="26"/>
      <c r="BB323" s="26"/>
      <c r="BC323" s="26"/>
      <c r="BD323" s="26"/>
      <c r="BE323" s="26"/>
      <c r="BF323" s="26"/>
      <c r="BG323" s="26"/>
      <c r="BH323" s="26"/>
      <c r="BI323" s="26"/>
      <c r="BJ323" s="26"/>
      <c r="BK323" s="26"/>
      <c r="BL323" s="26"/>
      <c r="BM323" s="26"/>
      <c r="BN323" s="26"/>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96"/>
      <c r="CP323" s="14"/>
      <c r="CQ323" s="14"/>
      <c r="CR323" s="14"/>
      <c r="CS323" s="14"/>
      <c r="CT323" s="1"/>
      <c r="CU323" s="14"/>
      <c r="CV323" s="1"/>
      <c r="CW323" s="1"/>
      <c r="CX323" s="14"/>
      <c r="CY323" s="1"/>
      <c r="CZ323" s="1"/>
      <c r="DA323" s="1"/>
      <c r="DB323" s="1"/>
      <c r="DC323" s="1"/>
      <c r="DD323" s="1"/>
      <c r="DE323" s="1"/>
      <c r="DF323" s="1"/>
      <c r="DG323" s="1"/>
      <c r="DH323" s="1"/>
      <c r="DI323" s="1"/>
      <c r="DJ323" s="1"/>
      <c r="DK323" s="1"/>
      <c r="DL323" s="1"/>
      <c r="DM323" s="1"/>
      <c r="DN323" s="1"/>
      <c r="DO323" s="1"/>
      <c r="DP323" s="1"/>
      <c r="DQ323" s="1"/>
      <c r="DR323" s="1"/>
      <c r="DS323" s="1"/>
      <c r="DT323" s="1"/>
      <c r="DU323" s="14"/>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29"/>
    </row>
    <row r="324" spans="1:160" x14ac:dyDescent="0.25">
      <c r="A324" s="5"/>
      <c r="B324" s="1"/>
      <c r="C324" s="98"/>
      <c r="D324" s="98"/>
      <c r="E324" s="1"/>
      <c r="F324" s="22"/>
      <c r="G324" s="22"/>
      <c r="H324" s="22"/>
      <c r="I324" s="22"/>
      <c r="J324" s="22"/>
      <c r="K324" s="22"/>
      <c r="L324" s="22"/>
      <c r="M324" s="22"/>
      <c r="N324" s="22"/>
      <c r="O324" s="22"/>
      <c r="P324" s="22"/>
      <c r="Q324" s="22"/>
      <c r="R324" s="1"/>
      <c r="S324" s="1"/>
      <c r="T324" s="8"/>
      <c r="U324" s="1"/>
      <c r="V324" s="1"/>
      <c r="W324" s="1"/>
      <c r="X324" s="1"/>
      <c r="Y324" s="1"/>
      <c r="Z324" s="1"/>
      <c r="AA324" s="1"/>
      <c r="AC324" s="1"/>
      <c r="AD324" s="1"/>
      <c r="AE324" s="1"/>
      <c r="AF324" s="1"/>
      <c r="AG324" s="1"/>
      <c r="AH324" s="26"/>
      <c r="AI324" s="26"/>
      <c r="AJ324" s="26"/>
      <c r="AK324" s="26"/>
      <c r="AL324" s="26"/>
      <c r="AM324" s="26"/>
      <c r="AN324" s="26"/>
      <c r="AO324" s="26"/>
      <c r="AP324" s="26"/>
      <c r="AQ324" s="26"/>
      <c r="AR324" s="26"/>
      <c r="AS324" s="26"/>
      <c r="AT324" s="26"/>
      <c r="AU324" s="26"/>
      <c r="AV324" s="26"/>
      <c r="AW324" s="26"/>
      <c r="AX324" s="26"/>
      <c r="AY324" s="1"/>
      <c r="AZ324" s="26"/>
      <c r="BA324" s="26"/>
      <c r="BB324" s="26"/>
      <c r="BC324" s="26"/>
      <c r="BD324" s="26"/>
      <c r="BE324" s="26"/>
      <c r="BF324" s="26"/>
      <c r="BG324" s="26"/>
      <c r="BH324" s="26"/>
      <c r="BI324" s="26"/>
      <c r="BJ324" s="26"/>
      <c r="BK324" s="26"/>
      <c r="BL324" s="26"/>
      <c r="BM324" s="26"/>
      <c r="BN324" s="26"/>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96"/>
      <c r="CP324" s="14"/>
      <c r="CQ324" s="14"/>
      <c r="CR324" s="14"/>
      <c r="CS324" s="14"/>
      <c r="CT324" s="1"/>
      <c r="CU324" s="14"/>
      <c r="CV324" s="1"/>
      <c r="CW324" s="1"/>
      <c r="CX324" s="14"/>
      <c r="CY324" s="1"/>
      <c r="CZ324" s="1"/>
      <c r="DA324" s="1"/>
      <c r="DB324" s="1"/>
      <c r="DC324" s="1"/>
      <c r="DD324" s="1"/>
      <c r="DE324" s="1"/>
      <c r="DF324" s="1"/>
      <c r="DG324" s="1"/>
      <c r="DH324" s="1"/>
      <c r="DI324" s="1"/>
      <c r="DJ324" s="1"/>
      <c r="DK324" s="1"/>
      <c r="DL324" s="1"/>
      <c r="DM324" s="1"/>
      <c r="DN324" s="1"/>
      <c r="DO324" s="1"/>
      <c r="DP324" s="1"/>
      <c r="DQ324" s="1"/>
      <c r="DR324" s="1"/>
      <c r="DS324" s="1"/>
      <c r="DT324" s="1"/>
      <c r="DU324" s="14"/>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29"/>
    </row>
    <row r="325" spans="1:160" x14ac:dyDescent="0.25">
      <c r="A325" s="5"/>
      <c r="B325" s="1"/>
      <c r="C325" s="98"/>
      <c r="D325" s="98"/>
      <c r="E325" s="1"/>
      <c r="F325" s="22"/>
      <c r="G325" s="22"/>
      <c r="H325" s="22"/>
      <c r="I325" s="22"/>
      <c r="J325" s="22"/>
      <c r="K325" s="22"/>
      <c r="L325" s="22"/>
      <c r="M325" s="22"/>
      <c r="N325" s="22"/>
      <c r="O325" s="22"/>
      <c r="P325" s="22"/>
      <c r="Q325" s="22"/>
      <c r="R325" s="1"/>
      <c r="S325" s="1"/>
      <c r="T325" s="8"/>
      <c r="U325" s="1"/>
      <c r="V325" s="1"/>
      <c r="W325" s="1"/>
      <c r="X325" s="1"/>
      <c r="Y325" s="1"/>
      <c r="Z325" s="1"/>
      <c r="AA325" s="1"/>
      <c r="AC325" s="1"/>
      <c r="AD325" s="1"/>
      <c r="AE325" s="1"/>
      <c r="AF325" s="1"/>
      <c r="AG325" s="1"/>
      <c r="AH325" s="26"/>
      <c r="AI325" s="26"/>
      <c r="AJ325" s="26"/>
      <c r="AK325" s="26"/>
      <c r="AL325" s="26"/>
      <c r="AM325" s="26"/>
      <c r="AN325" s="26"/>
      <c r="AO325" s="26"/>
      <c r="AP325" s="26"/>
      <c r="AQ325" s="26"/>
      <c r="AR325" s="26"/>
      <c r="AS325" s="26"/>
      <c r="AT325" s="26"/>
      <c r="AU325" s="26"/>
      <c r="AV325" s="26"/>
      <c r="AW325" s="26"/>
      <c r="AX325" s="26"/>
      <c r="AY325" s="1"/>
      <c r="AZ325" s="26"/>
      <c r="BA325" s="26"/>
      <c r="BB325" s="26"/>
      <c r="BC325" s="26"/>
      <c r="BD325" s="26"/>
      <c r="BE325" s="26"/>
      <c r="BF325" s="26"/>
      <c r="BG325" s="26"/>
      <c r="BH325" s="26"/>
      <c r="BI325" s="26"/>
      <c r="BJ325" s="26"/>
      <c r="BK325" s="26"/>
      <c r="BL325" s="26"/>
      <c r="BM325" s="26"/>
      <c r="BN325" s="26"/>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96"/>
      <c r="CP325" s="14"/>
      <c r="CQ325" s="14"/>
      <c r="CR325" s="14"/>
      <c r="CS325" s="14"/>
      <c r="CT325" s="1"/>
      <c r="CU325" s="14"/>
      <c r="CV325" s="1"/>
      <c r="CW325" s="1"/>
      <c r="CX325" s="14"/>
      <c r="CY325" s="1"/>
      <c r="CZ325" s="1"/>
      <c r="DA325" s="1"/>
      <c r="DB325" s="1"/>
      <c r="DC325" s="1"/>
      <c r="DD325" s="1"/>
      <c r="DE325" s="1"/>
      <c r="DF325" s="1"/>
      <c r="DG325" s="1"/>
      <c r="DH325" s="1"/>
      <c r="DI325" s="1"/>
      <c r="DJ325" s="1"/>
      <c r="DK325" s="1"/>
      <c r="DL325" s="1"/>
      <c r="DM325" s="1"/>
      <c r="DN325" s="1"/>
      <c r="DO325" s="1"/>
      <c r="DP325" s="1"/>
      <c r="DQ325" s="1"/>
      <c r="DR325" s="1"/>
      <c r="DS325" s="1"/>
      <c r="DT325" s="1"/>
      <c r="DU325" s="14"/>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29"/>
    </row>
    <row r="326" spans="1:160" x14ac:dyDescent="0.25">
      <c r="A326" s="5"/>
      <c r="B326" s="1"/>
      <c r="C326" s="98"/>
      <c r="D326" s="98"/>
      <c r="E326" s="1"/>
      <c r="F326" s="22"/>
      <c r="G326" s="22"/>
      <c r="H326" s="22"/>
      <c r="I326" s="22"/>
      <c r="J326" s="22"/>
      <c r="K326" s="22"/>
      <c r="L326" s="22"/>
      <c r="M326" s="22"/>
      <c r="N326" s="22"/>
      <c r="O326" s="22"/>
      <c r="P326" s="22"/>
      <c r="Q326" s="22"/>
      <c r="R326" s="1"/>
      <c r="S326" s="1"/>
      <c r="T326" s="8"/>
      <c r="U326" s="1"/>
      <c r="V326" s="1"/>
      <c r="W326" s="1"/>
      <c r="X326" s="1"/>
      <c r="Y326" s="1"/>
      <c r="Z326" s="1"/>
      <c r="AA326" s="1"/>
      <c r="AC326" s="1"/>
      <c r="AD326" s="1"/>
      <c r="AE326" s="1"/>
      <c r="AF326" s="1"/>
      <c r="AG326" s="1"/>
      <c r="AH326" s="26"/>
      <c r="AI326" s="26"/>
      <c r="AJ326" s="26"/>
      <c r="AK326" s="26"/>
      <c r="AL326" s="26"/>
      <c r="AM326" s="26"/>
      <c r="AN326" s="26"/>
      <c r="AO326" s="26"/>
      <c r="AP326" s="26"/>
      <c r="AQ326" s="26"/>
      <c r="AR326" s="26"/>
      <c r="AS326" s="26"/>
      <c r="AT326" s="26"/>
      <c r="AU326" s="26"/>
      <c r="AV326" s="26"/>
      <c r="AW326" s="26"/>
      <c r="AX326" s="26"/>
      <c r="AY326" s="1"/>
      <c r="AZ326" s="26"/>
      <c r="BA326" s="26"/>
      <c r="BB326" s="26"/>
      <c r="BC326" s="26"/>
      <c r="BD326" s="26"/>
      <c r="BE326" s="26"/>
      <c r="BF326" s="26"/>
      <c r="BG326" s="26"/>
      <c r="BH326" s="26"/>
      <c r="BI326" s="26"/>
      <c r="BJ326" s="26"/>
      <c r="BK326" s="26"/>
      <c r="BL326" s="26"/>
      <c r="BM326" s="26"/>
      <c r="BN326" s="26"/>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96"/>
      <c r="CP326" s="14"/>
      <c r="CQ326" s="14"/>
      <c r="CR326" s="14"/>
      <c r="CS326" s="14"/>
      <c r="CT326" s="1"/>
      <c r="CU326" s="14"/>
      <c r="CV326" s="1"/>
      <c r="CW326" s="1"/>
      <c r="CX326" s="14"/>
      <c r="CY326" s="1"/>
      <c r="CZ326" s="1"/>
      <c r="DA326" s="1"/>
      <c r="DB326" s="1"/>
      <c r="DC326" s="1"/>
      <c r="DD326" s="1"/>
      <c r="DE326" s="1"/>
      <c r="DF326" s="1"/>
      <c r="DG326" s="1"/>
      <c r="DH326" s="1"/>
      <c r="DI326" s="1"/>
      <c r="DJ326" s="1"/>
      <c r="DK326" s="1"/>
      <c r="DL326" s="1"/>
      <c r="DM326" s="1"/>
      <c r="DN326" s="1"/>
      <c r="DO326" s="1"/>
      <c r="DP326" s="1"/>
      <c r="DQ326" s="1"/>
      <c r="DR326" s="1"/>
      <c r="DS326" s="1"/>
      <c r="DT326" s="1"/>
      <c r="DU326" s="14"/>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29"/>
    </row>
    <row r="327" spans="1:160" x14ac:dyDescent="0.25">
      <c r="A327" s="5"/>
      <c r="B327" s="1"/>
      <c r="C327" s="98"/>
      <c r="D327" s="98"/>
      <c r="E327" s="1"/>
      <c r="F327" s="22"/>
      <c r="G327" s="22"/>
      <c r="H327" s="22"/>
      <c r="I327" s="22"/>
      <c r="J327" s="22"/>
      <c r="K327" s="22"/>
      <c r="L327" s="22"/>
      <c r="M327" s="22"/>
      <c r="N327" s="22"/>
      <c r="O327" s="22"/>
      <c r="P327" s="22"/>
      <c r="Q327" s="22"/>
      <c r="R327" s="1"/>
      <c r="S327" s="1"/>
      <c r="T327" s="8"/>
      <c r="U327" s="1"/>
      <c r="V327" s="1"/>
      <c r="W327" s="1"/>
      <c r="X327" s="1"/>
      <c r="Y327" s="1"/>
      <c r="Z327" s="1"/>
      <c r="AA327" s="1"/>
      <c r="AC327" s="1"/>
      <c r="AD327" s="1"/>
      <c r="AE327" s="1"/>
      <c r="AF327" s="1"/>
      <c r="AG327" s="1"/>
      <c r="AH327" s="26"/>
      <c r="AI327" s="26"/>
      <c r="AJ327" s="26"/>
      <c r="AK327" s="26"/>
      <c r="AL327" s="26"/>
      <c r="AM327" s="26"/>
      <c r="AN327" s="26"/>
      <c r="AO327" s="26"/>
      <c r="AP327" s="26"/>
      <c r="AQ327" s="26"/>
      <c r="AR327" s="26"/>
      <c r="AS327" s="26"/>
      <c r="AT327" s="26"/>
      <c r="AU327" s="26"/>
      <c r="AV327" s="26"/>
      <c r="AW327" s="26"/>
      <c r="AX327" s="26"/>
      <c r="AY327" s="1"/>
      <c r="AZ327" s="26"/>
      <c r="BA327" s="26"/>
      <c r="BB327" s="26"/>
      <c r="BC327" s="26"/>
      <c r="BD327" s="26"/>
      <c r="BE327" s="26"/>
      <c r="BF327" s="26"/>
      <c r="BG327" s="26"/>
      <c r="BH327" s="26"/>
      <c r="BI327" s="26"/>
      <c r="BJ327" s="26"/>
      <c r="BK327" s="26"/>
      <c r="BL327" s="26"/>
      <c r="BM327" s="26"/>
      <c r="BN327" s="26"/>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96"/>
      <c r="CP327" s="14"/>
      <c r="CQ327" s="14"/>
      <c r="CR327" s="14"/>
      <c r="CS327" s="14"/>
      <c r="CT327" s="1"/>
      <c r="CU327" s="14"/>
      <c r="CV327" s="1"/>
      <c r="CW327" s="1"/>
      <c r="CX327" s="14"/>
      <c r="CY327" s="1"/>
      <c r="CZ327" s="1"/>
      <c r="DA327" s="1"/>
      <c r="DB327" s="1"/>
      <c r="DC327" s="1"/>
      <c r="DD327" s="1"/>
      <c r="DE327" s="1"/>
      <c r="DF327" s="1"/>
      <c r="DG327" s="1"/>
      <c r="DH327" s="1"/>
      <c r="DI327" s="1"/>
      <c r="DJ327" s="1"/>
      <c r="DK327" s="1"/>
      <c r="DL327" s="1"/>
      <c r="DM327" s="1"/>
      <c r="DN327" s="1"/>
      <c r="DO327" s="1"/>
      <c r="DP327" s="1"/>
      <c r="DQ327" s="1"/>
      <c r="DR327" s="1"/>
      <c r="DS327" s="1"/>
      <c r="DT327" s="1"/>
      <c r="DU327" s="14"/>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29"/>
    </row>
    <row r="328" spans="1:160" x14ac:dyDescent="0.25">
      <c r="A328" s="5"/>
      <c r="B328" s="1"/>
      <c r="C328" s="98"/>
      <c r="D328" s="98"/>
      <c r="E328" s="1"/>
      <c r="F328" s="22"/>
      <c r="G328" s="22"/>
      <c r="H328" s="22"/>
      <c r="I328" s="22"/>
      <c r="J328" s="22"/>
      <c r="K328" s="22"/>
      <c r="L328" s="22"/>
      <c r="M328" s="22"/>
      <c r="N328" s="22"/>
      <c r="O328" s="22"/>
      <c r="P328" s="22"/>
      <c r="Q328" s="22"/>
      <c r="R328" s="1"/>
      <c r="S328" s="1"/>
      <c r="T328" s="8"/>
      <c r="U328" s="1"/>
      <c r="V328" s="1"/>
      <c r="W328" s="1"/>
      <c r="X328" s="1"/>
      <c r="Y328" s="1"/>
      <c r="Z328" s="1"/>
      <c r="AA328" s="1"/>
      <c r="AC328" s="1"/>
      <c r="AD328" s="1"/>
      <c r="AE328" s="1"/>
      <c r="AF328" s="1"/>
      <c r="AG328" s="1"/>
      <c r="AH328" s="26"/>
      <c r="AI328" s="26"/>
      <c r="AJ328" s="26"/>
      <c r="AK328" s="26"/>
      <c r="AL328" s="26"/>
      <c r="AM328" s="26"/>
      <c r="AN328" s="26"/>
      <c r="AO328" s="26"/>
      <c r="AP328" s="26"/>
      <c r="AQ328" s="26"/>
      <c r="AR328" s="26"/>
      <c r="AS328" s="26"/>
      <c r="AT328" s="26"/>
      <c r="AU328" s="26"/>
      <c r="AV328" s="26"/>
      <c r="AW328" s="26"/>
      <c r="AX328" s="26"/>
      <c r="AY328" s="1"/>
      <c r="AZ328" s="26"/>
      <c r="BA328" s="26"/>
      <c r="BB328" s="26"/>
      <c r="BC328" s="26"/>
      <c r="BD328" s="26"/>
      <c r="BE328" s="26"/>
      <c r="BF328" s="26"/>
      <c r="BG328" s="26"/>
      <c r="BH328" s="26"/>
      <c r="BI328" s="26"/>
      <c r="BJ328" s="26"/>
      <c r="BK328" s="26"/>
      <c r="BL328" s="26"/>
      <c r="BM328" s="26"/>
      <c r="BN328" s="26"/>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96"/>
      <c r="CP328" s="14"/>
      <c r="CQ328" s="14"/>
      <c r="CR328" s="14"/>
      <c r="CS328" s="14"/>
      <c r="CT328" s="1"/>
      <c r="CU328" s="14"/>
      <c r="CV328" s="1"/>
      <c r="CW328" s="1"/>
      <c r="CX328" s="14"/>
      <c r="CY328" s="1"/>
      <c r="CZ328" s="1"/>
      <c r="DA328" s="1"/>
      <c r="DB328" s="1"/>
      <c r="DC328" s="1"/>
      <c r="DD328" s="1"/>
      <c r="DE328" s="1"/>
      <c r="DF328" s="1"/>
      <c r="DG328" s="1"/>
      <c r="DH328" s="1"/>
      <c r="DI328" s="1"/>
      <c r="DJ328" s="1"/>
      <c r="DK328" s="1"/>
      <c r="DL328" s="1"/>
      <c r="DM328" s="1"/>
      <c r="DN328" s="1"/>
      <c r="DO328" s="1"/>
      <c r="DP328" s="1"/>
      <c r="DQ328" s="1"/>
      <c r="DR328" s="1"/>
      <c r="DS328" s="1"/>
      <c r="DT328" s="1"/>
      <c r="DU328" s="14"/>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29"/>
    </row>
    <row r="329" spans="1:160" x14ac:dyDescent="0.25">
      <c r="A329" s="5"/>
      <c r="B329" s="1"/>
      <c r="C329" s="98"/>
      <c r="D329" s="98"/>
      <c r="E329" s="1"/>
      <c r="F329" s="22"/>
      <c r="G329" s="22"/>
      <c r="H329" s="22"/>
      <c r="I329" s="22"/>
      <c r="J329" s="22"/>
      <c r="K329" s="22"/>
      <c r="L329" s="22"/>
      <c r="M329" s="22"/>
      <c r="N329" s="22"/>
      <c r="O329" s="22"/>
      <c r="P329" s="22"/>
      <c r="Q329" s="22"/>
      <c r="R329" s="1"/>
      <c r="S329" s="1"/>
      <c r="T329" s="8"/>
      <c r="U329" s="1"/>
      <c r="V329" s="1"/>
      <c r="W329" s="1"/>
      <c r="X329" s="1"/>
      <c r="Y329" s="1"/>
      <c r="Z329" s="1"/>
      <c r="AA329" s="1"/>
      <c r="AC329" s="1"/>
      <c r="AD329" s="1"/>
      <c r="AE329" s="1"/>
      <c r="AF329" s="1"/>
      <c r="AG329" s="1"/>
      <c r="AH329" s="26"/>
      <c r="AI329" s="26"/>
      <c r="AJ329" s="26"/>
      <c r="AK329" s="26"/>
      <c r="AL329" s="26"/>
      <c r="AM329" s="26"/>
      <c r="AN329" s="26"/>
      <c r="AO329" s="26"/>
      <c r="AP329" s="26"/>
      <c r="AQ329" s="26"/>
      <c r="AR329" s="26"/>
      <c r="AS329" s="26"/>
      <c r="AT329" s="26"/>
      <c r="AU329" s="26"/>
      <c r="AV329" s="26"/>
      <c r="AW329" s="26"/>
      <c r="AX329" s="26"/>
      <c r="AY329" s="1"/>
      <c r="AZ329" s="26"/>
      <c r="BA329" s="26"/>
      <c r="BB329" s="26"/>
      <c r="BC329" s="26"/>
      <c r="BD329" s="26"/>
      <c r="BE329" s="26"/>
      <c r="BF329" s="26"/>
      <c r="BG329" s="26"/>
      <c r="BH329" s="26"/>
      <c r="BI329" s="26"/>
      <c r="BJ329" s="26"/>
      <c r="BK329" s="26"/>
      <c r="BL329" s="26"/>
      <c r="BM329" s="26"/>
      <c r="BN329" s="26"/>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96"/>
      <c r="CP329" s="14"/>
      <c r="CQ329" s="14"/>
      <c r="CR329" s="14"/>
      <c r="CS329" s="14"/>
      <c r="CT329" s="1"/>
      <c r="CU329" s="14"/>
      <c r="CV329" s="1"/>
      <c r="CW329" s="1"/>
      <c r="CX329" s="14"/>
      <c r="CY329" s="1"/>
      <c r="CZ329" s="1"/>
      <c r="DA329" s="1"/>
      <c r="DB329" s="1"/>
      <c r="DC329" s="1"/>
      <c r="DD329" s="1"/>
      <c r="DE329" s="1"/>
      <c r="DF329" s="1"/>
      <c r="DG329" s="1"/>
      <c r="DH329" s="1"/>
      <c r="DI329" s="1"/>
      <c r="DJ329" s="1"/>
      <c r="DK329" s="1"/>
      <c r="DL329" s="1"/>
      <c r="DM329" s="1"/>
      <c r="DN329" s="1"/>
      <c r="DO329" s="1"/>
      <c r="DP329" s="1"/>
      <c r="DQ329" s="1"/>
      <c r="DR329" s="1"/>
      <c r="DS329" s="1"/>
      <c r="DT329" s="1"/>
      <c r="DU329" s="14"/>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29"/>
    </row>
    <row r="330" spans="1:160" x14ac:dyDescent="0.25">
      <c r="A330" s="5"/>
      <c r="B330" s="1"/>
      <c r="C330" s="98"/>
      <c r="D330" s="98"/>
      <c r="E330" s="1"/>
      <c r="F330" s="22"/>
      <c r="G330" s="22"/>
      <c r="H330" s="22"/>
      <c r="I330" s="22"/>
      <c r="J330" s="22"/>
      <c r="K330" s="22"/>
      <c r="L330" s="22"/>
      <c r="M330" s="22"/>
      <c r="N330" s="22"/>
      <c r="O330" s="22"/>
      <c r="P330" s="22"/>
      <c r="Q330" s="22"/>
      <c r="R330" s="1"/>
      <c r="S330" s="1"/>
      <c r="T330" s="8"/>
      <c r="U330" s="1"/>
      <c r="V330" s="1"/>
      <c r="W330" s="1"/>
      <c r="X330" s="1"/>
      <c r="Y330" s="1"/>
      <c r="Z330" s="1"/>
      <c r="AA330" s="1"/>
      <c r="AC330" s="1"/>
      <c r="AD330" s="1"/>
      <c r="AE330" s="1"/>
      <c r="AF330" s="1"/>
      <c r="AG330" s="1"/>
      <c r="AH330" s="26"/>
      <c r="AI330" s="26"/>
      <c r="AJ330" s="26"/>
      <c r="AK330" s="26"/>
      <c r="AL330" s="26"/>
      <c r="AM330" s="26"/>
      <c r="AN330" s="26"/>
      <c r="AO330" s="26"/>
      <c r="AP330" s="26"/>
      <c r="AQ330" s="26"/>
      <c r="AR330" s="26"/>
      <c r="AS330" s="26"/>
      <c r="AT330" s="26"/>
      <c r="AU330" s="26"/>
      <c r="AV330" s="26"/>
      <c r="AW330" s="26"/>
      <c r="AX330" s="26"/>
      <c r="AY330" s="1"/>
      <c r="AZ330" s="26"/>
      <c r="BA330" s="26"/>
      <c r="BB330" s="26"/>
      <c r="BC330" s="26"/>
      <c r="BD330" s="26"/>
      <c r="BE330" s="26"/>
      <c r="BF330" s="26"/>
      <c r="BG330" s="26"/>
      <c r="BH330" s="26"/>
      <c r="BI330" s="26"/>
      <c r="BJ330" s="26"/>
      <c r="BK330" s="26"/>
      <c r="BL330" s="26"/>
      <c r="BM330" s="26"/>
      <c r="BN330" s="26"/>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96"/>
      <c r="CP330" s="14"/>
      <c r="CQ330" s="14"/>
      <c r="CR330" s="14"/>
      <c r="CS330" s="14"/>
      <c r="CT330" s="1"/>
      <c r="CU330" s="14"/>
      <c r="CV330" s="1"/>
      <c r="CW330" s="1"/>
      <c r="CX330" s="14"/>
      <c r="CY330" s="1"/>
      <c r="CZ330" s="1"/>
      <c r="DA330" s="1"/>
      <c r="DB330" s="1"/>
      <c r="DC330" s="1"/>
      <c r="DD330" s="1"/>
      <c r="DE330" s="1"/>
      <c r="DF330" s="1"/>
      <c r="DG330" s="1"/>
      <c r="DH330" s="1"/>
      <c r="DI330" s="1"/>
      <c r="DJ330" s="1"/>
      <c r="DK330" s="1"/>
      <c r="DL330" s="1"/>
      <c r="DM330" s="1"/>
      <c r="DN330" s="1"/>
      <c r="DO330" s="1"/>
      <c r="DP330" s="1"/>
      <c r="DQ330" s="1"/>
      <c r="DR330" s="1"/>
      <c r="DS330" s="1"/>
      <c r="DT330" s="1"/>
      <c r="DU330" s="14"/>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29"/>
    </row>
    <row r="331" spans="1:160" x14ac:dyDescent="0.25">
      <c r="A331" s="5"/>
      <c r="B331" s="1"/>
      <c r="C331" s="98"/>
      <c r="D331" s="98"/>
      <c r="E331" s="1"/>
      <c r="F331" s="22"/>
      <c r="G331" s="22"/>
      <c r="H331" s="22"/>
      <c r="I331" s="22"/>
      <c r="J331" s="22"/>
      <c r="K331" s="22"/>
      <c r="L331" s="22"/>
      <c r="M331" s="22"/>
      <c r="N331" s="22"/>
      <c r="O331" s="22"/>
      <c r="P331" s="22"/>
      <c r="Q331" s="22"/>
      <c r="R331" s="1"/>
      <c r="S331" s="1"/>
      <c r="T331" s="8"/>
      <c r="U331" s="1"/>
      <c r="V331" s="1"/>
      <c r="W331" s="1"/>
      <c r="X331" s="1"/>
      <c r="Y331" s="1"/>
      <c r="Z331" s="1"/>
      <c r="AA331" s="1"/>
      <c r="AC331" s="1"/>
      <c r="AD331" s="1"/>
      <c r="AE331" s="1"/>
      <c r="AF331" s="1"/>
      <c r="AG331" s="1"/>
      <c r="AH331" s="26"/>
      <c r="AI331" s="26"/>
      <c r="AJ331" s="26"/>
      <c r="AK331" s="26"/>
      <c r="AL331" s="26"/>
      <c r="AM331" s="26"/>
      <c r="AN331" s="26"/>
      <c r="AO331" s="26"/>
      <c r="AP331" s="26"/>
      <c r="AQ331" s="26"/>
      <c r="AR331" s="26"/>
      <c r="AS331" s="26"/>
      <c r="AT331" s="26"/>
      <c r="AU331" s="26"/>
      <c r="AV331" s="26"/>
      <c r="AW331" s="26"/>
      <c r="AX331" s="26"/>
      <c r="AY331" s="1"/>
      <c r="AZ331" s="26"/>
      <c r="BA331" s="26"/>
      <c r="BB331" s="26"/>
      <c r="BC331" s="26"/>
      <c r="BD331" s="26"/>
      <c r="BE331" s="26"/>
      <c r="BF331" s="26"/>
      <c r="BG331" s="26"/>
      <c r="BH331" s="26"/>
      <c r="BI331" s="26"/>
      <c r="BJ331" s="26"/>
      <c r="BK331" s="26"/>
      <c r="BL331" s="26"/>
      <c r="BM331" s="26"/>
      <c r="BN331" s="26"/>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96"/>
      <c r="CP331" s="14"/>
      <c r="CQ331" s="14"/>
      <c r="CR331" s="14"/>
      <c r="CS331" s="14"/>
      <c r="CT331" s="1"/>
      <c r="CU331" s="14"/>
      <c r="CV331" s="1"/>
      <c r="CW331" s="1"/>
      <c r="CX331" s="14"/>
      <c r="CY331" s="1"/>
      <c r="CZ331" s="1"/>
      <c r="DA331" s="1"/>
      <c r="DB331" s="1"/>
      <c r="DC331" s="1"/>
      <c r="DD331" s="1"/>
      <c r="DE331" s="1"/>
      <c r="DF331" s="1"/>
      <c r="DG331" s="1"/>
      <c r="DH331" s="1"/>
      <c r="DI331" s="1"/>
      <c r="DJ331" s="1"/>
      <c r="DK331" s="1"/>
      <c r="DL331" s="1"/>
      <c r="DM331" s="1"/>
      <c r="DN331" s="1"/>
      <c r="DO331" s="1"/>
      <c r="DP331" s="1"/>
      <c r="DQ331" s="1"/>
      <c r="DR331" s="1"/>
      <c r="DS331" s="1"/>
      <c r="DT331" s="1"/>
      <c r="DU331" s="14"/>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29"/>
    </row>
    <row r="332" spans="1:160" x14ac:dyDescent="0.25">
      <c r="A332" s="5"/>
      <c r="B332" s="1"/>
      <c r="C332" s="98"/>
      <c r="D332" s="98"/>
      <c r="E332" s="1"/>
      <c r="F332" s="22"/>
      <c r="G332" s="22"/>
      <c r="H332" s="22"/>
      <c r="I332" s="22"/>
      <c r="J332" s="22"/>
      <c r="K332" s="22"/>
      <c r="L332" s="22"/>
      <c r="M332" s="22"/>
      <c r="N332" s="22"/>
      <c r="O332" s="22"/>
      <c r="P332" s="22"/>
      <c r="Q332" s="22"/>
      <c r="R332" s="1"/>
      <c r="S332" s="1"/>
      <c r="T332" s="8"/>
      <c r="U332" s="1"/>
      <c r="V332" s="1"/>
      <c r="W332" s="1"/>
      <c r="X332" s="1"/>
      <c r="Y332" s="1"/>
      <c r="Z332" s="1"/>
      <c r="AA332" s="1"/>
      <c r="AC332" s="1"/>
      <c r="AD332" s="1"/>
      <c r="AE332" s="1"/>
      <c r="AF332" s="1"/>
      <c r="AG332" s="1"/>
      <c r="AH332" s="26"/>
      <c r="AI332" s="26"/>
      <c r="AJ332" s="26"/>
      <c r="AK332" s="26"/>
      <c r="AL332" s="26"/>
      <c r="AM332" s="26"/>
      <c r="AN332" s="26"/>
      <c r="AO332" s="26"/>
      <c r="AP332" s="26"/>
      <c r="AQ332" s="26"/>
      <c r="AR332" s="26"/>
      <c r="AS332" s="26"/>
      <c r="AT332" s="26"/>
      <c r="AU332" s="26"/>
      <c r="AV332" s="26"/>
      <c r="AW332" s="26"/>
      <c r="AX332" s="26"/>
      <c r="AY332" s="1"/>
      <c r="AZ332" s="26"/>
      <c r="BA332" s="26"/>
      <c r="BB332" s="26"/>
      <c r="BC332" s="26"/>
      <c r="BD332" s="26"/>
      <c r="BE332" s="26"/>
      <c r="BF332" s="26"/>
      <c r="BG332" s="26"/>
      <c r="BH332" s="26"/>
      <c r="BI332" s="26"/>
      <c r="BJ332" s="26"/>
      <c r="BK332" s="26"/>
      <c r="BL332" s="26"/>
      <c r="BM332" s="26"/>
      <c r="BN332" s="26"/>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96"/>
      <c r="CP332" s="14"/>
      <c r="CQ332" s="14"/>
      <c r="CR332" s="14"/>
      <c r="CS332" s="14"/>
      <c r="CT332" s="1"/>
      <c r="CU332" s="14"/>
      <c r="CV332" s="1"/>
      <c r="CW332" s="1"/>
      <c r="CX332" s="14"/>
      <c r="CY332" s="1"/>
      <c r="CZ332" s="1"/>
      <c r="DA332" s="1"/>
      <c r="DB332" s="1"/>
      <c r="DC332" s="1"/>
      <c r="DD332" s="1"/>
      <c r="DE332" s="1"/>
      <c r="DF332" s="1"/>
      <c r="DG332" s="1"/>
      <c r="DH332" s="1"/>
      <c r="DI332" s="1"/>
      <c r="DJ332" s="1"/>
      <c r="DK332" s="1"/>
      <c r="DL332" s="1"/>
      <c r="DM332" s="1"/>
      <c r="DN332" s="1"/>
      <c r="DO332" s="1"/>
      <c r="DP332" s="1"/>
      <c r="DQ332" s="1"/>
      <c r="DR332" s="1"/>
      <c r="DS332" s="1"/>
      <c r="DT332" s="1"/>
      <c r="DU332" s="14"/>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29"/>
    </row>
    <row r="333" spans="1:160" x14ac:dyDescent="0.25">
      <c r="A333" s="5"/>
      <c r="B333" s="1"/>
      <c r="C333" s="98"/>
      <c r="D333" s="98"/>
      <c r="E333" s="1"/>
      <c r="F333" s="22"/>
      <c r="G333" s="22"/>
      <c r="H333" s="22"/>
      <c r="I333" s="22"/>
      <c r="J333" s="22"/>
      <c r="K333" s="22"/>
      <c r="L333" s="22"/>
      <c r="M333" s="22"/>
      <c r="N333" s="22"/>
      <c r="O333" s="22"/>
      <c r="P333" s="22"/>
      <c r="Q333" s="22"/>
      <c r="R333" s="1"/>
      <c r="S333" s="1"/>
      <c r="T333" s="8"/>
      <c r="U333" s="1"/>
      <c r="V333" s="1"/>
      <c r="W333" s="1"/>
      <c r="X333" s="1"/>
      <c r="Y333" s="1"/>
      <c r="Z333" s="1"/>
      <c r="AA333" s="1"/>
      <c r="AC333" s="1"/>
      <c r="AD333" s="1"/>
      <c r="AE333" s="1"/>
      <c r="AF333" s="1"/>
      <c r="AG333" s="1"/>
      <c r="AH333" s="26"/>
      <c r="AI333" s="26"/>
      <c r="AJ333" s="26"/>
      <c r="AK333" s="26"/>
      <c r="AL333" s="26"/>
      <c r="AM333" s="26"/>
      <c r="AN333" s="26"/>
      <c r="AO333" s="26"/>
      <c r="AP333" s="26"/>
      <c r="AQ333" s="26"/>
      <c r="AR333" s="26"/>
      <c r="AS333" s="26"/>
      <c r="AT333" s="26"/>
      <c r="AU333" s="26"/>
      <c r="AV333" s="26"/>
      <c r="AW333" s="26"/>
      <c r="AX333" s="26"/>
      <c r="AY333" s="1"/>
      <c r="AZ333" s="26"/>
      <c r="BA333" s="26"/>
      <c r="BB333" s="26"/>
      <c r="BC333" s="26"/>
      <c r="BD333" s="26"/>
      <c r="BE333" s="26"/>
      <c r="BF333" s="26"/>
      <c r="BG333" s="26"/>
      <c r="BH333" s="26"/>
      <c r="BI333" s="26"/>
      <c r="BJ333" s="26"/>
      <c r="BK333" s="26"/>
      <c r="BL333" s="26"/>
      <c r="BM333" s="26"/>
      <c r="BN333" s="26"/>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96"/>
      <c r="CP333" s="14"/>
      <c r="CQ333" s="14"/>
      <c r="CR333" s="14"/>
      <c r="CS333" s="14"/>
      <c r="CT333" s="1"/>
      <c r="CU333" s="14"/>
      <c r="CV333" s="1"/>
      <c r="CW333" s="1"/>
      <c r="CX333" s="14"/>
      <c r="CY333" s="1"/>
      <c r="CZ333" s="1"/>
      <c r="DA333" s="1"/>
      <c r="DB333" s="1"/>
      <c r="DC333" s="1"/>
      <c r="DD333" s="1"/>
      <c r="DE333" s="1"/>
      <c r="DF333" s="1"/>
      <c r="DG333" s="1"/>
      <c r="DH333" s="1"/>
      <c r="DI333" s="1"/>
      <c r="DJ333" s="1"/>
      <c r="DK333" s="1"/>
      <c r="DL333" s="1"/>
      <c r="DM333" s="1"/>
      <c r="DN333" s="1"/>
      <c r="DO333" s="1"/>
      <c r="DP333" s="1"/>
      <c r="DQ333" s="1"/>
      <c r="DR333" s="1"/>
      <c r="DS333" s="1"/>
      <c r="DT333" s="1"/>
      <c r="DU333" s="14"/>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29"/>
    </row>
    <row r="334" spans="1:160" x14ac:dyDescent="0.25">
      <c r="A334" s="5"/>
      <c r="B334" s="1"/>
      <c r="C334" s="98"/>
      <c r="D334" s="98"/>
      <c r="E334" s="1"/>
      <c r="F334" s="22"/>
      <c r="G334" s="22"/>
      <c r="H334" s="22"/>
      <c r="I334" s="22"/>
      <c r="J334" s="22"/>
      <c r="K334" s="22"/>
      <c r="L334" s="22"/>
      <c r="M334" s="22"/>
      <c r="N334" s="22"/>
      <c r="O334" s="22"/>
      <c r="P334" s="22"/>
      <c r="Q334" s="22"/>
      <c r="R334" s="1"/>
      <c r="S334" s="1"/>
      <c r="T334" s="8"/>
      <c r="U334" s="1"/>
      <c r="V334" s="1"/>
      <c r="W334" s="1"/>
      <c r="X334" s="1"/>
      <c r="Y334" s="1"/>
      <c r="Z334" s="1"/>
      <c r="AA334" s="1"/>
      <c r="AC334" s="1"/>
      <c r="AD334" s="1"/>
      <c r="AE334" s="1"/>
      <c r="AF334" s="1"/>
      <c r="AG334" s="1"/>
      <c r="AH334" s="26"/>
      <c r="AI334" s="26"/>
      <c r="AJ334" s="26"/>
      <c r="AK334" s="26"/>
      <c r="AL334" s="26"/>
      <c r="AM334" s="26"/>
      <c r="AN334" s="26"/>
      <c r="AO334" s="26"/>
      <c r="AP334" s="26"/>
      <c r="AQ334" s="26"/>
      <c r="AR334" s="26"/>
      <c r="AS334" s="26"/>
      <c r="AT334" s="26"/>
      <c r="AU334" s="26"/>
      <c r="AV334" s="26"/>
      <c r="AW334" s="26"/>
      <c r="AX334" s="26"/>
      <c r="AY334" s="1"/>
      <c r="AZ334" s="26"/>
      <c r="BA334" s="26"/>
      <c r="BB334" s="26"/>
      <c r="BC334" s="26"/>
      <c r="BD334" s="26"/>
      <c r="BE334" s="26"/>
      <c r="BF334" s="26"/>
      <c r="BG334" s="26"/>
      <c r="BH334" s="26"/>
      <c r="BI334" s="26"/>
      <c r="BJ334" s="26"/>
      <c r="BK334" s="26"/>
      <c r="BL334" s="26"/>
      <c r="BM334" s="26"/>
      <c r="BN334" s="26"/>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96"/>
      <c r="CP334" s="14"/>
      <c r="CQ334" s="14"/>
      <c r="CR334" s="14"/>
      <c r="CS334" s="14"/>
      <c r="CT334" s="1"/>
      <c r="CU334" s="14"/>
      <c r="CV334" s="1"/>
      <c r="CW334" s="1"/>
      <c r="CX334" s="14"/>
      <c r="CY334" s="1"/>
      <c r="CZ334" s="1"/>
      <c r="DA334" s="1"/>
      <c r="DB334" s="1"/>
      <c r="DC334" s="1"/>
      <c r="DD334" s="1"/>
      <c r="DE334" s="1"/>
      <c r="DF334" s="1"/>
      <c r="DG334" s="1"/>
      <c r="DH334" s="1"/>
      <c r="DI334" s="1"/>
      <c r="DJ334" s="1"/>
      <c r="DK334" s="1"/>
      <c r="DL334" s="1"/>
      <c r="DM334" s="1"/>
      <c r="DN334" s="1"/>
      <c r="DO334" s="1"/>
      <c r="DP334" s="1"/>
      <c r="DQ334" s="1"/>
      <c r="DR334" s="1"/>
      <c r="DS334" s="1"/>
      <c r="DT334" s="1"/>
      <c r="DU334" s="14"/>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29"/>
    </row>
    <row r="335" spans="1:160" x14ac:dyDescent="0.25">
      <c r="A335" s="5"/>
      <c r="B335" s="1"/>
      <c r="C335" s="98"/>
      <c r="D335" s="98"/>
      <c r="E335" s="1"/>
      <c r="F335" s="22"/>
      <c r="G335" s="22"/>
      <c r="H335" s="22"/>
      <c r="I335" s="22"/>
      <c r="J335" s="22"/>
      <c r="K335" s="22"/>
      <c r="L335" s="22"/>
      <c r="M335" s="22"/>
      <c r="N335" s="22"/>
      <c r="O335" s="22"/>
      <c r="P335" s="22"/>
      <c r="Q335" s="22"/>
      <c r="R335" s="1"/>
      <c r="S335" s="1"/>
      <c r="T335" s="8"/>
      <c r="U335" s="1"/>
      <c r="V335" s="1"/>
      <c r="W335" s="1"/>
      <c r="X335" s="1"/>
      <c r="Y335" s="1"/>
      <c r="Z335" s="1"/>
      <c r="AA335" s="1"/>
      <c r="AC335" s="1"/>
      <c r="AD335" s="1"/>
      <c r="AE335" s="1"/>
      <c r="AF335" s="1"/>
      <c r="AG335" s="1"/>
      <c r="AH335" s="26"/>
      <c r="AI335" s="26"/>
      <c r="AJ335" s="26"/>
      <c r="AK335" s="26"/>
      <c r="AL335" s="26"/>
      <c r="AM335" s="26"/>
      <c r="AN335" s="26"/>
      <c r="AO335" s="26"/>
      <c r="AP335" s="26"/>
      <c r="AQ335" s="26"/>
      <c r="AR335" s="26"/>
      <c r="AS335" s="26"/>
      <c r="AT335" s="26"/>
      <c r="AU335" s="26"/>
      <c r="AV335" s="26"/>
      <c r="AW335" s="26"/>
      <c r="AX335" s="26"/>
      <c r="AY335" s="1"/>
      <c r="AZ335" s="26"/>
      <c r="BA335" s="26"/>
      <c r="BB335" s="26"/>
      <c r="BC335" s="26"/>
      <c r="BD335" s="26"/>
      <c r="BE335" s="26"/>
      <c r="BF335" s="26"/>
      <c r="BG335" s="26"/>
      <c r="BH335" s="26"/>
      <c r="BI335" s="26"/>
      <c r="BJ335" s="26"/>
      <c r="BK335" s="26"/>
      <c r="BL335" s="26"/>
      <c r="BM335" s="26"/>
      <c r="BN335" s="26"/>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96"/>
      <c r="CP335" s="14"/>
      <c r="CQ335" s="14"/>
      <c r="CR335" s="14"/>
      <c r="CS335" s="14"/>
      <c r="CT335" s="1"/>
      <c r="CU335" s="14"/>
      <c r="CV335" s="1"/>
      <c r="CW335" s="1"/>
      <c r="CX335" s="14"/>
      <c r="CY335" s="1"/>
      <c r="CZ335" s="1"/>
      <c r="DA335" s="1"/>
      <c r="DB335" s="1"/>
      <c r="DC335" s="1"/>
      <c r="DD335" s="1"/>
      <c r="DE335" s="1"/>
      <c r="DF335" s="1"/>
      <c r="DG335" s="1"/>
      <c r="DH335" s="1"/>
      <c r="DI335" s="1"/>
      <c r="DJ335" s="1"/>
      <c r="DK335" s="1"/>
      <c r="DL335" s="1"/>
      <c r="DM335" s="1"/>
      <c r="DN335" s="1"/>
      <c r="DO335" s="1"/>
      <c r="DP335" s="1"/>
      <c r="DQ335" s="1"/>
      <c r="DR335" s="1"/>
      <c r="DS335" s="1"/>
      <c r="DT335" s="1"/>
      <c r="DU335" s="14"/>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29"/>
    </row>
    <row r="336" spans="1:160" x14ac:dyDescent="0.25">
      <c r="A336" s="5"/>
      <c r="B336" s="1"/>
      <c r="C336" s="98"/>
      <c r="D336" s="98"/>
      <c r="E336" s="1"/>
      <c r="F336" s="22"/>
      <c r="G336" s="22"/>
      <c r="H336" s="22"/>
      <c r="I336" s="22"/>
      <c r="J336" s="22"/>
      <c r="K336" s="22"/>
      <c r="L336" s="22"/>
      <c r="M336" s="22"/>
      <c r="N336" s="22"/>
      <c r="O336" s="22"/>
      <c r="P336" s="22"/>
      <c r="Q336" s="22"/>
      <c r="R336" s="1"/>
      <c r="S336" s="1"/>
      <c r="T336" s="8"/>
      <c r="U336" s="1"/>
      <c r="V336" s="1"/>
      <c r="W336" s="1"/>
      <c r="X336" s="1"/>
      <c r="Y336" s="1"/>
      <c r="Z336" s="1"/>
      <c r="AA336" s="1"/>
      <c r="AC336" s="1"/>
      <c r="AD336" s="1"/>
      <c r="AE336" s="1"/>
      <c r="AF336" s="1"/>
      <c r="AG336" s="1"/>
      <c r="AH336" s="26"/>
      <c r="AI336" s="26"/>
      <c r="AJ336" s="26"/>
      <c r="AK336" s="26"/>
      <c r="AL336" s="26"/>
      <c r="AM336" s="26"/>
      <c r="AN336" s="26"/>
      <c r="AO336" s="26"/>
      <c r="AP336" s="26"/>
      <c r="AQ336" s="26"/>
      <c r="AR336" s="26"/>
      <c r="AS336" s="26"/>
      <c r="AT336" s="26"/>
      <c r="AU336" s="26"/>
      <c r="AV336" s="26"/>
      <c r="AW336" s="26"/>
      <c r="AX336" s="26"/>
      <c r="AY336" s="1"/>
      <c r="AZ336" s="26"/>
      <c r="BA336" s="26"/>
      <c r="BB336" s="26"/>
      <c r="BC336" s="26"/>
      <c r="BD336" s="26"/>
      <c r="BE336" s="26"/>
      <c r="BF336" s="26"/>
      <c r="BG336" s="26"/>
      <c r="BH336" s="26"/>
      <c r="BI336" s="26"/>
      <c r="BJ336" s="26"/>
      <c r="BK336" s="26"/>
      <c r="BL336" s="26"/>
      <c r="BM336" s="26"/>
      <c r="BN336" s="26"/>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96"/>
      <c r="CP336" s="14"/>
      <c r="CQ336" s="14"/>
      <c r="CR336" s="14"/>
      <c r="CS336" s="14"/>
      <c r="CT336" s="1"/>
      <c r="CU336" s="14"/>
      <c r="CV336" s="1"/>
      <c r="CW336" s="1"/>
      <c r="CX336" s="14"/>
      <c r="CY336" s="1"/>
      <c r="CZ336" s="1"/>
      <c r="DA336" s="1"/>
      <c r="DB336" s="1"/>
      <c r="DC336" s="1"/>
      <c r="DD336" s="1"/>
      <c r="DE336" s="1"/>
      <c r="DF336" s="1"/>
      <c r="DG336" s="1"/>
      <c r="DH336" s="1"/>
      <c r="DI336" s="1"/>
      <c r="DJ336" s="1"/>
      <c r="DK336" s="1"/>
      <c r="DL336" s="1"/>
      <c r="DM336" s="1"/>
      <c r="DN336" s="1"/>
      <c r="DO336" s="1"/>
      <c r="DP336" s="1"/>
      <c r="DQ336" s="1"/>
      <c r="DR336" s="1"/>
      <c r="DS336" s="1"/>
      <c r="DT336" s="1"/>
      <c r="DU336" s="14"/>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29"/>
    </row>
    <row r="337" spans="1:160" x14ac:dyDescent="0.25">
      <c r="A337" s="5"/>
      <c r="B337" s="1"/>
      <c r="C337" s="98"/>
      <c r="D337" s="98"/>
      <c r="E337" s="1"/>
      <c r="F337" s="22"/>
      <c r="G337" s="22"/>
      <c r="H337" s="22"/>
      <c r="I337" s="22"/>
      <c r="J337" s="22"/>
      <c r="K337" s="22"/>
      <c r="L337" s="22"/>
      <c r="M337" s="22"/>
      <c r="N337" s="22"/>
      <c r="O337" s="22"/>
      <c r="P337" s="22"/>
      <c r="Q337" s="22"/>
      <c r="R337" s="1"/>
      <c r="S337" s="1"/>
      <c r="T337" s="8"/>
      <c r="U337" s="1"/>
      <c r="V337" s="1"/>
      <c r="W337" s="1"/>
      <c r="X337" s="1"/>
      <c r="Y337" s="1"/>
      <c r="Z337" s="1"/>
      <c r="AA337" s="1"/>
      <c r="AC337" s="1"/>
      <c r="AD337" s="1"/>
      <c r="AE337" s="1"/>
      <c r="AF337" s="1"/>
      <c r="AG337" s="1"/>
      <c r="AH337" s="26"/>
      <c r="AI337" s="26"/>
      <c r="AJ337" s="26"/>
      <c r="AK337" s="26"/>
      <c r="AL337" s="26"/>
      <c r="AM337" s="26"/>
      <c r="AN337" s="26"/>
      <c r="AO337" s="26"/>
      <c r="AP337" s="26"/>
      <c r="AQ337" s="26"/>
      <c r="AR337" s="26"/>
      <c r="AS337" s="26"/>
      <c r="AT337" s="26"/>
      <c r="AU337" s="26"/>
      <c r="AV337" s="26"/>
      <c r="AW337" s="26"/>
      <c r="AX337" s="26"/>
      <c r="AY337" s="1"/>
      <c r="AZ337" s="26"/>
      <c r="BA337" s="26"/>
      <c r="BB337" s="26"/>
      <c r="BC337" s="26"/>
      <c r="BD337" s="26"/>
      <c r="BE337" s="26"/>
      <c r="BF337" s="26"/>
      <c r="BG337" s="26"/>
      <c r="BH337" s="26"/>
      <c r="BI337" s="26"/>
      <c r="BJ337" s="26"/>
      <c r="BK337" s="26"/>
      <c r="BL337" s="26"/>
      <c r="BM337" s="26"/>
      <c r="BN337" s="26"/>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96"/>
      <c r="CP337" s="14"/>
      <c r="CQ337" s="14"/>
      <c r="CR337" s="14"/>
      <c r="CS337" s="14"/>
      <c r="CT337" s="1"/>
      <c r="CU337" s="14"/>
      <c r="CV337" s="1"/>
      <c r="CW337" s="1"/>
      <c r="CX337" s="14"/>
      <c r="CY337" s="1"/>
      <c r="CZ337" s="1"/>
      <c r="DA337" s="1"/>
      <c r="DB337" s="1"/>
      <c r="DC337" s="1"/>
      <c r="DD337" s="1"/>
      <c r="DE337" s="1"/>
      <c r="DF337" s="1"/>
      <c r="DG337" s="1"/>
      <c r="DH337" s="1"/>
      <c r="DI337" s="1"/>
      <c r="DJ337" s="1"/>
      <c r="DK337" s="1"/>
      <c r="DL337" s="1"/>
      <c r="DM337" s="1"/>
      <c r="DN337" s="1"/>
      <c r="DO337" s="1"/>
      <c r="DP337" s="1"/>
      <c r="DQ337" s="1"/>
      <c r="DR337" s="1"/>
      <c r="DS337" s="1"/>
      <c r="DT337" s="1"/>
      <c r="DU337" s="14"/>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29"/>
    </row>
    <row r="338" spans="1:160" x14ac:dyDescent="0.25">
      <c r="A338" s="5"/>
      <c r="B338" s="1"/>
      <c r="C338" s="98"/>
      <c r="D338" s="98"/>
      <c r="E338" s="1"/>
      <c r="F338" s="22"/>
      <c r="G338" s="22"/>
      <c r="H338" s="22"/>
      <c r="I338" s="22"/>
      <c r="J338" s="22"/>
      <c r="K338" s="22"/>
      <c r="L338" s="22"/>
      <c r="M338" s="22"/>
      <c r="N338" s="22"/>
      <c r="O338" s="22"/>
      <c r="P338" s="22"/>
      <c r="Q338" s="22"/>
      <c r="R338" s="1"/>
      <c r="S338" s="1"/>
      <c r="T338" s="8"/>
      <c r="U338" s="1"/>
      <c r="V338" s="1"/>
      <c r="W338" s="1"/>
      <c r="X338" s="1"/>
      <c r="Y338" s="1"/>
      <c r="Z338" s="1"/>
      <c r="AA338" s="1"/>
      <c r="AC338" s="1"/>
      <c r="AD338" s="1"/>
      <c r="AE338" s="1"/>
      <c r="AF338" s="1"/>
      <c r="AG338" s="1"/>
      <c r="AH338" s="26"/>
      <c r="AI338" s="26"/>
      <c r="AJ338" s="26"/>
      <c r="AK338" s="26"/>
      <c r="AL338" s="26"/>
      <c r="AM338" s="26"/>
      <c r="AN338" s="26"/>
      <c r="AO338" s="26"/>
      <c r="AP338" s="26"/>
      <c r="AQ338" s="26"/>
      <c r="AR338" s="26"/>
      <c r="AS338" s="26"/>
      <c r="AT338" s="26"/>
      <c r="AU338" s="26"/>
      <c r="AV338" s="26"/>
      <c r="AW338" s="26"/>
      <c r="AX338" s="26"/>
      <c r="AY338" s="1"/>
      <c r="AZ338" s="26"/>
      <c r="BA338" s="26"/>
      <c r="BB338" s="26"/>
      <c r="BC338" s="26"/>
      <c r="BD338" s="26"/>
      <c r="BE338" s="26"/>
      <c r="BF338" s="26"/>
      <c r="BG338" s="26"/>
      <c r="BH338" s="26"/>
      <c r="BI338" s="26"/>
      <c r="BJ338" s="26"/>
      <c r="BK338" s="26"/>
      <c r="BL338" s="26"/>
      <c r="BM338" s="26"/>
      <c r="BN338" s="26"/>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96"/>
      <c r="CP338" s="14"/>
      <c r="CQ338" s="14"/>
      <c r="CR338" s="14"/>
      <c r="CS338" s="14"/>
      <c r="CT338" s="1"/>
      <c r="CU338" s="14"/>
      <c r="CV338" s="1"/>
      <c r="CW338" s="1"/>
      <c r="CX338" s="14"/>
      <c r="CY338" s="1"/>
      <c r="CZ338" s="1"/>
      <c r="DA338" s="1"/>
      <c r="DB338" s="1"/>
      <c r="DC338" s="1"/>
      <c r="DD338" s="1"/>
      <c r="DE338" s="1"/>
      <c r="DF338" s="1"/>
      <c r="DG338" s="1"/>
      <c r="DH338" s="1"/>
      <c r="DI338" s="1"/>
      <c r="DJ338" s="1"/>
      <c r="DK338" s="1"/>
      <c r="DL338" s="1"/>
      <c r="DM338" s="1"/>
      <c r="DN338" s="1"/>
      <c r="DO338" s="1"/>
      <c r="DP338" s="1"/>
      <c r="DQ338" s="1"/>
      <c r="DR338" s="1"/>
      <c r="DS338" s="1"/>
      <c r="DT338" s="1"/>
      <c r="DU338" s="14"/>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29"/>
    </row>
    <row r="339" spans="1:160" x14ac:dyDescent="0.25">
      <c r="A339" s="5"/>
      <c r="B339" s="1"/>
      <c r="C339" s="98"/>
      <c r="D339" s="98"/>
      <c r="E339" s="1"/>
      <c r="F339" s="22"/>
      <c r="G339" s="22"/>
      <c r="H339" s="22"/>
      <c r="I339" s="22"/>
      <c r="J339" s="22"/>
      <c r="K339" s="22"/>
      <c r="L339" s="22"/>
      <c r="M339" s="22"/>
      <c r="N339" s="22"/>
      <c r="O339" s="22"/>
      <c r="P339" s="22"/>
      <c r="Q339" s="22"/>
      <c r="R339" s="1"/>
      <c r="S339" s="1"/>
      <c r="T339" s="8"/>
      <c r="U339" s="1"/>
      <c r="V339" s="1"/>
      <c r="W339" s="1"/>
      <c r="X339" s="1"/>
      <c r="Y339" s="1"/>
      <c r="Z339" s="1"/>
      <c r="AA339" s="1"/>
      <c r="AC339" s="1"/>
      <c r="AD339" s="1"/>
      <c r="AE339" s="1"/>
      <c r="AF339" s="1"/>
      <c r="AG339" s="1"/>
      <c r="AH339" s="26"/>
      <c r="AI339" s="26"/>
      <c r="AJ339" s="26"/>
      <c r="AK339" s="26"/>
      <c r="AL339" s="26"/>
      <c r="AM339" s="26"/>
      <c r="AN339" s="26"/>
      <c r="AO339" s="26"/>
      <c r="AP339" s="26"/>
      <c r="AQ339" s="26"/>
      <c r="AR339" s="26"/>
      <c r="AS339" s="26"/>
      <c r="AT339" s="26"/>
      <c r="AU339" s="26"/>
      <c r="AV339" s="26"/>
      <c r="AW339" s="26"/>
      <c r="AX339" s="26"/>
      <c r="AY339" s="1"/>
      <c r="AZ339" s="26"/>
      <c r="BA339" s="26"/>
      <c r="BB339" s="26"/>
      <c r="BC339" s="26"/>
      <c r="BD339" s="26"/>
      <c r="BE339" s="26"/>
      <c r="BF339" s="26"/>
      <c r="BG339" s="26"/>
      <c r="BH339" s="26"/>
      <c r="BI339" s="26"/>
      <c r="BJ339" s="26"/>
      <c r="BK339" s="26"/>
      <c r="BL339" s="26"/>
      <c r="BM339" s="26"/>
      <c r="BN339" s="26"/>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96"/>
      <c r="CP339" s="14"/>
      <c r="CQ339" s="14"/>
      <c r="CR339" s="14"/>
      <c r="CS339" s="14"/>
      <c r="CT339" s="1"/>
      <c r="CU339" s="14"/>
      <c r="CV339" s="1"/>
      <c r="CW339" s="1"/>
      <c r="CX339" s="14"/>
      <c r="CY339" s="1"/>
      <c r="CZ339" s="1"/>
      <c r="DA339" s="1"/>
      <c r="DB339" s="1"/>
      <c r="DC339" s="1"/>
      <c r="DD339" s="1"/>
      <c r="DE339" s="1"/>
      <c r="DF339" s="1"/>
      <c r="DG339" s="1"/>
      <c r="DH339" s="1"/>
      <c r="DI339" s="1"/>
      <c r="DJ339" s="1"/>
      <c r="DK339" s="1"/>
      <c r="DL339" s="1"/>
      <c r="DM339" s="1"/>
      <c r="DN339" s="1"/>
      <c r="DO339" s="1"/>
      <c r="DP339" s="1"/>
      <c r="DQ339" s="1"/>
      <c r="DR339" s="1"/>
      <c r="DS339" s="1"/>
      <c r="DT339" s="1"/>
      <c r="DU339" s="14"/>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29"/>
    </row>
    <row r="340" spans="1:160" x14ac:dyDescent="0.25">
      <c r="A340" s="5"/>
      <c r="B340" s="1"/>
      <c r="C340" s="98"/>
      <c r="D340" s="98"/>
      <c r="E340" s="1"/>
      <c r="F340" s="22"/>
      <c r="G340" s="22"/>
      <c r="H340" s="22"/>
      <c r="I340" s="22"/>
      <c r="J340" s="22"/>
      <c r="K340" s="22"/>
      <c r="L340" s="22"/>
      <c r="M340" s="22"/>
      <c r="N340" s="22"/>
      <c r="O340" s="22"/>
      <c r="P340" s="22"/>
      <c r="Q340" s="22"/>
      <c r="R340" s="1"/>
      <c r="S340" s="1"/>
      <c r="T340" s="8"/>
      <c r="U340" s="1"/>
      <c r="V340" s="1"/>
      <c r="W340" s="1"/>
      <c r="X340" s="1"/>
      <c r="Y340" s="1"/>
      <c r="Z340" s="1"/>
      <c r="AA340" s="1"/>
      <c r="AC340" s="1"/>
      <c r="AD340" s="1"/>
      <c r="AE340" s="1"/>
      <c r="AF340" s="1"/>
      <c r="AG340" s="1"/>
      <c r="AH340" s="26"/>
      <c r="AI340" s="26"/>
      <c r="AJ340" s="26"/>
      <c r="AK340" s="26"/>
      <c r="AL340" s="26"/>
      <c r="AM340" s="26"/>
      <c r="AN340" s="26"/>
      <c r="AO340" s="26"/>
      <c r="AP340" s="26"/>
      <c r="AQ340" s="26"/>
      <c r="AR340" s="26"/>
      <c r="AS340" s="26"/>
      <c r="AT340" s="26"/>
      <c r="AU340" s="26"/>
      <c r="AV340" s="26"/>
      <c r="AW340" s="26"/>
      <c r="AX340" s="26"/>
      <c r="AY340" s="1"/>
      <c r="AZ340" s="26"/>
      <c r="BA340" s="26"/>
      <c r="BB340" s="26"/>
      <c r="BC340" s="26"/>
      <c r="BD340" s="26"/>
      <c r="BE340" s="26"/>
      <c r="BF340" s="26"/>
      <c r="BG340" s="26"/>
      <c r="BH340" s="26"/>
      <c r="BI340" s="26"/>
      <c r="BJ340" s="26"/>
      <c r="BK340" s="26"/>
      <c r="BL340" s="26"/>
      <c r="BM340" s="26"/>
      <c r="BN340" s="26"/>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96"/>
      <c r="CP340" s="14"/>
      <c r="CQ340" s="14"/>
      <c r="CR340" s="14"/>
      <c r="CS340" s="14"/>
      <c r="CT340" s="1"/>
      <c r="CU340" s="14"/>
      <c r="CV340" s="1"/>
      <c r="CW340" s="1"/>
      <c r="CX340" s="14"/>
      <c r="CY340" s="1"/>
      <c r="CZ340" s="1"/>
      <c r="DA340" s="1"/>
      <c r="DB340" s="1"/>
      <c r="DC340" s="1"/>
      <c r="DD340" s="1"/>
      <c r="DE340" s="1"/>
      <c r="DF340" s="1"/>
      <c r="DG340" s="1"/>
      <c r="DH340" s="1"/>
      <c r="DI340" s="1"/>
      <c r="DJ340" s="1"/>
      <c r="DK340" s="1"/>
      <c r="DL340" s="1"/>
      <c r="DM340" s="1"/>
      <c r="DN340" s="1"/>
      <c r="DO340" s="1"/>
      <c r="DP340" s="1"/>
      <c r="DQ340" s="1"/>
      <c r="DR340" s="1"/>
      <c r="DS340" s="1"/>
      <c r="DT340" s="1"/>
      <c r="DU340" s="14"/>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29"/>
    </row>
    <row r="341" spans="1:160" x14ac:dyDescent="0.25">
      <c r="A341" s="5"/>
      <c r="B341" s="1"/>
      <c r="C341" s="98"/>
      <c r="D341" s="98"/>
      <c r="E341" s="1"/>
      <c r="F341" s="22"/>
      <c r="G341" s="22"/>
      <c r="H341" s="22"/>
      <c r="I341" s="22"/>
      <c r="J341" s="22"/>
      <c r="K341" s="22"/>
      <c r="L341" s="22"/>
      <c r="M341" s="22"/>
      <c r="N341" s="22"/>
      <c r="O341" s="22"/>
      <c r="P341" s="22"/>
      <c r="Q341" s="22"/>
      <c r="R341" s="1"/>
      <c r="S341" s="1"/>
      <c r="T341" s="8"/>
      <c r="U341" s="1"/>
      <c r="V341" s="1"/>
      <c r="W341" s="1"/>
      <c r="X341" s="1"/>
      <c r="Y341" s="1"/>
      <c r="Z341" s="1"/>
      <c r="AA341" s="1"/>
      <c r="AC341" s="1"/>
      <c r="AD341" s="1"/>
      <c r="AE341" s="1"/>
      <c r="AF341" s="1"/>
      <c r="AG341" s="1"/>
      <c r="AH341" s="26"/>
      <c r="AI341" s="26"/>
      <c r="AJ341" s="26"/>
      <c r="AK341" s="26"/>
      <c r="AL341" s="26"/>
      <c r="AM341" s="26"/>
      <c r="AN341" s="26"/>
      <c r="AO341" s="26"/>
      <c r="AP341" s="26"/>
      <c r="AQ341" s="26"/>
      <c r="AR341" s="26"/>
      <c r="AS341" s="26"/>
      <c r="AT341" s="26"/>
      <c r="AU341" s="26"/>
      <c r="AV341" s="26"/>
      <c r="AW341" s="26"/>
      <c r="AX341" s="26"/>
      <c r="AY341" s="1"/>
      <c r="AZ341" s="26"/>
      <c r="BA341" s="26"/>
      <c r="BB341" s="26"/>
      <c r="BC341" s="26"/>
      <c r="BD341" s="26"/>
      <c r="BE341" s="26"/>
      <c r="BF341" s="26"/>
      <c r="BG341" s="26"/>
      <c r="BH341" s="26"/>
      <c r="BI341" s="26"/>
      <c r="BJ341" s="26"/>
      <c r="BK341" s="26"/>
      <c r="BL341" s="26"/>
      <c r="BM341" s="26"/>
      <c r="BN341" s="26"/>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96"/>
      <c r="CP341" s="14"/>
      <c r="CQ341" s="14"/>
      <c r="CR341" s="14"/>
      <c r="CS341" s="14"/>
      <c r="CT341" s="1"/>
      <c r="CU341" s="14"/>
      <c r="CV341" s="1"/>
      <c r="CW341" s="1"/>
      <c r="CX341" s="14"/>
      <c r="CY341" s="1"/>
      <c r="CZ341" s="1"/>
      <c r="DA341" s="1"/>
      <c r="DB341" s="1"/>
      <c r="DC341" s="1"/>
      <c r="DD341" s="1"/>
      <c r="DE341" s="1"/>
      <c r="DF341" s="1"/>
      <c r="DG341" s="1"/>
      <c r="DH341" s="1"/>
      <c r="DI341" s="1"/>
      <c r="DJ341" s="1"/>
      <c r="DK341" s="1"/>
      <c r="DL341" s="1"/>
      <c r="DM341" s="1"/>
      <c r="DN341" s="1"/>
      <c r="DO341" s="1"/>
      <c r="DP341" s="1"/>
      <c r="DQ341" s="1"/>
      <c r="DR341" s="1"/>
      <c r="DS341" s="1"/>
      <c r="DT341" s="1"/>
      <c r="DU341" s="14"/>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29"/>
    </row>
    <row r="342" spans="1:160" x14ac:dyDescent="0.25">
      <c r="A342" s="5"/>
      <c r="B342" s="1"/>
      <c r="C342" s="98"/>
      <c r="D342" s="98"/>
      <c r="E342" s="1"/>
      <c r="F342" s="22"/>
      <c r="G342" s="22"/>
      <c r="H342" s="22"/>
      <c r="I342" s="22"/>
      <c r="J342" s="22"/>
      <c r="K342" s="22"/>
      <c r="L342" s="22"/>
      <c r="M342" s="22"/>
      <c r="N342" s="22"/>
      <c r="O342" s="22"/>
      <c r="P342" s="22"/>
      <c r="Q342" s="22"/>
      <c r="R342" s="1"/>
      <c r="S342" s="1"/>
      <c r="T342" s="8"/>
      <c r="U342" s="1"/>
      <c r="V342" s="1"/>
      <c r="W342" s="1"/>
      <c r="X342" s="1"/>
      <c r="Y342" s="1"/>
      <c r="Z342" s="1"/>
      <c r="AA342" s="1"/>
      <c r="AC342" s="1"/>
      <c r="AD342" s="1"/>
      <c r="AE342" s="1"/>
      <c r="AF342" s="1"/>
      <c r="AG342" s="1"/>
      <c r="AH342" s="26"/>
      <c r="AI342" s="26"/>
      <c r="AJ342" s="26"/>
      <c r="AK342" s="26"/>
      <c r="AL342" s="26"/>
      <c r="AM342" s="26"/>
      <c r="AN342" s="26"/>
      <c r="AO342" s="26"/>
      <c r="AP342" s="26"/>
      <c r="AQ342" s="26"/>
      <c r="AR342" s="26"/>
      <c r="AS342" s="26"/>
      <c r="AT342" s="26"/>
      <c r="AU342" s="26"/>
      <c r="AV342" s="26"/>
      <c r="AW342" s="26"/>
      <c r="AX342" s="26"/>
      <c r="AY342" s="1"/>
      <c r="AZ342" s="26"/>
      <c r="BA342" s="26"/>
      <c r="BB342" s="26"/>
      <c r="BC342" s="26"/>
      <c r="BD342" s="26"/>
      <c r="BE342" s="26"/>
      <c r="BF342" s="26"/>
      <c r="BG342" s="26"/>
      <c r="BH342" s="26"/>
      <c r="BI342" s="26"/>
      <c r="BJ342" s="26"/>
      <c r="BK342" s="26"/>
      <c r="BL342" s="26"/>
      <c r="BM342" s="26"/>
      <c r="BN342" s="26"/>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96"/>
      <c r="CP342" s="14"/>
      <c r="CQ342" s="14"/>
      <c r="CR342" s="14"/>
      <c r="CS342" s="14"/>
      <c r="CT342" s="1"/>
      <c r="CU342" s="14"/>
      <c r="CV342" s="1"/>
      <c r="CW342" s="1"/>
      <c r="CX342" s="14"/>
      <c r="CY342" s="1"/>
      <c r="CZ342" s="1"/>
      <c r="DA342" s="1"/>
      <c r="DB342" s="1"/>
      <c r="DC342" s="1"/>
      <c r="DD342" s="1"/>
      <c r="DE342" s="1"/>
      <c r="DF342" s="1"/>
      <c r="DG342" s="1"/>
      <c r="DH342" s="1"/>
      <c r="DI342" s="1"/>
      <c r="DJ342" s="1"/>
      <c r="DK342" s="1"/>
      <c r="DL342" s="1"/>
      <c r="DM342" s="1"/>
      <c r="DN342" s="1"/>
      <c r="DO342" s="1"/>
      <c r="DP342" s="1"/>
      <c r="DQ342" s="1"/>
      <c r="DR342" s="1"/>
      <c r="DS342" s="1"/>
      <c r="DT342" s="1"/>
      <c r="DU342" s="14"/>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29"/>
    </row>
    <row r="343" spans="1:160" x14ac:dyDescent="0.25">
      <c r="A343" s="5"/>
      <c r="B343" s="1"/>
      <c r="C343" s="98"/>
      <c r="D343" s="98"/>
      <c r="E343" s="1"/>
      <c r="F343" s="22"/>
      <c r="G343" s="22"/>
      <c r="H343" s="22"/>
      <c r="I343" s="22"/>
      <c r="J343" s="22"/>
      <c r="K343" s="22"/>
      <c r="L343" s="22"/>
      <c r="M343" s="22"/>
      <c r="N343" s="22"/>
      <c r="O343" s="22"/>
      <c r="P343" s="22"/>
      <c r="Q343" s="22"/>
      <c r="R343" s="1"/>
      <c r="S343" s="1"/>
      <c r="T343" s="8"/>
      <c r="U343" s="1"/>
      <c r="V343" s="1"/>
      <c r="W343" s="1"/>
      <c r="X343" s="1"/>
      <c r="Y343" s="1"/>
      <c r="Z343" s="1"/>
      <c r="AA343" s="1"/>
      <c r="AC343" s="1"/>
      <c r="AD343" s="1"/>
      <c r="AE343" s="1"/>
      <c r="AF343" s="1"/>
      <c r="AG343" s="1"/>
      <c r="AH343" s="26"/>
      <c r="AI343" s="26"/>
      <c r="AJ343" s="26"/>
      <c r="AK343" s="26"/>
      <c r="AL343" s="26"/>
      <c r="AM343" s="26"/>
      <c r="AN343" s="26"/>
      <c r="AO343" s="26"/>
      <c r="AP343" s="26"/>
      <c r="AQ343" s="26"/>
      <c r="AR343" s="26"/>
      <c r="AS343" s="26"/>
      <c r="AT343" s="26"/>
      <c r="AU343" s="26"/>
      <c r="AV343" s="26"/>
      <c r="AW343" s="26"/>
      <c r="AX343" s="26"/>
      <c r="AY343" s="1"/>
      <c r="AZ343" s="26"/>
      <c r="BA343" s="26"/>
      <c r="BB343" s="26"/>
      <c r="BC343" s="26"/>
      <c r="BD343" s="26"/>
      <c r="BE343" s="26"/>
      <c r="BF343" s="26"/>
      <c r="BG343" s="26"/>
      <c r="BH343" s="26"/>
      <c r="BI343" s="26"/>
      <c r="BJ343" s="26"/>
      <c r="BK343" s="26"/>
      <c r="BL343" s="26"/>
      <c r="BM343" s="26"/>
      <c r="BN343" s="26"/>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96"/>
      <c r="CP343" s="14"/>
      <c r="CQ343" s="14"/>
      <c r="CR343" s="14"/>
      <c r="CS343" s="14"/>
      <c r="CT343" s="1"/>
      <c r="CU343" s="14"/>
      <c r="CV343" s="1"/>
      <c r="CW343" s="1"/>
      <c r="CX343" s="14"/>
      <c r="CY343" s="1"/>
      <c r="CZ343" s="1"/>
      <c r="DA343" s="1"/>
      <c r="DB343" s="1"/>
      <c r="DC343" s="1"/>
      <c r="DD343" s="1"/>
      <c r="DE343" s="1"/>
      <c r="DF343" s="1"/>
      <c r="DG343" s="1"/>
      <c r="DH343" s="1"/>
      <c r="DI343" s="1"/>
      <c r="DJ343" s="1"/>
      <c r="DK343" s="1"/>
      <c r="DL343" s="1"/>
      <c r="DM343" s="1"/>
      <c r="DN343" s="1"/>
      <c r="DO343" s="1"/>
      <c r="DP343" s="1"/>
      <c r="DQ343" s="1"/>
      <c r="DR343" s="1"/>
      <c r="DS343" s="1"/>
      <c r="DT343" s="1"/>
      <c r="DU343" s="14"/>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29"/>
    </row>
    <row r="344" spans="1:160" x14ac:dyDescent="0.25">
      <c r="A344" s="5"/>
      <c r="B344" s="1"/>
      <c r="C344" s="98"/>
      <c r="D344" s="98"/>
      <c r="E344" s="1"/>
      <c r="F344" s="22"/>
      <c r="G344" s="22"/>
      <c r="H344" s="22"/>
      <c r="I344" s="22"/>
      <c r="J344" s="22"/>
      <c r="K344" s="22"/>
      <c r="L344" s="22"/>
      <c r="M344" s="22"/>
      <c r="N344" s="22"/>
      <c r="O344" s="22"/>
      <c r="P344" s="22"/>
      <c r="Q344" s="22"/>
      <c r="R344" s="1"/>
      <c r="S344" s="1"/>
      <c r="T344" s="8"/>
      <c r="U344" s="1"/>
      <c r="V344" s="1"/>
      <c r="W344" s="1"/>
      <c r="X344" s="1"/>
      <c r="Y344" s="1"/>
      <c r="Z344" s="1"/>
      <c r="AA344" s="1"/>
      <c r="AC344" s="1"/>
      <c r="AD344" s="1"/>
      <c r="AE344" s="1"/>
      <c r="AF344" s="1"/>
      <c r="AG344" s="1"/>
      <c r="AH344" s="26"/>
      <c r="AI344" s="26"/>
      <c r="AJ344" s="26"/>
      <c r="AK344" s="26"/>
      <c r="AL344" s="26"/>
      <c r="AM344" s="26"/>
      <c r="AN344" s="26"/>
      <c r="AO344" s="26"/>
      <c r="AP344" s="26"/>
      <c r="AQ344" s="26"/>
      <c r="AR344" s="26"/>
      <c r="AS344" s="26"/>
      <c r="AT344" s="26"/>
      <c r="AU344" s="26"/>
      <c r="AV344" s="26"/>
      <c r="AW344" s="26"/>
      <c r="AX344" s="26"/>
      <c r="AY344" s="1"/>
      <c r="AZ344" s="26"/>
      <c r="BA344" s="26"/>
      <c r="BB344" s="26"/>
      <c r="BC344" s="26"/>
      <c r="BD344" s="26"/>
      <c r="BE344" s="26"/>
      <c r="BF344" s="26"/>
      <c r="BG344" s="26"/>
      <c r="BH344" s="26"/>
      <c r="BI344" s="26"/>
      <c r="BJ344" s="26"/>
      <c r="BK344" s="26"/>
      <c r="BL344" s="26"/>
      <c r="BM344" s="26"/>
      <c r="BN344" s="26"/>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96"/>
      <c r="CP344" s="14"/>
      <c r="CQ344" s="14"/>
      <c r="CR344" s="14"/>
      <c r="CS344" s="14"/>
      <c r="CT344" s="1"/>
      <c r="CU344" s="14"/>
      <c r="CV344" s="1"/>
      <c r="CW344" s="1"/>
      <c r="CX344" s="14"/>
      <c r="CY344" s="1"/>
      <c r="CZ344" s="1"/>
      <c r="DA344" s="1"/>
      <c r="DB344" s="1"/>
      <c r="DC344" s="1"/>
      <c r="DD344" s="1"/>
      <c r="DE344" s="1"/>
      <c r="DF344" s="1"/>
      <c r="DG344" s="1"/>
      <c r="DH344" s="1"/>
      <c r="DI344" s="1"/>
      <c r="DJ344" s="1"/>
      <c r="DK344" s="1"/>
      <c r="DL344" s="1"/>
      <c r="DM344" s="1"/>
      <c r="DN344" s="1"/>
      <c r="DO344" s="1"/>
      <c r="DP344" s="1"/>
      <c r="DQ344" s="1"/>
      <c r="DR344" s="1"/>
      <c r="DS344" s="1"/>
      <c r="DT344" s="1"/>
      <c r="DU344" s="14"/>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29"/>
    </row>
    <row r="345" spans="1:160" x14ac:dyDescent="0.25">
      <c r="A345" s="5"/>
      <c r="B345" s="1"/>
      <c r="C345" s="98"/>
      <c r="D345" s="98"/>
      <c r="E345" s="1"/>
      <c r="F345" s="22"/>
      <c r="G345" s="22"/>
      <c r="H345" s="22"/>
      <c r="I345" s="22"/>
      <c r="J345" s="22"/>
      <c r="K345" s="22"/>
      <c r="L345" s="22"/>
      <c r="M345" s="22"/>
      <c r="N345" s="22"/>
      <c r="O345" s="22"/>
      <c r="P345" s="22"/>
      <c r="Q345" s="22"/>
      <c r="R345" s="1"/>
      <c r="S345" s="1"/>
      <c r="T345" s="8"/>
      <c r="U345" s="1"/>
      <c r="V345" s="1"/>
      <c r="W345" s="1"/>
      <c r="X345" s="1"/>
      <c r="Y345" s="1"/>
      <c r="Z345" s="1"/>
      <c r="AA345" s="1"/>
      <c r="AC345" s="1"/>
      <c r="AD345" s="1"/>
      <c r="AE345" s="1"/>
      <c r="AF345" s="1"/>
      <c r="AG345" s="1"/>
      <c r="AH345" s="26"/>
      <c r="AI345" s="26"/>
      <c r="AJ345" s="26"/>
      <c r="AK345" s="26"/>
      <c r="AL345" s="26"/>
      <c r="AM345" s="26"/>
      <c r="AN345" s="26"/>
      <c r="AO345" s="26"/>
      <c r="AP345" s="26"/>
      <c r="AQ345" s="26"/>
      <c r="AR345" s="26"/>
      <c r="AS345" s="26"/>
      <c r="AT345" s="26"/>
      <c r="AU345" s="26"/>
      <c r="AV345" s="26"/>
      <c r="AW345" s="26"/>
      <c r="AX345" s="26"/>
      <c r="AY345" s="1"/>
      <c r="AZ345" s="26"/>
      <c r="BA345" s="26"/>
      <c r="BB345" s="26"/>
      <c r="BC345" s="26"/>
      <c r="BD345" s="26"/>
      <c r="BE345" s="26"/>
      <c r="BF345" s="26"/>
      <c r="BG345" s="26"/>
      <c r="BH345" s="26"/>
      <c r="BI345" s="26"/>
      <c r="BJ345" s="26"/>
      <c r="BK345" s="26"/>
      <c r="BL345" s="26"/>
      <c r="BM345" s="26"/>
      <c r="BN345" s="26"/>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96"/>
      <c r="CP345" s="14"/>
      <c r="CQ345" s="14"/>
      <c r="CR345" s="14"/>
      <c r="CS345" s="14"/>
      <c r="CT345" s="1"/>
      <c r="CU345" s="14"/>
      <c r="CV345" s="1"/>
      <c r="CW345" s="1"/>
      <c r="CX345" s="14"/>
      <c r="CY345" s="1"/>
      <c r="CZ345" s="1"/>
      <c r="DA345" s="1"/>
      <c r="DB345" s="1"/>
      <c r="DC345" s="1"/>
      <c r="DD345" s="1"/>
      <c r="DE345" s="1"/>
      <c r="DF345" s="1"/>
      <c r="DG345" s="1"/>
      <c r="DH345" s="1"/>
      <c r="DI345" s="1"/>
      <c r="DJ345" s="1"/>
      <c r="DK345" s="1"/>
      <c r="DL345" s="1"/>
      <c r="DM345" s="1"/>
      <c r="DN345" s="1"/>
      <c r="DO345" s="1"/>
      <c r="DP345" s="1"/>
      <c r="DQ345" s="1"/>
      <c r="DR345" s="1"/>
      <c r="DS345" s="1"/>
      <c r="DT345" s="1"/>
      <c r="DU345" s="14"/>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29"/>
    </row>
    <row r="346" spans="1:160" x14ac:dyDescent="0.25">
      <c r="A346" s="5"/>
      <c r="B346" s="1"/>
      <c r="C346" s="98"/>
      <c r="D346" s="98"/>
      <c r="E346" s="1"/>
      <c r="F346" s="22"/>
      <c r="G346" s="22"/>
      <c r="H346" s="22"/>
      <c r="I346" s="22"/>
      <c r="J346" s="22"/>
      <c r="K346" s="22"/>
      <c r="L346" s="22"/>
      <c r="M346" s="22"/>
      <c r="N346" s="22"/>
      <c r="O346" s="22"/>
      <c r="P346" s="22"/>
      <c r="Q346" s="22"/>
      <c r="R346" s="1"/>
      <c r="S346" s="1"/>
      <c r="T346" s="8"/>
      <c r="U346" s="1"/>
      <c r="V346" s="1"/>
      <c r="W346" s="1"/>
      <c r="X346" s="1"/>
      <c r="Y346" s="1"/>
      <c r="Z346" s="1"/>
      <c r="AA346" s="1"/>
      <c r="AC346" s="1"/>
      <c r="AD346" s="1"/>
      <c r="AE346" s="1"/>
      <c r="AF346" s="1"/>
      <c r="AG346" s="1"/>
      <c r="AH346" s="26"/>
      <c r="AI346" s="26"/>
      <c r="AJ346" s="26"/>
      <c r="AK346" s="26"/>
      <c r="AL346" s="26"/>
      <c r="AM346" s="26"/>
      <c r="AN346" s="26"/>
      <c r="AO346" s="26"/>
      <c r="AP346" s="26"/>
      <c r="AQ346" s="26"/>
      <c r="AR346" s="26"/>
      <c r="AS346" s="26"/>
      <c r="AT346" s="26"/>
      <c r="AU346" s="26"/>
      <c r="AV346" s="26"/>
      <c r="AW346" s="26"/>
      <c r="AX346" s="26"/>
      <c r="AY346" s="1"/>
      <c r="AZ346" s="26"/>
      <c r="BA346" s="26"/>
      <c r="BB346" s="26"/>
      <c r="BC346" s="26"/>
      <c r="BD346" s="26"/>
      <c r="BE346" s="26"/>
      <c r="BF346" s="26"/>
      <c r="BG346" s="26"/>
      <c r="BH346" s="26"/>
      <c r="BI346" s="26"/>
      <c r="BJ346" s="26"/>
      <c r="BK346" s="26"/>
      <c r="BL346" s="26"/>
      <c r="BM346" s="26"/>
      <c r="BN346" s="26"/>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96"/>
      <c r="CP346" s="14"/>
      <c r="CQ346" s="14"/>
      <c r="CR346" s="14"/>
      <c r="CS346" s="14"/>
      <c r="CT346" s="1"/>
      <c r="CU346" s="14"/>
      <c r="CV346" s="1"/>
      <c r="CW346" s="1"/>
      <c r="CX346" s="14"/>
      <c r="CY346" s="1"/>
      <c r="CZ346" s="1"/>
      <c r="DA346" s="1"/>
      <c r="DB346" s="1"/>
      <c r="DC346" s="1"/>
      <c r="DD346" s="1"/>
      <c r="DE346" s="1"/>
      <c r="DF346" s="1"/>
      <c r="DG346" s="1"/>
      <c r="DH346" s="1"/>
      <c r="DI346" s="1"/>
      <c r="DJ346" s="1"/>
      <c r="DK346" s="1"/>
      <c r="DL346" s="1"/>
      <c r="DM346" s="1"/>
      <c r="DN346" s="1"/>
      <c r="DO346" s="1"/>
      <c r="DP346" s="1"/>
      <c r="DQ346" s="1"/>
      <c r="DR346" s="1"/>
      <c r="DS346" s="1"/>
      <c r="DT346" s="1"/>
      <c r="DU346" s="14"/>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29"/>
    </row>
    <row r="347" spans="1:160" x14ac:dyDescent="0.25">
      <c r="A347" s="5"/>
      <c r="B347" s="1"/>
      <c r="C347" s="98"/>
      <c r="D347" s="98"/>
      <c r="E347" s="1"/>
      <c r="F347" s="22"/>
      <c r="G347" s="22"/>
      <c r="H347" s="22"/>
      <c r="I347" s="22"/>
      <c r="J347" s="22"/>
      <c r="K347" s="22"/>
      <c r="L347" s="22"/>
      <c r="M347" s="22"/>
      <c r="N347" s="22"/>
      <c r="O347" s="22"/>
      <c r="P347" s="22"/>
      <c r="Q347" s="22"/>
      <c r="R347" s="1"/>
      <c r="S347" s="1"/>
      <c r="T347" s="8"/>
      <c r="U347" s="1"/>
      <c r="V347" s="1"/>
      <c r="W347" s="1"/>
      <c r="X347" s="1"/>
      <c r="Y347" s="1"/>
      <c r="Z347" s="1"/>
      <c r="AA347" s="1"/>
      <c r="AC347" s="1"/>
      <c r="AD347" s="1"/>
      <c r="AE347" s="1"/>
      <c r="AF347" s="1"/>
      <c r="AG347" s="1"/>
      <c r="AH347" s="26"/>
      <c r="AI347" s="26"/>
      <c r="AJ347" s="26"/>
      <c r="AK347" s="26"/>
      <c r="AL347" s="26"/>
      <c r="AM347" s="26"/>
      <c r="AN347" s="26"/>
      <c r="AO347" s="26"/>
      <c r="AP347" s="26"/>
      <c r="AQ347" s="26"/>
      <c r="AR347" s="26"/>
      <c r="AS347" s="26"/>
      <c r="AT347" s="26"/>
      <c r="AU347" s="26"/>
      <c r="AV347" s="26"/>
      <c r="AW347" s="26"/>
      <c r="AX347" s="26"/>
      <c r="AY347" s="1"/>
      <c r="AZ347" s="26"/>
      <c r="BA347" s="26"/>
      <c r="BB347" s="26"/>
      <c r="BC347" s="26"/>
      <c r="BD347" s="26"/>
      <c r="BE347" s="26"/>
      <c r="BF347" s="26"/>
      <c r="BG347" s="26"/>
      <c r="BH347" s="26"/>
      <c r="BI347" s="26"/>
      <c r="BJ347" s="26"/>
      <c r="BK347" s="26"/>
      <c r="BL347" s="26"/>
      <c r="BM347" s="26"/>
      <c r="BN347" s="26"/>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96"/>
      <c r="CP347" s="14"/>
      <c r="CQ347" s="14"/>
      <c r="CR347" s="14"/>
      <c r="CS347" s="14"/>
      <c r="CT347" s="1"/>
      <c r="CU347" s="14"/>
      <c r="CV347" s="1"/>
      <c r="CW347" s="1"/>
      <c r="CX347" s="14"/>
      <c r="CY347" s="1"/>
      <c r="CZ347" s="1"/>
      <c r="DA347" s="1"/>
      <c r="DB347" s="1"/>
      <c r="DC347" s="1"/>
      <c r="DD347" s="1"/>
      <c r="DE347" s="1"/>
      <c r="DF347" s="1"/>
      <c r="DG347" s="1"/>
      <c r="DH347" s="1"/>
      <c r="DI347" s="1"/>
      <c r="DJ347" s="1"/>
      <c r="DK347" s="1"/>
      <c r="DL347" s="1"/>
      <c r="DM347" s="1"/>
      <c r="DN347" s="1"/>
      <c r="DO347" s="1"/>
      <c r="DP347" s="1"/>
      <c r="DQ347" s="1"/>
      <c r="DR347" s="1"/>
      <c r="DS347" s="1"/>
      <c r="DT347" s="1"/>
      <c r="DU347" s="14"/>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29"/>
    </row>
    <row r="348" spans="1:160" x14ac:dyDescent="0.25">
      <c r="A348" s="5"/>
      <c r="B348" s="1"/>
      <c r="C348" s="98"/>
      <c r="D348" s="98"/>
      <c r="E348" s="1"/>
      <c r="F348" s="22"/>
      <c r="G348" s="22"/>
      <c r="H348" s="22"/>
      <c r="I348" s="22"/>
      <c r="J348" s="22"/>
      <c r="K348" s="22"/>
      <c r="L348" s="22"/>
      <c r="M348" s="22"/>
      <c r="N348" s="22"/>
      <c r="O348" s="22"/>
      <c r="P348" s="22"/>
      <c r="Q348" s="22"/>
      <c r="R348" s="1"/>
      <c r="S348" s="1"/>
      <c r="T348" s="8"/>
      <c r="U348" s="1"/>
      <c r="V348" s="1"/>
      <c r="W348" s="1"/>
      <c r="X348" s="1"/>
      <c r="Y348" s="1"/>
      <c r="Z348" s="1"/>
      <c r="AA348" s="1"/>
      <c r="AC348" s="1"/>
      <c r="AD348" s="1"/>
      <c r="AE348" s="1"/>
      <c r="AF348" s="1"/>
      <c r="AG348" s="1"/>
      <c r="AH348" s="26"/>
      <c r="AI348" s="26"/>
      <c r="AJ348" s="26"/>
      <c r="AK348" s="26"/>
      <c r="AL348" s="26"/>
      <c r="AM348" s="26"/>
      <c r="AN348" s="26"/>
      <c r="AO348" s="26"/>
      <c r="AP348" s="26"/>
      <c r="AQ348" s="26"/>
      <c r="AR348" s="26"/>
      <c r="AS348" s="26"/>
      <c r="AT348" s="26"/>
      <c r="AU348" s="26"/>
      <c r="AV348" s="26"/>
      <c r="AW348" s="26"/>
      <c r="AX348" s="26"/>
      <c r="AY348" s="1"/>
      <c r="AZ348" s="26"/>
      <c r="BA348" s="26"/>
      <c r="BB348" s="26"/>
      <c r="BC348" s="26"/>
      <c r="BD348" s="26"/>
      <c r="BE348" s="26"/>
      <c r="BF348" s="26"/>
      <c r="BG348" s="26"/>
      <c r="BH348" s="26"/>
      <c r="BI348" s="26"/>
      <c r="BJ348" s="26"/>
      <c r="BK348" s="26"/>
      <c r="BL348" s="26"/>
      <c r="BM348" s="26"/>
      <c r="BN348" s="26"/>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96"/>
      <c r="CP348" s="14"/>
      <c r="CQ348" s="14"/>
      <c r="CR348" s="14"/>
      <c r="CS348" s="14"/>
      <c r="CT348" s="1"/>
      <c r="CU348" s="14"/>
      <c r="CV348" s="1"/>
      <c r="CW348" s="1"/>
      <c r="CX348" s="14"/>
      <c r="CY348" s="1"/>
      <c r="CZ348" s="1"/>
      <c r="DA348" s="1"/>
      <c r="DB348" s="1"/>
      <c r="DC348" s="1"/>
      <c r="DD348" s="1"/>
      <c r="DE348" s="1"/>
      <c r="DF348" s="1"/>
      <c r="DG348" s="1"/>
      <c r="DH348" s="1"/>
      <c r="DI348" s="1"/>
      <c r="DJ348" s="1"/>
      <c r="DK348" s="1"/>
      <c r="DL348" s="1"/>
      <c r="DM348" s="1"/>
      <c r="DN348" s="1"/>
      <c r="DO348" s="1"/>
      <c r="DP348" s="1"/>
      <c r="DQ348" s="1"/>
      <c r="DR348" s="1"/>
      <c r="DS348" s="1"/>
      <c r="DT348" s="1"/>
      <c r="DU348" s="14"/>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29"/>
    </row>
    <row r="349" spans="1:160" x14ac:dyDescent="0.25">
      <c r="A349" s="5"/>
      <c r="B349" s="1"/>
      <c r="C349" s="98"/>
      <c r="D349" s="98"/>
      <c r="E349" s="1"/>
      <c r="F349" s="22"/>
      <c r="G349" s="22"/>
      <c r="H349" s="22"/>
      <c r="I349" s="22"/>
      <c r="J349" s="22"/>
      <c r="K349" s="22"/>
      <c r="L349" s="22"/>
      <c r="M349" s="22"/>
      <c r="N349" s="22"/>
      <c r="O349" s="22"/>
      <c r="P349" s="22"/>
      <c r="Q349" s="22"/>
      <c r="R349" s="1"/>
      <c r="S349" s="1"/>
      <c r="T349" s="8"/>
      <c r="U349" s="1"/>
      <c r="V349" s="1"/>
      <c r="W349" s="1"/>
      <c r="X349" s="1"/>
      <c r="Y349" s="1"/>
      <c r="Z349" s="1"/>
      <c r="AA349" s="1"/>
      <c r="AC349" s="1"/>
      <c r="AD349" s="1"/>
      <c r="AE349" s="1"/>
      <c r="AF349" s="1"/>
      <c r="AG349" s="1"/>
      <c r="AH349" s="26"/>
      <c r="AI349" s="26"/>
      <c r="AJ349" s="26"/>
      <c r="AK349" s="26"/>
      <c r="AL349" s="26"/>
      <c r="AM349" s="26"/>
      <c r="AN349" s="26"/>
      <c r="AO349" s="26"/>
      <c r="AP349" s="26"/>
      <c r="AQ349" s="26"/>
      <c r="AR349" s="26"/>
      <c r="AS349" s="26"/>
      <c r="AT349" s="26"/>
      <c r="AU349" s="26"/>
      <c r="AV349" s="26"/>
      <c r="AW349" s="26"/>
      <c r="AX349" s="26"/>
      <c r="AY349" s="1"/>
      <c r="AZ349" s="26"/>
      <c r="BA349" s="26"/>
      <c r="BB349" s="26"/>
      <c r="BC349" s="26"/>
      <c r="BD349" s="26"/>
      <c r="BE349" s="26"/>
      <c r="BF349" s="26"/>
      <c r="BG349" s="26"/>
      <c r="BH349" s="26"/>
      <c r="BI349" s="26"/>
      <c r="BJ349" s="26"/>
      <c r="BK349" s="26"/>
      <c r="BL349" s="26"/>
      <c r="BM349" s="26"/>
      <c r="BN349" s="26"/>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96"/>
      <c r="CP349" s="14"/>
      <c r="CQ349" s="14"/>
      <c r="CR349" s="14"/>
      <c r="CS349" s="14"/>
      <c r="CT349" s="1"/>
      <c r="CU349" s="14"/>
      <c r="CV349" s="1"/>
      <c r="CW349" s="1"/>
      <c r="CX349" s="14"/>
      <c r="CY349" s="1"/>
      <c r="CZ349" s="1"/>
      <c r="DA349" s="1"/>
      <c r="DB349" s="1"/>
      <c r="DC349" s="1"/>
      <c r="DD349" s="1"/>
      <c r="DE349" s="1"/>
      <c r="DF349" s="1"/>
      <c r="DG349" s="1"/>
      <c r="DH349" s="1"/>
      <c r="DI349" s="1"/>
      <c r="DJ349" s="1"/>
      <c r="DK349" s="1"/>
      <c r="DL349" s="1"/>
      <c r="DM349" s="1"/>
      <c r="DN349" s="1"/>
      <c r="DO349" s="1"/>
      <c r="DP349" s="1"/>
      <c r="DQ349" s="1"/>
      <c r="DR349" s="1"/>
      <c r="DS349" s="1"/>
      <c r="DT349" s="1"/>
      <c r="DU349" s="14"/>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29"/>
    </row>
    <row r="350" spans="1:160" x14ac:dyDescent="0.25">
      <c r="A350" s="5"/>
      <c r="B350" s="1"/>
      <c r="C350" s="98"/>
      <c r="D350" s="98"/>
      <c r="E350" s="1"/>
      <c r="F350" s="22"/>
      <c r="G350" s="22"/>
      <c r="H350" s="22"/>
      <c r="I350" s="22"/>
      <c r="J350" s="22"/>
      <c r="K350" s="22"/>
      <c r="L350" s="22"/>
      <c r="M350" s="22"/>
      <c r="N350" s="22"/>
      <c r="O350" s="22"/>
      <c r="P350" s="22"/>
      <c r="Q350" s="22"/>
      <c r="R350" s="1"/>
      <c r="S350" s="1"/>
      <c r="T350" s="8"/>
      <c r="U350" s="1"/>
      <c r="V350" s="1"/>
      <c r="W350" s="1"/>
      <c r="X350" s="1"/>
      <c r="Y350" s="1"/>
      <c r="Z350" s="1"/>
      <c r="AA350" s="1"/>
      <c r="AC350" s="1"/>
      <c r="AD350" s="1"/>
      <c r="AE350" s="1"/>
      <c r="AF350" s="1"/>
      <c r="AG350" s="1"/>
      <c r="AH350" s="26"/>
      <c r="AI350" s="26"/>
      <c r="AJ350" s="26"/>
      <c r="AK350" s="26"/>
      <c r="AL350" s="26"/>
      <c r="AM350" s="26"/>
      <c r="AN350" s="26"/>
      <c r="AO350" s="26"/>
      <c r="AP350" s="26"/>
      <c r="AQ350" s="26"/>
      <c r="AR350" s="26"/>
      <c r="AS350" s="26"/>
      <c r="AT350" s="26"/>
      <c r="AU350" s="26"/>
      <c r="AV350" s="26"/>
      <c r="AW350" s="26"/>
      <c r="AX350" s="26"/>
      <c r="AY350" s="1"/>
      <c r="AZ350" s="26"/>
      <c r="BA350" s="26"/>
      <c r="BB350" s="26"/>
      <c r="BC350" s="26"/>
      <c r="BD350" s="26"/>
      <c r="BE350" s="26"/>
      <c r="BF350" s="26"/>
      <c r="BG350" s="26"/>
      <c r="BH350" s="26"/>
      <c r="BI350" s="26"/>
      <c r="BJ350" s="26"/>
      <c r="BK350" s="26"/>
      <c r="BL350" s="26"/>
      <c r="BM350" s="26"/>
      <c r="BN350" s="26"/>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96"/>
      <c r="CP350" s="14"/>
      <c r="CQ350" s="14"/>
      <c r="CR350" s="14"/>
      <c r="CS350" s="14"/>
      <c r="CT350" s="1"/>
      <c r="CU350" s="14"/>
      <c r="CV350" s="1"/>
      <c r="CW350" s="1"/>
      <c r="CX350" s="14"/>
      <c r="CY350" s="1"/>
      <c r="CZ350" s="1"/>
      <c r="DA350" s="1"/>
      <c r="DB350" s="1"/>
      <c r="DC350" s="1"/>
      <c r="DD350" s="1"/>
      <c r="DE350" s="1"/>
      <c r="DF350" s="1"/>
      <c r="DG350" s="1"/>
      <c r="DH350" s="1"/>
      <c r="DI350" s="1"/>
      <c r="DJ350" s="1"/>
      <c r="DK350" s="1"/>
      <c r="DL350" s="1"/>
      <c r="DM350" s="1"/>
      <c r="DN350" s="1"/>
      <c r="DO350" s="1"/>
      <c r="DP350" s="1"/>
      <c r="DQ350" s="1"/>
      <c r="DR350" s="1"/>
      <c r="DS350" s="1"/>
      <c r="DT350" s="1"/>
      <c r="DU350" s="14"/>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29"/>
    </row>
    <row r="351" spans="1:160" x14ac:dyDescent="0.25">
      <c r="A351" s="5"/>
      <c r="B351" s="1"/>
      <c r="C351" s="98"/>
      <c r="D351" s="98"/>
      <c r="E351" s="1"/>
      <c r="F351" s="22"/>
      <c r="G351" s="22"/>
      <c r="H351" s="22"/>
      <c r="I351" s="22"/>
      <c r="J351" s="22"/>
      <c r="K351" s="22"/>
      <c r="L351" s="22"/>
      <c r="M351" s="22"/>
      <c r="N351" s="22"/>
      <c r="O351" s="22"/>
      <c r="P351" s="22"/>
      <c r="Q351" s="22"/>
      <c r="R351" s="1"/>
      <c r="S351" s="1"/>
      <c r="T351" s="8"/>
      <c r="U351" s="1"/>
      <c r="V351" s="1"/>
      <c r="W351" s="1"/>
      <c r="X351" s="1"/>
      <c r="Y351" s="1"/>
      <c r="Z351" s="1"/>
      <c r="AA351" s="1"/>
      <c r="AC351" s="1"/>
      <c r="AD351" s="1"/>
      <c r="AE351" s="1"/>
      <c r="AF351" s="1"/>
      <c r="AG351" s="1"/>
      <c r="AH351" s="26"/>
      <c r="AI351" s="26"/>
      <c r="AJ351" s="26"/>
      <c r="AK351" s="26"/>
      <c r="AL351" s="26"/>
      <c r="AM351" s="26"/>
      <c r="AN351" s="26"/>
      <c r="AO351" s="26"/>
      <c r="AP351" s="26"/>
      <c r="AQ351" s="26"/>
      <c r="AR351" s="26"/>
      <c r="AS351" s="26"/>
      <c r="AT351" s="26"/>
      <c r="AU351" s="26"/>
      <c r="AV351" s="26"/>
      <c r="AW351" s="26"/>
      <c r="AX351" s="26"/>
      <c r="AY351" s="1"/>
      <c r="AZ351" s="26"/>
      <c r="BA351" s="26"/>
      <c r="BB351" s="26"/>
      <c r="BC351" s="26"/>
      <c r="BD351" s="26"/>
      <c r="BE351" s="26"/>
      <c r="BF351" s="26"/>
      <c r="BG351" s="26"/>
      <c r="BH351" s="26"/>
      <c r="BI351" s="26"/>
      <c r="BJ351" s="26"/>
      <c r="BK351" s="26"/>
      <c r="BL351" s="26"/>
      <c r="BM351" s="26"/>
      <c r="BN351" s="26"/>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96"/>
      <c r="CP351" s="14"/>
      <c r="CQ351" s="14"/>
      <c r="CR351" s="14"/>
      <c r="CS351" s="14"/>
      <c r="CT351" s="1"/>
      <c r="CU351" s="14"/>
      <c r="CV351" s="1"/>
      <c r="CW351" s="1"/>
      <c r="CX351" s="14"/>
      <c r="CY351" s="1"/>
      <c r="CZ351" s="1"/>
      <c r="DA351" s="1"/>
      <c r="DB351" s="1"/>
      <c r="DC351" s="1"/>
      <c r="DD351" s="1"/>
      <c r="DE351" s="1"/>
      <c r="DF351" s="1"/>
      <c r="DG351" s="1"/>
      <c r="DH351" s="1"/>
      <c r="DI351" s="1"/>
      <c r="DJ351" s="1"/>
      <c r="DK351" s="1"/>
      <c r="DL351" s="1"/>
      <c r="DM351" s="1"/>
      <c r="DN351" s="1"/>
      <c r="DO351" s="1"/>
      <c r="DP351" s="1"/>
      <c r="DQ351" s="1"/>
      <c r="DR351" s="1"/>
      <c r="DS351" s="1"/>
      <c r="DT351" s="1"/>
      <c r="DU351" s="14"/>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29"/>
    </row>
    <row r="352" spans="1:160" x14ac:dyDescent="0.25">
      <c r="A352" s="5"/>
      <c r="B352" s="1"/>
      <c r="C352" s="98"/>
      <c r="D352" s="98"/>
      <c r="E352" s="1"/>
      <c r="F352" s="22"/>
      <c r="G352" s="22"/>
      <c r="H352" s="22"/>
      <c r="I352" s="22"/>
      <c r="J352" s="22"/>
      <c r="K352" s="22"/>
      <c r="L352" s="22"/>
      <c r="M352" s="22"/>
      <c r="N352" s="22"/>
      <c r="O352" s="22"/>
      <c r="P352" s="22"/>
      <c r="Q352" s="22"/>
      <c r="R352" s="1"/>
      <c r="S352" s="1"/>
      <c r="T352" s="8"/>
      <c r="U352" s="1"/>
      <c r="V352" s="1"/>
      <c r="W352" s="1"/>
      <c r="X352" s="1"/>
      <c r="Y352" s="1"/>
      <c r="Z352" s="1"/>
      <c r="AA352" s="1"/>
      <c r="AC352" s="1"/>
      <c r="AD352" s="1"/>
      <c r="AE352" s="1"/>
      <c r="AF352" s="1"/>
      <c r="AG352" s="1"/>
      <c r="AH352" s="26"/>
      <c r="AI352" s="26"/>
      <c r="AJ352" s="26"/>
      <c r="AK352" s="26"/>
      <c r="AL352" s="26"/>
      <c r="AM352" s="26"/>
      <c r="AN352" s="26"/>
      <c r="AO352" s="26"/>
      <c r="AP352" s="26"/>
      <c r="AQ352" s="26"/>
      <c r="AR352" s="26"/>
      <c r="AS352" s="26"/>
      <c r="AT352" s="26"/>
      <c r="AU352" s="26"/>
      <c r="AV352" s="26"/>
      <c r="AW352" s="26"/>
      <c r="AX352" s="26"/>
      <c r="AY352" s="1"/>
      <c r="AZ352" s="26"/>
      <c r="BA352" s="26"/>
      <c r="BB352" s="26"/>
      <c r="BC352" s="26"/>
      <c r="BD352" s="26"/>
      <c r="BE352" s="26"/>
      <c r="BF352" s="26"/>
      <c r="BG352" s="26"/>
      <c r="BH352" s="26"/>
      <c r="BI352" s="26"/>
      <c r="BJ352" s="26"/>
      <c r="BK352" s="26"/>
      <c r="BL352" s="26"/>
      <c r="BM352" s="26"/>
      <c r="BN352" s="26"/>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96"/>
      <c r="CP352" s="14"/>
      <c r="CQ352" s="14"/>
      <c r="CR352" s="14"/>
      <c r="CS352" s="14"/>
      <c r="CT352" s="1"/>
      <c r="CU352" s="14"/>
      <c r="CV352" s="1"/>
      <c r="CW352" s="1"/>
      <c r="CX352" s="14"/>
      <c r="CY352" s="1"/>
      <c r="CZ352" s="1"/>
      <c r="DA352" s="1"/>
      <c r="DB352" s="1"/>
      <c r="DC352" s="1"/>
      <c r="DD352" s="1"/>
      <c r="DE352" s="1"/>
      <c r="DF352" s="1"/>
      <c r="DG352" s="1"/>
      <c r="DH352" s="1"/>
      <c r="DI352" s="1"/>
      <c r="DJ352" s="1"/>
      <c r="DK352" s="1"/>
      <c r="DL352" s="1"/>
      <c r="DM352" s="1"/>
      <c r="DN352" s="1"/>
      <c r="DO352" s="1"/>
      <c r="DP352" s="1"/>
      <c r="DQ352" s="1"/>
      <c r="DR352" s="1"/>
      <c r="DS352" s="1"/>
      <c r="DT352" s="1"/>
      <c r="DU352" s="14"/>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29"/>
    </row>
    <row r="353" spans="1:160" x14ac:dyDescent="0.25">
      <c r="A353" s="5"/>
      <c r="B353" s="1"/>
      <c r="C353" s="98"/>
      <c r="D353" s="98"/>
      <c r="E353" s="1"/>
      <c r="F353" s="22"/>
      <c r="G353" s="22"/>
      <c r="H353" s="22"/>
      <c r="I353" s="22"/>
      <c r="J353" s="22"/>
      <c r="K353" s="22"/>
      <c r="L353" s="22"/>
      <c r="M353" s="22"/>
      <c r="N353" s="22"/>
      <c r="O353" s="22"/>
      <c r="P353" s="22"/>
      <c r="Q353" s="22"/>
      <c r="R353" s="1"/>
      <c r="S353" s="1"/>
      <c r="T353" s="8"/>
      <c r="U353" s="1"/>
      <c r="V353" s="1"/>
      <c r="W353" s="1"/>
      <c r="X353" s="1"/>
      <c r="Y353" s="1"/>
      <c r="Z353" s="1"/>
      <c r="AA353" s="1"/>
      <c r="AC353" s="1"/>
      <c r="AD353" s="1"/>
      <c r="AE353" s="1"/>
      <c r="AF353" s="1"/>
      <c r="AG353" s="1"/>
      <c r="AH353" s="26"/>
      <c r="AI353" s="26"/>
      <c r="AJ353" s="26"/>
      <c r="AK353" s="26"/>
      <c r="AL353" s="26"/>
      <c r="AM353" s="26"/>
      <c r="AN353" s="26"/>
      <c r="AO353" s="26"/>
      <c r="AP353" s="26"/>
      <c r="AQ353" s="26"/>
      <c r="AR353" s="26"/>
      <c r="AS353" s="26"/>
      <c r="AT353" s="26"/>
      <c r="AU353" s="26"/>
      <c r="AV353" s="26"/>
      <c r="AW353" s="26"/>
      <c r="AX353" s="26"/>
      <c r="AY353" s="1"/>
      <c r="AZ353" s="26"/>
      <c r="BA353" s="26"/>
      <c r="BB353" s="26"/>
      <c r="BC353" s="26"/>
      <c r="BD353" s="26"/>
      <c r="BE353" s="26"/>
      <c r="BF353" s="26"/>
      <c r="BG353" s="26"/>
      <c r="BH353" s="26"/>
      <c r="BI353" s="26"/>
      <c r="BJ353" s="26"/>
      <c r="BK353" s="26"/>
      <c r="BL353" s="26"/>
      <c r="BM353" s="26"/>
      <c r="BN353" s="26"/>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96"/>
      <c r="CP353" s="14"/>
      <c r="CQ353" s="14"/>
      <c r="CR353" s="14"/>
      <c r="CS353" s="14"/>
      <c r="CT353" s="1"/>
      <c r="CU353" s="14"/>
      <c r="CV353" s="1"/>
      <c r="CW353" s="1"/>
      <c r="CX353" s="14"/>
      <c r="CY353" s="1"/>
      <c r="CZ353" s="1"/>
      <c r="DA353" s="1"/>
      <c r="DB353" s="1"/>
      <c r="DC353" s="1"/>
      <c r="DD353" s="1"/>
      <c r="DE353" s="1"/>
      <c r="DF353" s="1"/>
      <c r="DG353" s="1"/>
      <c r="DH353" s="1"/>
      <c r="DI353" s="1"/>
      <c r="DJ353" s="1"/>
      <c r="DK353" s="1"/>
      <c r="DL353" s="1"/>
      <c r="DM353" s="1"/>
      <c r="DN353" s="1"/>
      <c r="DO353" s="1"/>
      <c r="DP353" s="1"/>
      <c r="DQ353" s="1"/>
      <c r="DR353" s="1"/>
      <c r="DS353" s="1"/>
      <c r="DT353" s="1"/>
      <c r="DU353" s="14"/>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29"/>
    </row>
    <row r="354" spans="1:160" x14ac:dyDescent="0.25">
      <c r="A354" s="5"/>
      <c r="B354" s="1"/>
      <c r="C354" s="98"/>
      <c r="D354" s="98"/>
      <c r="E354" s="1"/>
      <c r="F354" s="22"/>
      <c r="G354" s="22"/>
      <c r="H354" s="22"/>
      <c r="I354" s="22"/>
      <c r="J354" s="22"/>
      <c r="K354" s="22"/>
      <c r="L354" s="22"/>
      <c r="M354" s="22"/>
      <c r="N354" s="22"/>
      <c r="O354" s="22"/>
      <c r="P354" s="22"/>
      <c r="Q354" s="22"/>
      <c r="R354" s="1"/>
      <c r="S354" s="1"/>
      <c r="T354" s="8"/>
      <c r="U354" s="1"/>
      <c r="V354" s="1"/>
      <c r="W354" s="1"/>
      <c r="X354" s="1"/>
      <c r="Y354" s="1"/>
      <c r="Z354" s="1"/>
      <c r="AA354" s="1"/>
      <c r="AC354" s="1"/>
      <c r="AD354" s="1"/>
      <c r="AE354" s="1"/>
      <c r="AF354" s="1"/>
      <c r="AG354" s="1"/>
      <c r="AH354" s="26"/>
      <c r="AI354" s="26"/>
      <c r="AJ354" s="26"/>
      <c r="AK354" s="26"/>
      <c r="AL354" s="26"/>
      <c r="AM354" s="26"/>
      <c r="AN354" s="26"/>
      <c r="AO354" s="26"/>
      <c r="AP354" s="26"/>
      <c r="AQ354" s="26"/>
      <c r="AR354" s="26"/>
      <c r="AS354" s="26"/>
      <c r="AT354" s="26"/>
      <c r="AU354" s="26"/>
      <c r="AV354" s="26"/>
      <c r="AW354" s="26"/>
      <c r="AX354" s="26"/>
      <c r="AY354" s="1"/>
      <c r="AZ354" s="26"/>
      <c r="BA354" s="26"/>
      <c r="BB354" s="26"/>
      <c r="BC354" s="26"/>
      <c r="BD354" s="26"/>
      <c r="BE354" s="26"/>
      <c r="BF354" s="26"/>
      <c r="BG354" s="26"/>
      <c r="BH354" s="26"/>
      <c r="BI354" s="26"/>
      <c r="BJ354" s="26"/>
      <c r="BK354" s="26"/>
      <c r="BL354" s="26"/>
      <c r="BM354" s="26"/>
      <c r="BN354" s="26"/>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96"/>
      <c r="CP354" s="14"/>
      <c r="CQ354" s="14"/>
      <c r="CR354" s="14"/>
      <c r="CS354" s="14"/>
      <c r="CT354" s="1"/>
      <c r="CU354" s="14"/>
      <c r="CV354" s="1"/>
      <c r="CW354" s="1"/>
      <c r="CX354" s="14"/>
      <c r="CY354" s="1"/>
      <c r="CZ354" s="1"/>
      <c r="DA354" s="1"/>
      <c r="DB354" s="1"/>
      <c r="DC354" s="1"/>
      <c r="DD354" s="1"/>
      <c r="DE354" s="1"/>
      <c r="DF354" s="1"/>
      <c r="DG354" s="1"/>
      <c r="DH354" s="1"/>
      <c r="DI354" s="1"/>
      <c r="DJ354" s="1"/>
      <c r="DK354" s="1"/>
      <c r="DL354" s="1"/>
      <c r="DM354" s="1"/>
      <c r="DN354" s="1"/>
      <c r="DO354" s="1"/>
      <c r="DP354" s="1"/>
      <c r="DQ354" s="1"/>
      <c r="DR354" s="1"/>
      <c r="DS354" s="1"/>
      <c r="DT354" s="1"/>
      <c r="DU354" s="14"/>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29"/>
    </row>
    <row r="355" spans="1:160" x14ac:dyDescent="0.25">
      <c r="A355" s="5"/>
      <c r="B355" s="1"/>
      <c r="C355" s="98"/>
      <c r="D355" s="98"/>
      <c r="E355" s="1"/>
      <c r="F355" s="22"/>
      <c r="G355" s="22"/>
      <c r="H355" s="22"/>
      <c r="I355" s="22"/>
      <c r="J355" s="22"/>
      <c r="K355" s="22"/>
      <c r="L355" s="22"/>
      <c r="M355" s="22"/>
      <c r="N355" s="22"/>
      <c r="O355" s="22"/>
      <c r="P355" s="22"/>
      <c r="Q355" s="22"/>
      <c r="R355" s="1"/>
      <c r="S355" s="1"/>
      <c r="T355" s="8"/>
      <c r="U355" s="1"/>
      <c r="V355" s="1"/>
      <c r="W355" s="1"/>
      <c r="X355" s="1"/>
      <c r="Y355" s="1"/>
      <c r="Z355" s="1"/>
      <c r="AA355" s="1"/>
      <c r="AC355" s="1"/>
      <c r="AD355" s="1"/>
      <c r="AE355" s="1"/>
      <c r="AF355" s="1"/>
      <c r="AG355" s="1"/>
      <c r="AH355" s="26"/>
      <c r="AI355" s="26"/>
      <c r="AJ355" s="26"/>
      <c r="AK355" s="26"/>
      <c r="AL355" s="26"/>
      <c r="AM355" s="26"/>
      <c r="AN355" s="26"/>
      <c r="AO355" s="26"/>
      <c r="AP355" s="26"/>
      <c r="AQ355" s="26"/>
      <c r="AR355" s="26"/>
      <c r="AS355" s="26"/>
      <c r="AT355" s="26"/>
      <c r="AU355" s="26"/>
      <c r="AV355" s="26"/>
      <c r="AW355" s="26"/>
      <c r="AX355" s="26"/>
      <c r="AY355" s="1"/>
      <c r="AZ355" s="26"/>
      <c r="BA355" s="26"/>
      <c r="BB355" s="26"/>
      <c r="BC355" s="26"/>
      <c r="BD355" s="26"/>
      <c r="BE355" s="26"/>
      <c r="BF355" s="26"/>
      <c r="BG355" s="26"/>
      <c r="BH355" s="26"/>
      <c r="BI355" s="26"/>
      <c r="BJ355" s="26"/>
      <c r="BK355" s="26"/>
      <c r="BL355" s="26"/>
      <c r="BM355" s="26"/>
      <c r="BN355" s="26"/>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96"/>
      <c r="CP355" s="14"/>
      <c r="CQ355" s="14"/>
      <c r="CR355" s="14"/>
      <c r="CS355" s="14"/>
      <c r="CT355" s="1"/>
      <c r="CU355" s="14"/>
      <c r="CV355" s="1"/>
      <c r="CW355" s="1"/>
      <c r="CX355" s="14"/>
      <c r="CY355" s="1"/>
      <c r="CZ355" s="1"/>
      <c r="DA355" s="1"/>
      <c r="DB355" s="1"/>
      <c r="DC355" s="1"/>
      <c r="DD355" s="1"/>
      <c r="DE355" s="1"/>
      <c r="DF355" s="1"/>
      <c r="DG355" s="1"/>
      <c r="DH355" s="1"/>
      <c r="DI355" s="1"/>
      <c r="DJ355" s="1"/>
      <c r="DK355" s="1"/>
      <c r="DL355" s="1"/>
      <c r="DM355" s="1"/>
      <c r="DN355" s="1"/>
      <c r="DO355" s="1"/>
      <c r="DP355" s="1"/>
      <c r="DQ355" s="1"/>
      <c r="DR355" s="1"/>
      <c r="DS355" s="1"/>
      <c r="DT355" s="1"/>
      <c r="DU355" s="14"/>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29"/>
    </row>
    <row r="356" spans="1:160" x14ac:dyDescent="0.25">
      <c r="A356" s="5"/>
      <c r="B356" s="1"/>
      <c r="C356" s="98"/>
      <c r="D356" s="98"/>
      <c r="E356" s="1"/>
      <c r="F356" s="22"/>
      <c r="G356" s="22"/>
      <c r="H356" s="22"/>
      <c r="I356" s="22"/>
      <c r="J356" s="22"/>
      <c r="K356" s="22"/>
      <c r="L356" s="22"/>
      <c r="M356" s="22"/>
      <c r="N356" s="22"/>
      <c r="O356" s="22"/>
      <c r="P356" s="22"/>
      <c r="Q356" s="22"/>
      <c r="R356" s="1"/>
      <c r="S356" s="1"/>
      <c r="T356" s="8"/>
      <c r="U356" s="1"/>
      <c r="V356" s="1"/>
      <c r="W356" s="1"/>
      <c r="X356" s="1"/>
      <c r="Y356" s="1"/>
      <c r="Z356" s="1"/>
      <c r="AA356" s="1"/>
      <c r="AC356" s="1"/>
      <c r="AD356" s="1"/>
      <c r="AE356" s="1"/>
      <c r="AF356" s="1"/>
      <c r="AG356" s="1"/>
      <c r="AH356" s="26"/>
      <c r="AI356" s="26"/>
      <c r="AJ356" s="26"/>
      <c r="AK356" s="26"/>
      <c r="AL356" s="26"/>
      <c r="AM356" s="26"/>
      <c r="AN356" s="26"/>
      <c r="AO356" s="26"/>
      <c r="AP356" s="26"/>
      <c r="AQ356" s="26"/>
      <c r="AR356" s="26"/>
      <c r="AS356" s="26"/>
      <c r="AT356" s="26"/>
      <c r="AU356" s="26"/>
      <c r="AV356" s="26"/>
      <c r="AW356" s="26"/>
      <c r="AX356" s="26"/>
      <c r="AY356" s="1"/>
      <c r="AZ356" s="26"/>
      <c r="BA356" s="26"/>
      <c r="BB356" s="26"/>
      <c r="BC356" s="26"/>
      <c r="BD356" s="26"/>
      <c r="BE356" s="26"/>
      <c r="BF356" s="26"/>
      <c r="BG356" s="26"/>
      <c r="BH356" s="26"/>
      <c r="BI356" s="26"/>
      <c r="BJ356" s="26"/>
      <c r="BK356" s="26"/>
      <c r="BL356" s="26"/>
      <c r="BM356" s="26"/>
      <c r="BN356" s="26"/>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96"/>
      <c r="CP356" s="14"/>
      <c r="CQ356" s="14"/>
      <c r="CR356" s="14"/>
      <c r="CS356" s="14"/>
      <c r="CT356" s="1"/>
      <c r="CU356" s="14"/>
      <c r="CV356" s="1"/>
      <c r="CW356" s="1"/>
      <c r="CX356" s="14"/>
      <c r="CY356" s="1"/>
      <c r="CZ356" s="1"/>
      <c r="DA356" s="1"/>
      <c r="DB356" s="1"/>
      <c r="DC356" s="1"/>
      <c r="DD356" s="1"/>
      <c r="DE356" s="1"/>
      <c r="DF356" s="1"/>
      <c r="DG356" s="1"/>
      <c r="DH356" s="1"/>
      <c r="DI356" s="1"/>
      <c r="DJ356" s="1"/>
      <c r="DK356" s="1"/>
      <c r="DL356" s="1"/>
      <c r="DM356" s="1"/>
      <c r="DN356" s="1"/>
      <c r="DO356" s="1"/>
      <c r="DP356" s="1"/>
      <c r="DQ356" s="1"/>
      <c r="DR356" s="1"/>
      <c r="DS356" s="1"/>
      <c r="DT356" s="1"/>
      <c r="DU356" s="14"/>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29"/>
    </row>
    <row r="357" spans="1:160" x14ac:dyDescent="0.25">
      <c r="A357" s="5"/>
      <c r="B357" s="1"/>
      <c r="C357" s="98"/>
      <c r="D357" s="98"/>
      <c r="E357" s="1"/>
      <c r="F357" s="22"/>
      <c r="G357" s="22"/>
      <c r="H357" s="22"/>
      <c r="I357" s="22"/>
      <c r="J357" s="22"/>
      <c r="K357" s="22"/>
      <c r="L357" s="22"/>
      <c r="M357" s="22"/>
      <c r="N357" s="22"/>
      <c r="O357" s="22"/>
      <c r="P357" s="22"/>
      <c r="Q357" s="22"/>
      <c r="R357" s="1"/>
      <c r="S357" s="1"/>
      <c r="T357" s="8"/>
      <c r="U357" s="1"/>
      <c r="V357" s="1"/>
      <c r="W357" s="1"/>
      <c r="X357" s="1"/>
      <c r="Y357" s="1"/>
      <c r="Z357" s="1"/>
      <c r="AA357" s="1"/>
      <c r="AC357" s="1"/>
      <c r="AD357" s="1"/>
      <c r="AE357" s="1"/>
      <c r="AF357" s="1"/>
      <c r="AG357" s="1"/>
      <c r="AH357" s="26"/>
      <c r="AI357" s="26"/>
      <c r="AJ357" s="26"/>
      <c r="AK357" s="26"/>
      <c r="AL357" s="26"/>
      <c r="AM357" s="26"/>
      <c r="AN357" s="26"/>
      <c r="AO357" s="26"/>
      <c r="AP357" s="26"/>
      <c r="AQ357" s="26"/>
      <c r="AR357" s="26"/>
      <c r="AS357" s="26"/>
      <c r="AT357" s="26"/>
      <c r="AU357" s="26"/>
      <c r="AV357" s="26"/>
      <c r="AW357" s="26"/>
      <c r="AX357" s="26"/>
      <c r="AY357" s="1"/>
      <c r="AZ357" s="26"/>
      <c r="BA357" s="26"/>
      <c r="BB357" s="26"/>
      <c r="BC357" s="26"/>
      <c r="BD357" s="26"/>
      <c r="BE357" s="26"/>
      <c r="BF357" s="26"/>
      <c r="BG357" s="26"/>
      <c r="BH357" s="26"/>
      <c r="BI357" s="26"/>
      <c r="BJ357" s="26"/>
      <c r="BK357" s="26"/>
      <c r="BL357" s="26"/>
      <c r="BM357" s="26"/>
      <c r="BN357" s="26"/>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96"/>
      <c r="CP357" s="14"/>
      <c r="CQ357" s="14"/>
      <c r="CR357" s="14"/>
      <c r="CS357" s="14"/>
      <c r="CT357" s="1"/>
      <c r="CU357" s="14"/>
      <c r="CV357" s="1"/>
      <c r="CW357" s="1"/>
      <c r="CX357" s="14"/>
      <c r="CY357" s="1"/>
      <c r="CZ357" s="1"/>
      <c r="DA357" s="1"/>
      <c r="DB357" s="1"/>
      <c r="DC357" s="1"/>
      <c r="DD357" s="1"/>
      <c r="DE357" s="1"/>
      <c r="DF357" s="1"/>
      <c r="DG357" s="1"/>
      <c r="DH357" s="1"/>
      <c r="DI357" s="1"/>
      <c r="DJ357" s="1"/>
      <c r="DK357" s="1"/>
      <c r="DL357" s="1"/>
      <c r="DM357" s="1"/>
      <c r="DN357" s="1"/>
      <c r="DO357" s="1"/>
      <c r="DP357" s="1"/>
      <c r="DQ357" s="1"/>
      <c r="DR357" s="1"/>
      <c r="DS357" s="1"/>
      <c r="DT357" s="1"/>
      <c r="DU357" s="14"/>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29"/>
    </row>
    <row r="358" spans="1:160" x14ac:dyDescent="0.25">
      <c r="A358" s="5"/>
      <c r="B358" s="1"/>
      <c r="C358" s="98"/>
      <c r="D358" s="98"/>
      <c r="E358" s="1"/>
      <c r="F358" s="22"/>
      <c r="G358" s="22"/>
      <c r="H358" s="22"/>
      <c r="I358" s="22"/>
      <c r="J358" s="22"/>
      <c r="K358" s="22"/>
      <c r="L358" s="22"/>
      <c r="M358" s="22"/>
      <c r="N358" s="22"/>
      <c r="O358" s="22"/>
      <c r="P358" s="22"/>
      <c r="Q358" s="22"/>
      <c r="R358" s="1"/>
      <c r="S358" s="1"/>
      <c r="T358" s="8"/>
      <c r="U358" s="1"/>
      <c r="V358" s="1"/>
      <c r="W358" s="1"/>
      <c r="X358" s="1"/>
      <c r="Y358" s="1"/>
      <c r="Z358" s="1"/>
      <c r="AA358" s="1"/>
      <c r="AC358" s="1"/>
      <c r="AD358" s="1"/>
      <c r="AE358" s="1"/>
      <c r="AF358" s="1"/>
      <c r="AG358" s="1"/>
      <c r="AH358" s="26"/>
      <c r="AI358" s="26"/>
      <c r="AJ358" s="26"/>
      <c r="AK358" s="26"/>
      <c r="AL358" s="26"/>
      <c r="AM358" s="26"/>
      <c r="AN358" s="26"/>
      <c r="AO358" s="26"/>
      <c r="AP358" s="26"/>
      <c r="AQ358" s="26"/>
      <c r="AR358" s="26"/>
      <c r="AS358" s="26"/>
      <c r="AT358" s="26"/>
      <c r="AU358" s="26"/>
      <c r="AV358" s="26"/>
      <c r="AW358" s="26"/>
      <c r="AX358" s="26"/>
      <c r="AY358" s="1"/>
      <c r="AZ358" s="26"/>
      <c r="BA358" s="26"/>
      <c r="BB358" s="26"/>
      <c r="BC358" s="26"/>
      <c r="BD358" s="26"/>
      <c r="BE358" s="26"/>
      <c r="BF358" s="26"/>
      <c r="BG358" s="26"/>
      <c r="BH358" s="26"/>
      <c r="BI358" s="26"/>
      <c r="BJ358" s="26"/>
      <c r="BK358" s="26"/>
      <c r="BL358" s="26"/>
      <c r="BM358" s="26"/>
      <c r="BN358" s="26"/>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96"/>
      <c r="CP358" s="14"/>
      <c r="CQ358" s="14"/>
      <c r="CR358" s="14"/>
      <c r="CS358" s="14"/>
      <c r="CT358" s="1"/>
      <c r="CU358" s="14"/>
      <c r="CV358" s="1"/>
      <c r="CW358" s="1"/>
      <c r="CX358" s="14"/>
      <c r="CY358" s="1"/>
      <c r="CZ358" s="1"/>
      <c r="DA358" s="1"/>
      <c r="DB358" s="1"/>
      <c r="DC358" s="1"/>
      <c r="DD358" s="1"/>
      <c r="DE358" s="1"/>
      <c r="DF358" s="1"/>
      <c r="DG358" s="1"/>
      <c r="DH358" s="1"/>
      <c r="DI358" s="1"/>
      <c r="DJ358" s="1"/>
      <c r="DK358" s="1"/>
      <c r="DL358" s="1"/>
      <c r="DM358" s="1"/>
      <c r="DN358" s="1"/>
      <c r="DO358" s="1"/>
      <c r="DP358" s="1"/>
      <c r="DQ358" s="1"/>
      <c r="DR358" s="1"/>
      <c r="DS358" s="1"/>
      <c r="DT358" s="1"/>
      <c r="DU358" s="14"/>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29"/>
    </row>
    <row r="359" spans="1:160" x14ac:dyDescent="0.25">
      <c r="A359" s="5"/>
      <c r="B359" s="1"/>
      <c r="C359" s="98"/>
      <c r="D359" s="98"/>
      <c r="E359" s="1"/>
      <c r="F359" s="22"/>
      <c r="G359" s="22"/>
      <c r="H359" s="22"/>
      <c r="I359" s="22"/>
      <c r="J359" s="22"/>
      <c r="K359" s="22"/>
      <c r="L359" s="22"/>
      <c r="M359" s="22"/>
      <c r="N359" s="22"/>
      <c r="O359" s="22"/>
      <c r="P359" s="22"/>
      <c r="Q359" s="22"/>
      <c r="R359" s="1"/>
      <c r="S359" s="1"/>
      <c r="T359" s="8"/>
      <c r="U359" s="1"/>
      <c r="V359" s="1"/>
      <c r="W359" s="1"/>
      <c r="X359" s="1"/>
      <c r="Y359" s="1"/>
      <c r="Z359" s="1"/>
      <c r="AA359" s="1"/>
      <c r="AC359" s="1"/>
      <c r="AD359" s="1"/>
      <c r="AE359" s="1"/>
      <c r="AF359" s="1"/>
      <c r="AG359" s="1"/>
      <c r="AH359" s="26"/>
      <c r="AI359" s="26"/>
      <c r="AJ359" s="26"/>
      <c r="AK359" s="26"/>
      <c r="AL359" s="26"/>
      <c r="AM359" s="26"/>
      <c r="AN359" s="26"/>
      <c r="AO359" s="26"/>
      <c r="AP359" s="26"/>
      <c r="AQ359" s="26"/>
      <c r="AR359" s="26"/>
      <c r="AS359" s="26"/>
      <c r="AT359" s="26"/>
      <c r="AU359" s="26"/>
      <c r="AV359" s="26"/>
      <c r="AW359" s="26"/>
      <c r="AX359" s="26"/>
      <c r="AY359" s="1"/>
      <c r="AZ359" s="26"/>
      <c r="BA359" s="26"/>
      <c r="BB359" s="26"/>
      <c r="BC359" s="26"/>
      <c r="BD359" s="26"/>
      <c r="BE359" s="26"/>
      <c r="BF359" s="26"/>
      <c r="BG359" s="26"/>
      <c r="BH359" s="26"/>
      <c r="BI359" s="26"/>
      <c r="BJ359" s="26"/>
      <c r="BK359" s="26"/>
      <c r="BL359" s="26"/>
      <c r="BM359" s="26"/>
      <c r="BN359" s="26"/>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96"/>
      <c r="CP359" s="14"/>
      <c r="CQ359" s="14"/>
      <c r="CR359" s="14"/>
      <c r="CS359" s="14"/>
      <c r="CT359" s="1"/>
      <c r="CU359" s="14"/>
      <c r="CV359" s="1"/>
      <c r="CW359" s="1"/>
      <c r="CX359" s="14"/>
      <c r="CY359" s="1"/>
      <c r="CZ359" s="1"/>
      <c r="DA359" s="1"/>
      <c r="DB359" s="1"/>
      <c r="DC359" s="1"/>
      <c r="DD359" s="1"/>
      <c r="DE359" s="1"/>
      <c r="DF359" s="1"/>
      <c r="DG359" s="1"/>
      <c r="DH359" s="1"/>
      <c r="DI359" s="1"/>
      <c r="DJ359" s="1"/>
      <c r="DK359" s="1"/>
      <c r="DL359" s="1"/>
      <c r="DM359" s="1"/>
      <c r="DN359" s="1"/>
      <c r="DO359" s="1"/>
      <c r="DP359" s="1"/>
      <c r="DQ359" s="1"/>
      <c r="DR359" s="1"/>
      <c r="DS359" s="1"/>
      <c r="DT359" s="1"/>
      <c r="DU359" s="14"/>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29"/>
    </row>
    <row r="360" spans="1:160" x14ac:dyDescent="0.25">
      <c r="A360" s="5"/>
      <c r="B360" s="1"/>
      <c r="C360" s="98"/>
      <c r="D360" s="98"/>
      <c r="E360" s="1"/>
      <c r="F360" s="22"/>
      <c r="G360" s="22"/>
      <c r="H360" s="22"/>
      <c r="I360" s="22"/>
      <c r="J360" s="22"/>
      <c r="K360" s="22"/>
      <c r="L360" s="22"/>
      <c r="M360" s="22"/>
      <c r="N360" s="22"/>
      <c r="O360" s="22"/>
      <c r="P360" s="22"/>
      <c r="Q360" s="22"/>
      <c r="R360" s="1"/>
      <c r="S360" s="1"/>
      <c r="T360" s="8"/>
      <c r="U360" s="1"/>
      <c r="V360" s="1"/>
      <c r="W360" s="1"/>
      <c r="X360" s="1"/>
      <c r="Y360" s="1"/>
      <c r="Z360" s="1"/>
      <c r="AA360" s="1"/>
      <c r="AC360" s="1"/>
      <c r="AD360" s="1"/>
      <c r="AE360" s="1"/>
      <c r="AF360" s="1"/>
      <c r="AG360" s="1"/>
      <c r="AH360" s="26"/>
      <c r="AI360" s="26"/>
      <c r="AJ360" s="26"/>
      <c r="AK360" s="26"/>
      <c r="AL360" s="26"/>
      <c r="AM360" s="26"/>
      <c r="AN360" s="26"/>
      <c r="AO360" s="26"/>
      <c r="AP360" s="26"/>
      <c r="AQ360" s="26"/>
      <c r="AR360" s="26"/>
      <c r="AS360" s="26"/>
      <c r="AT360" s="26"/>
      <c r="AU360" s="26"/>
      <c r="AV360" s="26"/>
      <c r="AW360" s="26"/>
      <c r="AX360" s="26"/>
      <c r="AY360" s="1"/>
      <c r="AZ360" s="26"/>
      <c r="BA360" s="26"/>
      <c r="BB360" s="26"/>
      <c r="BC360" s="26"/>
      <c r="BD360" s="26"/>
      <c r="BE360" s="26"/>
      <c r="BF360" s="26"/>
      <c r="BG360" s="26"/>
      <c r="BH360" s="26"/>
      <c r="BI360" s="26"/>
      <c r="BJ360" s="26"/>
      <c r="BK360" s="26"/>
      <c r="BL360" s="26"/>
      <c r="BM360" s="26"/>
      <c r="BN360" s="26"/>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96"/>
      <c r="CP360" s="14"/>
      <c r="CQ360" s="14"/>
      <c r="CR360" s="14"/>
      <c r="CS360" s="14"/>
      <c r="CT360" s="1"/>
      <c r="CU360" s="14"/>
      <c r="CV360" s="1"/>
      <c r="CW360" s="1"/>
      <c r="CX360" s="14"/>
      <c r="CY360" s="1"/>
      <c r="CZ360" s="1"/>
      <c r="DA360" s="1"/>
      <c r="DB360" s="1"/>
      <c r="DC360" s="1"/>
      <c r="DD360" s="1"/>
      <c r="DE360" s="1"/>
      <c r="DF360" s="1"/>
      <c r="DG360" s="1"/>
      <c r="DH360" s="1"/>
      <c r="DI360" s="1"/>
      <c r="DJ360" s="1"/>
      <c r="DK360" s="1"/>
      <c r="DL360" s="1"/>
      <c r="DM360" s="1"/>
      <c r="DN360" s="1"/>
      <c r="DO360" s="1"/>
      <c r="DP360" s="1"/>
      <c r="DQ360" s="1"/>
      <c r="DR360" s="1"/>
      <c r="DS360" s="1"/>
      <c r="DT360" s="1"/>
      <c r="DU360" s="14"/>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29"/>
    </row>
    <row r="361" spans="1:160" x14ac:dyDescent="0.25">
      <c r="A361" s="5"/>
      <c r="B361" s="1"/>
      <c r="C361" s="98"/>
      <c r="D361" s="98"/>
      <c r="E361" s="1"/>
      <c r="F361" s="22"/>
      <c r="G361" s="22"/>
      <c r="H361" s="22"/>
      <c r="I361" s="22"/>
      <c r="J361" s="22"/>
      <c r="K361" s="22"/>
      <c r="L361" s="22"/>
      <c r="M361" s="22"/>
      <c r="N361" s="22"/>
      <c r="O361" s="22"/>
      <c r="P361" s="22"/>
      <c r="Q361" s="22"/>
      <c r="R361" s="1"/>
      <c r="S361" s="1"/>
      <c r="T361" s="8"/>
      <c r="U361" s="1"/>
      <c r="V361" s="1"/>
      <c r="W361" s="1"/>
      <c r="X361" s="1"/>
      <c r="Y361" s="1"/>
      <c r="Z361" s="1"/>
      <c r="AA361" s="1"/>
      <c r="AC361" s="1"/>
      <c r="AD361" s="1"/>
      <c r="AE361" s="1"/>
      <c r="AF361" s="1"/>
      <c r="AG361" s="1"/>
      <c r="AH361" s="26"/>
      <c r="AI361" s="26"/>
      <c r="AJ361" s="26"/>
      <c r="AK361" s="26"/>
      <c r="AL361" s="26"/>
      <c r="AM361" s="26"/>
      <c r="AN361" s="26"/>
      <c r="AO361" s="26"/>
      <c r="AP361" s="26"/>
      <c r="AQ361" s="26"/>
      <c r="AR361" s="26"/>
      <c r="AS361" s="26"/>
      <c r="AT361" s="26"/>
      <c r="AU361" s="26"/>
      <c r="AV361" s="26"/>
      <c r="AW361" s="26"/>
      <c r="AX361" s="26"/>
      <c r="AY361" s="1"/>
      <c r="AZ361" s="26"/>
      <c r="BA361" s="26"/>
      <c r="BB361" s="26"/>
      <c r="BC361" s="26"/>
      <c r="BD361" s="26"/>
      <c r="BE361" s="26"/>
      <c r="BF361" s="26"/>
      <c r="BG361" s="26"/>
      <c r="BH361" s="26"/>
      <c r="BI361" s="26"/>
      <c r="BJ361" s="26"/>
      <c r="BK361" s="26"/>
      <c r="BL361" s="26"/>
      <c r="BM361" s="26"/>
      <c r="BN361" s="26"/>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96"/>
      <c r="CP361" s="14"/>
      <c r="CQ361" s="14"/>
      <c r="CR361" s="14"/>
      <c r="CS361" s="14"/>
      <c r="CT361" s="1"/>
      <c r="CU361" s="14"/>
      <c r="CV361" s="1"/>
      <c r="CW361" s="1"/>
      <c r="CX361" s="14"/>
      <c r="CY361" s="1"/>
      <c r="CZ361" s="1"/>
      <c r="DA361" s="1"/>
      <c r="DB361" s="1"/>
      <c r="DC361" s="1"/>
      <c r="DD361" s="1"/>
      <c r="DE361" s="1"/>
      <c r="DF361" s="1"/>
      <c r="DG361" s="1"/>
      <c r="DH361" s="1"/>
      <c r="DI361" s="1"/>
      <c r="DJ361" s="1"/>
      <c r="DK361" s="1"/>
      <c r="DL361" s="1"/>
      <c r="DM361" s="1"/>
      <c r="DN361" s="1"/>
      <c r="DO361" s="1"/>
      <c r="DP361" s="1"/>
      <c r="DQ361" s="1"/>
      <c r="DR361" s="1"/>
      <c r="DS361" s="1"/>
      <c r="DT361" s="1"/>
      <c r="DU361" s="14"/>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29"/>
    </row>
    <row r="362" spans="1:160" x14ac:dyDescent="0.25">
      <c r="A362" s="5"/>
      <c r="B362" s="1"/>
      <c r="C362" s="98"/>
      <c r="D362" s="98"/>
      <c r="E362" s="1"/>
      <c r="F362" s="22"/>
      <c r="G362" s="22"/>
      <c r="H362" s="22"/>
      <c r="I362" s="22"/>
      <c r="J362" s="22"/>
      <c r="K362" s="22"/>
      <c r="L362" s="22"/>
      <c r="M362" s="22"/>
      <c r="N362" s="22"/>
      <c r="O362" s="22"/>
      <c r="P362" s="22"/>
      <c r="Q362" s="22"/>
      <c r="R362" s="1"/>
      <c r="S362" s="1"/>
      <c r="T362" s="8"/>
      <c r="U362" s="1"/>
      <c r="V362" s="1"/>
      <c r="W362" s="1"/>
      <c r="X362" s="1"/>
      <c r="Y362" s="1"/>
      <c r="Z362" s="1"/>
      <c r="AA362" s="1"/>
      <c r="AC362" s="1"/>
      <c r="AD362" s="1"/>
      <c r="AE362" s="1"/>
      <c r="AF362" s="1"/>
      <c r="AG362" s="1"/>
      <c r="AH362" s="26"/>
      <c r="AI362" s="26"/>
      <c r="AJ362" s="26"/>
      <c r="AK362" s="26"/>
      <c r="AL362" s="26"/>
      <c r="AM362" s="26"/>
      <c r="AN362" s="26"/>
      <c r="AO362" s="26"/>
      <c r="AP362" s="26"/>
      <c r="AQ362" s="26"/>
      <c r="AR362" s="26"/>
      <c r="AS362" s="26"/>
      <c r="AT362" s="26"/>
      <c r="AU362" s="26"/>
      <c r="AV362" s="26"/>
      <c r="AW362" s="26"/>
      <c r="AX362" s="26"/>
      <c r="AY362" s="1"/>
      <c r="AZ362" s="26"/>
      <c r="BA362" s="26"/>
      <c r="BB362" s="26"/>
      <c r="BC362" s="26"/>
      <c r="BD362" s="26"/>
      <c r="BE362" s="26"/>
      <c r="BF362" s="26"/>
      <c r="BG362" s="26"/>
      <c r="BH362" s="26"/>
      <c r="BI362" s="26"/>
      <c r="BJ362" s="26"/>
      <c r="BK362" s="26"/>
      <c r="BL362" s="26"/>
      <c r="BM362" s="26"/>
      <c r="BN362" s="26"/>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96"/>
      <c r="CP362" s="14"/>
      <c r="CQ362" s="14"/>
      <c r="CR362" s="14"/>
      <c r="CS362" s="14"/>
      <c r="CT362" s="1"/>
      <c r="CU362" s="14"/>
      <c r="CV362" s="1"/>
      <c r="CW362" s="1"/>
      <c r="CX362" s="14"/>
      <c r="CY362" s="1"/>
      <c r="CZ362" s="1"/>
      <c r="DA362" s="1"/>
      <c r="DB362" s="1"/>
      <c r="DC362" s="1"/>
      <c r="DD362" s="1"/>
      <c r="DE362" s="1"/>
      <c r="DF362" s="1"/>
      <c r="DG362" s="1"/>
      <c r="DH362" s="1"/>
      <c r="DI362" s="1"/>
      <c r="DJ362" s="1"/>
      <c r="DK362" s="1"/>
      <c r="DL362" s="1"/>
      <c r="DM362" s="1"/>
      <c r="DN362" s="1"/>
      <c r="DO362" s="1"/>
      <c r="DP362" s="1"/>
      <c r="DQ362" s="1"/>
      <c r="DR362" s="1"/>
      <c r="DS362" s="1"/>
      <c r="DT362" s="1"/>
      <c r="DU362" s="14"/>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29"/>
    </row>
    <row r="363" spans="1:160" x14ac:dyDescent="0.25">
      <c r="A363" s="5"/>
      <c r="B363" s="1"/>
      <c r="C363" s="98"/>
      <c r="D363" s="98"/>
      <c r="E363" s="1"/>
      <c r="F363" s="22"/>
      <c r="G363" s="22"/>
      <c r="H363" s="22"/>
      <c r="I363" s="22"/>
      <c r="J363" s="22"/>
      <c r="K363" s="22"/>
      <c r="L363" s="22"/>
      <c r="M363" s="22"/>
      <c r="N363" s="22"/>
      <c r="O363" s="22"/>
      <c r="P363" s="22"/>
      <c r="Q363" s="22"/>
      <c r="R363" s="1"/>
      <c r="S363" s="1"/>
      <c r="T363" s="8"/>
      <c r="U363" s="1"/>
      <c r="V363" s="1"/>
      <c r="W363" s="1"/>
      <c r="X363" s="1"/>
      <c r="Y363" s="1"/>
      <c r="Z363" s="1"/>
      <c r="AA363" s="1"/>
      <c r="AC363" s="1"/>
      <c r="AD363" s="1"/>
      <c r="AE363" s="1"/>
      <c r="AF363" s="1"/>
      <c r="AG363" s="1"/>
      <c r="AH363" s="26"/>
      <c r="AI363" s="26"/>
      <c r="AJ363" s="26"/>
      <c r="AK363" s="26"/>
      <c r="AL363" s="26"/>
      <c r="AM363" s="26"/>
      <c r="AN363" s="26"/>
      <c r="AO363" s="26"/>
      <c r="AP363" s="26"/>
      <c r="AQ363" s="26"/>
      <c r="AR363" s="26"/>
      <c r="AS363" s="26"/>
      <c r="AT363" s="26"/>
      <c r="AU363" s="26"/>
      <c r="AV363" s="26"/>
      <c r="AW363" s="26"/>
      <c r="AX363" s="26"/>
      <c r="AY363" s="1"/>
      <c r="AZ363" s="26"/>
      <c r="BA363" s="26"/>
      <c r="BB363" s="26"/>
      <c r="BC363" s="26"/>
      <c r="BD363" s="26"/>
      <c r="BE363" s="26"/>
      <c r="BF363" s="26"/>
      <c r="BG363" s="26"/>
      <c r="BH363" s="26"/>
      <c r="BI363" s="26"/>
      <c r="BJ363" s="26"/>
      <c r="BK363" s="26"/>
      <c r="BL363" s="26"/>
      <c r="BM363" s="26"/>
      <c r="BN363" s="26"/>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96"/>
      <c r="CP363" s="14"/>
      <c r="CQ363" s="14"/>
      <c r="CR363" s="14"/>
      <c r="CS363" s="14"/>
      <c r="CT363" s="1"/>
      <c r="CU363" s="14"/>
      <c r="CV363" s="1"/>
      <c r="CW363" s="1"/>
      <c r="CX363" s="14"/>
      <c r="CY363" s="1"/>
      <c r="CZ363" s="1"/>
      <c r="DA363" s="1"/>
      <c r="DB363" s="1"/>
      <c r="DC363" s="1"/>
      <c r="DD363" s="1"/>
      <c r="DE363" s="1"/>
      <c r="DF363" s="1"/>
      <c r="DG363" s="1"/>
      <c r="DH363" s="1"/>
      <c r="DI363" s="1"/>
      <c r="DJ363" s="1"/>
      <c r="DK363" s="1"/>
      <c r="DL363" s="1"/>
      <c r="DM363" s="1"/>
      <c r="DN363" s="1"/>
      <c r="DO363" s="1"/>
      <c r="DP363" s="1"/>
      <c r="DQ363" s="1"/>
      <c r="DR363" s="1"/>
      <c r="DS363" s="1"/>
      <c r="DT363" s="1"/>
      <c r="DU363" s="14"/>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29"/>
    </row>
    <row r="364" spans="1:160" x14ac:dyDescent="0.25">
      <c r="A364" s="5"/>
      <c r="B364" s="1"/>
      <c r="C364" s="98"/>
      <c r="D364" s="98"/>
      <c r="E364" s="1"/>
      <c r="F364" s="22"/>
      <c r="G364" s="22"/>
      <c r="H364" s="22"/>
      <c r="I364" s="22"/>
      <c r="J364" s="22"/>
      <c r="K364" s="22"/>
      <c r="L364" s="22"/>
      <c r="M364" s="22"/>
      <c r="N364" s="22"/>
      <c r="O364" s="22"/>
      <c r="P364" s="22"/>
      <c r="Q364" s="22"/>
      <c r="R364" s="1"/>
      <c r="S364" s="1"/>
      <c r="T364" s="8"/>
      <c r="U364" s="1"/>
      <c r="V364" s="1"/>
      <c r="W364" s="1"/>
      <c r="X364" s="1"/>
      <c r="Y364" s="1"/>
      <c r="Z364" s="1"/>
      <c r="AA364" s="1"/>
      <c r="AC364" s="1"/>
      <c r="AD364" s="1"/>
      <c r="AE364" s="1"/>
      <c r="AF364" s="1"/>
      <c r="AG364" s="1"/>
      <c r="AH364" s="26"/>
      <c r="AI364" s="26"/>
      <c r="AJ364" s="26"/>
      <c r="AK364" s="26"/>
      <c r="AL364" s="26"/>
      <c r="AM364" s="26"/>
      <c r="AN364" s="26"/>
      <c r="AO364" s="26"/>
      <c r="AP364" s="26"/>
      <c r="AQ364" s="26"/>
      <c r="AR364" s="26"/>
      <c r="AS364" s="26"/>
      <c r="AT364" s="26"/>
      <c r="AU364" s="26"/>
      <c r="AV364" s="26"/>
      <c r="AW364" s="26"/>
      <c r="AX364" s="26"/>
      <c r="AY364" s="1"/>
      <c r="AZ364" s="26"/>
      <c r="BA364" s="26"/>
      <c r="BB364" s="26"/>
      <c r="BC364" s="26"/>
      <c r="BD364" s="26"/>
      <c r="BE364" s="26"/>
      <c r="BF364" s="26"/>
      <c r="BG364" s="26"/>
      <c r="BH364" s="26"/>
      <c r="BI364" s="26"/>
      <c r="BJ364" s="26"/>
      <c r="BK364" s="26"/>
      <c r="BL364" s="26"/>
      <c r="BM364" s="26"/>
      <c r="BN364" s="26"/>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96"/>
      <c r="CP364" s="14"/>
      <c r="CQ364" s="14"/>
      <c r="CR364" s="14"/>
      <c r="CS364" s="14"/>
      <c r="CT364" s="1"/>
      <c r="CU364" s="14"/>
      <c r="CV364" s="1"/>
      <c r="CW364" s="1"/>
      <c r="CX364" s="14"/>
      <c r="CY364" s="1"/>
      <c r="CZ364" s="1"/>
      <c r="DA364" s="1"/>
      <c r="DB364" s="1"/>
      <c r="DC364" s="1"/>
      <c r="DD364" s="1"/>
      <c r="DE364" s="1"/>
      <c r="DF364" s="1"/>
      <c r="DG364" s="1"/>
      <c r="DH364" s="1"/>
      <c r="DI364" s="1"/>
      <c r="DJ364" s="1"/>
      <c r="DK364" s="1"/>
      <c r="DL364" s="1"/>
      <c r="DM364" s="1"/>
      <c r="DN364" s="1"/>
      <c r="DO364" s="1"/>
      <c r="DP364" s="1"/>
      <c r="DQ364" s="1"/>
      <c r="DR364" s="1"/>
      <c r="DS364" s="1"/>
      <c r="DT364" s="1"/>
      <c r="DU364" s="14"/>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29"/>
    </row>
    <row r="365" spans="1:160" x14ac:dyDescent="0.25">
      <c r="A365" s="5"/>
      <c r="B365" s="1"/>
      <c r="C365" s="98"/>
      <c r="D365" s="98"/>
      <c r="E365" s="1"/>
      <c r="F365" s="22"/>
      <c r="G365" s="22"/>
      <c r="H365" s="22"/>
      <c r="I365" s="22"/>
      <c r="J365" s="22"/>
      <c r="K365" s="22"/>
      <c r="L365" s="22"/>
      <c r="M365" s="22"/>
      <c r="N365" s="22"/>
      <c r="O365" s="22"/>
      <c r="P365" s="22"/>
      <c r="Q365" s="22"/>
      <c r="R365" s="1"/>
      <c r="S365" s="1"/>
      <c r="T365" s="8"/>
      <c r="U365" s="1"/>
      <c r="V365" s="1"/>
      <c r="W365" s="1"/>
      <c r="X365" s="1"/>
      <c r="Y365" s="1"/>
      <c r="Z365" s="1"/>
      <c r="AA365" s="1"/>
      <c r="AC365" s="1"/>
      <c r="AD365" s="1"/>
      <c r="AE365" s="1"/>
      <c r="AF365" s="1"/>
      <c r="AG365" s="1"/>
      <c r="AH365" s="26"/>
      <c r="AI365" s="26"/>
      <c r="AJ365" s="26"/>
      <c r="AK365" s="26"/>
      <c r="AL365" s="26"/>
      <c r="AM365" s="26"/>
      <c r="AN365" s="26"/>
      <c r="AO365" s="26"/>
      <c r="AP365" s="26"/>
      <c r="AQ365" s="26"/>
      <c r="AR365" s="26"/>
      <c r="AS365" s="26"/>
      <c r="AT365" s="26"/>
      <c r="AU365" s="26"/>
      <c r="AV365" s="26"/>
      <c r="AW365" s="26"/>
      <c r="AX365" s="26"/>
      <c r="AY365" s="1"/>
      <c r="AZ365" s="26"/>
      <c r="BA365" s="26"/>
      <c r="BB365" s="26"/>
      <c r="BC365" s="26"/>
      <c r="BD365" s="26"/>
      <c r="BE365" s="26"/>
      <c r="BF365" s="26"/>
      <c r="BG365" s="26"/>
      <c r="BH365" s="26"/>
      <c r="BI365" s="26"/>
      <c r="BJ365" s="26"/>
      <c r="BK365" s="26"/>
      <c r="BL365" s="26"/>
      <c r="BM365" s="26"/>
      <c r="BN365" s="26"/>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96"/>
      <c r="CP365" s="14"/>
      <c r="CQ365" s="14"/>
      <c r="CR365" s="14"/>
      <c r="CS365" s="14"/>
      <c r="CT365" s="1"/>
      <c r="CU365" s="14"/>
      <c r="CV365" s="1"/>
      <c r="CW365" s="1"/>
      <c r="CX365" s="14"/>
      <c r="CY365" s="1"/>
      <c r="CZ365" s="1"/>
      <c r="DA365" s="1"/>
      <c r="DB365" s="1"/>
      <c r="DC365" s="1"/>
      <c r="DD365" s="1"/>
      <c r="DE365" s="1"/>
      <c r="DF365" s="1"/>
      <c r="DG365" s="1"/>
      <c r="DH365" s="1"/>
      <c r="DI365" s="1"/>
      <c r="DJ365" s="1"/>
      <c r="DK365" s="1"/>
      <c r="DL365" s="1"/>
      <c r="DM365" s="1"/>
      <c r="DN365" s="1"/>
      <c r="DO365" s="1"/>
      <c r="DP365" s="1"/>
      <c r="DQ365" s="1"/>
      <c r="DR365" s="1"/>
      <c r="DS365" s="1"/>
      <c r="DT365" s="1"/>
      <c r="DU365" s="14"/>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29"/>
    </row>
    <row r="366" spans="1:160" x14ac:dyDescent="0.25">
      <c r="A366" s="5"/>
      <c r="B366" s="1"/>
      <c r="C366" s="98"/>
      <c r="D366" s="98"/>
      <c r="E366" s="1"/>
      <c r="F366" s="22"/>
      <c r="G366" s="22"/>
      <c r="H366" s="22"/>
      <c r="I366" s="22"/>
      <c r="J366" s="22"/>
      <c r="K366" s="22"/>
      <c r="L366" s="22"/>
      <c r="M366" s="22"/>
      <c r="N366" s="22"/>
      <c r="O366" s="22"/>
      <c r="P366" s="22"/>
      <c r="Q366" s="22"/>
      <c r="R366" s="1"/>
      <c r="S366" s="1"/>
      <c r="T366" s="8"/>
      <c r="U366" s="1"/>
      <c r="V366" s="1"/>
      <c r="W366" s="1"/>
      <c r="X366" s="1"/>
      <c r="Y366" s="1"/>
      <c r="Z366" s="1"/>
      <c r="AA366" s="1"/>
      <c r="AC366" s="1"/>
      <c r="AD366" s="1"/>
      <c r="AE366" s="1"/>
      <c r="AF366" s="1"/>
      <c r="AG366" s="1"/>
      <c r="AH366" s="26"/>
      <c r="AI366" s="26"/>
      <c r="AJ366" s="26"/>
      <c r="AK366" s="26"/>
      <c r="AL366" s="26"/>
      <c r="AM366" s="26"/>
      <c r="AN366" s="26"/>
      <c r="AO366" s="26"/>
      <c r="AP366" s="26"/>
      <c r="AQ366" s="26"/>
      <c r="AR366" s="26"/>
      <c r="AS366" s="26"/>
      <c r="AT366" s="26"/>
      <c r="AU366" s="26"/>
      <c r="AV366" s="26"/>
      <c r="AW366" s="26"/>
      <c r="AX366" s="26"/>
      <c r="AY366" s="1"/>
      <c r="AZ366" s="26"/>
      <c r="BA366" s="26"/>
      <c r="BB366" s="26"/>
      <c r="BC366" s="26"/>
      <c r="BD366" s="26"/>
      <c r="BE366" s="26"/>
      <c r="BF366" s="26"/>
      <c r="BG366" s="26"/>
      <c r="BH366" s="26"/>
      <c r="BI366" s="26"/>
      <c r="BJ366" s="26"/>
      <c r="BK366" s="26"/>
      <c r="BL366" s="26"/>
      <c r="BM366" s="26"/>
      <c r="BN366" s="26"/>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96"/>
      <c r="CP366" s="14"/>
      <c r="CQ366" s="14"/>
      <c r="CR366" s="14"/>
      <c r="CS366" s="14"/>
      <c r="CT366" s="1"/>
      <c r="CU366" s="14"/>
      <c r="CV366" s="1"/>
      <c r="CW366" s="1"/>
      <c r="CX366" s="14"/>
      <c r="CY366" s="1"/>
      <c r="CZ366" s="1"/>
      <c r="DA366" s="1"/>
      <c r="DB366" s="1"/>
      <c r="DC366" s="1"/>
      <c r="DD366" s="1"/>
      <c r="DE366" s="1"/>
      <c r="DF366" s="1"/>
      <c r="DG366" s="1"/>
      <c r="DH366" s="1"/>
      <c r="DI366" s="1"/>
      <c r="DJ366" s="1"/>
      <c r="DK366" s="1"/>
      <c r="DL366" s="1"/>
      <c r="DM366" s="1"/>
      <c r="DN366" s="1"/>
      <c r="DO366" s="1"/>
      <c r="DP366" s="1"/>
      <c r="DQ366" s="1"/>
      <c r="DR366" s="1"/>
      <c r="DS366" s="1"/>
      <c r="DT366" s="1"/>
      <c r="DU366" s="14"/>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29"/>
    </row>
    <row r="367" spans="1:160" x14ac:dyDescent="0.25">
      <c r="A367" s="5"/>
      <c r="B367" s="1"/>
      <c r="C367" s="98"/>
      <c r="D367" s="98"/>
      <c r="E367" s="1"/>
      <c r="F367" s="22"/>
      <c r="G367" s="22"/>
      <c r="H367" s="22"/>
      <c r="I367" s="22"/>
      <c r="J367" s="22"/>
      <c r="K367" s="22"/>
      <c r="L367" s="22"/>
      <c r="M367" s="22"/>
      <c r="N367" s="22"/>
      <c r="O367" s="22"/>
      <c r="P367" s="22"/>
      <c r="Q367" s="22"/>
      <c r="R367" s="1"/>
      <c r="S367" s="1"/>
      <c r="T367" s="8"/>
      <c r="U367" s="1"/>
      <c r="V367" s="1"/>
      <c r="W367" s="1"/>
      <c r="X367" s="1"/>
      <c r="Y367" s="1"/>
      <c r="Z367" s="1"/>
      <c r="AA367" s="1"/>
      <c r="AC367" s="1"/>
      <c r="AD367" s="1"/>
      <c r="AE367" s="1"/>
      <c r="AF367" s="1"/>
      <c r="AG367" s="1"/>
      <c r="AH367" s="26"/>
      <c r="AI367" s="26"/>
      <c r="AJ367" s="26"/>
      <c r="AK367" s="26"/>
      <c r="AL367" s="26"/>
      <c r="AM367" s="26"/>
      <c r="AN367" s="26"/>
      <c r="AO367" s="26"/>
      <c r="AP367" s="26"/>
      <c r="AQ367" s="26"/>
      <c r="AR367" s="26"/>
      <c r="AS367" s="26"/>
      <c r="AT367" s="26"/>
      <c r="AU367" s="26"/>
      <c r="AV367" s="26"/>
      <c r="AW367" s="26"/>
      <c r="AX367" s="26"/>
      <c r="AY367" s="1"/>
      <c r="AZ367" s="26"/>
      <c r="BA367" s="26"/>
      <c r="BB367" s="26"/>
      <c r="BC367" s="26"/>
      <c r="BD367" s="26"/>
      <c r="BE367" s="26"/>
      <c r="BF367" s="26"/>
      <c r="BG367" s="26"/>
      <c r="BH367" s="26"/>
      <c r="BI367" s="26"/>
      <c r="BJ367" s="26"/>
      <c r="BK367" s="26"/>
      <c r="BL367" s="26"/>
      <c r="BM367" s="26"/>
      <c r="BN367" s="26"/>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96"/>
      <c r="CP367" s="14"/>
      <c r="CQ367" s="14"/>
      <c r="CR367" s="14"/>
      <c r="CS367" s="14"/>
      <c r="CT367" s="1"/>
      <c r="CU367" s="14"/>
      <c r="CV367" s="1"/>
      <c r="CW367" s="1"/>
      <c r="CX367" s="14"/>
      <c r="CY367" s="1"/>
      <c r="CZ367" s="1"/>
      <c r="DA367" s="1"/>
      <c r="DB367" s="1"/>
      <c r="DC367" s="1"/>
      <c r="DD367" s="1"/>
      <c r="DE367" s="1"/>
      <c r="DF367" s="1"/>
      <c r="DG367" s="1"/>
      <c r="DH367" s="1"/>
      <c r="DI367" s="1"/>
      <c r="DJ367" s="1"/>
      <c r="DK367" s="1"/>
      <c r="DL367" s="1"/>
      <c r="DM367" s="1"/>
      <c r="DN367" s="1"/>
      <c r="DO367" s="1"/>
      <c r="DP367" s="1"/>
      <c r="DQ367" s="1"/>
      <c r="DR367" s="1"/>
      <c r="DS367" s="1"/>
      <c r="DT367" s="1"/>
      <c r="DU367" s="14"/>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29"/>
    </row>
    <row r="368" spans="1:160" x14ac:dyDescent="0.25">
      <c r="A368" s="5"/>
      <c r="B368" s="1"/>
      <c r="C368" s="98"/>
      <c r="D368" s="98"/>
      <c r="E368" s="1"/>
      <c r="F368" s="22"/>
      <c r="G368" s="22"/>
      <c r="H368" s="22"/>
      <c r="I368" s="22"/>
      <c r="J368" s="22"/>
      <c r="K368" s="22"/>
      <c r="L368" s="22"/>
      <c r="M368" s="22"/>
      <c r="N368" s="22"/>
      <c r="O368" s="22"/>
      <c r="P368" s="22"/>
      <c r="Q368" s="22"/>
      <c r="R368" s="1"/>
      <c r="S368" s="1"/>
      <c r="T368" s="8"/>
      <c r="U368" s="1"/>
      <c r="V368" s="1"/>
      <c r="W368" s="1"/>
      <c r="X368" s="1"/>
      <c r="Y368" s="1"/>
      <c r="Z368" s="1"/>
      <c r="AA368" s="1"/>
      <c r="AC368" s="1"/>
      <c r="AD368" s="1"/>
      <c r="AE368" s="1"/>
      <c r="AF368" s="1"/>
      <c r="AG368" s="1"/>
      <c r="AH368" s="26"/>
      <c r="AI368" s="26"/>
      <c r="AJ368" s="26"/>
      <c r="AK368" s="26"/>
      <c r="AL368" s="26"/>
      <c r="AM368" s="26"/>
      <c r="AN368" s="26"/>
      <c r="AO368" s="26"/>
      <c r="AP368" s="26"/>
      <c r="AQ368" s="26"/>
      <c r="AR368" s="26"/>
      <c r="AS368" s="26"/>
      <c r="AT368" s="26"/>
      <c r="AU368" s="26"/>
      <c r="AV368" s="26"/>
      <c r="AW368" s="26"/>
      <c r="AX368" s="26"/>
      <c r="AY368" s="1"/>
      <c r="AZ368" s="26"/>
      <c r="BA368" s="26"/>
      <c r="BB368" s="26"/>
      <c r="BC368" s="26"/>
      <c r="BD368" s="26"/>
      <c r="BE368" s="26"/>
      <c r="BF368" s="26"/>
      <c r="BG368" s="26"/>
      <c r="BH368" s="26"/>
      <c r="BI368" s="26"/>
      <c r="BJ368" s="26"/>
      <c r="BK368" s="26"/>
      <c r="BL368" s="26"/>
      <c r="BM368" s="26"/>
      <c r="BN368" s="26"/>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96"/>
      <c r="CP368" s="14"/>
      <c r="CQ368" s="14"/>
      <c r="CR368" s="14"/>
      <c r="CS368" s="14"/>
      <c r="CT368" s="1"/>
      <c r="CU368" s="14"/>
      <c r="CV368" s="1"/>
      <c r="CW368" s="1"/>
      <c r="CX368" s="14"/>
      <c r="CY368" s="1"/>
      <c r="CZ368" s="1"/>
      <c r="DA368" s="1"/>
      <c r="DB368" s="1"/>
      <c r="DC368" s="1"/>
      <c r="DD368" s="1"/>
      <c r="DE368" s="1"/>
      <c r="DF368" s="1"/>
      <c r="DG368" s="1"/>
      <c r="DH368" s="1"/>
      <c r="DI368" s="1"/>
      <c r="DJ368" s="1"/>
      <c r="DK368" s="1"/>
      <c r="DL368" s="1"/>
      <c r="DM368" s="1"/>
      <c r="DN368" s="1"/>
      <c r="DO368" s="1"/>
      <c r="DP368" s="1"/>
      <c r="DQ368" s="1"/>
      <c r="DR368" s="1"/>
      <c r="DS368" s="1"/>
      <c r="DT368" s="1"/>
      <c r="DU368" s="14"/>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29"/>
    </row>
    <row r="369" spans="1:160" x14ac:dyDescent="0.25">
      <c r="A369" s="5"/>
      <c r="B369" s="1"/>
      <c r="C369" s="98"/>
      <c r="D369" s="98"/>
      <c r="E369" s="1"/>
      <c r="F369" s="22"/>
      <c r="G369" s="22"/>
      <c r="H369" s="22"/>
      <c r="I369" s="22"/>
      <c r="J369" s="22"/>
      <c r="K369" s="22"/>
      <c r="L369" s="22"/>
      <c r="M369" s="22"/>
      <c r="N369" s="22"/>
      <c r="O369" s="22"/>
      <c r="P369" s="22"/>
      <c r="Q369" s="22"/>
      <c r="R369" s="1"/>
      <c r="S369" s="1"/>
      <c r="T369" s="8"/>
      <c r="U369" s="1"/>
      <c r="V369" s="1"/>
      <c r="W369" s="1"/>
      <c r="X369" s="1"/>
      <c r="Y369" s="1"/>
      <c r="Z369" s="1"/>
      <c r="AA369" s="1"/>
      <c r="AC369" s="1"/>
      <c r="AD369" s="1"/>
      <c r="AE369" s="1"/>
      <c r="AF369" s="1"/>
      <c r="AG369" s="1"/>
      <c r="AH369" s="26"/>
      <c r="AI369" s="26"/>
      <c r="AJ369" s="26"/>
      <c r="AK369" s="26"/>
      <c r="AL369" s="26"/>
      <c r="AM369" s="26"/>
      <c r="AN369" s="26"/>
      <c r="AO369" s="26"/>
      <c r="AP369" s="26"/>
      <c r="AQ369" s="26"/>
      <c r="AR369" s="26"/>
      <c r="AS369" s="26"/>
      <c r="AT369" s="26"/>
      <c r="AU369" s="26"/>
      <c r="AV369" s="26"/>
      <c r="AW369" s="26"/>
      <c r="AX369" s="26"/>
      <c r="AY369" s="1"/>
      <c r="AZ369" s="26"/>
      <c r="BA369" s="26"/>
      <c r="BB369" s="26"/>
      <c r="BC369" s="26"/>
      <c r="BD369" s="26"/>
      <c r="BE369" s="26"/>
      <c r="BF369" s="26"/>
      <c r="BG369" s="26"/>
      <c r="BH369" s="26"/>
      <c r="BI369" s="26"/>
      <c r="BJ369" s="26"/>
      <c r="BK369" s="26"/>
      <c r="BL369" s="26"/>
      <c r="BM369" s="26"/>
      <c r="BN369" s="26"/>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96"/>
      <c r="CP369" s="14"/>
      <c r="CQ369" s="14"/>
      <c r="CR369" s="14"/>
      <c r="CS369" s="14"/>
      <c r="CT369" s="1"/>
      <c r="CU369" s="14"/>
      <c r="CV369" s="1"/>
      <c r="CW369" s="1"/>
      <c r="CX369" s="14"/>
      <c r="CY369" s="1"/>
      <c r="CZ369" s="1"/>
      <c r="DA369" s="1"/>
      <c r="DB369" s="1"/>
      <c r="DC369" s="1"/>
      <c r="DD369" s="1"/>
      <c r="DE369" s="1"/>
      <c r="DF369" s="1"/>
      <c r="DG369" s="1"/>
      <c r="DH369" s="1"/>
      <c r="DI369" s="1"/>
      <c r="DJ369" s="1"/>
      <c r="DK369" s="1"/>
      <c r="DL369" s="1"/>
      <c r="DM369" s="1"/>
      <c r="DN369" s="1"/>
      <c r="DO369" s="1"/>
      <c r="DP369" s="1"/>
      <c r="DQ369" s="1"/>
      <c r="DR369" s="1"/>
      <c r="DS369" s="1"/>
      <c r="DT369" s="1"/>
      <c r="DU369" s="14"/>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29"/>
    </row>
    <row r="370" spans="1:160" x14ac:dyDescent="0.25">
      <c r="A370" s="5"/>
      <c r="B370" s="1"/>
      <c r="C370" s="98"/>
      <c r="D370" s="98"/>
      <c r="E370" s="1"/>
      <c r="F370" s="22"/>
      <c r="G370" s="22"/>
      <c r="H370" s="22"/>
      <c r="I370" s="22"/>
      <c r="J370" s="22"/>
      <c r="K370" s="22"/>
      <c r="L370" s="22"/>
      <c r="M370" s="22"/>
      <c r="N370" s="22"/>
      <c r="O370" s="22"/>
      <c r="P370" s="22"/>
      <c r="Q370" s="22"/>
      <c r="R370" s="1"/>
      <c r="S370" s="1"/>
      <c r="T370" s="8"/>
      <c r="U370" s="1"/>
      <c r="V370" s="1"/>
      <c r="W370" s="1"/>
      <c r="X370" s="1"/>
      <c r="Y370" s="1"/>
      <c r="Z370" s="1"/>
      <c r="AA370" s="1"/>
      <c r="AC370" s="1"/>
      <c r="AD370" s="1"/>
      <c r="AE370" s="1"/>
      <c r="AF370" s="1"/>
      <c r="AG370" s="1"/>
      <c r="AH370" s="26"/>
      <c r="AI370" s="26"/>
      <c r="AJ370" s="26"/>
      <c r="AK370" s="26"/>
      <c r="AL370" s="26"/>
      <c r="AM370" s="26"/>
      <c r="AN370" s="26"/>
      <c r="AO370" s="26"/>
      <c r="AP370" s="26"/>
      <c r="AQ370" s="26"/>
      <c r="AR370" s="26"/>
      <c r="AS370" s="26"/>
      <c r="AT370" s="26"/>
      <c r="AU370" s="26"/>
      <c r="AV370" s="26"/>
      <c r="AW370" s="26"/>
      <c r="AX370" s="26"/>
      <c r="AY370" s="1"/>
      <c r="AZ370" s="26"/>
      <c r="BA370" s="26"/>
      <c r="BB370" s="26"/>
      <c r="BC370" s="26"/>
      <c r="BD370" s="26"/>
      <c r="BE370" s="26"/>
      <c r="BF370" s="26"/>
      <c r="BG370" s="26"/>
      <c r="BH370" s="26"/>
      <c r="BI370" s="26"/>
      <c r="BJ370" s="26"/>
      <c r="BK370" s="26"/>
      <c r="BL370" s="26"/>
      <c r="BM370" s="26"/>
      <c r="BN370" s="26"/>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96"/>
      <c r="CP370" s="14"/>
      <c r="CQ370" s="14"/>
      <c r="CR370" s="14"/>
      <c r="CS370" s="14"/>
      <c r="CT370" s="1"/>
      <c r="CU370" s="14"/>
      <c r="CV370" s="1"/>
      <c r="CW370" s="1"/>
      <c r="CX370" s="14"/>
      <c r="CY370" s="1"/>
      <c r="CZ370" s="1"/>
      <c r="DA370" s="1"/>
      <c r="DB370" s="1"/>
      <c r="DC370" s="1"/>
      <c r="DD370" s="1"/>
      <c r="DE370" s="1"/>
      <c r="DF370" s="1"/>
      <c r="DG370" s="1"/>
      <c r="DH370" s="1"/>
      <c r="DI370" s="1"/>
      <c r="DJ370" s="1"/>
      <c r="DK370" s="1"/>
      <c r="DL370" s="1"/>
      <c r="DM370" s="1"/>
      <c r="DN370" s="1"/>
      <c r="DO370" s="1"/>
      <c r="DP370" s="1"/>
      <c r="DQ370" s="1"/>
      <c r="DR370" s="1"/>
      <c r="DS370" s="1"/>
      <c r="DT370" s="1"/>
      <c r="DU370" s="14"/>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29"/>
    </row>
    <row r="371" spans="1:160" x14ac:dyDescent="0.25">
      <c r="A371" s="5"/>
      <c r="B371" s="1"/>
      <c r="C371" s="98"/>
      <c r="D371" s="98"/>
      <c r="E371" s="1"/>
      <c r="F371" s="22"/>
      <c r="G371" s="22"/>
      <c r="H371" s="22"/>
      <c r="I371" s="22"/>
      <c r="J371" s="22"/>
      <c r="K371" s="22"/>
      <c r="L371" s="22"/>
      <c r="M371" s="22"/>
      <c r="N371" s="22"/>
      <c r="O371" s="22"/>
      <c r="P371" s="22"/>
      <c r="Q371" s="22"/>
      <c r="R371" s="1"/>
      <c r="S371" s="1"/>
      <c r="T371" s="8"/>
      <c r="U371" s="1"/>
      <c r="V371" s="1"/>
      <c r="W371" s="1"/>
      <c r="X371" s="1"/>
      <c r="Y371" s="1"/>
      <c r="Z371" s="1"/>
      <c r="AA371" s="1"/>
      <c r="AC371" s="1"/>
      <c r="AD371" s="1"/>
      <c r="AE371" s="1"/>
      <c r="AF371" s="1"/>
      <c r="AG371" s="1"/>
      <c r="AH371" s="26"/>
      <c r="AI371" s="26"/>
      <c r="AJ371" s="26"/>
      <c r="AK371" s="26"/>
      <c r="AL371" s="26"/>
      <c r="AM371" s="26"/>
      <c r="AN371" s="26"/>
      <c r="AO371" s="26"/>
      <c r="AP371" s="26"/>
      <c r="AQ371" s="26"/>
      <c r="AR371" s="26"/>
      <c r="AS371" s="26"/>
      <c r="AT371" s="26"/>
      <c r="AU371" s="26"/>
      <c r="AV371" s="26"/>
      <c r="AW371" s="26"/>
      <c r="AX371" s="26"/>
      <c r="AY371" s="1"/>
      <c r="AZ371" s="26"/>
      <c r="BA371" s="26"/>
      <c r="BB371" s="26"/>
      <c r="BC371" s="26"/>
      <c r="BD371" s="26"/>
      <c r="BE371" s="26"/>
      <c r="BF371" s="26"/>
      <c r="BG371" s="26"/>
      <c r="BH371" s="26"/>
      <c r="BI371" s="26"/>
      <c r="BJ371" s="26"/>
      <c r="BK371" s="26"/>
      <c r="BL371" s="26"/>
      <c r="BM371" s="26"/>
      <c r="BN371" s="26"/>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96"/>
      <c r="CP371" s="14"/>
      <c r="CQ371" s="14"/>
      <c r="CR371" s="14"/>
      <c r="CS371" s="14"/>
      <c r="CT371" s="1"/>
      <c r="CU371" s="14"/>
      <c r="CV371" s="1"/>
      <c r="CW371" s="1"/>
      <c r="CX371" s="14"/>
      <c r="CY371" s="1"/>
      <c r="CZ371" s="1"/>
      <c r="DA371" s="1"/>
      <c r="DB371" s="1"/>
      <c r="DC371" s="1"/>
      <c r="DD371" s="1"/>
      <c r="DE371" s="1"/>
      <c r="DF371" s="1"/>
      <c r="DG371" s="1"/>
      <c r="DH371" s="1"/>
      <c r="DI371" s="1"/>
      <c r="DJ371" s="1"/>
      <c r="DK371" s="1"/>
      <c r="DL371" s="1"/>
      <c r="DM371" s="1"/>
      <c r="DN371" s="1"/>
      <c r="DO371" s="1"/>
      <c r="DP371" s="1"/>
      <c r="DQ371" s="1"/>
      <c r="DR371" s="1"/>
      <c r="DS371" s="1"/>
      <c r="DT371" s="1"/>
      <c r="DU371" s="14"/>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29"/>
    </row>
    <row r="372" spans="1:160" x14ac:dyDescent="0.25">
      <c r="A372" s="5"/>
      <c r="B372" s="1"/>
      <c r="C372" s="98"/>
      <c r="D372" s="98"/>
      <c r="E372" s="1"/>
      <c r="F372" s="22"/>
      <c r="G372" s="22"/>
      <c r="H372" s="22"/>
      <c r="I372" s="22"/>
      <c r="J372" s="22"/>
      <c r="K372" s="22"/>
      <c r="L372" s="22"/>
      <c r="M372" s="22"/>
      <c r="N372" s="22"/>
      <c r="O372" s="22"/>
      <c r="P372" s="22"/>
      <c r="Q372" s="22"/>
      <c r="R372" s="1"/>
      <c r="S372" s="1"/>
      <c r="T372" s="8"/>
      <c r="U372" s="1"/>
      <c r="V372" s="1"/>
      <c r="W372" s="1"/>
      <c r="X372" s="1"/>
      <c r="Y372" s="1"/>
      <c r="Z372" s="1"/>
      <c r="AA372" s="1"/>
      <c r="AC372" s="1"/>
      <c r="AD372" s="1"/>
      <c r="AE372" s="1"/>
      <c r="AF372" s="1"/>
      <c r="AG372" s="1"/>
      <c r="AH372" s="26"/>
      <c r="AI372" s="26"/>
      <c r="AJ372" s="26"/>
      <c r="AK372" s="26"/>
      <c r="AL372" s="26"/>
      <c r="AM372" s="26"/>
      <c r="AN372" s="26"/>
      <c r="AO372" s="26"/>
      <c r="AP372" s="26"/>
      <c r="AQ372" s="26"/>
      <c r="AR372" s="26"/>
      <c r="AS372" s="26"/>
      <c r="AT372" s="26"/>
      <c r="AU372" s="26"/>
      <c r="AV372" s="26"/>
      <c r="AW372" s="26"/>
      <c r="AX372" s="26"/>
      <c r="AY372" s="1"/>
      <c r="AZ372" s="26"/>
      <c r="BA372" s="26"/>
      <c r="BB372" s="26"/>
      <c r="BC372" s="26"/>
      <c r="BD372" s="26"/>
      <c r="BE372" s="26"/>
      <c r="BF372" s="26"/>
      <c r="BG372" s="26"/>
      <c r="BH372" s="26"/>
      <c r="BI372" s="26"/>
      <c r="BJ372" s="26"/>
      <c r="BK372" s="26"/>
      <c r="BL372" s="26"/>
      <c r="BM372" s="26"/>
      <c r="BN372" s="26"/>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96"/>
      <c r="CP372" s="14"/>
      <c r="CQ372" s="14"/>
      <c r="CR372" s="14"/>
      <c r="CS372" s="14"/>
      <c r="CT372" s="1"/>
      <c r="CU372" s="14"/>
      <c r="CV372" s="1"/>
      <c r="CW372" s="1"/>
      <c r="CX372" s="14"/>
      <c r="CY372" s="1"/>
      <c r="CZ372" s="1"/>
      <c r="DA372" s="1"/>
      <c r="DB372" s="1"/>
      <c r="DC372" s="1"/>
      <c r="DD372" s="1"/>
      <c r="DE372" s="1"/>
      <c r="DF372" s="1"/>
      <c r="DG372" s="1"/>
      <c r="DH372" s="1"/>
      <c r="DI372" s="1"/>
      <c r="DJ372" s="1"/>
      <c r="DK372" s="1"/>
      <c r="DL372" s="1"/>
      <c r="DM372" s="1"/>
      <c r="DN372" s="1"/>
      <c r="DO372" s="1"/>
      <c r="DP372" s="1"/>
      <c r="DQ372" s="1"/>
      <c r="DR372" s="1"/>
      <c r="DS372" s="1"/>
      <c r="DT372" s="1"/>
      <c r="DU372" s="14"/>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29"/>
    </row>
    <row r="373" spans="1:160" x14ac:dyDescent="0.25">
      <c r="A373" s="5"/>
      <c r="B373" s="1"/>
      <c r="C373" s="98"/>
      <c r="D373" s="98"/>
      <c r="E373" s="1"/>
      <c r="F373" s="22"/>
      <c r="G373" s="22"/>
      <c r="H373" s="22"/>
      <c r="I373" s="22"/>
      <c r="J373" s="22"/>
      <c r="K373" s="22"/>
      <c r="L373" s="22"/>
      <c r="M373" s="22"/>
      <c r="N373" s="22"/>
      <c r="O373" s="22"/>
      <c r="P373" s="22"/>
      <c r="Q373" s="22"/>
      <c r="R373" s="1"/>
      <c r="S373" s="1"/>
      <c r="T373" s="8"/>
      <c r="U373" s="1"/>
      <c r="V373" s="1"/>
      <c r="W373" s="1"/>
      <c r="X373" s="1"/>
      <c r="Y373" s="1"/>
      <c r="Z373" s="1"/>
      <c r="AA373" s="1"/>
      <c r="AC373" s="1"/>
      <c r="AD373" s="1"/>
      <c r="AE373" s="1"/>
      <c r="AF373" s="1"/>
      <c r="AG373" s="1"/>
      <c r="AH373" s="26"/>
      <c r="AI373" s="26"/>
      <c r="AJ373" s="26"/>
      <c r="AK373" s="26"/>
      <c r="AL373" s="26"/>
      <c r="AM373" s="26"/>
      <c r="AN373" s="26"/>
      <c r="AO373" s="26"/>
      <c r="AP373" s="26"/>
      <c r="AQ373" s="26"/>
      <c r="AR373" s="26"/>
      <c r="AS373" s="26"/>
      <c r="AT373" s="26"/>
      <c r="AU373" s="26"/>
      <c r="AV373" s="26"/>
      <c r="AW373" s="26"/>
      <c r="AX373" s="26"/>
      <c r="AY373" s="1"/>
      <c r="AZ373" s="26"/>
      <c r="BA373" s="26"/>
      <c r="BB373" s="26"/>
      <c r="BC373" s="26"/>
      <c r="BD373" s="26"/>
      <c r="BE373" s="26"/>
      <c r="BF373" s="26"/>
      <c r="BG373" s="26"/>
      <c r="BH373" s="26"/>
      <c r="BI373" s="26"/>
      <c r="BJ373" s="26"/>
      <c r="BK373" s="26"/>
      <c r="BL373" s="26"/>
      <c r="BM373" s="26"/>
      <c r="BN373" s="26"/>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96"/>
      <c r="CP373" s="14"/>
      <c r="CQ373" s="14"/>
      <c r="CR373" s="14"/>
      <c r="CS373" s="14"/>
      <c r="CT373" s="1"/>
      <c r="CU373" s="14"/>
      <c r="CV373" s="1"/>
      <c r="CW373" s="1"/>
      <c r="CX373" s="14"/>
      <c r="CY373" s="1"/>
      <c r="CZ373" s="1"/>
      <c r="DA373" s="1"/>
      <c r="DB373" s="1"/>
      <c r="DC373" s="1"/>
      <c r="DD373" s="1"/>
      <c r="DE373" s="1"/>
      <c r="DF373" s="1"/>
      <c r="DG373" s="1"/>
      <c r="DH373" s="1"/>
      <c r="DI373" s="1"/>
      <c r="DJ373" s="1"/>
      <c r="DK373" s="1"/>
      <c r="DL373" s="1"/>
      <c r="DM373" s="1"/>
      <c r="DN373" s="1"/>
      <c r="DO373" s="1"/>
      <c r="DP373" s="1"/>
      <c r="DQ373" s="1"/>
      <c r="DR373" s="1"/>
      <c r="DS373" s="1"/>
      <c r="DT373" s="1"/>
      <c r="DU373" s="14"/>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29"/>
    </row>
    <row r="374" spans="1:160" x14ac:dyDescent="0.25">
      <c r="A374" s="5"/>
      <c r="B374" s="1"/>
      <c r="C374" s="98"/>
      <c r="D374" s="98"/>
      <c r="E374" s="1"/>
      <c r="F374" s="22"/>
      <c r="G374" s="22"/>
      <c r="H374" s="22"/>
      <c r="I374" s="22"/>
      <c r="J374" s="22"/>
      <c r="K374" s="22"/>
      <c r="L374" s="22"/>
      <c r="M374" s="22"/>
      <c r="N374" s="22"/>
      <c r="O374" s="22"/>
      <c r="P374" s="22"/>
      <c r="Q374" s="22"/>
      <c r="R374" s="1"/>
      <c r="S374" s="1"/>
      <c r="T374" s="8"/>
      <c r="U374" s="1"/>
      <c r="V374" s="1"/>
      <c r="W374" s="1"/>
      <c r="X374" s="1"/>
      <c r="Y374" s="1"/>
      <c r="Z374" s="1"/>
      <c r="AA374" s="1"/>
      <c r="AC374" s="1"/>
      <c r="AD374" s="1"/>
      <c r="AE374" s="1"/>
      <c r="AF374" s="1"/>
      <c r="AG374" s="1"/>
      <c r="AH374" s="26"/>
      <c r="AI374" s="26"/>
      <c r="AJ374" s="26"/>
      <c r="AK374" s="26"/>
      <c r="AL374" s="26"/>
      <c r="AM374" s="26"/>
      <c r="AN374" s="26"/>
      <c r="AO374" s="26"/>
      <c r="AP374" s="26"/>
      <c r="AQ374" s="26"/>
      <c r="AR374" s="26"/>
      <c r="AS374" s="26"/>
      <c r="AT374" s="26"/>
      <c r="AU374" s="26"/>
      <c r="AV374" s="26"/>
      <c r="AW374" s="26"/>
      <c r="AX374" s="26"/>
      <c r="AY374" s="1"/>
      <c r="AZ374" s="26"/>
      <c r="BA374" s="26"/>
      <c r="BB374" s="26"/>
      <c r="BC374" s="26"/>
      <c r="BD374" s="26"/>
      <c r="BE374" s="26"/>
      <c r="BF374" s="26"/>
      <c r="BG374" s="26"/>
      <c r="BH374" s="26"/>
      <c r="BI374" s="26"/>
      <c r="BJ374" s="26"/>
      <c r="BK374" s="26"/>
      <c r="BL374" s="26"/>
      <c r="BM374" s="26"/>
      <c r="BN374" s="26"/>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96"/>
      <c r="CP374" s="14"/>
      <c r="CQ374" s="14"/>
      <c r="CR374" s="14"/>
      <c r="CS374" s="14"/>
      <c r="CT374" s="1"/>
      <c r="CU374" s="14"/>
      <c r="CV374" s="1"/>
      <c r="CW374" s="1"/>
      <c r="CX374" s="14"/>
      <c r="CY374" s="1"/>
      <c r="CZ374" s="1"/>
      <c r="DA374" s="1"/>
      <c r="DB374" s="1"/>
      <c r="DC374" s="1"/>
      <c r="DD374" s="1"/>
      <c r="DE374" s="1"/>
      <c r="DF374" s="1"/>
      <c r="DG374" s="1"/>
      <c r="DH374" s="1"/>
      <c r="DI374" s="1"/>
      <c r="DJ374" s="1"/>
      <c r="DK374" s="1"/>
      <c r="DL374" s="1"/>
      <c r="DM374" s="1"/>
      <c r="DN374" s="1"/>
      <c r="DO374" s="1"/>
      <c r="DP374" s="1"/>
      <c r="DQ374" s="1"/>
      <c r="DR374" s="1"/>
      <c r="DS374" s="1"/>
      <c r="DT374" s="1"/>
      <c r="DU374" s="14"/>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29"/>
    </row>
    <row r="375" spans="1:160" x14ac:dyDescent="0.25">
      <c r="A375" s="5"/>
      <c r="B375" s="1"/>
      <c r="C375" s="98"/>
      <c r="D375" s="98"/>
      <c r="E375" s="1"/>
      <c r="F375" s="22"/>
      <c r="G375" s="22"/>
      <c r="H375" s="22"/>
      <c r="I375" s="22"/>
      <c r="J375" s="22"/>
      <c r="K375" s="22"/>
      <c r="L375" s="22"/>
      <c r="M375" s="22"/>
      <c r="N375" s="22"/>
      <c r="O375" s="22"/>
      <c r="P375" s="22"/>
      <c r="Q375" s="22"/>
      <c r="R375" s="1"/>
      <c r="S375" s="1"/>
      <c r="T375" s="8"/>
      <c r="U375" s="1"/>
      <c r="V375" s="1"/>
      <c r="W375" s="1"/>
      <c r="X375" s="1"/>
      <c r="Y375" s="1"/>
      <c r="Z375" s="1"/>
      <c r="AA375" s="1"/>
      <c r="AC375" s="1"/>
      <c r="AD375" s="1"/>
      <c r="AE375" s="1"/>
      <c r="AF375" s="1"/>
      <c r="AG375" s="1"/>
      <c r="AH375" s="26"/>
      <c r="AI375" s="26"/>
      <c r="AJ375" s="26"/>
      <c r="AK375" s="26"/>
      <c r="AL375" s="26"/>
      <c r="AM375" s="26"/>
      <c r="AN375" s="26"/>
      <c r="AO375" s="26"/>
      <c r="AP375" s="26"/>
      <c r="AQ375" s="26"/>
      <c r="AR375" s="26"/>
      <c r="AS375" s="26"/>
      <c r="AT375" s="26"/>
      <c r="AU375" s="26"/>
      <c r="AV375" s="26"/>
      <c r="AW375" s="26"/>
      <c r="AX375" s="26"/>
      <c r="AY375" s="1"/>
      <c r="AZ375" s="26"/>
      <c r="BA375" s="26"/>
      <c r="BB375" s="26"/>
      <c r="BC375" s="26"/>
      <c r="BD375" s="26"/>
      <c r="BE375" s="26"/>
      <c r="BF375" s="26"/>
      <c r="BG375" s="26"/>
      <c r="BH375" s="26"/>
      <c r="BI375" s="26"/>
      <c r="BJ375" s="26"/>
      <c r="BK375" s="26"/>
      <c r="BL375" s="26"/>
      <c r="BM375" s="26"/>
      <c r="BN375" s="26"/>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96"/>
      <c r="CP375" s="14"/>
      <c r="CQ375" s="14"/>
      <c r="CR375" s="14"/>
      <c r="CS375" s="14"/>
      <c r="CT375" s="1"/>
      <c r="CU375" s="14"/>
      <c r="CV375" s="1"/>
      <c r="CW375" s="1"/>
      <c r="CX375" s="14"/>
      <c r="CY375" s="1"/>
      <c r="CZ375" s="1"/>
      <c r="DA375" s="1"/>
      <c r="DB375" s="1"/>
      <c r="DC375" s="1"/>
      <c r="DD375" s="1"/>
      <c r="DE375" s="1"/>
      <c r="DF375" s="1"/>
      <c r="DG375" s="1"/>
      <c r="DH375" s="1"/>
      <c r="DI375" s="1"/>
      <c r="DJ375" s="1"/>
      <c r="DK375" s="1"/>
      <c r="DL375" s="1"/>
      <c r="DM375" s="1"/>
      <c r="DN375" s="1"/>
      <c r="DO375" s="1"/>
      <c r="DP375" s="1"/>
      <c r="DQ375" s="1"/>
      <c r="DR375" s="1"/>
      <c r="DS375" s="1"/>
      <c r="DT375" s="1"/>
      <c r="DU375" s="14"/>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29"/>
    </row>
    <row r="376" spans="1:160" x14ac:dyDescent="0.25">
      <c r="A376" s="5"/>
      <c r="B376" s="1"/>
      <c r="C376" s="98"/>
      <c r="D376" s="98"/>
      <c r="E376" s="1"/>
      <c r="F376" s="22"/>
      <c r="G376" s="22"/>
      <c r="H376" s="22"/>
      <c r="I376" s="22"/>
      <c r="J376" s="22"/>
      <c r="K376" s="22"/>
      <c r="L376" s="22"/>
      <c r="M376" s="22"/>
      <c r="N376" s="22"/>
      <c r="O376" s="22"/>
      <c r="P376" s="22"/>
      <c r="Q376" s="22"/>
      <c r="R376" s="1"/>
      <c r="S376" s="1"/>
      <c r="T376" s="8"/>
      <c r="U376" s="1"/>
      <c r="V376" s="1"/>
      <c r="W376" s="1"/>
      <c r="X376" s="1"/>
      <c r="Y376" s="1"/>
      <c r="Z376" s="1"/>
      <c r="AA376" s="1"/>
      <c r="AC376" s="1"/>
      <c r="AD376" s="1"/>
      <c r="AE376" s="1"/>
      <c r="AF376" s="1"/>
      <c r="AG376" s="1"/>
      <c r="AH376" s="26"/>
      <c r="AI376" s="26"/>
      <c r="AJ376" s="26"/>
      <c r="AK376" s="26"/>
      <c r="AL376" s="26"/>
      <c r="AM376" s="26"/>
      <c r="AN376" s="26"/>
      <c r="AO376" s="26"/>
      <c r="AP376" s="26"/>
      <c r="AQ376" s="26"/>
      <c r="AR376" s="26"/>
      <c r="AS376" s="26"/>
      <c r="AT376" s="26"/>
      <c r="AU376" s="26"/>
      <c r="AV376" s="26"/>
      <c r="AW376" s="26"/>
      <c r="AX376" s="26"/>
      <c r="AY376" s="1"/>
      <c r="AZ376" s="26"/>
      <c r="BA376" s="26"/>
      <c r="BB376" s="26"/>
      <c r="BC376" s="26"/>
      <c r="BD376" s="26"/>
      <c r="BE376" s="26"/>
      <c r="BF376" s="26"/>
      <c r="BG376" s="26"/>
      <c r="BH376" s="26"/>
      <c r="BI376" s="26"/>
      <c r="BJ376" s="26"/>
      <c r="BK376" s="26"/>
      <c r="BL376" s="26"/>
      <c r="BM376" s="26"/>
      <c r="BN376" s="26"/>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96"/>
      <c r="CP376" s="14"/>
      <c r="CQ376" s="14"/>
      <c r="CR376" s="14"/>
      <c r="CS376" s="14"/>
      <c r="CT376" s="1"/>
      <c r="CU376" s="14"/>
      <c r="CV376" s="1"/>
      <c r="CW376" s="1"/>
      <c r="CX376" s="14"/>
      <c r="CY376" s="1"/>
      <c r="CZ376" s="1"/>
      <c r="DA376" s="1"/>
      <c r="DB376" s="1"/>
      <c r="DC376" s="1"/>
      <c r="DD376" s="1"/>
      <c r="DE376" s="1"/>
      <c r="DF376" s="1"/>
      <c r="DG376" s="1"/>
      <c r="DH376" s="1"/>
      <c r="DI376" s="1"/>
      <c r="DJ376" s="1"/>
      <c r="DK376" s="1"/>
      <c r="DL376" s="1"/>
      <c r="DM376" s="1"/>
      <c r="DN376" s="1"/>
      <c r="DO376" s="1"/>
      <c r="DP376" s="1"/>
      <c r="DQ376" s="1"/>
      <c r="DR376" s="1"/>
      <c r="DS376" s="1"/>
      <c r="DT376" s="1"/>
      <c r="DU376" s="14"/>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29"/>
    </row>
    <row r="377" spans="1:160" x14ac:dyDescent="0.25">
      <c r="A377" s="5"/>
      <c r="B377" s="1"/>
      <c r="C377" s="98"/>
      <c r="D377" s="98"/>
      <c r="E377" s="1"/>
      <c r="F377" s="22"/>
      <c r="G377" s="22"/>
      <c r="H377" s="22"/>
      <c r="I377" s="22"/>
      <c r="J377" s="22"/>
      <c r="K377" s="22"/>
      <c r="L377" s="22"/>
      <c r="M377" s="22"/>
      <c r="N377" s="22"/>
      <c r="O377" s="22"/>
      <c r="P377" s="22"/>
      <c r="Q377" s="22"/>
      <c r="R377" s="1"/>
      <c r="S377" s="1"/>
      <c r="T377" s="8"/>
      <c r="U377" s="1"/>
      <c r="V377" s="1"/>
      <c r="W377" s="1"/>
      <c r="X377" s="1"/>
      <c r="Y377" s="1"/>
      <c r="Z377" s="1"/>
      <c r="AA377" s="1"/>
      <c r="AC377" s="1"/>
      <c r="AD377" s="1"/>
      <c r="AE377" s="1"/>
      <c r="AF377" s="1"/>
      <c r="AG377" s="1"/>
      <c r="AH377" s="26"/>
      <c r="AI377" s="26"/>
      <c r="AJ377" s="26"/>
      <c r="AK377" s="26"/>
      <c r="AL377" s="26"/>
      <c r="AM377" s="26"/>
      <c r="AN377" s="26"/>
      <c r="AO377" s="26"/>
      <c r="AP377" s="26"/>
      <c r="AQ377" s="26"/>
      <c r="AR377" s="26"/>
      <c r="AS377" s="26"/>
      <c r="AT377" s="26"/>
      <c r="AU377" s="26"/>
      <c r="AV377" s="26"/>
      <c r="AW377" s="26"/>
      <c r="AX377" s="26"/>
      <c r="AY377" s="1"/>
      <c r="AZ377" s="26"/>
      <c r="BA377" s="26"/>
      <c r="BB377" s="26"/>
      <c r="BC377" s="26"/>
      <c r="BD377" s="26"/>
      <c r="BE377" s="26"/>
      <c r="BF377" s="26"/>
      <c r="BG377" s="26"/>
      <c r="BH377" s="26"/>
      <c r="BI377" s="26"/>
      <c r="BJ377" s="26"/>
      <c r="BK377" s="26"/>
      <c r="BL377" s="26"/>
      <c r="BM377" s="26"/>
      <c r="BN377" s="26"/>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96"/>
      <c r="CP377" s="14"/>
      <c r="CQ377" s="14"/>
      <c r="CR377" s="14"/>
      <c r="CS377" s="14"/>
      <c r="CT377" s="1"/>
      <c r="CU377" s="14"/>
      <c r="CV377" s="1"/>
      <c r="CW377" s="1"/>
      <c r="CX377" s="14"/>
      <c r="CY377" s="1"/>
      <c r="CZ377" s="1"/>
      <c r="DA377" s="1"/>
      <c r="DB377" s="1"/>
      <c r="DC377" s="1"/>
      <c r="DD377" s="1"/>
      <c r="DE377" s="1"/>
      <c r="DF377" s="1"/>
      <c r="DG377" s="1"/>
      <c r="DH377" s="1"/>
      <c r="DI377" s="1"/>
      <c r="DJ377" s="1"/>
      <c r="DK377" s="1"/>
      <c r="DL377" s="1"/>
      <c r="DM377" s="1"/>
      <c r="DN377" s="1"/>
      <c r="DO377" s="1"/>
      <c r="DP377" s="1"/>
      <c r="DQ377" s="1"/>
      <c r="DR377" s="1"/>
      <c r="DS377" s="1"/>
      <c r="DT377" s="1"/>
      <c r="DU377" s="14"/>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29"/>
    </row>
    <row r="378" spans="1:160" x14ac:dyDescent="0.25">
      <c r="A378" s="5"/>
      <c r="B378" s="1"/>
      <c r="C378" s="98"/>
      <c r="D378" s="98"/>
      <c r="E378" s="1"/>
      <c r="F378" s="22"/>
      <c r="G378" s="22"/>
      <c r="H378" s="22"/>
      <c r="I378" s="22"/>
      <c r="J378" s="22"/>
      <c r="K378" s="22"/>
      <c r="L378" s="22"/>
      <c r="M378" s="22"/>
      <c r="N378" s="22"/>
      <c r="O378" s="22"/>
      <c r="P378" s="22"/>
      <c r="Q378" s="22"/>
      <c r="R378" s="1"/>
      <c r="S378" s="1"/>
      <c r="T378" s="8"/>
      <c r="U378" s="1"/>
      <c r="V378" s="1"/>
      <c r="W378" s="1"/>
      <c r="X378" s="1"/>
      <c r="Y378" s="1"/>
      <c r="Z378" s="1"/>
      <c r="AA378" s="1"/>
      <c r="AC378" s="1"/>
      <c r="AD378" s="1"/>
      <c r="AE378" s="1"/>
      <c r="AF378" s="1"/>
      <c r="AG378" s="1"/>
      <c r="AH378" s="26"/>
      <c r="AI378" s="26"/>
      <c r="AJ378" s="26"/>
      <c r="AK378" s="26"/>
      <c r="AL378" s="26"/>
      <c r="AM378" s="26"/>
      <c r="AN378" s="26"/>
      <c r="AO378" s="26"/>
      <c r="AP378" s="26"/>
      <c r="AQ378" s="26"/>
      <c r="AR378" s="26"/>
      <c r="AS378" s="26"/>
      <c r="AT378" s="26"/>
      <c r="AU378" s="26"/>
      <c r="AV378" s="26"/>
      <c r="AW378" s="26"/>
      <c r="AX378" s="26"/>
      <c r="AY378" s="1"/>
      <c r="AZ378" s="26"/>
      <c r="BA378" s="26"/>
      <c r="BB378" s="26"/>
      <c r="BC378" s="26"/>
      <c r="BD378" s="26"/>
      <c r="BE378" s="26"/>
      <c r="BF378" s="26"/>
      <c r="BG378" s="26"/>
      <c r="BH378" s="26"/>
      <c r="BI378" s="26"/>
      <c r="BJ378" s="26"/>
      <c r="BK378" s="26"/>
      <c r="BL378" s="26"/>
      <c r="BM378" s="26"/>
      <c r="BN378" s="26"/>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96"/>
      <c r="CP378" s="14"/>
      <c r="CQ378" s="14"/>
      <c r="CR378" s="14"/>
      <c r="CS378" s="14"/>
      <c r="CT378" s="1"/>
      <c r="CU378" s="14"/>
      <c r="CV378" s="1"/>
      <c r="CW378" s="1"/>
      <c r="CX378" s="14"/>
      <c r="CY378" s="1"/>
      <c r="CZ378" s="1"/>
      <c r="DA378" s="1"/>
      <c r="DB378" s="1"/>
      <c r="DC378" s="1"/>
      <c r="DD378" s="1"/>
      <c r="DE378" s="1"/>
      <c r="DF378" s="1"/>
      <c r="DG378" s="1"/>
      <c r="DH378" s="1"/>
      <c r="DI378" s="1"/>
      <c r="DJ378" s="1"/>
      <c r="DK378" s="1"/>
      <c r="DL378" s="1"/>
      <c r="DM378" s="1"/>
      <c r="DN378" s="1"/>
      <c r="DO378" s="1"/>
      <c r="DP378" s="1"/>
      <c r="DQ378" s="1"/>
      <c r="DR378" s="1"/>
      <c r="DS378" s="1"/>
      <c r="DT378" s="1"/>
      <c r="DU378" s="14"/>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29"/>
    </row>
    <row r="379" spans="1:160" x14ac:dyDescent="0.25">
      <c r="A379" s="5"/>
      <c r="B379" s="1"/>
      <c r="C379" s="98"/>
      <c r="D379" s="98"/>
      <c r="E379" s="1"/>
      <c r="F379" s="22"/>
      <c r="G379" s="22"/>
      <c r="H379" s="22"/>
      <c r="I379" s="22"/>
      <c r="J379" s="22"/>
      <c r="K379" s="22"/>
      <c r="L379" s="22"/>
      <c r="M379" s="22"/>
      <c r="N379" s="22"/>
      <c r="O379" s="22"/>
      <c r="P379" s="22"/>
      <c r="Q379" s="22"/>
      <c r="R379" s="1"/>
      <c r="S379" s="1"/>
      <c r="T379" s="8"/>
      <c r="U379" s="1"/>
      <c r="V379" s="1"/>
      <c r="W379" s="1"/>
      <c r="X379" s="1"/>
      <c r="Y379" s="1"/>
      <c r="Z379" s="1"/>
      <c r="AA379" s="1"/>
      <c r="AC379" s="1"/>
      <c r="AD379" s="1"/>
      <c r="AE379" s="1"/>
      <c r="AF379" s="1"/>
      <c r="AG379" s="1"/>
      <c r="AH379" s="26"/>
      <c r="AI379" s="26"/>
      <c r="AJ379" s="26"/>
      <c r="AK379" s="26"/>
      <c r="AL379" s="26"/>
      <c r="AM379" s="26"/>
      <c r="AN379" s="26"/>
      <c r="AO379" s="26"/>
      <c r="AP379" s="26"/>
      <c r="AQ379" s="26"/>
      <c r="AR379" s="26"/>
      <c r="AS379" s="26"/>
      <c r="AT379" s="26"/>
      <c r="AU379" s="26"/>
      <c r="AV379" s="26"/>
      <c r="AW379" s="26"/>
      <c r="AX379" s="26"/>
      <c r="AY379" s="1"/>
      <c r="AZ379" s="26"/>
      <c r="BA379" s="26"/>
      <c r="BB379" s="26"/>
      <c r="BC379" s="26"/>
      <c r="BD379" s="26"/>
      <c r="BE379" s="26"/>
      <c r="BF379" s="26"/>
      <c r="BG379" s="26"/>
      <c r="BH379" s="26"/>
      <c r="BI379" s="26"/>
      <c r="BJ379" s="26"/>
      <c r="BK379" s="26"/>
      <c r="BL379" s="26"/>
      <c r="BM379" s="26"/>
      <c r="BN379" s="26"/>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96"/>
      <c r="CP379" s="14"/>
      <c r="CQ379" s="14"/>
      <c r="CR379" s="14"/>
      <c r="CS379" s="14"/>
      <c r="CT379" s="1"/>
      <c r="CU379" s="14"/>
      <c r="CV379" s="1"/>
      <c r="CW379" s="1"/>
      <c r="CX379" s="14"/>
      <c r="CY379" s="1"/>
      <c r="CZ379" s="1"/>
      <c r="DA379" s="1"/>
      <c r="DB379" s="1"/>
      <c r="DC379" s="1"/>
      <c r="DD379" s="1"/>
      <c r="DE379" s="1"/>
      <c r="DF379" s="1"/>
      <c r="DG379" s="1"/>
      <c r="DH379" s="1"/>
      <c r="DI379" s="1"/>
      <c r="DJ379" s="1"/>
      <c r="DK379" s="1"/>
      <c r="DL379" s="1"/>
      <c r="DM379" s="1"/>
      <c r="DN379" s="1"/>
      <c r="DO379" s="1"/>
      <c r="DP379" s="1"/>
      <c r="DQ379" s="1"/>
      <c r="DR379" s="1"/>
      <c r="DS379" s="1"/>
      <c r="DT379" s="1"/>
      <c r="DU379" s="14"/>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29"/>
    </row>
    <row r="380" spans="1:160" x14ac:dyDescent="0.25">
      <c r="A380" s="5"/>
      <c r="B380" s="1"/>
      <c r="C380" s="98"/>
      <c r="D380" s="98"/>
      <c r="E380" s="1"/>
      <c r="F380" s="22"/>
      <c r="G380" s="22"/>
      <c r="H380" s="22"/>
      <c r="I380" s="22"/>
      <c r="J380" s="22"/>
      <c r="K380" s="22"/>
      <c r="L380" s="22"/>
      <c r="M380" s="22"/>
      <c r="N380" s="22"/>
      <c r="O380" s="22"/>
      <c r="P380" s="22"/>
      <c r="Q380" s="22"/>
      <c r="R380" s="1"/>
      <c r="S380" s="1"/>
      <c r="T380" s="8"/>
      <c r="U380" s="1"/>
      <c r="V380" s="1"/>
      <c r="W380" s="1"/>
      <c r="X380" s="1"/>
      <c r="Y380" s="1"/>
      <c r="Z380" s="1"/>
      <c r="AA380" s="1"/>
      <c r="AC380" s="1"/>
      <c r="AD380" s="1"/>
      <c r="AE380" s="1"/>
      <c r="AF380" s="1"/>
      <c r="AG380" s="1"/>
      <c r="AH380" s="26"/>
      <c r="AI380" s="26"/>
      <c r="AJ380" s="26"/>
      <c r="AK380" s="26"/>
      <c r="AL380" s="26"/>
      <c r="AM380" s="26"/>
      <c r="AN380" s="26"/>
      <c r="AO380" s="26"/>
      <c r="AP380" s="26"/>
      <c r="AQ380" s="26"/>
      <c r="AR380" s="26"/>
      <c r="AS380" s="26"/>
      <c r="AT380" s="26"/>
      <c r="AU380" s="26"/>
      <c r="AV380" s="26"/>
      <c r="AW380" s="26"/>
      <c r="AX380" s="26"/>
      <c r="AY380" s="1"/>
      <c r="AZ380" s="26"/>
      <c r="BA380" s="26"/>
      <c r="BB380" s="26"/>
      <c r="BC380" s="26"/>
      <c r="BD380" s="26"/>
      <c r="BE380" s="26"/>
      <c r="BF380" s="26"/>
      <c r="BG380" s="26"/>
      <c r="BH380" s="26"/>
      <c r="BI380" s="26"/>
      <c r="BJ380" s="26"/>
      <c r="BK380" s="26"/>
      <c r="BL380" s="26"/>
      <c r="BM380" s="26"/>
      <c r="BN380" s="26"/>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96"/>
      <c r="CP380" s="14"/>
      <c r="CQ380" s="14"/>
      <c r="CR380" s="14"/>
      <c r="CS380" s="14"/>
      <c r="CT380" s="1"/>
      <c r="CU380" s="14"/>
      <c r="CV380" s="1"/>
      <c r="CW380" s="1"/>
      <c r="CX380" s="14"/>
      <c r="CY380" s="1"/>
      <c r="CZ380" s="1"/>
      <c r="DA380" s="1"/>
      <c r="DB380" s="1"/>
      <c r="DC380" s="1"/>
      <c r="DD380" s="1"/>
      <c r="DE380" s="1"/>
      <c r="DF380" s="1"/>
      <c r="DG380" s="1"/>
      <c r="DH380" s="1"/>
      <c r="DI380" s="1"/>
      <c r="DJ380" s="1"/>
      <c r="DK380" s="1"/>
      <c r="DL380" s="1"/>
      <c r="DM380" s="1"/>
      <c r="DN380" s="1"/>
      <c r="DO380" s="1"/>
      <c r="DP380" s="1"/>
      <c r="DQ380" s="1"/>
      <c r="DR380" s="1"/>
      <c r="DS380" s="1"/>
      <c r="DT380" s="1"/>
      <c r="DU380" s="14"/>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29"/>
    </row>
    <row r="381" spans="1:160" x14ac:dyDescent="0.25">
      <c r="A381" s="5"/>
      <c r="B381" s="1"/>
      <c r="C381" s="98"/>
      <c r="D381" s="98"/>
      <c r="E381" s="1"/>
      <c r="F381" s="22"/>
      <c r="G381" s="22"/>
      <c r="H381" s="22"/>
      <c r="I381" s="22"/>
      <c r="J381" s="22"/>
      <c r="K381" s="22"/>
      <c r="L381" s="22"/>
      <c r="M381" s="22"/>
      <c r="N381" s="22"/>
      <c r="O381" s="22"/>
      <c r="P381" s="22"/>
      <c r="Q381" s="22"/>
      <c r="R381" s="1"/>
      <c r="S381" s="1"/>
      <c r="T381" s="8"/>
      <c r="U381" s="1"/>
      <c r="V381" s="1"/>
      <c r="W381" s="1"/>
      <c r="X381" s="1"/>
      <c r="Y381" s="1"/>
      <c r="Z381" s="1"/>
      <c r="AA381" s="1"/>
      <c r="AC381" s="1"/>
      <c r="AD381" s="1"/>
      <c r="AE381" s="1"/>
      <c r="AF381" s="1"/>
      <c r="AG381" s="1"/>
      <c r="AH381" s="26"/>
      <c r="AI381" s="26"/>
      <c r="AJ381" s="26"/>
      <c r="AK381" s="26"/>
      <c r="AL381" s="26"/>
      <c r="AM381" s="26"/>
      <c r="AN381" s="26"/>
      <c r="AO381" s="26"/>
      <c r="AP381" s="26"/>
      <c r="AQ381" s="26"/>
      <c r="AR381" s="26"/>
      <c r="AS381" s="26"/>
      <c r="AT381" s="26"/>
      <c r="AU381" s="26"/>
      <c r="AV381" s="26"/>
      <c r="AW381" s="26"/>
      <c r="AX381" s="26"/>
      <c r="AY381" s="1"/>
      <c r="AZ381" s="26"/>
      <c r="BA381" s="26"/>
      <c r="BB381" s="26"/>
      <c r="BC381" s="26"/>
      <c r="BD381" s="26"/>
      <c r="BE381" s="26"/>
      <c r="BF381" s="26"/>
      <c r="BG381" s="26"/>
      <c r="BH381" s="26"/>
      <c r="BI381" s="26"/>
      <c r="BJ381" s="26"/>
      <c r="BK381" s="26"/>
      <c r="BL381" s="26"/>
      <c r="BM381" s="26"/>
      <c r="BN381" s="26"/>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96"/>
      <c r="CP381" s="14"/>
      <c r="CQ381" s="14"/>
      <c r="CR381" s="14"/>
      <c r="CS381" s="14"/>
      <c r="CT381" s="1"/>
      <c r="CU381" s="14"/>
      <c r="CV381" s="1"/>
      <c r="CW381" s="1"/>
      <c r="CX381" s="14"/>
      <c r="CY381" s="1"/>
      <c r="CZ381" s="1"/>
      <c r="DA381" s="1"/>
      <c r="DB381" s="1"/>
      <c r="DC381" s="1"/>
      <c r="DD381" s="1"/>
      <c r="DE381" s="1"/>
      <c r="DF381" s="1"/>
      <c r="DG381" s="1"/>
      <c r="DH381" s="1"/>
      <c r="DI381" s="1"/>
      <c r="DJ381" s="1"/>
      <c r="DK381" s="1"/>
      <c r="DL381" s="1"/>
      <c r="DM381" s="1"/>
      <c r="DN381" s="1"/>
      <c r="DO381" s="1"/>
      <c r="DP381" s="1"/>
      <c r="DQ381" s="1"/>
      <c r="DR381" s="1"/>
      <c r="DS381" s="1"/>
      <c r="DT381" s="1"/>
      <c r="DU381" s="14"/>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29"/>
    </row>
    <row r="382" spans="1:160" x14ac:dyDescent="0.25">
      <c r="A382" s="5"/>
      <c r="B382" s="1"/>
      <c r="C382" s="98"/>
      <c r="D382" s="98"/>
      <c r="E382" s="1"/>
      <c r="F382" s="22"/>
      <c r="G382" s="22"/>
      <c r="H382" s="22"/>
      <c r="I382" s="22"/>
      <c r="J382" s="22"/>
      <c r="K382" s="22"/>
      <c r="L382" s="22"/>
      <c r="M382" s="22"/>
      <c r="N382" s="22"/>
      <c r="O382" s="22"/>
      <c r="P382" s="22"/>
      <c r="Q382" s="22"/>
      <c r="R382" s="1"/>
      <c r="S382" s="1"/>
      <c r="T382" s="8"/>
      <c r="U382" s="1"/>
      <c r="V382" s="1"/>
      <c r="W382" s="1"/>
      <c r="X382" s="1"/>
      <c r="Y382" s="1"/>
      <c r="Z382" s="1"/>
      <c r="AA382" s="1"/>
      <c r="AC382" s="1"/>
      <c r="AD382" s="1"/>
      <c r="AE382" s="1"/>
      <c r="AF382" s="1"/>
      <c r="AG382" s="1"/>
      <c r="AH382" s="26"/>
      <c r="AI382" s="26"/>
      <c r="AJ382" s="26"/>
      <c r="AK382" s="26"/>
      <c r="AL382" s="26"/>
      <c r="AM382" s="26"/>
      <c r="AN382" s="26"/>
      <c r="AO382" s="26"/>
      <c r="AP382" s="26"/>
      <c r="AQ382" s="26"/>
      <c r="AR382" s="26"/>
      <c r="AS382" s="26"/>
      <c r="AT382" s="26"/>
      <c r="AU382" s="26"/>
      <c r="AV382" s="26"/>
      <c r="AW382" s="26"/>
      <c r="AX382" s="26"/>
      <c r="AY382" s="1"/>
      <c r="AZ382" s="26"/>
      <c r="BA382" s="26"/>
      <c r="BB382" s="26"/>
      <c r="BC382" s="26"/>
      <c r="BD382" s="26"/>
      <c r="BE382" s="26"/>
      <c r="BF382" s="26"/>
      <c r="BG382" s="26"/>
      <c r="BH382" s="26"/>
      <c r="BI382" s="26"/>
      <c r="BJ382" s="26"/>
      <c r="BK382" s="26"/>
      <c r="BL382" s="26"/>
      <c r="BM382" s="26"/>
      <c r="BN382" s="26"/>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96"/>
      <c r="CP382" s="14"/>
      <c r="CQ382" s="14"/>
      <c r="CR382" s="14"/>
      <c r="CS382" s="14"/>
      <c r="CT382" s="1"/>
      <c r="CU382" s="14"/>
      <c r="CV382" s="1"/>
      <c r="CW382" s="1"/>
      <c r="CX382" s="14"/>
      <c r="CY382" s="1"/>
      <c r="CZ382" s="1"/>
      <c r="DA382" s="1"/>
      <c r="DB382" s="1"/>
      <c r="DC382" s="1"/>
      <c r="DD382" s="1"/>
      <c r="DE382" s="1"/>
      <c r="DF382" s="1"/>
      <c r="DG382" s="1"/>
      <c r="DH382" s="1"/>
      <c r="DI382" s="1"/>
      <c r="DJ382" s="1"/>
      <c r="DK382" s="1"/>
      <c r="DL382" s="1"/>
      <c r="DM382" s="1"/>
      <c r="DN382" s="1"/>
      <c r="DO382" s="1"/>
      <c r="DP382" s="1"/>
      <c r="DQ382" s="1"/>
      <c r="DR382" s="1"/>
      <c r="DS382" s="1"/>
      <c r="DT382" s="1"/>
      <c r="DU382" s="14"/>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29"/>
    </row>
    <row r="383" spans="1:160" x14ac:dyDescent="0.25">
      <c r="A383" s="5"/>
      <c r="B383" s="1"/>
      <c r="C383" s="98"/>
      <c r="D383" s="98"/>
      <c r="E383" s="1"/>
      <c r="F383" s="22"/>
      <c r="G383" s="22"/>
      <c r="H383" s="22"/>
      <c r="I383" s="22"/>
      <c r="J383" s="22"/>
      <c r="K383" s="22"/>
      <c r="L383" s="22"/>
      <c r="M383" s="22"/>
      <c r="N383" s="22"/>
      <c r="O383" s="22"/>
      <c r="P383" s="22"/>
      <c r="Q383" s="22"/>
      <c r="R383" s="1"/>
      <c r="S383" s="1"/>
      <c r="T383" s="8"/>
      <c r="U383" s="1"/>
      <c r="V383" s="1"/>
      <c r="W383" s="1"/>
      <c r="X383" s="1"/>
      <c r="Y383" s="1"/>
      <c r="Z383" s="1"/>
      <c r="AA383" s="1"/>
      <c r="AC383" s="1"/>
      <c r="AD383" s="1"/>
      <c r="AE383" s="1"/>
      <c r="AF383" s="1"/>
      <c r="AG383" s="1"/>
      <c r="AH383" s="26"/>
      <c r="AI383" s="26"/>
      <c r="AJ383" s="26"/>
      <c r="AK383" s="26"/>
      <c r="AL383" s="26"/>
      <c r="AM383" s="26"/>
      <c r="AN383" s="26"/>
      <c r="AO383" s="26"/>
      <c r="AP383" s="26"/>
      <c r="AQ383" s="26"/>
      <c r="AR383" s="26"/>
      <c r="AS383" s="26"/>
      <c r="AT383" s="26"/>
      <c r="AU383" s="26"/>
      <c r="AV383" s="26"/>
      <c r="AW383" s="26"/>
      <c r="AX383" s="26"/>
      <c r="AY383" s="1"/>
      <c r="AZ383" s="26"/>
      <c r="BA383" s="26"/>
      <c r="BB383" s="26"/>
      <c r="BC383" s="26"/>
      <c r="BD383" s="26"/>
      <c r="BE383" s="26"/>
      <c r="BF383" s="26"/>
      <c r="BG383" s="26"/>
      <c r="BH383" s="26"/>
      <c r="BI383" s="26"/>
      <c r="BJ383" s="26"/>
      <c r="BK383" s="26"/>
      <c r="BL383" s="26"/>
      <c r="BM383" s="26"/>
      <c r="BN383" s="26"/>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96"/>
      <c r="CP383" s="14"/>
      <c r="CQ383" s="14"/>
      <c r="CR383" s="14"/>
      <c r="CS383" s="14"/>
      <c r="CT383" s="1"/>
      <c r="CU383" s="14"/>
      <c r="CV383" s="1"/>
      <c r="CW383" s="1"/>
      <c r="CX383" s="14"/>
      <c r="CY383" s="1"/>
      <c r="CZ383" s="1"/>
      <c r="DA383" s="1"/>
      <c r="DB383" s="1"/>
      <c r="DC383" s="1"/>
      <c r="DD383" s="1"/>
      <c r="DE383" s="1"/>
      <c r="DF383" s="1"/>
      <c r="DG383" s="1"/>
      <c r="DH383" s="1"/>
      <c r="DI383" s="1"/>
      <c r="DJ383" s="1"/>
      <c r="DK383" s="1"/>
      <c r="DL383" s="1"/>
      <c r="DM383" s="1"/>
      <c r="DN383" s="1"/>
      <c r="DO383" s="1"/>
      <c r="DP383" s="1"/>
      <c r="DQ383" s="1"/>
      <c r="DR383" s="1"/>
      <c r="DS383" s="1"/>
      <c r="DT383" s="1"/>
      <c r="DU383" s="14"/>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29"/>
    </row>
    <row r="384" spans="1:160" x14ac:dyDescent="0.25">
      <c r="A384" s="5"/>
      <c r="B384" s="1"/>
      <c r="C384" s="98"/>
      <c r="D384" s="98"/>
      <c r="E384" s="1"/>
      <c r="F384" s="22"/>
      <c r="G384" s="22"/>
      <c r="H384" s="22"/>
      <c r="I384" s="22"/>
      <c r="J384" s="22"/>
      <c r="K384" s="22"/>
      <c r="L384" s="22"/>
      <c r="M384" s="22"/>
      <c r="N384" s="22"/>
      <c r="O384" s="22"/>
      <c r="P384" s="22"/>
      <c r="Q384" s="22"/>
      <c r="R384" s="1"/>
      <c r="S384" s="1"/>
      <c r="T384" s="8"/>
      <c r="U384" s="1"/>
      <c r="V384" s="1"/>
      <c r="W384" s="1"/>
      <c r="X384" s="1"/>
      <c r="Y384" s="1"/>
      <c r="Z384" s="1"/>
      <c r="AA384" s="1"/>
      <c r="AC384" s="1"/>
      <c r="AD384" s="1"/>
      <c r="AE384" s="1"/>
      <c r="AF384" s="1"/>
      <c r="AG384" s="1"/>
      <c r="AH384" s="26"/>
      <c r="AI384" s="26"/>
      <c r="AJ384" s="26"/>
      <c r="AK384" s="26"/>
      <c r="AL384" s="26"/>
      <c r="AM384" s="26"/>
      <c r="AN384" s="26"/>
      <c r="AO384" s="26"/>
      <c r="AP384" s="26"/>
      <c r="AQ384" s="26"/>
      <c r="AR384" s="26"/>
      <c r="AS384" s="26"/>
      <c r="AT384" s="26"/>
      <c r="AU384" s="26"/>
      <c r="AV384" s="26"/>
      <c r="AW384" s="26"/>
      <c r="AX384" s="26"/>
      <c r="AY384" s="1"/>
      <c r="AZ384" s="26"/>
      <c r="BA384" s="26"/>
      <c r="BB384" s="26"/>
      <c r="BC384" s="26"/>
      <c r="BD384" s="26"/>
      <c r="BE384" s="26"/>
      <c r="BF384" s="26"/>
      <c r="BG384" s="26"/>
      <c r="BH384" s="26"/>
      <c r="BI384" s="26"/>
      <c r="BJ384" s="26"/>
      <c r="BK384" s="26"/>
      <c r="BL384" s="26"/>
      <c r="BM384" s="26"/>
      <c r="BN384" s="26"/>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96"/>
      <c r="CP384" s="14"/>
      <c r="CQ384" s="14"/>
      <c r="CR384" s="14"/>
      <c r="CS384" s="14"/>
      <c r="CT384" s="1"/>
      <c r="CU384" s="14"/>
      <c r="CV384" s="1"/>
      <c r="CW384" s="1"/>
      <c r="CX384" s="14"/>
      <c r="CY384" s="1"/>
      <c r="CZ384" s="1"/>
      <c r="DA384" s="1"/>
      <c r="DB384" s="1"/>
      <c r="DC384" s="1"/>
      <c r="DD384" s="1"/>
      <c r="DE384" s="1"/>
      <c r="DF384" s="1"/>
      <c r="DG384" s="1"/>
      <c r="DH384" s="1"/>
      <c r="DI384" s="1"/>
      <c r="DJ384" s="1"/>
      <c r="DK384" s="1"/>
      <c r="DL384" s="1"/>
      <c r="DM384" s="1"/>
      <c r="DN384" s="1"/>
      <c r="DO384" s="1"/>
      <c r="DP384" s="1"/>
      <c r="DQ384" s="1"/>
      <c r="DR384" s="1"/>
      <c r="DS384" s="1"/>
      <c r="DT384" s="1"/>
      <c r="DU384" s="14"/>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29"/>
    </row>
    <row r="385" spans="1:160" x14ac:dyDescent="0.25">
      <c r="A385" s="5"/>
      <c r="B385" s="1"/>
      <c r="C385" s="98"/>
      <c r="D385" s="98"/>
      <c r="E385" s="1"/>
      <c r="F385" s="22"/>
      <c r="G385" s="22"/>
      <c r="H385" s="22"/>
      <c r="I385" s="22"/>
      <c r="J385" s="22"/>
      <c r="K385" s="22"/>
      <c r="L385" s="22"/>
      <c r="M385" s="22"/>
      <c r="N385" s="22"/>
      <c r="O385" s="22"/>
      <c r="P385" s="22"/>
      <c r="Q385" s="22"/>
      <c r="R385" s="1"/>
      <c r="S385" s="1"/>
      <c r="T385" s="8"/>
      <c r="U385" s="1"/>
      <c r="V385" s="1"/>
      <c r="W385" s="1"/>
      <c r="X385" s="1"/>
      <c r="Y385" s="1"/>
      <c r="Z385" s="1"/>
      <c r="AA385" s="1"/>
      <c r="AC385" s="1"/>
      <c r="AD385" s="1"/>
      <c r="AE385" s="1"/>
      <c r="AF385" s="1"/>
      <c r="AG385" s="1"/>
      <c r="AH385" s="26"/>
      <c r="AI385" s="26"/>
      <c r="AJ385" s="26"/>
      <c r="AK385" s="26"/>
      <c r="AL385" s="26"/>
      <c r="AM385" s="26"/>
      <c r="AN385" s="26"/>
      <c r="AO385" s="26"/>
      <c r="AP385" s="26"/>
      <c r="AQ385" s="26"/>
      <c r="AR385" s="26"/>
      <c r="AS385" s="26"/>
      <c r="AT385" s="26"/>
      <c r="AU385" s="26"/>
      <c r="AV385" s="26"/>
      <c r="AW385" s="26"/>
      <c r="AX385" s="26"/>
      <c r="AY385" s="1"/>
      <c r="AZ385" s="26"/>
      <c r="BA385" s="26"/>
      <c r="BB385" s="26"/>
      <c r="BC385" s="26"/>
      <c r="BD385" s="26"/>
      <c r="BE385" s="26"/>
      <c r="BF385" s="26"/>
      <c r="BG385" s="26"/>
      <c r="BH385" s="26"/>
      <c r="BI385" s="26"/>
      <c r="BJ385" s="26"/>
      <c r="BK385" s="26"/>
      <c r="BL385" s="26"/>
      <c r="BM385" s="26"/>
      <c r="BN385" s="26"/>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96"/>
      <c r="CP385" s="14"/>
      <c r="CQ385" s="14"/>
      <c r="CR385" s="14"/>
      <c r="CS385" s="14"/>
      <c r="CT385" s="1"/>
      <c r="CU385" s="14"/>
      <c r="CV385" s="1"/>
      <c r="CW385" s="1"/>
      <c r="CX385" s="14"/>
      <c r="CY385" s="1"/>
      <c r="CZ385" s="1"/>
      <c r="DA385" s="1"/>
      <c r="DB385" s="1"/>
      <c r="DC385" s="1"/>
      <c r="DD385" s="1"/>
      <c r="DE385" s="1"/>
      <c r="DF385" s="1"/>
      <c r="DG385" s="1"/>
      <c r="DH385" s="1"/>
      <c r="DI385" s="1"/>
      <c r="DJ385" s="1"/>
      <c r="DK385" s="1"/>
      <c r="DL385" s="1"/>
      <c r="DM385" s="1"/>
      <c r="DN385" s="1"/>
      <c r="DO385" s="1"/>
      <c r="DP385" s="1"/>
      <c r="DQ385" s="1"/>
      <c r="DR385" s="1"/>
      <c r="DS385" s="1"/>
      <c r="DT385" s="1"/>
      <c r="DU385" s="14"/>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29"/>
    </row>
    <row r="386" spans="1:160" x14ac:dyDescent="0.25">
      <c r="A386" s="5"/>
      <c r="B386" s="1"/>
      <c r="C386" s="98"/>
      <c r="D386" s="98"/>
      <c r="E386" s="1"/>
      <c r="F386" s="22"/>
      <c r="G386" s="22"/>
      <c r="H386" s="22"/>
      <c r="I386" s="22"/>
      <c r="J386" s="22"/>
      <c r="K386" s="22"/>
      <c r="L386" s="22"/>
      <c r="M386" s="22"/>
      <c r="N386" s="22"/>
      <c r="O386" s="22"/>
      <c r="P386" s="22"/>
      <c r="Q386" s="22"/>
      <c r="R386" s="1"/>
      <c r="S386" s="1"/>
      <c r="T386" s="8"/>
      <c r="U386" s="1"/>
      <c r="V386" s="1"/>
      <c r="W386" s="1"/>
      <c r="X386" s="1"/>
      <c r="Y386" s="1"/>
      <c r="Z386" s="1"/>
      <c r="AA386" s="1"/>
      <c r="AC386" s="1"/>
      <c r="AD386" s="1"/>
      <c r="AE386" s="1"/>
      <c r="AF386" s="1"/>
      <c r="AG386" s="1"/>
      <c r="AH386" s="26"/>
      <c r="AI386" s="26"/>
      <c r="AJ386" s="26"/>
      <c r="AK386" s="26"/>
      <c r="AL386" s="26"/>
      <c r="AM386" s="26"/>
      <c r="AN386" s="26"/>
      <c r="AO386" s="26"/>
      <c r="AP386" s="26"/>
      <c r="AQ386" s="26"/>
      <c r="AR386" s="26"/>
      <c r="AS386" s="26"/>
      <c r="AT386" s="26"/>
      <c r="AU386" s="26"/>
      <c r="AV386" s="26"/>
      <c r="AW386" s="26"/>
      <c r="AX386" s="26"/>
      <c r="AY386" s="1"/>
      <c r="AZ386" s="26"/>
      <c r="BA386" s="26"/>
      <c r="BB386" s="26"/>
      <c r="BC386" s="26"/>
      <c r="BD386" s="26"/>
      <c r="BE386" s="26"/>
      <c r="BF386" s="26"/>
      <c r="BG386" s="26"/>
      <c r="BH386" s="26"/>
      <c r="BI386" s="26"/>
      <c r="BJ386" s="26"/>
      <c r="BK386" s="26"/>
      <c r="BL386" s="26"/>
      <c r="BM386" s="26"/>
      <c r="BN386" s="26"/>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96"/>
      <c r="CP386" s="14"/>
      <c r="CQ386" s="14"/>
      <c r="CR386" s="14"/>
      <c r="CS386" s="14"/>
      <c r="CT386" s="1"/>
      <c r="CU386" s="14"/>
      <c r="CV386" s="1"/>
      <c r="CW386" s="1"/>
      <c r="CX386" s="14"/>
      <c r="CY386" s="1"/>
      <c r="CZ386" s="1"/>
      <c r="DA386" s="1"/>
      <c r="DB386" s="1"/>
      <c r="DC386" s="1"/>
      <c r="DD386" s="1"/>
      <c r="DE386" s="1"/>
      <c r="DF386" s="1"/>
      <c r="DG386" s="1"/>
      <c r="DH386" s="1"/>
      <c r="DI386" s="1"/>
      <c r="DJ386" s="1"/>
      <c r="DK386" s="1"/>
      <c r="DL386" s="1"/>
      <c r="DM386" s="1"/>
      <c r="DN386" s="1"/>
      <c r="DO386" s="1"/>
      <c r="DP386" s="1"/>
      <c r="DQ386" s="1"/>
      <c r="DR386" s="1"/>
      <c r="DS386" s="1"/>
      <c r="DT386" s="1"/>
      <c r="DU386" s="14"/>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29"/>
    </row>
    <row r="387" spans="1:160" x14ac:dyDescent="0.25">
      <c r="A387" s="5"/>
      <c r="B387" s="1"/>
      <c r="C387" s="98"/>
      <c r="D387" s="98"/>
      <c r="E387" s="1"/>
      <c r="F387" s="22"/>
      <c r="G387" s="22"/>
      <c r="H387" s="22"/>
      <c r="I387" s="22"/>
      <c r="J387" s="22"/>
      <c r="K387" s="22"/>
      <c r="L387" s="22"/>
      <c r="M387" s="22"/>
      <c r="N387" s="22"/>
      <c r="O387" s="22"/>
      <c r="P387" s="22"/>
      <c r="Q387" s="22"/>
      <c r="R387" s="1"/>
      <c r="S387" s="1"/>
      <c r="T387" s="8"/>
      <c r="U387" s="1"/>
      <c r="V387" s="1"/>
      <c r="W387" s="1"/>
      <c r="X387" s="1"/>
      <c r="Y387" s="1"/>
      <c r="Z387" s="1"/>
      <c r="AA387" s="1"/>
      <c r="AC387" s="1"/>
      <c r="AD387" s="1"/>
      <c r="AE387" s="1"/>
      <c r="AF387" s="1"/>
      <c r="AG387" s="1"/>
      <c r="AH387" s="26"/>
      <c r="AI387" s="26"/>
      <c r="AJ387" s="26"/>
      <c r="AK387" s="26"/>
      <c r="AL387" s="26"/>
      <c r="AM387" s="26"/>
      <c r="AN387" s="26"/>
      <c r="AO387" s="26"/>
      <c r="AP387" s="26"/>
      <c r="AQ387" s="26"/>
      <c r="AR387" s="26"/>
      <c r="AS387" s="26"/>
      <c r="AT387" s="26"/>
      <c r="AU387" s="26"/>
      <c r="AV387" s="26"/>
      <c r="AW387" s="26"/>
      <c r="AX387" s="26"/>
      <c r="AY387" s="1"/>
      <c r="AZ387" s="26"/>
      <c r="BA387" s="26"/>
      <c r="BB387" s="26"/>
      <c r="BC387" s="26"/>
      <c r="BD387" s="26"/>
      <c r="BE387" s="26"/>
      <c r="BF387" s="26"/>
      <c r="BG387" s="26"/>
      <c r="BH387" s="26"/>
      <c r="BI387" s="26"/>
      <c r="BJ387" s="26"/>
      <c r="BK387" s="26"/>
      <c r="BL387" s="26"/>
      <c r="BM387" s="26"/>
      <c r="BN387" s="26"/>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96"/>
      <c r="CP387" s="14"/>
      <c r="CQ387" s="14"/>
      <c r="CR387" s="14"/>
      <c r="CS387" s="14"/>
      <c r="CT387" s="1"/>
      <c r="CU387" s="14"/>
      <c r="CV387" s="1"/>
      <c r="CW387" s="1"/>
      <c r="CX387" s="14"/>
      <c r="CY387" s="1"/>
      <c r="CZ387" s="1"/>
      <c r="DA387" s="1"/>
      <c r="DB387" s="1"/>
      <c r="DC387" s="1"/>
      <c r="DD387" s="1"/>
      <c r="DE387" s="1"/>
      <c r="DF387" s="1"/>
      <c r="DG387" s="1"/>
      <c r="DH387" s="1"/>
      <c r="DI387" s="1"/>
      <c r="DJ387" s="1"/>
      <c r="DK387" s="1"/>
      <c r="DL387" s="1"/>
      <c r="DM387" s="1"/>
      <c r="DN387" s="1"/>
      <c r="DO387" s="1"/>
      <c r="DP387" s="1"/>
      <c r="DQ387" s="1"/>
      <c r="DR387" s="1"/>
      <c r="DS387" s="1"/>
      <c r="DT387" s="1"/>
      <c r="DU387" s="14"/>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29"/>
    </row>
    <row r="388" spans="1:160" x14ac:dyDescent="0.25">
      <c r="A388" s="5"/>
      <c r="B388" s="1"/>
      <c r="C388" s="98"/>
      <c r="D388" s="98"/>
      <c r="E388" s="1"/>
      <c r="F388" s="22"/>
      <c r="G388" s="22"/>
      <c r="H388" s="22"/>
      <c r="I388" s="22"/>
      <c r="J388" s="22"/>
      <c r="K388" s="22"/>
      <c r="L388" s="22"/>
      <c r="M388" s="22"/>
      <c r="N388" s="22"/>
      <c r="O388" s="22"/>
      <c r="P388" s="22"/>
      <c r="Q388" s="22"/>
      <c r="R388" s="1"/>
      <c r="S388" s="1"/>
      <c r="T388" s="8"/>
      <c r="U388" s="1"/>
      <c r="V388" s="1"/>
      <c r="W388" s="1"/>
      <c r="X388" s="1"/>
      <c r="Y388" s="1"/>
      <c r="Z388" s="1"/>
      <c r="AA388" s="1"/>
      <c r="AC388" s="1"/>
      <c r="AD388" s="1"/>
      <c r="AE388" s="1"/>
      <c r="AF388" s="1"/>
      <c r="AG388" s="1"/>
      <c r="AH388" s="26"/>
      <c r="AI388" s="26"/>
      <c r="AJ388" s="26"/>
      <c r="AK388" s="26"/>
      <c r="AL388" s="26"/>
      <c r="AM388" s="26"/>
      <c r="AN388" s="26"/>
      <c r="AO388" s="26"/>
      <c r="AP388" s="26"/>
      <c r="AQ388" s="26"/>
      <c r="AR388" s="26"/>
      <c r="AS388" s="26"/>
      <c r="AT388" s="26"/>
      <c r="AU388" s="26"/>
      <c r="AV388" s="26"/>
      <c r="AW388" s="26"/>
      <c r="AX388" s="26"/>
      <c r="AY388" s="1"/>
      <c r="AZ388" s="26"/>
      <c r="BA388" s="26"/>
      <c r="BB388" s="26"/>
      <c r="BC388" s="26"/>
      <c r="BD388" s="26"/>
      <c r="BE388" s="26"/>
      <c r="BF388" s="26"/>
      <c r="BG388" s="26"/>
      <c r="BH388" s="26"/>
      <c r="BI388" s="26"/>
      <c r="BJ388" s="26"/>
      <c r="BK388" s="26"/>
      <c r="BL388" s="26"/>
      <c r="BM388" s="26"/>
      <c r="BN388" s="26"/>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96"/>
      <c r="CP388" s="14"/>
      <c r="CQ388" s="14"/>
      <c r="CR388" s="14"/>
      <c r="CS388" s="14"/>
      <c r="CT388" s="1"/>
      <c r="CU388" s="14"/>
      <c r="CV388" s="1"/>
      <c r="CW388" s="1"/>
      <c r="CX388" s="14"/>
      <c r="CY388" s="1"/>
      <c r="CZ388" s="1"/>
      <c r="DA388" s="1"/>
      <c r="DB388" s="1"/>
      <c r="DC388" s="1"/>
      <c r="DD388" s="1"/>
      <c r="DE388" s="1"/>
      <c r="DF388" s="1"/>
      <c r="DG388" s="1"/>
      <c r="DH388" s="1"/>
      <c r="DI388" s="1"/>
      <c r="DJ388" s="1"/>
      <c r="DK388" s="1"/>
      <c r="DL388" s="1"/>
      <c r="DM388" s="1"/>
      <c r="DN388" s="1"/>
      <c r="DO388" s="1"/>
      <c r="DP388" s="1"/>
      <c r="DQ388" s="1"/>
      <c r="DR388" s="1"/>
      <c r="DS388" s="1"/>
      <c r="DT388" s="1"/>
      <c r="DU388" s="14"/>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29"/>
    </row>
    <row r="389" spans="1:160" x14ac:dyDescent="0.25">
      <c r="A389" s="5"/>
      <c r="B389" s="1"/>
      <c r="C389" s="98"/>
      <c r="D389" s="98"/>
      <c r="E389" s="1"/>
      <c r="F389" s="22"/>
      <c r="G389" s="22"/>
      <c r="H389" s="22"/>
      <c r="I389" s="22"/>
      <c r="J389" s="22"/>
      <c r="K389" s="22"/>
      <c r="L389" s="22"/>
      <c r="M389" s="22"/>
      <c r="N389" s="22"/>
      <c r="O389" s="22"/>
      <c r="P389" s="22"/>
      <c r="Q389" s="22"/>
      <c r="R389" s="1"/>
      <c r="S389" s="1"/>
      <c r="T389" s="8"/>
      <c r="U389" s="1"/>
      <c r="V389" s="1"/>
      <c r="W389" s="1"/>
      <c r="X389" s="1"/>
      <c r="Y389" s="1"/>
      <c r="Z389" s="1"/>
      <c r="AA389" s="1"/>
      <c r="AC389" s="1"/>
      <c r="AD389" s="1"/>
      <c r="AE389" s="1"/>
      <c r="AF389" s="1"/>
      <c r="AG389" s="1"/>
      <c r="AH389" s="26"/>
      <c r="AI389" s="26"/>
      <c r="AJ389" s="26"/>
      <c r="AK389" s="26"/>
      <c r="AL389" s="26"/>
      <c r="AM389" s="26"/>
      <c r="AN389" s="26"/>
      <c r="AO389" s="26"/>
      <c r="AP389" s="26"/>
      <c r="AQ389" s="26"/>
      <c r="AR389" s="26"/>
      <c r="AS389" s="26"/>
      <c r="AT389" s="26"/>
      <c r="AU389" s="26"/>
      <c r="AV389" s="26"/>
      <c r="AW389" s="26"/>
      <c r="AX389" s="26"/>
      <c r="AY389" s="1"/>
      <c r="AZ389" s="26"/>
      <c r="BA389" s="26"/>
      <c r="BB389" s="26"/>
      <c r="BC389" s="26"/>
      <c r="BD389" s="26"/>
      <c r="BE389" s="26"/>
      <c r="BF389" s="26"/>
      <c r="BG389" s="26"/>
      <c r="BH389" s="26"/>
      <c r="BI389" s="26"/>
      <c r="BJ389" s="26"/>
      <c r="BK389" s="26"/>
      <c r="BL389" s="26"/>
      <c r="BM389" s="26"/>
      <c r="BN389" s="26"/>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96"/>
      <c r="CP389" s="14"/>
      <c r="CQ389" s="14"/>
      <c r="CR389" s="14"/>
      <c r="CS389" s="14"/>
      <c r="CT389" s="1"/>
      <c r="CU389" s="14"/>
      <c r="CV389" s="1"/>
      <c r="CW389" s="1"/>
      <c r="CX389" s="14"/>
      <c r="CY389" s="1"/>
      <c r="CZ389" s="1"/>
      <c r="DA389" s="1"/>
      <c r="DB389" s="1"/>
      <c r="DC389" s="1"/>
      <c r="DD389" s="1"/>
      <c r="DE389" s="1"/>
      <c r="DF389" s="1"/>
      <c r="DG389" s="1"/>
      <c r="DH389" s="1"/>
      <c r="DI389" s="1"/>
      <c r="DJ389" s="1"/>
      <c r="DK389" s="1"/>
      <c r="DL389" s="1"/>
      <c r="DM389" s="1"/>
      <c r="DN389" s="1"/>
      <c r="DO389" s="1"/>
      <c r="DP389" s="1"/>
      <c r="DQ389" s="1"/>
      <c r="DR389" s="1"/>
      <c r="DS389" s="1"/>
      <c r="DT389" s="1"/>
      <c r="DU389" s="14"/>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29"/>
    </row>
    <row r="390" spans="1:160" x14ac:dyDescent="0.25">
      <c r="A390" s="5"/>
      <c r="B390" s="1"/>
      <c r="C390" s="98"/>
      <c r="D390" s="98"/>
      <c r="E390" s="1"/>
      <c r="F390" s="22"/>
      <c r="G390" s="22"/>
      <c r="H390" s="22"/>
      <c r="I390" s="22"/>
      <c r="J390" s="22"/>
      <c r="K390" s="22"/>
      <c r="L390" s="22"/>
      <c r="M390" s="22"/>
      <c r="N390" s="22"/>
      <c r="O390" s="22"/>
      <c r="P390" s="22"/>
      <c r="Q390" s="22"/>
      <c r="R390" s="1"/>
      <c r="S390" s="1"/>
      <c r="T390" s="8"/>
      <c r="U390" s="1"/>
      <c r="V390" s="1"/>
      <c r="W390" s="1"/>
      <c r="X390" s="1"/>
      <c r="Y390" s="1"/>
      <c r="Z390" s="1"/>
      <c r="AA390" s="1"/>
      <c r="AC390" s="1"/>
      <c r="AD390" s="1"/>
      <c r="AE390" s="1"/>
      <c r="AF390" s="1"/>
      <c r="AG390" s="1"/>
      <c r="AH390" s="26"/>
      <c r="AI390" s="26"/>
      <c r="AJ390" s="26"/>
      <c r="AK390" s="26"/>
      <c r="AL390" s="26"/>
      <c r="AM390" s="26"/>
      <c r="AN390" s="26"/>
      <c r="AO390" s="26"/>
      <c r="AP390" s="26"/>
      <c r="AQ390" s="26"/>
      <c r="AR390" s="26"/>
      <c r="AS390" s="26"/>
      <c r="AT390" s="26"/>
      <c r="AU390" s="26"/>
      <c r="AV390" s="26"/>
      <c r="AW390" s="26"/>
      <c r="AX390" s="26"/>
      <c r="AY390" s="1"/>
      <c r="AZ390" s="26"/>
      <c r="BA390" s="26"/>
      <c r="BB390" s="26"/>
      <c r="BC390" s="26"/>
      <c r="BD390" s="26"/>
      <c r="BE390" s="26"/>
      <c r="BF390" s="26"/>
      <c r="BG390" s="26"/>
      <c r="BH390" s="26"/>
      <c r="BI390" s="26"/>
      <c r="BJ390" s="26"/>
      <c r="BK390" s="26"/>
      <c r="BL390" s="26"/>
      <c r="BM390" s="26"/>
      <c r="BN390" s="26"/>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96"/>
      <c r="CP390" s="14"/>
      <c r="CQ390" s="14"/>
      <c r="CR390" s="14"/>
      <c r="CS390" s="14"/>
      <c r="CT390" s="1"/>
      <c r="CU390" s="14"/>
      <c r="CV390" s="1"/>
      <c r="CW390" s="1"/>
      <c r="CX390" s="14"/>
      <c r="CY390" s="1"/>
      <c r="CZ390" s="1"/>
      <c r="DA390" s="1"/>
      <c r="DB390" s="1"/>
      <c r="DC390" s="1"/>
      <c r="DD390" s="1"/>
      <c r="DE390" s="1"/>
      <c r="DF390" s="1"/>
      <c r="DG390" s="1"/>
      <c r="DH390" s="1"/>
      <c r="DI390" s="1"/>
      <c r="DJ390" s="1"/>
      <c r="DK390" s="1"/>
      <c r="DL390" s="1"/>
      <c r="DM390" s="1"/>
      <c r="DN390" s="1"/>
      <c r="DO390" s="1"/>
      <c r="DP390" s="1"/>
      <c r="DQ390" s="1"/>
      <c r="DR390" s="1"/>
      <c r="DS390" s="1"/>
      <c r="DT390" s="1"/>
      <c r="DU390" s="14"/>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29"/>
    </row>
    <row r="391" spans="1:160" x14ac:dyDescent="0.25">
      <c r="A391" s="5"/>
      <c r="B391" s="1"/>
      <c r="C391" s="98"/>
      <c r="D391" s="98"/>
      <c r="E391" s="1"/>
      <c r="F391" s="22"/>
      <c r="G391" s="22"/>
      <c r="H391" s="22"/>
      <c r="I391" s="22"/>
      <c r="J391" s="22"/>
      <c r="K391" s="22"/>
      <c r="L391" s="22"/>
      <c r="M391" s="22"/>
      <c r="N391" s="22"/>
      <c r="O391" s="22"/>
      <c r="P391" s="22"/>
      <c r="Q391" s="22"/>
      <c r="R391" s="1"/>
      <c r="S391" s="1"/>
      <c r="T391" s="8"/>
      <c r="U391" s="1"/>
      <c r="V391" s="1"/>
      <c r="W391" s="1"/>
      <c r="X391" s="1"/>
      <c r="Y391" s="1"/>
      <c r="Z391" s="1"/>
      <c r="AA391" s="1"/>
      <c r="AC391" s="1"/>
      <c r="AD391" s="1"/>
      <c r="AE391" s="1"/>
      <c r="AF391" s="1"/>
      <c r="AG391" s="1"/>
      <c r="AH391" s="26"/>
      <c r="AI391" s="26"/>
      <c r="AJ391" s="26"/>
      <c r="AK391" s="26"/>
      <c r="AL391" s="26"/>
      <c r="AM391" s="26"/>
      <c r="AN391" s="26"/>
      <c r="AO391" s="26"/>
      <c r="AP391" s="26"/>
      <c r="AQ391" s="26"/>
      <c r="AR391" s="26"/>
      <c r="AS391" s="26"/>
      <c r="AT391" s="26"/>
      <c r="AU391" s="26"/>
      <c r="AV391" s="26"/>
      <c r="AW391" s="26"/>
      <c r="AX391" s="26"/>
      <c r="AY391" s="1"/>
      <c r="AZ391" s="26"/>
      <c r="BA391" s="26"/>
      <c r="BB391" s="26"/>
      <c r="BC391" s="26"/>
      <c r="BD391" s="26"/>
      <c r="BE391" s="26"/>
      <c r="BF391" s="26"/>
      <c r="BG391" s="26"/>
      <c r="BH391" s="26"/>
      <c r="BI391" s="26"/>
      <c r="BJ391" s="26"/>
      <c r="BK391" s="26"/>
      <c r="BL391" s="26"/>
      <c r="BM391" s="26"/>
      <c r="BN391" s="26"/>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96"/>
      <c r="CP391" s="14"/>
      <c r="CQ391" s="14"/>
      <c r="CR391" s="14"/>
      <c r="CS391" s="14"/>
      <c r="CT391" s="1"/>
      <c r="CU391" s="14"/>
      <c r="CV391" s="1"/>
      <c r="CW391" s="1"/>
      <c r="CX391" s="14"/>
      <c r="CY391" s="1"/>
      <c r="CZ391" s="1"/>
      <c r="DA391" s="1"/>
      <c r="DB391" s="1"/>
      <c r="DC391" s="1"/>
      <c r="DD391" s="1"/>
      <c r="DE391" s="1"/>
      <c r="DF391" s="1"/>
      <c r="DG391" s="1"/>
      <c r="DH391" s="1"/>
      <c r="DI391" s="1"/>
      <c r="DJ391" s="1"/>
      <c r="DK391" s="1"/>
      <c r="DL391" s="1"/>
      <c r="DM391" s="1"/>
      <c r="DN391" s="1"/>
      <c r="DO391" s="1"/>
      <c r="DP391" s="1"/>
      <c r="DQ391" s="1"/>
      <c r="DR391" s="1"/>
      <c r="DS391" s="1"/>
      <c r="DT391" s="1"/>
      <c r="DU391" s="14"/>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29"/>
    </row>
    <row r="392" spans="1:160" x14ac:dyDescent="0.25">
      <c r="A392" s="5"/>
      <c r="B392" s="1"/>
      <c r="C392" s="98"/>
      <c r="D392" s="98"/>
      <c r="E392" s="1"/>
      <c r="F392" s="22"/>
      <c r="G392" s="22"/>
      <c r="H392" s="22"/>
      <c r="I392" s="22"/>
      <c r="J392" s="22"/>
      <c r="K392" s="22"/>
      <c r="L392" s="22"/>
      <c r="M392" s="22"/>
      <c r="N392" s="22"/>
      <c r="O392" s="22"/>
      <c r="P392" s="22"/>
      <c r="Q392" s="22"/>
      <c r="R392" s="1"/>
      <c r="S392" s="1"/>
      <c r="T392" s="8"/>
      <c r="U392" s="1"/>
      <c r="V392" s="1"/>
      <c r="W392" s="1"/>
      <c r="X392" s="1"/>
      <c r="Y392" s="1"/>
      <c r="Z392" s="1"/>
      <c r="AA392" s="1"/>
      <c r="AC392" s="1"/>
      <c r="AD392" s="1"/>
      <c r="AE392" s="1"/>
      <c r="AF392" s="1"/>
      <c r="AG392" s="1"/>
      <c r="AH392" s="26"/>
      <c r="AI392" s="26"/>
      <c r="AJ392" s="26"/>
      <c r="AK392" s="26"/>
      <c r="AL392" s="26"/>
      <c r="AM392" s="26"/>
      <c r="AN392" s="26"/>
      <c r="AO392" s="26"/>
      <c r="AP392" s="26"/>
      <c r="AQ392" s="26"/>
      <c r="AR392" s="26"/>
      <c r="AS392" s="26"/>
      <c r="AT392" s="26"/>
      <c r="AU392" s="26"/>
      <c r="AV392" s="26"/>
      <c r="AW392" s="26"/>
      <c r="AX392" s="26"/>
      <c r="AY392" s="1"/>
      <c r="AZ392" s="26"/>
      <c r="BA392" s="26"/>
      <c r="BB392" s="26"/>
      <c r="BC392" s="26"/>
      <c r="BD392" s="26"/>
      <c r="BE392" s="26"/>
      <c r="BF392" s="26"/>
      <c r="BG392" s="26"/>
      <c r="BH392" s="26"/>
      <c r="BI392" s="26"/>
      <c r="BJ392" s="26"/>
      <c r="BK392" s="26"/>
      <c r="BL392" s="26"/>
      <c r="BM392" s="26"/>
      <c r="BN392" s="26"/>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96"/>
      <c r="CP392" s="14"/>
      <c r="CQ392" s="14"/>
      <c r="CR392" s="14"/>
      <c r="CS392" s="14"/>
      <c r="CT392" s="1"/>
      <c r="CU392" s="14"/>
      <c r="CV392" s="1"/>
      <c r="CW392" s="1"/>
      <c r="CX392" s="14"/>
      <c r="CY392" s="1"/>
      <c r="CZ392" s="1"/>
      <c r="DA392" s="1"/>
      <c r="DB392" s="1"/>
      <c r="DC392" s="1"/>
      <c r="DD392" s="1"/>
      <c r="DE392" s="1"/>
      <c r="DF392" s="1"/>
      <c r="DG392" s="1"/>
      <c r="DH392" s="1"/>
      <c r="DI392" s="1"/>
      <c r="DJ392" s="1"/>
      <c r="DK392" s="1"/>
      <c r="DL392" s="1"/>
      <c r="DM392" s="1"/>
      <c r="DN392" s="1"/>
      <c r="DO392" s="1"/>
      <c r="DP392" s="1"/>
      <c r="DQ392" s="1"/>
      <c r="DR392" s="1"/>
      <c r="DS392" s="1"/>
      <c r="DT392" s="1"/>
      <c r="DU392" s="14"/>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29"/>
    </row>
    <row r="393" spans="1:160" x14ac:dyDescent="0.25">
      <c r="A393" s="5"/>
      <c r="B393" s="1"/>
      <c r="C393" s="98"/>
      <c r="D393" s="98"/>
      <c r="E393" s="1"/>
      <c r="F393" s="22"/>
      <c r="G393" s="22"/>
      <c r="H393" s="22"/>
      <c r="I393" s="22"/>
      <c r="J393" s="22"/>
      <c r="K393" s="22"/>
      <c r="L393" s="22"/>
      <c r="M393" s="22"/>
      <c r="N393" s="22"/>
      <c r="O393" s="22"/>
      <c r="P393" s="22"/>
      <c r="Q393" s="22"/>
      <c r="R393" s="1"/>
      <c r="S393" s="1"/>
      <c r="T393" s="8"/>
      <c r="U393" s="1"/>
      <c r="V393" s="1"/>
      <c r="W393" s="1"/>
      <c r="X393" s="1"/>
      <c r="Y393" s="1"/>
      <c r="Z393" s="1"/>
      <c r="AA393" s="1"/>
      <c r="AC393" s="1"/>
      <c r="AD393" s="1"/>
      <c r="AE393" s="1"/>
      <c r="AF393" s="1"/>
      <c r="AG393" s="1"/>
      <c r="AH393" s="26"/>
      <c r="AI393" s="26"/>
      <c r="AJ393" s="26"/>
      <c r="AK393" s="26"/>
      <c r="AL393" s="26"/>
      <c r="AM393" s="26"/>
      <c r="AN393" s="26"/>
      <c r="AO393" s="26"/>
      <c r="AP393" s="26"/>
      <c r="AQ393" s="26"/>
      <c r="AR393" s="26"/>
      <c r="AS393" s="26"/>
      <c r="AT393" s="26"/>
      <c r="AU393" s="26"/>
      <c r="AV393" s="26"/>
      <c r="AW393" s="26"/>
      <c r="AX393" s="26"/>
      <c r="AY393" s="1"/>
      <c r="AZ393" s="26"/>
      <c r="BA393" s="26"/>
      <c r="BB393" s="26"/>
      <c r="BC393" s="26"/>
      <c r="BD393" s="26"/>
      <c r="BE393" s="26"/>
      <c r="BF393" s="26"/>
      <c r="BG393" s="26"/>
      <c r="BH393" s="26"/>
      <c r="BI393" s="26"/>
      <c r="BJ393" s="26"/>
      <c r="BK393" s="26"/>
      <c r="BL393" s="26"/>
      <c r="BM393" s="26"/>
      <c r="BN393" s="26"/>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96"/>
      <c r="CP393" s="14"/>
      <c r="CQ393" s="14"/>
      <c r="CR393" s="14"/>
      <c r="CS393" s="14"/>
      <c r="CT393" s="1"/>
      <c r="CU393" s="14"/>
      <c r="CV393" s="1"/>
      <c r="CW393" s="1"/>
      <c r="CX393" s="14"/>
      <c r="CY393" s="1"/>
      <c r="CZ393" s="1"/>
      <c r="DA393" s="1"/>
      <c r="DB393" s="1"/>
      <c r="DC393" s="1"/>
      <c r="DD393" s="1"/>
      <c r="DE393" s="1"/>
      <c r="DF393" s="1"/>
      <c r="DG393" s="1"/>
      <c r="DH393" s="1"/>
      <c r="DI393" s="1"/>
      <c r="DJ393" s="1"/>
      <c r="DK393" s="1"/>
      <c r="DL393" s="1"/>
      <c r="DM393" s="1"/>
      <c r="DN393" s="1"/>
      <c r="DO393" s="1"/>
      <c r="DP393" s="1"/>
      <c r="DQ393" s="1"/>
      <c r="DR393" s="1"/>
      <c r="DS393" s="1"/>
      <c r="DT393" s="1"/>
      <c r="DU393" s="14"/>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29"/>
    </row>
    <row r="394" spans="1:160" x14ac:dyDescent="0.25">
      <c r="A394" s="5"/>
      <c r="B394" s="1"/>
      <c r="C394" s="98"/>
      <c r="D394" s="98"/>
      <c r="E394" s="1"/>
      <c r="F394" s="22"/>
      <c r="G394" s="22"/>
      <c r="H394" s="22"/>
      <c r="I394" s="22"/>
      <c r="J394" s="22"/>
      <c r="K394" s="22"/>
      <c r="L394" s="22"/>
      <c r="M394" s="22"/>
      <c r="N394" s="22"/>
      <c r="O394" s="22"/>
      <c r="P394" s="22"/>
      <c r="Q394" s="22"/>
      <c r="R394" s="1"/>
      <c r="S394" s="1"/>
      <c r="T394" s="8"/>
      <c r="U394" s="1"/>
      <c r="V394" s="1"/>
      <c r="W394" s="1"/>
      <c r="X394" s="1"/>
      <c r="Y394" s="1"/>
      <c r="Z394" s="1"/>
      <c r="AA394" s="1"/>
      <c r="AC394" s="1"/>
      <c r="AD394" s="1"/>
      <c r="AE394" s="1"/>
      <c r="AF394" s="1"/>
      <c r="AG394" s="1"/>
      <c r="AH394" s="26"/>
      <c r="AI394" s="26"/>
      <c r="AJ394" s="26"/>
      <c r="AK394" s="26"/>
      <c r="AL394" s="26"/>
      <c r="AM394" s="26"/>
      <c r="AN394" s="26"/>
      <c r="AO394" s="26"/>
      <c r="AP394" s="26"/>
      <c r="AQ394" s="26"/>
      <c r="AR394" s="26"/>
      <c r="AS394" s="26"/>
      <c r="AT394" s="26"/>
      <c r="AU394" s="26"/>
      <c r="AV394" s="26"/>
      <c r="AW394" s="26"/>
      <c r="AX394" s="26"/>
      <c r="AY394" s="1"/>
      <c r="AZ394" s="26"/>
      <c r="BA394" s="26"/>
      <c r="BB394" s="26"/>
      <c r="BC394" s="26"/>
      <c r="BD394" s="26"/>
      <c r="BE394" s="26"/>
      <c r="BF394" s="26"/>
      <c r="BG394" s="26"/>
      <c r="BH394" s="26"/>
      <c r="BI394" s="26"/>
      <c r="BJ394" s="26"/>
      <c r="BK394" s="26"/>
      <c r="BL394" s="26"/>
      <c r="BM394" s="26"/>
      <c r="BN394" s="26"/>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96"/>
      <c r="CP394" s="14"/>
      <c r="CQ394" s="14"/>
      <c r="CR394" s="14"/>
      <c r="CS394" s="14"/>
      <c r="CT394" s="1"/>
      <c r="CU394" s="14"/>
      <c r="CV394" s="1"/>
      <c r="CW394" s="1"/>
      <c r="CX394" s="14"/>
      <c r="CY394" s="1"/>
      <c r="CZ394" s="1"/>
      <c r="DA394" s="1"/>
      <c r="DB394" s="1"/>
      <c r="DC394" s="1"/>
      <c r="DD394" s="1"/>
      <c r="DE394" s="1"/>
      <c r="DF394" s="1"/>
      <c r="DG394" s="1"/>
      <c r="DH394" s="1"/>
      <c r="DI394" s="1"/>
      <c r="DJ394" s="1"/>
      <c r="DK394" s="1"/>
      <c r="DL394" s="1"/>
      <c r="DM394" s="1"/>
      <c r="DN394" s="1"/>
      <c r="DO394" s="1"/>
      <c r="DP394" s="1"/>
      <c r="DQ394" s="1"/>
      <c r="DR394" s="1"/>
      <c r="DS394" s="1"/>
      <c r="DT394" s="1"/>
      <c r="DU394" s="14"/>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29"/>
    </row>
    <row r="395" spans="1:160" x14ac:dyDescent="0.25">
      <c r="A395" s="5"/>
      <c r="B395" s="1"/>
      <c r="C395" s="98"/>
      <c r="D395" s="98"/>
      <c r="E395" s="1"/>
      <c r="F395" s="22"/>
      <c r="G395" s="22"/>
      <c r="H395" s="22"/>
      <c r="I395" s="22"/>
      <c r="J395" s="22"/>
      <c r="K395" s="22"/>
      <c r="L395" s="22"/>
      <c r="M395" s="22"/>
      <c r="N395" s="22"/>
      <c r="O395" s="22"/>
      <c r="P395" s="22"/>
      <c r="Q395" s="22"/>
      <c r="R395" s="1"/>
      <c r="S395" s="1"/>
      <c r="T395" s="8"/>
      <c r="U395" s="1"/>
      <c r="V395" s="1"/>
      <c r="W395" s="1"/>
      <c r="X395" s="1"/>
      <c r="Y395" s="1"/>
      <c r="Z395" s="1"/>
      <c r="AA395" s="1"/>
      <c r="AC395" s="1"/>
      <c r="AD395" s="1"/>
      <c r="AE395" s="1"/>
      <c r="AF395" s="1"/>
      <c r="AG395" s="1"/>
      <c r="AH395" s="26"/>
      <c r="AI395" s="26"/>
      <c r="AJ395" s="26"/>
      <c r="AK395" s="26"/>
      <c r="AL395" s="26"/>
      <c r="AM395" s="26"/>
      <c r="AN395" s="26"/>
      <c r="AO395" s="26"/>
      <c r="AP395" s="26"/>
      <c r="AQ395" s="26"/>
      <c r="AR395" s="26"/>
      <c r="AS395" s="26"/>
      <c r="AT395" s="26"/>
      <c r="AU395" s="26"/>
      <c r="AV395" s="26"/>
      <c r="AW395" s="26"/>
      <c r="AX395" s="26"/>
      <c r="AY395" s="1"/>
      <c r="AZ395" s="26"/>
      <c r="BA395" s="26"/>
      <c r="BB395" s="26"/>
      <c r="BC395" s="26"/>
      <c r="BD395" s="26"/>
      <c r="BE395" s="26"/>
      <c r="BF395" s="26"/>
      <c r="BG395" s="26"/>
      <c r="BH395" s="26"/>
      <c r="BI395" s="26"/>
      <c r="BJ395" s="26"/>
      <c r="BK395" s="26"/>
      <c r="BL395" s="26"/>
      <c r="BM395" s="26"/>
      <c r="BN395" s="26"/>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96"/>
      <c r="CP395" s="14"/>
      <c r="CQ395" s="14"/>
      <c r="CR395" s="14"/>
      <c r="CS395" s="14"/>
      <c r="CT395" s="1"/>
      <c r="CU395" s="14"/>
      <c r="CV395" s="1"/>
      <c r="CW395" s="1"/>
      <c r="CX395" s="14"/>
      <c r="CY395" s="1"/>
      <c r="CZ395" s="1"/>
      <c r="DA395" s="1"/>
      <c r="DB395" s="1"/>
      <c r="DC395" s="1"/>
      <c r="DD395" s="1"/>
      <c r="DE395" s="1"/>
      <c r="DF395" s="1"/>
      <c r="DG395" s="1"/>
      <c r="DH395" s="1"/>
      <c r="DI395" s="1"/>
      <c r="DJ395" s="1"/>
      <c r="DK395" s="1"/>
      <c r="DL395" s="1"/>
      <c r="DM395" s="1"/>
      <c r="DN395" s="1"/>
      <c r="DO395" s="1"/>
      <c r="DP395" s="1"/>
      <c r="DQ395" s="1"/>
      <c r="DR395" s="1"/>
      <c r="DS395" s="1"/>
      <c r="DT395" s="1"/>
      <c r="DU395" s="14"/>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29"/>
    </row>
    <row r="396" spans="1:160" x14ac:dyDescent="0.25">
      <c r="A396" s="5"/>
      <c r="B396" s="1"/>
      <c r="C396" s="98"/>
      <c r="D396" s="98"/>
      <c r="E396" s="1"/>
      <c r="F396" s="22"/>
      <c r="G396" s="22"/>
      <c r="H396" s="22"/>
      <c r="I396" s="22"/>
      <c r="J396" s="22"/>
      <c r="K396" s="22"/>
      <c r="L396" s="22"/>
      <c r="M396" s="22"/>
      <c r="N396" s="22"/>
      <c r="O396" s="22"/>
      <c r="P396" s="22"/>
      <c r="Q396" s="22"/>
      <c r="R396" s="1"/>
      <c r="S396" s="1"/>
      <c r="T396" s="8"/>
      <c r="U396" s="1"/>
      <c r="V396" s="1"/>
      <c r="W396" s="1"/>
      <c r="X396" s="1"/>
      <c r="Y396" s="1"/>
      <c r="Z396" s="1"/>
      <c r="AA396" s="1"/>
      <c r="AC396" s="1"/>
      <c r="AD396" s="1"/>
      <c r="AE396" s="1"/>
      <c r="AF396" s="1"/>
      <c r="AG396" s="1"/>
      <c r="AH396" s="26"/>
      <c r="AI396" s="26"/>
      <c r="AJ396" s="26"/>
      <c r="AK396" s="26"/>
      <c r="AL396" s="26"/>
      <c r="AM396" s="26"/>
      <c r="AN396" s="26"/>
      <c r="AO396" s="26"/>
      <c r="AP396" s="26"/>
      <c r="AQ396" s="26"/>
      <c r="AR396" s="26"/>
      <c r="AS396" s="26"/>
      <c r="AT396" s="26"/>
      <c r="AU396" s="26"/>
      <c r="AV396" s="26"/>
      <c r="AW396" s="26"/>
      <c r="AX396" s="26"/>
      <c r="AY396" s="1"/>
      <c r="AZ396" s="26"/>
      <c r="BA396" s="26"/>
      <c r="BB396" s="26"/>
      <c r="BC396" s="26"/>
      <c r="BD396" s="26"/>
      <c r="BE396" s="26"/>
      <c r="BF396" s="26"/>
      <c r="BG396" s="26"/>
      <c r="BH396" s="26"/>
      <c r="BI396" s="26"/>
      <c r="BJ396" s="26"/>
      <c r="BK396" s="26"/>
      <c r="BL396" s="26"/>
      <c r="BM396" s="26"/>
      <c r="BN396" s="26"/>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96"/>
      <c r="CP396" s="14"/>
      <c r="CQ396" s="14"/>
      <c r="CR396" s="14"/>
      <c r="CS396" s="14"/>
      <c r="CT396" s="1"/>
      <c r="CU396" s="14"/>
      <c r="CV396" s="1"/>
      <c r="CW396" s="1"/>
      <c r="CX396" s="14"/>
      <c r="CY396" s="1"/>
      <c r="CZ396" s="1"/>
      <c r="DA396" s="1"/>
      <c r="DB396" s="1"/>
      <c r="DC396" s="1"/>
      <c r="DD396" s="1"/>
      <c r="DE396" s="1"/>
      <c r="DF396" s="1"/>
      <c r="DG396" s="1"/>
      <c r="DH396" s="1"/>
      <c r="DI396" s="1"/>
      <c r="DJ396" s="1"/>
      <c r="DK396" s="1"/>
      <c r="DL396" s="1"/>
      <c r="DM396" s="1"/>
      <c r="DN396" s="1"/>
      <c r="DO396" s="1"/>
      <c r="DP396" s="1"/>
      <c r="DQ396" s="1"/>
      <c r="DR396" s="1"/>
      <c r="DS396" s="1"/>
      <c r="DT396" s="1"/>
      <c r="DU396" s="14"/>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29"/>
    </row>
    <row r="397" spans="1:160" x14ac:dyDescent="0.25">
      <c r="A397" s="5"/>
      <c r="B397" s="1"/>
      <c r="C397" s="98"/>
      <c r="D397" s="98"/>
      <c r="E397" s="1"/>
      <c r="F397" s="22"/>
      <c r="G397" s="22"/>
      <c r="H397" s="22"/>
      <c r="I397" s="22"/>
      <c r="J397" s="22"/>
      <c r="K397" s="22"/>
      <c r="L397" s="22"/>
      <c r="M397" s="22"/>
      <c r="N397" s="22"/>
      <c r="O397" s="22"/>
      <c r="P397" s="22"/>
      <c r="Q397" s="22"/>
      <c r="R397" s="1"/>
      <c r="S397" s="1"/>
      <c r="T397" s="8"/>
      <c r="U397" s="1"/>
      <c r="V397" s="1"/>
      <c r="W397" s="1"/>
      <c r="X397" s="1"/>
      <c r="Y397" s="1"/>
      <c r="Z397" s="1"/>
      <c r="AA397" s="1"/>
      <c r="AC397" s="1"/>
      <c r="AD397" s="1"/>
      <c r="AE397" s="1"/>
      <c r="AF397" s="1"/>
      <c r="AG397" s="1"/>
      <c r="AH397" s="26"/>
      <c r="AI397" s="26"/>
      <c r="AJ397" s="26"/>
      <c r="AK397" s="26"/>
      <c r="AL397" s="26"/>
      <c r="AM397" s="26"/>
      <c r="AN397" s="26"/>
      <c r="AO397" s="26"/>
      <c r="AP397" s="26"/>
      <c r="AQ397" s="26"/>
      <c r="AR397" s="26"/>
      <c r="AS397" s="26"/>
      <c r="AT397" s="26"/>
      <c r="AU397" s="26"/>
      <c r="AV397" s="26"/>
      <c r="AW397" s="26"/>
      <c r="AX397" s="26"/>
      <c r="AY397" s="1"/>
      <c r="AZ397" s="26"/>
      <c r="BA397" s="26"/>
      <c r="BB397" s="26"/>
      <c r="BC397" s="26"/>
      <c r="BD397" s="26"/>
      <c r="BE397" s="26"/>
      <c r="BF397" s="26"/>
      <c r="BG397" s="26"/>
      <c r="BH397" s="26"/>
      <c r="BI397" s="26"/>
      <c r="BJ397" s="26"/>
      <c r="BK397" s="26"/>
      <c r="BL397" s="26"/>
      <c r="BM397" s="26"/>
      <c r="BN397" s="26"/>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96"/>
      <c r="CP397" s="14"/>
      <c r="CQ397" s="14"/>
      <c r="CR397" s="14"/>
      <c r="CS397" s="14"/>
      <c r="CT397" s="1"/>
      <c r="CU397" s="14"/>
      <c r="CV397" s="1"/>
      <c r="CW397" s="1"/>
      <c r="CX397" s="14"/>
      <c r="CY397" s="1"/>
      <c r="CZ397" s="1"/>
      <c r="DA397" s="1"/>
      <c r="DB397" s="1"/>
      <c r="DC397" s="1"/>
      <c r="DD397" s="1"/>
      <c r="DE397" s="1"/>
      <c r="DF397" s="1"/>
      <c r="DG397" s="1"/>
      <c r="DH397" s="1"/>
      <c r="DI397" s="1"/>
      <c r="DJ397" s="1"/>
      <c r="DK397" s="1"/>
      <c r="DL397" s="1"/>
      <c r="DM397" s="1"/>
      <c r="DN397" s="1"/>
      <c r="DO397" s="1"/>
      <c r="DP397" s="1"/>
      <c r="DQ397" s="1"/>
      <c r="DR397" s="1"/>
      <c r="DS397" s="1"/>
      <c r="DT397" s="1"/>
      <c r="DU397" s="14"/>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29"/>
    </row>
    <row r="398" spans="1:160" x14ac:dyDescent="0.25">
      <c r="A398" s="5"/>
      <c r="B398" s="1"/>
      <c r="C398" s="98"/>
      <c r="D398" s="98"/>
      <c r="E398" s="1"/>
      <c r="F398" s="22"/>
      <c r="G398" s="22"/>
      <c r="H398" s="22"/>
      <c r="I398" s="22"/>
      <c r="J398" s="22"/>
      <c r="K398" s="22"/>
      <c r="L398" s="22"/>
      <c r="M398" s="22"/>
      <c r="N398" s="22"/>
      <c r="O398" s="22"/>
      <c r="P398" s="22"/>
      <c r="Q398" s="22"/>
      <c r="R398" s="1"/>
      <c r="S398" s="1"/>
      <c r="T398" s="8"/>
      <c r="U398" s="1"/>
      <c r="V398" s="1"/>
      <c r="W398" s="1"/>
      <c r="X398" s="1"/>
      <c r="Y398" s="1"/>
      <c r="Z398" s="1"/>
      <c r="AA398" s="1"/>
      <c r="AC398" s="1"/>
      <c r="AD398" s="1"/>
      <c r="AE398" s="1"/>
      <c r="AF398" s="1"/>
      <c r="AG398" s="1"/>
      <c r="AH398" s="26"/>
      <c r="AI398" s="26"/>
      <c r="AJ398" s="26"/>
      <c r="AK398" s="26"/>
      <c r="AL398" s="26"/>
      <c r="AM398" s="26"/>
      <c r="AN398" s="26"/>
      <c r="AO398" s="26"/>
      <c r="AP398" s="26"/>
      <c r="AQ398" s="26"/>
      <c r="AR398" s="26"/>
      <c r="AS398" s="26"/>
      <c r="AT398" s="26"/>
      <c r="AU398" s="26"/>
      <c r="AV398" s="26"/>
      <c r="AW398" s="26"/>
      <c r="AX398" s="26"/>
      <c r="AY398" s="1"/>
      <c r="AZ398" s="26"/>
      <c r="BA398" s="26"/>
      <c r="BB398" s="26"/>
      <c r="BC398" s="26"/>
      <c r="BD398" s="26"/>
      <c r="BE398" s="26"/>
      <c r="BF398" s="26"/>
      <c r="BG398" s="26"/>
      <c r="BH398" s="26"/>
      <c r="BI398" s="26"/>
      <c r="BJ398" s="26"/>
      <c r="BK398" s="26"/>
      <c r="BL398" s="26"/>
      <c r="BM398" s="26"/>
      <c r="BN398" s="26"/>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96"/>
      <c r="CP398" s="14"/>
      <c r="CQ398" s="14"/>
      <c r="CR398" s="14"/>
      <c r="CS398" s="14"/>
      <c r="CT398" s="1"/>
      <c r="CU398" s="14"/>
      <c r="CV398" s="1"/>
      <c r="CW398" s="1"/>
      <c r="CX398" s="14"/>
      <c r="CY398" s="1"/>
      <c r="CZ398" s="1"/>
      <c r="DA398" s="1"/>
      <c r="DB398" s="1"/>
      <c r="DC398" s="1"/>
      <c r="DD398" s="1"/>
      <c r="DE398" s="1"/>
      <c r="DF398" s="1"/>
      <c r="DG398" s="1"/>
      <c r="DH398" s="1"/>
      <c r="DI398" s="1"/>
      <c r="DJ398" s="1"/>
      <c r="DK398" s="1"/>
      <c r="DL398" s="1"/>
      <c r="DM398" s="1"/>
      <c r="DN398" s="1"/>
      <c r="DO398" s="1"/>
      <c r="DP398" s="1"/>
      <c r="DQ398" s="1"/>
      <c r="DR398" s="1"/>
      <c r="DS398" s="1"/>
      <c r="DT398" s="1"/>
      <c r="DU398" s="14"/>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29"/>
    </row>
    <row r="399" spans="1:160" x14ac:dyDescent="0.25">
      <c r="A399" s="5"/>
      <c r="B399" s="1"/>
      <c r="C399" s="98"/>
      <c r="D399" s="98"/>
      <c r="E399" s="1"/>
      <c r="F399" s="22"/>
      <c r="G399" s="22"/>
      <c r="H399" s="22"/>
      <c r="I399" s="22"/>
      <c r="J399" s="22"/>
      <c r="K399" s="22"/>
      <c r="L399" s="22"/>
      <c r="M399" s="22"/>
      <c r="N399" s="22"/>
      <c r="O399" s="22"/>
      <c r="P399" s="22"/>
      <c r="Q399" s="22"/>
      <c r="R399" s="1"/>
      <c r="S399" s="1"/>
      <c r="T399" s="8"/>
      <c r="U399" s="1"/>
      <c r="V399" s="1"/>
      <c r="W399" s="1"/>
      <c r="X399" s="1"/>
      <c r="Y399" s="1"/>
      <c r="Z399" s="1"/>
      <c r="AA399" s="1"/>
      <c r="AC399" s="1"/>
      <c r="AD399" s="1"/>
      <c r="AE399" s="1"/>
      <c r="AF399" s="1"/>
      <c r="AG399" s="1"/>
      <c r="AH399" s="26"/>
      <c r="AI399" s="26"/>
      <c r="AJ399" s="26"/>
      <c r="AK399" s="26"/>
      <c r="AL399" s="26"/>
      <c r="AM399" s="26"/>
      <c r="AN399" s="26"/>
      <c r="AO399" s="26"/>
      <c r="AP399" s="26"/>
      <c r="AQ399" s="26"/>
      <c r="AR399" s="26"/>
      <c r="AS399" s="26"/>
      <c r="AT399" s="26"/>
      <c r="AU399" s="26"/>
      <c r="AV399" s="26"/>
      <c r="AW399" s="26"/>
      <c r="AX399" s="26"/>
      <c r="AY399" s="1"/>
      <c r="AZ399" s="26"/>
      <c r="BA399" s="26"/>
      <c r="BB399" s="26"/>
      <c r="BC399" s="26"/>
      <c r="BD399" s="26"/>
      <c r="BE399" s="26"/>
      <c r="BF399" s="26"/>
      <c r="BG399" s="26"/>
      <c r="BH399" s="26"/>
      <c r="BI399" s="26"/>
      <c r="BJ399" s="26"/>
      <c r="BK399" s="26"/>
      <c r="BL399" s="26"/>
      <c r="BM399" s="26"/>
      <c r="BN399" s="26"/>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96"/>
      <c r="CP399" s="14"/>
      <c r="CQ399" s="14"/>
      <c r="CR399" s="14"/>
      <c r="CS399" s="14"/>
      <c r="CT399" s="1"/>
      <c r="CU399" s="14"/>
      <c r="CV399" s="1"/>
      <c r="CW399" s="1"/>
      <c r="CX399" s="14"/>
      <c r="CY399" s="1"/>
      <c r="CZ399" s="1"/>
      <c r="DA399" s="1"/>
      <c r="DB399" s="1"/>
      <c r="DC399" s="1"/>
      <c r="DD399" s="1"/>
      <c r="DE399" s="1"/>
      <c r="DF399" s="1"/>
      <c r="DG399" s="1"/>
      <c r="DH399" s="1"/>
      <c r="DI399" s="1"/>
      <c r="DJ399" s="1"/>
      <c r="DK399" s="1"/>
      <c r="DL399" s="1"/>
      <c r="DM399" s="1"/>
      <c r="DN399" s="1"/>
      <c r="DO399" s="1"/>
      <c r="DP399" s="1"/>
      <c r="DQ399" s="1"/>
      <c r="DR399" s="1"/>
      <c r="DS399" s="1"/>
      <c r="DT399" s="1"/>
      <c r="DU399" s="14"/>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29"/>
    </row>
    <row r="400" spans="1:160" x14ac:dyDescent="0.25">
      <c r="A400" s="5"/>
      <c r="B400" s="1"/>
      <c r="C400" s="98"/>
      <c r="D400" s="98"/>
      <c r="E400" s="1"/>
      <c r="F400" s="22"/>
      <c r="G400" s="22"/>
      <c r="H400" s="22"/>
      <c r="I400" s="22"/>
      <c r="J400" s="22"/>
      <c r="K400" s="22"/>
      <c r="L400" s="22"/>
      <c r="M400" s="22"/>
      <c r="N400" s="22"/>
      <c r="O400" s="22"/>
      <c r="P400" s="22"/>
      <c r="Q400" s="22"/>
      <c r="R400" s="1"/>
      <c r="S400" s="1"/>
      <c r="T400" s="8"/>
      <c r="U400" s="1"/>
      <c r="V400" s="1"/>
      <c r="W400" s="1"/>
      <c r="X400" s="1"/>
      <c r="Y400" s="1"/>
      <c r="Z400" s="1"/>
      <c r="AA400" s="1"/>
      <c r="AC400" s="1"/>
      <c r="AD400" s="1"/>
      <c r="AE400" s="1"/>
      <c r="AF400" s="1"/>
      <c r="AG400" s="1"/>
      <c r="AH400" s="26"/>
      <c r="AI400" s="26"/>
      <c r="AJ400" s="26"/>
      <c r="AK400" s="26"/>
      <c r="AL400" s="26"/>
      <c r="AM400" s="26"/>
      <c r="AN400" s="26"/>
      <c r="AO400" s="26"/>
      <c r="AP400" s="26"/>
      <c r="AQ400" s="26"/>
      <c r="AR400" s="26"/>
      <c r="AS400" s="26"/>
      <c r="AT400" s="26"/>
      <c r="AU400" s="26"/>
      <c r="AV400" s="26"/>
      <c r="AW400" s="26"/>
      <c r="AX400" s="26"/>
      <c r="AY400" s="1"/>
      <c r="AZ400" s="26"/>
      <c r="BA400" s="26"/>
      <c r="BB400" s="26"/>
      <c r="BC400" s="26"/>
      <c r="BD400" s="26"/>
      <c r="BE400" s="26"/>
      <c r="BF400" s="26"/>
      <c r="BG400" s="26"/>
      <c r="BH400" s="26"/>
      <c r="BI400" s="26"/>
      <c r="BJ400" s="26"/>
      <c r="BK400" s="26"/>
      <c r="BL400" s="26"/>
      <c r="BM400" s="26"/>
      <c r="BN400" s="26"/>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96"/>
      <c r="CP400" s="14"/>
      <c r="CQ400" s="14"/>
      <c r="CR400" s="14"/>
      <c r="CS400" s="14"/>
      <c r="CT400" s="1"/>
      <c r="CU400" s="14"/>
      <c r="CV400" s="1"/>
      <c r="CW400" s="1"/>
      <c r="CX400" s="14"/>
      <c r="CY400" s="1"/>
      <c r="CZ400" s="1"/>
      <c r="DA400" s="1"/>
      <c r="DB400" s="1"/>
      <c r="DC400" s="1"/>
      <c r="DD400" s="1"/>
      <c r="DE400" s="1"/>
      <c r="DF400" s="1"/>
      <c r="DG400" s="1"/>
      <c r="DH400" s="1"/>
      <c r="DI400" s="1"/>
      <c r="DJ400" s="1"/>
      <c r="DK400" s="1"/>
      <c r="DL400" s="1"/>
      <c r="DM400" s="1"/>
      <c r="DN400" s="1"/>
      <c r="DO400" s="1"/>
      <c r="DP400" s="1"/>
      <c r="DQ400" s="1"/>
      <c r="DR400" s="1"/>
      <c r="DS400" s="1"/>
      <c r="DT400" s="1"/>
      <c r="DU400" s="14"/>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29"/>
    </row>
    <row r="401" spans="1:160" x14ac:dyDescent="0.25">
      <c r="A401" s="5"/>
      <c r="B401" s="1"/>
      <c r="C401" s="98"/>
      <c r="D401" s="98"/>
      <c r="E401" s="1"/>
      <c r="F401" s="22"/>
      <c r="G401" s="22"/>
      <c r="H401" s="22"/>
      <c r="I401" s="22"/>
      <c r="J401" s="22"/>
      <c r="K401" s="22"/>
      <c r="L401" s="22"/>
      <c r="M401" s="22"/>
      <c r="N401" s="22"/>
      <c r="O401" s="22"/>
      <c r="P401" s="22"/>
      <c r="Q401" s="22"/>
      <c r="R401" s="1"/>
      <c r="S401" s="1"/>
      <c r="T401" s="8"/>
      <c r="U401" s="1"/>
      <c r="V401" s="1"/>
      <c r="W401" s="1"/>
      <c r="X401" s="1"/>
      <c r="Y401" s="1"/>
      <c r="Z401" s="1"/>
      <c r="AA401" s="1"/>
      <c r="AC401" s="1"/>
      <c r="AD401" s="1"/>
      <c r="AE401" s="1"/>
      <c r="AF401" s="1"/>
      <c r="AG401" s="1"/>
      <c r="AH401" s="26"/>
      <c r="AI401" s="26"/>
      <c r="AJ401" s="26"/>
      <c r="AK401" s="26"/>
      <c r="AL401" s="26"/>
      <c r="AM401" s="26"/>
      <c r="AN401" s="26"/>
      <c r="AO401" s="26"/>
      <c r="AP401" s="26"/>
      <c r="AQ401" s="26"/>
      <c r="AR401" s="26"/>
      <c r="AS401" s="26"/>
      <c r="AT401" s="26"/>
      <c r="AU401" s="26"/>
      <c r="AV401" s="26"/>
      <c r="AW401" s="26"/>
      <c r="AX401" s="26"/>
      <c r="AY401" s="1"/>
      <c r="AZ401" s="26"/>
      <c r="BA401" s="26"/>
      <c r="BB401" s="26"/>
      <c r="BC401" s="26"/>
      <c r="BD401" s="26"/>
      <c r="BE401" s="26"/>
      <c r="BF401" s="26"/>
      <c r="BG401" s="26"/>
      <c r="BH401" s="26"/>
      <c r="BI401" s="26"/>
      <c r="BJ401" s="26"/>
      <c r="BK401" s="26"/>
      <c r="BL401" s="26"/>
      <c r="BM401" s="26"/>
      <c r="BN401" s="26"/>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96"/>
      <c r="CP401" s="14"/>
      <c r="CQ401" s="14"/>
      <c r="CR401" s="14"/>
      <c r="CS401" s="14"/>
      <c r="CT401" s="1"/>
      <c r="CU401" s="14"/>
      <c r="CV401" s="1"/>
      <c r="CW401" s="1"/>
      <c r="CX401" s="14"/>
      <c r="CY401" s="1"/>
      <c r="CZ401" s="1"/>
      <c r="DA401" s="1"/>
      <c r="DB401" s="1"/>
      <c r="DC401" s="1"/>
      <c r="DD401" s="1"/>
      <c r="DE401" s="1"/>
      <c r="DF401" s="1"/>
      <c r="DG401" s="1"/>
      <c r="DH401" s="1"/>
      <c r="DI401" s="1"/>
      <c r="DJ401" s="1"/>
      <c r="DK401" s="1"/>
      <c r="DL401" s="1"/>
      <c r="DM401" s="1"/>
      <c r="DN401" s="1"/>
      <c r="DO401" s="1"/>
      <c r="DP401" s="1"/>
      <c r="DQ401" s="1"/>
      <c r="DR401" s="1"/>
      <c r="DS401" s="1"/>
      <c r="DT401" s="1"/>
      <c r="DU401" s="14"/>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29"/>
    </row>
    <row r="402" spans="1:160" x14ac:dyDescent="0.25">
      <c r="A402" s="5"/>
      <c r="B402" s="1"/>
      <c r="C402" s="98"/>
      <c r="D402" s="98"/>
      <c r="E402" s="1"/>
      <c r="F402" s="22"/>
      <c r="G402" s="22"/>
      <c r="H402" s="22"/>
      <c r="I402" s="22"/>
      <c r="J402" s="22"/>
      <c r="K402" s="22"/>
      <c r="L402" s="22"/>
      <c r="M402" s="22"/>
      <c r="N402" s="22"/>
      <c r="O402" s="22"/>
      <c r="P402" s="22"/>
      <c r="Q402" s="22"/>
      <c r="R402" s="1"/>
      <c r="S402" s="1"/>
      <c r="T402" s="8"/>
      <c r="U402" s="1"/>
      <c r="V402" s="1"/>
      <c r="W402" s="1"/>
      <c r="X402" s="1"/>
      <c r="Y402" s="1"/>
      <c r="Z402" s="1"/>
      <c r="AA402" s="1"/>
      <c r="AC402" s="1"/>
      <c r="AD402" s="1"/>
      <c r="AE402" s="1"/>
      <c r="AF402" s="1"/>
      <c r="AG402" s="1"/>
      <c r="AH402" s="26"/>
      <c r="AI402" s="26"/>
      <c r="AJ402" s="26"/>
      <c r="AK402" s="26"/>
      <c r="AL402" s="26"/>
      <c r="AM402" s="26"/>
      <c r="AN402" s="26"/>
      <c r="AO402" s="26"/>
      <c r="AP402" s="26"/>
      <c r="AQ402" s="26"/>
      <c r="AR402" s="26"/>
      <c r="AS402" s="26"/>
      <c r="AT402" s="26"/>
      <c r="AU402" s="26"/>
      <c r="AV402" s="26"/>
      <c r="AW402" s="26"/>
      <c r="AX402" s="26"/>
      <c r="AY402" s="1"/>
      <c r="AZ402" s="26"/>
      <c r="BA402" s="26"/>
      <c r="BB402" s="26"/>
      <c r="BC402" s="26"/>
      <c r="BD402" s="26"/>
      <c r="BE402" s="26"/>
      <c r="BF402" s="26"/>
      <c r="BG402" s="26"/>
      <c r="BH402" s="26"/>
      <c r="BI402" s="26"/>
      <c r="BJ402" s="26"/>
      <c r="BK402" s="26"/>
      <c r="BL402" s="26"/>
      <c r="BM402" s="26"/>
      <c r="BN402" s="26"/>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96"/>
      <c r="CP402" s="14"/>
      <c r="CQ402" s="14"/>
      <c r="CR402" s="14"/>
      <c r="CS402" s="14"/>
      <c r="CT402" s="1"/>
      <c r="CU402" s="14"/>
      <c r="CV402" s="1"/>
      <c r="CW402" s="1"/>
      <c r="CX402" s="14"/>
      <c r="CY402" s="1"/>
      <c r="CZ402" s="1"/>
      <c r="DA402" s="1"/>
      <c r="DB402" s="1"/>
      <c r="DC402" s="1"/>
      <c r="DD402" s="1"/>
      <c r="DE402" s="1"/>
      <c r="DF402" s="1"/>
      <c r="DG402" s="1"/>
      <c r="DH402" s="1"/>
      <c r="DI402" s="1"/>
      <c r="DJ402" s="1"/>
      <c r="DK402" s="1"/>
      <c r="DL402" s="1"/>
      <c r="DM402" s="1"/>
      <c r="DN402" s="1"/>
      <c r="DO402" s="1"/>
      <c r="DP402" s="1"/>
      <c r="DQ402" s="1"/>
      <c r="DR402" s="1"/>
      <c r="DS402" s="1"/>
      <c r="DT402" s="1"/>
      <c r="DU402" s="14"/>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29"/>
    </row>
    <row r="403" spans="1:160" x14ac:dyDescent="0.25">
      <c r="A403" s="5"/>
      <c r="B403" s="1"/>
      <c r="C403" s="98"/>
      <c r="D403" s="98"/>
      <c r="E403" s="1"/>
      <c r="F403" s="22"/>
      <c r="G403" s="22"/>
      <c r="H403" s="22"/>
      <c r="I403" s="22"/>
      <c r="J403" s="22"/>
      <c r="K403" s="22"/>
      <c r="L403" s="22"/>
      <c r="M403" s="22"/>
      <c r="N403" s="22"/>
      <c r="O403" s="22"/>
      <c r="P403" s="22"/>
      <c r="Q403" s="22"/>
      <c r="R403" s="1"/>
      <c r="S403" s="1"/>
      <c r="T403" s="8"/>
      <c r="U403" s="1"/>
      <c r="V403" s="1"/>
      <c r="W403" s="1"/>
      <c r="X403" s="1"/>
      <c r="Y403" s="1"/>
      <c r="Z403" s="1"/>
      <c r="AA403" s="1"/>
      <c r="AC403" s="1"/>
      <c r="AD403" s="1"/>
      <c r="AE403" s="1"/>
      <c r="AF403" s="1"/>
      <c r="AG403" s="1"/>
      <c r="AH403" s="26"/>
      <c r="AI403" s="26"/>
      <c r="AJ403" s="26"/>
      <c r="AK403" s="26"/>
      <c r="AL403" s="26"/>
      <c r="AM403" s="26"/>
      <c r="AN403" s="26"/>
      <c r="AO403" s="26"/>
      <c r="AP403" s="26"/>
      <c r="AQ403" s="26"/>
      <c r="AR403" s="26"/>
      <c r="AS403" s="26"/>
      <c r="AT403" s="26"/>
      <c r="AU403" s="26"/>
      <c r="AV403" s="26"/>
      <c r="AW403" s="26"/>
      <c r="AX403" s="26"/>
      <c r="AY403" s="1"/>
      <c r="AZ403" s="26"/>
      <c r="BA403" s="26"/>
      <c r="BB403" s="26"/>
      <c r="BC403" s="26"/>
      <c r="BD403" s="26"/>
      <c r="BE403" s="26"/>
      <c r="BF403" s="26"/>
      <c r="BG403" s="26"/>
      <c r="BH403" s="26"/>
      <c r="BI403" s="26"/>
      <c r="BJ403" s="26"/>
      <c r="BK403" s="26"/>
      <c r="BL403" s="26"/>
      <c r="BM403" s="26"/>
      <c r="BN403" s="26"/>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96"/>
      <c r="CP403" s="14"/>
      <c r="CQ403" s="14"/>
      <c r="CR403" s="14"/>
      <c r="CS403" s="14"/>
      <c r="CT403" s="1"/>
      <c r="CU403" s="14"/>
      <c r="CV403" s="1"/>
      <c r="CW403" s="1"/>
      <c r="CX403" s="14"/>
      <c r="CY403" s="1"/>
      <c r="CZ403" s="1"/>
      <c r="DA403" s="1"/>
      <c r="DB403" s="1"/>
      <c r="DC403" s="1"/>
      <c r="DD403" s="1"/>
      <c r="DE403" s="1"/>
      <c r="DF403" s="1"/>
      <c r="DG403" s="1"/>
      <c r="DH403" s="1"/>
      <c r="DI403" s="1"/>
      <c r="DJ403" s="1"/>
      <c r="DK403" s="1"/>
      <c r="DL403" s="1"/>
      <c r="DM403" s="1"/>
      <c r="DN403" s="1"/>
      <c r="DO403" s="1"/>
      <c r="DP403" s="1"/>
      <c r="DQ403" s="1"/>
      <c r="DR403" s="1"/>
      <c r="DS403" s="1"/>
      <c r="DT403" s="1"/>
      <c r="DU403" s="14"/>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29"/>
    </row>
    <row r="404" spans="1:160" x14ac:dyDescent="0.25">
      <c r="A404" s="5"/>
      <c r="B404" s="1"/>
      <c r="C404" s="98"/>
      <c r="D404" s="98"/>
      <c r="E404" s="1"/>
      <c r="F404" s="22"/>
      <c r="G404" s="22"/>
      <c r="H404" s="22"/>
      <c r="I404" s="22"/>
      <c r="J404" s="22"/>
      <c r="K404" s="22"/>
      <c r="L404" s="22"/>
      <c r="M404" s="22"/>
      <c r="N404" s="22"/>
      <c r="O404" s="22"/>
      <c r="P404" s="22"/>
      <c r="Q404" s="22"/>
      <c r="R404" s="1"/>
      <c r="S404" s="1"/>
      <c r="T404" s="8"/>
      <c r="U404" s="1"/>
      <c r="V404" s="1"/>
      <c r="W404" s="1"/>
      <c r="X404" s="1"/>
      <c r="Y404" s="1"/>
      <c r="Z404" s="1"/>
      <c r="AA404" s="1"/>
      <c r="AC404" s="1"/>
      <c r="AD404" s="1"/>
      <c r="AE404" s="1"/>
      <c r="AF404" s="1"/>
      <c r="AG404" s="1"/>
      <c r="AH404" s="26"/>
      <c r="AI404" s="26"/>
      <c r="AJ404" s="26"/>
      <c r="AK404" s="26"/>
      <c r="AL404" s="26"/>
      <c r="AM404" s="26"/>
      <c r="AN404" s="26"/>
      <c r="AO404" s="26"/>
      <c r="AP404" s="26"/>
      <c r="AQ404" s="26"/>
      <c r="AR404" s="26"/>
      <c r="AS404" s="26"/>
      <c r="AT404" s="26"/>
      <c r="AU404" s="26"/>
      <c r="AV404" s="26"/>
      <c r="AW404" s="26"/>
      <c r="AX404" s="26"/>
      <c r="AY404" s="1"/>
      <c r="AZ404" s="26"/>
      <c r="BA404" s="26"/>
      <c r="BB404" s="26"/>
      <c r="BC404" s="26"/>
      <c r="BD404" s="26"/>
      <c r="BE404" s="26"/>
      <c r="BF404" s="26"/>
      <c r="BG404" s="26"/>
      <c r="BH404" s="26"/>
      <c r="BI404" s="26"/>
      <c r="BJ404" s="26"/>
      <c r="BK404" s="26"/>
      <c r="BL404" s="26"/>
      <c r="BM404" s="26"/>
      <c r="BN404" s="26"/>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96"/>
      <c r="CP404" s="14"/>
      <c r="CQ404" s="14"/>
      <c r="CR404" s="14"/>
      <c r="CS404" s="14"/>
      <c r="CT404" s="1"/>
      <c r="CU404" s="14"/>
      <c r="CV404" s="1"/>
      <c r="CW404" s="1"/>
      <c r="CX404" s="14"/>
      <c r="CY404" s="1"/>
      <c r="CZ404" s="1"/>
      <c r="DA404" s="1"/>
      <c r="DB404" s="1"/>
      <c r="DC404" s="1"/>
      <c r="DD404" s="1"/>
      <c r="DE404" s="1"/>
      <c r="DF404" s="1"/>
      <c r="DG404" s="1"/>
      <c r="DH404" s="1"/>
      <c r="DI404" s="1"/>
      <c r="DJ404" s="1"/>
      <c r="DK404" s="1"/>
      <c r="DL404" s="1"/>
      <c r="DM404" s="1"/>
      <c r="DN404" s="1"/>
      <c r="DO404" s="1"/>
      <c r="DP404" s="1"/>
      <c r="DQ404" s="1"/>
      <c r="DR404" s="1"/>
      <c r="DS404" s="1"/>
      <c r="DT404" s="1"/>
      <c r="DU404" s="14"/>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29"/>
    </row>
    <row r="405" spans="1:160" x14ac:dyDescent="0.25">
      <c r="A405" s="5"/>
      <c r="B405" s="1"/>
      <c r="C405" s="98"/>
      <c r="D405" s="98"/>
      <c r="E405" s="1"/>
      <c r="F405" s="22"/>
      <c r="G405" s="22"/>
      <c r="H405" s="22"/>
      <c r="I405" s="22"/>
      <c r="J405" s="22"/>
      <c r="K405" s="22"/>
      <c r="L405" s="22"/>
      <c r="M405" s="22"/>
      <c r="N405" s="22"/>
      <c r="O405" s="22"/>
      <c r="P405" s="22"/>
      <c r="Q405" s="22"/>
      <c r="R405" s="1"/>
      <c r="S405" s="1"/>
      <c r="T405" s="8"/>
      <c r="U405" s="1"/>
      <c r="V405" s="1"/>
      <c r="W405" s="1"/>
      <c r="X405" s="1"/>
      <c r="Y405" s="1"/>
      <c r="Z405" s="1"/>
      <c r="AA405" s="1"/>
      <c r="AC405" s="1"/>
      <c r="AD405" s="1"/>
      <c r="AE405" s="1"/>
      <c r="AF405" s="1"/>
      <c r="AG405" s="1"/>
      <c r="AH405" s="26"/>
      <c r="AI405" s="26"/>
      <c r="AJ405" s="26"/>
      <c r="AK405" s="26"/>
      <c r="AL405" s="26"/>
      <c r="AM405" s="26"/>
      <c r="AN405" s="26"/>
      <c r="AO405" s="26"/>
      <c r="AP405" s="26"/>
      <c r="AQ405" s="26"/>
      <c r="AR405" s="26"/>
      <c r="AS405" s="26"/>
      <c r="AT405" s="26"/>
      <c r="AU405" s="26"/>
      <c r="AV405" s="26"/>
      <c r="AW405" s="26"/>
      <c r="AX405" s="26"/>
      <c r="AY405" s="1"/>
      <c r="AZ405" s="26"/>
      <c r="BA405" s="26"/>
      <c r="BB405" s="26"/>
      <c r="BC405" s="26"/>
      <c r="BD405" s="26"/>
      <c r="BE405" s="26"/>
      <c r="BF405" s="26"/>
      <c r="BG405" s="26"/>
      <c r="BH405" s="26"/>
      <c r="BI405" s="26"/>
      <c r="BJ405" s="26"/>
      <c r="BK405" s="26"/>
      <c r="BL405" s="26"/>
      <c r="BM405" s="26"/>
      <c r="BN405" s="26"/>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96"/>
      <c r="CP405" s="14"/>
      <c r="CQ405" s="14"/>
      <c r="CR405" s="14"/>
      <c r="CS405" s="14"/>
      <c r="CT405" s="1"/>
      <c r="CU405" s="14"/>
      <c r="CV405" s="1"/>
      <c r="CW405" s="1"/>
      <c r="CX405" s="14"/>
      <c r="CY405" s="1"/>
      <c r="CZ405" s="1"/>
      <c r="DA405" s="1"/>
      <c r="DB405" s="1"/>
      <c r="DC405" s="1"/>
      <c r="DD405" s="1"/>
      <c r="DE405" s="1"/>
      <c r="DF405" s="1"/>
      <c r="DG405" s="1"/>
      <c r="DH405" s="1"/>
      <c r="DI405" s="1"/>
      <c r="DJ405" s="1"/>
      <c r="DK405" s="1"/>
      <c r="DL405" s="1"/>
      <c r="DM405" s="1"/>
      <c r="DN405" s="1"/>
      <c r="DO405" s="1"/>
      <c r="DP405" s="1"/>
      <c r="DQ405" s="1"/>
      <c r="DR405" s="1"/>
      <c r="DS405" s="1"/>
      <c r="DT405" s="1"/>
      <c r="DU405" s="14"/>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29"/>
    </row>
    <row r="406" spans="1:160" x14ac:dyDescent="0.25">
      <c r="A406" s="5"/>
      <c r="B406" s="1"/>
      <c r="C406" s="98"/>
      <c r="D406" s="98"/>
      <c r="E406" s="1"/>
      <c r="F406" s="22"/>
      <c r="G406" s="22"/>
      <c r="H406" s="22"/>
      <c r="I406" s="22"/>
      <c r="J406" s="22"/>
      <c r="K406" s="22"/>
      <c r="L406" s="22"/>
      <c r="M406" s="22"/>
      <c r="N406" s="22"/>
      <c r="O406" s="22"/>
      <c r="P406" s="22"/>
      <c r="Q406" s="22"/>
      <c r="R406" s="1"/>
      <c r="S406" s="1"/>
      <c r="T406" s="8"/>
      <c r="U406" s="1"/>
      <c r="V406" s="1"/>
      <c r="W406" s="1"/>
      <c r="X406" s="1"/>
      <c r="Y406" s="1"/>
      <c r="Z406" s="1"/>
      <c r="AA406" s="1"/>
      <c r="AC406" s="1"/>
      <c r="AD406" s="1"/>
      <c r="AE406" s="1"/>
      <c r="AF406" s="1"/>
      <c r="AG406" s="1"/>
      <c r="AH406" s="26"/>
      <c r="AI406" s="26"/>
      <c r="AJ406" s="26"/>
      <c r="AK406" s="26"/>
      <c r="AL406" s="26"/>
      <c r="AM406" s="26"/>
      <c r="AN406" s="26"/>
      <c r="AO406" s="26"/>
      <c r="AP406" s="26"/>
      <c r="AQ406" s="26"/>
      <c r="AR406" s="26"/>
      <c r="AS406" s="26"/>
      <c r="AT406" s="26"/>
      <c r="AU406" s="26"/>
      <c r="AV406" s="26"/>
      <c r="AW406" s="26"/>
      <c r="AX406" s="26"/>
      <c r="AY406" s="1"/>
      <c r="AZ406" s="26"/>
      <c r="BA406" s="26"/>
      <c r="BB406" s="26"/>
      <c r="BC406" s="26"/>
      <c r="BD406" s="26"/>
      <c r="BE406" s="26"/>
      <c r="BF406" s="26"/>
      <c r="BG406" s="26"/>
      <c r="BH406" s="26"/>
      <c r="BI406" s="26"/>
      <c r="BJ406" s="26"/>
      <c r="BK406" s="26"/>
      <c r="BL406" s="26"/>
      <c r="BM406" s="26"/>
      <c r="BN406" s="26"/>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96"/>
      <c r="CP406" s="14"/>
      <c r="CQ406" s="14"/>
      <c r="CR406" s="14"/>
      <c r="CS406" s="14"/>
      <c r="CT406" s="1"/>
      <c r="CU406" s="14"/>
      <c r="CV406" s="1"/>
      <c r="CW406" s="1"/>
      <c r="CX406" s="14"/>
      <c r="CY406" s="1"/>
      <c r="CZ406" s="1"/>
      <c r="DA406" s="1"/>
      <c r="DB406" s="1"/>
      <c r="DC406" s="1"/>
      <c r="DD406" s="1"/>
      <c r="DE406" s="1"/>
      <c r="DF406" s="1"/>
      <c r="DG406" s="1"/>
      <c r="DH406" s="1"/>
      <c r="DI406" s="1"/>
      <c r="DJ406" s="1"/>
      <c r="DK406" s="1"/>
      <c r="DL406" s="1"/>
      <c r="DM406" s="1"/>
      <c r="DN406" s="1"/>
      <c r="DO406" s="1"/>
      <c r="DP406" s="1"/>
      <c r="DQ406" s="1"/>
      <c r="DR406" s="1"/>
      <c r="DS406" s="1"/>
      <c r="DT406" s="1"/>
      <c r="DU406" s="14"/>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29"/>
    </row>
    <row r="407" spans="1:160" x14ac:dyDescent="0.25">
      <c r="A407" s="5"/>
      <c r="B407" s="1"/>
      <c r="C407" s="98"/>
      <c r="D407" s="98"/>
      <c r="E407" s="1"/>
      <c r="F407" s="22"/>
      <c r="G407" s="22"/>
      <c r="H407" s="22"/>
      <c r="I407" s="22"/>
      <c r="J407" s="22"/>
      <c r="K407" s="22"/>
      <c r="L407" s="22"/>
      <c r="M407" s="22"/>
      <c r="N407" s="22"/>
      <c r="O407" s="22"/>
      <c r="P407" s="22"/>
      <c r="Q407" s="22"/>
      <c r="R407" s="1"/>
      <c r="S407" s="1"/>
      <c r="T407" s="8"/>
      <c r="U407" s="1"/>
      <c r="V407" s="1"/>
      <c r="W407" s="1"/>
      <c r="X407" s="1"/>
      <c r="Y407" s="1"/>
      <c r="Z407" s="1"/>
      <c r="AA407" s="1"/>
      <c r="AC407" s="1"/>
      <c r="AD407" s="1"/>
      <c r="AE407" s="1"/>
      <c r="AF407" s="1"/>
      <c r="AG407" s="1"/>
      <c r="AH407" s="26"/>
      <c r="AI407" s="26"/>
      <c r="AJ407" s="26"/>
      <c r="AK407" s="26"/>
      <c r="AL407" s="26"/>
      <c r="AM407" s="26"/>
      <c r="AN407" s="26"/>
      <c r="AO407" s="26"/>
      <c r="AP407" s="26"/>
      <c r="AQ407" s="26"/>
      <c r="AR407" s="26"/>
      <c r="AS407" s="26"/>
      <c r="AT407" s="26"/>
      <c r="AU407" s="26"/>
      <c r="AV407" s="26"/>
      <c r="AW407" s="26"/>
      <c r="AX407" s="26"/>
      <c r="AY407" s="1"/>
      <c r="AZ407" s="26"/>
      <c r="BA407" s="26"/>
      <c r="BB407" s="26"/>
      <c r="BC407" s="26"/>
      <c r="BD407" s="26"/>
      <c r="BE407" s="26"/>
      <c r="BF407" s="26"/>
      <c r="BG407" s="26"/>
      <c r="BH407" s="26"/>
      <c r="BI407" s="26"/>
      <c r="BJ407" s="26"/>
      <c r="BK407" s="26"/>
      <c r="BL407" s="26"/>
      <c r="BM407" s="26"/>
      <c r="BN407" s="26"/>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96"/>
      <c r="CP407" s="14"/>
      <c r="CQ407" s="14"/>
      <c r="CR407" s="14"/>
      <c r="CS407" s="14"/>
      <c r="CT407" s="1"/>
      <c r="CU407" s="14"/>
      <c r="CV407" s="1"/>
      <c r="CW407" s="1"/>
      <c r="CX407" s="14"/>
      <c r="CY407" s="1"/>
      <c r="CZ407" s="1"/>
      <c r="DA407" s="1"/>
      <c r="DB407" s="1"/>
      <c r="DC407" s="1"/>
      <c r="DD407" s="1"/>
      <c r="DE407" s="1"/>
      <c r="DF407" s="1"/>
      <c r="DG407" s="1"/>
      <c r="DH407" s="1"/>
      <c r="DI407" s="1"/>
      <c r="DJ407" s="1"/>
      <c r="DK407" s="1"/>
      <c r="DL407" s="1"/>
      <c r="DM407" s="1"/>
      <c r="DN407" s="1"/>
      <c r="DO407" s="1"/>
      <c r="DP407" s="1"/>
      <c r="DQ407" s="1"/>
      <c r="DR407" s="1"/>
      <c r="DS407" s="1"/>
      <c r="DT407" s="1"/>
      <c r="DU407" s="14"/>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29"/>
    </row>
    <row r="408" spans="1:160" x14ac:dyDescent="0.25">
      <c r="A408" s="5"/>
      <c r="B408" s="1"/>
      <c r="C408" s="98"/>
      <c r="D408" s="98"/>
      <c r="E408" s="1"/>
      <c r="F408" s="22"/>
      <c r="G408" s="22"/>
      <c r="H408" s="22"/>
      <c r="I408" s="22"/>
      <c r="J408" s="22"/>
      <c r="K408" s="22"/>
      <c r="L408" s="22"/>
      <c r="M408" s="22"/>
      <c r="N408" s="22"/>
      <c r="O408" s="22"/>
      <c r="P408" s="22"/>
      <c r="Q408" s="22"/>
      <c r="R408" s="1"/>
      <c r="S408" s="1"/>
      <c r="T408" s="8"/>
      <c r="U408" s="1"/>
      <c r="V408" s="1"/>
      <c r="W408" s="1"/>
      <c r="X408" s="1"/>
      <c r="Y408" s="1"/>
      <c r="Z408" s="1"/>
      <c r="AA408" s="1"/>
      <c r="AC408" s="1"/>
      <c r="AD408" s="1"/>
      <c r="AE408" s="1"/>
      <c r="AF408" s="1"/>
      <c r="AG408" s="1"/>
      <c r="AH408" s="26"/>
      <c r="AI408" s="26"/>
      <c r="AJ408" s="26"/>
      <c r="AK408" s="26"/>
      <c r="AL408" s="26"/>
      <c r="AM408" s="26"/>
      <c r="AN408" s="26"/>
      <c r="AO408" s="26"/>
      <c r="AP408" s="26"/>
      <c r="AQ408" s="26"/>
      <c r="AR408" s="26"/>
      <c r="AS408" s="26"/>
      <c r="AT408" s="26"/>
      <c r="AU408" s="26"/>
      <c r="AV408" s="26"/>
      <c r="AW408" s="26"/>
      <c r="AX408" s="26"/>
      <c r="AY408" s="1"/>
      <c r="AZ408" s="26"/>
      <c r="BA408" s="26"/>
      <c r="BB408" s="26"/>
      <c r="BC408" s="26"/>
      <c r="BD408" s="26"/>
      <c r="BE408" s="26"/>
      <c r="BF408" s="26"/>
      <c r="BG408" s="26"/>
      <c r="BH408" s="26"/>
      <c r="BI408" s="26"/>
      <c r="BJ408" s="26"/>
      <c r="BK408" s="26"/>
      <c r="BL408" s="26"/>
      <c r="BM408" s="26"/>
      <c r="BN408" s="26"/>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96"/>
      <c r="CP408" s="14"/>
      <c r="CQ408" s="14"/>
      <c r="CR408" s="14"/>
      <c r="CS408" s="14"/>
      <c r="CT408" s="1"/>
      <c r="CU408" s="14"/>
      <c r="CV408" s="1"/>
      <c r="CW408" s="1"/>
      <c r="CX408" s="14"/>
      <c r="CY408" s="1"/>
      <c r="CZ408" s="1"/>
      <c r="DA408" s="1"/>
      <c r="DB408" s="1"/>
      <c r="DC408" s="1"/>
      <c r="DD408" s="1"/>
      <c r="DE408" s="1"/>
      <c r="DF408" s="1"/>
      <c r="DG408" s="1"/>
      <c r="DH408" s="1"/>
      <c r="DI408" s="1"/>
      <c r="DJ408" s="1"/>
      <c r="DK408" s="1"/>
      <c r="DL408" s="1"/>
      <c r="DM408" s="1"/>
      <c r="DN408" s="1"/>
      <c r="DO408" s="1"/>
      <c r="DP408" s="1"/>
      <c r="DQ408" s="1"/>
      <c r="DR408" s="1"/>
      <c r="DS408" s="1"/>
      <c r="DT408" s="1"/>
      <c r="DU408" s="14"/>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29"/>
    </row>
    <row r="409" spans="1:160" x14ac:dyDescent="0.25">
      <c r="A409" s="5"/>
      <c r="B409" s="1"/>
      <c r="C409" s="98"/>
      <c r="D409" s="98"/>
      <c r="E409" s="1"/>
      <c r="F409" s="22"/>
      <c r="G409" s="22"/>
      <c r="H409" s="22"/>
      <c r="I409" s="22"/>
      <c r="J409" s="22"/>
      <c r="K409" s="22"/>
      <c r="L409" s="22"/>
      <c r="M409" s="22"/>
      <c r="N409" s="22"/>
      <c r="O409" s="22"/>
      <c r="P409" s="22"/>
      <c r="Q409" s="22"/>
      <c r="R409" s="1"/>
      <c r="S409" s="1"/>
      <c r="T409" s="8"/>
      <c r="U409" s="1"/>
      <c r="V409" s="1"/>
      <c r="W409" s="1"/>
      <c r="X409" s="1"/>
      <c r="Y409" s="1"/>
      <c r="Z409" s="1"/>
      <c r="AA409" s="1"/>
      <c r="AC409" s="1"/>
      <c r="AD409" s="1"/>
      <c r="AE409" s="1"/>
      <c r="AF409" s="1"/>
      <c r="AG409" s="1"/>
      <c r="AH409" s="26"/>
      <c r="AI409" s="26"/>
      <c r="AJ409" s="26"/>
      <c r="AK409" s="26"/>
      <c r="AL409" s="26"/>
      <c r="AM409" s="26"/>
      <c r="AN409" s="26"/>
      <c r="AO409" s="26"/>
      <c r="AP409" s="26"/>
      <c r="AQ409" s="26"/>
      <c r="AR409" s="26"/>
      <c r="AS409" s="26"/>
      <c r="AT409" s="26"/>
      <c r="AU409" s="26"/>
      <c r="AV409" s="26"/>
      <c r="AW409" s="26"/>
      <c r="AX409" s="26"/>
      <c r="AY409" s="1"/>
      <c r="AZ409" s="26"/>
      <c r="BA409" s="26"/>
      <c r="BB409" s="26"/>
      <c r="BC409" s="26"/>
      <c r="BD409" s="26"/>
      <c r="BE409" s="26"/>
      <c r="BF409" s="26"/>
      <c r="BG409" s="26"/>
      <c r="BH409" s="26"/>
      <c r="BI409" s="26"/>
      <c r="BJ409" s="26"/>
      <c r="BK409" s="26"/>
      <c r="BL409" s="26"/>
      <c r="BM409" s="26"/>
      <c r="BN409" s="26"/>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96"/>
      <c r="CP409" s="14"/>
      <c r="CQ409" s="14"/>
      <c r="CR409" s="14"/>
      <c r="CS409" s="14"/>
      <c r="CT409" s="1"/>
      <c r="CU409" s="14"/>
      <c r="CV409" s="1"/>
      <c r="CW409" s="1"/>
      <c r="CX409" s="14"/>
      <c r="CY409" s="1"/>
      <c r="CZ409" s="1"/>
      <c r="DA409" s="1"/>
      <c r="DB409" s="1"/>
      <c r="DC409" s="1"/>
      <c r="DD409" s="1"/>
      <c r="DE409" s="1"/>
      <c r="DF409" s="1"/>
      <c r="DG409" s="1"/>
      <c r="DH409" s="1"/>
      <c r="DI409" s="1"/>
      <c r="DJ409" s="1"/>
      <c r="DK409" s="1"/>
      <c r="DL409" s="1"/>
      <c r="DM409" s="1"/>
      <c r="DN409" s="1"/>
      <c r="DO409" s="1"/>
      <c r="DP409" s="1"/>
      <c r="DQ409" s="1"/>
      <c r="DR409" s="1"/>
      <c r="DS409" s="1"/>
      <c r="DT409" s="1"/>
      <c r="DU409" s="14"/>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29"/>
    </row>
    <row r="410" spans="1:160" x14ac:dyDescent="0.25">
      <c r="A410" s="5"/>
      <c r="B410" s="1"/>
      <c r="C410" s="98"/>
      <c r="D410" s="98"/>
      <c r="E410" s="1"/>
      <c r="F410" s="22"/>
      <c r="G410" s="22"/>
      <c r="H410" s="22"/>
      <c r="I410" s="22"/>
      <c r="J410" s="22"/>
      <c r="K410" s="22"/>
      <c r="L410" s="22"/>
      <c r="M410" s="22"/>
      <c r="N410" s="22"/>
      <c r="O410" s="22"/>
      <c r="P410" s="22"/>
      <c r="Q410" s="22"/>
      <c r="R410" s="1"/>
      <c r="S410" s="1"/>
      <c r="T410" s="8"/>
      <c r="U410" s="1"/>
      <c r="V410" s="1"/>
      <c r="W410" s="1"/>
      <c r="X410" s="1"/>
      <c r="Y410" s="1"/>
      <c r="Z410" s="1"/>
      <c r="AA410" s="1"/>
      <c r="AC410" s="1"/>
      <c r="AD410" s="1"/>
      <c r="AE410" s="1"/>
      <c r="AF410" s="1"/>
      <c r="AG410" s="1"/>
      <c r="AH410" s="26"/>
      <c r="AI410" s="26"/>
      <c r="AJ410" s="26"/>
      <c r="AK410" s="26"/>
      <c r="AL410" s="26"/>
      <c r="AM410" s="26"/>
      <c r="AN410" s="26"/>
      <c r="AO410" s="26"/>
      <c r="AP410" s="26"/>
      <c r="AQ410" s="26"/>
      <c r="AR410" s="26"/>
      <c r="AS410" s="26"/>
      <c r="AT410" s="26"/>
      <c r="AU410" s="26"/>
      <c r="AV410" s="26"/>
      <c r="AW410" s="26"/>
      <c r="AX410" s="26"/>
      <c r="AY410" s="1"/>
      <c r="AZ410" s="26"/>
      <c r="BA410" s="26"/>
      <c r="BB410" s="26"/>
      <c r="BC410" s="26"/>
      <c r="BD410" s="26"/>
      <c r="BE410" s="26"/>
      <c r="BF410" s="26"/>
      <c r="BG410" s="26"/>
      <c r="BH410" s="26"/>
      <c r="BI410" s="26"/>
      <c r="BJ410" s="26"/>
      <c r="BK410" s="26"/>
      <c r="BL410" s="26"/>
      <c r="BM410" s="26"/>
      <c r="BN410" s="26"/>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96"/>
      <c r="CP410" s="14"/>
      <c r="CQ410" s="14"/>
      <c r="CR410" s="14"/>
      <c r="CS410" s="14"/>
      <c r="CT410" s="1"/>
      <c r="CU410" s="14"/>
      <c r="CV410" s="1"/>
      <c r="CW410" s="1"/>
      <c r="CX410" s="14"/>
      <c r="CY410" s="1"/>
      <c r="CZ410" s="1"/>
      <c r="DA410" s="1"/>
      <c r="DB410" s="1"/>
      <c r="DC410" s="1"/>
      <c r="DD410" s="1"/>
      <c r="DE410" s="1"/>
      <c r="DF410" s="1"/>
      <c r="DG410" s="1"/>
      <c r="DH410" s="1"/>
      <c r="DI410" s="1"/>
      <c r="DJ410" s="1"/>
      <c r="DK410" s="1"/>
      <c r="DL410" s="1"/>
      <c r="DM410" s="1"/>
      <c r="DN410" s="1"/>
      <c r="DO410" s="1"/>
      <c r="DP410" s="1"/>
      <c r="DQ410" s="1"/>
      <c r="DR410" s="1"/>
      <c r="DS410" s="1"/>
      <c r="DT410" s="1"/>
      <c r="DU410" s="14"/>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29"/>
    </row>
    <row r="411" spans="1:160" x14ac:dyDescent="0.25">
      <c r="A411" s="5"/>
      <c r="B411" s="1"/>
      <c r="C411" s="98"/>
      <c r="D411" s="98"/>
      <c r="E411" s="1"/>
      <c r="F411" s="22"/>
      <c r="G411" s="22"/>
      <c r="H411" s="22"/>
      <c r="I411" s="22"/>
      <c r="J411" s="22"/>
      <c r="K411" s="22"/>
      <c r="L411" s="22"/>
      <c r="M411" s="22"/>
      <c r="N411" s="22"/>
      <c r="O411" s="22"/>
      <c r="P411" s="22"/>
      <c r="Q411" s="22"/>
      <c r="R411" s="1"/>
      <c r="S411" s="1"/>
      <c r="T411" s="8"/>
      <c r="U411" s="1"/>
      <c r="V411" s="1"/>
      <c r="W411" s="1"/>
      <c r="X411" s="1"/>
      <c r="Y411" s="1"/>
      <c r="Z411" s="1"/>
      <c r="AA411" s="1"/>
      <c r="AC411" s="1"/>
      <c r="AD411" s="1"/>
      <c r="AE411" s="1"/>
      <c r="AF411" s="1"/>
      <c r="AG411" s="1"/>
      <c r="AH411" s="26"/>
      <c r="AI411" s="26"/>
      <c r="AJ411" s="26"/>
      <c r="AK411" s="26"/>
      <c r="AL411" s="26"/>
      <c r="AM411" s="26"/>
      <c r="AN411" s="26"/>
      <c r="AO411" s="26"/>
      <c r="AP411" s="26"/>
      <c r="AQ411" s="26"/>
      <c r="AR411" s="26"/>
      <c r="AS411" s="26"/>
      <c r="AT411" s="26"/>
      <c r="AU411" s="26"/>
      <c r="AV411" s="26"/>
      <c r="AW411" s="26"/>
      <c r="AX411" s="26"/>
      <c r="AY411" s="1"/>
      <c r="AZ411" s="26"/>
      <c r="BA411" s="26"/>
      <c r="BB411" s="26"/>
      <c r="BC411" s="26"/>
      <c r="BD411" s="26"/>
      <c r="BE411" s="26"/>
      <c r="BF411" s="26"/>
      <c r="BG411" s="26"/>
      <c r="BH411" s="26"/>
      <c r="BI411" s="26"/>
      <c r="BJ411" s="26"/>
      <c r="BK411" s="26"/>
      <c r="BL411" s="26"/>
      <c r="BM411" s="26"/>
      <c r="BN411" s="26"/>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96"/>
      <c r="CP411" s="14"/>
      <c r="CQ411" s="14"/>
      <c r="CR411" s="14"/>
      <c r="CS411" s="14"/>
      <c r="CT411" s="1"/>
      <c r="CU411" s="14"/>
      <c r="CV411" s="1"/>
      <c r="CW411" s="1"/>
      <c r="CX411" s="14"/>
      <c r="CY411" s="1"/>
      <c r="CZ411" s="1"/>
      <c r="DA411" s="1"/>
      <c r="DB411" s="1"/>
      <c r="DC411" s="1"/>
      <c r="DD411" s="1"/>
      <c r="DE411" s="1"/>
      <c r="DF411" s="1"/>
      <c r="DG411" s="1"/>
      <c r="DH411" s="1"/>
      <c r="DI411" s="1"/>
      <c r="DJ411" s="1"/>
      <c r="DK411" s="1"/>
      <c r="DL411" s="1"/>
      <c r="DM411" s="1"/>
      <c r="DN411" s="1"/>
      <c r="DO411" s="1"/>
      <c r="DP411" s="1"/>
      <c r="DQ411" s="1"/>
      <c r="DR411" s="1"/>
      <c r="DS411" s="1"/>
      <c r="DT411" s="1"/>
      <c r="DU411" s="14"/>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29"/>
    </row>
    <row r="412" spans="1:160" x14ac:dyDescent="0.25">
      <c r="A412" s="5"/>
      <c r="B412" s="1"/>
      <c r="C412" s="98"/>
      <c r="D412" s="98"/>
      <c r="E412" s="1"/>
      <c r="F412" s="22"/>
      <c r="G412" s="22"/>
      <c r="H412" s="22"/>
      <c r="I412" s="22"/>
      <c r="J412" s="22"/>
      <c r="K412" s="22"/>
      <c r="L412" s="22"/>
      <c r="M412" s="22"/>
      <c r="N412" s="22"/>
      <c r="O412" s="22"/>
      <c r="P412" s="22"/>
      <c r="Q412" s="22"/>
      <c r="R412" s="1"/>
      <c r="S412" s="1"/>
      <c r="T412" s="8"/>
      <c r="U412" s="1"/>
      <c r="V412" s="1"/>
      <c r="W412" s="1"/>
      <c r="X412" s="1"/>
      <c r="Y412" s="1"/>
      <c r="Z412" s="1"/>
      <c r="AA412" s="1"/>
      <c r="AC412" s="1"/>
      <c r="AD412" s="1"/>
      <c r="AE412" s="1"/>
      <c r="AF412" s="1"/>
      <c r="AG412" s="1"/>
      <c r="AH412" s="26"/>
      <c r="AI412" s="26"/>
      <c r="AJ412" s="26"/>
      <c r="AK412" s="26"/>
      <c r="AL412" s="26"/>
      <c r="AM412" s="26"/>
      <c r="AN412" s="26"/>
      <c r="AO412" s="26"/>
      <c r="AP412" s="26"/>
      <c r="AQ412" s="26"/>
      <c r="AR412" s="26"/>
      <c r="AS412" s="26"/>
      <c r="AT412" s="26"/>
      <c r="AU412" s="26"/>
      <c r="AV412" s="26"/>
      <c r="AW412" s="26"/>
      <c r="AX412" s="26"/>
      <c r="AY412" s="1"/>
      <c r="AZ412" s="26"/>
      <c r="BA412" s="26"/>
      <c r="BB412" s="26"/>
      <c r="BC412" s="26"/>
      <c r="BD412" s="26"/>
      <c r="BE412" s="26"/>
      <c r="BF412" s="26"/>
      <c r="BG412" s="26"/>
      <c r="BH412" s="26"/>
      <c r="BI412" s="26"/>
      <c r="BJ412" s="26"/>
      <c r="BK412" s="26"/>
      <c r="BL412" s="26"/>
      <c r="BM412" s="26"/>
      <c r="BN412" s="26"/>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96"/>
      <c r="CP412" s="14"/>
      <c r="CQ412" s="14"/>
      <c r="CR412" s="14"/>
      <c r="CS412" s="14"/>
      <c r="CT412" s="1"/>
      <c r="CU412" s="14"/>
      <c r="CV412" s="1"/>
      <c r="CW412" s="1"/>
      <c r="CX412" s="14"/>
      <c r="CY412" s="1"/>
      <c r="CZ412" s="1"/>
      <c r="DA412" s="1"/>
      <c r="DB412" s="1"/>
      <c r="DC412" s="1"/>
      <c r="DD412" s="1"/>
      <c r="DE412" s="1"/>
      <c r="DF412" s="1"/>
      <c r="DG412" s="1"/>
      <c r="DH412" s="1"/>
      <c r="DI412" s="1"/>
      <c r="DJ412" s="1"/>
      <c r="DK412" s="1"/>
      <c r="DL412" s="1"/>
      <c r="DM412" s="1"/>
      <c r="DN412" s="1"/>
      <c r="DO412" s="1"/>
      <c r="DP412" s="1"/>
      <c r="DQ412" s="1"/>
      <c r="DR412" s="1"/>
      <c r="DS412" s="1"/>
      <c r="DT412" s="1"/>
      <c r="DU412" s="14"/>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29"/>
    </row>
    <row r="413" spans="1:160" x14ac:dyDescent="0.25">
      <c r="A413" s="5"/>
      <c r="B413" s="1"/>
      <c r="C413" s="98"/>
      <c r="D413" s="98"/>
      <c r="E413" s="1"/>
      <c r="F413" s="22"/>
      <c r="G413" s="22"/>
      <c r="H413" s="22"/>
      <c r="I413" s="22"/>
      <c r="J413" s="22"/>
      <c r="K413" s="22"/>
      <c r="L413" s="22"/>
      <c r="M413" s="22"/>
      <c r="N413" s="22"/>
      <c r="O413" s="22"/>
      <c r="P413" s="22"/>
      <c r="Q413" s="22"/>
      <c r="R413" s="1"/>
      <c r="S413" s="1"/>
      <c r="T413" s="8"/>
      <c r="U413" s="1"/>
      <c r="V413" s="1"/>
      <c r="W413" s="1"/>
      <c r="X413" s="1"/>
      <c r="Y413" s="1"/>
      <c r="Z413" s="1"/>
      <c r="AA413" s="1"/>
      <c r="AC413" s="1"/>
      <c r="AD413" s="1"/>
      <c r="AE413" s="1"/>
      <c r="AF413" s="1"/>
      <c r="AG413" s="1"/>
      <c r="AH413" s="26"/>
      <c r="AI413" s="26"/>
      <c r="AJ413" s="26"/>
      <c r="AK413" s="26"/>
      <c r="AL413" s="26"/>
      <c r="AM413" s="26"/>
      <c r="AN413" s="26"/>
      <c r="AO413" s="26"/>
      <c r="AP413" s="26"/>
      <c r="AQ413" s="26"/>
      <c r="AR413" s="26"/>
      <c r="AS413" s="26"/>
      <c r="AT413" s="26"/>
      <c r="AU413" s="26"/>
      <c r="AV413" s="26"/>
      <c r="AW413" s="26"/>
      <c r="AX413" s="26"/>
      <c r="AY413" s="1"/>
      <c r="AZ413" s="26"/>
      <c r="BA413" s="26"/>
      <c r="BB413" s="26"/>
      <c r="BC413" s="26"/>
      <c r="BD413" s="26"/>
      <c r="BE413" s="26"/>
      <c r="BF413" s="26"/>
      <c r="BG413" s="26"/>
      <c r="BH413" s="26"/>
      <c r="BI413" s="26"/>
      <c r="BJ413" s="26"/>
      <c r="BK413" s="26"/>
      <c r="BL413" s="26"/>
      <c r="BM413" s="26"/>
      <c r="BN413" s="26"/>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96"/>
      <c r="CP413" s="14"/>
      <c r="CQ413" s="14"/>
      <c r="CR413" s="14"/>
      <c r="CS413" s="14"/>
      <c r="CT413" s="1"/>
      <c r="CU413" s="14"/>
      <c r="CV413" s="1"/>
      <c r="CW413" s="1"/>
      <c r="CX413" s="14"/>
      <c r="CY413" s="1"/>
      <c r="CZ413" s="1"/>
      <c r="DA413" s="1"/>
      <c r="DB413" s="1"/>
      <c r="DC413" s="1"/>
      <c r="DD413" s="1"/>
      <c r="DE413" s="1"/>
      <c r="DF413" s="1"/>
      <c r="DG413" s="1"/>
      <c r="DH413" s="1"/>
      <c r="DI413" s="1"/>
      <c r="DJ413" s="1"/>
      <c r="DK413" s="1"/>
      <c r="DL413" s="1"/>
      <c r="DM413" s="1"/>
      <c r="DN413" s="1"/>
      <c r="DO413" s="1"/>
      <c r="DP413" s="1"/>
      <c r="DQ413" s="1"/>
      <c r="DR413" s="1"/>
      <c r="DS413" s="1"/>
      <c r="DT413" s="1"/>
      <c r="DU413" s="14"/>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29"/>
    </row>
    <row r="414" spans="1:160" x14ac:dyDescent="0.25">
      <c r="A414" s="5"/>
      <c r="B414" s="1"/>
      <c r="C414" s="98"/>
      <c r="D414" s="98"/>
      <c r="E414" s="1"/>
      <c r="F414" s="22"/>
      <c r="G414" s="22"/>
      <c r="H414" s="22"/>
      <c r="I414" s="22"/>
      <c r="J414" s="22"/>
      <c r="K414" s="22"/>
      <c r="L414" s="22"/>
      <c r="M414" s="22"/>
      <c r="N414" s="22"/>
      <c r="O414" s="22"/>
      <c r="P414" s="22"/>
      <c r="Q414" s="22"/>
      <c r="R414" s="1"/>
      <c r="S414" s="1"/>
      <c r="T414" s="8"/>
      <c r="U414" s="1"/>
      <c r="V414" s="1"/>
      <c r="W414" s="1"/>
      <c r="X414" s="1"/>
      <c r="Y414" s="1"/>
      <c r="Z414" s="1"/>
      <c r="AA414" s="1"/>
      <c r="AC414" s="1"/>
      <c r="AD414" s="1"/>
      <c r="AE414" s="1"/>
      <c r="AF414" s="1"/>
      <c r="AG414" s="1"/>
      <c r="AH414" s="26"/>
      <c r="AI414" s="26"/>
      <c r="AJ414" s="26"/>
      <c r="AK414" s="26"/>
      <c r="AL414" s="26"/>
      <c r="AM414" s="26"/>
      <c r="AN414" s="26"/>
      <c r="AO414" s="26"/>
      <c r="AP414" s="26"/>
      <c r="AQ414" s="26"/>
      <c r="AR414" s="26"/>
      <c r="AS414" s="26"/>
      <c r="AT414" s="26"/>
      <c r="AU414" s="26"/>
      <c r="AV414" s="26"/>
      <c r="AW414" s="26"/>
      <c r="AX414" s="26"/>
      <c r="AY414" s="1"/>
      <c r="AZ414" s="26"/>
      <c r="BA414" s="26"/>
      <c r="BB414" s="26"/>
      <c r="BC414" s="26"/>
      <c r="BD414" s="26"/>
      <c r="BE414" s="26"/>
      <c r="BF414" s="26"/>
      <c r="BG414" s="26"/>
      <c r="BH414" s="26"/>
      <c r="BI414" s="26"/>
      <c r="BJ414" s="26"/>
      <c r="BK414" s="26"/>
      <c r="BL414" s="26"/>
      <c r="BM414" s="26"/>
      <c r="BN414" s="26"/>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96"/>
      <c r="CP414" s="14"/>
      <c r="CQ414" s="14"/>
      <c r="CR414" s="14"/>
      <c r="CS414" s="14"/>
      <c r="CT414" s="1"/>
      <c r="CU414" s="14"/>
      <c r="CV414" s="1"/>
      <c r="CW414" s="1"/>
      <c r="CX414" s="14"/>
      <c r="CY414" s="1"/>
      <c r="CZ414" s="1"/>
      <c r="DA414" s="1"/>
      <c r="DB414" s="1"/>
      <c r="DC414" s="1"/>
      <c r="DD414" s="1"/>
      <c r="DE414" s="1"/>
      <c r="DF414" s="1"/>
      <c r="DG414" s="1"/>
      <c r="DH414" s="1"/>
      <c r="DI414" s="1"/>
      <c r="DJ414" s="1"/>
      <c r="DK414" s="1"/>
      <c r="DL414" s="1"/>
      <c r="DM414" s="1"/>
      <c r="DN414" s="1"/>
      <c r="DO414" s="1"/>
      <c r="DP414" s="1"/>
      <c r="DQ414" s="1"/>
      <c r="DR414" s="1"/>
      <c r="DS414" s="1"/>
      <c r="DT414" s="1"/>
      <c r="DU414" s="14"/>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29"/>
    </row>
    <row r="415" spans="1:160" x14ac:dyDescent="0.25">
      <c r="A415" s="5"/>
      <c r="B415" s="1"/>
      <c r="C415" s="98"/>
      <c r="D415" s="98"/>
      <c r="E415" s="1"/>
      <c r="F415" s="22"/>
      <c r="G415" s="22"/>
      <c r="H415" s="22"/>
      <c r="I415" s="22"/>
      <c r="J415" s="22"/>
      <c r="K415" s="22"/>
      <c r="L415" s="22"/>
      <c r="M415" s="22"/>
      <c r="N415" s="22"/>
      <c r="O415" s="22"/>
      <c r="P415" s="22"/>
      <c r="Q415" s="22"/>
      <c r="R415" s="1"/>
      <c r="S415" s="1"/>
      <c r="T415" s="8"/>
      <c r="U415" s="1"/>
      <c r="V415" s="1"/>
      <c r="W415" s="1"/>
      <c r="X415" s="1"/>
      <c r="Y415" s="1"/>
      <c r="Z415" s="1"/>
      <c r="AA415" s="1"/>
      <c r="AC415" s="1"/>
      <c r="AD415" s="1"/>
      <c r="AE415" s="1"/>
      <c r="AF415" s="1"/>
      <c r="AG415" s="1"/>
      <c r="AH415" s="26"/>
      <c r="AI415" s="26"/>
      <c r="AJ415" s="26"/>
      <c r="AK415" s="26"/>
      <c r="AL415" s="26"/>
      <c r="AM415" s="26"/>
      <c r="AN415" s="26"/>
      <c r="AO415" s="26"/>
      <c r="AP415" s="26"/>
      <c r="AQ415" s="26"/>
      <c r="AR415" s="26"/>
      <c r="AS415" s="26"/>
      <c r="AT415" s="26"/>
      <c r="AU415" s="26"/>
      <c r="AV415" s="26"/>
      <c r="AW415" s="26"/>
      <c r="AX415" s="26"/>
      <c r="AY415" s="1"/>
      <c r="AZ415" s="26"/>
      <c r="BA415" s="26"/>
      <c r="BB415" s="26"/>
      <c r="BC415" s="26"/>
      <c r="BD415" s="26"/>
      <c r="BE415" s="26"/>
      <c r="BF415" s="26"/>
      <c r="BG415" s="26"/>
      <c r="BH415" s="26"/>
      <c r="BI415" s="26"/>
      <c r="BJ415" s="26"/>
      <c r="BK415" s="26"/>
      <c r="BL415" s="26"/>
      <c r="BM415" s="26"/>
      <c r="BN415" s="26"/>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96"/>
      <c r="CP415" s="14"/>
      <c r="CQ415" s="14"/>
      <c r="CR415" s="14"/>
      <c r="CS415" s="14"/>
      <c r="CT415" s="1"/>
      <c r="CU415" s="14"/>
      <c r="CV415" s="1"/>
      <c r="CW415" s="1"/>
      <c r="CX415" s="14"/>
      <c r="CY415" s="1"/>
      <c r="CZ415" s="1"/>
      <c r="DA415" s="1"/>
      <c r="DB415" s="1"/>
      <c r="DC415" s="1"/>
      <c r="DD415" s="1"/>
      <c r="DE415" s="1"/>
      <c r="DF415" s="1"/>
      <c r="DG415" s="1"/>
      <c r="DH415" s="1"/>
      <c r="DI415" s="1"/>
      <c r="DJ415" s="1"/>
      <c r="DK415" s="1"/>
      <c r="DL415" s="1"/>
      <c r="DM415" s="1"/>
      <c r="DN415" s="1"/>
      <c r="DO415" s="1"/>
      <c r="DP415" s="1"/>
      <c r="DQ415" s="1"/>
      <c r="DR415" s="1"/>
      <c r="DS415" s="1"/>
      <c r="DT415" s="1"/>
      <c r="DU415" s="14"/>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29"/>
    </row>
    <row r="416" spans="1:160" x14ac:dyDescent="0.25">
      <c r="A416" s="5"/>
      <c r="B416" s="1"/>
      <c r="C416" s="98"/>
      <c r="D416" s="98"/>
      <c r="E416" s="1"/>
      <c r="F416" s="22"/>
      <c r="G416" s="22"/>
      <c r="H416" s="22"/>
      <c r="I416" s="22"/>
      <c r="J416" s="22"/>
      <c r="K416" s="22"/>
      <c r="L416" s="22"/>
      <c r="M416" s="22"/>
      <c r="N416" s="22"/>
      <c r="O416" s="22"/>
      <c r="P416" s="22"/>
      <c r="Q416" s="22"/>
      <c r="R416" s="1"/>
      <c r="S416" s="1"/>
      <c r="T416" s="8"/>
      <c r="U416" s="1"/>
      <c r="V416" s="1"/>
      <c r="W416" s="1"/>
      <c r="X416" s="1"/>
      <c r="Y416" s="1"/>
      <c r="Z416" s="1"/>
      <c r="AA416" s="1"/>
      <c r="AC416" s="1"/>
      <c r="AD416" s="1"/>
      <c r="AE416" s="1"/>
      <c r="AF416" s="1"/>
      <c r="AG416" s="1"/>
      <c r="AH416" s="26"/>
      <c r="AI416" s="26"/>
      <c r="AJ416" s="26"/>
      <c r="AK416" s="26"/>
      <c r="AL416" s="26"/>
      <c r="AM416" s="26"/>
      <c r="AN416" s="26"/>
      <c r="AO416" s="26"/>
      <c r="AP416" s="26"/>
      <c r="AQ416" s="26"/>
      <c r="AR416" s="26"/>
      <c r="AS416" s="26"/>
      <c r="AT416" s="26"/>
      <c r="AU416" s="26"/>
      <c r="AV416" s="26"/>
      <c r="AW416" s="26"/>
      <c r="AX416" s="26"/>
      <c r="AY416" s="1"/>
      <c r="AZ416" s="26"/>
      <c r="BA416" s="26"/>
      <c r="BB416" s="26"/>
      <c r="BC416" s="26"/>
      <c r="BD416" s="26"/>
      <c r="BE416" s="26"/>
      <c r="BF416" s="26"/>
      <c r="BG416" s="26"/>
      <c r="BH416" s="26"/>
      <c r="BI416" s="26"/>
      <c r="BJ416" s="26"/>
      <c r="BK416" s="26"/>
      <c r="BL416" s="26"/>
      <c r="BM416" s="26"/>
      <c r="BN416" s="26"/>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96"/>
      <c r="CP416" s="14"/>
      <c r="CQ416" s="14"/>
      <c r="CR416" s="14"/>
      <c r="CS416" s="14"/>
      <c r="CT416" s="1"/>
      <c r="CU416" s="14"/>
      <c r="CV416" s="1"/>
      <c r="CW416" s="1"/>
      <c r="CX416" s="14"/>
      <c r="CY416" s="1"/>
      <c r="CZ416" s="1"/>
      <c r="DA416" s="1"/>
      <c r="DB416" s="1"/>
      <c r="DC416" s="1"/>
      <c r="DD416" s="1"/>
      <c r="DE416" s="1"/>
      <c r="DF416" s="1"/>
      <c r="DG416" s="1"/>
      <c r="DH416" s="1"/>
      <c r="DI416" s="1"/>
      <c r="DJ416" s="1"/>
      <c r="DK416" s="1"/>
      <c r="DL416" s="1"/>
      <c r="DM416" s="1"/>
      <c r="DN416" s="1"/>
      <c r="DO416" s="1"/>
      <c r="DP416" s="1"/>
      <c r="DQ416" s="1"/>
      <c r="DR416" s="1"/>
      <c r="DS416" s="1"/>
      <c r="DT416" s="1"/>
      <c r="DU416" s="14"/>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29"/>
    </row>
    <row r="417" spans="1:160" x14ac:dyDescent="0.25">
      <c r="A417" s="5"/>
      <c r="B417" s="1"/>
      <c r="C417" s="98"/>
      <c r="D417" s="98"/>
      <c r="E417" s="1"/>
      <c r="F417" s="22"/>
      <c r="G417" s="22"/>
      <c r="H417" s="22"/>
      <c r="I417" s="22"/>
      <c r="J417" s="22"/>
      <c r="K417" s="22"/>
      <c r="L417" s="22"/>
      <c r="M417" s="22"/>
      <c r="N417" s="22"/>
      <c r="O417" s="22"/>
      <c r="P417" s="22"/>
      <c r="Q417" s="22"/>
      <c r="R417" s="1"/>
      <c r="S417" s="1"/>
      <c r="T417" s="8"/>
      <c r="U417" s="1"/>
      <c r="V417" s="1"/>
      <c r="W417" s="1"/>
      <c r="X417" s="1"/>
      <c r="Y417" s="1"/>
      <c r="Z417" s="1"/>
      <c r="AA417" s="1"/>
      <c r="AC417" s="1"/>
      <c r="AD417" s="1"/>
      <c r="AE417" s="1"/>
      <c r="AF417" s="1"/>
      <c r="AG417" s="1"/>
      <c r="AH417" s="26"/>
      <c r="AI417" s="26"/>
      <c r="AJ417" s="26"/>
      <c r="AK417" s="26"/>
      <c r="AL417" s="26"/>
      <c r="AM417" s="26"/>
      <c r="AN417" s="26"/>
      <c r="AO417" s="26"/>
      <c r="AP417" s="26"/>
      <c r="AQ417" s="26"/>
      <c r="AR417" s="26"/>
      <c r="AS417" s="26"/>
      <c r="AT417" s="26"/>
      <c r="AU417" s="26"/>
      <c r="AV417" s="26"/>
      <c r="AW417" s="26"/>
      <c r="AX417" s="26"/>
      <c r="AY417" s="1"/>
      <c r="AZ417" s="26"/>
      <c r="BA417" s="26"/>
      <c r="BB417" s="26"/>
      <c r="BC417" s="26"/>
      <c r="BD417" s="26"/>
      <c r="BE417" s="26"/>
      <c r="BF417" s="26"/>
      <c r="BG417" s="26"/>
      <c r="BH417" s="26"/>
      <c r="BI417" s="26"/>
      <c r="BJ417" s="26"/>
      <c r="BK417" s="26"/>
      <c r="BL417" s="26"/>
      <c r="BM417" s="26"/>
      <c r="BN417" s="26"/>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96"/>
      <c r="CP417" s="14"/>
      <c r="CQ417" s="14"/>
      <c r="CR417" s="14"/>
      <c r="CS417" s="14"/>
      <c r="CT417" s="1"/>
      <c r="CU417" s="14"/>
      <c r="CV417" s="1"/>
      <c r="CW417" s="1"/>
      <c r="CX417" s="14"/>
      <c r="CY417" s="1"/>
      <c r="CZ417" s="1"/>
      <c r="DA417" s="1"/>
      <c r="DB417" s="1"/>
      <c r="DC417" s="1"/>
      <c r="DD417" s="1"/>
      <c r="DE417" s="1"/>
      <c r="DF417" s="1"/>
      <c r="DG417" s="1"/>
      <c r="DH417" s="1"/>
      <c r="DI417" s="1"/>
      <c r="DJ417" s="1"/>
      <c r="DK417" s="1"/>
      <c r="DL417" s="1"/>
      <c r="DM417" s="1"/>
      <c r="DN417" s="1"/>
      <c r="DO417" s="1"/>
      <c r="DP417" s="1"/>
      <c r="DQ417" s="1"/>
      <c r="DR417" s="1"/>
      <c r="DS417" s="1"/>
      <c r="DT417" s="1"/>
      <c r="DU417" s="14"/>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29"/>
    </row>
    <row r="418" spans="1:160" x14ac:dyDescent="0.25">
      <c r="A418" s="5"/>
      <c r="B418" s="1"/>
      <c r="C418" s="98"/>
      <c r="D418" s="98"/>
      <c r="E418" s="1"/>
      <c r="F418" s="22"/>
      <c r="G418" s="22"/>
      <c r="H418" s="22"/>
      <c r="I418" s="22"/>
      <c r="J418" s="22"/>
      <c r="K418" s="22"/>
      <c r="L418" s="22"/>
      <c r="M418" s="22"/>
      <c r="N418" s="22"/>
      <c r="O418" s="22"/>
      <c r="P418" s="22"/>
      <c r="Q418" s="22"/>
      <c r="R418" s="1"/>
      <c r="S418" s="1"/>
      <c r="T418" s="8"/>
      <c r="U418" s="1"/>
      <c r="V418" s="1"/>
      <c r="W418" s="1"/>
      <c r="X418" s="1"/>
      <c r="Y418" s="1"/>
      <c r="Z418" s="1"/>
      <c r="AA418" s="1"/>
      <c r="AC418" s="1"/>
      <c r="AD418" s="1"/>
      <c r="AE418" s="1"/>
      <c r="AF418" s="1"/>
      <c r="AG418" s="1"/>
      <c r="AH418" s="26"/>
      <c r="AI418" s="26"/>
      <c r="AJ418" s="26"/>
      <c r="AK418" s="26"/>
      <c r="AL418" s="26"/>
      <c r="AM418" s="26"/>
      <c r="AN418" s="26"/>
      <c r="AO418" s="26"/>
      <c r="AP418" s="26"/>
      <c r="AQ418" s="26"/>
      <c r="AR418" s="26"/>
      <c r="AS418" s="26"/>
      <c r="AT418" s="26"/>
      <c r="AU418" s="26"/>
      <c r="AV418" s="26"/>
      <c r="AW418" s="26"/>
      <c r="AX418" s="26"/>
      <c r="AY418" s="1"/>
      <c r="AZ418" s="26"/>
      <c r="BA418" s="26"/>
      <c r="BB418" s="26"/>
      <c r="BC418" s="26"/>
      <c r="BD418" s="26"/>
      <c r="BE418" s="26"/>
      <c r="BF418" s="26"/>
      <c r="BG418" s="26"/>
      <c r="BH418" s="26"/>
      <c r="BI418" s="26"/>
      <c r="BJ418" s="26"/>
      <c r="BK418" s="26"/>
      <c r="BL418" s="26"/>
      <c r="BM418" s="26"/>
      <c r="BN418" s="26"/>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96"/>
      <c r="CP418" s="14"/>
      <c r="CQ418" s="14"/>
      <c r="CR418" s="14"/>
      <c r="CS418" s="14"/>
      <c r="CT418" s="1"/>
      <c r="CU418" s="14"/>
      <c r="CV418" s="1"/>
      <c r="CW418" s="1"/>
      <c r="CX418" s="14"/>
      <c r="CY418" s="1"/>
      <c r="CZ418" s="1"/>
      <c r="DA418" s="1"/>
      <c r="DB418" s="1"/>
      <c r="DC418" s="1"/>
      <c r="DD418" s="1"/>
      <c r="DE418" s="1"/>
      <c r="DF418" s="1"/>
      <c r="DG418" s="1"/>
      <c r="DH418" s="1"/>
      <c r="DI418" s="1"/>
      <c r="DJ418" s="1"/>
      <c r="DK418" s="1"/>
      <c r="DL418" s="1"/>
      <c r="DM418" s="1"/>
      <c r="DN418" s="1"/>
      <c r="DO418" s="1"/>
      <c r="DP418" s="1"/>
      <c r="DQ418" s="1"/>
      <c r="DR418" s="1"/>
      <c r="DS418" s="1"/>
      <c r="DT418" s="1"/>
      <c r="DU418" s="14"/>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29"/>
    </row>
    <row r="419" spans="1:160" x14ac:dyDescent="0.25">
      <c r="A419" s="5"/>
      <c r="B419" s="1"/>
      <c r="C419" s="98"/>
      <c r="D419" s="98"/>
      <c r="E419" s="1"/>
      <c r="F419" s="22"/>
      <c r="G419" s="22"/>
      <c r="H419" s="22"/>
      <c r="I419" s="22"/>
      <c r="J419" s="22"/>
      <c r="K419" s="22"/>
      <c r="L419" s="22"/>
      <c r="M419" s="22"/>
      <c r="N419" s="22"/>
      <c r="O419" s="22"/>
      <c r="P419" s="22"/>
      <c r="Q419" s="22"/>
      <c r="R419" s="1"/>
      <c r="S419" s="1"/>
      <c r="T419" s="8"/>
      <c r="U419" s="1"/>
      <c r="V419" s="1"/>
      <c r="W419" s="1"/>
      <c r="X419" s="1"/>
      <c r="Y419" s="1"/>
      <c r="Z419" s="1"/>
      <c r="AA419" s="1"/>
      <c r="AC419" s="1"/>
      <c r="AD419" s="1"/>
      <c r="AE419" s="1"/>
      <c r="AF419" s="1"/>
      <c r="AG419" s="1"/>
      <c r="AH419" s="26"/>
      <c r="AI419" s="26"/>
      <c r="AJ419" s="26"/>
      <c r="AK419" s="26"/>
      <c r="AL419" s="26"/>
      <c r="AM419" s="26"/>
      <c r="AN419" s="26"/>
      <c r="AO419" s="26"/>
      <c r="AP419" s="26"/>
      <c r="AQ419" s="26"/>
      <c r="AR419" s="26"/>
      <c r="AS419" s="26"/>
      <c r="AT419" s="26"/>
      <c r="AU419" s="26"/>
      <c r="AV419" s="26"/>
      <c r="AW419" s="26"/>
      <c r="AX419" s="26"/>
      <c r="AY419" s="1"/>
      <c r="AZ419" s="26"/>
      <c r="BA419" s="26"/>
      <c r="BB419" s="26"/>
      <c r="BC419" s="26"/>
      <c r="BD419" s="26"/>
      <c r="BE419" s="26"/>
      <c r="BF419" s="26"/>
      <c r="BG419" s="26"/>
      <c r="BH419" s="26"/>
      <c r="BI419" s="26"/>
      <c r="BJ419" s="26"/>
      <c r="BK419" s="26"/>
      <c r="BL419" s="26"/>
      <c r="BM419" s="26"/>
      <c r="BN419" s="26"/>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96"/>
      <c r="CP419" s="14"/>
      <c r="CQ419" s="14"/>
      <c r="CR419" s="14"/>
      <c r="CS419" s="14"/>
      <c r="CT419" s="1"/>
      <c r="CU419" s="14"/>
      <c r="CV419" s="1"/>
      <c r="CW419" s="1"/>
      <c r="CX419" s="14"/>
      <c r="CY419" s="1"/>
      <c r="CZ419" s="1"/>
      <c r="DA419" s="1"/>
      <c r="DB419" s="1"/>
      <c r="DC419" s="1"/>
      <c r="DD419" s="1"/>
      <c r="DE419" s="1"/>
      <c r="DF419" s="1"/>
      <c r="DG419" s="1"/>
      <c r="DH419" s="1"/>
      <c r="DI419" s="1"/>
      <c r="DJ419" s="1"/>
      <c r="DK419" s="1"/>
      <c r="DL419" s="1"/>
      <c r="DM419" s="1"/>
      <c r="DN419" s="1"/>
      <c r="DO419" s="1"/>
      <c r="DP419" s="1"/>
      <c r="DQ419" s="1"/>
      <c r="DR419" s="1"/>
      <c r="DS419" s="1"/>
      <c r="DT419" s="1"/>
      <c r="DU419" s="14"/>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29"/>
    </row>
    <row r="420" spans="1:160" x14ac:dyDescent="0.25">
      <c r="A420" s="5"/>
      <c r="B420" s="1"/>
      <c r="C420" s="98"/>
      <c r="D420" s="98"/>
      <c r="E420" s="1"/>
      <c r="F420" s="22"/>
      <c r="G420" s="22"/>
      <c r="H420" s="22"/>
      <c r="I420" s="22"/>
      <c r="J420" s="22"/>
      <c r="K420" s="22"/>
      <c r="L420" s="22"/>
      <c r="M420" s="22"/>
      <c r="N420" s="22"/>
      <c r="O420" s="22"/>
      <c r="P420" s="22"/>
      <c r="Q420" s="22"/>
      <c r="R420" s="1"/>
      <c r="S420" s="1"/>
      <c r="T420" s="8"/>
      <c r="U420" s="1"/>
      <c r="V420" s="1"/>
      <c r="W420" s="1"/>
      <c r="X420" s="1"/>
      <c r="Y420" s="1"/>
      <c r="Z420" s="1"/>
      <c r="AA420" s="1"/>
      <c r="AC420" s="1"/>
      <c r="AD420" s="1"/>
      <c r="AE420" s="1"/>
      <c r="AF420" s="1"/>
      <c r="AG420" s="1"/>
      <c r="AH420" s="26"/>
      <c r="AI420" s="26"/>
      <c r="AJ420" s="26"/>
      <c r="AK420" s="26"/>
      <c r="AL420" s="26"/>
      <c r="AM420" s="26"/>
      <c r="AN420" s="26"/>
      <c r="AO420" s="26"/>
      <c r="AP420" s="26"/>
      <c r="AQ420" s="26"/>
      <c r="AR420" s="26"/>
      <c r="AS420" s="26"/>
      <c r="AT420" s="26"/>
      <c r="AU420" s="26"/>
      <c r="AV420" s="26"/>
      <c r="AW420" s="26"/>
      <c r="AX420" s="26"/>
      <c r="AY420" s="1"/>
      <c r="AZ420" s="26"/>
      <c r="BA420" s="26"/>
      <c r="BB420" s="26"/>
      <c r="BC420" s="26"/>
      <c r="BD420" s="26"/>
      <c r="BE420" s="26"/>
      <c r="BF420" s="26"/>
      <c r="BG420" s="26"/>
      <c r="BH420" s="26"/>
      <c r="BI420" s="26"/>
      <c r="BJ420" s="26"/>
      <c r="BK420" s="26"/>
      <c r="BL420" s="26"/>
      <c r="BM420" s="26"/>
      <c r="BN420" s="26"/>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96"/>
      <c r="CP420" s="14"/>
      <c r="CQ420" s="14"/>
      <c r="CR420" s="14"/>
      <c r="CS420" s="14"/>
      <c r="CT420" s="1"/>
      <c r="CU420" s="14"/>
      <c r="CV420" s="1"/>
      <c r="CW420" s="1"/>
      <c r="CX420" s="14"/>
      <c r="CY420" s="1"/>
      <c r="CZ420" s="1"/>
      <c r="DA420" s="1"/>
      <c r="DB420" s="1"/>
      <c r="DC420" s="1"/>
      <c r="DD420" s="1"/>
      <c r="DE420" s="1"/>
      <c r="DF420" s="1"/>
      <c r="DG420" s="1"/>
      <c r="DH420" s="1"/>
      <c r="DI420" s="1"/>
      <c r="DJ420" s="1"/>
      <c r="DK420" s="1"/>
      <c r="DL420" s="1"/>
      <c r="DM420" s="1"/>
      <c r="DN420" s="1"/>
      <c r="DO420" s="1"/>
      <c r="DP420" s="1"/>
      <c r="DQ420" s="1"/>
      <c r="DR420" s="1"/>
      <c r="DS420" s="1"/>
      <c r="DT420" s="1"/>
      <c r="DU420" s="14"/>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29"/>
    </row>
    <row r="421" spans="1:160" x14ac:dyDescent="0.25">
      <c r="A421" s="5"/>
      <c r="B421" s="1"/>
      <c r="C421" s="98"/>
      <c r="D421" s="98"/>
      <c r="E421" s="1"/>
      <c r="F421" s="22"/>
      <c r="G421" s="22"/>
      <c r="H421" s="22"/>
      <c r="I421" s="22"/>
      <c r="J421" s="22"/>
      <c r="K421" s="22"/>
      <c r="L421" s="22"/>
      <c r="M421" s="22"/>
      <c r="N421" s="22"/>
      <c r="O421" s="22"/>
      <c r="P421" s="22"/>
      <c r="Q421" s="22"/>
      <c r="R421" s="1"/>
      <c r="S421" s="1"/>
      <c r="T421" s="8"/>
      <c r="U421" s="1"/>
      <c r="V421" s="1"/>
      <c r="W421" s="1"/>
      <c r="X421" s="1"/>
      <c r="Y421" s="1"/>
      <c r="Z421" s="1"/>
      <c r="AA421" s="1"/>
      <c r="AC421" s="1"/>
      <c r="AD421" s="1"/>
      <c r="AE421" s="1"/>
      <c r="AF421" s="1"/>
      <c r="AG421" s="1"/>
      <c r="AH421" s="26"/>
      <c r="AI421" s="26"/>
      <c r="AJ421" s="26"/>
      <c r="AK421" s="26"/>
      <c r="AL421" s="26"/>
      <c r="AM421" s="26"/>
      <c r="AN421" s="26"/>
      <c r="AO421" s="26"/>
      <c r="AP421" s="26"/>
      <c r="AQ421" s="26"/>
      <c r="AR421" s="26"/>
      <c r="AS421" s="26"/>
      <c r="AT421" s="26"/>
      <c r="AU421" s="26"/>
      <c r="AV421" s="26"/>
      <c r="AW421" s="26"/>
      <c r="AX421" s="26"/>
      <c r="AY421" s="1"/>
      <c r="AZ421" s="26"/>
      <c r="BA421" s="26"/>
      <c r="BB421" s="26"/>
      <c r="BC421" s="26"/>
      <c r="BD421" s="26"/>
      <c r="BE421" s="26"/>
      <c r="BF421" s="26"/>
      <c r="BG421" s="26"/>
      <c r="BH421" s="26"/>
      <c r="BI421" s="26"/>
      <c r="BJ421" s="26"/>
      <c r="BK421" s="26"/>
      <c r="BL421" s="26"/>
      <c r="BM421" s="26"/>
      <c r="BN421" s="26"/>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96"/>
      <c r="CP421" s="14"/>
      <c r="CQ421" s="14"/>
      <c r="CR421" s="14"/>
      <c r="CS421" s="14"/>
      <c r="CT421" s="1"/>
      <c r="CU421" s="14"/>
      <c r="CV421" s="1"/>
      <c r="CW421" s="1"/>
      <c r="CX421" s="14"/>
      <c r="CY421" s="1"/>
      <c r="CZ421" s="1"/>
      <c r="DA421" s="1"/>
      <c r="DB421" s="1"/>
      <c r="DC421" s="1"/>
      <c r="DD421" s="1"/>
      <c r="DE421" s="1"/>
      <c r="DF421" s="1"/>
      <c r="DG421" s="1"/>
      <c r="DH421" s="1"/>
      <c r="DI421" s="1"/>
      <c r="DJ421" s="1"/>
      <c r="DK421" s="1"/>
      <c r="DL421" s="1"/>
      <c r="DM421" s="1"/>
      <c r="DN421" s="1"/>
      <c r="DO421" s="1"/>
      <c r="DP421" s="1"/>
      <c r="DQ421" s="1"/>
      <c r="DR421" s="1"/>
      <c r="DS421" s="1"/>
      <c r="DT421" s="1"/>
      <c r="DU421" s="14"/>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29"/>
    </row>
    <row r="422" spans="1:160" x14ac:dyDescent="0.25">
      <c r="A422" s="5"/>
      <c r="B422" s="1"/>
      <c r="C422" s="98"/>
      <c r="D422" s="98"/>
      <c r="E422" s="1"/>
      <c r="F422" s="22"/>
      <c r="G422" s="22"/>
      <c r="H422" s="22"/>
      <c r="I422" s="22"/>
      <c r="J422" s="22"/>
      <c r="K422" s="22"/>
      <c r="L422" s="22"/>
      <c r="M422" s="22"/>
      <c r="N422" s="22"/>
      <c r="O422" s="22"/>
      <c r="P422" s="22"/>
      <c r="Q422" s="22"/>
      <c r="R422" s="1"/>
      <c r="S422" s="1"/>
      <c r="T422" s="8"/>
      <c r="U422" s="1"/>
      <c r="V422" s="1"/>
      <c r="W422" s="1"/>
      <c r="X422" s="1"/>
      <c r="Y422" s="1"/>
      <c r="Z422" s="1"/>
      <c r="AA422" s="1"/>
      <c r="AC422" s="1"/>
      <c r="AD422" s="1"/>
      <c r="AE422" s="1"/>
      <c r="AF422" s="1"/>
      <c r="AG422" s="1"/>
      <c r="AH422" s="26"/>
      <c r="AI422" s="26"/>
      <c r="AJ422" s="26"/>
      <c r="AK422" s="26"/>
      <c r="AL422" s="26"/>
      <c r="AM422" s="26"/>
      <c r="AN422" s="26"/>
      <c r="AO422" s="26"/>
      <c r="AP422" s="26"/>
      <c r="AQ422" s="26"/>
      <c r="AR422" s="26"/>
      <c r="AS422" s="26"/>
      <c r="AT422" s="26"/>
      <c r="AU422" s="26"/>
      <c r="AV422" s="26"/>
      <c r="AW422" s="26"/>
      <c r="AX422" s="26"/>
      <c r="AY422" s="1"/>
      <c r="AZ422" s="26"/>
      <c r="BA422" s="26"/>
      <c r="BB422" s="26"/>
      <c r="BC422" s="26"/>
      <c r="BD422" s="26"/>
      <c r="BE422" s="26"/>
      <c r="BF422" s="26"/>
      <c r="BG422" s="26"/>
      <c r="BH422" s="26"/>
      <c r="BI422" s="26"/>
      <c r="BJ422" s="26"/>
      <c r="BK422" s="26"/>
      <c r="BL422" s="26"/>
      <c r="BM422" s="26"/>
      <c r="BN422" s="26"/>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96"/>
      <c r="CP422" s="14"/>
      <c r="CQ422" s="14"/>
      <c r="CR422" s="14"/>
      <c r="CS422" s="14"/>
      <c r="CT422" s="1"/>
      <c r="CU422" s="14"/>
      <c r="CV422" s="1"/>
      <c r="CW422" s="1"/>
      <c r="CX422" s="14"/>
      <c r="CY422" s="1"/>
      <c r="CZ422" s="1"/>
      <c r="DA422" s="1"/>
      <c r="DB422" s="1"/>
      <c r="DC422" s="1"/>
      <c r="DD422" s="1"/>
      <c r="DE422" s="1"/>
      <c r="DF422" s="1"/>
      <c r="DG422" s="1"/>
      <c r="DH422" s="1"/>
      <c r="DI422" s="1"/>
      <c r="DJ422" s="1"/>
      <c r="DK422" s="1"/>
      <c r="DL422" s="1"/>
      <c r="DM422" s="1"/>
      <c r="DN422" s="1"/>
      <c r="DO422" s="1"/>
      <c r="DP422" s="1"/>
      <c r="DQ422" s="1"/>
      <c r="DR422" s="1"/>
      <c r="DS422" s="1"/>
      <c r="DT422" s="1"/>
      <c r="DU422" s="14"/>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29"/>
    </row>
    <row r="423" spans="1:160" x14ac:dyDescent="0.25">
      <c r="A423" s="5"/>
      <c r="B423" s="1"/>
      <c r="C423" s="98"/>
      <c r="D423" s="98"/>
      <c r="E423" s="1"/>
      <c r="F423" s="22"/>
      <c r="G423" s="22"/>
      <c r="H423" s="22"/>
      <c r="I423" s="22"/>
      <c r="J423" s="22"/>
      <c r="K423" s="22"/>
      <c r="L423" s="22"/>
      <c r="M423" s="22"/>
      <c r="N423" s="22"/>
      <c r="O423" s="22"/>
      <c r="P423" s="22"/>
      <c r="Q423" s="22"/>
      <c r="R423" s="1"/>
      <c r="S423" s="1"/>
      <c r="T423" s="8"/>
      <c r="U423" s="1"/>
      <c r="V423" s="1"/>
      <c r="W423" s="1"/>
      <c r="X423" s="1"/>
      <c r="Y423" s="1"/>
      <c r="Z423" s="1"/>
      <c r="AA423" s="1"/>
      <c r="AC423" s="1"/>
      <c r="AD423" s="1"/>
      <c r="AE423" s="1"/>
      <c r="AF423" s="1"/>
      <c r="AG423" s="1"/>
      <c r="AH423" s="26"/>
      <c r="AI423" s="26"/>
      <c r="AJ423" s="26"/>
      <c r="AK423" s="26"/>
      <c r="AL423" s="26"/>
      <c r="AM423" s="26"/>
      <c r="AN423" s="26"/>
      <c r="AO423" s="26"/>
      <c r="AP423" s="26"/>
      <c r="AQ423" s="26"/>
      <c r="AR423" s="26"/>
      <c r="AS423" s="26"/>
      <c r="AT423" s="26"/>
      <c r="AU423" s="26"/>
      <c r="AV423" s="26"/>
      <c r="AW423" s="26"/>
      <c r="AX423" s="26"/>
      <c r="AY423" s="1"/>
      <c r="AZ423" s="26"/>
      <c r="BA423" s="26"/>
      <c r="BB423" s="26"/>
      <c r="BC423" s="26"/>
      <c r="BD423" s="26"/>
      <c r="BE423" s="26"/>
      <c r="BF423" s="26"/>
      <c r="BG423" s="26"/>
      <c r="BH423" s="26"/>
      <c r="BI423" s="26"/>
      <c r="BJ423" s="26"/>
      <c r="BK423" s="26"/>
      <c r="BL423" s="26"/>
      <c r="BM423" s="26"/>
      <c r="BN423" s="26"/>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96"/>
      <c r="CP423" s="14"/>
      <c r="CQ423" s="14"/>
      <c r="CR423" s="14"/>
      <c r="CS423" s="14"/>
      <c r="CT423" s="1"/>
      <c r="CU423" s="14"/>
      <c r="CV423" s="1"/>
      <c r="CW423" s="1"/>
      <c r="CX423" s="14"/>
      <c r="CY423" s="1"/>
      <c r="CZ423" s="1"/>
      <c r="DA423" s="1"/>
      <c r="DB423" s="1"/>
      <c r="DC423" s="1"/>
      <c r="DD423" s="1"/>
      <c r="DE423" s="1"/>
      <c r="DF423" s="1"/>
      <c r="DG423" s="1"/>
      <c r="DH423" s="1"/>
      <c r="DI423" s="1"/>
      <c r="DJ423" s="1"/>
      <c r="DK423" s="1"/>
      <c r="DL423" s="1"/>
      <c r="DM423" s="1"/>
      <c r="DN423" s="1"/>
      <c r="DO423" s="1"/>
      <c r="DP423" s="1"/>
      <c r="DQ423" s="1"/>
      <c r="DR423" s="1"/>
      <c r="DS423" s="1"/>
      <c r="DT423" s="1"/>
      <c r="DU423" s="14"/>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29"/>
    </row>
    <row r="424" spans="1:160" x14ac:dyDescent="0.25">
      <c r="A424" s="5"/>
      <c r="B424" s="1"/>
      <c r="C424" s="98"/>
      <c r="D424" s="98"/>
      <c r="E424" s="1"/>
      <c r="F424" s="22"/>
      <c r="G424" s="22"/>
      <c r="H424" s="22"/>
      <c r="I424" s="22"/>
      <c r="J424" s="22"/>
      <c r="K424" s="22"/>
      <c r="L424" s="22"/>
      <c r="M424" s="22"/>
      <c r="N424" s="22"/>
      <c r="O424" s="22"/>
      <c r="P424" s="22"/>
      <c r="Q424" s="22"/>
      <c r="R424" s="1"/>
      <c r="S424" s="1"/>
      <c r="T424" s="8"/>
      <c r="U424" s="1"/>
      <c r="V424" s="1"/>
      <c r="W424" s="1"/>
      <c r="X424" s="1"/>
      <c r="Y424" s="1"/>
      <c r="Z424" s="1"/>
      <c r="AA424" s="1"/>
      <c r="AC424" s="1"/>
      <c r="AD424" s="1"/>
      <c r="AE424" s="1"/>
      <c r="AF424" s="1"/>
      <c r="AG424" s="1"/>
      <c r="AH424" s="26"/>
      <c r="AI424" s="26"/>
      <c r="AJ424" s="26"/>
      <c r="AK424" s="26"/>
      <c r="AL424" s="26"/>
      <c r="AM424" s="26"/>
      <c r="AN424" s="26"/>
      <c r="AO424" s="26"/>
      <c r="AP424" s="26"/>
      <c r="AQ424" s="26"/>
      <c r="AR424" s="26"/>
      <c r="AS424" s="26"/>
      <c r="AT424" s="26"/>
      <c r="AU424" s="26"/>
      <c r="AV424" s="26"/>
      <c r="AW424" s="26"/>
      <c r="AX424" s="26"/>
      <c r="AY424" s="1"/>
      <c r="AZ424" s="26"/>
      <c r="BA424" s="26"/>
      <c r="BB424" s="26"/>
      <c r="BC424" s="26"/>
      <c r="BD424" s="26"/>
      <c r="BE424" s="26"/>
      <c r="BF424" s="26"/>
      <c r="BG424" s="26"/>
      <c r="BH424" s="26"/>
      <c r="BI424" s="26"/>
      <c r="BJ424" s="26"/>
      <c r="BK424" s="26"/>
      <c r="BL424" s="26"/>
      <c r="BM424" s="26"/>
      <c r="BN424" s="26"/>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96"/>
      <c r="CP424" s="14"/>
      <c r="CQ424" s="14"/>
      <c r="CR424" s="14"/>
      <c r="CS424" s="14"/>
      <c r="CT424" s="1"/>
      <c r="CU424" s="14"/>
      <c r="CV424" s="1"/>
      <c r="CW424" s="1"/>
      <c r="CX424" s="14"/>
      <c r="CY424" s="1"/>
      <c r="CZ424" s="1"/>
      <c r="DA424" s="1"/>
      <c r="DB424" s="1"/>
      <c r="DC424" s="1"/>
      <c r="DD424" s="1"/>
      <c r="DE424" s="1"/>
      <c r="DF424" s="1"/>
      <c r="DG424" s="1"/>
      <c r="DH424" s="1"/>
      <c r="DI424" s="1"/>
      <c r="DJ424" s="1"/>
      <c r="DK424" s="1"/>
      <c r="DL424" s="1"/>
      <c r="DM424" s="1"/>
      <c r="DN424" s="1"/>
      <c r="DO424" s="1"/>
      <c r="DP424" s="1"/>
      <c r="DQ424" s="1"/>
      <c r="DR424" s="1"/>
      <c r="DS424" s="1"/>
      <c r="DT424" s="1"/>
      <c r="DU424" s="14"/>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29"/>
    </row>
    <row r="425" spans="1:160" x14ac:dyDescent="0.25">
      <c r="A425" s="5"/>
      <c r="B425" s="1"/>
      <c r="C425" s="98"/>
      <c r="D425" s="98"/>
      <c r="E425" s="1"/>
      <c r="F425" s="22"/>
      <c r="G425" s="22"/>
      <c r="H425" s="22"/>
      <c r="I425" s="22"/>
      <c r="J425" s="22"/>
      <c r="K425" s="22"/>
      <c r="L425" s="22"/>
      <c r="M425" s="22"/>
      <c r="N425" s="22"/>
      <c r="O425" s="22"/>
      <c r="P425" s="22"/>
      <c r="Q425" s="22"/>
      <c r="R425" s="1"/>
      <c r="S425" s="1"/>
      <c r="T425" s="8"/>
      <c r="U425" s="1"/>
      <c r="V425" s="1"/>
      <c r="W425" s="1"/>
      <c r="X425" s="1"/>
      <c r="Y425" s="1"/>
      <c r="Z425" s="1"/>
      <c r="AA425" s="1"/>
      <c r="AC425" s="1"/>
      <c r="AD425" s="1"/>
      <c r="AE425" s="1"/>
      <c r="AF425" s="1"/>
      <c r="AG425" s="1"/>
      <c r="AH425" s="26"/>
      <c r="AI425" s="26"/>
      <c r="AJ425" s="26"/>
      <c r="AK425" s="26"/>
      <c r="AL425" s="26"/>
      <c r="AM425" s="26"/>
      <c r="AN425" s="26"/>
      <c r="AO425" s="26"/>
      <c r="AP425" s="26"/>
      <c r="AQ425" s="26"/>
      <c r="AR425" s="26"/>
      <c r="AS425" s="26"/>
      <c r="AT425" s="26"/>
      <c r="AU425" s="26"/>
      <c r="AV425" s="26"/>
      <c r="AW425" s="26"/>
      <c r="AX425" s="26"/>
      <c r="AY425" s="1"/>
      <c r="AZ425" s="26"/>
      <c r="BA425" s="26"/>
      <c r="BB425" s="26"/>
      <c r="BC425" s="26"/>
      <c r="BD425" s="26"/>
      <c r="BE425" s="26"/>
      <c r="BF425" s="26"/>
      <c r="BG425" s="26"/>
      <c r="BH425" s="26"/>
      <c r="BI425" s="26"/>
      <c r="BJ425" s="26"/>
      <c r="BK425" s="26"/>
      <c r="BL425" s="26"/>
      <c r="BM425" s="26"/>
      <c r="BN425" s="26"/>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96"/>
      <c r="CP425" s="14"/>
      <c r="CQ425" s="14"/>
      <c r="CR425" s="14"/>
      <c r="CS425" s="14"/>
      <c r="CT425" s="1"/>
      <c r="CU425" s="14"/>
      <c r="CV425" s="1"/>
      <c r="CW425" s="1"/>
      <c r="CX425" s="14"/>
      <c r="CY425" s="1"/>
      <c r="CZ425" s="1"/>
      <c r="DA425" s="1"/>
      <c r="DB425" s="1"/>
      <c r="DC425" s="1"/>
      <c r="DD425" s="1"/>
      <c r="DE425" s="1"/>
      <c r="DF425" s="1"/>
      <c r="DG425" s="1"/>
      <c r="DH425" s="1"/>
      <c r="DI425" s="1"/>
      <c r="DJ425" s="1"/>
      <c r="DK425" s="1"/>
      <c r="DL425" s="1"/>
      <c r="DM425" s="1"/>
      <c r="DN425" s="1"/>
      <c r="DO425" s="1"/>
      <c r="DP425" s="1"/>
      <c r="DQ425" s="1"/>
      <c r="DR425" s="1"/>
      <c r="DS425" s="1"/>
      <c r="DT425" s="1"/>
      <c r="DU425" s="14"/>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29"/>
    </row>
    <row r="426" spans="1:160" x14ac:dyDescent="0.25">
      <c r="A426" s="5"/>
      <c r="B426" s="1"/>
      <c r="C426" s="98"/>
      <c r="D426" s="98"/>
      <c r="E426" s="1"/>
      <c r="F426" s="22"/>
      <c r="G426" s="22"/>
      <c r="H426" s="22"/>
      <c r="I426" s="22"/>
      <c r="J426" s="22"/>
      <c r="K426" s="22"/>
      <c r="L426" s="22"/>
      <c r="M426" s="22"/>
      <c r="N426" s="22"/>
      <c r="O426" s="22"/>
      <c r="P426" s="22"/>
      <c r="Q426" s="22"/>
      <c r="R426" s="1"/>
      <c r="S426" s="1"/>
      <c r="T426" s="8"/>
      <c r="U426" s="1"/>
      <c r="V426" s="1"/>
      <c r="W426" s="1"/>
      <c r="X426" s="1"/>
      <c r="Y426" s="1"/>
      <c r="Z426" s="1"/>
      <c r="AA426" s="1"/>
      <c r="AC426" s="1"/>
      <c r="AD426" s="1"/>
      <c r="AE426" s="1"/>
      <c r="AF426" s="1"/>
      <c r="AG426" s="1"/>
      <c r="AH426" s="26"/>
      <c r="AI426" s="26"/>
      <c r="AJ426" s="26"/>
      <c r="AK426" s="26"/>
      <c r="AL426" s="26"/>
      <c r="AM426" s="26"/>
      <c r="AN426" s="26"/>
      <c r="AO426" s="26"/>
      <c r="AP426" s="26"/>
      <c r="AQ426" s="26"/>
      <c r="AR426" s="26"/>
      <c r="AS426" s="26"/>
      <c r="AT426" s="26"/>
      <c r="AU426" s="26"/>
      <c r="AV426" s="26"/>
      <c r="AW426" s="26"/>
      <c r="AX426" s="26"/>
      <c r="AY426" s="1"/>
      <c r="AZ426" s="26"/>
      <c r="BA426" s="26"/>
      <c r="BB426" s="26"/>
      <c r="BC426" s="26"/>
      <c r="BD426" s="26"/>
      <c r="BE426" s="26"/>
      <c r="BF426" s="26"/>
      <c r="BG426" s="26"/>
      <c r="BH426" s="26"/>
      <c r="BI426" s="26"/>
      <c r="BJ426" s="26"/>
      <c r="BK426" s="26"/>
      <c r="BL426" s="26"/>
      <c r="BM426" s="26"/>
      <c r="BN426" s="26"/>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96"/>
      <c r="CP426" s="14"/>
      <c r="CQ426" s="14"/>
      <c r="CR426" s="14"/>
      <c r="CS426" s="14"/>
      <c r="CT426" s="1"/>
      <c r="CU426" s="14"/>
      <c r="CV426" s="1"/>
      <c r="CW426" s="1"/>
      <c r="CX426" s="14"/>
      <c r="CY426" s="1"/>
      <c r="CZ426" s="1"/>
      <c r="DA426" s="1"/>
      <c r="DB426" s="1"/>
      <c r="DC426" s="1"/>
      <c r="DD426" s="1"/>
      <c r="DE426" s="1"/>
      <c r="DF426" s="1"/>
      <c r="DG426" s="1"/>
      <c r="DH426" s="1"/>
      <c r="DI426" s="1"/>
      <c r="DJ426" s="1"/>
      <c r="DK426" s="1"/>
      <c r="DL426" s="1"/>
      <c r="DM426" s="1"/>
      <c r="DN426" s="1"/>
      <c r="DO426" s="1"/>
      <c r="DP426" s="1"/>
      <c r="DQ426" s="1"/>
      <c r="DR426" s="1"/>
      <c r="DS426" s="1"/>
      <c r="DT426" s="1"/>
      <c r="DU426" s="14"/>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29"/>
    </row>
    <row r="427" spans="1:160" x14ac:dyDescent="0.25">
      <c r="A427" s="5"/>
      <c r="B427" s="1"/>
      <c r="C427" s="98"/>
      <c r="D427" s="98"/>
      <c r="E427" s="1"/>
      <c r="F427" s="22"/>
      <c r="G427" s="22"/>
      <c r="H427" s="22"/>
      <c r="I427" s="22"/>
      <c r="J427" s="22"/>
      <c r="K427" s="22"/>
      <c r="L427" s="22"/>
      <c r="M427" s="22"/>
      <c r="N427" s="22"/>
      <c r="O427" s="22"/>
      <c r="P427" s="22"/>
      <c r="Q427" s="22"/>
      <c r="R427" s="1"/>
      <c r="S427" s="1"/>
      <c r="T427" s="8"/>
      <c r="U427" s="1"/>
      <c r="V427" s="1"/>
      <c r="W427" s="1"/>
      <c r="X427" s="1"/>
      <c r="Y427" s="1"/>
      <c r="Z427" s="1"/>
      <c r="AA427" s="1"/>
      <c r="AC427" s="1"/>
      <c r="AD427" s="1"/>
      <c r="AE427" s="1"/>
      <c r="AF427" s="1"/>
      <c r="AG427" s="1"/>
      <c r="AH427" s="26"/>
      <c r="AI427" s="26"/>
      <c r="AJ427" s="26"/>
      <c r="AK427" s="26"/>
      <c r="AL427" s="26"/>
      <c r="AM427" s="26"/>
      <c r="AN427" s="26"/>
      <c r="AO427" s="26"/>
      <c r="AP427" s="26"/>
      <c r="AQ427" s="26"/>
      <c r="AR427" s="26"/>
      <c r="AS427" s="26"/>
      <c r="AT427" s="26"/>
      <c r="AU427" s="26"/>
      <c r="AV427" s="26"/>
      <c r="AW427" s="26"/>
      <c r="AX427" s="26"/>
      <c r="AY427" s="1"/>
      <c r="AZ427" s="26"/>
      <c r="BA427" s="26"/>
      <c r="BB427" s="26"/>
      <c r="BC427" s="26"/>
      <c r="BD427" s="26"/>
      <c r="BE427" s="26"/>
      <c r="BF427" s="26"/>
      <c r="BG427" s="26"/>
      <c r="BH427" s="26"/>
      <c r="BI427" s="26"/>
      <c r="BJ427" s="26"/>
      <c r="BK427" s="26"/>
      <c r="BL427" s="26"/>
      <c r="BM427" s="26"/>
      <c r="BN427" s="26"/>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96"/>
      <c r="CP427" s="14"/>
      <c r="CQ427" s="14"/>
      <c r="CR427" s="14"/>
      <c r="CS427" s="14"/>
      <c r="CT427" s="1"/>
      <c r="CU427" s="14"/>
      <c r="CV427" s="1"/>
      <c r="CW427" s="1"/>
      <c r="CX427" s="14"/>
      <c r="CY427" s="1"/>
      <c r="CZ427" s="1"/>
      <c r="DA427" s="1"/>
      <c r="DB427" s="1"/>
      <c r="DC427" s="1"/>
      <c r="DD427" s="1"/>
      <c r="DE427" s="1"/>
      <c r="DF427" s="1"/>
      <c r="DG427" s="1"/>
      <c r="DH427" s="1"/>
      <c r="DI427" s="1"/>
      <c r="DJ427" s="1"/>
      <c r="DK427" s="1"/>
      <c r="DL427" s="1"/>
      <c r="DM427" s="1"/>
      <c r="DN427" s="1"/>
      <c r="DO427" s="1"/>
      <c r="DP427" s="1"/>
      <c r="DQ427" s="1"/>
      <c r="DR427" s="1"/>
      <c r="DS427" s="1"/>
      <c r="DT427" s="1"/>
      <c r="DU427" s="14"/>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29"/>
    </row>
    <row r="428" spans="1:160" x14ac:dyDescent="0.25">
      <c r="A428" s="5"/>
      <c r="B428" s="1"/>
      <c r="C428" s="98"/>
      <c r="D428" s="98"/>
      <c r="E428" s="1"/>
      <c r="F428" s="22"/>
      <c r="G428" s="22"/>
      <c r="H428" s="22"/>
      <c r="I428" s="22"/>
      <c r="J428" s="22"/>
      <c r="K428" s="22"/>
      <c r="L428" s="22"/>
      <c r="M428" s="22"/>
      <c r="N428" s="22"/>
      <c r="O428" s="22"/>
      <c r="P428" s="22"/>
      <c r="Q428" s="22"/>
      <c r="R428" s="1"/>
      <c r="S428" s="1"/>
      <c r="T428" s="8"/>
      <c r="U428" s="1"/>
      <c r="V428" s="1"/>
      <c r="W428" s="1"/>
      <c r="X428" s="1"/>
      <c r="Y428" s="1"/>
      <c r="Z428" s="1"/>
      <c r="AA428" s="1"/>
      <c r="AC428" s="1"/>
      <c r="AD428" s="1"/>
      <c r="AE428" s="1"/>
      <c r="AF428" s="1"/>
      <c r="AG428" s="1"/>
      <c r="AH428" s="26"/>
      <c r="AI428" s="26"/>
      <c r="AJ428" s="26"/>
      <c r="AK428" s="26"/>
      <c r="AL428" s="26"/>
      <c r="AM428" s="26"/>
      <c r="AN428" s="26"/>
      <c r="AO428" s="26"/>
      <c r="AP428" s="26"/>
      <c r="AQ428" s="26"/>
      <c r="AR428" s="26"/>
      <c r="AS428" s="26"/>
      <c r="AT428" s="26"/>
      <c r="AU428" s="26"/>
      <c r="AV428" s="26"/>
      <c r="AW428" s="26"/>
      <c r="AX428" s="26"/>
      <c r="AY428" s="1"/>
      <c r="AZ428" s="26"/>
      <c r="BA428" s="26"/>
      <c r="BB428" s="26"/>
      <c r="BC428" s="26"/>
      <c r="BD428" s="26"/>
      <c r="BE428" s="26"/>
      <c r="BF428" s="26"/>
      <c r="BG428" s="26"/>
      <c r="BH428" s="26"/>
      <c r="BI428" s="26"/>
      <c r="BJ428" s="26"/>
      <c r="BK428" s="26"/>
      <c r="BL428" s="26"/>
      <c r="BM428" s="26"/>
      <c r="BN428" s="26"/>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96"/>
      <c r="CP428" s="14"/>
      <c r="CQ428" s="14"/>
      <c r="CR428" s="14"/>
      <c r="CS428" s="14"/>
      <c r="CT428" s="1"/>
      <c r="CU428" s="14"/>
      <c r="CV428" s="1"/>
      <c r="CW428" s="1"/>
      <c r="CX428" s="14"/>
      <c r="CY428" s="1"/>
      <c r="CZ428" s="1"/>
      <c r="DA428" s="1"/>
      <c r="DB428" s="1"/>
      <c r="DC428" s="1"/>
      <c r="DD428" s="1"/>
      <c r="DE428" s="1"/>
      <c r="DF428" s="1"/>
      <c r="DG428" s="1"/>
      <c r="DH428" s="1"/>
      <c r="DI428" s="1"/>
      <c r="DJ428" s="1"/>
      <c r="DK428" s="1"/>
      <c r="DL428" s="1"/>
      <c r="DM428" s="1"/>
      <c r="DN428" s="1"/>
      <c r="DO428" s="1"/>
      <c r="DP428" s="1"/>
      <c r="DQ428" s="1"/>
      <c r="DR428" s="1"/>
      <c r="DS428" s="1"/>
      <c r="DT428" s="1"/>
      <c r="DU428" s="14"/>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29"/>
    </row>
    <row r="429" spans="1:160" x14ac:dyDescent="0.25">
      <c r="A429" s="5"/>
      <c r="B429" s="1"/>
      <c r="C429" s="98"/>
      <c r="D429" s="98"/>
      <c r="E429" s="1"/>
      <c r="F429" s="22"/>
      <c r="G429" s="22"/>
      <c r="H429" s="22"/>
      <c r="I429" s="22"/>
      <c r="J429" s="22"/>
      <c r="K429" s="22"/>
      <c r="L429" s="22"/>
      <c r="M429" s="22"/>
      <c r="N429" s="22"/>
      <c r="O429" s="22"/>
      <c r="P429" s="22"/>
      <c r="Q429" s="22"/>
      <c r="R429" s="1"/>
      <c r="S429" s="1"/>
      <c r="T429" s="8"/>
      <c r="U429" s="1"/>
      <c r="V429" s="1"/>
      <c r="W429" s="1"/>
      <c r="X429" s="1"/>
      <c r="Y429" s="1"/>
      <c r="Z429" s="1"/>
      <c r="AA429" s="1"/>
      <c r="AC429" s="1"/>
      <c r="AD429" s="1"/>
      <c r="AE429" s="1"/>
      <c r="AF429" s="1"/>
      <c r="AG429" s="1"/>
      <c r="AH429" s="26"/>
      <c r="AI429" s="26"/>
      <c r="AJ429" s="26"/>
      <c r="AK429" s="26"/>
      <c r="AL429" s="26"/>
      <c r="AM429" s="26"/>
      <c r="AN429" s="26"/>
      <c r="AO429" s="26"/>
      <c r="AP429" s="26"/>
      <c r="AQ429" s="26"/>
      <c r="AR429" s="26"/>
      <c r="AS429" s="26"/>
      <c r="AT429" s="26"/>
      <c r="AU429" s="26"/>
      <c r="AV429" s="26"/>
      <c r="AW429" s="26"/>
      <c r="AX429" s="26"/>
      <c r="AY429" s="1"/>
      <c r="AZ429" s="26"/>
      <c r="BA429" s="26"/>
      <c r="BB429" s="26"/>
      <c r="BC429" s="26"/>
      <c r="BD429" s="26"/>
      <c r="BE429" s="26"/>
      <c r="BF429" s="26"/>
      <c r="BG429" s="26"/>
      <c r="BH429" s="26"/>
      <c r="BI429" s="26"/>
      <c r="BJ429" s="26"/>
      <c r="BK429" s="26"/>
      <c r="BL429" s="26"/>
      <c r="BM429" s="26"/>
      <c r="BN429" s="26"/>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96"/>
      <c r="CP429" s="14"/>
      <c r="CQ429" s="14"/>
      <c r="CR429" s="14"/>
      <c r="CS429" s="14"/>
      <c r="CT429" s="1"/>
      <c r="CU429" s="14"/>
      <c r="CV429" s="1"/>
      <c r="CW429" s="1"/>
      <c r="CX429" s="14"/>
      <c r="CY429" s="1"/>
      <c r="CZ429" s="1"/>
      <c r="DA429" s="1"/>
      <c r="DB429" s="1"/>
      <c r="DC429" s="1"/>
      <c r="DD429" s="1"/>
      <c r="DE429" s="1"/>
      <c r="DF429" s="1"/>
      <c r="DG429" s="1"/>
      <c r="DH429" s="1"/>
      <c r="DI429" s="1"/>
      <c r="DJ429" s="1"/>
      <c r="DK429" s="1"/>
      <c r="DL429" s="1"/>
      <c r="DM429" s="1"/>
      <c r="DN429" s="1"/>
      <c r="DO429" s="1"/>
      <c r="DP429" s="1"/>
      <c r="DQ429" s="1"/>
      <c r="DR429" s="1"/>
      <c r="DS429" s="1"/>
      <c r="DT429" s="1"/>
      <c r="DU429" s="14"/>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29"/>
    </row>
    <row r="430" spans="1:160" x14ac:dyDescent="0.25">
      <c r="A430" s="5"/>
      <c r="B430" s="1"/>
      <c r="C430" s="98"/>
      <c r="D430" s="98"/>
      <c r="E430" s="1"/>
      <c r="F430" s="22"/>
      <c r="G430" s="22"/>
      <c r="H430" s="22"/>
      <c r="I430" s="22"/>
      <c r="J430" s="22"/>
      <c r="K430" s="22"/>
      <c r="L430" s="22"/>
      <c r="M430" s="22"/>
      <c r="N430" s="22"/>
      <c r="O430" s="22"/>
      <c r="P430" s="22"/>
      <c r="Q430" s="22"/>
      <c r="R430" s="1"/>
      <c r="S430" s="1"/>
      <c r="T430" s="8"/>
      <c r="U430" s="1"/>
      <c r="V430" s="1"/>
      <c r="W430" s="1"/>
      <c r="X430" s="1"/>
      <c r="Y430" s="1"/>
      <c r="Z430" s="1"/>
      <c r="AA430" s="1"/>
      <c r="AC430" s="1"/>
      <c r="AD430" s="1"/>
      <c r="AE430" s="1"/>
      <c r="AF430" s="1"/>
      <c r="AG430" s="1"/>
      <c r="AH430" s="26"/>
      <c r="AI430" s="26"/>
      <c r="AJ430" s="26"/>
      <c r="AK430" s="26"/>
      <c r="AL430" s="26"/>
      <c r="AM430" s="26"/>
      <c r="AN430" s="26"/>
      <c r="AO430" s="26"/>
      <c r="AP430" s="26"/>
      <c r="AQ430" s="26"/>
      <c r="AR430" s="26"/>
      <c r="AS430" s="26"/>
      <c r="AT430" s="26"/>
      <c r="AU430" s="26"/>
      <c r="AV430" s="26"/>
      <c r="AW430" s="26"/>
      <c r="AX430" s="26"/>
      <c r="AY430" s="1"/>
      <c r="AZ430" s="26"/>
      <c r="BA430" s="26"/>
      <c r="BB430" s="26"/>
      <c r="BC430" s="26"/>
      <c r="BD430" s="26"/>
      <c r="BE430" s="26"/>
      <c r="BF430" s="26"/>
      <c r="BG430" s="26"/>
      <c r="BH430" s="26"/>
      <c r="BI430" s="26"/>
      <c r="BJ430" s="26"/>
      <c r="BK430" s="26"/>
      <c r="BL430" s="26"/>
      <c r="BM430" s="26"/>
      <c r="BN430" s="26"/>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96"/>
      <c r="CP430" s="14"/>
      <c r="CQ430" s="14"/>
      <c r="CR430" s="14"/>
      <c r="CS430" s="14"/>
      <c r="CT430" s="1"/>
      <c r="CU430" s="14"/>
      <c r="CV430" s="1"/>
      <c r="CW430" s="1"/>
      <c r="CX430" s="14"/>
      <c r="CY430" s="1"/>
      <c r="CZ430" s="1"/>
      <c r="DA430" s="1"/>
      <c r="DB430" s="1"/>
      <c r="DC430" s="1"/>
      <c r="DD430" s="1"/>
      <c r="DE430" s="1"/>
      <c r="DF430" s="1"/>
      <c r="DG430" s="1"/>
      <c r="DH430" s="1"/>
      <c r="DI430" s="1"/>
      <c r="DJ430" s="1"/>
      <c r="DK430" s="1"/>
      <c r="DL430" s="1"/>
      <c r="DM430" s="1"/>
      <c r="DN430" s="1"/>
      <c r="DO430" s="1"/>
      <c r="DP430" s="1"/>
      <c r="DQ430" s="1"/>
      <c r="DR430" s="1"/>
      <c r="DS430" s="1"/>
      <c r="DT430" s="1"/>
      <c r="DU430" s="14"/>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29"/>
    </row>
    <row r="431" spans="1:160" x14ac:dyDescent="0.25">
      <c r="A431" s="5"/>
      <c r="B431" s="1"/>
      <c r="C431" s="98"/>
      <c r="D431" s="98"/>
      <c r="E431" s="1"/>
      <c r="F431" s="22"/>
      <c r="G431" s="22"/>
      <c r="H431" s="22"/>
      <c r="I431" s="22"/>
      <c r="J431" s="22"/>
      <c r="K431" s="22"/>
      <c r="L431" s="22"/>
      <c r="M431" s="22"/>
      <c r="N431" s="22"/>
      <c r="O431" s="22"/>
      <c r="P431" s="22"/>
      <c r="Q431" s="22"/>
      <c r="R431" s="1"/>
      <c r="S431" s="1"/>
      <c r="T431" s="8"/>
      <c r="U431" s="1"/>
      <c r="V431" s="1"/>
      <c r="W431" s="1"/>
      <c r="X431" s="1"/>
      <c r="Y431" s="1"/>
      <c r="Z431" s="1"/>
      <c r="AA431" s="1"/>
      <c r="AC431" s="1"/>
      <c r="AD431" s="1"/>
      <c r="AE431" s="1"/>
      <c r="AF431" s="1"/>
      <c r="AG431" s="1"/>
      <c r="AH431" s="26"/>
      <c r="AI431" s="26"/>
      <c r="AJ431" s="26"/>
      <c r="AK431" s="26"/>
      <c r="AL431" s="26"/>
      <c r="AM431" s="26"/>
      <c r="AN431" s="26"/>
      <c r="AO431" s="26"/>
      <c r="AP431" s="26"/>
      <c r="AQ431" s="26"/>
      <c r="AR431" s="26"/>
      <c r="AS431" s="26"/>
      <c r="AT431" s="26"/>
      <c r="AU431" s="26"/>
      <c r="AV431" s="26"/>
      <c r="AW431" s="26"/>
      <c r="AX431" s="26"/>
      <c r="AY431" s="1"/>
      <c r="AZ431" s="26"/>
      <c r="BA431" s="26"/>
      <c r="BB431" s="26"/>
      <c r="BC431" s="26"/>
      <c r="BD431" s="26"/>
      <c r="BE431" s="26"/>
      <c r="BF431" s="26"/>
      <c r="BG431" s="26"/>
      <c r="BH431" s="26"/>
      <c r="BI431" s="26"/>
      <c r="BJ431" s="26"/>
      <c r="BK431" s="26"/>
      <c r="BL431" s="26"/>
      <c r="BM431" s="26"/>
      <c r="BN431" s="26"/>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96"/>
      <c r="CP431" s="14"/>
      <c r="CQ431" s="14"/>
      <c r="CR431" s="14"/>
      <c r="CS431" s="14"/>
      <c r="CT431" s="1"/>
      <c r="CU431" s="14"/>
      <c r="CV431" s="1"/>
      <c r="CW431" s="1"/>
      <c r="CX431" s="14"/>
      <c r="CY431" s="1"/>
      <c r="CZ431" s="1"/>
      <c r="DA431" s="1"/>
      <c r="DB431" s="1"/>
      <c r="DC431" s="1"/>
      <c r="DD431" s="1"/>
      <c r="DE431" s="1"/>
      <c r="DF431" s="1"/>
      <c r="DG431" s="1"/>
      <c r="DH431" s="1"/>
      <c r="DI431" s="1"/>
      <c r="DJ431" s="1"/>
      <c r="DK431" s="1"/>
      <c r="DL431" s="1"/>
      <c r="DM431" s="1"/>
      <c r="DN431" s="1"/>
      <c r="DO431" s="1"/>
      <c r="DP431" s="1"/>
      <c r="DQ431" s="1"/>
      <c r="DR431" s="1"/>
      <c r="DS431" s="1"/>
      <c r="DT431" s="1"/>
      <c r="DU431" s="14"/>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29"/>
    </row>
    <row r="432" spans="1:160" x14ac:dyDescent="0.25">
      <c r="A432" s="5"/>
      <c r="B432" s="1"/>
      <c r="C432" s="98"/>
      <c r="D432" s="98"/>
      <c r="E432" s="1"/>
      <c r="F432" s="22"/>
      <c r="G432" s="22"/>
      <c r="H432" s="22"/>
      <c r="I432" s="22"/>
      <c r="J432" s="22"/>
      <c r="K432" s="22"/>
      <c r="L432" s="22"/>
      <c r="M432" s="22"/>
      <c r="N432" s="22"/>
      <c r="O432" s="22"/>
      <c r="P432" s="22"/>
      <c r="Q432" s="22"/>
      <c r="R432" s="1"/>
      <c r="S432" s="1"/>
      <c r="T432" s="8"/>
      <c r="U432" s="1"/>
      <c r="V432" s="1"/>
      <c r="W432" s="1"/>
      <c r="X432" s="1"/>
      <c r="Y432" s="1"/>
      <c r="Z432" s="1"/>
      <c r="AA432" s="1"/>
      <c r="AC432" s="1"/>
      <c r="AD432" s="1"/>
      <c r="AE432" s="1"/>
      <c r="AF432" s="1"/>
      <c r="AG432" s="1"/>
      <c r="AH432" s="26"/>
      <c r="AI432" s="26"/>
      <c r="AJ432" s="26"/>
      <c r="AK432" s="26"/>
      <c r="AL432" s="26"/>
      <c r="AM432" s="26"/>
      <c r="AN432" s="26"/>
      <c r="AO432" s="26"/>
      <c r="AP432" s="26"/>
      <c r="AQ432" s="26"/>
      <c r="AR432" s="26"/>
      <c r="AS432" s="26"/>
      <c r="AT432" s="26"/>
      <c r="AU432" s="26"/>
      <c r="AV432" s="26"/>
      <c r="AW432" s="26"/>
      <c r="AX432" s="26"/>
      <c r="AY432" s="1"/>
      <c r="AZ432" s="26"/>
      <c r="BA432" s="26"/>
      <c r="BB432" s="26"/>
      <c r="BC432" s="26"/>
      <c r="BD432" s="26"/>
      <c r="BE432" s="26"/>
      <c r="BF432" s="26"/>
      <c r="BG432" s="26"/>
      <c r="BH432" s="26"/>
      <c r="BI432" s="26"/>
      <c r="BJ432" s="26"/>
      <c r="BK432" s="26"/>
      <c r="BL432" s="26"/>
      <c r="BM432" s="26"/>
      <c r="BN432" s="26"/>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96"/>
      <c r="CP432" s="14"/>
      <c r="CQ432" s="14"/>
      <c r="CR432" s="14"/>
      <c r="CS432" s="14"/>
      <c r="CT432" s="1"/>
      <c r="CU432" s="14"/>
      <c r="CV432" s="1"/>
      <c r="CW432" s="1"/>
      <c r="CX432" s="14"/>
      <c r="CY432" s="1"/>
      <c r="CZ432" s="1"/>
      <c r="DA432" s="1"/>
      <c r="DB432" s="1"/>
      <c r="DC432" s="1"/>
      <c r="DD432" s="1"/>
      <c r="DE432" s="1"/>
      <c r="DF432" s="1"/>
      <c r="DG432" s="1"/>
      <c r="DH432" s="1"/>
      <c r="DI432" s="1"/>
      <c r="DJ432" s="1"/>
      <c r="DK432" s="1"/>
      <c r="DL432" s="1"/>
      <c r="DM432" s="1"/>
      <c r="DN432" s="1"/>
      <c r="DO432" s="1"/>
      <c r="DP432" s="1"/>
      <c r="DQ432" s="1"/>
      <c r="DR432" s="1"/>
      <c r="DS432" s="1"/>
      <c r="DT432" s="1"/>
      <c r="DU432" s="14"/>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29"/>
    </row>
    <row r="433" spans="1:160" x14ac:dyDescent="0.25">
      <c r="A433" s="5"/>
      <c r="B433" s="1"/>
      <c r="C433" s="98"/>
      <c r="D433" s="98"/>
      <c r="E433" s="1"/>
      <c r="F433" s="22"/>
      <c r="G433" s="22"/>
      <c r="H433" s="22"/>
      <c r="I433" s="22"/>
      <c r="J433" s="22"/>
      <c r="K433" s="22"/>
      <c r="L433" s="22"/>
      <c r="M433" s="22"/>
      <c r="N433" s="22"/>
      <c r="O433" s="22"/>
      <c r="P433" s="22"/>
      <c r="Q433" s="22"/>
      <c r="R433" s="1"/>
      <c r="S433" s="1"/>
      <c r="T433" s="8"/>
      <c r="U433" s="1"/>
      <c r="V433" s="1"/>
      <c r="W433" s="1"/>
      <c r="X433" s="1"/>
      <c r="Y433" s="1"/>
      <c r="Z433" s="1"/>
      <c r="AA433" s="1"/>
      <c r="AC433" s="1"/>
      <c r="AD433" s="1"/>
      <c r="AE433" s="1"/>
      <c r="AF433" s="1"/>
      <c r="AG433" s="1"/>
      <c r="AH433" s="26"/>
      <c r="AI433" s="26"/>
      <c r="AJ433" s="26"/>
      <c r="AK433" s="26"/>
      <c r="AL433" s="26"/>
      <c r="AM433" s="26"/>
      <c r="AN433" s="26"/>
      <c r="AO433" s="26"/>
      <c r="AP433" s="26"/>
      <c r="AQ433" s="26"/>
      <c r="AR433" s="26"/>
      <c r="AS433" s="26"/>
      <c r="AT433" s="26"/>
      <c r="AU433" s="26"/>
      <c r="AV433" s="26"/>
      <c r="AW433" s="26"/>
      <c r="AX433" s="26"/>
      <c r="AY433" s="1"/>
      <c r="AZ433" s="26"/>
      <c r="BA433" s="26"/>
      <c r="BB433" s="26"/>
      <c r="BC433" s="26"/>
      <c r="BD433" s="26"/>
      <c r="BE433" s="26"/>
      <c r="BF433" s="26"/>
      <c r="BG433" s="26"/>
      <c r="BH433" s="26"/>
      <c r="BI433" s="26"/>
      <c r="BJ433" s="26"/>
      <c r="BK433" s="26"/>
      <c r="BL433" s="26"/>
      <c r="BM433" s="26"/>
      <c r="BN433" s="26"/>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96"/>
      <c r="CP433" s="14"/>
      <c r="CQ433" s="14"/>
      <c r="CR433" s="14"/>
      <c r="CS433" s="14"/>
      <c r="CT433" s="1"/>
      <c r="CU433" s="14"/>
      <c r="CV433" s="1"/>
      <c r="CW433" s="1"/>
      <c r="CX433" s="14"/>
      <c r="CY433" s="1"/>
      <c r="CZ433" s="1"/>
      <c r="DA433" s="1"/>
      <c r="DB433" s="1"/>
      <c r="DC433" s="1"/>
      <c r="DD433" s="1"/>
      <c r="DE433" s="1"/>
      <c r="DF433" s="1"/>
      <c r="DG433" s="1"/>
      <c r="DH433" s="1"/>
      <c r="DI433" s="1"/>
      <c r="DJ433" s="1"/>
      <c r="DK433" s="1"/>
      <c r="DL433" s="1"/>
      <c r="DM433" s="1"/>
      <c r="DN433" s="1"/>
      <c r="DO433" s="1"/>
      <c r="DP433" s="1"/>
      <c r="DQ433" s="1"/>
      <c r="DR433" s="1"/>
      <c r="DS433" s="1"/>
      <c r="DT433" s="1"/>
      <c r="DU433" s="14"/>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29"/>
    </row>
    <row r="434" spans="1:160" x14ac:dyDescent="0.25">
      <c r="A434" s="5"/>
      <c r="B434" s="1"/>
      <c r="C434" s="98"/>
      <c r="D434" s="98"/>
      <c r="E434" s="1"/>
      <c r="F434" s="22"/>
      <c r="G434" s="22"/>
      <c r="H434" s="22"/>
      <c r="I434" s="22"/>
      <c r="J434" s="22"/>
      <c r="K434" s="22"/>
      <c r="L434" s="22"/>
      <c r="M434" s="22"/>
      <c r="N434" s="22"/>
      <c r="O434" s="22"/>
      <c r="P434" s="22"/>
      <c r="Q434" s="22"/>
      <c r="R434" s="1"/>
      <c r="S434" s="1"/>
      <c r="T434" s="8"/>
      <c r="U434" s="1"/>
      <c r="V434" s="1"/>
      <c r="W434" s="1"/>
      <c r="X434" s="1"/>
      <c r="Y434" s="1"/>
      <c r="Z434" s="1"/>
      <c r="AA434" s="1"/>
      <c r="AC434" s="1"/>
      <c r="AD434" s="1"/>
      <c r="AE434" s="1"/>
      <c r="AF434" s="1"/>
      <c r="AG434" s="1"/>
      <c r="AH434" s="26"/>
      <c r="AI434" s="26"/>
      <c r="AJ434" s="26"/>
      <c r="AK434" s="26"/>
      <c r="AL434" s="26"/>
      <c r="AM434" s="26"/>
      <c r="AN434" s="26"/>
      <c r="AO434" s="26"/>
      <c r="AP434" s="26"/>
      <c r="AQ434" s="26"/>
      <c r="AR434" s="26"/>
      <c r="AS434" s="26"/>
      <c r="AT434" s="26"/>
      <c r="AU434" s="26"/>
      <c r="AV434" s="26"/>
      <c r="AW434" s="26"/>
      <c r="AX434" s="26"/>
      <c r="AY434" s="1"/>
      <c r="AZ434" s="26"/>
      <c r="BA434" s="26"/>
      <c r="BB434" s="26"/>
      <c r="BC434" s="26"/>
      <c r="BD434" s="26"/>
      <c r="BE434" s="26"/>
      <c r="BF434" s="26"/>
      <c r="BG434" s="26"/>
      <c r="BH434" s="26"/>
      <c r="BI434" s="26"/>
      <c r="BJ434" s="26"/>
      <c r="BK434" s="26"/>
      <c r="BL434" s="26"/>
      <c r="BM434" s="26"/>
      <c r="BN434" s="26"/>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96"/>
      <c r="CP434" s="14"/>
      <c r="CQ434" s="14"/>
      <c r="CR434" s="14"/>
      <c r="CS434" s="14"/>
      <c r="CT434" s="1"/>
      <c r="CU434" s="14"/>
      <c r="CV434" s="1"/>
      <c r="CW434" s="1"/>
      <c r="CX434" s="14"/>
      <c r="CY434" s="1"/>
      <c r="CZ434" s="1"/>
      <c r="DA434" s="1"/>
      <c r="DB434" s="1"/>
      <c r="DC434" s="1"/>
      <c r="DD434" s="1"/>
      <c r="DE434" s="1"/>
      <c r="DF434" s="1"/>
      <c r="DG434" s="1"/>
      <c r="DH434" s="1"/>
      <c r="DI434" s="1"/>
      <c r="DJ434" s="1"/>
      <c r="DK434" s="1"/>
      <c r="DL434" s="1"/>
      <c r="DM434" s="1"/>
      <c r="DN434" s="1"/>
      <c r="DO434" s="1"/>
      <c r="DP434" s="1"/>
      <c r="DQ434" s="1"/>
      <c r="DR434" s="1"/>
      <c r="DS434" s="1"/>
      <c r="DT434" s="1"/>
      <c r="DU434" s="14"/>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29"/>
    </row>
    <row r="435" spans="1:160" x14ac:dyDescent="0.25">
      <c r="A435" s="5"/>
      <c r="B435" s="1"/>
      <c r="C435" s="98"/>
      <c r="D435" s="98"/>
      <c r="E435" s="1"/>
      <c r="F435" s="22"/>
      <c r="G435" s="22"/>
      <c r="H435" s="22"/>
      <c r="I435" s="22"/>
      <c r="J435" s="22"/>
      <c r="K435" s="22"/>
      <c r="L435" s="22"/>
      <c r="M435" s="22"/>
      <c r="N435" s="22"/>
      <c r="O435" s="22"/>
      <c r="P435" s="22"/>
      <c r="Q435" s="22"/>
      <c r="R435" s="1"/>
      <c r="S435" s="1"/>
      <c r="T435" s="8"/>
      <c r="U435" s="1"/>
      <c r="V435" s="1"/>
      <c r="W435" s="1"/>
      <c r="X435" s="1"/>
      <c r="Y435" s="1"/>
      <c r="Z435" s="1"/>
      <c r="AA435" s="1"/>
      <c r="AC435" s="1"/>
      <c r="AD435" s="1"/>
      <c r="AE435" s="1"/>
      <c r="AF435" s="1"/>
      <c r="AG435" s="1"/>
      <c r="AH435" s="26"/>
      <c r="AI435" s="26"/>
      <c r="AJ435" s="26"/>
      <c r="AK435" s="26"/>
      <c r="AL435" s="26"/>
      <c r="AM435" s="26"/>
      <c r="AN435" s="26"/>
      <c r="AO435" s="26"/>
      <c r="AP435" s="26"/>
      <c r="AQ435" s="26"/>
      <c r="AR435" s="26"/>
      <c r="AS435" s="26"/>
      <c r="AT435" s="26"/>
      <c r="AU435" s="26"/>
      <c r="AV435" s="26"/>
      <c r="AW435" s="26"/>
      <c r="AX435" s="26"/>
      <c r="AY435" s="1"/>
      <c r="AZ435" s="26"/>
      <c r="BA435" s="26"/>
      <c r="BB435" s="26"/>
      <c r="BC435" s="26"/>
      <c r="BD435" s="26"/>
      <c r="BE435" s="26"/>
      <c r="BF435" s="26"/>
      <c r="BG435" s="26"/>
      <c r="BH435" s="26"/>
      <c r="BI435" s="26"/>
      <c r="BJ435" s="26"/>
      <c r="BK435" s="26"/>
      <c r="BL435" s="26"/>
      <c r="BM435" s="26"/>
      <c r="BN435" s="26"/>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96"/>
      <c r="CP435" s="14"/>
      <c r="CQ435" s="14"/>
      <c r="CR435" s="14"/>
      <c r="CS435" s="14"/>
      <c r="CT435" s="1"/>
      <c r="CU435" s="14"/>
      <c r="CV435" s="1"/>
      <c r="CW435" s="1"/>
      <c r="CX435" s="14"/>
      <c r="CY435" s="1"/>
      <c r="CZ435" s="1"/>
      <c r="DA435" s="1"/>
      <c r="DB435" s="1"/>
      <c r="DC435" s="1"/>
      <c r="DD435" s="1"/>
      <c r="DE435" s="1"/>
      <c r="DF435" s="1"/>
      <c r="DG435" s="1"/>
      <c r="DH435" s="1"/>
      <c r="DI435" s="1"/>
      <c r="DJ435" s="1"/>
      <c r="DK435" s="1"/>
      <c r="DL435" s="1"/>
      <c r="DM435" s="1"/>
      <c r="DN435" s="1"/>
      <c r="DO435" s="1"/>
      <c r="DP435" s="1"/>
      <c r="DQ435" s="1"/>
      <c r="DR435" s="1"/>
      <c r="DS435" s="1"/>
      <c r="DT435" s="1"/>
      <c r="DU435" s="14"/>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29"/>
    </row>
    <row r="436" spans="1:160" x14ac:dyDescent="0.25">
      <c r="A436" s="5"/>
      <c r="B436" s="1"/>
      <c r="C436" s="98"/>
      <c r="D436" s="98"/>
      <c r="E436" s="1"/>
      <c r="F436" s="22"/>
      <c r="G436" s="22"/>
      <c r="H436" s="22"/>
      <c r="I436" s="22"/>
      <c r="J436" s="22"/>
      <c r="K436" s="22"/>
      <c r="L436" s="22"/>
      <c r="M436" s="22"/>
      <c r="N436" s="22"/>
      <c r="O436" s="22"/>
      <c r="P436" s="22"/>
      <c r="Q436" s="22"/>
      <c r="R436" s="1"/>
      <c r="S436" s="1"/>
      <c r="T436" s="8"/>
      <c r="U436" s="1"/>
      <c r="V436" s="1"/>
      <c r="W436" s="1"/>
      <c r="X436" s="1"/>
      <c r="Y436" s="1"/>
      <c r="Z436" s="1"/>
      <c r="AA436" s="1"/>
      <c r="AC436" s="1"/>
      <c r="AD436" s="1"/>
      <c r="AE436" s="1"/>
      <c r="AF436" s="1"/>
      <c r="AG436" s="1"/>
      <c r="AH436" s="26"/>
      <c r="AI436" s="26"/>
      <c r="AJ436" s="26"/>
      <c r="AK436" s="26"/>
      <c r="AL436" s="26"/>
      <c r="AM436" s="26"/>
      <c r="AN436" s="26"/>
      <c r="AO436" s="26"/>
      <c r="AP436" s="26"/>
      <c r="AQ436" s="26"/>
      <c r="AR436" s="26"/>
      <c r="AS436" s="26"/>
      <c r="AT436" s="26"/>
      <c r="AU436" s="26"/>
      <c r="AV436" s="26"/>
      <c r="AW436" s="26"/>
      <c r="AX436" s="26"/>
      <c r="AY436" s="1"/>
      <c r="AZ436" s="26"/>
      <c r="BA436" s="26"/>
      <c r="BB436" s="26"/>
      <c r="BC436" s="26"/>
      <c r="BD436" s="26"/>
      <c r="BE436" s="26"/>
      <c r="BF436" s="26"/>
      <c r="BG436" s="26"/>
      <c r="BH436" s="26"/>
      <c r="BI436" s="26"/>
      <c r="BJ436" s="26"/>
      <c r="BK436" s="26"/>
      <c r="BL436" s="26"/>
      <c r="BM436" s="26"/>
      <c r="BN436" s="26"/>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96"/>
      <c r="CP436" s="14"/>
      <c r="CQ436" s="14"/>
      <c r="CR436" s="14"/>
      <c r="CS436" s="14"/>
      <c r="CT436" s="1"/>
      <c r="CU436" s="14"/>
      <c r="CV436" s="1"/>
      <c r="CW436" s="1"/>
      <c r="CX436" s="14"/>
      <c r="CY436" s="1"/>
      <c r="CZ436" s="1"/>
      <c r="DA436" s="1"/>
      <c r="DB436" s="1"/>
      <c r="DC436" s="1"/>
      <c r="DD436" s="1"/>
      <c r="DE436" s="1"/>
      <c r="DF436" s="1"/>
      <c r="DG436" s="1"/>
      <c r="DH436" s="1"/>
      <c r="DI436" s="1"/>
      <c r="DJ436" s="1"/>
      <c r="DK436" s="1"/>
      <c r="DL436" s="1"/>
      <c r="DM436" s="1"/>
      <c r="DN436" s="1"/>
      <c r="DO436" s="1"/>
      <c r="DP436" s="1"/>
      <c r="DQ436" s="1"/>
      <c r="DR436" s="1"/>
      <c r="DS436" s="1"/>
      <c r="DT436" s="1"/>
      <c r="DU436" s="14"/>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29"/>
    </row>
    <row r="437" spans="1:160" x14ac:dyDescent="0.25">
      <c r="A437" s="5"/>
      <c r="B437" s="1"/>
      <c r="C437" s="98"/>
      <c r="D437" s="98"/>
      <c r="E437" s="1"/>
      <c r="F437" s="22"/>
      <c r="G437" s="22"/>
      <c r="H437" s="22"/>
      <c r="I437" s="22"/>
      <c r="J437" s="22"/>
      <c r="K437" s="22"/>
      <c r="L437" s="22"/>
      <c r="M437" s="22"/>
      <c r="N437" s="22"/>
      <c r="O437" s="22"/>
      <c r="P437" s="22"/>
      <c r="Q437" s="22"/>
      <c r="R437" s="1"/>
      <c r="S437" s="1"/>
      <c r="T437" s="8"/>
      <c r="U437" s="1"/>
      <c r="V437" s="1"/>
      <c r="W437" s="1"/>
      <c r="X437" s="1"/>
      <c r="Y437" s="1"/>
      <c r="Z437" s="1"/>
      <c r="AA437" s="1"/>
      <c r="AC437" s="1"/>
      <c r="AD437" s="1"/>
      <c r="AE437" s="1"/>
      <c r="AF437" s="1"/>
      <c r="AG437" s="1"/>
      <c r="AH437" s="26"/>
      <c r="AI437" s="26"/>
      <c r="AJ437" s="26"/>
      <c r="AK437" s="26"/>
      <c r="AL437" s="26"/>
      <c r="AM437" s="26"/>
      <c r="AN437" s="26"/>
      <c r="AO437" s="26"/>
      <c r="AP437" s="26"/>
      <c r="AQ437" s="26"/>
      <c r="AR437" s="26"/>
      <c r="AS437" s="26"/>
      <c r="AT437" s="26"/>
      <c r="AU437" s="26"/>
      <c r="AV437" s="26"/>
      <c r="AW437" s="26"/>
      <c r="AX437" s="26"/>
      <c r="AY437" s="1"/>
      <c r="AZ437" s="26"/>
      <c r="BA437" s="26"/>
      <c r="BB437" s="26"/>
      <c r="BC437" s="26"/>
      <c r="BD437" s="26"/>
      <c r="BE437" s="26"/>
      <c r="BF437" s="26"/>
      <c r="BG437" s="26"/>
      <c r="BH437" s="26"/>
      <c r="BI437" s="26"/>
      <c r="BJ437" s="26"/>
      <c r="BK437" s="26"/>
      <c r="BL437" s="26"/>
      <c r="BM437" s="26"/>
      <c r="BN437" s="26"/>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96"/>
      <c r="CP437" s="14"/>
      <c r="CQ437" s="14"/>
      <c r="CR437" s="14"/>
      <c r="CS437" s="14"/>
      <c r="CT437" s="1"/>
      <c r="CU437" s="14"/>
      <c r="CV437" s="1"/>
      <c r="CW437" s="1"/>
      <c r="CX437" s="14"/>
      <c r="CY437" s="1"/>
      <c r="CZ437" s="1"/>
      <c r="DA437" s="1"/>
      <c r="DB437" s="1"/>
      <c r="DC437" s="1"/>
      <c r="DD437" s="1"/>
      <c r="DE437" s="1"/>
      <c r="DF437" s="1"/>
      <c r="DG437" s="1"/>
      <c r="DH437" s="1"/>
      <c r="DI437" s="1"/>
      <c r="DJ437" s="1"/>
      <c r="DK437" s="1"/>
      <c r="DL437" s="1"/>
      <c r="DM437" s="1"/>
      <c r="DN437" s="1"/>
      <c r="DO437" s="1"/>
      <c r="DP437" s="1"/>
      <c r="DQ437" s="1"/>
      <c r="DR437" s="1"/>
      <c r="DS437" s="1"/>
      <c r="DT437" s="1"/>
      <c r="DU437" s="14"/>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29"/>
    </row>
    <row r="438" spans="1:160" x14ac:dyDescent="0.25">
      <c r="A438" s="5"/>
      <c r="B438" s="1"/>
      <c r="C438" s="98"/>
      <c r="D438" s="98"/>
      <c r="E438" s="1"/>
      <c r="F438" s="22"/>
      <c r="G438" s="22"/>
      <c r="H438" s="22"/>
      <c r="I438" s="22"/>
      <c r="J438" s="22"/>
      <c r="K438" s="22"/>
      <c r="L438" s="22"/>
      <c r="M438" s="22"/>
      <c r="N438" s="22"/>
      <c r="O438" s="22"/>
      <c r="P438" s="22"/>
      <c r="Q438" s="22"/>
      <c r="R438" s="1"/>
      <c r="S438" s="1"/>
      <c r="T438" s="8"/>
      <c r="U438" s="1"/>
      <c r="V438" s="1"/>
      <c r="W438" s="1"/>
      <c r="X438" s="1"/>
      <c r="Y438" s="1"/>
      <c r="Z438" s="1"/>
      <c r="AA438" s="1"/>
      <c r="AC438" s="1"/>
      <c r="AD438" s="1"/>
      <c r="AE438" s="1"/>
      <c r="AF438" s="1"/>
      <c r="AG438" s="1"/>
      <c r="AH438" s="26"/>
      <c r="AI438" s="26"/>
      <c r="AJ438" s="26"/>
      <c r="AK438" s="26"/>
      <c r="AL438" s="26"/>
      <c r="AM438" s="26"/>
      <c r="AN438" s="26"/>
      <c r="AO438" s="26"/>
      <c r="AP438" s="26"/>
      <c r="AQ438" s="26"/>
      <c r="AR438" s="26"/>
      <c r="AS438" s="26"/>
      <c r="AT438" s="26"/>
      <c r="AU438" s="26"/>
      <c r="AV438" s="26"/>
      <c r="AW438" s="26"/>
      <c r="AX438" s="26"/>
      <c r="AY438" s="1"/>
      <c r="AZ438" s="26"/>
      <c r="BA438" s="26"/>
      <c r="BB438" s="26"/>
      <c r="BC438" s="26"/>
      <c r="BD438" s="26"/>
      <c r="BE438" s="26"/>
      <c r="BF438" s="26"/>
      <c r="BG438" s="26"/>
      <c r="BH438" s="26"/>
      <c r="BI438" s="26"/>
      <c r="BJ438" s="26"/>
      <c r="BK438" s="26"/>
      <c r="BL438" s="26"/>
      <c r="BM438" s="26"/>
      <c r="BN438" s="26"/>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96"/>
      <c r="CP438" s="14"/>
      <c r="CQ438" s="14"/>
      <c r="CR438" s="14"/>
      <c r="CS438" s="14"/>
      <c r="CT438" s="1"/>
      <c r="CU438" s="14"/>
      <c r="CV438" s="1"/>
      <c r="CW438" s="1"/>
      <c r="CX438" s="14"/>
      <c r="CY438" s="1"/>
      <c r="CZ438" s="1"/>
      <c r="DA438" s="1"/>
      <c r="DB438" s="1"/>
      <c r="DC438" s="1"/>
      <c r="DD438" s="1"/>
      <c r="DE438" s="1"/>
      <c r="DF438" s="1"/>
      <c r="DG438" s="1"/>
      <c r="DH438" s="1"/>
      <c r="DI438" s="1"/>
      <c r="DJ438" s="1"/>
      <c r="DK438" s="1"/>
      <c r="DL438" s="1"/>
      <c r="DM438" s="1"/>
      <c r="DN438" s="1"/>
      <c r="DO438" s="1"/>
      <c r="DP438" s="1"/>
      <c r="DQ438" s="1"/>
      <c r="DR438" s="1"/>
      <c r="DS438" s="1"/>
      <c r="DT438" s="1"/>
      <c r="DU438" s="14"/>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29"/>
    </row>
    <row r="439" spans="1:160" x14ac:dyDescent="0.25">
      <c r="A439" s="5"/>
      <c r="B439" s="1"/>
      <c r="C439" s="98"/>
      <c r="D439" s="98"/>
      <c r="E439" s="1"/>
      <c r="F439" s="22"/>
      <c r="G439" s="22"/>
      <c r="H439" s="22"/>
      <c r="I439" s="22"/>
      <c r="J439" s="22"/>
      <c r="K439" s="22"/>
      <c r="L439" s="22"/>
      <c r="M439" s="22"/>
      <c r="N439" s="22"/>
      <c r="O439" s="22"/>
      <c r="P439" s="22"/>
      <c r="Q439" s="22"/>
      <c r="R439" s="1"/>
      <c r="S439" s="1"/>
      <c r="T439" s="8"/>
      <c r="U439" s="1"/>
      <c r="V439" s="1"/>
      <c r="W439" s="1"/>
      <c r="X439" s="1"/>
      <c r="Y439" s="1"/>
      <c r="Z439" s="1"/>
      <c r="AA439" s="1"/>
      <c r="AC439" s="1"/>
      <c r="AD439" s="1"/>
      <c r="AE439" s="1"/>
      <c r="AF439" s="1"/>
      <c r="AG439" s="1"/>
      <c r="AH439" s="26"/>
      <c r="AI439" s="26"/>
      <c r="AJ439" s="26"/>
      <c r="AK439" s="26"/>
      <c r="AL439" s="26"/>
      <c r="AM439" s="26"/>
      <c r="AN439" s="26"/>
      <c r="AO439" s="26"/>
      <c r="AP439" s="26"/>
      <c r="AQ439" s="26"/>
      <c r="AR439" s="26"/>
      <c r="AS439" s="26"/>
      <c r="AT439" s="26"/>
      <c r="AU439" s="26"/>
      <c r="AV439" s="26"/>
      <c r="AW439" s="26"/>
      <c r="AX439" s="26"/>
      <c r="AY439" s="1"/>
      <c r="AZ439" s="26"/>
      <c r="BA439" s="26"/>
      <c r="BB439" s="26"/>
      <c r="BC439" s="26"/>
      <c r="BD439" s="26"/>
      <c r="BE439" s="26"/>
      <c r="BF439" s="26"/>
      <c r="BG439" s="26"/>
      <c r="BH439" s="26"/>
      <c r="BI439" s="26"/>
      <c r="BJ439" s="26"/>
      <c r="BK439" s="26"/>
      <c r="BL439" s="26"/>
      <c r="BM439" s="26"/>
      <c r="BN439" s="26"/>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96"/>
      <c r="CP439" s="14"/>
      <c r="CQ439" s="14"/>
      <c r="CR439" s="14"/>
      <c r="CS439" s="14"/>
      <c r="CT439" s="1"/>
      <c r="CU439" s="14"/>
      <c r="CV439" s="1"/>
      <c r="CW439" s="1"/>
      <c r="CX439" s="14"/>
      <c r="CY439" s="1"/>
      <c r="CZ439" s="1"/>
      <c r="DA439" s="1"/>
      <c r="DB439" s="1"/>
      <c r="DC439" s="1"/>
      <c r="DD439" s="1"/>
      <c r="DE439" s="1"/>
      <c r="DF439" s="1"/>
      <c r="DG439" s="1"/>
      <c r="DH439" s="1"/>
      <c r="DI439" s="1"/>
      <c r="DJ439" s="1"/>
      <c r="DK439" s="1"/>
      <c r="DL439" s="1"/>
      <c r="DM439" s="1"/>
      <c r="DN439" s="1"/>
      <c r="DO439" s="1"/>
      <c r="DP439" s="1"/>
      <c r="DQ439" s="1"/>
      <c r="DR439" s="1"/>
      <c r="DS439" s="1"/>
      <c r="DT439" s="1"/>
      <c r="DU439" s="14"/>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29"/>
    </row>
    <row r="440" spans="1:160" x14ac:dyDescent="0.25">
      <c r="A440" s="5"/>
      <c r="B440" s="1"/>
      <c r="C440" s="98"/>
      <c r="D440" s="98"/>
      <c r="E440" s="1"/>
      <c r="F440" s="22"/>
      <c r="G440" s="22"/>
      <c r="H440" s="22"/>
      <c r="I440" s="22"/>
      <c r="J440" s="22"/>
      <c r="K440" s="22"/>
      <c r="L440" s="22"/>
      <c r="M440" s="22"/>
      <c r="N440" s="22"/>
      <c r="O440" s="22"/>
      <c r="P440" s="22"/>
      <c r="Q440" s="22"/>
      <c r="R440" s="1"/>
      <c r="S440" s="1"/>
      <c r="T440" s="8"/>
      <c r="U440" s="1"/>
      <c r="V440" s="1"/>
      <c r="W440" s="1"/>
      <c r="X440" s="1"/>
      <c r="Y440" s="1"/>
      <c r="Z440" s="1"/>
      <c r="AA440" s="1"/>
      <c r="AC440" s="1"/>
      <c r="AD440" s="1"/>
      <c r="AE440" s="1"/>
      <c r="AF440" s="1"/>
      <c r="AG440" s="1"/>
      <c r="AH440" s="26"/>
      <c r="AI440" s="26"/>
      <c r="AJ440" s="26"/>
      <c r="AK440" s="26"/>
      <c r="AL440" s="26"/>
      <c r="AM440" s="26"/>
      <c r="AN440" s="26"/>
      <c r="AO440" s="26"/>
      <c r="AP440" s="26"/>
      <c r="AQ440" s="26"/>
      <c r="AR440" s="26"/>
      <c r="AS440" s="26"/>
      <c r="AT440" s="26"/>
      <c r="AU440" s="26"/>
      <c r="AV440" s="26"/>
      <c r="AW440" s="26"/>
      <c r="AX440" s="26"/>
      <c r="AY440" s="1"/>
      <c r="AZ440" s="26"/>
      <c r="BA440" s="26"/>
      <c r="BB440" s="26"/>
      <c r="BC440" s="26"/>
      <c r="BD440" s="26"/>
      <c r="BE440" s="26"/>
      <c r="BF440" s="26"/>
      <c r="BG440" s="26"/>
      <c r="BH440" s="26"/>
      <c r="BI440" s="26"/>
      <c r="BJ440" s="26"/>
      <c r="BK440" s="26"/>
      <c r="BL440" s="26"/>
      <c r="BM440" s="26"/>
      <c r="BN440" s="26"/>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96"/>
      <c r="CP440" s="14"/>
      <c r="CQ440" s="14"/>
      <c r="CR440" s="14"/>
      <c r="CS440" s="14"/>
      <c r="CT440" s="1"/>
      <c r="CU440" s="14"/>
      <c r="CV440" s="1"/>
      <c r="CW440" s="1"/>
      <c r="CX440" s="14"/>
      <c r="CY440" s="1"/>
      <c r="CZ440" s="1"/>
      <c r="DA440" s="1"/>
      <c r="DB440" s="1"/>
      <c r="DC440" s="1"/>
      <c r="DD440" s="1"/>
      <c r="DE440" s="1"/>
      <c r="DF440" s="1"/>
      <c r="DG440" s="1"/>
      <c r="DH440" s="1"/>
      <c r="DI440" s="1"/>
      <c r="DJ440" s="1"/>
      <c r="DK440" s="1"/>
      <c r="DL440" s="1"/>
      <c r="DM440" s="1"/>
      <c r="DN440" s="1"/>
      <c r="DO440" s="1"/>
      <c r="DP440" s="1"/>
      <c r="DQ440" s="1"/>
      <c r="DR440" s="1"/>
      <c r="DS440" s="1"/>
      <c r="DT440" s="1"/>
      <c r="DU440" s="14"/>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29"/>
    </row>
    <row r="441" spans="1:160" x14ac:dyDescent="0.25">
      <c r="A441" s="5"/>
      <c r="B441" s="1"/>
      <c r="C441" s="98"/>
      <c r="D441" s="98"/>
      <c r="E441" s="1"/>
      <c r="F441" s="22"/>
      <c r="G441" s="22"/>
      <c r="H441" s="22"/>
      <c r="I441" s="22"/>
      <c r="J441" s="22"/>
      <c r="K441" s="22"/>
      <c r="L441" s="22"/>
      <c r="M441" s="22"/>
      <c r="N441" s="22"/>
      <c r="O441" s="22"/>
      <c r="P441" s="22"/>
      <c r="Q441" s="22"/>
      <c r="R441" s="1"/>
      <c r="S441" s="1"/>
      <c r="T441" s="8"/>
      <c r="U441" s="1"/>
      <c r="V441" s="1"/>
      <c r="W441" s="1"/>
      <c r="X441" s="1"/>
      <c r="Y441" s="1"/>
      <c r="Z441" s="1"/>
      <c r="AA441" s="1"/>
      <c r="AC441" s="1"/>
      <c r="AD441" s="1"/>
      <c r="AE441" s="1"/>
      <c r="AF441" s="1"/>
      <c r="AG441" s="1"/>
      <c r="AH441" s="26"/>
      <c r="AI441" s="26"/>
      <c r="AJ441" s="26"/>
      <c r="AK441" s="26"/>
      <c r="AL441" s="26"/>
      <c r="AM441" s="26"/>
      <c r="AN441" s="26"/>
      <c r="AO441" s="26"/>
      <c r="AP441" s="26"/>
      <c r="AQ441" s="26"/>
      <c r="AR441" s="26"/>
      <c r="AS441" s="26"/>
      <c r="AT441" s="26"/>
      <c r="AU441" s="26"/>
      <c r="AV441" s="26"/>
      <c r="AW441" s="26"/>
      <c r="AX441" s="26"/>
      <c r="AY441" s="1"/>
      <c r="AZ441" s="26"/>
      <c r="BA441" s="26"/>
      <c r="BB441" s="26"/>
      <c r="BC441" s="26"/>
      <c r="BD441" s="26"/>
      <c r="BE441" s="26"/>
      <c r="BF441" s="26"/>
      <c r="BG441" s="26"/>
      <c r="BH441" s="26"/>
      <c r="BI441" s="26"/>
      <c r="BJ441" s="26"/>
      <c r="BK441" s="26"/>
      <c r="BL441" s="26"/>
      <c r="BM441" s="26"/>
      <c r="BN441" s="26"/>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96"/>
      <c r="CP441" s="14"/>
      <c r="CQ441" s="14"/>
      <c r="CR441" s="14"/>
      <c r="CS441" s="14"/>
      <c r="CT441" s="1"/>
      <c r="CU441" s="14"/>
      <c r="CV441" s="1"/>
      <c r="CW441" s="1"/>
      <c r="CX441" s="14"/>
      <c r="CY441" s="1"/>
      <c r="CZ441" s="1"/>
      <c r="DA441" s="1"/>
      <c r="DB441" s="1"/>
      <c r="DC441" s="1"/>
      <c r="DD441" s="1"/>
      <c r="DE441" s="1"/>
      <c r="DF441" s="1"/>
      <c r="DG441" s="1"/>
      <c r="DH441" s="1"/>
      <c r="DI441" s="1"/>
      <c r="DJ441" s="1"/>
      <c r="DK441" s="1"/>
      <c r="DL441" s="1"/>
      <c r="DM441" s="1"/>
      <c r="DN441" s="1"/>
      <c r="DO441" s="1"/>
      <c r="DP441" s="1"/>
      <c r="DQ441" s="1"/>
      <c r="DR441" s="1"/>
      <c r="DS441" s="1"/>
      <c r="DT441" s="1"/>
      <c r="DU441" s="14"/>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29"/>
    </row>
    <row r="442" spans="1:160" x14ac:dyDescent="0.25">
      <c r="A442" s="5"/>
      <c r="B442" s="1"/>
      <c r="C442" s="98"/>
      <c r="D442" s="98"/>
      <c r="E442" s="1"/>
      <c r="F442" s="22"/>
      <c r="G442" s="22"/>
      <c r="H442" s="22"/>
      <c r="I442" s="22"/>
      <c r="J442" s="22"/>
      <c r="K442" s="22"/>
      <c r="L442" s="22"/>
      <c r="M442" s="22"/>
      <c r="N442" s="22"/>
      <c r="O442" s="22"/>
      <c r="P442" s="22"/>
      <c r="Q442" s="22"/>
      <c r="R442" s="1"/>
      <c r="S442" s="1"/>
      <c r="T442" s="8"/>
      <c r="U442" s="1"/>
      <c r="V442" s="1"/>
      <c r="W442" s="1"/>
      <c r="X442" s="1"/>
      <c r="Y442" s="1"/>
      <c r="Z442" s="1"/>
      <c r="AA442" s="1"/>
      <c r="AC442" s="1"/>
      <c r="AD442" s="1"/>
      <c r="AE442" s="1"/>
      <c r="AF442" s="1"/>
      <c r="AG442" s="1"/>
      <c r="AH442" s="26"/>
      <c r="AI442" s="26"/>
      <c r="AJ442" s="26"/>
      <c r="AK442" s="26"/>
      <c r="AL442" s="26"/>
      <c r="AM442" s="26"/>
      <c r="AN442" s="26"/>
      <c r="AO442" s="26"/>
      <c r="AP442" s="26"/>
      <c r="AQ442" s="26"/>
      <c r="AR442" s="26"/>
      <c r="AS442" s="26"/>
      <c r="AT442" s="26"/>
      <c r="AU442" s="26"/>
      <c r="AV442" s="26"/>
      <c r="AW442" s="26"/>
      <c r="AX442" s="26"/>
      <c r="AY442" s="1"/>
      <c r="AZ442" s="26"/>
      <c r="BA442" s="26"/>
      <c r="BB442" s="26"/>
      <c r="BC442" s="26"/>
      <c r="BD442" s="26"/>
      <c r="BE442" s="26"/>
      <c r="BF442" s="26"/>
      <c r="BG442" s="26"/>
      <c r="BH442" s="26"/>
      <c r="BI442" s="26"/>
      <c r="BJ442" s="26"/>
      <c r="BK442" s="26"/>
      <c r="BL442" s="26"/>
      <c r="BM442" s="26"/>
      <c r="BN442" s="26"/>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96"/>
      <c r="CP442" s="14"/>
      <c r="CQ442" s="14"/>
      <c r="CR442" s="14"/>
      <c r="CS442" s="14"/>
      <c r="CT442" s="1"/>
      <c r="CU442" s="14"/>
      <c r="CV442" s="1"/>
      <c r="CW442" s="1"/>
      <c r="CX442" s="14"/>
      <c r="CY442" s="1"/>
      <c r="CZ442" s="1"/>
      <c r="DA442" s="1"/>
      <c r="DB442" s="1"/>
      <c r="DC442" s="1"/>
      <c r="DD442" s="1"/>
      <c r="DE442" s="1"/>
      <c r="DF442" s="1"/>
      <c r="DG442" s="1"/>
      <c r="DH442" s="1"/>
      <c r="DI442" s="1"/>
      <c r="DJ442" s="1"/>
      <c r="DK442" s="1"/>
      <c r="DL442" s="1"/>
      <c r="DM442" s="1"/>
      <c r="DN442" s="1"/>
      <c r="DO442" s="1"/>
      <c r="DP442" s="1"/>
      <c r="DQ442" s="1"/>
      <c r="DR442" s="1"/>
      <c r="DS442" s="1"/>
      <c r="DT442" s="1"/>
      <c r="DU442" s="14"/>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29"/>
    </row>
    <row r="443" spans="1:160" x14ac:dyDescent="0.25">
      <c r="A443" s="5"/>
      <c r="B443" s="1"/>
      <c r="C443" s="98"/>
      <c r="D443" s="98"/>
      <c r="E443" s="1"/>
      <c r="F443" s="22"/>
      <c r="G443" s="22"/>
      <c r="H443" s="22"/>
      <c r="I443" s="22"/>
      <c r="J443" s="22"/>
      <c r="K443" s="22"/>
      <c r="L443" s="22"/>
      <c r="M443" s="22"/>
      <c r="N443" s="22"/>
      <c r="O443" s="22"/>
      <c r="P443" s="22"/>
      <c r="Q443" s="22"/>
      <c r="R443" s="1"/>
      <c r="S443" s="1"/>
      <c r="T443" s="8"/>
      <c r="U443" s="1"/>
      <c r="V443" s="1"/>
      <c r="W443" s="1"/>
      <c r="X443" s="1"/>
      <c r="Y443" s="1"/>
      <c r="Z443" s="1"/>
      <c r="AA443" s="1"/>
      <c r="AC443" s="1"/>
      <c r="AD443" s="1"/>
      <c r="AE443" s="1"/>
      <c r="AF443" s="1"/>
      <c r="AG443" s="1"/>
      <c r="AH443" s="26"/>
      <c r="AI443" s="26"/>
      <c r="AJ443" s="26"/>
      <c r="AK443" s="26"/>
      <c r="AL443" s="26"/>
      <c r="AM443" s="26"/>
      <c r="AN443" s="26"/>
      <c r="AO443" s="26"/>
      <c r="AP443" s="26"/>
      <c r="AQ443" s="26"/>
      <c r="AR443" s="26"/>
      <c r="AS443" s="26"/>
      <c r="AT443" s="26"/>
      <c r="AU443" s="26"/>
      <c r="AV443" s="26"/>
      <c r="AW443" s="26"/>
      <c r="AX443" s="26"/>
      <c r="AY443" s="1"/>
      <c r="AZ443" s="26"/>
      <c r="BA443" s="26"/>
      <c r="BB443" s="26"/>
      <c r="BC443" s="26"/>
      <c r="BD443" s="26"/>
      <c r="BE443" s="26"/>
      <c r="BF443" s="26"/>
      <c r="BG443" s="26"/>
      <c r="BH443" s="26"/>
      <c r="BI443" s="26"/>
      <c r="BJ443" s="26"/>
      <c r="BK443" s="26"/>
      <c r="BL443" s="26"/>
      <c r="BM443" s="26"/>
      <c r="BN443" s="26"/>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96"/>
      <c r="CP443" s="14"/>
      <c r="CQ443" s="14"/>
      <c r="CR443" s="14"/>
      <c r="CS443" s="14"/>
      <c r="CT443" s="1"/>
      <c r="CU443" s="14"/>
      <c r="CV443" s="1"/>
      <c r="CW443" s="1"/>
      <c r="CX443" s="14"/>
      <c r="CY443" s="1"/>
      <c r="CZ443" s="1"/>
      <c r="DA443" s="1"/>
      <c r="DB443" s="1"/>
      <c r="DC443" s="1"/>
      <c r="DD443" s="1"/>
      <c r="DE443" s="1"/>
      <c r="DF443" s="1"/>
      <c r="DG443" s="1"/>
      <c r="DH443" s="1"/>
      <c r="DI443" s="1"/>
      <c r="DJ443" s="1"/>
      <c r="DK443" s="1"/>
      <c r="DL443" s="1"/>
      <c r="DM443" s="1"/>
      <c r="DN443" s="1"/>
      <c r="DO443" s="1"/>
      <c r="DP443" s="1"/>
      <c r="DQ443" s="1"/>
      <c r="DR443" s="1"/>
      <c r="DS443" s="1"/>
      <c r="DT443" s="1"/>
      <c r="DU443" s="14"/>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29"/>
    </row>
    <row r="444" spans="1:160" x14ac:dyDescent="0.25">
      <c r="A444" s="5"/>
      <c r="B444" s="1"/>
      <c r="C444" s="98"/>
      <c r="D444" s="98"/>
      <c r="E444" s="1"/>
      <c r="F444" s="22"/>
      <c r="G444" s="22"/>
      <c r="H444" s="22"/>
      <c r="I444" s="22"/>
      <c r="J444" s="22"/>
      <c r="K444" s="22"/>
      <c r="L444" s="22"/>
      <c r="M444" s="22"/>
      <c r="N444" s="22"/>
      <c r="O444" s="22"/>
      <c r="P444" s="22"/>
      <c r="Q444" s="22"/>
      <c r="R444" s="1"/>
      <c r="S444" s="1"/>
      <c r="T444" s="8"/>
      <c r="U444" s="1"/>
      <c r="V444" s="1"/>
      <c r="W444" s="1"/>
      <c r="X444" s="1"/>
      <c r="Y444" s="1"/>
      <c r="Z444" s="1"/>
      <c r="AA444" s="1"/>
      <c r="AC444" s="1"/>
      <c r="AD444" s="1"/>
      <c r="AE444" s="1"/>
      <c r="AF444" s="1"/>
      <c r="AG444" s="1"/>
      <c r="AH444" s="26"/>
      <c r="AI444" s="26"/>
      <c r="AJ444" s="26"/>
      <c r="AK444" s="26"/>
      <c r="AL444" s="26"/>
      <c r="AM444" s="26"/>
      <c r="AN444" s="26"/>
      <c r="AO444" s="26"/>
      <c r="AP444" s="26"/>
      <c r="AQ444" s="26"/>
      <c r="AR444" s="26"/>
      <c r="AS444" s="26"/>
      <c r="AT444" s="26"/>
      <c r="AU444" s="26"/>
      <c r="AV444" s="26"/>
      <c r="AW444" s="26"/>
      <c r="AX444" s="26"/>
      <c r="AY444" s="1"/>
      <c r="AZ444" s="26"/>
      <c r="BA444" s="26"/>
      <c r="BB444" s="26"/>
      <c r="BC444" s="26"/>
      <c r="BD444" s="26"/>
      <c r="BE444" s="26"/>
      <c r="BF444" s="26"/>
      <c r="BG444" s="26"/>
      <c r="BH444" s="26"/>
      <c r="BI444" s="26"/>
      <c r="BJ444" s="26"/>
      <c r="BK444" s="26"/>
      <c r="BL444" s="26"/>
      <c r="BM444" s="26"/>
      <c r="BN444" s="26"/>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96"/>
      <c r="CP444" s="14"/>
      <c r="CQ444" s="14"/>
      <c r="CR444" s="14"/>
      <c r="CS444" s="14"/>
      <c r="CT444" s="1"/>
      <c r="CU444" s="14"/>
      <c r="CV444" s="1"/>
      <c r="CW444" s="1"/>
      <c r="CX444" s="14"/>
      <c r="CY444" s="1"/>
      <c r="CZ444" s="1"/>
      <c r="DA444" s="1"/>
      <c r="DB444" s="1"/>
      <c r="DC444" s="1"/>
      <c r="DD444" s="1"/>
      <c r="DE444" s="1"/>
      <c r="DF444" s="1"/>
      <c r="DG444" s="1"/>
      <c r="DH444" s="1"/>
      <c r="DI444" s="1"/>
      <c r="DJ444" s="1"/>
      <c r="DK444" s="1"/>
      <c r="DL444" s="1"/>
      <c r="DM444" s="1"/>
      <c r="DN444" s="1"/>
      <c r="DO444" s="1"/>
      <c r="DP444" s="1"/>
      <c r="DQ444" s="1"/>
      <c r="DR444" s="1"/>
      <c r="DS444" s="1"/>
      <c r="DT444" s="1"/>
      <c r="DU444" s="14"/>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29"/>
    </row>
    <row r="445" spans="1:160" x14ac:dyDescent="0.25">
      <c r="A445" s="5"/>
      <c r="B445" s="1"/>
      <c r="C445" s="98"/>
      <c r="D445" s="98"/>
      <c r="E445" s="1"/>
      <c r="F445" s="22"/>
      <c r="G445" s="22"/>
      <c r="H445" s="22"/>
      <c r="I445" s="22"/>
      <c r="J445" s="22"/>
      <c r="K445" s="22"/>
      <c r="L445" s="22"/>
      <c r="M445" s="22"/>
      <c r="N445" s="22"/>
      <c r="O445" s="22"/>
      <c r="P445" s="22"/>
      <c r="Q445" s="22"/>
      <c r="R445" s="1"/>
      <c r="S445" s="1"/>
      <c r="T445" s="8"/>
      <c r="U445" s="1"/>
      <c r="V445" s="1"/>
      <c r="W445" s="1"/>
      <c r="X445" s="1"/>
      <c r="Y445" s="1"/>
      <c r="Z445" s="1"/>
      <c r="AA445" s="1"/>
      <c r="AC445" s="1"/>
      <c r="AD445" s="1"/>
      <c r="AE445" s="1"/>
      <c r="AF445" s="1"/>
      <c r="AG445" s="1"/>
      <c r="AH445" s="26"/>
      <c r="AI445" s="26"/>
      <c r="AJ445" s="26"/>
      <c r="AK445" s="26"/>
      <c r="AL445" s="26"/>
      <c r="AM445" s="26"/>
      <c r="AN445" s="26"/>
      <c r="AO445" s="26"/>
      <c r="AP445" s="26"/>
      <c r="AQ445" s="26"/>
      <c r="AR445" s="26"/>
      <c r="AS445" s="26"/>
      <c r="AT445" s="26"/>
      <c r="AU445" s="26"/>
      <c r="AV445" s="26"/>
      <c r="AW445" s="26"/>
      <c r="AX445" s="26"/>
      <c r="AY445" s="1"/>
      <c r="AZ445" s="26"/>
      <c r="BA445" s="26"/>
      <c r="BB445" s="26"/>
      <c r="BC445" s="26"/>
      <c r="BD445" s="26"/>
      <c r="BE445" s="26"/>
      <c r="BF445" s="26"/>
      <c r="BG445" s="26"/>
      <c r="BH445" s="26"/>
      <c r="BI445" s="26"/>
      <c r="BJ445" s="26"/>
      <c r="BK445" s="26"/>
      <c r="BL445" s="26"/>
      <c r="BM445" s="26"/>
      <c r="BN445" s="26"/>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96"/>
      <c r="CP445" s="14"/>
      <c r="CQ445" s="14"/>
      <c r="CR445" s="14"/>
      <c r="CS445" s="14"/>
      <c r="CT445" s="1"/>
      <c r="CU445" s="14"/>
      <c r="CV445" s="1"/>
      <c r="CW445" s="1"/>
      <c r="CX445" s="14"/>
      <c r="CY445" s="1"/>
      <c r="CZ445" s="1"/>
      <c r="DA445" s="1"/>
      <c r="DB445" s="1"/>
      <c r="DC445" s="1"/>
      <c r="DD445" s="1"/>
      <c r="DE445" s="1"/>
      <c r="DF445" s="1"/>
      <c r="DG445" s="1"/>
      <c r="DH445" s="1"/>
      <c r="DI445" s="1"/>
      <c r="DJ445" s="1"/>
      <c r="DK445" s="1"/>
      <c r="DL445" s="1"/>
      <c r="DM445" s="1"/>
      <c r="DN445" s="1"/>
      <c r="DO445" s="1"/>
      <c r="DP445" s="1"/>
      <c r="DQ445" s="1"/>
      <c r="DR445" s="1"/>
      <c r="DS445" s="1"/>
      <c r="DT445" s="1"/>
      <c r="DU445" s="14"/>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29"/>
    </row>
    <row r="446" spans="1:160" x14ac:dyDescent="0.25">
      <c r="A446" s="5"/>
      <c r="B446" s="1"/>
      <c r="C446" s="98"/>
      <c r="D446" s="98"/>
      <c r="E446" s="1"/>
      <c r="F446" s="22"/>
      <c r="G446" s="22"/>
      <c r="H446" s="22"/>
      <c r="I446" s="22"/>
      <c r="J446" s="22"/>
      <c r="K446" s="22"/>
      <c r="L446" s="22"/>
      <c r="M446" s="22"/>
      <c r="N446" s="22"/>
      <c r="O446" s="22"/>
      <c r="P446" s="22"/>
      <c r="Q446" s="22"/>
      <c r="R446" s="1"/>
      <c r="S446" s="1"/>
      <c r="T446" s="8"/>
      <c r="U446" s="1"/>
      <c r="V446" s="1"/>
      <c r="W446" s="1"/>
      <c r="X446" s="1"/>
      <c r="Y446" s="1"/>
      <c r="Z446" s="1"/>
      <c r="AA446" s="1"/>
      <c r="AC446" s="1"/>
      <c r="AD446" s="1"/>
      <c r="AE446" s="1"/>
      <c r="AF446" s="1"/>
      <c r="AG446" s="1"/>
      <c r="AH446" s="26"/>
      <c r="AI446" s="26"/>
      <c r="AJ446" s="26"/>
      <c r="AK446" s="26"/>
      <c r="AL446" s="26"/>
      <c r="AM446" s="26"/>
      <c r="AN446" s="26"/>
      <c r="AO446" s="26"/>
      <c r="AP446" s="26"/>
      <c r="AQ446" s="26"/>
      <c r="AR446" s="26"/>
      <c r="AS446" s="26"/>
      <c r="AT446" s="26"/>
      <c r="AU446" s="26"/>
      <c r="AV446" s="26"/>
      <c r="AW446" s="26"/>
      <c r="AX446" s="26"/>
      <c r="AY446" s="1"/>
      <c r="AZ446" s="26"/>
      <c r="BA446" s="26"/>
      <c r="BB446" s="26"/>
      <c r="BC446" s="26"/>
      <c r="BD446" s="26"/>
      <c r="BE446" s="26"/>
      <c r="BF446" s="26"/>
      <c r="BG446" s="26"/>
      <c r="BH446" s="26"/>
      <c r="BI446" s="26"/>
      <c r="BJ446" s="26"/>
      <c r="BK446" s="26"/>
      <c r="BL446" s="26"/>
      <c r="BM446" s="26"/>
      <c r="BN446" s="26"/>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96"/>
      <c r="CP446" s="14"/>
      <c r="CQ446" s="14"/>
      <c r="CR446" s="14"/>
      <c r="CS446" s="14"/>
      <c r="CT446" s="1"/>
      <c r="CU446" s="14"/>
      <c r="CV446" s="1"/>
      <c r="CW446" s="1"/>
      <c r="CX446" s="14"/>
      <c r="CY446" s="1"/>
      <c r="CZ446" s="1"/>
      <c r="DA446" s="1"/>
      <c r="DB446" s="1"/>
      <c r="DC446" s="1"/>
      <c r="DD446" s="1"/>
      <c r="DE446" s="1"/>
      <c r="DF446" s="1"/>
      <c r="DG446" s="1"/>
      <c r="DH446" s="1"/>
      <c r="DI446" s="1"/>
      <c r="DJ446" s="1"/>
      <c r="DK446" s="1"/>
      <c r="DL446" s="1"/>
      <c r="DM446" s="1"/>
      <c r="DN446" s="1"/>
      <c r="DO446" s="1"/>
      <c r="DP446" s="1"/>
      <c r="DQ446" s="1"/>
      <c r="DR446" s="1"/>
      <c r="DS446" s="1"/>
      <c r="DT446" s="1"/>
      <c r="DU446" s="14"/>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29"/>
    </row>
    <row r="447" spans="1:160" x14ac:dyDescent="0.25">
      <c r="A447" s="5"/>
      <c r="B447" s="1"/>
      <c r="C447" s="98"/>
      <c r="D447" s="98"/>
      <c r="E447" s="1"/>
      <c r="F447" s="22"/>
      <c r="G447" s="22"/>
      <c r="H447" s="22"/>
      <c r="I447" s="22"/>
      <c r="J447" s="22"/>
      <c r="K447" s="22"/>
      <c r="L447" s="22"/>
      <c r="M447" s="22"/>
      <c r="N447" s="22"/>
      <c r="O447" s="22"/>
      <c r="P447" s="22"/>
      <c r="Q447" s="22"/>
      <c r="R447" s="1"/>
      <c r="S447" s="1"/>
      <c r="T447" s="8"/>
      <c r="U447" s="1"/>
      <c r="V447" s="1"/>
      <c r="W447" s="1"/>
      <c r="X447" s="1"/>
      <c r="Y447" s="1"/>
      <c r="Z447" s="1"/>
      <c r="AA447" s="1"/>
      <c r="AC447" s="1"/>
      <c r="AD447" s="1"/>
      <c r="AE447" s="1"/>
      <c r="AF447" s="1"/>
      <c r="AG447" s="1"/>
      <c r="AH447" s="26"/>
      <c r="AI447" s="26"/>
      <c r="AJ447" s="26"/>
      <c r="AK447" s="26"/>
      <c r="AL447" s="26"/>
      <c r="AM447" s="26"/>
      <c r="AN447" s="26"/>
      <c r="AO447" s="26"/>
      <c r="AP447" s="26"/>
      <c r="AQ447" s="26"/>
      <c r="AR447" s="26"/>
      <c r="AS447" s="26"/>
      <c r="AT447" s="26"/>
      <c r="AU447" s="26"/>
      <c r="AV447" s="26"/>
      <c r="AW447" s="26"/>
      <c r="AX447" s="26"/>
      <c r="AY447" s="1"/>
      <c r="AZ447" s="26"/>
      <c r="BA447" s="26"/>
      <c r="BB447" s="26"/>
      <c r="BC447" s="26"/>
      <c r="BD447" s="26"/>
      <c r="BE447" s="26"/>
      <c r="BF447" s="26"/>
      <c r="BG447" s="26"/>
      <c r="BH447" s="26"/>
      <c r="BI447" s="26"/>
      <c r="BJ447" s="26"/>
      <c r="BK447" s="26"/>
      <c r="BL447" s="26"/>
      <c r="BM447" s="26"/>
      <c r="BN447" s="26"/>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96"/>
      <c r="CP447" s="14"/>
      <c r="CQ447" s="14"/>
      <c r="CR447" s="14"/>
      <c r="CS447" s="14"/>
      <c r="CT447" s="1"/>
      <c r="CU447" s="14"/>
      <c r="CV447" s="1"/>
      <c r="CW447" s="1"/>
      <c r="CX447" s="14"/>
      <c r="CY447" s="1"/>
      <c r="CZ447" s="1"/>
      <c r="DA447" s="1"/>
      <c r="DB447" s="1"/>
      <c r="DC447" s="1"/>
      <c r="DD447" s="1"/>
      <c r="DE447" s="1"/>
      <c r="DF447" s="1"/>
      <c r="DG447" s="1"/>
      <c r="DH447" s="1"/>
      <c r="DI447" s="1"/>
      <c r="DJ447" s="1"/>
      <c r="DK447" s="1"/>
      <c r="DL447" s="1"/>
      <c r="DM447" s="1"/>
      <c r="DN447" s="1"/>
      <c r="DO447" s="1"/>
      <c r="DP447" s="1"/>
      <c r="DQ447" s="1"/>
      <c r="DR447" s="1"/>
      <c r="DS447" s="1"/>
      <c r="DT447" s="1"/>
      <c r="DU447" s="14"/>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29"/>
    </row>
    <row r="448" spans="1:160" x14ac:dyDescent="0.25">
      <c r="A448" s="5"/>
      <c r="B448" s="1"/>
      <c r="C448" s="98"/>
      <c r="D448" s="98"/>
      <c r="E448" s="1"/>
      <c r="F448" s="22"/>
      <c r="G448" s="22"/>
      <c r="H448" s="22"/>
      <c r="I448" s="22"/>
      <c r="J448" s="22"/>
      <c r="K448" s="22"/>
      <c r="L448" s="22"/>
      <c r="M448" s="22"/>
      <c r="N448" s="22"/>
      <c r="O448" s="22"/>
      <c r="P448" s="22"/>
      <c r="Q448" s="22"/>
      <c r="R448" s="1"/>
      <c r="S448" s="1"/>
      <c r="T448" s="8"/>
      <c r="U448" s="1"/>
      <c r="V448" s="1"/>
      <c r="W448" s="1"/>
      <c r="X448" s="1"/>
      <c r="Y448" s="1"/>
      <c r="Z448" s="1"/>
      <c r="AA448" s="1"/>
      <c r="AC448" s="1"/>
      <c r="AD448" s="1"/>
      <c r="AE448" s="1"/>
      <c r="AF448" s="1"/>
      <c r="AG448" s="1"/>
      <c r="AH448" s="26"/>
      <c r="AI448" s="26"/>
      <c r="AJ448" s="26"/>
      <c r="AK448" s="26"/>
      <c r="AL448" s="26"/>
      <c r="AM448" s="26"/>
      <c r="AN448" s="26"/>
      <c r="AO448" s="26"/>
      <c r="AP448" s="26"/>
      <c r="AQ448" s="26"/>
      <c r="AR448" s="26"/>
      <c r="AS448" s="26"/>
      <c r="AT448" s="26"/>
      <c r="AU448" s="26"/>
      <c r="AV448" s="26"/>
      <c r="AW448" s="26"/>
      <c r="AX448" s="26"/>
      <c r="AY448" s="1"/>
      <c r="AZ448" s="26"/>
      <c r="BA448" s="26"/>
      <c r="BB448" s="26"/>
      <c r="BC448" s="26"/>
      <c r="BD448" s="26"/>
      <c r="BE448" s="26"/>
      <c r="BF448" s="26"/>
      <c r="BG448" s="26"/>
      <c r="BH448" s="26"/>
      <c r="BI448" s="26"/>
      <c r="BJ448" s="26"/>
      <c r="BK448" s="26"/>
      <c r="BL448" s="26"/>
      <c r="BM448" s="26"/>
      <c r="BN448" s="26"/>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96"/>
      <c r="CP448" s="14"/>
      <c r="CQ448" s="14"/>
      <c r="CR448" s="14"/>
      <c r="CS448" s="14"/>
      <c r="CT448" s="1"/>
      <c r="CU448" s="14"/>
      <c r="CV448" s="1"/>
      <c r="CW448" s="1"/>
      <c r="CX448" s="14"/>
      <c r="CY448" s="1"/>
      <c r="CZ448" s="1"/>
      <c r="DA448" s="1"/>
      <c r="DB448" s="1"/>
      <c r="DC448" s="1"/>
      <c r="DD448" s="1"/>
      <c r="DE448" s="1"/>
      <c r="DF448" s="1"/>
      <c r="DG448" s="1"/>
      <c r="DH448" s="1"/>
      <c r="DI448" s="1"/>
      <c r="DJ448" s="1"/>
      <c r="DK448" s="1"/>
      <c r="DL448" s="1"/>
      <c r="DM448" s="1"/>
      <c r="DN448" s="1"/>
      <c r="DO448" s="1"/>
      <c r="DP448" s="1"/>
      <c r="DQ448" s="1"/>
      <c r="DR448" s="1"/>
      <c r="DS448" s="1"/>
      <c r="DT448" s="1"/>
      <c r="DU448" s="14"/>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29"/>
    </row>
    <row r="449" spans="1:160" x14ac:dyDescent="0.25">
      <c r="A449" s="5"/>
      <c r="B449" s="1"/>
      <c r="C449" s="98"/>
      <c r="D449" s="98"/>
      <c r="E449" s="1"/>
      <c r="F449" s="22"/>
      <c r="G449" s="22"/>
      <c r="H449" s="22"/>
      <c r="I449" s="22"/>
      <c r="J449" s="22"/>
      <c r="K449" s="22"/>
      <c r="L449" s="22"/>
      <c r="M449" s="22"/>
      <c r="N449" s="22"/>
      <c r="O449" s="22"/>
      <c r="P449" s="22"/>
      <c r="Q449" s="22"/>
      <c r="R449" s="1"/>
      <c r="S449" s="1"/>
      <c r="T449" s="8"/>
      <c r="U449" s="1"/>
      <c r="V449" s="1"/>
      <c r="W449" s="1"/>
      <c r="X449" s="1"/>
      <c r="Y449" s="1"/>
      <c r="Z449" s="1"/>
      <c r="AA449" s="1"/>
      <c r="AC449" s="1"/>
      <c r="AD449" s="1"/>
      <c r="AE449" s="1"/>
      <c r="AF449" s="1"/>
      <c r="AG449" s="1"/>
      <c r="AH449" s="26"/>
      <c r="AI449" s="26"/>
      <c r="AJ449" s="26"/>
      <c r="AK449" s="26"/>
      <c r="AL449" s="26"/>
      <c r="AM449" s="26"/>
      <c r="AN449" s="26"/>
      <c r="AO449" s="26"/>
      <c r="AP449" s="26"/>
      <c r="AQ449" s="26"/>
      <c r="AR449" s="26"/>
      <c r="AS449" s="26"/>
      <c r="AT449" s="26"/>
      <c r="AU449" s="26"/>
      <c r="AV449" s="26"/>
      <c r="AW449" s="26"/>
      <c r="AX449" s="26"/>
      <c r="AY449" s="1"/>
      <c r="AZ449" s="26"/>
      <c r="BA449" s="26"/>
      <c r="BB449" s="26"/>
      <c r="BC449" s="26"/>
      <c r="BD449" s="26"/>
      <c r="BE449" s="26"/>
      <c r="BF449" s="26"/>
      <c r="BG449" s="26"/>
      <c r="BH449" s="26"/>
      <c r="BI449" s="26"/>
      <c r="BJ449" s="26"/>
      <c r="BK449" s="26"/>
      <c r="BL449" s="26"/>
      <c r="BM449" s="26"/>
      <c r="BN449" s="26"/>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96"/>
      <c r="CP449" s="14"/>
      <c r="CQ449" s="14"/>
      <c r="CR449" s="14"/>
      <c r="CS449" s="14"/>
      <c r="CT449" s="1"/>
      <c r="CU449" s="14"/>
      <c r="CV449" s="1"/>
      <c r="CW449" s="1"/>
      <c r="CX449" s="14"/>
      <c r="CY449" s="1"/>
      <c r="CZ449" s="1"/>
      <c r="DA449" s="1"/>
      <c r="DB449" s="1"/>
      <c r="DC449" s="1"/>
      <c r="DD449" s="1"/>
      <c r="DE449" s="1"/>
      <c r="DF449" s="1"/>
      <c r="DG449" s="1"/>
      <c r="DH449" s="1"/>
      <c r="DI449" s="1"/>
      <c r="DJ449" s="1"/>
      <c r="DK449" s="1"/>
      <c r="DL449" s="1"/>
      <c r="DM449" s="1"/>
      <c r="DN449" s="1"/>
      <c r="DO449" s="1"/>
      <c r="DP449" s="1"/>
      <c r="DQ449" s="1"/>
      <c r="DR449" s="1"/>
      <c r="DS449" s="1"/>
      <c r="DT449" s="1"/>
      <c r="DU449" s="14"/>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29"/>
    </row>
    <row r="450" spans="1:160" x14ac:dyDescent="0.25">
      <c r="A450" s="5"/>
      <c r="B450" s="1"/>
      <c r="C450" s="98"/>
      <c r="D450" s="98"/>
      <c r="E450" s="1"/>
      <c r="F450" s="22"/>
      <c r="G450" s="22"/>
      <c r="H450" s="22"/>
      <c r="I450" s="22"/>
      <c r="J450" s="22"/>
      <c r="K450" s="22"/>
      <c r="L450" s="22"/>
      <c r="M450" s="22"/>
      <c r="N450" s="22"/>
      <c r="O450" s="22"/>
      <c r="P450" s="22"/>
      <c r="Q450" s="22"/>
      <c r="R450" s="1"/>
      <c r="S450" s="1"/>
      <c r="T450" s="8"/>
      <c r="U450" s="1"/>
      <c r="V450" s="1"/>
      <c r="W450" s="1"/>
      <c r="X450" s="1"/>
      <c r="Y450" s="1"/>
      <c r="Z450" s="1"/>
      <c r="AA450" s="1"/>
      <c r="AC450" s="1"/>
      <c r="AD450" s="1"/>
      <c r="AE450" s="1"/>
      <c r="AF450" s="1"/>
      <c r="AG450" s="1"/>
      <c r="AH450" s="26"/>
      <c r="AI450" s="26"/>
      <c r="AJ450" s="26"/>
      <c r="AK450" s="26"/>
      <c r="AL450" s="26"/>
      <c r="AM450" s="26"/>
      <c r="AN450" s="26"/>
      <c r="AO450" s="26"/>
      <c r="AP450" s="26"/>
      <c r="AQ450" s="26"/>
      <c r="AR450" s="26"/>
      <c r="AS450" s="26"/>
      <c r="AT450" s="26"/>
      <c r="AU450" s="26"/>
      <c r="AV450" s="26"/>
      <c r="AW450" s="26"/>
      <c r="AX450" s="26"/>
      <c r="AY450" s="1"/>
      <c r="AZ450" s="26"/>
      <c r="BA450" s="26"/>
      <c r="BB450" s="26"/>
      <c r="BC450" s="26"/>
      <c r="BD450" s="26"/>
      <c r="BE450" s="26"/>
      <c r="BF450" s="26"/>
      <c r="BG450" s="26"/>
      <c r="BH450" s="26"/>
      <c r="BI450" s="26"/>
      <c r="BJ450" s="26"/>
      <c r="BK450" s="26"/>
      <c r="BL450" s="26"/>
      <c r="BM450" s="26"/>
      <c r="BN450" s="26"/>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96"/>
      <c r="CP450" s="14"/>
      <c r="CQ450" s="14"/>
      <c r="CR450" s="14"/>
      <c r="CS450" s="14"/>
      <c r="CT450" s="1"/>
      <c r="CU450" s="14"/>
      <c r="CV450" s="1"/>
      <c r="CW450" s="1"/>
      <c r="CX450" s="14"/>
      <c r="CY450" s="1"/>
      <c r="CZ450" s="1"/>
      <c r="DA450" s="1"/>
      <c r="DB450" s="1"/>
      <c r="DC450" s="1"/>
      <c r="DD450" s="1"/>
      <c r="DE450" s="1"/>
      <c r="DF450" s="1"/>
      <c r="DG450" s="1"/>
      <c r="DH450" s="1"/>
      <c r="DI450" s="1"/>
      <c r="DJ450" s="1"/>
      <c r="DK450" s="1"/>
      <c r="DL450" s="1"/>
      <c r="DM450" s="1"/>
      <c r="DN450" s="1"/>
      <c r="DO450" s="1"/>
      <c r="DP450" s="1"/>
      <c r="DQ450" s="1"/>
      <c r="DR450" s="1"/>
      <c r="DS450" s="1"/>
      <c r="DT450" s="1"/>
      <c r="DU450" s="14"/>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29"/>
    </row>
    <row r="451" spans="1:160" x14ac:dyDescent="0.25">
      <c r="A451" s="5"/>
      <c r="B451" s="1"/>
      <c r="C451" s="98"/>
      <c r="D451" s="98"/>
      <c r="E451" s="1"/>
      <c r="F451" s="22"/>
      <c r="G451" s="22"/>
      <c r="H451" s="22"/>
      <c r="I451" s="22"/>
      <c r="J451" s="22"/>
      <c r="K451" s="22"/>
      <c r="L451" s="22"/>
      <c r="M451" s="22"/>
      <c r="N451" s="22"/>
      <c r="O451" s="22"/>
      <c r="P451" s="22"/>
      <c r="Q451" s="22"/>
      <c r="R451" s="1"/>
      <c r="S451" s="1"/>
      <c r="T451" s="8"/>
      <c r="U451" s="1"/>
      <c r="V451" s="1"/>
      <c r="W451" s="1"/>
      <c r="X451" s="1"/>
      <c r="Y451" s="1"/>
      <c r="Z451" s="1"/>
      <c r="AA451" s="1"/>
      <c r="AC451" s="1"/>
      <c r="AD451" s="1"/>
      <c r="AE451" s="1"/>
      <c r="AF451" s="1"/>
      <c r="AG451" s="1"/>
      <c r="AH451" s="26"/>
      <c r="AI451" s="26"/>
      <c r="AJ451" s="26"/>
      <c r="AK451" s="26"/>
      <c r="AL451" s="26"/>
      <c r="AM451" s="26"/>
      <c r="AN451" s="26"/>
      <c r="AO451" s="26"/>
      <c r="AP451" s="26"/>
      <c r="AQ451" s="26"/>
      <c r="AR451" s="26"/>
      <c r="AS451" s="26"/>
      <c r="AT451" s="26"/>
      <c r="AU451" s="26"/>
      <c r="AV451" s="26"/>
      <c r="AW451" s="26"/>
      <c r="AX451" s="26"/>
      <c r="AY451" s="1"/>
      <c r="AZ451" s="26"/>
      <c r="BA451" s="26"/>
      <c r="BB451" s="26"/>
      <c r="BC451" s="26"/>
      <c r="BD451" s="26"/>
      <c r="BE451" s="26"/>
      <c r="BF451" s="26"/>
      <c r="BG451" s="26"/>
      <c r="BH451" s="26"/>
      <c r="BI451" s="26"/>
      <c r="BJ451" s="26"/>
      <c r="BK451" s="26"/>
      <c r="BL451" s="26"/>
      <c r="BM451" s="26"/>
      <c r="BN451" s="26"/>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96"/>
      <c r="CP451" s="14"/>
      <c r="CQ451" s="14"/>
      <c r="CR451" s="14"/>
      <c r="CS451" s="14"/>
      <c r="CT451" s="1"/>
      <c r="CU451" s="14"/>
      <c r="CV451" s="1"/>
      <c r="CW451" s="1"/>
      <c r="CX451" s="14"/>
      <c r="CY451" s="1"/>
      <c r="CZ451" s="1"/>
      <c r="DA451" s="1"/>
      <c r="DB451" s="1"/>
      <c r="DC451" s="1"/>
      <c r="DD451" s="1"/>
      <c r="DE451" s="1"/>
      <c r="DF451" s="1"/>
      <c r="DG451" s="1"/>
      <c r="DH451" s="1"/>
      <c r="DI451" s="1"/>
      <c r="DJ451" s="1"/>
      <c r="DK451" s="1"/>
      <c r="DL451" s="1"/>
      <c r="DM451" s="1"/>
      <c r="DN451" s="1"/>
      <c r="DO451" s="1"/>
      <c r="DP451" s="1"/>
      <c r="DQ451" s="1"/>
      <c r="DR451" s="1"/>
      <c r="DS451" s="1"/>
      <c r="DT451" s="1"/>
      <c r="DU451" s="14"/>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29"/>
    </row>
    <row r="452" spans="1:160" x14ac:dyDescent="0.25">
      <c r="A452" s="5"/>
      <c r="B452" s="1"/>
      <c r="C452" s="98"/>
      <c r="D452" s="98"/>
      <c r="E452" s="1"/>
      <c r="F452" s="22"/>
      <c r="G452" s="22"/>
      <c r="H452" s="22"/>
      <c r="I452" s="22"/>
      <c r="J452" s="22"/>
      <c r="K452" s="22"/>
      <c r="L452" s="22"/>
      <c r="M452" s="22"/>
      <c r="N452" s="22"/>
      <c r="O452" s="22"/>
      <c r="P452" s="22"/>
      <c r="Q452" s="22"/>
      <c r="R452" s="1"/>
      <c r="S452" s="1"/>
      <c r="T452" s="8"/>
      <c r="U452" s="1"/>
      <c r="V452" s="1"/>
      <c r="W452" s="1"/>
      <c r="X452" s="1"/>
      <c r="Y452" s="1"/>
      <c r="Z452" s="1"/>
      <c r="AA452" s="1"/>
      <c r="AC452" s="1"/>
      <c r="AD452" s="1"/>
      <c r="AE452" s="1"/>
      <c r="AF452" s="1"/>
      <c r="AG452" s="1"/>
      <c r="AH452" s="26"/>
      <c r="AI452" s="26"/>
      <c r="AJ452" s="26"/>
      <c r="AK452" s="26"/>
      <c r="AL452" s="26"/>
      <c r="AM452" s="26"/>
      <c r="AN452" s="26"/>
      <c r="AO452" s="26"/>
      <c r="AP452" s="26"/>
      <c r="AQ452" s="26"/>
      <c r="AR452" s="26"/>
      <c r="AS452" s="26"/>
      <c r="AT452" s="26"/>
      <c r="AU452" s="26"/>
      <c r="AV452" s="26"/>
      <c r="AW452" s="26"/>
      <c r="AX452" s="26"/>
      <c r="AY452" s="1"/>
      <c r="AZ452" s="26"/>
      <c r="BA452" s="26"/>
      <c r="BB452" s="26"/>
      <c r="BC452" s="26"/>
      <c r="BD452" s="26"/>
      <c r="BE452" s="26"/>
      <c r="BF452" s="26"/>
      <c r="BG452" s="26"/>
      <c r="BH452" s="26"/>
      <c r="BI452" s="26"/>
      <c r="BJ452" s="26"/>
      <c r="BK452" s="26"/>
      <c r="BL452" s="26"/>
      <c r="BM452" s="26"/>
      <c r="BN452" s="26"/>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96"/>
      <c r="CP452" s="14"/>
      <c r="CQ452" s="14"/>
      <c r="CR452" s="14"/>
      <c r="CS452" s="14"/>
      <c r="CT452" s="1"/>
      <c r="CU452" s="14"/>
      <c r="CV452" s="1"/>
      <c r="CW452" s="1"/>
      <c r="CX452" s="14"/>
      <c r="CY452" s="1"/>
      <c r="CZ452" s="1"/>
      <c r="DA452" s="1"/>
      <c r="DB452" s="1"/>
      <c r="DC452" s="1"/>
      <c r="DD452" s="1"/>
      <c r="DE452" s="1"/>
      <c r="DF452" s="1"/>
      <c r="DG452" s="1"/>
      <c r="DH452" s="1"/>
      <c r="DI452" s="1"/>
      <c r="DJ452" s="1"/>
      <c r="DK452" s="1"/>
      <c r="DL452" s="1"/>
      <c r="DM452" s="1"/>
      <c r="DN452" s="1"/>
      <c r="DO452" s="1"/>
      <c r="DP452" s="1"/>
      <c r="DQ452" s="1"/>
      <c r="DR452" s="1"/>
      <c r="DS452" s="1"/>
      <c r="DT452" s="1"/>
      <c r="DU452" s="14"/>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29"/>
    </row>
    <row r="453" spans="1:160" x14ac:dyDescent="0.25">
      <c r="A453" s="5"/>
      <c r="B453" s="1"/>
      <c r="C453" s="98"/>
      <c r="D453" s="98"/>
      <c r="E453" s="1"/>
      <c r="F453" s="22"/>
      <c r="G453" s="22"/>
      <c r="H453" s="22"/>
      <c r="I453" s="22"/>
      <c r="J453" s="22"/>
      <c r="K453" s="22"/>
      <c r="L453" s="22"/>
      <c r="M453" s="22"/>
      <c r="N453" s="22"/>
      <c r="O453" s="22"/>
      <c r="P453" s="22"/>
      <c r="Q453" s="22"/>
      <c r="R453" s="1"/>
      <c r="S453" s="1"/>
      <c r="T453" s="8"/>
      <c r="U453" s="1"/>
      <c r="V453" s="1"/>
      <c r="W453" s="1"/>
      <c r="X453" s="1"/>
      <c r="Y453" s="1"/>
      <c r="Z453" s="1"/>
      <c r="AA453" s="1"/>
      <c r="AC453" s="1"/>
      <c r="AD453" s="1"/>
      <c r="AE453" s="1"/>
      <c r="AF453" s="1"/>
      <c r="AG453" s="1"/>
      <c r="AH453" s="26"/>
      <c r="AI453" s="26"/>
      <c r="AJ453" s="26"/>
      <c r="AK453" s="26"/>
      <c r="AL453" s="26"/>
      <c r="AM453" s="26"/>
      <c r="AN453" s="26"/>
      <c r="AO453" s="26"/>
      <c r="AP453" s="26"/>
      <c r="AQ453" s="26"/>
      <c r="AR453" s="26"/>
      <c r="AS453" s="26"/>
      <c r="AT453" s="26"/>
      <c r="AU453" s="26"/>
      <c r="AV453" s="26"/>
      <c r="AW453" s="26"/>
      <c r="AX453" s="26"/>
      <c r="AY453" s="1"/>
      <c r="AZ453" s="26"/>
      <c r="BA453" s="26"/>
      <c r="BB453" s="26"/>
      <c r="BC453" s="26"/>
      <c r="BD453" s="26"/>
      <c r="BE453" s="26"/>
      <c r="BF453" s="26"/>
      <c r="BG453" s="26"/>
      <c r="BH453" s="26"/>
      <c r="BI453" s="26"/>
      <c r="BJ453" s="26"/>
      <c r="BK453" s="26"/>
      <c r="BL453" s="26"/>
      <c r="BM453" s="26"/>
      <c r="BN453" s="26"/>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96"/>
      <c r="CP453" s="14"/>
      <c r="CQ453" s="14"/>
      <c r="CR453" s="14"/>
      <c r="CS453" s="14"/>
      <c r="CT453" s="1"/>
      <c r="CU453" s="14"/>
      <c r="CV453" s="1"/>
      <c r="CW453" s="1"/>
      <c r="CX453" s="14"/>
      <c r="CY453" s="1"/>
      <c r="CZ453" s="1"/>
      <c r="DA453" s="1"/>
      <c r="DB453" s="1"/>
      <c r="DC453" s="1"/>
      <c r="DD453" s="1"/>
      <c r="DE453" s="1"/>
      <c r="DF453" s="1"/>
      <c r="DG453" s="1"/>
      <c r="DH453" s="1"/>
      <c r="DI453" s="1"/>
      <c r="DJ453" s="1"/>
      <c r="DK453" s="1"/>
      <c r="DL453" s="1"/>
      <c r="DM453" s="1"/>
      <c r="DN453" s="1"/>
      <c r="DO453" s="1"/>
      <c r="DP453" s="1"/>
      <c r="DQ453" s="1"/>
      <c r="DR453" s="1"/>
      <c r="DS453" s="1"/>
      <c r="DT453" s="1"/>
      <c r="DU453" s="14"/>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29"/>
    </row>
    <row r="454" spans="1:160" x14ac:dyDescent="0.25">
      <c r="A454" s="5"/>
      <c r="B454" s="1"/>
      <c r="C454" s="98"/>
      <c r="D454" s="98"/>
      <c r="E454" s="1"/>
      <c r="F454" s="22"/>
      <c r="G454" s="22"/>
      <c r="H454" s="22"/>
      <c r="I454" s="22"/>
      <c r="J454" s="22"/>
      <c r="K454" s="22"/>
      <c r="L454" s="22"/>
      <c r="M454" s="22"/>
      <c r="N454" s="22"/>
      <c r="O454" s="22"/>
      <c r="P454" s="22"/>
      <c r="Q454" s="22"/>
      <c r="R454" s="1"/>
      <c r="S454" s="1"/>
      <c r="T454" s="8"/>
      <c r="U454" s="1"/>
      <c r="V454" s="1"/>
      <c r="W454" s="1"/>
      <c r="X454" s="1"/>
      <c r="Y454" s="1"/>
      <c r="Z454" s="1"/>
      <c r="AA454" s="1"/>
      <c r="AC454" s="1"/>
      <c r="AD454" s="1"/>
      <c r="AE454" s="1"/>
      <c r="AF454" s="1"/>
      <c r="AG454" s="1"/>
      <c r="AH454" s="26"/>
      <c r="AI454" s="26"/>
      <c r="AJ454" s="26"/>
      <c r="AK454" s="26"/>
      <c r="AL454" s="26"/>
      <c r="AM454" s="26"/>
      <c r="AN454" s="26"/>
      <c r="AO454" s="26"/>
      <c r="AP454" s="26"/>
      <c r="AQ454" s="26"/>
      <c r="AR454" s="26"/>
      <c r="AS454" s="26"/>
      <c r="AT454" s="26"/>
      <c r="AU454" s="26"/>
      <c r="AV454" s="26"/>
      <c r="AW454" s="26"/>
      <c r="AX454" s="26"/>
      <c r="AY454" s="1"/>
      <c r="AZ454" s="26"/>
      <c r="BA454" s="26"/>
      <c r="BB454" s="26"/>
      <c r="BC454" s="26"/>
      <c r="BD454" s="26"/>
      <c r="BE454" s="26"/>
      <c r="BF454" s="26"/>
      <c r="BG454" s="26"/>
      <c r="BH454" s="26"/>
      <c r="BI454" s="26"/>
      <c r="BJ454" s="26"/>
      <c r="BK454" s="26"/>
      <c r="BL454" s="26"/>
      <c r="BM454" s="26"/>
      <c r="BN454" s="26"/>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96"/>
      <c r="CP454" s="14"/>
      <c r="CQ454" s="14"/>
      <c r="CR454" s="14"/>
      <c r="CS454" s="14"/>
      <c r="CT454" s="1"/>
      <c r="CU454" s="14"/>
      <c r="CV454" s="1"/>
      <c r="CW454" s="1"/>
      <c r="CX454" s="14"/>
      <c r="CY454" s="1"/>
      <c r="CZ454" s="1"/>
      <c r="DA454" s="1"/>
      <c r="DB454" s="1"/>
      <c r="DC454" s="1"/>
      <c r="DD454" s="1"/>
      <c r="DE454" s="1"/>
      <c r="DF454" s="1"/>
      <c r="DG454" s="1"/>
      <c r="DH454" s="1"/>
      <c r="DI454" s="1"/>
      <c r="DJ454" s="1"/>
      <c r="DK454" s="1"/>
      <c r="DL454" s="1"/>
      <c r="DM454" s="1"/>
      <c r="DN454" s="1"/>
      <c r="DO454" s="1"/>
      <c r="DP454" s="1"/>
      <c r="DQ454" s="1"/>
      <c r="DR454" s="1"/>
      <c r="DS454" s="1"/>
      <c r="DT454" s="1"/>
      <c r="DU454" s="14"/>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29"/>
    </row>
    <row r="455" spans="1:160" x14ac:dyDescent="0.25">
      <c r="A455" s="5"/>
      <c r="B455" s="1"/>
      <c r="C455" s="98"/>
      <c r="D455" s="98"/>
      <c r="E455" s="1"/>
      <c r="F455" s="22"/>
      <c r="G455" s="22"/>
      <c r="H455" s="22"/>
      <c r="I455" s="22"/>
      <c r="J455" s="22"/>
      <c r="K455" s="22"/>
      <c r="L455" s="22"/>
      <c r="M455" s="22"/>
      <c r="N455" s="22"/>
      <c r="O455" s="22"/>
      <c r="P455" s="22"/>
      <c r="Q455" s="22"/>
      <c r="R455" s="1"/>
      <c r="S455" s="1"/>
      <c r="T455" s="8"/>
      <c r="U455" s="1"/>
      <c r="V455" s="1"/>
      <c r="W455" s="1"/>
      <c r="X455" s="1"/>
      <c r="Y455" s="1"/>
      <c r="Z455" s="1"/>
      <c r="AA455" s="1"/>
      <c r="AC455" s="1"/>
      <c r="AD455" s="1"/>
      <c r="AE455" s="1"/>
      <c r="AF455" s="1"/>
      <c r="AG455" s="1"/>
      <c r="AH455" s="26"/>
      <c r="AI455" s="26"/>
      <c r="AJ455" s="26"/>
      <c r="AK455" s="26"/>
      <c r="AL455" s="26"/>
      <c r="AM455" s="26"/>
      <c r="AN455" s="26"/>
      <c r="AO455" s="26"/>
      <c r="AP455" s="26"/>
      <c r="AQ455" s="26"/>
      <c r="AR455" s="26"/>
      <c r="AS455" s="26"/>
      <c r="AT455" s="26"/>
      <c r="AU455" s="26"/>
      <c r="AV455" s="26"/>
      <c r="AW455" s="26"/>
      <c r="AX455" s="26"/>
      <c r="AY455" s="1"/>
      <c r="AZ455" s="26"/>
      <c r="BA455" s="26"/>
      <c r="BB455" s="26"/>
      <c r="BC455" s="26"/>
      <c r="BD455" s="26"/>
      <c r="BE455" s="26"/>
      <c r="BF455" s="26"/>
      <c r="BG455" s="26"/>
      <c r="BH455" s="26"/>
      <c r="BI455" s="26"/>
      <c r="BJ455" s="26"/>
      <c r="BK455" s="26"/>
      <c r="BL455" s="26"/>
      <c r="BM455" s="26"/>
      <c r="BN455" s="26"/>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96"/>
      <c r="CP455" s="14"/>
      <c r="CQ455" s="14"/>
      <c r="CR455" s="14"/>
      <c r="CS455" s="14"/>
      <c r="CT455" s="1"/>
      <c r="CU455" s="14"/>
      <c r="CV455" s="1"/>
      <c r="CW455" s="1"/>
      <c r="CX455" s="14"/>
      <c r="CY455" s="1"/>
      <c r="CZ455" s="1"/>
      <c r="DA455" s="1"/>
      <c r="DB455" s="1"/>
      <c r="DC455" s="1"/>
      <c r="DD455" s="1"/>
      <c r="DE455" s="1"/>
      <c r="DF455" s="1"/>
      <c r="DG455" s="1"/>
      <c r="DH455" s="1"/>
      <c r="DI455" s="1"/>
      <c r="DJ455" s="1"/>
      <c r="DK455" s="1"/>
      <c r="DL455" s="1"/>
      <c r="DM455" s="1"/>
      <c r="DN455" s="1"/>
      <c r="DO455" s="1"/>
      <c r="DP455" s="1"/>
      <c r="DQ455" s="1"/>
      <c r="DR455" s="1"/>
      <c r="DS455" s="1"/>
      <c r="DT455" s="1"/>
      <c r="DU455" s="14"/>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29"/>
    </row>
    <row r="456" spans="1:160" x14ac:dyDescent="0.25">
      <c r="A456" s="5"/>
      <c r="B456" s="1"/>
      <c r="C456" s="98"/>
      <c r="D456" s="98"/>
      <c r="E456" s="1"/>
      <c r="F456" s="22"/>
      <c r="G456" s="22"/>
      <c r="H456" s="22"/>
      <c r="I456" s="22"/>
      <c r="J456" s="22"/>
      <c r="K456" s="22"/>
      <c r="L456" s="22"/>
      <c r="M456" s="22"/>
      <c r="N456" s="22"/>
      <c r="O456" s="22"/>
      <c r="P456" s="22"/>
      <c r="Q456" s="22"/>
      <c r="R456" s="1"/>
      <c r="S456" s="1"/>
      <c r="T456" s="8"/>
      <c r="U456" s="1"/>
      <c r="V456" s="1"/>
      <c r="W456" s="1"/>
      <c r="X456" s="1"/>
      <c r="Y456" s="1"/>
      <c r="Z456" s="1"/>
      <c r="AA456" s="1"/>
      <c r="AC456" s="1"/>
      <c r="AD456" s="1"/>
      <c r="AE456" s="1"/>
      <c r="AF456" s="1"/>
      <c r="AG456" s="1"/>
      <c r="AH456" s="26"/>
      <c r="AI456" s="26"/>
      <c r="AJ456" s="26"/>
      <c r="AK456" s="26"/>
      <c r="AL456" s="26"/>
      <c r="AM456" s="26"/>
      <c r="AN456" s="26"/>
      <c r="AO456" s="26"/>
      <c r="AP456" s="26"/>
      <c r="AQ456" s="26"/>
      <c r="AR456" s="26"/>
      <c r="AS456" s="26"/>
      <c r="AT456" s="26"/>
      <c r="AU456" s="26"/>
      <c r="AV456" s="26"/>
      <c r="AW456" s="26"/>
      <c r="AX456" s="26"/>
      <c r="AY456" s="1"/>
      <c r="AZ456" s="26"/>
      <c r="BA456" s="26"/>
      <c r="BB456" s="26"/>
      <c r="BC456" s="26"/>
      <c r="BD456" s="26"/>
      <c r="BE456" s="26"/>
      <c r="BF456" s="26"/>
      <c r="BG456" s="26"/>
      <c r="BH456" s="26"/>
      <c r="BI456" s="26"/>
      <c r="BJ456" s="26"/>
      <c r="BK456" s="26"/>
      <c r="BL456" s="26"/>
      <c r="BM456" s="26"/>
      <c r="BN456" s="26"/>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96"/>
      <c r="CP456" s="14"/>
      <c r="CQ456" s="14"/>
      <c r="CR456" s="14"/>
      <c r="CS456" s="14"/>
      <c r="CT456" s="1"/>
      <c r="CU456" s="14"/>
      <c r="CV456" s="1"/>
      <c r="CW456" s="1"/>
      <c r="CX456" s="14"/>
      <c r="CY456" s="1"/>
      <c r="CZ456" s="1"/>
      <c r="DA456" s="1"/>
      <c r="DB456" s="1"/>
      <c r="DC456" s="1"/>
      <c r="DD456" s="1"/>
      <c r="DE456" s="1"/>
      <c r="DF456" s="1"/>
      <c r="DG456" s="1"/>
      <c r="DH456" s="1"/>
      <c r="DI456" s="1"/>
      <c r="DJ456" s="1"/>
      <c r="DK456" s="1"/>
      <c r="DL456" s="1"/>
      <c r="DM456" s="1"/>
      <c r="DN456" s="1"/>
      <c r="DO456" s="1"/>
      <c r="DP456" s="1"/>
      <c r="DQ456" s="1"/>
      <c r="DR456" s="1"/>
      <c r="DS456" s="1"/>
      <c r="DT456" s="1"/>
      <c r="DU456" s="14"/>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29"/>
    </row>
    <row r="457" spans="1:160" x14ac:dyDescent="0.25">
      <c r="A457" s="5"/>
      <c r="B457" s="1"/>
      <c r="C457" s="98"/>
      <c r="D457" s="98"/>
      <c r="E457" s="1"/>
      <c r="F457" s="22"/>
      <c r="G457" s="22"/>
      <c r="H457" s="22"/>
      <c r="I457" s="22"/>
      <c r="J457" s="22"/>
      <c r="K457" s="22"/>
      <c r="L457" s="22"/>
      <c r="M457" s="22"/>
      <c r="N457" s="22"/>
      <c r="O457" s="22"/>
      <c r="P457" s="22"/>
      <c r="Q457" s="22"/>
      <c r="R457" s="1"/>
      <c r="S457" s="1"/>
      <c r="T457" s="8"/>
      <c r="U457" s="1"/>
      <c r="V457" s="1"/>
      <c r="W457" s="1"/>
      <c r="X457" s="1"/>
      <c r="Y457" s="1"/>
      <c r="Z457" s="1"/>
      <c r="AA457" s="1"/>
      <c r="AC457" s="1"/>
      <c r="AD457" s="1"/>
      <c r="AE457" s="1"/>
      <c r="AF457" s="1"/>
      <c r="AG457" s="1"/>
      <c r="AH457" s="26"/>
      <c r="AI457" s="26"/>
      <c r="AJ457" s="26"/>
      <c r="AK457" s="26"/>
      <c r="AL457" s="26"/>
      <c r="AM457" s="26"/>
      <c r="AN457" s="26"/>
      <c r="AO457" s="26"/>
      <c r="AP457" s="26"/>
      <c r="AQ457" s="26"/>
      <c r="AR457" s="26"/>
      <c r="AS457" s="26"/>
      <c r="AT457" s="26"/>
      <c r="AU457" s="26"/>
      <c r="AV457" s="26"/>
      <c r="AW457" s="26"/>
      <c r="AX457" s="26"/>
      <c r="AY457" s="1"/>
      <c r="AZ457" s="26"/>
      <c r="BA457" s="26"/>
      <c r="BB457" s="26"/>
      <c r="BC457" s="26"/>
      <c r="BD457" s="26"/>
      <c r="BE457" s="26"/>
      <c r="BF457" s="26"/>
      <c r="BG457" s="26"/>
      <c r="BH457" s="26"/>
      <c r="BI457" s="26"/>
      <c r="BJ457" s="26"/>
      <c r="BK457" s="26"/>
      <c r="BL457" s="26"/>
      <c r="BM457" s="26"/>
      <c r="BN457" s="26"/>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96"/>
      <c r="CP457" s="14"/>
      <c r="CQ457" s="14"/>
      <c r="CR457" s="14"/>
      <c r="CS457" s="14"/>
      <c r="CT457" s="1"/>
      <c r="CU457" s="14"/>
      <c r="CV457" s="1"/>
      <c r="CW457" s="1"/>
      <c r="CX457" s="14"/>
      <c r="CY457" s="1"/>
      <c r="CZ457" s="1"/>
      <c r="DA457" s="1"/>
      <c r="DB457" s="1"/>
      <c r="DC457" s="1"/>
      <c r="DD457" s="1"/>
      <c r="DE457" s="1"/>
      <c r="DF457" s="1"/>
      <c r="DG457" s="1"/>
      <c r="DH457" s="1"/>
      <c r="DI457" s="1"/>
      <c r="DJ457" s="1"/>
      <c r="DK457" s="1"/>
      <c r="DL457" s="1"/>
      <c r="DM457" s="1"/>
      <c r="DN457" s="1"/>
      <c r="DO457" s="1"/>
      <c r="DP457" s="1"/>
      <c r="DQ457" s="1"/>
      <c r="DR457" s="1"/>
      <c r="DS457" s="1"/>
      <c r="DT457" s="1"/>
      <c r="DU457" s="14"/>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29"/>
    </row>
    <row r="458" spans="1:160" x14ac:dyDescent="0.25">
      <c r="A458" s="5"/>
      <c r="B458" s="1"/>
      <c r="C458" s="98"/>
      <c r="D458" s="98"/>
      <c r="E458" s="1"/>
      <c r="F458" s="22"/>
      <c r="G458" s="22"/>
      <c r="H458" s="22"/>
      <c r="I458" s="22"/>
      <c r="J458" s="22"/>
      <c r="K458" s="22"/>
      <c r="L458" s="22"/>
      <c r="M458" s="22"/>
      <c r="N458" s="22"/>
      <c r="O458" s="22"/>
      <c r="P458" s="22"/>
      <c r="Q458" s="22"/>
      <c r="R458" s="1"/>
      <c r="S458" s="1"/>
      <c r="T458" s="8"/>
      <c r="U458" s="1"/>
      <c r="V458" s="1"/>
      <c r="W458" s="1"/>
      <c r="X458" s="1"/>
      <c r="Y458" s="1"/>
      <c r="Z458" s="1"/>
      <c r="AA458" s="1"/>
      <c r="AC458" s="1"/>
      <c r="AD458" s="1"/>
      <c r="AE458" s="1"/>
      <c r="AF458" s="1"/>
      <c r="AG458" s="1"/>
      <c r="AH458" s="26"/>
      <c r="AI458" s="26"/>
      <c r="AJ458" s="26"/>
      <c r="AK458" s="26"/>
      <c r="AL458" s="26"/>
      <c r="AM458" s="26"/>
      <c r="AN458" s="26"/>
      <c r="AO458" s="26"/>
      <c r="AP458" s="26"/>
      <c r="AQ458" s="26"/>
      <c r="AR458" s="26"/>
      <c r="AS458" s="26"/>
      <c r="AT458" s="26"/>
      <c r="AU458" s="26"/>
      <c r="AV458" s="26"/>
      <c r="AW458" s="26"/>
      <c r="AX458" s="26"/>
      <c r="AY458" s="1"/>
      <c r="AZ458" s="26"/>
      <c r="BA458" s="26"/>
      <c r="BB458" s="26"/>
      <c r="BC458" s="26"/>
      <c r="BD458" s="26"/>
      <c r="BE458" s="26"/>
      <c r="BF458" s="26"/>
      <c r="BG458" s="26"/>
      <c r="BH458" s="26"/>
      <c r="BI458" s="26"/>
      <c r="BJ458" s="26"/>
      <c r="BK458" s="26"/>
      <c r="BL458" s="26"/>
      <c r="BM458" s="26"/>
      <c r="BN458" s="26"/>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96"/>
      <c r="CP458" s="14"/>
      <c r="CQ458" s="14"/>
      <c r="CR458" s="14"/>
      <c r="CS458" s="14"/>
      <c r="CT458" s="1"/>
      <c r="CU458" s="14"/>
      <c r="CV458" s="1"/>
      <c r="CW458" s="1"/>
      <c r="CX458" s="14"/>
      <c r="CY458" s="1"/>
      <c r="CZ458" s="1"/>
      <c r="DA458" s="1"/>
      <c r="DB458" s="1"/>
      <c r="DC458" s="1"/>
      <c r="DD458" s="1"/>
      <c r="DE458" s="1"/>
      <c r="DF458" s="1"/>
      <c r="DG458" s="1"/>
      <c r="DH458" s="1"/>
      <c r="DI458" s="1"/>
      <c r="DJ458" s="1"/>
      <c r="DK458" s="1"/>
      <c r="DL458" s="1"/>
      <c r="DM458" s="1"/>
      <c r="DN458" s="1"/>
      <c r="DO458" s="1"/>
      <c r="DP458" s="1"/>
      <c r="DQ458" s="1"/>
      <c r="DR458" s="1"/>
      <c r="DS458" s="1"/>
      <c r="DT458" s="1"/>
      <c r="DU458" s="14"/>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29"/>
    </row>
    <row r="459" spans="1:160" x14ac:dyDescent="0.25">
      <c r="A459" s="5"/>
      <c r="B459" s="1"/>
      <c r="C459" s="98"/>
      <c r="D459" s="98"/>
      <c r="E459" s="1"/>
      <c r="F459" s="22"/>
      <c r="G459" s="22"/>
      <c r="H459" s="22"/>
      <c r="I459" s="22"/>
      <c r="J459" s="22"/>
      <c r="K459" s="22"/>
      <c r="L459" s="22"/>
      <c r="M459" s="22"/>
      <c r="N459" s="22"/>
      <c r="O459" s="22"/>
      <c r="P459" s="22"/>
      <c r="Q459" s="22"/>
      <c r="R459" s="1"/>
      <c r="S459" s="1"/>
      <c r="T459" s="8"/>
      <c r="U459" s="1"/>
      <c r="V459" s="1"/>
      <c r="W459" s="1"/>
      <c r="X459" s="1"/>
      <c r="Y459" s="1"/>
      <c r="Z459" s="1"/>
      <c r="AA459" s="1"/>
      <c r="AC459" s="1"/>
      <c r="AD459" s="1"/>
      <c r="AE459" s="1"/>
      <c r="AF459" s="1"/>
      <c r="AG459" s="1"/>
      <c r="AH459" s="26"/>
      <c r="AI459" s="26"/>
      <c r="AJ459" s="26"/>
      <c r="AK459" s="26"/>
      <c r="AL459" s="26"/>
      <c r="AM459" s="26"/>
      <c r="AN459" s="26"/>
      <c r="AO459" s="26"/>
      <c r="AP459" s="26"/>
      <c r="AQ459" s="26"/>
      <c r="AR459" s="26"/>
      <c r="AS459" s="26"/>
      <c r="AT459" s="26"/>
      <c r="AU459" s="26"/>
      <c r="AV459" s="26"/>
      <c r="AW459" s="26"/>
      <c r="AX459" s="26"/>
      <c r="AY459" s="1"/>
      <c r="AZ459" s="26"/>
      <c r="BA459" s="26"/>
      <c r="BB459" s="26"/>
      <c r="BC459" s="26"/>
      <c r="BD459" s="26"/>
      <c r="BE459" s="26"/>
      <c r="BF459" s="26"/>
      <c r="BG459" s="26"/>
      <c r="BH459" s="26"/>
      <c r="BI459" s="26"/>
      <c r="BJ459" s="26"/>
      <c r="BK459" s="26"/>
      <c r="BL459" s="26"/>
      <c r="BM459" s="26"/>
      <c r="BN459" s="26"/>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96"/>
      <c r="CP459" s="14"/>
      <c r="CQ459" s="14"/>
      <c r="CR459" s="14"/>
      <c r="CS459" s="14"/>
      <c r="CT459" s="1"/>
      <c r="CU459" s="14"/>
      <c r="CV459" s="1"/>
      <c r="CW459" s="1"/>
      <c r="CX459" s="14"/>
      <c r="CY459" s="1"/>
      <c r="CZ459" s="1"/>
      <c r="DA459" s="1"/>
      <c r="DB459" s="1"/>
      <c r="DC459" s="1"/>
      <c r="DD459" s="1"/>
      <c r="DE459" s="1"/>
      <c r="DF459" s="1"/>
      <c r="DG459" s="1"/>
      <c r="DH459" s="1"/>
      <c r="DI459" s="1"/>
      <c r="DJ459" s="1"/>
      <c r="DK459" s="1"/>
      <c r="DL459" s="1"/>
      <c r="DM459" s="1"/>
      <c r="DN459" s="1"/>
      <c r="DO459" s="1"/>
      <c r="DP459" s="1"/>
      <c r="DQ459" s="1"/>
      <c r="DR459" s="1"/>
      <c r="DS459" s="1"/>
      <c r="DT459" s="1"/>
      <c r="DU459" s="14"/>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29"/>
    </row>
    <row r="460" spans="1:160" x14ac:dyDescent="0.25">
      <c r="A460" s="5"/>
      <c r="B460" s="1"/>
      <c r="C460" s="98"/>
      <c r="D460" s="98"/>
      <c r="E460" s="1"/>
      <c r="F460" s="22"/>
      <c r="G460" s="22"/>
      <c r="H460" s="22"/>
      <c r="I460" s="22"/>
      <c r="J460" s="22"/>
      <c r="K460" s="22"/>
      <c r="L460" s="22"/>
      <c r="M460" s="22"/>
      <c r="N460" s="22"/>
      <c r="O460" s="22"/>
      <c r="P460" s="22"/>
      <c r="Q460" s="22"/>
      <c r="R460" s="1"/>
      <c r="S460" s="1"/>
      <c r="T460" s="8"/>
      <c r="U460" s="1"/>
      <c r="V460" s="1"/>
      <c r="W460" s="1"/>
      <c r="X460" s="1"/>
      <c r="Y460" s="1"/>
      <c r="Z460" s="1"/>
      <c r="AA460" s="1"/>
      <c r="AC460" s="1"/>
      <c r="AD460" s="1"/>
      <c r="AE460" s="1"/>
      <c r="AF460" s="1"/>
      <c r="AG460" s="1"/>
      <c r="AH460" s="26"/>
      <c r="AI460" s="26"/>
      <c r="AJ460" s="26"/>
      <c r="AK460" s="26"/>
      <c r="AL460" s="26"/>
      <c r="AM460" s="26"/>
      <c r="AN460" s="26"/>
      <c r="AO460" s="26"/>
      <c r="AP460" s="26"/>
      <c r="AQ460" s="26"/>
      <c r="AR460" s="26"/>
      <c r="AS460" s="26"/>
      <c r="AT460" s="26"/>
      <c r="AU460" s="26"/>
      <c r="AV460" s="26"/>
      <c r="AW460" s="26"/>
      <c r="AX460" s="26"/>
      <c r="AY460" s="1"/>
      <c r="AZ460" s="26"/>
      <c r="BA460" s="26"/>
      <c r="BB460" s="26"/>
      <c r="BC460" s="26"/>
      <c r="BD460" s="26"/>
      <c r="BE460" s="26"/>
      <c r="BF460" s="26"/>
      <c r="BG460" s="26"/>
      <c r="BH460" s="26"/>
      <c r="BI460" s="26"/>
      <c r="BJ460" s="26"/>
      <c r="BK460" s="26"/>
      <c r="BL460" s="26"/>
      <c r="BM460" s="26"/>
      <c r="BN460" s="26"/>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96"/>
      <c r="CP460" s="14"/>
      <c r="CQ460" s="14"/>
      <c r="CR460" s="14"/>
      <c r="CS460" s="14"/>
      <c r="CT460" s="1"/>
      <c r="CU460" s="14"/>
      <c r="CV460" s="1"/>
      <c r="CW460" s="1"/>
      <c r="CX460" s="14"/>
      <c r="CY460" s="1"/>
      <c r="CZ460" s="1"/>
      <c r="DA460" s="1"/>
      <c r="DB460" s="1"/>
      <c r="DC460" s="1"/>
      <c r="DD460" s="1"/>
      <c r="DE460" s="1"/>
      <c r="DF460" s="1"/>
      <c r="DG460" s="1"/>
      <c r="DH460" s="1"/>
      <c r="DI460" s="1"/>
      <c r="DJ460" s="1"/>
      <c r="DK460" s="1"/>
      <c r="DL460" s="1"/>
      <c r="DM460" s="1"/>
      <c r="DN460" s="1"/>
      <c r="DO460" s="1"/>
      <c r="DP460" s="1"/>
      <c r="DQ460" s="1"/>
      <c r="DR460" s="1"/>
      <c r="DS460" s="1"/>
      <c r="DT460" s="1"/>
      <c r="DU460" s="14"/>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29"/>
    </row>
    <row r="461" spans="1:160" x14ac:dyDescent="0.25">
      <c r="A461" s="5"/>
      <c r="B461" s="1"/>
      <c r="C461" s="98"/>
      <c r="D461" s="98"/>
      <c r="E461" s="1"/>
      <c r="F461" s="22"/>
      <c r="G461" s="22"/>
      <c r="H461" s="22"/>
      <c r="I461" s="22"/>
      <c r="J461" s="22"/>
      <c r="K461" s="22"/>
      <c r="L461" s="22"/>
      <c r="M461" s="22"/>
      <c r="N461" s="22"/>
      <c r="O461" s="22"/>
      <c r="P461" s="22"/>
      <c r="Q461" s="22"/>
      <c r="R461" s="1"/>
      <c r="S461" s="1"/>
      <c r="T461" s="8"/>
      <c r="U461" s="1"/>
      <c r="V461" s="1"/>
      <c r="W461" s="1"/>
      <c r="X461" s="1"/>
      <c r="Y461" s="1"/>
      <c r="Z461" s="1"/>
      <c r="AA461" s="1"/>
      <c r="AC461" s="1"/>
      <c r="AD461" s="1"/>
      <c r="AE461" s="1"/>
      <c r="AF461" s="1"/>
      <c r="AG461" s="1"/>
      <c r="AH461" s="26"/>
      <c r="AI461" s="26"/>
      <c r="AJ461" s="26"/>
      <c r="AK461" s="26"/>
      <c r="AL461" s="26"/>
      <c r="AM461" s="26"/>
      <c r="AN461" s="26"/>
      <c r="AO461" s="26"/>
      <c r="AP461" s="26"/>
      <c r="AQ461" s="26"/>
      <c r="AR461" s="26"/>
      <c r="AS461" s="26"/>
      <c r="AT461" s="26"/>
      <c r="AU461" s="26"/>
      <c r="AV461" s="26"/>
      <c r="AW461" s="26"/>
      <c r="AX461" s="26"/>
      <c r="AY461" s="1"/>
      <c r="AZ461" s="26"/>
      <c r="BA461" s="26"/>
      <c r="BB461" s="26"/>
      <c r="BC461" s="26"/>
      <c r="BD461" s="26"/>
      <c r="BE461" s="26"/>
      <c r="BF461" s="26"/>
      <c r="BG461" s="26"/>
      <c r="BH461" s="26"/>
      <c r="BI461" s="26"/>
      <c r="BJ461" s="26"/>
      <c r="BK461" s="26"/>
      <c r="BL461" s="26"/>
      <c r="BM461" s="26"/>
      <c r="BN461" s="26"/>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96"/>
      <c r="CP461" s="14"/>
      <c r="CQ461" s="14"/>
      <c r="CR461" s="14"/>
      <c r="CS461" s="14"/>
      <c r="CT461" s="1"/>
      <c r="CU461" s="14"/>
      <c r="CV461" s="1"/>
      <c r="CW461" s="1"/>
      <c r="CX461" s="14"/>
      <c r="CY461" s="1"/>
      <c r="CZ461" s="1"/>
      <c r="DA461" s="1"/>
      <c r="DB461" s="1"/>
      <c r="DC461" s="1"/>
      <c r="DD461" s="1"/>
      <c r="DE461" s="1"/>
      <c r="DF461" s="1"/>
      <c r="DG461" s="1"/>
      <c r="DH461" s="1"/>
      <c r="DI461" s="1"/>
      <c r="DJ461" s="1"/>
      <c r="DK461" s="1"/>
      <c r="DL461" s="1"/>
      <c r="DM461" s="1"/>
      <c r="DN461" s="1"/>
      <c r="DO461" s="1"/>
      <c r="DP461" s="1"/>
      <c r="DQ461" s="1"/>
      <c r="DR461" s="1"/>
      <c r="DS461" s="1"/>
      <c r="DT461" s="1"/>
      <c r="DU461" s="14"/>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29"/>
    </row>
    <row r="462" spans="1:160" x14ac:dyDescent="0.25">
      <c r="A462" s="5"/>
      <c r="B462" s="1"/>
      <c r="C462" s="98"/>
      <c r="D462" s="98"/>
      <c r="E462" s="1"/>
      <c r="F462" s="22"/>
      <c r="G462" s="22"/>
      <c r="H462" s="22"/>
      <c r="I462" s="22"/>
      <c r="J462" s="22"/>
      <c r="K462" s="22"/>
      <c r="L462" s="22"/>
      <c r="M462" s="22"/>
      <c r="N462" s="22"/>
      <c r="O462" s="22"/>
      <c r="P462" s="22"/>
      <c r="Q462" s="22"/>
      <c r="R462" s="1"/>
      <c r="S462" s="1"/>
      <c r="T462" s="8"/>
      <c r="U462" s="1"/>
      <c r="V462" s="1"/>
      <c r="W462" s="1"/>
      <c r="X462" s="1"/>
      <c r="Y462" s="1"/>
      <c r="Z462" s="1"/>
      <c r="AA462" s="1"/>
      <c r="AC462" s="1"/>
      <c r="AD462" s="1"/>
      <c r="AE462" s="1"/>
      <c r="AF462" s="1"/>
      <c r="AG462" s="1"/>
      <c r="AH462" s="26"/>
      <c r="AI462" s="26"/>
      <c r="AJ462" s="26"/>
      <c r="AK462" s="26"/>
      <c r="AL462" s="26"/>
      <c r="AM462" s="26"/>
      <c r="AN462" s="26"/>
      <c r="AO462" s="26"/>
      <c r="AP462" s="26"/>
      <c r="AQ462" s="26"/>
      <c r="AR462" s="26"/>
      <c r="AS462" s="26"/>
      <c r="AT462" s="26"/>
      <c r="AU462" s="26"/>
      <c r="AV462" s="26"/>
      <c r="AW462" s="26"/>
      <c r="AX462" s="26"/>
      <c r="AY462" s="1"/>
      <c r="AZ462" s="26"/>
      <c r="BA462" s="26"/>
      <c r="BB462" s="26"/>
      <c r="BC462" s="26"/>
      <c r="BD462" s="26"/>
      <c r="BE462" s="26"/>
      <c r="BF462" s="26"/>
      <c r="BG462" s="26"/>
      <c r="BH462" s="26"/>
      <c r="BI462" s="26"/>
      <c r="BJ462" s="26"/>
      <c r="BK462" s="26"/>
      <c r="BL462" s="26"/>
      <c r="BM462" s="26"/>
      <c r="BN462" s="26"/>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96"/>
      <c r="CP462" s="14"/>
      <c r="CQ462" s="14"/>
      <c r="CR462" s="14"/>
      <c r="CS462" s="14"/>
      <c r="CT462" s="1"/>
      <c r="CU462" s="14"/>
      <c r="CV462" s="1"/>
      <c r="CW462" s="1"/>
      <c r="CX462" s="14"/>
      <c r="CY462" s="1"/>
      <c r="CZ462" s="1"/>
      <c r="DA462" s="1"/>
      <c r="DB462" s="1"/>
      <c r="DC462" s="1"/>
      <c r="DD462" s="1"/>
      <c r="DE462" s="1"/>
      <c r="DF462" s="1"/>
      <c r="DG462" s="1"/>
      <c r="DH462" s="1"/>
      <c r="DI462" s="1"/>
      <c r="DJ462" s="1"/>
      <c r="DK462" s="1"/>
      <c r="DL462" s="1"/>
      <c r="DM462" s="1"/>
      <c r="DN462" s="1"/>
      <c r="DO462" s="1"/>
      <c r="DP462" s="1"/>
      <c r="DQ462" s="1"/>
      <c r="DR462" s="1"/>
      <c r="DS462" s="1"/>
      <c r="DT462" s="1"/>
      <c r="DU462" s="14"/>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29"/>
    </row>
    <row r="463" spans="1:160" x14ac:dyDescent="0.25">
      <c r="A463" s="5"/>
      <c r="B463" s="1"/>
      <c r="C463" s="98"/>
      <c r="D463" s="98"/>
      <c r="E463" s="1"/>
      <c r="F463" s="22"/>
      <c r="G463" s="22"/>
      <c r="H463" s="22"/>
      <c r="I463" s="22"/>
      <c r="J463" s="22"/>
      <c r="K463" s="22"/>
      <c r="L463" s="22"/>
      <c r="M463" s="22"/>
      <c r="N463" s="22"/>
      <c r="O463" s="22"/>
      <c r="P463" s="22"/>
      <c r="Q463" s="22"/>
      <c r="R463" s="1"/>
      <c r="S463" s="1"/>
      <c r="T463" s="8"/>
      <c r="U463" s="1"/>
      <c r="V463" s="1"/>
      <c r="W463" s="1"/>
      <c r="X463" s="1"/>
      <c r="Y463" s="1"/>
      <c r="Z463" s="1"/>
      <c r="AA463" s="1"/>
      <c r="AC463" s="1"/>
      <c r="AD463" s="1"/>
      <c r="AE463" s="1"/>
      <c r="AF463" s="1"/>
      <c r="AG463" s="1"/>
      <c r="AH463" s="26"/>
      <c r="AI463" s="26"/>
      <c r="AJ463" s="26"/>
      <c r="AK463" s="26"/>
      <c r="AL463" s="26"/>
      <c r="AM463" s="26"/>
      <c r="AN463" s="26"/>
      <c r="AO463" s="26"/>
      <c r="AP463" s="26"/>
      <c r="AQ463" s="26"/>
      <c r="AR463" s="26"/>
      <c r="AS463" s="26"/>
      <c r="AT463" s="26"/>
      <c r="AU463" s="26"/>
      <c r="AV463" s="26"/>
      <c r="AW463" s="26"/>
      <c r="AX463" s="26"/>
      <c r="AY463" s="1"/>
      <c r="AZ463" s="26"/>
      <c r="BA463" s="26"/>
      <c r="BB463" s="26"/>
      <c r="BC463" s="26"/>
      <c r="BD463" s="26"/>
      <c r="BE463" s="26"/>
      <c r="BF463" s="26"/>
      <c r="BG463" s="26"/>
      <c r="BH463" s="26"/>
      <c r="BI463" s="26"/>
      <c r="BJ463" s="26"/>
      <c r="BK463" s="26"/>
      <c r="BL463" s="26"/>
      <c r="BM463" s="26"/>
      <c r="BN463" s="26"/>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96"/>
      <c r="CP463" s="14"/>
      <c r="CQ463" s="14"/>
      <c r="CR463" s="14"/>
      <c r="CS463" s="14"/>
      <c r="CT463" s="1"/>
      <c r="CU463" s="14"/>
      <c r="CV463" s="1"/>
      <c r="CW463" s="1"/>
      <c r="CX463" s="14"/>
      <c r="CY463" s="1"/>
      <c r="CZ463" s="1"/>
      <c r="DA463" s="1"/>
      <c r="DB463" s="1"/>
      <c r="DC463" s="1"/>
      <c r="DD463" s="1"/>
      <c r="DE463" s="1"/>
      <c r="DF463" s="1"/>
      <c r="DG463" s="1"/>
      <c r="DH463" s="1"/>
      <c r="DI463" s="1"/>
      <c r="DJ463" s="1"/>
      <c r="DK463" s="1"/>
      <c r="DL463" s="1"/>
      <c r="DM463" s="1"/>
      <c r="DN463" s="1"/>
      <c r="DO463" s="1"/>
      <c r="DP463" s="1"/>
      <c r="DQ463" s="1"/>
      <c r="DR463" s="1"/>
      <c r="DS463" s="1"/>
      <c r="DT463" s="1"/>
      <c r="DU463" s="14"/>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29"/>
    </row>
    <row r="464" spans="1:160" x14ac:dyDescent="0.25">
      <c r="A464" s="5"/>
      <c r="B464" s="1"/>
      <c r="C464" s="98"/>
      <c r="D464" s="98"/>
      <c r="E464" s="1"/>
      <c r="F464" s="22"/>
      <c r="G464" s="22"/>
      <c r="H464" s="22"/>
      <c r="I464" s="22"/>
      <c r="J464" s="22"/>
      <c r="K464" s="22"/>
      <c r="L464" s="22"/>
      <c r="M464" s="22"/>
      <c r="N464" s="22"/>
      <c r="O464" s="22"/>
      <c r="P464" s="22"/>
      <c r="Q464" s="22"/>
      <c r="R464" s="1"/>
      <c r="S464" s="1"/>
      <c r="T464" s="8"/>
      <c r="U464" s="1"/>
      <c r="V464" s="1"/>
      <c r="W464" s="1"/>
      <c r="X464" s="1"/>
      <c r="Y464" s="1"/>
      <c r="Z464" s="1"/>
      <c r="AA464" s="1"/>
      <c r="AC464" s="1"/>
      <c r="AD464" s="1"/>
      <c r="AE464" s="1"/>
      <c r="AF464" s="1"/>
      <c r="AG464" s="1"/>
      <c r="AH464" s="26"/>
      <c r="AI464" s="26"/>
      <c r="AJ464" s="26"/>
      <c r="AK464" s="26"/>
      <c r="AL464" s="26"/>
      <c r="AM464" s="26"/>
      <c r="AN464" s="26"/>
      <c r="AO464" s="26"/>
      <c r="AP464" s="26"/>
      <c r="AQ464" s="26"/>
      <c r="AR464" s="26"/>
      <c r="AS464" s="26"/>
      <c r="AT464" s="26"/>
      <c r="AU464" s="26"/>
      <c r="AV464" s="26"/>
      <c r="AW464" s="26"/>
      <c r="AX464" s="26"/>
      <c r="AY464" s="1"/>
      <c r="AZ464" s="26"/>
      <c r="BA464" s="26"/>
      <c r="BB464" s="26"/>
      <c r="BC464" s="26"/>
      <c r="BD464" s="26"/>
      <c r="BE464" s="26"/>
      <c r="BF464" s="26"/>
      <c r="BG464" s="26"/>
      <c r="BH464" s="26"/>
      <c r="BI464" s="26"/>
      <c r="BJ464" s="26"/>
      <c r="BK464" s="26"/>
      <c r="BL464" s="26"/>
      <c r="BM464" s="26"/>
      <c r="BN464" s="26"/>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96"/>
      <c r="CP464" s="14"/>
      <c r="CQ464" s="14"/>
      <c r="CR464" s="14"/>
      <c r="CS464" s="14"/>
      <c r="CT464" s="1"/>
      <c r="CU464" s="14"/>
      <c r="CV464" s="1"/>
      <c r="CW464" s="1"/>
      <c r="CX464" s="14"/>
      <c r="CY464" s="1"/>
      <c r="CZ464" s="1"/>
      <c r="DA464" s="1"/>
      <c r="DB464" s="1"/>
      <c r="DC464" s="1"/>
      <c r="DD464" s="1"/>
      <c r="DE464" s="1"/>
      <c r="DF464" s="1"/>
      <c r="DG464" s="1"/>
      <c r="DH464" s="1"/>
      <c r="DI464" s="1"/>
      <c r="DJ464" s="1"/>
      <c r="DK464" s="1"/>
      <c r="DL464" s="1"/>
      <c r="DM464" s="1"/>
      <c r="DN464" s="1"/>
      <c r="DO464" s="1"/>
      <c r="DP464" s="1"/>
      <c r="DQ464" s="1"/>
      <c r="DR464" s="1"/>
      <c r="DS464" s="1"/>
      <c r="DT464" s="1"/>
      <c r="DU464" s="14"/>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29"/>
    </row>
    <row r="465" spans="1:160" x14ac:dyDescent="0.25">
      <c r="A465" s="5"/>
      <c r="B465" s="1"/>
      <c r="C465" s="98"/>
      <c r="D465" s="98"/>
      <c r="E465" s="1"/>
      <c r="F465" s="22"/>
      <c r="G465" s="22"/>
      <c r="H465" s="22"/>
      <c r="I465" s="22"/>
      <c r="J465" s="22"/>
      <c r="K465" s="22"/>
      <c r="L465" s="22"/>
      <c r="M465" s="22"/>
      <c r="N465" s="22"/>
      <c r="O465" s="22"/>
      <c r="P465" s="22"/>
      <c r="Q465" s="22"/>
      <c r="R465" s="1"/>
      <c r="S465" s="1"/>
      <c r="T465" s="8"/>
      <c r="U465" s="1"/>
      <c r="V465" s="1"/>
      <c r="W465" s="1"/>
      <c r="X465" s="1"/>
      <c r="Y465" s="1"/>
      <c r="Z465" s="1"/>
      <c r="AA465" s="1"/>
      <c r="AC465" s="1"/>
      <c r="AD465" s="1"/>
      <c r="AE465" s="1"/>
      <c r="AF465" s="1"/>
      <c r="AG465" s="1"/>
      <c r="AH465" s="26"/>
      <c r="AI465" s="26"/>
      <c r="AJ465" s="26"/>
      <c r="AK465" s="26"/>
      <c r="AL465" s="26"/>
      <c r="AM465" s="26"/>
      <c r="AN465" s="26"/>
      <c r="AO465" s="26"/>
      <c r="AP465" s="26"/>
      <c r="AQ465" s="26"/>
      <c r="AR465" s="26"/>
      <c r="AS465" s="26"/>
      <c r="AT465" s="26"/>
      <c r="AU465" s="26"/>
      <c r="AV465" s="26"/>
      <c r="AW465" s="26"/>
      <c r="AX465" s="26"/>
      <c r="AY465" s="1"/>
      <c r="AZ465" s="26"/>
      <c r="BA465" s="26"/>
      <c r="BB465" s="26"/>
      <c r="BC465" s="26"/>
      <c r="BD465" s="26"/>
      <c r="BE465" s="26"/>
      <c r="BF465" s="26"/>
      <c r="BG465" s="26"/>
      <c r="BH465" s="26"/>
      <c r="BI465" s="26"/>
      <c r="BJ465" s="26"/>
      <c r="BK465" s="26"/>
      <c r="BL465" s="26"/>
      <c r="BM465" s="26"/>
      <c r="BN465" s="26"/>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96"/>
      <c r="CP465" s="14"/>
      <c r="CQ465" s="14"/>
      <c r="CR465" s="14"/>
      <c r="CS465" s="14"/>
      <c r="CT465" s="1"/>
      <c r="CU465" s="14"/>
      <c r="CV465" s="1"/>
      <c r="CW465" s="1"/>
      <c r="CX465" s="14"/>
      <c r="CY465" s="1"/>
      <c r="CZ465" s="1"/>
      <c r="DA465" s="1"/>
      <c r="DB465" s="1"/>
      <c r="DC465" s="1"/>
      <c r="DD465" s="1"/>
      <c r="DE465" s="1"/>
      <c r="DF465" s="1"/>
      <c r="DG465" s="1"/>
      <c r="DH465" s="1"/>
      <c r="DI465" s="1"/>
      <c r="DJ465" s="1"/>
      <c r="DK465" s="1"/>
      <c r="DL465" s="1"/>
      <c r="DM465" s="1"/>
      <c r="DN465" s="1"/>
      <c r="DO465" s="1"/>
      <c r="DP465" s="1"/>
      <c r="DQ465" s="1"/>
      <c r="DR465" s="1"/>
      <c r="DS465" s="1"/>
      <c r="DT465" s="1"/>
      <c r="DU465" s="14"/>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29"/>
    </row>
    <row r="466" spans="1:160" x14ac:dyDescent="0.25">
      <c r="A466" s="5"/>
      <c r="B466" s="1"/>
      <c r="C466" s="98"/>
      <c r="D466" s="98"/>
      <c r="E466" s="1"/>
      <c r="F466" s="22"/>
      <c r="G466" s="22"/>
      <c r="H466" s="22"/>
      <c r="I466" s="22"/>
      <c r="J466" s="22"/>
      <c r="K466" s="22"/>
      <c r="L466" s="22"/>
      <c r="M466" s="22"/>
      <c r="N466" s="22"/>
      <c r="O466" s="22"/>
      <c r="P466" s="22"/>
      <c r="Q466" s="22"/>
      <c r="R466" s="1"/>
      <c r="S466" s="1"/>
      <c r="T466" s="8"/>
      <c r="U466" s="1"/>
      <c r="V466" s="1"/>
      <c r="W466" s="1"/>
      <c r="X466" s="1"/>
      <c r="Y466" s="1"/>
      <c r="Z466" s="1"/>
      <c r="AA466" s="1"/>
      <c r="AC466" s="1"/>
      <c r="AD466" s="1"/>
      <c r="AE466" s="1"/>
      <c r="AF466" s="1"/>
      <c r="AG466" s="1"/>
      <c r="AH466" s="26"/>
      <c r="AI466" s="26"/>
      <c r="AJ466" s="26"/>
      <c r="AK466" s="26"/>
      <c r="AL466" s="26"/>
      <c r="AM466" s="26"/>
      <c r="AN466" s="26"/>
      <c r="AO466" s="26"/>
      <c r="AP466" s="26"/>
      <c r="AQ466" s="26"/>
      <c r="AR466" s="26"/>
      <c r="AS466" s="26"/>
      <c r="AT466" s="26"/>
      <c r="AU466" s="26"/>
      <c r="AV466" s="26"/>
      <c r="AW466" s="26"/>
      <c r="AX466" s="26"/>
      <c r="AY466" s="1"/>
      <c r="AZ466" s="26"/>
      <c r="BA466" s="26"/>
      <c r="BB466" s="26"/>
      <c r="BC466" s="26"/>
      <c r="BD466" s="26"/>
      <c r="BE466" s="26"/>
      <c r="BF466" s="26"/>
      <c r="BG466" s="26"/>
      <c r="BH466" s="26"/>
      <c r="BI466" s="26"/>
      <c r="BJ466" s="26"/>
      <c r="BK466" s="26"/>
      <c r="BL466" s="26"/>
      <c r="BM466" s="26"/>
      <c r="BN466" s="26"/>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96"/>
      <c r="CP466" s="14"/>
      <c r="CQ466" s="14"/>
      <c r="CR466" s="14"/>
      <c r="CS466" s="14"/>
      <c r="CT466" s="1"/>
      <c r="CU466" s="14"/>
      <c r="CV466" s="1"/>
      <c r="CW466" s="1"/>
      <c r="CX466" s="14"/>
      <c r="CY466" s="1"/>
      <c r="CZ466" s="1"/>
      <c r="DA466" s="1"/>
      <c r="DB466" s="1"/>
      <c r="DC466" s="1"/>
      <c r="DD466" s="1"/>
      <c r="DE466" s="1"/>
      <c r="DF466" s="1"/>
      <c r="DG466" s="1"/>
      <c r="DH466" s="1"/>
      <c r="DI466" s="1"/>
      <c r="DJ466" s="1"/>
      <c r="DK466" s="1"/>
      <c r="DL466" s="1"/>
      <c r="DM466" s="1"/>
      <c r="DN466" s="1"/>
      <c r="DO466" s="1"/>
      <c r="DP466" s="1"/>
      <c r="DQ466" s="1"/>
      <c r="DR466" s="1"/>
      <c r="DS466" s="1"/>
      <c r="DT466" s="1"/>
      <c r="DU466" s="14"/>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29"/>
    </row>
    <row r="467" spans="1:160" x14ac:dyDescent="0.25">
      <c r="A467" s="5"/>
      <c r="B467" s="1"/>
      <c r="C467" s="98"/>
      <c r="D467" s="98"/>
      <c r="E467" s="1"/>
      <c r="F467" s="22"/>
      <c r="G467" s="22"/>
      <c r="H467" s="22"/>
      <c r="I467" s="22"/>
      <c r="J467" s="22"/>
      <c r="K467" s="22"/>
      <c r="L467" s="22"/>
      <c r="M467" s="22"/>
      <c r="N467" s="22"/>
      <c r="O467" s="22"/>
      <c r="P467" s="22"/>
      <c r="Q467" s="22"/>
      <c r="R467" s="1"/>
      <c r="S467" s="1"/>
      <c r="T467" s="8"/>
      <c r="U467" s="1"/>
      <c r="V467" s="1"/>
      <c r="W467" s="1"/>
      <c r="X467" s="1"/>
      <c r="Y467" s="1"/>
      <c r="Z467" s="1"/>
      <c r="AA467" s="1"/>
      <c r="AC467" s="1"/>
      <c r="AD467" s="1"/>
      <c r="AE467" s="1"/>
      <c r="AF467" s="1"/>
      <c r="AG467" s="1"/>
      <c r="AH467" s="26"/>
      <c r="AI467" s="26"/>
      <c r="AJ467" s="26"/>
      <c r="AK467" s="26"/>
      <c r="AL467" s="26"/>
      <c r="AM467" s="26"/>
      <c r="AN467" s="26"/>
      <c r="AO467" s="26"/>
      <c r="AP467" s="26"/>
      <c r="AQ467" s="26"/>
      <c r="AR467" s="26"/>
      <c r="AS467" s="26"/>
      <c r="AT467" s="26"/>
      <c r="AU467" s="26"/>
      <c r="AV467" s="26"/>
      <c r="AW467" s="26"/>
      <c r="AX467" s="26"/>
      <c r="AY467" s="1"/>
      <c r="AZ467" s="26"/>
      <c r="BA467" s="26"/>
      <c r="BB467" s="26"/>
      <c r="BC467" s="26"/>
      <c r="BD467" s="26"/>
      <c r="BE467" s="26"/>
      <c r="BF467" s="26"/>
      <c r="BG467" s="26"/>
      <c r="BH467" s="26"/>
      <c r="BI467" s="26"/>
      <c r="BJ467" s="26"/>
      <c r="BK467" s="26"/>
      <c r="BL467" s="26"/>
      <c r="BM467" s="26"/>
      <c r="BN467" s="26"/>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96"/>
      <c r="CP467" s="14"/>
      <c r="CQ467" s="14"/>
      <c r="CR467" s="14"/>
      <c r="CS467" s="14"/>
      <c r="CT467" s="1"/>
      <c r="CU467" s="14"/>
      <c r="CV467" s="1"/>
      <c r="CW467" s="1"/>
      <c r="CX467" s="14"/>
      <c r="CY467" s="1"/>
      <c r="CZ467" s="1"/>
      <c r="DA467" s="1"/>
      <c r="DB467" s="1"/>
      <c r="DC467" s="1"/>
      <c r="DD467" s="1"/>
      <c r="DE467" s="1"/>
      <c r="DF467" s="1"/>
      <c r="DG467" s="1"/>
      <c r="DH467" s="1"/>
      <c r="DI467" s="1"/>
      <c r="DJ467" s="1"/>
      <c r="DK467" s="1"/>
      <c r="DL467" s="1"/>
      <c r="DM467" s="1"/>
      <c r="DN467" s="1"/>
      <c r="DO467" s="1"/>
      <c r="DP467" s="1"/>
      <c r="DQ467" s="1"/>
      <c r="DR467" s="1"/>
      <c r="DS467" s="1"/>
      <c r="DT467" s="1"/>
      <c r="DU467" s="14"/>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29"/>
    </row>
    <row r="468" spans="1:160" x14ac:dyDescent="0.25">
      <c r="A468" s="5"/>
      <c r="B468" s="1"/>
      <c r="C468" s="98"/>
      <c r="D468" s="98"/>
      <c r="E468" s="1"/>
      <c r="F468" s="22"/>
      <c r="G468" s="22"/>
      <c r="H468" s="22"/>
      <c r="I468" s="22"/>
      <c r="J468" s="22"/>
      <c r="K468" s="22"/>
      <c r="L468" s="22"/>
      <c r="M468" s="22"/>
      <c r="N468" s="22"/>
      <c r="O468" s="22"/>
      <c r="P468" s="22"/>
      <c r="Q468" s="22"/>
      <c r="R468" s="1"/>
      <c r="S468" s="1"/>
      <c r="T468" s="8"/>
      <c r="U468" s="1"/>
      <c r="V468" s="1"/>
      <c r="W468" s="1"/>
      <c r="X468" s="1"/>
      <c r="Y468" s="1"/>
      <c r="Z468" s="1"/>
      <c r="AA468" s="1"/>
      <c r="AC468" s="1"/>
      <c r="AD468" s="1"/>
      <c r="AE468" s="1"/>
      <c r="AF468" s="1"/>
      <c r="AG468" s="1"/>
      <c r="AH468" s="26"/>
      <c r="AI468" s="26"/>
      <c r="AJ468" s="26"/>
      <c r="AK468" s="26"/>
      <c r="AL468" s="26"/>
      <c r="AM468" s="26"/>
      <c r="AN468" s="26"/>
      <c r="AO468" s="26"/>
      <c r="AP468" s="26"/>
      <c r="AQ468" s="26"/>
      <c r="AR468" s="26"/>
      <c r="AS468" s="26"/>
      <c r="AT468" s="26"/>
      <c r="AU468" s="26"/>
      <c r="AV468" s="26"/>
      <c r="AW468" s="26"/>
      <c r="AX468" s="26"/>
      <c r="AY468" s="1"/>
      <c r="AZ468" s="26"/>
      <c r="BA468" s="26"/>
      <c r="BB468" s="26"/>
      <c r="BC468" s="26"/>
      <c r="BD468" s="26"/>
      <c r="BE468" s="26"/>
      <c r="BF468" s="26"/>
      <c r="BG468" s="26"/>
      <c r="BH468" s="26"/>
      <c r="BI468" s="26"/>
      <c r="BJ468" s="26"/>
      <c r="BK468" s="26"/>
      <c r="BL468" s="26"/>
      <c r="BM468" s="26"/>
      <c r="BN468" s="26"/>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96"/>
      <c r="CP468" s="14"/>
      <c r="CQ468" s="14"/>
      <c r="CR468" s="14"/>
      <c r="CS468" s="14"/>
      <c r="CT468" s="1"/>
      <c r="CU468" s="14"/>
      <c r="CV468" s="1"/>
      <c r="CW468" s="1"/>
      <c r="CX468" s="14"/>
      <c r="CY468" s="1"/>
      <c r="CZ468" s="1"/>
      <c r="DA468" s="1"/>
      <c r="DB468" s="1"/>
      <c r="DC468" s="1"/>
      <c r="DD468" s="1"/>
      <c r="DE468" s="1"/>
      <c r="DF468" s="1"/>
      <c r="DG468" s="1"/>
      <c r="DH468" s="1"/>
      <c r="DI468" s="1"/>
      <c r="DJ468" s="1"/>
      <c r="DK468" s="1"/>
      <c r="DL468" s="1"/>
      <c r="DM468" s="1"/>
      <c r="DN468" s="1"/>
      <c r="DO468" s="1"/>
      <c r="DP468" s="1"/>
      <c r="DQ468" s="1"/>
      <c r="DR468" s="1"/>
      <c r="DS468" s="1"/>
      <c r="DT468" s="1"/>
      <c r="DU468" s="14"/>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29"/>
    </row>
    <row r="469" spans="1:160" x14ac:dyDescent="0.25">
      <c r="A469" s="5"/>
      <c r="B469" s="1"/>
      <c r="C469" s="98"/>
      <c r="D469" s="98"/>
      <c r="E469" s="1"/>
      <c r="F469" s="22"/>
      <c r="G469" s="22"/>
      <c r="H469" s="22"/>
      <c r="I469" s="22"/>
      <c r="J469" s="22"/>
      <c r="K469" s="22"/>
      <c r="L469" s="22"/>
      <c r="M469" s="22"/>
      <c r="N469" s="22"/>
      <c r="O469" s="22"/>
      <c r="P469" s="22"/>
      <c r="Q469" s="22"/>
      <c r="R469" s="1"/>
      <c r="S469" s="1"/>
      <c r="T469" s="8"/>
      <c r="U469" s="1"/>
      <c r="V469" s="1"/>
      <c r="W469" s="1"/>
      <c r="X469" s="1"/>
      <c r="Y469" s="1"/>
      <c r="Z469" s="1"/>
      <c r="AA469" s="1"/>
      <c r="AC469" s="1"/>
      <c r="AD469" s="1"/>
      <c r="AE469" s="1"/>
      <c r="AF469" s="1"/>
      <c r="AG469" s="1"/>
      <c r="AH469" s="26"/>
      <c r="AI469" s="26"/>
      <c r="AJ469" s="26"/>
      <c r="AK469" s="26"/>
      <c r="AL469" s="26"/>
      <c r="AM469" s="26"/>
      <c r="AN469" s="26"/>
      <c r="AO469" s="26"/>
      <c r="AP469" s="26"/>
      <c r="AQ469" s="26"/>
      <c r="AR469" s="26"/>
      <c r="AS469" s="26"/>
      <c r="AT469" s="26"/>
      <c r="AU469" s="26"/>
      <c r="AV469" s="26"/>
      <c r="AW469" s="26"/>
      <c r="AX469" s="26"/>
      <c r="AY469" s="1"/>
      <c r="AZ469" s="26"/>
      <c r="BA469" s="26"/>
      <c r="BB469" s="26"/>
      <c r="BC469" s="26"/>
      <c r="BD469" s="26"/>
      <c r="BE469" s="26"/>
      <c r="BF469" s="26"/>
      <c r="BG469" s="26"/>
      <c r="BH469" s="26"/>
      <c r="BI469" s="26"/>
      <c r="BJ469" s="26"/>
      <c r="BK469" s="26"/>
      <c r="BL469" s="26"/>
      <c r="BM469" s="26"/>
      <c r="BN469" s="26"/>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96"/>
      <c r="CP469" s="14"/>
      <c r="CQ469" s="14"/>
      <c r="CR469" s="14"/>
      <c r="CS469" s="14"/>
      <c r="CT469" s="1"/>
      <c r="CU469" s="14"/>
      <c r="CV469" s="1"/>
      <c r="CW469" s="1"/>
      <c r="CX469" s="14"/>
      <c r="CY469" s="1"/>
      <c r="CZ469" s="1"/>
      <c r="DA469" s="1"/>
      <c r="DB469" s="1"/>
      <c r="DC469" s="1"/>
      <c r="DD469" s="1"/>
      <c r="DE469" s="1"/>
      <c r="DF469" s="1"/>
      <c r="DG469" s="1"/>
      <c r="DH469" s="1"/>
      <c r="DI469" s="1"/>
      <c r="DJ469" s="1"/>
      <c r="DK469" s="1"/>
      <c r="DL469" s="1"/>
      <c r="DM469" s="1"/>
      <c r="DN469" s="1"/>
      <c r="DO469" s="1"/>
      <c r="DP469" s="1"/>
      <c r="DQ469" s="1"/>
      <c r="DR469" s="1"/>
      <c r="DS469" s="1"/>
      <c r="DT469" s="1"/>
      <c r="DU469" s="14"/>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29"/>
    </row>
    <row r="470" spans="1:160" x14ac:dyDescent="0.25">
      <c r="A470" s="5"/>
      <c r="B470" s="1"/>
      <c r="C470" s="98"/>
      <c r="D470" s="98"/>
      <c r="E470" s="1"/>
      <c r="F470" s="22"/>
      <c r="G470" s="22"/>
      <c r="H470" s="22"/>
      <c r="I470" s="22"/>
      <c r="J470" s="22"/>
      <c r="K470" s="22"/>
      <c r="L470" s="22"/>
      <c r="M470" s="22"/>
      <c r="N470" s="22"/>
      <c r="O470" s="22"/>
      <c r="P470" s="22"/>
      <c r="Q470" s="22"/>
      <c r="R470" s="1"/>
      <c r="S470" s="1"/>
      <c r="T470" s="8"/>
      <c r="U470" s="1"/>
      <c r="V470" s="1"/>
      <c r="W470" s="1"/>
      <c r="X470" s="1"/>
      <c r="Y470" s="1"/>
      <c r="Z470" s="1"/>
      <c r="AA470" s="1"/>
      <c r="AC470" s="1"/>
      <c r="AD470" s="1"/>
      <c r="AE470" s="1"/>
      <c r="AF470" s="1"/>
      <c r="AG470" s="1"/>
      <c r="AH470" s="26"/>
      <c r="AI470" s="26"/>
      <c r="AJ470" s="26"/>
      <c r="AK470" s="26"/>
      <c r="AL470" s="26"/>
      <c r="AM470" s="26"/>
      <c r="AN470" s="26"/>
      <c r="AO470" s="26"/>
      <c r="AP470" s="26"/>
      <c r="AQ470" s="26"/>
      <c r="AR470" s="26"/>
      <c r="AS470" s="26"/>
      <c r="AT470" s="26"/>
      <c r="AU470" s="26"/>
      <c r="AV470" s="26"/>
      <c r="AW470" s="26"/>
      <c r="AX470" s="26"/>
      <c r="AY470" s="1"/>
      <c r="AZ470" s="26"/>
      <c r="BA470" s="26"/>
      <c r="BB470" s="26"/>
      <c r="BC470" s="26"/>
      <c r="BD470" s="26"/>
      <c r="BE470" s="26"/>
      <c r="BF470" s="26"/>
      <c r="BG470" s="26"/>
      <c r="BH470" s="26"/>
      <c r="BI470" s="26"/>
      <c r="BJ470" s="26"/>
      <c r="BK470" s="26"/>
      <c r="BL470" s="26"/>
      <c r="BM470" s="26"/>
      <c r="BN470" s="26"/>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96"/>
      <c r="CP470" s="14"/>
      <c r="CQ470" s="14"/>
      <c r="CR470" s="14"/>
      <c r="CS470" s="14"/>
      <c r="CT470" s="1"/>
      <c r="CU470" s="14"/>
      <c r="CV470" s="1"/>
      <c r="CW470" s="1"/>
      <c r="CX470" s="14"/>
      <c r="CY470" s="1"/>
      <c r="CZ470" s="1"/>
      <c r="DA470" s="1"/>
      <c r="DB470" s="1"/>
      <c r="DC470" s="1"/>
      <c r="DD470" s="1"/>
      <c r="DE470" s="1"/>
      <c r="DF470" s="1"/>
      <c r="DG470" s="1"/>
      <c r="DH470" s="1"/>
      <c r="DI470" s="1"/>
      <c r="DJ470" s="1"/>
      <c r="DK470" s="1"/>
      <c r="DL470" s="1"/>
      <c r="DM470" s="1"/>
      <c r="DN470" s="1"/>
      <c r="DO470" s="1"/>
      <c r="DP470" s="1"/>
      <c r="DQ470" s="1"/>
      <c r="DR470" s="1"/>
      <c r="DS470" s="1"/>
      <c r="DT470" s="1"/>
      <c r="DU470" s="14"/>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29"/>
    </row>
    <row r="471" spans="1:160" x14ac:dyDescent="0.25">
      <c r="A471" s="5"/>
      <c r="B471" s="1"/>
      <c r="C471" s="98"/>
      <c r="D471" s="98"/>
      <c r="E471" s="1"/>
      <c r="F471" s="22"/>
      <c r="G471" s="22"/>
      <c r="H471" s="22"/>
      <c r="I471" s="22"/>
      <c r="J471" s="22"/>
      <c r="K471" s="22"/>
      <c r="L471" s="22"/>
      <c r="M471" s="22"/>
      <c r="N471" s="22"/>
      <c r="O471" s="22"/>
      <c r="P471" s="22"/>
      <c r="Q471" s="22"/>
      <c r="R471" s="1"/>
      <c r="S471" s="1"/>
      <c r="T471" s="8"/>
      <c r="U471" s="1"/>
      <c r="V471" s="1"/>
      <c r="W471" s="1"/>
      <c r="X471" s="1"/>
      <c r="Y471" s="1"/>
      <c r="Z471" s="1"/>
      <c r="AA471" s="1"/>
      <c r="AC471" s="1"/>
      <c r="AD471" s="1"/>
      <c r="AE471" s="1"/>
      <c r="AF471" s="1"/>
      <c r="AG471" s="1"/>
      <c r="AH471" s="26"/>
      <c r="AI471" s="26"/>
      <c r="AJ471" s="26"/>
      <c r="AK471" s="26"/>
      <c r="AL471" s="26"/>
      <c r="AM471" s="26"/>
      <c r="AN471" s="26"/>
      <c r="AO471" s="26"/>
      <c r="AP471" s="26"/>
      <c r="AQ471" s="26"/>
      <c r="AR471" s="26"/>
      <c r="AS471" s="26"/>
      <c r="AT471" s="26"/>
      <c r="AU471" s="26"/>
      <c r="AV471" s="26"/>
      <c r="AW471" s="26"/>
      <c r="AX471" s="26"/>
      <c r="AY471" s="1"/>
      <c r="AZ471" s="26"/>
      <c r="BA471" s="26"/>
      <c r="BB471" s="26"/>
      <c r="BC471" s="26"/>
      <c r="BD471" s="26"/>
      <c r="BE471" s="26"/>
      <c r="BF471" s="26"/>
      <c r="BG471" s="26"/>
      <c r="BH471" s="26"/>
      <c r="BI471" s="26"/>
      <c r="BJ471" s="26"/>
      <c r="BK471" s="26"/>
      <c r="BL471" s="26"/>
      <c r="BM471" s="26"/>
      <c r="BN471" s="26"/>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96"/>
      <c r="CP471" s="14"/>
      <c r="CQ471" s="14"/>
      <c r="CR471" s="14"/>
      <c r="CS471" s="14"/>
      <c r="CT471" s="1"/>
      <c r="CU471" s="14"/>
      <c r="CV471" s="1"/>
      <c r="CW471" s="1"/>
      <c r="CX471" s="14"/>
      <c r="CY471" s="1"/>
      <c r="CZ471" s="1"/>
      <c r="DA471" s="1"/>
      <c r="DB471" s="1"/>
      <c r="DC471" s="1"/>
      <c r="DD471" s="1"/>
      <c r="DE471" s="1"/>
      <c r="DF471" s="1"/>
      <c r="DG471" s="1"/>
      <c r="DH471" s="1"/>
      <c r="DI471" s="1"/>
      <c r="DJ471" s="1"/>
      <c r="DK471" s="1"/>
      <c r="DL471" s="1"/>
      <c r="DM471" s="1"/>
      <c r="DN471" s="1"/>
      <c r="DO471" s="1"/>
      <c r="DP471" s="1"/>
      <c r="DQ471" s="1"/>
      <c r="DR471" s="1"/>
      <c r="DS471" s="1"/>
      <c r="DT471" s="1"/>
      <c r="DU471" s="14"/>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29"/>
    </row>
    <row r="472" spans="1:160" x14ac:dyDescent="0.25">
      <c r="A472" s="5"/>
      <c r="B472" s="1"/>
      <c r="C472" s="98"/>
      <c r="D472" s="98"/>
      <c r="E472" s="1"/>
      <c r="F472" s="22"/>
      <c r="G472" s="22"/>
      <c r="H472" s="22"/>
      <c r="I472" s="22"/>
      <c r="J472" s="22"/>
      <c r="K472" s="22"/>
      <c r="L472" s="22"/>
      <c r="M472" s="22"/>
      <c r="N472" s="22"/>
      <c r="O472" s="22"/>
      <c r="P472" s="22"/>
      <c r="Q472" s="22"/>
      <c r="R472" s="1"/>
      <c r="S472" s="1"/>
      <c r="T472" s="8"/>
      <c r="U472" s="1"/>
      <c r="V472" s="1"/>
      <c r="W472" s="1"/>
      <c r="X472" s="1"/>
      <c r="Y472" s="1"/>
      <c r="Z472" s="1"/>
      <c r="AA472" s="1"/>
      <c r="AC472" s="1"/>
      <c r="AD472" s="1"/>
      <c r="AE472" s="1"/>
      <c r="AF472" s="1"/>
      <c r="AG472" s="1"/>
      <c r="AH472" s="26"/>
      <c r="AI472" s="26"/>
      <c r="AJ472" s="26"/>
      <c r="AK472" s="26"/>
      <c r="AL472" s="26"/>
      <c r="AM472" s="26"/>
      <c r="AN472" s="26"/>
      <c r="AO472" s="26"/>
      <c r="AP472" s="26"/>
      <c r="AQ472" s="26"/>
      <c r="AR472" s="26"/>
      <c r="AS472" s="26"/>
      <c r="AT472" s="26"/>
      <c r="AU472" s="26"/>
      <c r="AV472" s="26"/>
      <c r="AW472" s="26"/>
      <c r="AX472" s="26"/>
      <c r="AY472" s="1"/>
      <c r="AZ472" s="26"/>
      <c r="BA472" s="26"/>
      <c r="BB472" s="26"/>
      <c r="BC472" s="26"/>
      <c r="BD472" s="26"/>
      <c r="BE472" s="26"/>
      <c r="BF472" s="26"/>
      <c r="BG472" s="26"/>
      <c r="BH472" s="26"/>
      <c r="BI472" s="26"/>
      <c r="BJ472" s="26"/>
      <c r="BK472" s="26"/>
      <c r="BL472" s="26"/>
      <c r="BM472" s="26"/>
      <c r="BN472" s="26"/>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96"/>
      <c r="CP472" s="14"/>
      <c r="CQ472" s="14"/>
      <c r="CR472" s="14"/>
      <c r="CS472" s="14"/>
      <c r="CT472" s="1"/>
      <c r="CU472" s="14"/>
      <c r="CV472" s="1"/>
      <c r="CW472" s="1"/>
      <c r="CX472" s="14"/>
      <c r="CY472" s="1"/>
      <c r="CZ472" s="1"/>
      <c r="DA472" s="1"/>
      <c r="DB472" s="1"/>
      <c r="DC472" s="1"/>
      <c r="DD472" s="1"/>
      <c r="DE472" s="1"/>
      <c r="DF472" s="1"/>
      <c r="DG472" s="1"/>
      <c r="DH472" s="1"/>
      <c r="DI472" s="1"/>
      <c r="DJ472" s="1"/>
      <c r="DK472" s="1"/>
      <c r="DL472" s="1"/>
      <c r="DM472" s="1"/>
      <c r="DN472" s="1"/>
      <c r="DO472" s="1"/>
      <c r="DP472" s="1"/>
      <c r="DQ472" s="1"/>
      <c r="DR472" s="1"/>
      <c r="DS472" s="1"/>
      <c r="DT472" s="1"/>
      <c r="DU472" s="14"/>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29"/>
    </row>
    <row r="473" spans="1:160" x14ac:dyDescent="0.25">
      <c r="A473" s="5"/>
      <c r="B473" s="1"/>
      <c r="C473" s="98"/>
      <c r="D473" s="98"/>
      <c r="E473" s="1"/>
      <c r="F473" s="22"/>
      <c r="G473" s="22"/>
      <c r="H473" s="22"/>
      <c r="I473" s="22"/>
      <c r="J473" s="22"/>
      <c r="K473" s="22"/>
      <c r="L473" s="22"/>
      <c r="M473" s="22"/>
      <c r="N473" s="22"/>
      <c r="O473" s="22"/>
      <c r="P473" s="22"/>
      <c r="Q473" s="22"/>
      <c r="R473" s="1"/>
      <c r="S473" s="1"/>
      <c r="T473" s="8"/>
      <c r="U473" s="1"/>
      <c r="V473" s="1"/>
      <c r="W473" s="1"/>
      <c r="X473" s="1"/>
      <c r="Y473" s="1"/>
      <c r="Z473" s="1"/>
      <c r="AA473" s="1"/>
      <c r="AC473" s="1"/>
      <c r="AD473" s="1"/>
      <c r="AE473" s="1"/>
      <c r="AF473" s="1"/>
      <c r="AG473" s="1"/>
      <c r="AH473" s="26"/>
      <c r="AI473" s="26"/>
      <c r="AJ473" s="26"/>
      <c r="AK473" s="26"/>
      <c r="AL473" s="26"/>
      <c r="AM473" s="26"/>
      <c r="AN473" s="26"/>
      <c r="AO473" s="26"/>
      <c r="AP473" s="26"/>
      <c r="AQ473" s="26"/>
      <c r="AR473" s="26"/>
      <c r="AS473" s="26"/>
      <c r="AT473" s="26"/>
      <c r="AU473" s="26"/>
      <c r="AV473" s="26"/>
      <c r="AW473" s="26"/>
      <c r="AX473" s="26"/>
      <c r="AY473" s="1"/>
      <c r="AZ473" s="26"/>
      <c r="BA473" s="26"/>
      <c r="BB473" s="26"/>
      <c r="BC473" s="26"/>
      <c r="BD473" s="26"/>
      <c r="BE473" s="26"/>
      <c r="BF473" s="26"/>
      <c r="BG473" s="26"/>
      <c r="BH473" s="26"/>
      <c r="BI473" s="26"/>
      <c r="BJ473" s="26"/>
      <c r="BK473" s="26"/>
      <c r="BL473" s="26"/>
      <c r="BM473" s="26"/>
      <c r="BN473" s="26"/>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96"/>
      <c r="CP473" s="14"/>
      <c r="CQ473" s="14"/>
      <c r="CR473" s="14"/>
      <c r="CS473" s="14"/>
      <c r="CT473" s="1"/>
      <c r="CU473" s="14"/>
      <c r="CV473" s="1"/>
      <c r="CW473" s="1"/>
      <c r="CX473" s="14"/>
      <c r="CY473" s="1"/>
      <c r="CZ473" s="1"/>
      <c r="DA473" s="1"/>
      <c r="DB473" s="1"/>
      <c r="DC473" s="1"/>
      <c r="DD473" s="1"/>
      <c r="DE473" s="1"/>
      <c r="DF473" s="1"/>
      <c r="DG473" s="1"/>
      <c r="DH473" s="1"/>
      <c r="DI473" s="1"/>
      <c r="DJ473" s="1"/>
      <c r="DK473" s="1"/>
      <c r="DL473" s="1"/>
      <c r="DM473" s="1"/>
      <c r="DN473" s="1"/>
      <c r="DO473" s="1"/>
      <c r="DP473" s="1"/>
      <c r="DQ473" s="1"/>
      <c r="DR473" s="1"/>
      <c r="DS473" s="1"/>
      <c r="DT473" s="1"/>
      <c r="DU473" s="14"/>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29"/>
    </row>
    <row r="474" spans="1:160" x14ac:dyDescent="0.25">
      <c r="A474" s="5"/>
      <c r="B474" s="1"/>
      <c r="C474" s="98"/>
      <c r="D474" s="98"/>
      <c r="E474" s="1"/>
      <c r="F474" s="22"/>
      <c r="G474" s="22"/>
      <c r="H474" s="22"/>
      <c r="I474" s="22"/>
      <c r="J474" s="22"/>
      <c r="K474" s="22"/>
      <c r="L474" s="22"/>
      <c r="M474" s="22"/>
      <c r="N474" s="22"/>
      <c r="O474" s="22"/>
      <c r="P474" s="22"/>
      <c r="Q474" s="22"/>
      <c r="R474" s="1"/>
      <c r="S474" s="1"/>
      <c r="T474" s="8"/>
      <c r="U474" s="1"/>
      <c r="V474" s="1"/>
      <c r="W474" s="1"/>
      <c r="X474" s="1"/>
      <c r="Y474" s="1"/>
      <c r="Z474" s="1"/>
      <c r="AA474" s="1"/>
      <c r="AC474" s="1"/>
      <c r="AD474" s="1"/>
      <c r="AE474" s="1"/>
      <c r="AF474" s="1"/>
      <c r="AG474" s="1"/>
      <c r="AH474" s="26"/>
      <c r="AI474" s="26"/>
      <c r="AJ474" s="26"/>
      <c r="AK474" s="26"/>
      <c r="AL474" s="26"/>
      <c r="AM474" s="26"/>
      <c r="AN474" s="26"/>
      <c r="AO474" s="26"/>
      <c r="AP474" s="26"/>
      <c r="AQ474" s="26"/>
      <c r="AR474" s="26"/>
      <c r="AS474" s="26"/>
      <c r="AT474" s="26"/>
      <c r="AU474" s="26"/>
      <c r="AV474" s="26"/>
      <c r="AW474" s="26"/>
      <c r="AX474" s="26"/>
      <c r="AY474" s="1"/>
      <c r="AZ474" s="26"/>
      <c r="BA474" s="26"/>
      <c r="BB474" s="26"/>
      <c r="BC474" s="26"/>
      <c r="BD474" s="26"/>
      <c r="BE474" s="26"/>
      <c r="BF474" s="26"/>
      <c r="BG474" s="26"/>
      <c r="BH474" s="26"/>
      <c r="BI474" s="26"/>
      <c r="BJ474" s="26"/>
      <c r="BK474" s="26"/>
      <c r="BL474" s="26"/>
      <c r="BM474" s="26"/>
      <c r="BN474" s="26"/>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96"/>
      <c r="CP474" s="14"/>
      <c r="CQ474" s="14"/>
      <c r="CR474" s="14"/>
      <c r="CS474" s="14"/>
      <c r="CT474" s="1"/>
      <c r="CU474" s="14"/>
      <c r="CV474" s="1"/>
      <c r="CW474" s="1"/>
      <c r="CX474" s="14"/>
      <c r="CY474" s="1"/>
      <c r="CZ474" s="1"/>
      <c r="DA474" s="1"/>
      <c r="DB474" s="1"/>
      <c r="DC474" s="1"/>
      <c r="DD474" s="1"/>
      <c r="DE474" s="1"/>
      <c r="DF474" s="1"/>
      <c r="DG474" s="1"/>
      <c r="DH474" s="1"/>
      <c r="DI474" s="1"/>
      <c r="DJ474" s="1"/>
      <c r="DK474" s="1"/>
      <c r="DL474" s="1"/>
      <c r="DM474" s="1"/>
      <c r="DN474" s="1"/>
      <c r="DO474" s="1"/>
      <c r="DP474" s="1"/>
      <c r="DQ474" s="1"/>
      <c r="DR474" s="1"/>
      <c r="DS474" s="1"/>
      <c r="DT474" s="1"/>
      <c r="DU474" s="14"/>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29"/>
    </row>
    <row r="475" spans="1:160" x14ac:dyDescent="0.25">
      <c r="A475" s="5"/>
      <c r="B475" s="1"/>
      <c r="C475" s="98"/>
      <c r="D475" s="98"/>
      <c r="E475" s="1"/>
      <c r="F475" s="22"/>
      <c r="G475" s="22"/>
      <c r="H475" s="22"/>
      <c r="I475" s="22"/>
      <c r="J475" s="22"/>
      <c r="K475" s="22"/>
      <c r="L475" s="22"/>
      <c r="M475" s="22"/>
      <c r="N475" s="22"/>
      <c r="O475" s="22"/>
      <c r="P475" s="22"/>
      <c r="Q475" s="22"/>
      <c r="R475" s="1"/>
      <c r="S475" s="1"/>
      <c r="T475" s="8"/>
      <c r="U475" s="1"/>
      <c r="V475" s="1"/>
      <c r="W475" s="1"/>
      <c r="X475" s="1"/>
      <c r="Y475" s="1"/>
      <c r="Z475" s="1"/>
      <c r="AA475" s="1"/>
      <c r="AC475" s="1"/>
      <c r="AD475" s="1"/>
      <c r="AE475" s="1"/>
      <c r="AF475" s="1"/>
      <c r="AG475" s="1"/>
      <c r="AH475" s="26"/>
      <c r="AI475" s="26"/>
      <c r="AJ475" s="26"/>
      <c r="AK475" s="26"/>
      <c r="AL475" s="26"/>
      <c r="AM475" s="26"/>
      <c r="AN475" s="26"/>
      <c r="AO475" s="26"/>
      <c r="AP475" s="26"/>
      <c r="AQ475" s="26"/>
      <c r="AR475" s="26"/>
      <c r="AS475" s="26"/>
      <c r="AT475" s="26"/>
      <c r="AU475" s="26"/>
      <c r="AV475" s="26"/>
      <c r="AW475" s="26"/>
      <c r="AX475" s="26"/>
      <c r="AY475" s="1"/>
      <c r="AZ475" s="26"/>
      <c r="BA475" s="26"/>
      <c r="BB475" s="26"/>
      <c r="BC475" s="26"/>
      <c r="BD475" s="26"/>
      <c r="BE475" s="26"/>
      <c r="BF475" s="26"/>
      <c r="BG475" s="26"/>
      <c r="BH475" s="26"/>
      <c r="BI475" s="26"/>
      <c r="BJ475" s="26"/>
      <c r="BK475" s="26"/>
      <c r="BL475" s="26"/>
      <c r="BM475" s="26"/>
      <c r="BN475" s="26"/>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96"/>
      <c r="CP475" s="14"/>
      <c r="CQ475" s="14"/>
      <c r="CR475" s="14"/>
      <c r="CS475" s="14"/>
      <c r="CT475" s="1"/>
      <c r="CU475" s="14"/>
      <c r="CV475" s="1"/>
      <c r="CW475" s="1"/>
      <c r="CX475" s="14"/>
      <c r="CY475" s="1"/>
      <c r="CZ475" s="1"/>
      <c r="DA475" s="1"/>
      <c r="DB475" s="1"/>
      <c r="DC475" s="1"/>
      <c r="DD475" s="1"/>
      <c r="DE475" s="1"/>
      <c r="DF475" s="1"/>
      <c r="DG475" s="1"/>
      <c r="DH475" s="1"/>
      <c r="DI475" s="1"/>
      <c r="DJ475" s="1"/>
      <c r="DK475" s="1"/>
      <c r="DL475" s="1"/>
      <c r="DM475" s="1"/>
      <c r="DN475" s="1"/>
      <c r="DO475" s="1"/>
      <c r="DP475" s="1"/>
      <c r="DQ475" s="1"/>
      <c r="DR475" s="1"/>
      <c r="DS475" s="1"/>
      <c r="DT475" s="1"/>
      <c r="DU475" s="14"/>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29"/>
    </row>
    <row r="476" spans="1:160" x14ac:dyDescent="0.25">
      <c r="A476" s="5"/>
      <c r="B476" s="1"/>
      <c r="C476" s="98"/>
      <c r="D476" s="98"/>
      <c r="E476" s="1"/>
      <c r="F476" s="22"/>
      <c r="G476" s="22"/>
      <c r="H476" s="22"/>
      <c r="I476" s="22"/>
      <c r="J476" s="22"/>
      <c r="K476" s="22"/>
      <c r="L476" s="22"/>
      <c r="M476" s="22"/>
      <c r="N476" s="22"/>
      <c r="O476" s="22"/>
      <c r="P476" s="22"/>
      <c r="Q476" s="22"/>
      <c r="R476" s="1"/>
      <c r="S476" s="1"/>
      <c r="T476" s="8"/>
      <c r="U476" s="1"/>
      <c r="V476" s="1"/>
      <c r="W476" s="1"/>
      <c r="X476" s="1"/>
      <c r="Y476" s="1"/>
      <c r="Z476" s="1"/>
      <c r="AA476" s="1"/>
      <c r="AC476" s="1"/>
      <c r="AD476" s="1"/>
      <c r="AE476" s="1"/>
      <c r="AF476" s="1"/>
      <c r="AG476" s="1"/>
      <c r="AH476" s="26"/>
      <c r="AI476" s="26"/>
      <c r="AJ476" s="26"/>
      <c r="AK476" s="26"/>
      <c r="AL476" s="26"/>
      <c r="AM476" s="26"/>
      <c r="AN476" s="26"/>
      <c r="AO476" s="26"/>
      <c r="AP476" s="26"/>
      <c r="AQ476" s="26"/>
      <c r="AR476" s="26"/>
      <c r="AS476" s="26"/>
      <c r="AT476" s="26"/>
      <c r="AU476" s="26"/>
      <c r="AV476" s="26"/>
      <c r="AW476" s="26"/>
      <c r="AX476" s="26"/>
      <c r="AY476" s="1"/>
      <c r="AZ476" s="26"/>
      <c r="BA476" s="26"/>
      <c r="BB476" s="26"/>
      <c r="BC476" s="26"/>
      <c r="BD476" s="26"/>
      <c r="BE476" s="26"/>
      <c r="BF476" s="26"/>
      <c r="BG476" s="26"/>
      <c r="BH476" s="26"/>
      <c r="BI476" s="26"/>
      <c r="BJ476" s="26"/>
      <c r="BK476" s="26"/>
      <c r="BL476" s="26"/>
      <c r="BM476" s="26"/>
      <c r="BN476" s="26"/>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96"/>
      <c r="CP476" s="14"/>
      <c r="CQ476" s="14"/>
      <c r="CR476" s="14"/>
      <c r="CS476" s="14"/>
      <c r="CT476" s="1"/>
      <c r="CU476" s="14"/>
      <c r="CV476" s="1"/>
      <c r="CW476" s="1"/>
      <c r="CX476" s="14"/>
      <c r="CY476" s="1"/>
      <c r="CZ476" s="1"/>
      <c r="DA476" s="1"/>
      <c r="DB476" s="1"/>
      <c r="DC476" s="1"/>
      <c r="DD476" s="1"/>
      <c r="DE476" s="1"/>
      <c r="DF476" s="1"/>
      <c r="DG476" s="1"/>
      <c r="DH476" s="1"/>
      <c r="DI476" s="1"/>
      <c r="DJ476" s="1"/>
      <c r="DK476" s="1"/>
      <c r="DL476" s="1"/>
      <c r="DM476" s="1"/>
      <c r="DN476" s="1"/>
      <c r="DO476" s="1"/>
      <c r="DP476" s="1"/>
      <c r="DQ476" s="1"/>
      <c r="DR476" s="1"/>
      <c r="DS476" s="1"/>
      <c r="DT476" s="1"/>
      <c r="DU476" s="14"/>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29"/>
    </row>
    <row r="477" spans="1:160" x14ac:dyDescent="0.25">
      <c r="A477" s="5"/>
      <c r="B477" s="1"/>
      <c r="C477" s="98"/>
      <c r="D477" s="98"/>
      <c r="E477" s="1"/>
      <c r="F477" s="22"/>
      <c r="G477" s="22"/>
      <c r="H477" s="22"/>
      <c r="I477" s="22"/>
      <c r="J477" s="22"/>
      <c r="K477" s="22"/>
      <c r="L477" s="22"/>
      <c r="M477" s="22"/>
      <c r="N477" s="22"/>
      <c r="O477" s="22"/>
      <c r="P477" s="22"/>
      <c r="Q477" s="22"/>
      <c r="R477" s="1"/>
      <c r="S477" s="1"/>
      <c r="T477" s="8"/>
      <c r="U477" s="1"/>
      <c r="V477" s="1"/>
      <c r="W477" s="1"/>
      <c r="X477" s="1"/>
      <c r="Y477" s="1"/>
      <c r="Z477" s="1"/>
      <c r="AA477" s="1"/>
      <c r="AC477" s="1"/>
      <c r="AD477" s="1"/>
      <c r="AE477" s="1"/>
      <c r="AF477" s="1"/>
      <c r="AG477" s="1"/>
      <c r="AH477" s="26"/>
      <c r="AI477" s="26"/>
      <c r="AJ477" s="26"/>
      <c r="AK477" s="26"/>
      <c r="AL477" s="26"/>
      <c r="AM477" s="26"/>
      <c r="AN477" s="26"/>
      <c r="AO477" s="26"/>
      <c r="AP477" s="26"/>
      <c r="AQ477" s="26"/>
      <c r="AR477" s="26"/>
      <c r="AS477" s="26"/>
      <c r="AT477" s="26"/>
      <c r="AU477" s="26"/>
      <c r="AV477" s="26"/>
      <c r="AW477" s="26"/>
      <c r="AX477" s="26"/>
      <c r="AY477" s="1"/>
      <c r="AZ477" s="26"/>
      <c r="BA477" s="26"/>
      <c r="BB477" s="26"/>
      <c r="BC477" s="26"/>
      <c r="BD477" s="26"/>
      <c r="BE477" s="26"/>
      <c r="BF477" s="26"/>
      <c r="BG477" s="26"/>
      <c r="BH477" s="26"/>
      <c r="BI477" s="26"/>
      <c r="BJ477" s="26"/>
      <c r="BK477" s="26"/>
      <c r="BL477" s="26"/>
      <c r="BM477" s="26"/>
      <c r="BN477" s="26"/>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96"/>
      <c r="CP477" s="14"/>
      <c r="CQ477" s="14"/>
      <c r="CR477" s="14"/>
      <c r="CS477" s="14"/>
      <c r="CT477" s="1"/>
      <c r="CU477" s="14"/>
      <c r="CV477" s="1"/>
      <c r="CW477" s="1"/>
      <c r="CX477" s="14"/>
      <c r="CY477" s="1"/>
      <c r="CZ477" s="1"/>
      <c r="DA477" s="1"/>
      <c r="DB477" s="1"/>
      <c r="DC477" s="1"/>
      <c r="DD477" s="1"/>
      <c r="DE477" s="1"/>
      <c r="DF477" s="1"/>
      <c r="DG477" s="1"/>
      <c r="DH477" s="1"/>
      <c r="DI477" s="1"/>
      <c r="DJ477" s="1"/>
      <c r="DK477" s="1"/>
      <c r="DL477" s="1"/>
      <c r="DM477" s="1"/>
      <c r="DN477" s="1"/>
      <c r="DO477" s="1"/>
      <c r="DP477" s="1"/>
      <c r="DQ477" s="1"/>
      <c r="DR477" s="1"/>
      <c r="DS477" s="1"/>
      <c r="DT477" s="1"/>
      <c r="DU477" s="14"/>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29"/>
    </row>
    <row r="478" spans="1:160" x14ac:dyDescent="0.25">
      <c r="A478" s="5"/>
      <c r="B478" s="1"/>
      <c r="C478" s="98"/>
      <c r="D478" s="98"/>
      <c r="E478" s="1"/>
      <c r="F478" s="22"/>
      <c r="G478" s="22"/>
      <c r="H478" s="22"/>
      <c r="I478" s="22"/>
      <c r="J478" s="22"/>
      <c r="K478" s="22"/>
      <c r="L478" s="22"/>
      <c r="M478" s="22"/>
      <c r="N478" s="22"/>
      <c r="O478" s="22"/>
      <c r="P478" s="22"/>
      <c r="Q478" s="22"/>
      <c r="R478" s="1"/>
      <c r="S478" s="1"/>
      <c r="T478" s="8"/>
      <c r="U478" s="1"/>
      <c r="V478" s="1"/>
      <c r="W478" s="1"/>
      <c r="X478" s="1"/>
      <c r="Y478" s="1"/>
      <c r="Z478" s="1"/>
      <c r="AA478" s="1"/>
      <c r="AC478" s="1"/>
      <c r="AD478" s="1"/>
      <c r="AE478" s="1"/>
      <c r="AF478" s="1"/>
      <c r="AG478" s="1"/>
      <c r="AH478" s="26"/>
      <c r="AI478" s="26"/>
      <c r="AJ478" s="26"/>
      <c r="AK478" s="26"/>
      <c r="AL478" s="26"/>
      <c r="AM478" s="26"/>
      <c r="AN478" s="26"/>
      <c r="AO478" s="26"/>
      <c r="AP478" s="26"/>
      <c r="AQ478" s="26"/>
      <c r="AR478" s="26"/>
      <c r="AS478" s="26"/>
      <c r="AT478" s="26"/>
      <c r="AU478" s="26"/>
      <c r="AV478" s="26"/>
      <c r="AW478" s="26"/>
      <c r="AX478" s="26"/>
      <c r="AY478" s="1"/>
      <c r="AZ478" s="26"/>
      <c r="BA478" s="26"/>
      <c r="BB478" s="26"/>
      <c r="BC478" s="26"/>
      <c r="BD478" s="26"/>
      <c r="BE478" s="26"/>
      <c r="BF478" s="26"/>
      <c r="BG478" s="26"/>
      <c r="BH478" s="26"/>
      <c r="BI478" s="26"/>
      <c r="BJ478" s="26"/>
      <c r="BK478" s="26"/>
      <c r="BL478" s="26"/>
      <c r="BM478" s="26"/>
      <c r="BN478" s="26"/>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96"/>
      <c r="CP478" s="14"/>
      <c r="CQ478" s="14"/>
      <c r="CR478" s="14"/>
      <c r="CS478" s="14"/>
      <c r="CT478" s="1"/>
      <c r="CU478" s="14"/>
      <c r="CV478" s="1"/>
      <c r="CW478" s="1"/>
      <c r="CX478" s="14"/>
      <c r="CY478" s="1"/>
      <c r="CZ478" s="1"/>
      <c r="DA478" s="1"/>
      <c r="DB478" s="1"/>
      <c r="DC478" s="1"/>
      <c r="DD478" s="1"/>
      <c r="DE478" s="1"/>
      <c r="DF478" s="1"/>
      <c r="DG478" s="1"/>
      <c r="DH478" s="1"/>
      <c r="DI478" s="1"/>
      <c r="DJ478" s="1"/>
      <c r="DK478" s="1"/>
      <c r="DL478" s="1"/>
      <c r="DM478" s="1"/>
      <c r="DN478" s="1"/>
      <c r="DO478" s="1"/>
      <c r="DP478" s="1"/>
      <c r="DQ478" s="1"/>
      <c r="DR478" s="1"/>
      <c r="DS478" s="1"/>
      <c r="DT478" s="1"/>
      <c r="DU478" s="14"/>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29"/>
    </row>
    <row r="479" spans="1:160" x14ac:dyDescent="0.25">
      <c r="A479" s="5"/>
      <c r="B479" s="1"/>
      <c r="C479" s="98"/>
      <c r="D479" s="98"/>
      <c r="E479" s="1"/>
      <c r="F479" s="22"/>
      <c r="G479" s="22"/>
      <c r="H479" s="22"/>
      <c r="I479" s="22"/>
      <c r="J479" s="22"/>
      <c r="K479" s="22"/>
      <c r="L479" s="22"/>
      <c r="M479" s="22"/>
      <c r="N479" s="22"/>
      <c r="O479" s="22"/>
      <c r="P479" s="22"/>
      <c r="Q479" s="22"/>
      <c r="R479" s="1"/>
      <c r="S479" s="1"/>
      <c r="T479" s="8"/>
      <c r="U479" s="1"/>
      <c r="V479" s="1"/>
      <c r="W479" s="1"/>
      <c r="X479" s="1"/>
      <c r="Y479" s="1"/>
      <c r="Z479" s="1"/>
      <c r="AA479" s="1"/>
      <c r="AC479" s="1"/>
      <c r="AD479" s="1"/>
      <c r="AE479" s="1"/>
      <c r="AF479" s="1"/>
      <c r="AG479" s="1"/>
      <c r="AH479" s="26"/>
      <c r="AI479" s="26"/>
      <c r="AJ479" s="26"/>
      <c r="AK479" s="26"/>
      <c r="AL479" s="26"/>
      <c r="AM479" s="26"/>
      <c r="AN479" s="26"/>
      <c r="AO479" s="26"/>
      <c r="AP479" s="26"/>
      <c r="AQ479" s="26"/>
      <c r="AR479" s="26"/>
      <c r="AS479" s="26"/>
      <c r="AT479" s="26"/>
      <c r="AU479" s="26"/>
      <c r="AV479" s="26"/>
      <c r="AW479" s="26"/>
      <c r="AX479" s="26"/>
      <c r="AY479" s="1"/>
      <c r="AZ479" s="26"/>
      <c r="BA479" s="26"/>
      <c r="BB479" s="26"/>
      <c r="BC479" s="26"/>
      <c r="BD479" s="26"/>
      <c r="BE479" s="26"/>
      <c r="BF479" s="26"/>
      <c r="BG479" s="26"/>
      <c r="BH479" s="26"/>
      <c r="BI479" s="26"/>
      <c r="BJ479" s="26"/>
      <c r="BK479" s="26"/>
      <c r="BL479" s="26"/>
      <c r="BM479" s="26"/>
      <c r="BN479" s="26"/>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96"/>
      <c r="CP479" s="14"/>
      <c r="CQ479" s="14"/>
      <c r="CR479" s="14"/>
      <c r="CS479" s="14"/>
      <c r="CT479" s="1"/>
      <c r="CU479" s="14"/>
      <c r="CV479" s="1"/>
      <c r="CW479" s="1"/>
      <c r="CX479" s="14"/>
      <c r="CY479" s="1"/>
      <c r="CZ479" s="1"/>
      <c r="DA479" s="1"/>
      <c r="DB479" s="1"/>
      <c r="DC479" s="1"/>
      <c r="DD479" s="1"/>
      <c r="DE479" s="1"/>
      <c r="DF479" s="1"/>
      <c r="DG479" s="1"/>
      <c r="DH479" s="1"/>
      <c r="DI479" s="1"/>
      <c r="DJ479" s="1"/>
      <c r="DK479" s="1"/>
      <c r="DL479" s="1"/>
      <c r="DM479" s="1"/>
      <c r="DN479" s="1"/>
      <c r="DO479" s="1"/>
      <c r="DP479" s="1"/>
      <c r="DQ479" s="1"/>
      <c r="DR479" s="1"/>
      <c r="DS479" s="1"/>
      <c r="DT479" s="1"/>
      <c r="DU479" s="14"/>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29"/>
    </row>
    <row r="480" spans="1:160" x14ac:dyDescent="0.25">
      <c r="A480" s="5"/>
      <c r="B480" s="1"/>
      <c r="C480" s="98"/>
      <c r="D480" s="98"/>
      <c r="E480" s="1"/>
      <c r="F480" s="22"/>
      <c r="G480" s="22"/>
      <c r="H480" s="22"/>
      <c r="I480" s="22"/>
      <c r="J480" s="22"/>
      <c r="K480" s="22"/>
      <c r="L480" s="22"/>
      <c r="M480" s="22"/>
      <c r="N480" s="22"/>
      <c r="O480" s="22"/>
      <c r="P480" s="22"/>
      <c r="Q480" s="22"/>
      <c r="R480" s="1"/>
      <c r="S480" s="1"/>
      <c r="T480" s="8"/>
      <c r="U480" s="1"/>
      <c r="V480" s="1"/>
      <c r="W480" s="1"/>
      <c r="X480" s="1"/>
      <c r="Y480" s="1"/>
      <c r="Z480" s="1"/>
      <c r="AA480" s="1"/>
      <c r="AC480" s="1"/>
      <c r="AD480" s="1"/>
      <c r="AE480" s="1"/>
      <c r="AF480" s="1"/>
      <c r="AG480" s="1"/>
      <c r="AH480" s="26"/>
      <c r="AI480" s="26"/>
      <c r="AJ480" s="26"/>
      <c r="AK480" s="26"/>
      <c r="AL480" s="26"/>
      <c r="AM480" s="26"/>
      <c r="AN480" s="26"/>
      <c r="AO480" s="26"/>
      <c r="AP480" s="26"/>
      <c r="AQ480" s="26"/>
      <c r="AR480" s="26"/>
      <c r="AS480" s="26"/>
      <c r="AT480" s="26"/>
      <c r="AU480" s="26"/>
      <c r="AV480" s="26"/>
      <c r="AW480" s="26"/>
      <c r="AX480" s="26"/>
      <c r="AY480" s="1"/>
      <c r="AZ480" s="26"/>
      <c r="BA480" s="26"/>
      <c r="BB480" s="26"/>
      <c r="BC480" s="26"/>
      <c r="BD480" s="26"/>
      <c r="BE480" s="26"/>
      <c r="BF480" s="26"/>
      <c r="BG480" s="26"/>
      <c r="BH480" s="26"/>
      <c r="BI480" s="26"/>
      <c r="BJ480" s="26"/>
      <c r="BK480" s="26"/>
      <c r="BL480" s="26"/>
      <c r="BM480" s="26"/>
      <c r="BN480" s="26"/>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96"/>
      <c r="CP480" s="14"/>
      <c r="CQ480" s="14"/>
      <c r="CR480" s="14"/>
      <c r="CS480" s="14"/>
      <c r="CT480" s="1"/>
      <c r="CU480" s="14"/>
      <c r="CV480" s="1"/>
      <c r="CW480" s="1"/>
      <c r="CX480" s="14"/>
      <c r="CY480" s="1"/>
      <c r="CZ480" s="1"/>
      <c r="DA480" s="1"/>
      <c r="DB480" s="1"/>
      <c r="DC480" s="1"/>
      <c r="DD480" s="1"/>
      <c r="DE480" s="1"/>
      <c r="DF480" s="1"/>
      <c r="DG480" s="1"/>
      <c r="DH480" s="1"/>
      <c r="DI480" s="1"/>
      <c r="DJ480" s="1"/>
      <c r="DK480" s="1"/>
      <c r="DL480" s="1"/>
      <c r="DM480" s="1"/>
      <c r="DN480" s="1"/>
      <c r="DO480" s="1"/>
      <c r="DP480" s="1"/>
      <c r="DQ480" s="1"/>
      <c r="DR480" s="1"/>
      <c r="DS480" s="1"/>
      <c r="DT480" s="1"/>
      <c r="DU480" s="14"/>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29"/>
    </row>
    <row r="481" spans="1:160" x14ac:dyDescent="0.25">
      <c r="A481" s="5"/>
      <c r="B481" s="1"/>
      <c r="C481" s="98"/>
      <c r="D481" s="98"/>
      <c r="E481" s="1"/>
      <c r="F481" s="22"/>
      <c r="G481" s="22"/>
      <c r="H481" s="22"/>
      <c r="I481" s="22"/>
      <c r="J481" s="22"/>
      <c r="K481" s="22"/>
      <c r="L481" s="22"/>
      <c r="M481" s="22"/>
      <c r="N481" s="22"/>
      <c r="O481" s="22"/>
      <c r="P481" s="22"/>
      <c r="Q481" s="22"/>
      <c r="R481" s="1"/>
      <c r="S481" s="1"/>
      <c r="T481" s="8"/>
      <c r="U481" s="1"/>
      <c r="V481" s="1"/>
      <c r="W481" s="1"/>
      <c r="X481" s="1"/>
      <c r="Y481" s="1"/>
      <c r="Z481" s="1"/>
      <c r="AA481" s="1"/>
      <c r="AC481" s="1"/>
      <c r="AD481" s="1"/>
      <c r="AE481" s="1"/>
      <c r="AF481" s="1"/>
      <c r="AG481" s="1"/>
      <c r="AH481" s="26"/>
      <c r="AI481" s="26"/>
      <c r="AJ481" s="26"/>
      <c r="AK481" s="26"/>
      <c r="AL481" s="26"/>
      <c r="AM481" s="26"/>
      <c r="AN481" s="26"/>
      <c r="AO481" s="26"/>
      <c r="AP481" s="26"/>
      <c r="AQ481" s="26"/>
      <c r="AR481" s="26"/>
      <c r="AS481" s="26"/>
      <c r="AT481" s="26"/>
      <c r="AU481" s="26"/>
      <c r="AV481" s="26"/>
      <c r="AW481" s="26"/>
      <c r="AX481" s="26"/>
      <c r="AY481" s="1"/>
      <c r="AZ481" s="26"/>
      <c r="BA481" s="26"/>
      <c r="BB481" s="26"/>
      <c r="BC481" s="26"/>
      <c r="BD481" s="26"/>
      <c r="BE481" s="26"/>
      <c r="BF481" s="26"/>
      <c r="BG481" s="26"/>
      <c r="BH481" s="26"/>
      <c r="BI481" s="26"/>
      <c r="BJ481" s="26"/>
      <c r="BK481" s="26"/>
      <c r="BL481" s="26"/>
      <c r="BM481" s="26"/>
      <c r="BN481" s="26"/>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96"/>
      <c r="CP481" s="14"/>
      <c r="CQ481" s="14"/>
      <c r="CR481" s="14"/>
      <c r="CS481" s="14"/>
      <c r="CT481" s="1"/>
      <c r="CU481" s="14"/>
      <c r="CV481" s="1"/>
      <c r="CW481" s="1"/>
      <c r="CX481" s="14"/>
      <c r="CY481" s="1"/>
      <c r="CZ481" s="1"/>
      <c r="DA481" s="1"/>
      <c r="DB481" s="1"/>
      <c r="DC481" s="1"/>
      <c r="DD481" s="1"/>
      <c r="DE481" s="1"/>
      <c r="DF481" s="1"/>
      <c r="DG481" s="1"/>
      <c r="DH481" s="1"/>
      <c r="DI481" s="1"/>
      <c r="DJ481" s="1"/>
      <c r="DK481" s="1"/>
      <c r="DL481" s="1"/>
      <c r="DM481" s="1"/>
      <c r="DN481" s="1"/>
      <c r="DO481" s="1"/>
      <c r="DP481" s="1"/>
      <c r="DQ481" s="1"/>
      <c r="DR481" s="1"/>
      <c r="DS481" s="1"/>
      <c r="DT481" s="1"/>
      <c r="DU481" s="14"/>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29"/>
    </row>
    <row r="482" spans="1:160" x14ac:dyDescent="0.25">
      <c r="A482" s="5"/>
      <c r="B482" s="1"/>
      <c r="C482" s="98"/>
      <c r="D482" s="98"/>
      <c r="E482" s="1"/>
      <c r="F482" s="22"/>
      <c r="G482" s="22"/>
      <c r="H482" s="22"/>
      <c r="I482" s="22"/>
      <c r="J482" s="22"/>
      <c r="K482" s="22"/>
      <c r="L482" s="22"/>
      <c r="M482" s="22"/>
      <c r="N482" s="22"/>
      <c r="O482" s="22"/>
      <c r="P482" s="22"/>
      <c r="Q482" s="22"/>
      <c r="R482" s="1"/>
      <c r="S482" s="1"/>
      <c r="T482" s="8"/>
      <c r="U482" s="1"/>
      <c r="V482" s="1"/>
      <c r="W482" s="1"/>
      <c r="X482" s="1"/>
      <c r="Y482" s="1"/>
      <c r="Z482" s="1"/>
      <c r="AA482" s="1"/>
      <c r="AC482" s="1"/>
      <c r="AD482" s="1"/>
      <c r="AE482" s="1"/>
      <c r="AF482" s="1"/>
      <c r="AG482" s="1"/>
      <c r="AH482" s="26"/>
      <c r="AI482" s="26"/>
      <c r="AJ482" s="26"/>
      <c r="AK482" s="26"/>
      <c r="AL482" s="26"/>
      <c r="AM482" s="26"/>
      <c r="AN482" s="26"/>
      <c r="AO482" s="26"/>
      <c r="AP482" s="26"/>
      <c r="AQ482" s="26"/>
      <c r="AR482" s="26"/>
      <c r="AS482" s="26"/>
      <c r="AT482" s="26"/>
      <c r="AU482" s="26"/>
      <c r="AV482" s="26"/>
      <c r="AW482" s="26"/>
      <c r="AX482" s="26"/>
      <c r="AY482" s="1"/>
      <c r="AZ482" s="26"/>
      <c r="BA482" s="26"/>
      <c r="BB482" s="26"/>
      <c r="BC482" s="26"/>
      <c r="BD482" s="26"/>
      <c r="BE482" s="26"/>
      <c r="BF482" s="26"/>
      <c r="BG482" s="26"/>
      <c r="BH482" s="26"/>
      <c r="BI482" s="26"/>
      <c r="BJ482" s="26"/>
      <c r="BK482" s="26"/>
      <c r="BL482" s="26"/>
      <c r="BM482" s="26"/>
      <c r="BN482" s="26"/>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96"/>
      <c r="CP482" s="14"/>
      <c r="CQ482" s="14"/>
      <c r="CR482" s="14"/>
      <c r="CS482" s="14"/>
      <c r="CT482" s="1"/>
      <c r="CU482" s="14"/>
      <c r="CV482" s="1"/>
      <c r="CW482" s="1"/>
      <c r="CX482" s="14"/>
      <c r="CY482" s="1"/>
      <c r="CZ482" s="1"/>
      <c r="DA482" s="1"/>
      <c r="DB482" s="1"/>
      <c r="DC482" s="1"/>
      <c r="DD482" s="1"/>
      <c r="DE482" s="1"/>
      <c r="DF482" s="1"/>
      <c r="DG482" s="1"/>
      <c r="DH482" s="1"/>
      <c r="DI482" s="1"/>
      <c r="DJ482" s="1"/>
      <c r="DK482" s="1"/>
      <c r="DL482" s="1"/>
      <c r="DM482" s="1"/>
      <c r="DN482" s="1"/>
      <c r="DO482" s="1"/>
      <c r="DP482" s="1"/>
      <c r="DQ482" s="1"/>
      <c r="DR482" s="1"/>
      <c r="DS482" s="1"/>
      <c r="DT482" s="1"/>
      <c r="DU482" s="14"/>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29"/>
    </row>
    <row r="483" spans="1:160" x14ac:dyDescent="0.25">
      <c r="A483" s="5"/>
      <c r="B483" s="1"/>
      <c r="C483" s="98"/>
      <c r="D483" s="98"/>
      <c r="E483" s="1"/>
      <c r="F483" s="22"/>
      <c r="G483" s="22"/>
      <c r="H483" s="22"/>
      <c r="I483" s="22"/>
      <c r="J483" s="22"/>
      <c r="K483" s="22"/>
      <c r="L483" s="22"/>
      <c r="M483" s="22"/>
      <c r="N483" s="22"/>
      <c r="O483" s="22"/>
      <c r="P483" s="22"/>
      <c r="Q483" s="22"/>
      <c r="R483" s="1"/>
      <c r="S483" s="1"/>
      <c r="T483" s="8"/>
      <c r="U483" s="1"/>
      <c r="V483" s="1"/>
      <c r="W483" s="1"/>
      <c r="X483" s="1"/>
      <c r="Y483" s="1"/>
      <c r="Z483" s="1"/>
      <c r="AA483" s="1"/>
      <c r="AC483" s="1"/>
      <c r="AD483" s="1"/>
      <c r="AE483" s="1"/>
      <c r="AF483" s="1"/>
      <c r="AG483" s="1"/>
      <c r="AH483" s="26"/>
      <c r="AI483" s="26"/>
      <c r="AJ483" s="26"/>
      <c r="AK483" s="26"/>
      <c r="AL483" s="26"/>
      <c r="AM483" s="26"/>
      <c r="AN483" s="26"/>
      <c r="AO483" s="26"/>
      <c r="AP483" s="26"/>
      <c r="AQ483" s="26"/>
      <c r="AR483" s="26"/>
      <c r="AS483" s="26"/>
      <c r="AT483" s="26"/>
      <c r="AU483" s="26"/>
      <c r="AV483" s="26"/>
      <c r="AW483" s="26"/>
      <c r="AX483" s="26"/>
      <c r="AY483" s="1"/>
      <c r="AZ483" s="26"/>
      <c r="BA483" s="26"/>
      <c r="BB483" s="26"/>
      <c r="BC483" s="26"/>
      <c r="BD483" s="26"/>
      <c r="BE483" s="26"/>
      <c r="BF483" s="26"/>
      <c r="BG483" s="26"/>
      <c r="BH483" s="26"/>
      <c r="BI483" s="26"/>
      <c r="BJ483" s="26"/>
      <c r="BK483" s="26"/>
      <c r="BL483" s="26"/>
      <c r="BM483" s="26"/>
      <c r="BN483" s="26"/>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96"/>
      <c r="CP483" s="14"/>
      <c r="CQ483" s="14"/>
      <c r="CR483" s="14"/>
      <c r="CS483" s="14"/>
      <c r="CT483" s="1"/>
      <c r="CU483" s="14"/>
      <c r="CV483" s="1"/>
      <c r="CW483" s="1"/>
      <c r="CX483" s="14"/>
      <c r="CY483" s="1"/>
      <c r="CZ483" s="1"/>
      <c r="DA483" s="1"/>
      <c r="DB483" s="1"/>
      <c r="DC483" s="1"/>
      <c r="DD483" s="1"/>
      <c r="DE483" s="1"/>
      <c r="DF483" s="1"/>
      <c r="DG483" s="1"/>
      <c r="DH483" s="1"/>
      <c r="DI483" s="1"/>
      <c r="DJ483" s="1"/>
      <c r="DK483" s="1"/>
      <c r="DL483" s="1"/>
      <c r="DM483" s="1"/>
      <c r="DN483" s="1"/>
      <c r="DO483" s="1"/>
      <c r="DP483" s="1"/>
      <c r="DQ483" s="1"/>
      <c r="DR483" s="1"/>
      <c r="DS483" s="1"/>
      <c r="DT483" s="1"/>
      <c r="DU483" s="14"/>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29"/>
    </row>
    <row r="484" spans="1:160" x14ac:dyDescent="0.25">
      <c r="A484" s="5"/>
      <c r="B484" s="1"/>
      <c r="C484" s="98"/>
      <c r="D484" s="98"/>
      <c r="E484" s="1"/>
      <c r="F484" s="22"/>
      <c r="G484" s="22"/>
      <c r="H484" s="22"/>
      <c r="I484" s="22"/>
      <c r="J484" s="22"/>
      <c r="K484" s="22"/>
      <c r="L484" s="22"/>
      <c r="M484" s="22"/>
      <c r="N484" s="22"/>
      <c r="O484" s="22"/>
      <c r="P484" s="22"/>
      <c r="Q484" s="22"/>
      <c r="R484" s="1"/>
      <c r="S484" s="1"/>
      <c r="T484" s="8"/>
      <c r="U484" s="1"/>
      <c r="V484" s="1"/>
      <c r="W484" s="1"/>
      <c r="X484" s="1"/>
      <c r="Y484" s="1"/>
      <c r="Z484" s="1"/>
      <c r="AA484" s="1"/>
      <c r="AC484" s="1"/>
      <c r="AD484" s="1"/>
      <c r="AE484" s="1"/>
      <c r="AF484" s="1"/>
      <c r="AG484" s="1"/>
      <c r="AH484" s="26"/>
      <c r="AI484" s="26"/>
      <c r="AJ484" s="26"/>
      <c r="AK484" s="26"/>
      <c r="AL484" s="26"/>
      <c r="AM484" s="26"/>
      <c r="AN484" s="26"/>
      <c r="AO484" s="26"/>
      <c r="AP484" s="26"/>
      <c r="AQ484" s="26"/>
      <c r="AR484" s="26"/>
      <c r="AS484" s="26"/>
      <c r="AT484" s="26"/>
      <c r="AU484" s="26"/>
      <c r="AV484" s="26"/>
      <c r="AW484" s="26"/>
      <c r="AX484" s="26"/>
      <c r="AY484" s="1"/>
      <c r="AZ484" s="26"/>
      <c r="BA484" s="26"/>
      <c r="BB484" s="26"/>
      <c r="BC484" s="26"/>
      <c r="BD484" s="26"/>
      <c r="BE484" s="26"/>
      <c r="BF484" s="26"/>
      <c r="BG484" s="26"/>
      <c r="BH484" s="26"/>
      <c r="BI484" s="26"/>
      <c r="BJ484" s="26"/>
      <c r="BK484" s="26"/>
      <c r="BL484" s="26"/>
      <c r="BM484" s="26"/>
      <c r="BN484" s="26"/>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96"/>
      <c r="CP484" s="14"/>
      <c r="CQ484" s="14"/>
      <c r="CR484" s="14"/>
      <c r="CS484" s="14"/>
      <c r="CT484" s="1"/>
      <c r="CU484" s="14"/>
      <c r="CV484" s="1"/>
      <c r="CW484" s="1"/>
      <c r="CX484" s="14"/>
      <c r="CY484" s="1"/>
      <c r="CZ484" s="1"/>
      <c r="DA484" s="1"/>
      <c r="DB484" s="1"/>
      <c r="DC484" s="1"/>
      <c r="DD484" s="1"/>
      <c r="DE484" s="1"/>
      <c r="DF484" s="1"/>
      <c r="DG484" s="1"/>
      <c r="DH484" s="1"/>
      <c r="DI484" s="1"/>
      <c r="DJ484" s="1"/>
      <c r="DK484" s="1"/>
      <c r="DL484" s="1"/>
      <c r="DM484" s="1"/>
      <c r="DN484" s="1"/>
      <c r="DO484" s="1"/>
      <c r="DP484" s="1"/>
      <c r="DQ484" s="1"/>
      <c r="DR484" s="1"/>
      <c r="DS484" s="1"/>
      <c r="DT484" s="1"/>
      <c r="DU484" s="14"/>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29"/>
    </row>
    <row r="485" spans="1:160" x14ac:dyDescent="0.25">
      <c r="A485" s="5"/>
      <c r="B485" s="1"/>
      <c r="C485" s="98"/>
      <c r="D485" s="98"/>
      <c r="E485" s="1"/>
      <c r="F485" s="22"/>
      <c r="G485" s="22"/>
      <c r="H485" s="22"/>
      <c r="I485" s="22"/>
      <c r="J485" s="22"/>
      <c r="K485" s="22"/>
      <c r="L485" s="22"/>
      <c r="M485" s="22"/>
      <c r="N485" s="22"/>
      <c r="O485" s="22"/>
      <c r="P485" s="22"/>
      <c r="Q485" s="22"/>
      <c r="R485" s="1"/>
      <c r="S485" s="1"/>
      <c r="T485" s="8"/>
      <c r="U485" s="1"/>
      <c r="V485" s="1"/>
      <c r="W485" s="1"/>
      <c r="X485" s="1"/>
      <c r="Y485" s="1"/>
      <c r="Z485" s="1"/>
      <c r="AA485" s="1"/>
      <c r="AC485" s="1"/>
      <c r="AD485" s="1"/>
      <c r="AE485" s="1"/>
      <c r="AF485" s="1"/>
      <c r="AG485" s="1"/>
      <c r="AH485" s="26"/>
      <c r="AI485" s="26"/>
      <c r="AJ485" s="26"/>
      <c r="AK485" s="26"/>
      <c r="AL485" s="26"/>
      <c r="AM485" s="26"/>
      <c r="AN485" s="26"/>
      <c r="AO485" s="26"/>
      <c r="AP485" s="26"/>
      <c r="AQ485" s="26"/>
      <c r="AR485" s="26"/>
      <c r="AS485" s="26"/>
      <c r="AT485" s="26"/>
      <c r="AU485" s="26"/>
      <c r="AV485" s="26"/>
      <c r="AW485" s="26"/>
      <c r="AX485" s="26"/>
      <c r="AY485" s="1"/>
      <c r="AZ485" s="26"/>
      <c r="BA485" s="26"/>
      <c r="BB485" s="26"/>
      <c r="BC485" s="26"/>
      <c r="BD485" s="26"/>
      <c r="BE485" s="26"/>
      <c r="BF485" s="26"/>
      <c r="BG485" s="26"/>
      <c r="BH485" s="26"/>
      <c r="BI485" s="26"/>
      <c r="BJ485" s="26"/>
      <c r="BK485" s="26"/>
      <c r="BL485" s="26"/>
      <c r="BM485" s="26"/>
      <c r="BN485" s="26"/>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96"/>
      <c r="CP485" s="14"/>
      <c r="CQ485" s="14"/>
      <c r="CR485" s="14"/>
      <c r="CS485" s="14"/>
      <c r="CT485" s="1"/>
      <c r="CU485" s="14"/>
      <c r="CV485" s="1"/>
      <c r="CW485" s="1"/>
      <c r="CX485" s="14"/>
      <c r="CY485" s="1"/>
      <c r="CZ485" s="1"/>
      <c r="DA485" s="1"/>
      <c r="DB485" s="1"/>
      <c r="DC485" s="1"/>
      <c r="DD485" s="1"/>
      <c r="DE485" s="1"/>
      <c r="DF485" s="1"/>
      <c r="DG485" s="1"/>
      <c r="DH485" s="1"/>
      <c r="DI485" s="1"/>
      <c r="DJ485" s="1"/>
      <c r="DK485" s="1"/>
      <c r="DL485" s="1"/>
      <c r="DM485" s="1"/>
      <c r="DN485" s="1"/>
      <c r="DO485" s="1"/>
      <c r="DP485" s="1"/>
      <c r="DQ485" s="1"/>
      <c r="DR485" s="1"/>
      <c r="DS485" s="1"/>
      <c r="DT485" s="1"/>
      <c r="DU485" s="14"/>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29"/>
    </row>
    <row r="486" spans="1:160" x14ac:dyDescent="0.25">
      <c r="A486" s="5"/>
      <c r="B486" s="1"/>
      <c r="C486" s="98"/>
      <c r="D486" s="98"/>
      <c r="E486" s="1"/>
      <c r="F486" s="22"/>
      <c r="G486" s="22"/>
      <c r="H486" s="22"/>
      <c r="I486" s="22"/>
      <c r="J486" s="22"/>
      <c r="K486" s="22"/>
      <c r="L486" s="22"/>
      <c r="M486" s="22"/>
      <c r="N486" s="22"/>
      <c r="O486" s="22"/>
      <c r="P486" s="22"/>
      <c r="Q486" s="22"/>
      <c r="R486" s="1"/>
      <c r="S486" s="1"/>
      <c r="T486" s="8"/>
      <c r="U486" s="1"/>
      <c r="V486" s="1"/>
      <c r="W486" s="1"/>
      <c r="X486" s="1"/>
      <c r="Y486" s="1"/>
      <c r="Z486" s="1"/>
      <c r="AA486" s="1"/>
      <c r="AC486" s="1"/>
      <c r="AD486" s="1"/>
      <c r="AE486" s="1"/>
      <c r="AF486" s="1"/>
      <c r="AG486" s="1"/>
      <c r="AH486" s="26"/>
      <c r="AI486" s="26"/>
      <c r="AJ486" s="26"/>
      <c r="AK486" s="26"/>
      <c r="AL486" s="26"/>
      <c r="AM486" s="26"/>
      <c r="AN486" s="26"/>
      <c r="AO486" s="26"/>
      <c r="AP486" s="26"/>
      <c r="AQ486" s="26"/>
      <c r="AR486" s="26"/>
      <c r="AS486" s="26"/>
      <c r="AT486" s="26"/>
      <c r="AU486" s="26"/>
      <c r="AV486" s="26"/>
      <c r="AW486" s="26"/>
      <c r="AX486" s="26"/>
      <c r="AY486" s="1"/>
      <c r="AZ486" s="26"/>
      <c r="BA486" s="26"/>
      <c r="BB486" s="26"/>
      <c r="BC486" s="26"/>
      <c r="BD486" s="26"/>
      <c r="BE486" s="26"/>
      <c r="BF486" s="26"/>
      <c r="BG486" s="26"/>
      <c r="BH486" s="26"/>
      <c r="BI486" s="26"/>
      <c r="BJ486" s="26"/>
      <c r="BK486" s="26"/>
      <c r="BL486" s="26"/>
      <c r="BM486" s="26"/>
      <c r="BN486" s="26"/>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96"/>
      <c r="CP486" s="14"/>
      <c r="CQ486" s="14"/>
      <c r="CR486" s="14"/>
      <c r="CS486" s="14"/>
      <c r="CT486" s="1"/>
      <c r="CU486" s="14"/>
      <c r="CV486" s="1"/>
      <c r="CW486" s="1"/>
      <c r="CX486" s="14"/>
      <c r="CY486" s="1"/>
      <c r="CZ486" s="1"/>
      <c r="DA486" s="1"/>
      <c r="DB486" s="1"/>
      <c r="DC486" s="1"/>
      <c r="DD486" s="1"/>
      <c r="DE486" s="1"/>
      <c r="DF486" s="1"/>
      <c r="DG486" s="1"/>
      <c r="DH486" s="1"/>
      <c r="DI486" s="1"/>
      <c r="DJ486" s="1"/>
      <c r="DK486" s="1"/>
      <c r="DL486" s="1"/>
      <c r="DM486" s="1"/>
      <c r="DN486" s="1"/>
      <c r="DO486" s="1"/>
      <c r="DP486" s="1"/>
      <c r="DQ486" s="1"/>
      <c r="DR486" s="1"/>
      <c r="DS486" s="1"/>
      <c r="DT486" s="1"/>
      <c r="DU486" s="14"/>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29"/>
    </row>
    <row r="487" spans="1:160" x14ac:dyDescent="0.25">
      <c r="A487" s="5"/>
      <c r="B487" s="1"/>
      <c r="C487" s="98"/>
      <c r="D487" s="98"/>
      <c r="E487" s="1"/>
      <c r="F487" s="22"/>
      <c r="G487" s="22"/>
      <c r="H487" s="22"/>
      <c r="I487" s="22"/>
      <c r="J487" s="22"/>
      <c r="K487" s="22"/>
      <c r="L487" s="22"/>
      <c r="M487" s="22"/>
      <c r="N487" s="22"/>
      <c r="O487" s="22"/>
      <c r="P487" s="22"/>
      <c r="Q487" s="22"/>
      <c r="R487" s="1"/>
      <c r="S487" s="1"/>
      <c r="T487" s="8"/>
      <c r="U487" s="1"/>
      <c r="V487" s="1"/>
      <c r="W487" s="1"/>
      <c r="X487" s="1"/>
      <c r="Y487" s="1"/>
      <c r="Z487" s="1"/>
      <c r="AA487" s="1"/>
      <c r="AC487" s="1"/>
      <c r="AD487" s="1"/>
      <c r="AE487" s="1"/>
      <c r="AF487" s="1"/>
      <c r="AG487" s="1"/>
      <c r="AH487" s="26"/>
      <c r="AI487" s="26"/>
      <c r="AJ487" s="26"/>
      <c r="AK487" s="26"/>
      <c r="AL487" s="26"/>
      <c r="AM487" s="26"/>
      <c r="AN487" s="26"/>
      <c r="AO487" s="26"/>
      <c r="AP487" s="26"/>
      <c r="AQ487" s="26"/>
      <c r="AR487" s="26"/>
      <c r="AS487" s="26"/>
      <c r="AT487" s="26"/>
      <c r="AU487" s="26"/>
      <c r="AV487" s="26"/>
      <c r="AW487" s="26"/>
      <c r="AX487" s="26"/>
      <c r="AY487" s="1"/>
      <c r="AZ487" s="26"/>
      <c r="BA487" s="26"/>
      <c r="BB487" s="26"/>
      <c r="BC487" s="26"/>
      <c r="BD487" s="26"/>
      <c r="BE487" s="26"/>
      <c r="BF487" s="26"/>
      <c r="BG487" s="26"/>
      <c r="BH487" s="26"/>
      <c r="BI487" s="26"/>
      <c r="BJ487" s="26"/>
      <c r="BK487" s="26"/>
      <c r="BL487" s="26"/>
      <c r="BM487" s="26"/>
      <c r="BN487" s="26"/>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96"/>
      <c r="CP487" s="14"/>
      <c r="CQ487" s="14"/>
      <c r="CR487" s="14"/>
      <c r="CS487" s="14"/>
      <c r="CT487" s="1"/>
      <c r="CU487" s="14"/>
      <c r="CV487" s="1"/>
      <c r="CW487" s="1"/>
      <c r="CX487" s="14"/>
      <c r="CY487" s="1"/>
      <c r="CZ487" s="1"/>
      <c r="DA487" s="1"/>
      <c r="DB487" s="1"/>
      <c r="DC487" s="1"/>
      <c r="DD487" s="1"/>
      <c r="DE487" s="1"/>
      <c r="DF487" s="1"/>
      <c r="DG487" s="1"/>
      <c r="DH487" s="1"/>
      <c r="DI487" s="1"/>
      <c r="DJ487" s="1"/>
      <c r="DK487" s="1"/>
      <c r="DL487" s="1"/>
      <c r="DM487" s="1"/>
      <c r="DN487" s="1"/>
      <c r="DO487" s="1"/>
      <c r="DP487" s="1"/>
      <c r="DQ487" s="1"/>
      <c r="DR487" s="1"/>
      <c r="DS487" s="1"/>
      <c r="DT487" s="1"/>
      <c r="DU487" s="14"/>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29"/>
    </row>
    <row r="488" spans="1:160" x14ac:dyDescent="0.25">
      <c r="A488" s="5"/>
      <c r="B488" s="1"/>
      <c r="C488" s="98"/>
      <c r="D488" s="98"/>
      <c r="E488" s="1"/>
      <c r="F488" s="22"/>
      <c r="G488" s="22"/>
      <c r="H488" s="22"/>
      <c r="I488" s="22"/>
      <c r="J488" s="22"/>
      <c r="K488" s="22"/>
      <c r="L488" s="22"/>
      <c r="M488" s="22"/>
      <c r="N488" s="22"/>
      <c r="O488" s="22"/>
      <c r="P488" s="22"/>
      <c r="Q488" s="22"/>
      <c r="R488" s="1"/>
      <c r="S488" s="1"/>
      <c r="T488" s="8"/>
      <c r="U488" s="1"/>
      <c r="V488" s="1"/>
      <c r="W488" s="1"/>
      <c r="X488" s="1"/>
      <c r="Y488" s="1"/>
      <c r="Z488" s="1"/>
      <c r="AA488" s="1"/>
      <c r="AC488" s="1"/>
      <c r="AD488" s="1"/>
      <c r="AE488" s="1"/>
      <c r="AF488" s="1"/>
      <c r="AG488" s="1"/>
      <c r="AH488" s="26"/>
      <c r="AI488" s="26"/>
      <c r="AJ488" s="26"/>
      <c r="AK488" s="26"/>
      <c r="AL488" s="26"/>
      <c r="AM488" s="26"/>
      <c r="AN488" s="26"/>
      <c r="AO488" s="26"/>
      <c r="AP488" s="26"/>
      <c r="AQ488" s="26"/>
      <c r="AR488" s="26"/>
      <c r="AS488" s="26"/>
      <c r="AT488" s="26"/>
      <c r="AU488" s="26"/>
      <c r="AV488" s="26"/>
      <c r="AW488" s="26"/>
      <c r="AX488" s="26"/>
      <c r="AY488" s="1"/>
      <c r="AZ488" s="26"/>
      <c r="BA488" s="26"/>
      <c r="BB488" s="26"/>
      <c r="BC488" s="26"/>
      <c r="BD488" s="26"/>
      <c r="BE488" s="26"/>
      <c r="BF488" s="26"/>
      <c r="BG488" s="26"/>
      <c r="BH488" s="26"/>
      <c r="BI488" s="26"/>
      <c r="BJ488" s="26"/>
      <c r="BK488" s="26"/>
      <c r="BL488" s="26"/>
      <c r="BM488" s="26"/>
      <c r="BN488" s="26"/>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96"/>
      <c r="CP488" s="14"/>
      <c r="CQ488" s="14"/>
      <c r="CR488" s="14"/>
      <c r="CS488" s="14"/>
      <c r="CT488" s="1"/>
      <c r="CU488" s="14"/>
      <c r="CV488" s="1"/>
      <c r="CW488" s="1"/>
      <c r="CX488" s="14"/>
      <c r="CY488" s="1"/>
      <c r="CZ488" s="1"/>
      <c r="DA488" s="1"/>
      <c r="DB488" s="1"/>
      <c r="DC488" s="1"/>
      <c r="DD488" s="1"/>
      <c r="DE488" s="1"/>
      <c r="DF488" s="1"/>
      <c r="DG488" s="1"/>
      <c r="DH488" s="1"/>
      <c r="DI488" s="1"/>
      <c r="DJ488" s="1"/>
      <c r="DK488" s="1"/>
      <c r="DL488" s="1"/>
      <c r="DM488" s="1"/>
      <c r="DN488" s="1"/>
      <c r="DO488" s="1"/>
      <c r="DP488" s="1"/>
      <c r="DQ488" s="1"/>
      <c r="DR488" s="1"/>
      <c r="DS488" s="1"/>
      <c r="DT488" s="1"/>
      <c r="DU488" s="14"/>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29"/>
    </row>
    <row r="489" spans="1:160" x14ac:dyDescent="0.25">
      <c r="A489" s="5"/>
      <c r="B489" s="1"/>
      <c r="C489" s="98"/>
      <c r="D489" s="98"/>
      <c r="E489" s="1"/>
      <c r="F489" s="22"/>
      <c r="G489" s="22"/>
      <c r="H489" s="22"/>
      <c r="I489" s="22"/>
      <c r="J489" s="22"/>
      <c r="K489" s="22"/>
      <c r="L489" s="22"/>
      <c r="M489" s="22"/>
      <c r="N489" s="22"/>
      <c r="O489" s="22"/>
      <c r="P489" s="22"/>
      <c r="Q489" s="22"/>
      <c r="R489" s="1"/>
      <c r="S489" s="1"/>
      <c r="T489" s="8"/>
      <c r="U489" s="1"/>
      <c r="V489" s="1"/>
      <c r="W489" s="1"/>
      <c r="X489" s="1"/>
      <c r="Y489" s="1"/>
      <c r="Z489" s="1"/>
      <c r="AA489" s="1"/>
      <c r="AC489" s="1"/>
      <c r="AD489" s="1"/>
      <c r="AE489" s="1"/>
      <c r="AF489" s="1"/>
      <c r="AG489" s="1"/>
      <c r="AH489" s="26"/>
      <c r="AI489" s="26"/>
      <c r="AJ489" s="26"/>
      <c r="AK489" s="26"/>
      <c r="AL489" s="26"/>
      <c r="AM489" s="26"/>
      <c r="AN489" s="26"/>
      <c r="AO489" s="26"/>
      <c r="AP489" s="26"/>
      <c r="AQ489" s="26"/>
      <c r="AR489" s="26"/>
      <c r="AS489" s="26"/>
      <c r="AT489" s="26"/>
      <c r="AU489" s="26"/>
      <c r="AV489" s="26"/>
      <c r="AW489" s="26"/>
      <c r="AX489" s="26"/>
      <c r="AY489" s="1"/>
      <c r="AZ489" s="26"/>
      <c r="BA489" s="26"/>
      <c r="BB489" s="26"/>
      <c r="BC489" s="26"/>
      <c r="BD489" s="26"/>
      <c r="BE489" s="26"/>
      <c r="BF489" s="26"/>
      <c r="BG489" s="26"/>
      <c r="BH489" s="26"/>
      <c r="BI489" s="26"/>
      <c r="BJ489" s="26"/>
      <c r="BK489" s="26"/>
      <c r="BL489" s="26"/>
      <c r="BM489" s="26"/>
      <c r="BN489" s="26"/>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96"/>
      <c r="CP489" s="14"/>
      <c r="CQ489" s="14"/>
      <c r="CR489" s="14"/>
      <c r="CS489" s="14"/>
      <c r="CT489" s="1"/>
      <c r="CU489" s="14"/>
      <c r="CV489" s="1"/>
      <c r="CW489" s="1"/>
      <c r="CX489" s="14"/>
      <c r="CY489" s="1"/>
      <c r="CZ489" s="1"/>
      <c r="DA489" s="1"/>
      <c r="DB489" s="1"/>
      <c r="DC489" s="1"/>
      <c r="DD489" s="1"/>
      <c r="DE489" s="1"/>
      <c r="DF489" s="1"/>
      <c r="DG489" s="1"/>
      <c r="DH489" s="1"/>
      <c r="DI489" s="1"/>
      <c r="DJ489" s="1"/>
      <c r="DK489" s="1"/>
      <c r="DL489" s="1"/>
      <c r="DM489" s="1"/>
      <c r="DN489" s="1"/>
      <c r="DO489" s="1"/>
      <c r="DP489" s="1"/>
      <c r="DQ489" s="1"/>
      <c r="DR489" s="1"/>
      <c r="DS489" s="1"/>
      <c r="DT489" s="1"/>
      <c r="DU489" s="14"/>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29"/>
    </row>
    <row r="490" spans="1:160" x14ac:dyDescent="0.25">
      <c r="A490" s="5"/>
      <c r="B490" s="1"/>
      <c r="C490" s="98"/>
      <c r="D490" s="98"/>
      <c r="E490" s="1"/>
      <c r="F490" s="22"/>
      <c r="G490" s="22"/>
      <c r="H490" s="22"/>
      <c r="I490" s="22"/>
      <c r="J490" s="22"/>
      <c r="K490" s="22"/>
      <c r="L490" s="22"/>
      <c r="M490" s="22"/>
      <c r="N490" s="22"/>
      <c r="O490" s="22"/>
      <c r="P490" s="22"/>
      <c r="Q490" s="22"/>
      <c r="R490" s="1"/>
      <c r="S490" s="1"/>
      <c r="T490" s="8"/>
      <c r="U490" s="1"/>
      <c r="V490" s="1"/>
      <c r="W490" s="1"/>
      <c r="X490" s="1"/>
      <c r="Y490" s="1"/>
      <c r="Z490" s="1"/>
      <c r="AA490" s="1"/>
      <c r="AC490" s="1"/>
      <c r="AD490" s="1"/>
      <c r="AE490" s="1"/>
      <c r="AF490" s="1"/>
      <c r="AG490" s="1"/>
      <c r="AH490" s="26"/>
      <c r="AI490" s="26"/>
      <c r="AJ490" s="26"/>
      <c r="AK490" s="26"/>
      <c r="AL490" s="26"/>
      <c r="AM490" s="26"/>
      <c r="AN490" s="26"/>
      <c r="AO490" s="26"/>
      <c r="AP490" s="26"/>
      <c r="AQ490" s="26"/>
      <c r="AR490" s="26"/>
      <c r="AS490" s="26"/>
      <c r="AT490" s="26"/>
      <c r="AU490" s="26"/>
      <c r="AV490" s="26"/>
      <c r="AW490" s="26"/>
      <c r="AX490" s="26"/>
      <c r="AY490" s="1"/>
      <c r="AZ490" s="26"/>
      <c r="BA490" s="26"/>
      <c r="BB490" s="26"/>
      <c r="BC490" s="26"/>
      <c r="BD490" s="26"/>
      <c r="BE490" s="26"/>
      <c r="BF490" s="26"/>
      <c r="BG490" s="26"/>
      <c r="BH490" s="26"/>
      <c r="BI490" s="26"/>
      <c r="BJ490" s="26"/>
      <c r="BK490" s="26"/>
      <c r="BL490" s="26"/>
      <c r="BM490" s="26"/>
      <c r="BN490" s="26"/>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96"/>
      <c r="CP490" s="14"/>
      <c r="CQ490" s="14"/>
      <c r="CR490" s="14"/>
      <c r="CS490" s="14"/>
      <c r="CT490" s="1"/>
      <c r="CU490" s="14"/>
      <c r="CV490" s="1"/>
      <c r="CW490" s="1"/>
      <c r="CX490" s="14"/>
      <c r="CY490" s="1"/>
      <c r="CZ490" s="1"/>
      <c r="DA490" s="1"/>
      <c r="DB490" s="1"/>
      <c r="DC490" s="1"/>
      <c r="DD490" s="1"/>
      <c r="DE490" s="1"/>
      <c r="DF490" s="1"/>
      <c r="DG490" s="1"/>
      <c r="DH490" s="1"/>
      <c r="DI490" s="1"/>
      <c r="DJ490" s="1"/>
      <c r="DK490" s="1"/>
      <c r="DL490" s="1"/>
      <c r="DM490" s="1"/>
      <c r="DN490" s="1"/>
      <c r="DO490" s="1"/>
      <c r="DP490" s="1"/>
      <c r="DQ490" s="1"/>
      <c r="DR490" s="1"/>
      <c r="DS490" s="1"/>
      <c r="DT490" s="1"/>
      <c r="DU490" s="14"/>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29"/>
    </row>
    <row r="491" spans="1:160" x14ac:dyDescent="0.25">
      <c r="A491" s="5"/>
      <c r="B491" s="1"/>
      <c r="C491" s="98"/>
      <c r="D491" s="98"/>
      <c r="E491" s="1"/>
      <c r="F491" s="22"/>
      <c r="G491" s="22"/>
      <c r="H491" s="22"/>
      <c r="I491" s="22"/>
      <c r="J491" s="22"/>
      <c r="K491" s="22"/>
      <c r="L491" s="22"/>
      <c r="M491" s="22"/>
      <c r="N491" s="22"/>
      <c r="O491" s="22"/>
      <c r="P491" s="22"/>
      <c r="Q491" s="22"/>
      <c r="R491" s="1"/>
      <c r="S491" s="1"/>
      <c r="T491" s="8"/>
      <c r="U491" s="1"/>
      <c r="V491" s="1"/>
      <c r="W491" s="1"/>
      <c r="X491" s="1"/>
      <c r="Y491" s="1"/>
      <c r="Z491" s="1"/>
      <c r="AA491" s="1"/>
      <c r="AC491" s="1"/>
      <c r="AD491" s="1"/>
      <c r="AE491" s="1"/>
      <c r="AF491" s="1"/>
      <c r="AG491" s="1"/>
      <c r="AH491" s="26"/>
      <c r="AI491" s="26"/>
      <c r="AJ491" s="26"/>
      <c r="AK491" s="26"/>
      <c r="AL491" s="26"/>
      <c r="AM491" s="26"/>
      <c r="AN491" s="26"/>
      <c r="AO491" s="26"/>
      <c r="AP491" s="26"/>
      <c r="AQ491" s="26"/>
      <c r="AR491" s="26"/>
      <c r="AS491" s="26"/>
      <c r="AT491" s="26"/>
      <c r="AU491" s="26"/>
      <c r="AV491" s="26"/>
      <c r="AW491" s="26"/>
      <c r="AX491" s="26"/>
      <c r="AY491" s="1"/>
      <c r="AZ491" s="26"/>
      <c r="BA491" s="26"/>
      <c r="BB491" s="26"/>
      <c r="BC491" s="26"/>
      <c r="BD491" s="26"/>
      <c r="BE491" s="26"/>
      <c r="BF491" s="26"/>
      <c r="BG491" s="26"/>
      <c r="BH491" s="26"/>
      <c r="BI491" s="26"/>
      <c r="BJ491" s="26"/>
      <c r="BK491" s="26"/>
      <c r="BL491" s="26"/>
      <c r="BM491" s="26"/>
      <c r="BN491" s="26"/>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96"/>
      <c r="CP491" s="14"/>
      <c r="CQ491" s="14"/>
      <c r="CR491" s="14"/>
      <c r="CS491" s="14"/>
      <c r="CT491" s="1"/>
      <c r="CU491" s="14"/>
      <c r="CV491" s="1"/>
      <c r="CW491" s="1"/>
      <c r="CX491" s="14"/>
      <c r="CY491" s="1"/>
      <c r="CZ491" s="1"/>
      <c r="DA491" s="1"/>
      <c r="DB491" s="1"/>
      <c r="DC491" s="1"/>
      <c r="DD491" s="1"/>
      <c r="DE491" s="1"/>
      <c r="DF491" s="1"/>
      <c r="DG491" s="1"/>
      <c r="DH491" s="1"/>
      <c r="DI491" s="1"/>
      <c r="DJ491" s="1"/>
      <c r="DK491" s="1"/>
      <c r="DL491" s="1"/>
      <c r="DM491" s="1"/>
      <c r="DN491" s="1"/>
      <c r="DO491" s="1"/>
      <c r="DP491" s="1"/>
      <c r="DQ491" s="1"/>
      <c r="DR491" s="1"/>
      <c r="DS491" s="1"/>
      <c r="DT491" s="1"/>
      <c r="DU491" s="14"/>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29"/>
    </row>
    <row r="492" spans="1:160" x14ac:dyDescent="0.25">
      <c r="A492" s="5"/>
      <c r="B492" s="1"/>
      <c r="C492" s="98"/>
      <c r="D492" s="98"/>
      <c r="E492" s="1"/>
      <c r="F492" s="22"/>
      <c r="G492" s="22"/>
      <c r="H492" s="22"/>
      <c r="I492" s="22"/>
      <c r="J492" s="22"/>
      <c r="K492" s="22"/>
      <c r="L492" s="22"/>
      <c r="M492" s="22"/>
      <c r="N492" s="22"/>
      <c r="O492" s="22"/>
      <c r="P492" s="22"/>
      <c r="Q492" s="22"/>
      <c r="R492" s="1"/>
      <c r="S492" s="1"/>
      <c r="T492" s="8"/>
      <c r="U492" s="1"/>
      <c r="V492" s="1"/>
      <c r="W492" s="1"/>
      <c r="X492" s="1"/>
      <c r="Y492" s="1"/>
      <c r="Z492" s="1"/>
      <c r="AA492" s="1"/>
      <c r="AC492" s="1"/>
      <c r="AD492" s="1"/>
      <c r="AE492" s="1"/>
      <c r="AF492" s="1"/>
      <c r="AG492" s="1"/>
      <c r="AH492" s="26"/>
      <c r="AI492" s="26"/>
      <c r="AJ492" s="26"/>
      <c r="AK492" s="26"/>
      <c r="AL492" s="26"/>
      <c r="AM492" s="26"/>
      <c r="AN492" s="26"/>
      <c r="AO492" s="26"/>
      <c r="AP492" s="26"/>
      <c r="AQ492" s="26"/>
      <c r="AR492" s="26"/>
      <c r="AS492" s="26"/>
      <c r="AT492" s="26"/>
      <c r="AU492" s="26"/>
      <c r="AV492" s="26"/>
      <c r="AW492" s="26"/>
      <c r="AX492" s="26"/>
      <c r="AY492" s="1"/>
      <c r="AZ492" s="26"/>
      <c r="BA492" s="26"/>
      <c r="BB492" s="26"/>
      <c r="BC492" s="26"/>
      <c r="BD492" s="26"/>
      <c r="BE492" s="26"/>
      <c r="BF492" s="26"/>
      <c r="BG492" s="26"/>
      <c r="BH492" s="26"/>
      <c r="BI492" s="26"/>
      <c r="BJ492" s="26"/>
      <c r="BK492" s="26"/>
      <c r="BL492" s="26"/>
      <c r="BM492" s="26"/>
      <c r="BN492" s="26"/>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96"/>
      <c r="CP492" s="14"/>
      <c r="CQ492" s="14"/>
      <c r="CR492" s="14"/>
      <c r="CS492" s="14"/>
      <c r="CT492" s="1"/>
      <c r="CU492" s="14"/>
      <c r="CV492" s="1"/>
      <c r="CW492" s="1"/>
      <c r="CX492" s="14"/>
      <c r="CY492" s="1"/>
      <c r="CZ492" s="1"/>
      <c r="DA492" s="1"/>
      <c r="DB492" s="1"/>
      <c r="DC492" s="1"/>
      <c r="DD492" s="1"/>
      <c r="DE492" s="1"/>
      <c r="DF492" s="1"/>
      <c r="DG492" s="1"/>
      <c r="DH492" s="1"/>
      <c r="DI492" s="1"/>
      <c r="DJ492" s="1"/>
      <c r="DK492" s="1"/>
      <c r="DL492" s="1"/>
      <c r="DM492" s="1"/>
      <c r="DN492" s="1"/>
      <c r="DO492" s="1"/>
      <c r="DP492" s="1"/>
      <c r="DQ492" s="1"/>
      <c r="DR492" s="1"/>
      <c r="DS492" s="1"/>
      <c r="DT492" s="1"/>
      <c r="DU492" s="14"/>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29"/>
    </row>
    <row r="493" spans="1:160" x14ac:dyDescent="0.25">
      <c r="A493" s="5"/>
      <c r="B493" s="1"/>
      <c r="C493" s="98"/>
      <c r="D493" s="98"/>
      <c r="E493" s="1"/>
      <c r="F493" s="22"/>
      <c r="G493" s="22"/>
      <c r="H493" s="22"/>
      <c r="I493" s="22"/>
      <c r="J493" s="22"/>
      <c r="K493" s="22"/>
      <c r="L493" s="22"/>
      <c r="M493" s="22"/>
      <c r="N493" s="22"/>
      <c r="O493" s="22"/>
      <c r="P493" s="22"/>
      <c r="Q493" s="22"/>
      <c r="R493" s="1"/>
      <c r="S493" s="1"/>
      <c r="T493" s="8"/>
      <c r="U493" s="1"/>
      <c r="V493" s="1"/>
      <c r="W493" s="1"/>
      <c r="X493" s="1"/>
      <c r="Y493" s="1"/>
      <c r="Z493" s="1"/>
      <c r="AA493" s="1"/>
      <c r="AC493" s="1"/>
      <c r="AD493" s="1"/>
      <c r="AE493" s="1"/>
      <c r="AF493" s="1"/>
      <c r="AG493" s="1"/>
      <c r="AH493" s="26"/>
      <c r="AI493" s="26"/>
      <c r="AJ493" s="26"/>
      <c r="AK493" s="26"/>
      <c r="AL493" s="26"/>
      <c r="AM493" s="26"/>
      <c r="AN493" s="26"/>
      <c r="AO493" s="26"/>
      <c r="AP493" s="26"/>
      <c r="AQ493" s="26"/>
      <c r="AR493" s="26"/>
      <c r="AS493" s="26"/>
      <c r="AT493" s="26"/>
      <c r="AU493" s="26"/>
      <c r="AV493" s="26"/>
      <c r="AW493" s="26"/>
      <c r="AX493" s="26"/>
      <c r="AY493" s="1"/>
      <c r="AZ493" s="26"/>
      <c r="BA493" s="26"/>
      <c r="BB493" s="26"/>
      <c r="BC493" s="26"/>
      <c r="BD493" s="26"/>
      <c r="BE493" s="26"/>
      <c r="BF493" s="26"/>
      <c r="BG493" s="26"/>
      <c r="BH493" s="26"/>
      <c r="BI493" s="26"/>
      <c r="BJ493" s="26"/>
      <c r="BK493" s="26"/>
      <c r="BL493" s="26"/>
      <c r="BM493" s="26"/>
      <c r="BN493" s="26"/>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96"/>
      <c r="CP493" s="14"/>
      <c r="CQ493" s="14"/>
      <c r="CR493" s="14"/>
      <c r="CS493" s="14"/>
      <c r="CT493" s="1"/>
      <c r="CU493" s="14"/>
      <c r="CV493" s="1"/>
      <c r="CW493" s="1"/>
      <c r="CX493" s="14"/>
      <c r="CY493" s="1"/>
      <c r="CZ493" s="1"/>
      <c r="DA493" s="1"/>
      <c r="DB493" s="1"/>
      <c r="DC493" s="1"/>
      <c r="DD493" s="1"/>
      <c r="DE493" s="1"/>
      <c r="DF493" s="1"/>
      <c r="DG493" s="1"/>
      <c r="DH493" s="1"/>
      <c r="DI493" s="1"/>
      <c r="DJ493" s="1"/>
      <c r="DK493" s="1"/>
      <c r="DL493" s="1"/>
      <c r="DM493" s="1"/>
      <c r="DN493" s="1"/>
      <c r="DO493" s="1"/>
      <c r="DP493" s="1"/>
      <c r="DQ493" s="1"/>
      <c r="DR493" s="1"/>
      <c r="DS493" s="1"/>
      <c r="DT493" s="1"/>
      <c r="DU493" s="14"/>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29"/>
    </row>
    <row r="494" spans="1:160" x14ac:dyDescent="0.25">
      <c r="A494" s="5"/>
      <c r="B494" s="1"/>
      <c r="C494" s="98"/>
      <c r="D494" s="98"/>
      <c r="E494" s="1"/>
      <c r="F494" s="22"/>
      <c r="G494" s="22"/>
      <c r="H494" s="22"/>
      <c r="I494" s="22"/>
      <c r="J494" s="22"/>
      <c r="K494" s="22"/>
      <c r="L494" s="22"/>
      <c r="M494" s="22"/>
      <c r="N494" s="22"/>
      <c r="O494" s="22"/>
      <c r="P494" s="22"/>
      <c r="Q494" s="22"/>
      <c r="R494" s="1"/>
      <c r="S494" s="1"/>
      <c r="T494" s="8"/>
      <c r="U494" s="1"/>
      <c r="V494" s="1"/>
      <c r="W494" s="1"/>
      <c r="X494" s="1"/>
      <c r="Y494" s="1"/>
      <c r="Z494" s="1"/>
      <c r="AA494" s="1"/>
      <c r="AC494" s="1"/>
      <c r="AD494" s="1"/>
      <c r="AE494" s="1"/>
      <c r="AF494" s="1"/>
      <c r="AG494" s="1"/>
      <c r="AH494" s="26"/>
      <c r="AI494" s="26"/>
      <c r="AJ494" s="26"/>
      <c r="AK494" s="26"/>
      <c r="AL494" s="26"/>
      <c r="AM494" s="26"/>
      <c r="AN494" s="26"/>
      <c r="AO494" s="26"/>
      <c r="AP494" s="26"/>
      <c r="AQ494" s="26"/>
      <c r="AR494" s="26"/>
      <c r="AS494" s="26"/>
      <c r="AT494" s="26"/>
      <c r="AU494" s="26"/>
      <c r="AV494" s="26"/>
      <c r="AW494" s="26"/>
      <c r="AX494" s="26"/>
      <c r="AY494" s="1"/>
      <c r="AZ494" s="26"/>
      <c r="BA494" s="26"/>
      <c r="BB494" s="26"/>
      <c r="BC494" s="26"/>
      <c r="BD494" s="26"/>
      <c r="BE494" s="26"/>
      <c r="BF494" s="26"/>
      <c r="BG494" s="26"/>
      <c r="BH494" s="26"/>
      <c r="BI494" s="26"/>
      <c r="BJ494" s="26"/>
      <c r="BK494" s="26"/>
      <c r="BL494" s="26"/>
      <c r="BM494" s="26"/>
      <c r="BN494" s="26"/>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96"/>
      <c r="CP494" s="14"/>
      <c r="CQ494" s="14"/>
      <c r="CR494" s="14"/>
      <c r="CS494" s="14"/>
      <c r="CT494" s="1"/>
      <c r="CU494" s="14"/>
      <c r="CV494" s="1"/>
      <c r="CW494" s="1"/>
      <c r="CX494" s="14"/>
      <c r="CY494" s="1"/>
      <c r="CZ494" s="1"/>
      <c r="DA494" s="1"/>
      <c r="DB494" s="1"/>
      <c r="DC494" s="1"/>
      <c r="DD494" s="1"/>
      <c r="DE494" s="1"/>
      <c r="DF494" s="1"/>
      <c r="DG494" s="1"/>
      <c r="DH494" s="1"/>
      <c r="DI494" s="1"/>
      <c r="DJ494" s="1"/>
      <c r="DK494" s="1"/>
      <c r="DL494" s="1"/>
      <c r="DM494" s="1"/>
      <c r="DN494" s="1"/>
      <c r="DO494" s="1"/>
      <c r="DP494" s="1"/>
      <c r="DQ494" s="1"/>
      <c r="DR494" s="1"/>
      <c r="DS494" s="1"/>
      <c r="DT494" s="1"/>
      <c r="DU494" s="14"/>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29"/>
    </row>
    <row r="495" spans="1:160" x14ac:dyDescent="0.25">
      <c r="A495" s="5"/>
      <c r="B495" s="1"/>
      <c r="C495" s="98"/>
      <c r="D495" s="98"/>
      <c r="E495" s="1"/>
      <c r="F495" s="22"/>
      <c r="G495" s="22"/>
      <c r="H495" s="22"/>
      <c r="I495" s="22"/>
      <c r="J495" s="22"/>
      <c r="K495" s="22"/>
      <c r="L495" s="22"/>
      <c r="M495" s="22"/>
      <c r="N495" s="22"/>
      <c r="O495" s="22"/>
      <c r="P495" s="22"/>
      <c r="Q495" s="22"/>
      <c r="R495" s="1"/>
      <c r="S495" s="1"/>
      <c r="T495" s="8"/>
      <c r="U495" s="1"/>
      <c r="V495" s="1"/>
      <c r="W495" s="1"/>
      <c r="X495" s="1"/>
      <c r="Y495" s="1"/>
      <c r="Z495" s="1"/>
      <c r="AA495" s="1"/>
      <c r="AC495" s="1"/>
      <c r="AD495" s="1"/>
      <c r="AE495" s="1"/>
      <c r="AF495" s="1"/>
      <c r="AG495" s="1"/>
      <c r="AH495" s="26"/>
      <c r="AI495" s="26"/>
      <c r="AJ495" s="26"/>
      <c r="AK495" s="26"/>
      <c r="AL495" s="26"/>
      <c r="AM495" s="26"/>
      <c r="AN495" s="26"/>
      <c r="AO495" s="26"/>
      <c r="AP495" s="26"/>
      <c r="AQ495" s="26"/>
      <c r="AR495" s="26"/>
      <c r="AS495" s="26"/>
      <c r="AT495" s="26"/>
      <c r="AU495" s="26"/>
      <c r="AV495" s="26"/>
      <c r="AW495" s="26"/>
      <c r="AX495" s="26"/>
      <c r="AY495" s="1"/>
      <c r="AZ495" s="26"/>
      <c r="BA495" s="26"/>
      <c r="BB495" s="26"/>
      <c r="BC495" s="26"/>
      <c r="BD495" s="26"/>
      <c r="BE495" s="26"/>
      <c r="BF495" s="26"/>
      <c r="BG495" s="26"/>
      <c r="BH495" s="26"/>
      <c r="BI495" s="26"/>
      <c r="BJ495" s="26"/>
      <c r="BK495" s="26"/>
      <c r="BL495" s="26"/>
      <c r="BM495" s="26"/>
      <c r="BN495" s="26"/>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96"/>
      <c r="CP495" s="14"/>
      <c r="CQ495" s="14"/>
      <c r="CR495" s="14"/>
      <c r="CS495" s="14"/>
      <c r="CT495" s="1"/>
      <c r="CU495" s="14"/>
      <c r="CV495" s="1"/>
      <c r="CW495" s="1"/>
      <c r="CX495" s="14"/>
      <c r="CY495" s="1"/>
      <c r="CZ495" s="1"/>
      <c r="DA495" s="1"/>
      <c r="DB495" s="1"/>
      <c r="DC495" s="1"/>
      <c r="DD495" s="1"/>
      <c r="DE495" s="1"/>
      <c r="DF495" s="1"/>
      <c r="DG495" s="1"/>
      <c r="DH495" s="1"/>
      <c r="DI495" s="1"/>
      <c r="DJ495" s="1"/>
      <c r="DK495" s="1"/>
      <c r="DL495" s="1"/>
      <c r="DM495" s="1"/>
      <c r="DN495" s="1"/>
      <c r="DO495" s="1"/>
      <c r="DP495" s="1"/>
      <c r="DQ495" s="1"/>
      <c r="DR495" s="1"/>
      <c r="DS495" s="1"/>
      <c r="DT495" s="1"/>
      <c r="DU495" s="14"/>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29"/>
    </row>
    <row r="496" spans="1:160" x14ac:dyDescent="0.25">
      <c r="A496" s="5"/>
      <c r="B496" s="1"/>
      <c r="C496" s="98"/>
      <c r="D496" s="98"/>
      <c r="E496" s="1"/>
      <c r="F496" s="22"/>
      <c r="G496" s="22"/>
      <c r="H496" s="22"/>
      <c r="I496" s="22"/>
      <c r="J496" s="22"/>
      <c r="K496" s="22"/>
      <c r="L496" s="22"/>
      <c r="M496" s="22"/>
      <c r="N496" s="22"/>
      <c r="O496" s="22"/>
      <c r="P496" s="22"/>
      <c r="Q496" s="22"/>
      <c r="R496" s="1"/>
      <c r="S496" s="1"/>
      <c r="T496" s="8"/>
      <c r="U496" s="1"/>
      <c r="V496" s="1"/>
      <c r="W496" s="1"/>
      <c r="X496" s="1"/>
      <c r="Y496" s="1"/>
      <c r="Z496" s="1"/>
      <c r="AA496" s="1"/>
      <c r="AC496" s="1"/>
      <c r="AD496" s="1"/>
      <c r="AE496" s="1"/>
      <c r="AF496" s="1"/>
      <c r="AG496" s="1"/>
      <c r="AH496" s="26"/>
      <c r="AI496" s="26"/>
      <c r="AJ496" s="26"/>
      <c r="AK496" s="26"/>
      <c r="AL496" s="26"/>
      <c r="AM496" s="26"/>
      <c r="AN496" s="26"/>
      <c r="AO496" s="26"/>
      <c r="AP496" s="26"/>
      <c r="AQ496" s="26"/>
      <c r="AR496" s="26"/>
      <c r="AS496" s="26"/>
      <c r="AT496" s="26"/>
      <c r="AU496" s="26"/>
      <c r="AV496" s="26"/>
      <c r="AW496" s="26"/>
      <c r="AX496" s="26"/>
      <c r="AY496" s="1"/>
      <c r="AZ496" s="26"/>
      <c r="BA496" s="26"/>
      <c r="BB496" s="26"/>
      <c r="BC496" s="26"/>
      <c r="BD496" s="26"/>
      <c r="BE496" s="26"/>
      <c r="BF496" s="26"/>
      <c r="BG496" s="26"/>
      <c r="BH496" s="26"/>
      <c r="BI496" s="26"/>
      <c r="BJ496" s="26"/>
      <c r="BK496" s="26"/>
      <c r="BL496" s="26"/>
      <c r="BM496" s="26"/>
      <c r="BN496" s="26"/>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96"/>
      <c r="CP496" s="14"/>
      <c r="CQ496" s="14"/>
      <c r="CR496" s="14"/>
      <c r="CS496" s="14"/>
      <c r="CT496" s="1"/>
      <c r="CU496" s="14"/>
      <c r="CV496" s="1"/>
      <c r="CW496" s="1"/>
      <c r="CX496" s="14"/>
      <c r="CY496" s="1"/>
      <c r="CZ496" s="1"/>
      <c r="DA496" s="1"/>
      <c r="DB496" s="1"/>
      <c r="DC496" s="1"/>
      <c r="DD496" s="1"/>
      <c r="DE496" s="1"/>
      <c r="DF496" s="1"/>
      <c r="DG496" s="1"/>
      <c r="DH496" s="1"/>
      <c r="DI496" s="1"/>
      <c r="DJ496" s="1"/>
      <c r="DK496" s="1"/>
      <c r="DL496" s="1"/>
      <c r="DM496" s="1"/>
      <c r="DN496" s="1"/>
      <c r="DO496" s="1"/>
      <c r="DP496" s="1"/>
      <c r="DQ496" s="1"/>
      <c r="DR496" s="1"/>
      <c r="DS496" s="1"/>
      <c r="DT496" s="1"/>
      <c r="DU496" s="14"/>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29"/>
    </row>
    <row r="497" spans="1:160" x14ac:dyDescent="0.25">
      <c r="A497" s="5"/>
      <c r="B497" s="1"/>
      <c r="C497" s="98"/>
      <c r="D497" s="98"/>
      <c r="E497" s="1"/>
      <c r="F497" s="22"/>
      <c r="G497" s="22"/>
      <c r="H497" s="22"/>
      <c r="I497" s="22"/>
      <c r="J497" s="22"/>
      <c r="K497" s="22"/>
      <c r="L497" s="22"/>
      <c r="M497" s="22"/>
      <c r="N497" s="22"/>
      <c r="O497" s="22"/>
      <c r="P497" s="22"/>
      <c r="Q497" s="22"/>
      <c r="R497" s="1"/>
      <c r="S497" s="1"/>
      <c r="T497" s="8"/>
      <c r="U497" s="1"/>
      <c r="V497" s="1"/>
      <c r="W497" s="1"/>
      <c r="X497" s="1"/>
      <c r="Y497" s="1"/>
      <c r="Z497" s="1"/>
      <c r="AA497" s="1"/>
      <c r="AC497" s="1"/>
      <c r="AD497" s="1"/>
      <c r="AE497" s="1"/>
      <c r="AF497" s="1"/>
      <c r="AG497" s="1"/>
      <c r="AH497" s="26"/>
      <c r="AI497" s="26"/>
      <c r="AJ497" s="26"/>
      <c r="AK497" s="26"/>
      <c r="AL497" s="26"/>
      <c r="AM497" s="26"/>
      <c r="AN497" s="26"/>
      <c r="AO497" s="26"/>
      <c r="AP497" s="26"/>
      <c r="AQ497" s="26"/>
      <c r="AR497" s="26"/>
      <c r="AS497" s="26"/>
      <c r="AT497" s="26"/>
      <c r="AU497" s="26"/>
      <c r="AV497" s="26"/>
      <c r="AW497" s="26"/>
      <c r="AX497" s="26"/>
      <c r="AY497" s="1"/>
      <c r="AZ497" s="26"/>
      <c r="BA497" s="26"/>
      <c r="BB497" s="26"/>
      <c r="BC497" s="26"/>
      <c r="BD497" s="26"/>
      <c r="BE497" s="26"/>
      <c r="BF497" s="26"/>
      <c r="BG497" s="26"/>
      <c r="BH497" s="26"/>
      <c r="BI497" s="26"/>
      <c r="BJ497" s="26"/>
      <c r="BK497" s="26"/>
      <c r="BL497" s="26"/>
      <c r="BM497" s="26"/>
      <c r="BN497" s="26"/>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96"/>
      <c r="CP497" s="14"/>
      <c r="CQ497" s="14"/>
      <c r="CR497" s="14"/>
      <c r="CS497" s="14"/>
      <c r="CT497" s="1"/>
      <c r="CU497" s="14"/>
      <c r="CV497" s="1"/>
      <c r="CW497" s="1"/>
      <c r="CX497" s="14"/>
      <c r="CY497" s="1"/>
      <c r="CZ497" s="1"/>
      <c r="DA497" s="1"/>
      <c r="DB497" s="1"/>
      <c r="DC497" s="1"/>
      <c r="DD497" s="1"/>
      <c r="DE497" s="1"/>
      <c r="DF497" s="1"/>
      <c r="DG497" s="1"/>
      <c r="DH497" s="1"/>
      <c r="DI497" s="1"/>
      <c r="DJ497" s="1"/>
      <c r="DK497" s="1"/>
      <c r="DL497" s="1"/>
      <c r="DM497" s="1"/>
      <c r="DN497" s="1"/>
      <c r="DO497" s="1"/>
      <c r="DP497" s="1"/>
      <c r="DQ497" s="1"/>
      <c r="DR497" s="1"/>
      <c r="DS497" s="1"/>
      <c r="DT497" s="1"/>
      <c r="DU497" s="14"/>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29"/>
    </row>
    <row r="498" spans="1:160" x14ac:dyDescent="0.25">
      <c r="A498" s="5"/>
      <c r="B498" s="1"/>
      <c r="C498" s="98"/>
      <c r="D498" s="98"/>
      <c r="E498" s="1"/>
      <c r="F498" s="22"/>
      <c r="G498" s="22"/>
      <c r="H498" s="22"/>
      <c r="I498" s="22"/>
      <c r="J498" s="22"/>
      <c r="K498" s="22"/>
      <c r="L498" s="22"/>
      <c r="M498" s="22"/>
      <c r="N498" s="22"/>
      <c r="O498" s="22"/>
      <c r="P498" s="22"/>
      <c r="Q498" s="22"/>
      <c r="R498" s="1"/>
      <c r="S498" s="1"/>
      <c r="T498" s="8"/>
      <c r="U498" s="1"/>
      <c r="V498" s="1"/>
      <c r="W498" s="1"/>
      <c r="X498" s="1"/>
      <c r="Y498" s="1"/>
      <c r="Z498" s="1"/>
      <c r="AA498" s="1"/>
      <c r="AC498" s="1"/>
      <c r="AD498" s="1"/>
      <c r="AE498" s="1"/>
      <c r="AF498" s="1"/>
      <c r="AG498" s="1"/>
      <c r="AH498" s="26"/>
      <c r="AI498" s="26"/>
      <c r="AJ498" s="26"/>
      <c r="AK498" s="26"/>
      <c r="AL498" s="26"/>
      <c r="AM498" s="26"/>
      <c r="AN498" s="26"/>
      <c r="AO498" s="26"/>
      <c r="AP498" s="26"/>
      <c r="AQ498" s="26"/>
      <c r="AR498" s="26"/>
      <c r="AS498" s="26"/>
      <c r="AT498" s="26"/>
      <c r="AU498" s="26"/>
      <c r="AV498" s="26"/>
      <c r="AW498" s="26"/>
      <c r="AX498" s="26"/>
      <c r="AY498" s="1"/>
      <c r="AZ498" s="26"/>
      <c r="BA498" s="26"/>
      <c r="BB498" s="26"/>
      <c r="BC498" s="26"/>
      <c r="BD498" s="26"/>
      <c r="BE498" s="26"/>
      <c r="BF498" s="26"/>
      <c r="BG498" s="26"/>
      <c r="BH498" s="26"/>
      <c r="BI498" s="26"/>
      <c r="BJ498" s="26"/>
      <c r="BK498" s="26"/>
      <c r="BL498" s="26"/>
      <c r="BM498" s="26"/>
      <c r="BN498" s="26"/>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96"/>
      <c r="CP498" s="14"/>
      <c r="CQ498" s="14"/>
      <c r="CR498" s="14"/>
      <c r="CS498" s="14"/>
      <c r="CT498" s="1"/>
      <c r="CU498" s="14"/>
      <c r="CV498" s="1"/>
      <c r="CW498" s="1"/>
      <c r="CX498" s="14"/>
      <c r="CY498" s="1"/>
      <c r="CZ498" s="1"/>
      <c r="DA498" s="1"/>
      <c r="DB498" s="1"/>
      <c r="DC498" s="1"/>
      <c r="DD498" s="1"/>
      <c r="DE498" s="1"/>
      <c r="DF498" s="1"/>
      <c r="DG498" s="1"/>
      <c r="DH498" s="1"/>
      <c r="DI498" s="1"/>
      <c r="DJ498" s="1"/>
      <c r="DK498" s="1"/>
      <c r="DL498" s="1"/>
      <c r="DM498" s="1"/>
      <c r="DN498" s="1"/>
      <c r="DO498" s="1"/>
      <c r="DP498" s="1"/>
      <c r="DQ498" s="1"/>
      <c r="DR498" s="1"/>
      <c r="DS498" s="1"/>
      <c r="DT498" s="1"/>
      <c r="DU498" s="14"/>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29"/>
    </row>
    <row r="499" spans="1:160" x14ac:dyDescent="0.25">
      <c r="A499" s="5"/>
      <c r="B499" s="1"/>
      <c r="C499" s="98"/>
      <c r="D499" s="98"/>
      <c r="E499" s="1"/>
      <c r="F499" s="22"/>
      <c r="G499" s="22"/>
      <c r="H499" s="22"/>
      <c r="I499" s="22"/>
      <c r="J499" s="22"/>
      <c r="K499" s="22"/>
      <c r="L499" s="22"/>
      <c r="M499" s="22"/>
      <c r="N499" s="22"/>
      <c r="O499" s="22"/>
      <c r="P499" s="22"/>
      <c r="Q499" s="22"/>
      <c r="R499" s="1"/>
      <c r="S499" s="1"/>
      <c r="T499" s="8"/>
      <c r="U499" s="1"/>
      <c r="V499" s="1"/>
      <c r="W499" s="1"/>
      <c r="X499" s="1"/>
      <c r="Y499" s="1"/>
      <c r="Z499" s="1"/>
      <c r="AA499" s="1"/>
      <c r="AC499" s="1"/>
      <c r="AD499" s="1"/>
      <c r="AE499" s="1"/>
      <c r="AF499" s="1"/>
      <c r="AG499" s="1"/>
      <c r="AH499" s="26"/>
      <c r="AI499" s="26"/>
      <c r="AJ499" s="26"/>
      <c r="AK499" s="26"/>
      <c r="AL499" s="26"/>
      <c r="AM499" s="26"/>
      <c r="AN499" s="26"/>
      <c r="AO499" s="26"/>
      <c r="AP499" s="26"/>
      <c r="AQ499" s="26"/>
      <c r="AR499" s="26"/>
      <c r="AS499" s="26"/>
      <c r="AT499" s="26"/>
      <c r="AU499" s="26"/>
      <c r="AV499" s="26"/>
      <c r="AW499" s="26"/>
      <c r="AX499" s="26"/>
      <c r="AY499" s="1"/>
      <c r="AZ499" s="26"/>
      <c r="BA499" s="26"/>
      <c r="BB499" s="26"/>
      <c r="BC499" s="26"/>
      <c r="BD499" s="26"/>
      <c r="BE499" s="26"/>
      <c r="BF499" s="26"/>
      <c r="BG499" s="26"/>
      <c r="BH499" s="26"/>
      <c r="BI499" s="26"/>
      <c r="BJ499" s="26"/>
      <c r="BK499" s="26"/>
      <c r="BL499" s="26"/>
      <c r="BM499" s="26"/>
      <c r="BN499" s="26"/>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96"/>
      <c r="CP499" s="14"/>
      <c r="CQ499" s="14"/>
      <c r="CR499" s="14"/>
      <c r="CS499" s="14"/>
      <c r="CT499" s="1"/>
      <c r="CU499" s="14"/>
      <c r="CV499" s="1"/>
      <c r="CW499" s="1"/>
      <c r="CX499" s="14"/>
      <c r="CY499" s="1"/>
      <c r="CZ499" s="1"/>
      <c r="DA499" s="1"/>
      <c r="DB499" s="1"/>
      <c r="DC499" s="1"/>
      <c r="DD499" s="1"/>
      <c r="DE499" s="1"/>
      <c r="DF499" s="1"/>
      <c r="DG499" s="1"/>
      <c r="DH499" s="1"/>
      <c r="DI499" s="1"/>
      <c r="DJ499" s="1"/>
      <c r="DK499" s="1"/>
      <c r="DL499" s="1"/>
      <c r="DM499" s="1"/>
      <c r="DN499" s="1"/>
      <c r="DO499" s="1"/>
      <c r="DP499" s="1"/>
      <c r="DQ499" s="1"/>
      <c r="DR499" s="1"/>
      <c r="DS499" s="1"/>
      <c r="DT499" s="1"/>
      <c r="DU499" s="14"/>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29"/>
    </row>
    <row r="500" spans="1:160" x14ac:dyDescent="0.25">
      <c r="A500" s="5"/>
      <c r="B500" s="1"/>
      <c r="C500" s="98"/>
      <c r="D500" s="98"/>
      <c r="E500" s="1"/>
      <c r="F500" s="22"/>
      <c r="G500" s="22"/>
      <c r="H500" s="22"/>
      <c r="I500" s="22"/>
      <c r="J500" s="22"/>
      <c r="K500" s="22"/>
      <c r="L500" s="22"/>
      <c r="M500" s="22"/>
      <c r="N500" s="22"/>
      <c r="O500" s="22"/>
      <c r="P500" s="22"/>
      <c r="Q500" s="22"/>
      <c r="R500" s="1"/>
      <c r="S500" s="1"/>
      <c r="T500" s="8"/>
      <c r="U500" s="1"/>
      <c r="V500" s="1"/>
      <c r="W500" s="1"/>
      <c r="X500" s="1"/>
      <c r="Y500" s="1"/>
      <c r="Z500" s="1"/>
      <c r="AA500" s="1"/>
      <c r="AC500" s="1"/>
      <c r="AD500" s="1"/>
      <c r="AE500" s="1"/>
      <c r="AF500" s="1"/>
      <c r="AG500" s="1"/>
      <c r="AH500" s="26"/>
      <c r="AI500" s="26"/>
      <c r="AJ500" s="26"/>
      <c r="AK500" s="26"/>
      <c r="AL500" s="26"/>
      <c r="AM500" s="26"/>
      <c r="AN500" s="26"/>
      <c r="AO500" s="26"/>
      <c r="AP500" s="26"/>
      <c r="AQ500" s="26"/>
      <c r="AR500" s="26"/>
      <c r="AS500" s="26"/>
      <c r="AT500" s="26"/>
      <c r="AU500" s="26"/>
      <c r="AV500" s="26"/>
      <c r="AW500" s="26"/>
      <c r="AX500" s="26"/>
      <c r="AY500" s="1"/>
      <c r="AZ500" s="26"/>
      <c r="BA500" s="26"/>
      <c r="BB500" s="26"/>
      <c r="BC500" s="26"/>
      <c r="BD500" s="26"/>
      <c r="BE500" s="26"/>
      <c r="BF500" s="26"/>
      <c r="BG500" s="26"/>
      <c r="BH500" s="26"/>
      <c r="BI500" s="26"/>
      <c r="BJ500" s="26"/>
      <c r="BK500" s="26"/>
      <c r="BL500" s="26"/>
      <c r="BM500" s="26"/>
      <c r="BN500" s="26"/>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96"/>
      <c r="CP500" s="14"/>
      <c r="CQ500" s="14"/>
      <c r="CR500" s="14"/>
      <c r="CS500" s="14"/>
      <c r="CT500" s="1"/>
      <c r="CU500" s="14"/>
      <c r="CV500" s="1"/>
      <c r="CW500" s="1"/>
      <c r="CX500" s="14"/>
      <c r="CY500" s="1"/>
      <c r="CZ500" s="1"/>
      <c r="DA500" s="1"/>
      <c r="DB500" s="1"/>
      <c r="DC500" s="1"/>
      <c r="DD500" s="1"/>
      <c r="DE500" s="1"/>
      <c r="DF500" s="1"/>
      <c r="DG500" s="1"/>
      <c r="DH500" s="1"/>
      <c r="DI500" s="1"/>
      <c r="DJ500" s="1"/>
      <c r="DK500" s="1"/>
      <c r="DL500" s="1"/>
      <c r="DM500" s="1"/>
      <c r="DN500" s="1"/>
      <c r="DO500" s="1"/>
      <c r="DP500" s="1"/>
      <c r="DQ500" s="1"/>
      <c r="DR500" s="1"/>
      <c r="DS500" s="1"/>
      <c r="DT500" s="1"/>
      <c r="DU500" s="14"/>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29"/>
    </row>
    <row r="501" spans="1:160" x14ac:dyDescent="0.25">
      <c r="A501" s="5"/>
      <c r="B501" s="1"/>
      <c r="C501" s="98"/>
      <c r="D501" s="98"/>
      <c r="E501" s="1"/>
      <c r="F501" s="22"/>
      <c r="G501" s="22"/>
      <c r="H501" s="22"/>
      <c r="I501" s="22"/>
      <c r="J501" s="22"/>
      <c r="K501" s="22"/>
      <c r="L501" s="22"/>
      <c r="M501" s="22"/>
      <c r="N501" s="22"/>
      <c r="O501" s="22"/>
      <c r="P501" s="22"/>
      <c r="Q501" s="22"/>
      <c r="R501" s="1"/>
      <c r="S501" s="1"/>
      <c r="T501" s="8"/>
      <c r="U501" s="1"/>
      <c r="V501" s="1"/>
      <c r="W501" s="1"/>
      <c r="X501" s="1"/>
      <c r="Y501" s="1"/>
      <c r="Z501" s="1"/>
      <c r="AA501" s="1"/>
      <c r="AC501" s="1"/>
      <c r="AD501" s="1"/>
      <c r="AE501" s="1"/>
      <c r="AF501" s="1"/>
      <c r="AG501" s="1"/>
      <c r="AH501" s="26"/>
      <c r="AI501" s="26"/>
      <c r="AJ501" s="26"/>
      <c r="AK501" s="26"/>
      <c r="AL501" s="26"/>
      <c r="AM501" s="26"/>
      <c r="AN501" s="26"/>
      <c r="AO501" s="26"/>
      <c r="AP501" s="26"/>
      <c r="AQ501" s="26"/>
      <c r="AR501" s="26"/>
      <c r="AS501" s="26"/>
      <c r="AT501" s="26"/>
      <c r="AU501" s="26"/>
      <c r="AV501" s="26"/>
      <c r="AW501" s="26"/>
      <c r="AX501" s="26"/>
      <c r="AY501" s="1"/>
      <c r="AZ501" s="26"/>
      <c r="BA501" s="26"/>
      <c r="BB501" s="26"/>
      <c r="BC501" s="26"/>
      <c r="BD501" s="26"/>
      <c r="BE501" s="26"/>
      <c r="BF501" s="26"/>
      <c r="BG501" s="26"/>
      <c r="BH501" s="26"/>
      <c r="BI501" s="26"/>
      <c r="BJ501" s="26"/>
      <c r="BK501" s="26"/>
      <c r="BL501" s="26"/>
      <c r="BM501" s="26"/>
      <c r="BN501" s="26"/>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96"/>
      <c r="CP501" s="14"/>
      <c r="CQ501" s="14"/>
      <c r="CR501" s="14"/>
      <c r="CS501" s="14"/>
      <c r="CT501" s="1"/>
      <c r="CU501" s="14"/>
      <c r="CV501" s="1"/>
      <c r="CW501" s="1"/>
      <c r="CX501" s="14"/>
      <c r="CY501" s="1"/>
      <c r="CZ501" s="1"/>
      <c r="DA501" s="1"/>
      <c r="DB501" s="1"/>
      <c r="DC501" s="1"/>
      <c r="DD501" s="1"/>
      <c r="DE501" s="1"/>
      <c r="DF501" s="1"/>
      <c r="DG501" s="1"/>
      <c r="DH501" s="1"/>
      <c r="DI501" s="1"/>
      <c r="DJ501" s="1"/>
      <c r="DK501" s="1"/>
      <c r="DL501" s="1"/>
      <c r="DM501" s="1"/>
      <c r="DN501" s="1"/>
      <c r="DO501" s="1"/>
      <c r="DP501" s="1"/>
      <c r="DQ501" s="1"/>
      <c r="DR501" s="1"/>
      <c r="DS501" s="1"/>
      <c r="DT501" s="1"/>
      <c r="DU501" s="14"/>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29"/>
    </row>
    <row r="502" spans="1:160" x14ac:dyDescent="0.25">
      <c r="A502" s="5"/>
      <c r="B502" s="1"/>
      <c r="C502" s="98"/>
      <c r="D502" s="98"/>
      <c r="E502" s="1"/>
      <c r="F502" s="22"/>
      <c r="G502" s="22"/>
      <c r="H502" s="22"/>
      <c r="I502" s="22"/>
      <c r="J502" s="22"/>
      <c r="K502" s="22"/>
      <c r="L502" s="22"/>
      <c r="M502" s="22"/>
      <c r="N502" s="22"/>
      <c r="O502" s="22"/>
      <c r="P502" s="22"/>
      <c r="Q502" s="22"/>
      <c r="R502" s="1"/>
      <c r="S502" s="1"/>
      <c r="T502" s="8"/>
      <c r="U502" s="1"/>
      <c r="V502" s="1"/>
      <c r="W502" s="1"/>
      <c r="X502" s="1"/>
      <c r="Y502" s="1"/>
      <c r="Z502" s="1"/>
      <c r="AA502" s="1"/>
      <c r="AC502" s="1"/>
      <c r="AD502" s="1"/>
      <c r="AE502" s="1"/>
      <c r="AF502" s="1"/>
      <c r="AG502" s="1"/>
      <c r="AH502" s="26"/>
      <c r="AI502" s="26"/>
      <c r="AJ502" s="26"/>
      <c r="AK502" s="26"/>
      <c r="AL502" s="26"/>
      <c r="AM502" s="26"/>
      <c r="AN502" s="26"/>
      <c r="AO502" s="26"/>
      <c r="AP502" s="26"/>
      <c r="AQ502" s="26"/>
      <c r="AR502" s="26"/>
      <c r="AS502" s="26"/>
      <c r="AT502" s="26"/>
      <c r="AU502" s="26"/>
      <c r="AV502" s="26"/>
      <c r="AW502" s="26"/>
      <c r="AX502" s="26"/>
      <c r="AY502" s="1"/>
      <c r="AZ502" s="26"/>
      <c r="BA502" s="26"/>
      <c r="BB502" s="26"/>
      <c r="BC502" s="26"/>
      <c r="BD502" s="26"/>
      <c r="BE502" s="26"/>
      <c r="BF502" s="26"/>
      <c r="BG502" s="26"/>
      <c r="BH502" s="26"/>
      <c r="BI502" s="26"/>
      <c r="BJ502" s="26"/>
      <c r="BK502" s="26"/>
      <c r="BL502" s="26"/>
      <c r="BM502" s="26"/>
      <c r="BN502" s="26"/>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96"/>
      <c r="CP502" s="14"/>
      <c r="CQ502" s="14"/>
      <c r="CR502" s="14"/>
      <c r="CS502" s="14"/>
      <c r="CT502" s="1"/>
      <c r="CU502" s="14"/>
      <c r="CV502" s="1"/>
      <c r="CW502" s="1"/>
      <c r="CX502" s="14"/>
      <c r="CY502" s="1"/>
      <c r="CZ502" s="1"/>
      <c r="DA502" s="1"/>
      <c r="DB502" s="1"/>
      <c r="DC502" s="1"/>
      <c r="DD502" s="1"/>
      <c r="DE502" s="1"/>
      <c r="DF502" s="1"/>
      <c r="DG502" s="1"/>
      <c r="DH502" s="1"/>
      <c r="DI502" s="1"/>
      <c r="DJ502" s="1"/>
      <c r="DK502" s="1"/>
      <c r="DL502" s="1"/>
      <c r="DM502" s="1"/>
      <c r="DN502" s="1"/>
      <c r="DO502" s="1"/>
      <c r="DP502" s="1"/>
      <c r="DQ502" s="1"/>
      <c r="DR502" s="1"/>
      <c r="DS502" s="1"/>
      <c r="DT502" s="1"/>
      <c r="DU502" s="14"/>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29"/>
    </row>
    <row r="503" spans="1:160" x14ac:dyDescent="0.25">
      <c r="A503" s="5"/>
      <c r="B503" s="1"/>
      <c r="C503" s="98"/>
      <c r="D503" s="98"/>
      <c r="E503" s="1"/>
      <c r="F503" s="22"/>
      <c r="G503" s="22"/>
      <c r="H503" s="22"/>
      <c r="I503" s="22"/>
      <c r="J503" s="22"/>
      <c r="K503" s="22"/>
      <c r="L503" s="22"/>
      <c r="M503" s="22"/>
      <c r="N503" s="22"/>
      <c r="O503" s="22"/>
      <c r="P503" s="22"/>
      <c r="Q503" s="22"/>
      <c r="R503" s="1"/>
      <c r="S503" s="1"/>
      <c r="T503" s="8"/>
      <c r="U503" s="1"/>
      <c r="V503" s="1"/>
      <c r="W503" s="1"/>
      <c r="X503" s="1"/>
      <c r="Y503" s="1"/>
      <c r="Z503" s="1"/>
      <c r="AA503" s="1"/>
      <c r="AC503" s="1"/>
      <c r="AD503" s="1"/>
      <c r="AE503" s="1"/>
      <c r="AF503" s="1"/>
      <c r="AG503" s="1"/>
      <c r="AH503" s="26"/>
      <c r="AI503" s="26"/>
      <c r="AJ503" s="26"/>
      <c r="AK503" s="26"/>
      <c r="AL503" s="26"/>
      <c r="AM503" s="26"/>
      <c r="AN503" s="26"/>
      <c r="AO503" s="26"/>
      <c r="AP503" s="26"/>
      <c r="AQ503" s="26"/>
      <c r="AR503" s="26"/>
      <c r="AS503" s="26"/>
      <c r="AT503" s="26"/>
      <c r="AU503" s="26"/>
      <c r="AV503" s="26"/>
      <c r="AW503" s="26"/>
      <c r="AX503" s="26"/>
      <c r="AY503" s="1"/>
      <c r="AZ503" s="26"/>
      <c r="BA503" s="26"/>
      <c r="BB503" s="26"/>
      <c r="BC503" s="26"/>
      <c r="BD503" s="26"/>
      <c r="BE503" s="26"/>
      <c r="BF503" s="26"/>
      <c r="BG503" s="26"/>
      <c r="BH503" s="26"/>
      <c r="BI503" s="26"/>
      <c r="BJ503" s="26"/>
      <c r="BK503" s="26"/>
      <c r="BL503" s="26"/>
      <c r="BM503" s="26"/>
      <c r="BN503" s="26"/>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96"/>
      <c r="CP503" s="14"/>
      <c r="CQ503" s="14"/>
      <c r="CR503" s="14"/>
      <c r="CS503" s="14"/>
      <c r="CT503" s="1"/>
      <c r="CU503" s="14"/>
      <c r="CV503" s="1"/>
      <c r="CW503" s="1"/>
      <c r="CX503" s="14"/>
      <c r="CY503" s="1"/>
      <c r="CZ503" s="1"/>
      <c r="DA503" s="1"/>
      <c r="DB503" s="1"/>
      <c r="DC503" s="1"/>
      <c r="DD503" s="1"/>
      <c r="DE503" s="1"/>
      <c r="DF503" s="1"/>
      <c r="DG503" s="1"/>
      <c r="DH503" s="1"/>
      <c r="DI503" s="1"/>
      <c r="DJ503" s="1"/>
      <c r="DK503" s="1"/>
      <c r="DL503" s="1"/>
      <c r="DM503" s="1"/>
      <c r="DN503" s="1"/>
      <c r="DO503" s="1"/>
      <c r="DP503" s="1"/>
      <c r="DQ503" s="1"/>
      <c r="DR503" s="1"/>
      <c r="DS503" s="1"/>
      <c r="DT503" s="1"/>
      <c r="DU503" s="14"/>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29"/>
    </row>
    <row r="504" spans="1:160" x14ac:dyDescent="0.25">
      <c r="A504" s="5"/>
      <c r="B504" s="1"/>
      <c r="C504" s="98"/>
      <c r="D504" s="98"/>
      <c r="E504" s="1"/>
      <c r="F504" s="22"/>
      <c r="G504" s="22"/>
      <c r="H504" s="22"/>
      <c r="I504" s="22"/>
      <c r="J504" s="22"/>
      <c r="K504" s="22"/>
      <c r="L504" s="22"/>
      <c r="M504" s="22"/>
      <c r="N504" s="22"/>
      <c r="O504" s="22"/>
      <c r="P504" s="22"/>
      <c r="Q504" s="22"/>
      <c r="R504" s="1"/>
      <c r="S504" s="1"/>
      <c r="T504" s="8"/>
      <c r="U504" s="1"/>
      <c r="V504" s="1"/>
      <c r="W504" s="1"/>
      <c r="X504" s="1"/>
      <c r="Y504" s="1"/>
      <c r="Z504" s="1"/>
      <c r="AA504" s="1"/>
      <c r="AC504" s="1"/>
      <c r="AD504" s="1"/>
      <c r="AE504" s="1"/>
      <c r="AF504" s="1"/>
      <c r="AG504" s="1"/>
      <c r="AH504" s="26"/>
      <c r="AI504" s="26"/>
      <c r="AJ504" s="26"/>
      <c r="AK504" s="26"/>
      <c r="AL504" s="26"/>
      <c r="AM504" s="26"/>
      <c r="AN504" s="26"/>
      <c r="AO504" s="26"/>
      <c r="AP504" s="26"/>
      <c r="AQ504" s="26"/>
      <c r="AR504" s="26"/>
      <c r="AS504" s="26"/>
      <c r="AT504" s="26"/>
      <c r="AU504" s="26"/>
      <c r="AV504" s="26"/>
      <c r="AW504" s="26"/>
      <c r="AX504" s="26"/>
      <c r="AY504" s="1"/>
      <c r="AZ504" s="26"/>
      <c r="BA504" s="26"/>
      <c r="BB504" s="26"/>
      <c r="BC504" s="26"/>
      <c r="BD504" s="26"/>
      <c r="BE504" s="26"/>
      <c r="BF504" s="26"/>
      <c r="BG504" s="26"/>
      <c r="BH504" s="26"/>
      <c r="BI504" s="26"/>
      <c r="BJ504" s="26"/>
      <c r="BK504" s="26"/>
      <c r="BL504" s="26"/>
      <c r="BM504" s="26"/>
      <c r="BN504" s="26"/>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96"/>
      <c r="CP504" s="14"/>
      <c r="CQ504" s="14"/>
      <c r="CR504" s="14"/>
      <c r="CS504" s="14"/>
      <c r="CT504" s="1"/>
      <c r="CU504" s="14"/>
      <c r="CV504" s="1"/>
      <c r="CW504" s="1"/>
      <c r="CX504" s="14"/>
      <c r="CY504" s="1"/>
      <c r="CZ504" s="1"/>
      <c r="DA504" s="1"/>
      <c r="DB504" s="1"/>
      <c r="DC504" s="1"/>
      <c r="DD504" s="1"/>
      <c r="DE504" s="1"/>
      <c r="DF504" s="1"/>
      <c r="DG504" s="1"/>
      <c r="DH504" s="1"/>
      <c r="DI504" s="1"/>
      <c r="DJ504" s="1"/>
      <c r="DK504" s="1"/>
      <c r="DL504" s="1"/>
      <c r="DM504" s="1"/>
      <c r="DN504" s="1"/>
      <c r="DO504" s="1"/>
      <c r="DP504" s="1"/>
      <c r="DQ504" s="1"/>
      <c r="DR504" s="1"/>
      <c r="DS504" s="1"/>
      <c r="DT504" s="1"/>
      <c r="DU504" s="14"/>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29"/>
    </row>
    <row r="505" spans="1:160" x14ac:dyDescent="0.25">
      <c r="A505" s="5"/>
      <c r="B505" s="1"/>
      <c r="C505" s="98"/>
      <c r="D505" s="98"/>
      <c r="E505" s="1"/>
      <c r="F505" s="22"/>
      <c r="G505" s="22"/>
      <c r="H505" s="22"/>
      <c r="I505" s="22"/>
      <c r="J505" s="22"/>
      <c r="K505" s="22"/>
      <c r="L505" s="22"/>
      <c r="M505" s="22"/>
      <c r="N505" s="22"/>
      <c r="O505" s="22"/>
      <c r="P505" s="22"/>
      <c r="Q505" s="22"/>
      <c r="R505" s="1"/>
      <c r="S505" s="1"/>
      <c r="T505" s="8"/>
      <c r="U505" s="1"/>
      <c r="V505" s="1"/>
      <c r="W505" s="1"/>
      <c r="X505" s="1"/>
      <c r="Y505" s="1"/>
      <c r="Z505" s="1"/>
      <c r="AA505" s="1"/>
      <c r="AC505" s="1"/>
      <c r="AD505" s="1"/>
      <c r="AE505" s="1"/>
      <c r="AF505" s="1"/>
      <c r="AG505" s="1"/>
      <c r="AH505" s="26"/>
      <c r="AI505" s="26"/>
      <c r="AJ505" s="26"/>
      <c r="AK505" s="26"/>
      <c r="AL505" s="26"/>
      <c r="AM505" s="26"/>
      <c r="AN505" s="26"/>
      <c r="AO505" s="26"/>
      <c r="AP505" s="26"/>
      <c r="AQ505" s="26"/>
      <c r="AR505" s="26"/>
      <c r="AS505" s="26"/>
      <c r="AT505" s="26"/>
      <c r="AU505" s="26"/>
      <c r="AV505" s="26"/>
      <c r="AW505" s="26"/>
      <c r="AX505" s="26"/>
      <c r="AY505" s="1"/>
      <c r="AZ505" s="26"/>
      <c r="BA505" s="26"/>
      <c r="BB505" s="26"/>
      <c r="BC505" s="26"/>
      <c r="BD505" s="26"/>
      <c r="BE505" s="26"/>
      <c r="BF505" s="26"/>
      <c r="BG505" s="26"/>
      <c r="BH505" s="26"/>
      <c r="BI505" s="26"/>
      <c r="BJ505" s="26"/>
      <c r="BK505" s="26"/>
      <c r="BL505" s="26"/>
      <c r="BM505" s="26"/>
      <c r="BN505" s="26"/>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96"/>
      <c r="CP505" s="14"/>
      <c r="CQ505" s="14"/>
      <c r="CR505" s="14"/>
      <c r="CS505" s="14"/>
      <c r="CT505" s="1"/>
      <c r="CU505" s="14"/>
      <c r="CV505" s="1"/>
      <c r="CW505" s="1"/>
      <c r="CX505" s="14"/>
      <c r="CY505" s="1"/>
      <c r="CZ505" s="1"/>
      <c r="DA505" s="1"/>
      <c r="DB505" s="1"/>
      <c r="DC505" s="1"/>
      <c r="DD505" s="1"/>
      <c r="DE505" s="1"/>
      <c r="DF505" s="1"/>
      <c r="DG505" s="1"/>
      <c r="DH505" s="1"/>
      <c r="DI505" s="1"/>
      <c r="DJ505" s="1"/>
      <c r="DK505" s="1"/>
      <c r="DL505" s="1"/>
      <c r="DM505" s="1"/>
      <c r="DN505" s="1"/>
      <c r="DO505" s="1"/>
      <c r="DP505" s="1"/>
      <c r="DQ505" s="1"/>
      <c r="DR505" s="1"/>
      <c r="DS505" s="1"/>
      <c r="DT505" s="1"/>
      <c r="DU505" s="14"/>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29"/>
    </row>
    <row r="506" spans="1:160" x14ac:dyDescent="0.25">
      <c r="A506" s="5"/>
      <c r="B506" s="1"/>
      <c r="C506" s="98"/>
      <c r="D506" s="98"/>
      <c r="E506" s="1"/>
      <c r="F506" s="22"/>
      <c r="G506" s="22"/>
      <c r="H506" s="22"/>
      <c r="I506" s="22"/>
      <c r="J506" s="22"/>
      <c r="K506" s="22"/>
      <c r="L506" s="22"/>
      <c r="M506" s="22"/>
      <c r="N506" s="22"/>
      <c r="O506" s="22"/>
      <c r="P506" s="22"/>
      <c r="Q506" s="22"/>
      <c r="R506" s="1"/>
      <c r="S506" s="1"/>
      <c r="T506" s="8"/>
      <c r="U506" s="1"/>
      <c r="V506" s="1"/>
      <c r="W506" s="1"/>
      <c r="X506" s="1"/>
      <c r="Y506" s="1"/>
      <c r="Z506" s="1"/>
      <c r="AA506" s="1"/>
      <c r="AC506" s="1"/>
      <c r="AD506" s="1"/>
      <c r="AE506" s="1"/>
      <c r="AF506" s="1"/>
      <c r="AG506" s="1"/>
      <c r="AH506" s="26"/>
      <c r="AI506" s="26"/>
      <c r="AJ506" s="26"/>
      <c r="AK506" s="26"/>
      <c r="AL506" s="26"/>
      <c r="AM506" s="26"/>
      <c r="AN506" s="26"/>
      <c r="AO506" s="26"/>
      <c r="AP506" s="26"/>
      <c r="AQ506" s="26"/>
      <c r="AR506" s="26"/>
      <c r="AS506" s="26"/>
      <c r="AT506" s="26"/>
      <c r="AU506" s="26"/>
      <c r="AV506" s="26"/>
      <c r="AW506" s="26"/>
      <c r="AX506" s="26"/>
      <c r="AY506" s="1"/>
      <c r="AZ506" s="26"/>
      <c r="BA506" s="26"/>
      <c r="BB506" s="26"/>
      <c r="BC506" s="26"/>
      <c r="BD506" s="26"/>
      <c r="BE506" s="26"/>
      <c r="BF506" s="26"/>
      <c r="BG506" s="26"/>
      <c r="BH506" s="26"/>
      <c r="BI506" s="26"/>
      <c r="BJ506" s="26"/>
      <c r="BK506" s="26"/>
      <c r="BL506" s="26"/>
      <c r="BM506" s="26"/>
      <c r="BN506" s="26"/>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96"/>
      <c r="CP506" s="14"/>
      <c r="CQ506" s="14"/>
      <c r="CR506" s="14"/>
      <c r="CS506" s="14"/>
      <c r="CT506" s="1"/>
      <c r="CU506" s="14"/>
      <c r="CV506" s="1"/>
      <c r="CW506" s="1"/>
      <c r="CX506" s="14"/>
      <c r="CY506" s="1"/>
      <c r="CZ506" s="1"/>
      <c r="DA506" s="1"/>
      <c r="DB506" s="1"/>
      <c r="DC506" s="1"/>
      <c r="DD506" s="1"/>
      <c r="DE506" s="1"/>
      <c r="DF506" s="1"/>
      <c r="DG506" s="1"/>
      <c r="DH506" s="1"/>
      <c r="DI506" s="1"/>
      <c r="DJ506" s="1"/>
      <c r="DK506" s="1"/>
      <c r="DL506" s="1"/>
      <c r="DM506" s="1"/>
      <c r="DN506" s="1"/>
      <c r="DO506" s="1"/>
      <c r="DP506" s="1"/>
      <c r="DQ506" s="1"/>
      <c r="DR506" s="1"/>
      <c r="DS506" s="1"/>
      <c r="DT506" s="1"/>
      <c r="DU506" s="14"/>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29"/>
    </row>
    <row r="507" spans="1:160" x14ac:dyDescent="0.25">
      <c r="A507" s="5"/>
      <c r="B507" s="1"/>
      <c r="C507" s="98"/>
      <c r="D507" s="98"/>
      <c r="E507" s="1"/>
      <c r="F507" s="22"/>
      <c r="G507" s="22"/>
      <c r="H507" s="22"/>
      <c r="I507" s="22"/>
      <c r="J507" s="22"/>
      <c r="K507" s="22"/>
      <c r="L507" s="22"/>
      <c r="M507" s="22"/>
      <c r="N507" s="22"/>
      <c r="O507" s="22"/>
      <c r="P507" s="22"/>
      <c r="Q507" s="22"/>
      <c r="R507" s="1"/>
      <c r="S507" s="1"/>
      <c r="T507" s="8"/>
      <c r="U507" s="1"/>
      <c r="V507" s="1"/>
      <c r="W507" s="1"/>
      <c r="X507" s="1"/>
      <c r="Y507" s="1"/>
      <c r="Z507" s="1"/>
      <c r="AA507" s="1"/>
      <c r="AC507" s="1"/>
      <c r="AD507" s="1"/>
      <c r="AE507" s="1"/>
      <c r="AF507" s="1"/>
      <c r="AG507" s="1"/>
      <c r="AH507" s="26"/>
      <c r="AI507" s="26"/>
      <c r="AJ507" s="26"/>
      <c r="AK507" s="26"/>
      <c r="AL507" s="26"/>
      <c r="AM507" s="26"/>
      <c r="AN507" s="26"/>
      <c r="AO507" s="26"/>
      <c r="AP507" s="26"/>
      <c r="AQ507" s="26"/>
      <c r="AR507" s="26"/>
      <c r="AS507" s="26"/>
      <c r="AT507" s="26"/>
      <c r="AU507" s="26"/>
      <c r="AV507" s="26"/>
      <c r="AW507" s="26"/>
      <c r="AX507" s="26"/>
      <c r="AY507" s="1"/>
      <c r="AZ507" s="26"/>
      <c r="BA507" s="26"/>
      <c r="BB507" s="26"/>
      <c r="BC507" s="26"/>
      <c r="BD507" s="26"/>
      <c r="BE507" s="26"/>
      <c r="BF507" s="26"/>
      <c r="BG507" s="26"/>
      <c r="BH507" s="26"/>
      <c r="BI507" s="26"/>
      <c r="BJ507" s="26"/>
      <c r="BK507" s="26"/>
      <c r="BL507" s="26"/>
      <c r="BM507" s="26"/>
      <c r="BN507" s="26"/>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96"/>
      <c r="CP507" s="14"/>
      <c r="CQ507" s="14"/>
      <c r="CR507" s="14"/>
      <c r="CS507" s="14"/>
      <c r="CT507" s="1"/>
      <c r="CU507" s="14"/>
      <c r="CV507" s="1"/>
      <c r="CW507" s="1"/>
      <c r="CX507" s="14"/>
      <c r="CY507" s="1"/>
      <c r="CZ507" s="1"/>
      <c r="DA507" s="1"/>
      <c r="DB507" s="1"/>
      <c r="DC507" s="1"/>
      <c r="DD507" s="1"/>
      <c r="DE507" s="1"/>
      <c r="DF507" s="1"/>
      <c r="DG507" s="1"/>
      <c r="DH507" s="1"/>
      <c r="DI507" s="1"/>
      <c r="DJ507" s="1"/>
      <c r="DK507" s="1"/>
      <c r="DL507" s="1"/>
      <c r="DM507" s="1"/>
      <c r="DN507" s="1"/>
      <c r="DO507" s="1"/>
      <c r="DP507" s="1"/>
      <c r="DQ507" s="1"/>
      <c r="DR507" s="1"/>
      <c r="DS507" s="1"/>
      <c r="DT507" s="1"/>
      <c r="DU507" s="14"/>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29"/>
    </row>
    <row r="508" spans="1:160" x14ac:dyDescent="0.25">
      <c r="A508" s="5"/>
      <c r="B508" s="1"/>
      <c r="C508" s="98"/>
      <c r="D508" s="98"/>
      <c r="E508" s="1"/>
      <c r="F508" s="22"/>
      <c r="G508" s="22"/>
      <c r="H508" s="22"/>
      <c r="I508" s="22"/>
      <c r="J508" s="22"/>
      <c r="K508" s="22"/>
      <c r="L508" s="22"/>
      <c r="M508" s="22"/>
      <c r="N508" s="22"/>
      <c r="O508" s="22"/>
      <c r="P508" s="22"/>
      <c r="Q508" s="22"/>
      <c r="R508" s="1"/>
      <c r="S508" s="1"/>
      <c r="T508" s="8"/>
      <c r="U508" s="1"/>
      <c r="V508" s="1"/>
      <c r="W508" s="1"/>
      <c r="X508" s="1"/>
      <c r="Y508" s="1"/>
      <c r="Z508" s="1"/>
      <c r="AA508" s="1"/>
      <c r="AC508" s="1"/>
      <c r="AD508" s="1"/>
      <c r="AE508" s="1"/>
      <c r="AF508" s="1"/>
      <c r="AG508" s="1"/>
      <c r="AH508" s="26"/>
      <c r="AI508" s="26"/>
      <c r="AJ508" s="26"/>
      <c r="AK508" s="26"/>
      <c r="AL508" s="26"/>
      <c r="AM508" s="26"/>
      <c r="AN508" s="26"/>
      <c r="AO508" s="26"/>
      <c r="AP508" s="26"/>
      <c r="AQ508" s="26"/>
      <c r="AR508" s="26"/>
      <c r="AS508" s="26"/>
      <c r="AT508" s="26"/>
      <c r="AU508" s="26"/>
      <c r="AV508" s="26"/>
      <c r="AW508" s="26"/>
      <c r="AX508" s="26"/>
      <c r="AY508" s="1"/>
      <c r="AZ508" s="26"/>
      <c r="BA508" s="26"/>
      <c r="BB508" s="26"/>
      <c r="BC508" s="26"/>
      <c r="BD508" s="26"/>
      <c r="BE508" s="26"/>
      <c r="BF508" s="26"/>
      <c r="BG508" s="26"/>
      <c r="BH508" s="26"/>
      <c r="BI508" s="26"/>
      <c r="BJ508" s="26"/>
      <c r="BK508" s="26"/>
      <c r="BL508" s="26"/>
      <c r="BM508" s="26"/>
      <c r="BN508" s="26"/>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96"/>
      <c r="CP508" s="14"/>
      <c r="CQ508" s="14"/>
      <c r="CR508" s="14"/>
      <c r="CS508" s="14"/>
      <c r="CT508" s="1"/>
      <c r="CU508" s="14"/>
      <c r="CV508" s="1"/>
      <c r="CW508" s="1"/>
      <c r="CX508" s="14"/>
      <c r="CY508" s="1"/>
      <c r="CZ508" s="1"/>
      <c r="DA508" s="1"/>
      <c r="DB508" s="1"/>
      <c r="DC508" s="1"/>
      <c r="DD508" s="1"/>
      <c r="DE508" s="1"/>
      <c r="DF508" s="1"/>
      <c r="DG508" s="1"/>
      <c r="DH508" s="1"/>
      <c r="DI508" s="1"/>
      <c r="DJ508" s="1"/>
      <c r="DK508" s="1"/>
      <c r="DL508" s="1"/>
      <c r="DM508" s="1"/>
      <c r="DN508" s="1"/>
      <c r="DO508" s="1"/>
      <c r="DP508" s="1"/>
      <c r="DQ508" s="1"/>
      <c r="DR508" s="1"/>
      <c r="DS508" s="1"/>
      <c r="DT508" s="1"/>
      <c r="DU508" s="14"/>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29"/>
    </row>
    <row r="509" spans="1:160" x14ac:dyDescent="0.25">
      <c r="A509" s="5"/>
      <c r="B509" s="1"/>
      <c r="C509" s="98"/>
      <c r="D509" s="98"/>
      <c r="E509" s="1"/>
      <c r="F509" s="22"/>
      <c r="G509" s="22"/>
      <c r="H509" s="22"/>
      <c r="I509" s="22"/>
      <c r="J509" s="22"/>
      <c r="K509" s="22"/>
      <c r="L509" s="22"/>
      <c r="M509" s="22"/>
      <c r="N509" s="22"/>
      <c r="O509" s="22"/>
      <c r="P509" s="22"/>
      <c r="Q509" s="22"/>
      <c r="R509" s="1"/>
      <c r="S509" s="1"/>
      <c r="T509" s="8"/>
      <c r="U509" s="1"/>
      <c r="V509" s="1"/>
      <c r="W509" s="1"/>
      <c r="X509" s="1"/>
      <c r="Y509" s="1"/>
      <c r="Z509" s="1"/>
      <c r="AA509" s="1"/>
      <c r="AC509" s="1"/>
      <c r="AD509" s="1"/>
      <c r="AE509" s="1"/>
      <c r="AF509" s="1"/>
      <c r="AG509" s="1"/>
      <c r="AH509" s="26"/>
      <c r="AI509" s="26"/>
      <c r="AJ509" s="26"/>
      <c r="AK509" s="26"/>
      <c r="AL509" s="26"/>
      <c r="AM509" s="26"/>
      <c r="AN509" s="26"/>
      <c r="AO509" s="26"/>
      <c r="AP509" s="26"/>
      <c r="AQ509" s="26"/>
      <c r="AR509" s="26"/>
      <c r="AS509" s="26"/>
      <c r="AT509" s="26"/>
      <c r="AU509" s="26"/>
      <c r="AV509" s="26"/>
      <c r="AW509" s="26"/>
      <c r="AX509" s="26"/>
      <c r="AY509" s="1"/>
      <c r="AZ509" s="26"/>
      <c r="BA509" s="26"/>
      <c r="BB509" s="26"/>
      <c r="BC509" s="26"/>
      <c r="BD509" s="26"/>
      <c r="BE509" s="26"/>
      <c r="BF509" s="26"/>
      <c r="BG509" s="26"/>
      <c r="BH509" s="26"/>
      <c r="BI509" s="26"/>
      <c r="BJ509" s="26"/>
      <c r="BK509" s="26"/>
      <c r="BL509" s="26"/>
      <c r="BM509" s="26"/>
      <c r="BN509" s="26"/>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96"/>
      <c r="CP509" s="14"/>
      <c r="CQ509" s="14"/>
      <c r="CR509" s="14"/>
      <c r="CS509" s="14"/>
      <c r="CT509" s="1"/>
      <c r="CU509" s="14"/>
      <c r="CV509" s="1"/>
      <c r="CW509" s="1"/>
      <c r="CX509" s="14"/>
      <c r="CY509" s="1"/>
      <c r="CZ509" s="1"/>
      <c r="DA509" s="1"/>
      <c r="DB509" s="1"/>
      <c r="DC509" s="1"/>
      <c r="DD509" s="1"/>
      <c r="DE509" s="1"/>
      <c r="DF509" s="1"/>
      <c r="DG509" s="1"/>
      <c r="DH509" s="1"/>
      <c r="DI509" s="1"/>
      <c r="DJ509" s="1"/>
      <c r="DK509" s="1"/>
      <c r="DL509" s="1"/>
      <c r="DM509" s="1"/>
      <c r="DN509" s="1"/>
      <c r="DO509" s="1"/>
      <c r="DP509" s="1"/>
      <c r="DQ509" s="1"/>
      <c r="DR509" s="1"/>
      <c r="DS509" s="1"/>
      <c r="DT509" s="1"/>
      <c r="DU509" s="14"/>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29"/>
    </row>
    <row r="510" spans="1:160" x14ac:dyDescent="0.25">
      <c r="A510" s="5"/>
      <c r="B510" s="1"/>
      <c r="C510" s="98"/>
      <c r="D510" s="98"/>
      <c r="E510" s="1"/>
      <c r="F510" s="22"/>
      <c r="G510" s="22"/>
      <c r="H510" s="22"/>
      <c r="I510" s="22"/>
      <c r="J510" s="22"/>
      <c r="K510" s="22"/>
      <c r="L510" s="22"/>
      <c r="M510" s="22"/>
      <c r="N510" s="22"/>
      <c r="O510" s="22"/>
      <c r="P510" s="22"/>
      <c r="Q510" s="22"/>
      <c r="R510" s="1"/>
      <c r="S510" s="1"/>
      <c r="T510" s="8"/>
      <c r="U510" s="1"/>
      <c r="V510" s="1"/>
      <c r="W510" s="1"/>
      <c r="X510" s="1"/>
      <c r="Y510" s="1"/>
      <c r="Z510" s="1"/>
      <c r="AA510" s="1"/>
      <c r="AC510" s="1"/>
      <c r="AD510" s="1"/>
      <c r="AE510" s="1"/>
      <c r="AF510" s="1"/>
      <c r="AG510" s="1"/>
      <c r="AH510" s="26"/>
      <c r="AI510" s="26"/>
      <c r="AJ510" s="26"/>
      <c r="AK510" s="26"/>
      <c r="AL510" s="26"/>
      <c r="AM510" s="26"/>
      <c r="AN510" s="26"/>
      <c r="AO510" s="26"/>
      <c r="AP510" s="26"/>
      <c r="AQ510" s="26"/>
      <c r="AR510" s="26"/>
      <c r="AS510" s="26"/>
      <c r="AT510" s="26"/>
      <c r="AU510" s="26"/>
      <c r="AV510" s="26"/>
      <c r="AW510" s="26"/>
      <c r="AX510" s="26"/>
      <c r="AY510" s="1"/>
      <c r="AZ510" s="26"/>
      <c r="BA510" s="26"/>
      <c r="BB510" s="26"/>
      <c r="BC510" s="26"/>
      <c r="BD510" s="26"/>
      <c r="BE510" s="26"/>
      <c r="BF510" s="26"/>
      <c r="BG510" s="26"/>
      <c r="BH510" s="26"/>
      <c r="BI510" s="26"/>
      <c r="BJ510" s="26"/>
      <c r="BK510" s="26"/>
      <c r="BL510" s="26"/>
      <c r="BM510" s="26"/>
      <c r="BN510" s="26"/>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96"/>
      <c r="CP510" s="14"/>
      <c r="CQ510" s="14"/>
      <c r="CR510" s="14"/>
      <c r="CS510" s="14"/>
      <c r="CT510" s="1"/>
      <c r="CU510" s="14"/>
      <c r="CV510" s="1"/>
      <c r="CW510" s="1"/>
      <c r="CX510" s="14"/>
      <c r="CY510" s="1"/>
      <c r="CZ510" s="1"/>
      <c r="DA510" s="1"/>
      <c r="DB510" s="1"/>
      <c r="DC510" s="1"/>
      <c r="DD510" s="1"/>
      <c r="DE510" s="1"/>
      <c r="DF510" s="1"/>
      <c r="DG510" s="1"/>
      <c r="DH510" s="1"/>
      <c r="DI510" s="1"/>
      <c r="DJ510" s="1"/>
      <c r="DK510" s="1"/>
      <c r="DL510" s="1"/>
      <c r="DM510" s="1"/>
      <c r="DN510" s="1"/>
      <c r="DO510" s="1"/>
      <c r="DP510" s="1"/>
      <c r="DQ510" s="1"/>
      <c r="DR510" s="1"/>
      <c r="DS510" s="1"/>
      <c r="DT510" s="1"/>
      <c r="DU510" s="14"/>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29"/>
    </row>
    <row r="511" spans="1:160" x14ac:dyDescent="0.25">
      <c r="A511" s="5"/>
      <c r="B511" s="1"/>
      <c r="C511" s="98"/>
      <c r="D511" s="98"/>
      <c r="E511" s="1"/>
      <c r="F511" s="22"/>
      <c r="G511" s="22"/>
      <c r="H511" s="22"/>
      <c r="I511" s="22"/>
      <c r="J511" s="22"/>
      <c r="K511" s="22"/>
      <c r="L511" s="22"/>
      <c r="M511" s="22"/>
      <c r="N511" s="22"/>
      <c r="O511" s="22"/>
      <c r="P511" s="22"/>
      <c r="Q511" s="22"/>
      <c r="R511" s="1"/>
      <c r="S511" s="1"/>
      <c r="T511" s="8"/>
      <c r="U511" s="1"/>
      <c r="V511" s="1"/>
      <c r="W511" s="1"/>
      <c r="X511" s="1"/>
      <c r="Y511" s="1"/>
      <c r="Z511" s="1"/>
      <c r="AA511" s="1"/>
      <c r="AC511" s="1"/>
      <c r="AD511" s="1"/>
      <c r="AE511" s="1"/>
      <c r="AF511" s="1"/>
      <c r="AG511" s="1"/>
      <c r="AH511" s="26"/>
      <c r="AI511" s="26"/>
      <c r="AJ511" s="26"/>
      <c r="AK511" s="26"/>
      <c r="AL511" s="26"/>
      <c r="AM511" s="26"/>
      <c r="AN511" s="26"/>
      <c r="AO511" s="26"/>
      <c r="AP511" s="26"/>
      <c r="AQ511" s="26"/>
      <c r="AR511" s="26"/>
      <c r="AS511" s="26"/>
      <c r="AT511" s="26"/>
      <c r="AU511" s="26"/>
      <c r="AV511" s="26"/>
      <c r="AW511" s="26"/>
      <c r="AX511" s="26"/>
      <c r="AY511" s="1"/>
      <c r="AZ511" s="26"/>
      <c r="BA511" s="26"/>
      <c r="BB511" s="26"/>
      <c r="BC511" s="26"/>
      <c r="BD511" s="26"/>
      <c r="BE511" s="26"/>
      <c r="BF511" s="26"/>
      <c r="BG511" s="26"/>
      <c r="BH511" s="26"/>
      <c r="BI511" s="26"/>
      <c r="BJ511" s="26"/>
      <c r="BK511" s="26"/>
      <c r="BL511" s="26"/>
      <c r="BM511" s="26"/>
      <c r="BN511" s="26"/>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96"/>
      <c r="CP511" s="14"/>
      <c r="CQ511" s="14"/>
      <c r="CR511" s="14"/>
      <c r="CS511" s="14"/>
      <c r="CT511" s="1"/>
      <c r="CU511" s="14"/>
      <c r="CV511" s="1"/>
      <c r="CW511" s="1"/>
      <c r="CX511" s="14"/>
      <c r="CY511" s="1"/>
      <c r="CZ511" s="1"/>
      <c r="DA511" s="1"/>
      <c r="DB511" s="1"/>
      <c r="DC511" s="1"/>
      <c r="DD511" s="1"/>
      <c r="DE511" s="1"/>
      <c r="DF511" s="1"/>
      <c r="DG511" s="1"/>
      <c r="DH511" s="1"/>
      <c r="DI511" s="1"/>
      <c r="DJ511" s="1"/>
      <c r="DK511" s="1"/>
      <c r="DL511" s="1"/>
      <c r="DM511" s="1"/>
      <c r="DN511" s="1"/>
      <c r="DO511" s="1"/>
      <c r="DP511" s="1"/>
      <c r="DQ511" s="1"/>
      <c r="DR511" s="1"/>
      <c r="DS511" s="1"/>
      <c r="DT511" s="1"/>
      <c r="DU511" s="14"/>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29"/>
    </row>
    <row r="512" spans="1:160" x14ac:dyDescent="0.25">
      <c r="A512" s="5"/>
      <c r="B512" s="1"/>
      <c r="C512" s="98"/>
      <c r="D512" s="98"/>
      <c r="E512" s="1"/>
      <c r="F512" s="22"/>
      <c r="G512" s="22"/>
      <c r="H512" s="22"/>
      <c r="I512" s="22"/>
      <c r="J512" s="22"/>
      <c r="K512" s="22"/>
      <c r="L512" s="22"/>
      <c r="M512" s="22"/>
      <c r="N512" s="22"/>
      <c r="O512" s="22"/>
      <c r="P512" s="22"/>
      <c r="Q512" s="22"/>
      <c r="R512" s="1"/>
      <c r="S512" s="1"/>
      <c r="T512" s="8"/>
      <c r="U512" s="1"/>
      <c r="V512" s="1"/>
      <c r="W512" s="1"/>
      <c r="X512" s="1"/>
      <c r="Y512" s="1"/>
      <c r="Z512" s="1"/>
      <c r="AA512" s="1"/>
      <c r="AC512" s="1"/>
      <c r="AD512" s="1"/>
      <c r="AE512" s="1"/>
      <c r="AF512" s="1"/>
      <c r="AG512" s="1"/>
      <c r="AH512" s="26"/>
      <c r="AI512" s="26"/>
      <c r="AJ512" s="26"/>
      <c r="AK512" s="26"/>
      <c r="AL512" s="26"/>
      <c r="AM512" s="26"/>
      <c r="AN512" s="26"/>
      <c r="AO512" s="26"/>
      <c r="AP512" s="26"/>
      <c r="AQ512" s="26"/>
      <c r="AR512" s="26"/>
      <c r="AS512" s="26"/>
      <c r="AT512" s="26"/>
      <c r="AU512" s="26"/>
      <c r="AV512" s="26"/>
      <c r="AW512" s="26"/>
      <c r="AX512" s="26"/>
      <c r="AY512" s="1"/>
      <c r="AZ512" s="26"/>
      <c r="BA512" s="26"/>
      <c r="BB512" s="26"/>
      <c r="BC512" s="26"/>
      <c r="BD512" s="26"/>
      <c r="BE512" s="26"/>
      <c r="BF512" s="26"/>
      <c r="BG512" s="26"/>
      <c r="BH512" s="26"/>
      <c r="BI512" s="26"/>
      <c r="BJ512" s="26"/>
      <c r="BK512" s="26"/>
      <c r="BL512" s="26"/>
      <c r="BM512" s="26"/>
      <c r="BN512" s="26"/>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96"/>
      <c r="CP512" s="14"/>
      <c r="CQ512" s="14"/>
      <c r="CR512" s="14"/>
      <c r="CS512" s="14"/>
      <c r="CT512" s="1"/>
      <c r="CU512" s="14"/>
      <c r="CV512" s="1"/>
      <c r="CW512" s="1"/>
      <c r="CX512" s="14"/>
      <c r="CY512" s="1"/>
      <c r="CZ512" s="1"/>
      <c r="DA512" s="1"/>
      <c r="DB512" s="1"/>
      <c r="DC512" s="1"/>
      <c r="DD512" s="1"/>
      <c r="DE512" s="1"/>
      <c r="DF512" s="1"/>
      <c r="DG512" s="1"/>
      <c r="DH512" s="1"/>
      <c r="DI512" s="1"/>
      <c r="DJ512" s="1"/>
      <c r="DK512" s="1"/>
      <c r="DL512" s="1"/>
      <c r="DM512" s="1"/>
      <c r="DN512" s="1"/>
      <c r="DO512" s="1"/>
      <c r="DP512" s="1"/>
      <c r="DQ512" s="1"/>
      <c r="DR512" s="1"/>
      <c r="DS512" s="1"/>
      <c r="DT512" s="1"/>
      <c r="DU512" s="14"/>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29"/>
    </row>
    <row r="513" spans="1:160" x14ac:dyDescent="0.25">
      <c r="A513" s="5"/>
      <c r="B513" s="1"/>
      <c r="C513" s="98"/>
      <c r="D513" s="98"/>
      <c r="E513" s="1"/>
      <c r="F513" s="22"/>
      <c r="G513" s="22"/>
      <c r="H513" s="22"/>
      <c r="I513" s="22"/>
      <c r="J513" s="22"/>
      <c r="K513" s="22"/>
      <c r="L513" s="22"/>
      <c r="M513" s="22"/>
      <c r="N513" s="22"/>
      <c r="O513" s="22"/>
      <c r="P513" s="22"/>
      <c r="Q513" s="22"/>
      <c r="R513" s="1"/>
      <c r="S513" s="1"/>
      <c r="T513" s="8"/>
      <c r="U513" s="1"/>
      <c r="V513" s="1"/>
      <c r="W513" s="1"/>
      <c r="X513" s="1"/>
      <c r="Y513" s="1"/>
      <c r="Z513" s="1"/>
      <c r="AA513" s="1"/>
      <c r="AC513" s="1"/>
      <c r="AD513" s="1"/>
      <c r="AE513" s="1"/>
      <c r="AF513" s="1"/>
      <c r="AG513" s="1"/>
      <c r="AH513" s="26"/>
      <c r="AI513" s="26"/>
      <c r="AJ513" s="26"/>
      <c r="AK513" s="26"/>
      <c r="AL513" s="26"/>
      <c r="AM513" s="26"/>
      <c r="AN513" s="26"/>
      <c r="AO513" s="26"/>
      <c r="AP513" s="26"/>
      <c r="AQ513" s="26"/>
      <c r="AR513" s="26"/>
      <c r="AS513" s="26"/>
      <c r="AT513" s="26"/>
      <c r="AU513" s="26"/>
      <c r="AV513" s="26"/>
      <c r="AW513" s="26"/>
      <c r="AX513" s="26"/>
      <c r="AY513" s="1"/>
      <c r="AZ513" s="26"/>
      <c r="BA513" s="26"/>
      <c r="BB513" s="26"/>
      <c r="BC513" s="26"/>
      <c r="BD513" s="26"/>
      <c r="BE513" s="26"/>
      <c r="BF513" s="26"/>
      <c r="BG513" s="26"/>
      <c r="BH513" s="26"/>
      <c r="BI513" s="26"/>
      <c r="BJ513" s="26"/>
      <c r="BK513" s="26"/>
      <c r="BL513" s="26"/>
      <c r="BM513" s="26"/>
      <c r="BN513" s="26"/>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96"/>
      <c r="CP513" s="14"/>
      <c r="CQ513" s="14"/>
      <c r="CR513" s="14"/>
      <c r="CS513" s="14"/>
      <c r="CT513" s="1"/>
      <c r="CU513" s="14"/>
      <c r="CV513" s="1"/>
      <c r="CW513" s="1"/>
      <c r="CX513" s="14"/>
      <c r="CY513" s="1"/>
      <c r="CZ513" s="1"/>
      <c r="DA513" s="1"/>
      <c r="DB513" s="1"/>
      <c r="DC513" s="1"/>
      <c r="DD513" s="1"/>
      <c r="DE513" s="1"/>
      <c r="DF513" s="1"/>
      <c r="DG513" s="1"/>
      <c r="DH513" s="1"/>
      <c r="DI513" s="1"/>
      <c r="DJ513" s="1"/>
      <c r="DK513" s="1"/>
      <c r="DL513" s="1"/>
      <c r="DM513" s="1"/>
      <c r="DN513" s="1"/>
      <c r="DO513" s="1"/>
      <c r="DP513" s="1"/>
      <c r="DQ513" s="1"/>
      <c r="DR513" s="1"/>
      <c r="DS513" s="1"/>
      <c r="DT513" s="1"/>
      <c r="DU513" s="14"/>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29"/>
    </row>
    <row r="514" spans="1:160" x14ac:dyDescent="0.25">
      <c r="A514" s="5"/>
      <c r="B514" s="1"/>
      <c r="C514" s="98"/>
      <c r="D514" s="98"/>
      <c r="E514" s="1"/>
      <c r="F514" s="22"/>
      <c r="G514" s="22"/>
      <c r="H514" s="22"/>
      <c r="I514" s="22"/>
      <c r="J514" s="22"/>
      <c r="K514" s="22"/>
      <c r="L514" s="22"/>
      <c r="M514" s="22"/>
      <c r="N514" s="22"/>
      <c r="O514" s="22"/>
      <c r="P514" s="22"/>
      <c r="Q514" s="22"/>
      <c r="R514" s="1"/>
      <c r="S514" s="1"/>
      <c r="T514" s="8"/>
      <c r="U514" s="1"/>
      <c r="V514" s="1"/>
      <c r="W514" s="1"/>
      <c r="X514" s="1"/>
      <c r="Y514" s="1"/>
      <c r="Z514" s="1"/>
      <c r="AA514" s="1"/>
      <c r="AC514" s="1"/>
      <c r="AD514" s="1"/>
      <c r="AE514" s="1"/>
      <c r="AF514" s="1"/>
      <c r="AG514" s="1"/>
      <c r="AH514" s="26"/>
      <c r="AI514" s="26"/>
      <c r="AJ514" s="26"/>
      <c r="AK514" s="26"/>
      <c r="AL514" s="26"/>
      <c r="AM514" s="26"/>
      <c r="AN514" s="26"/>
      <c r="AO514" s="26"/>
      <c r="AP514" s="26"/>
      <c r="AQ514" s="26"/>
      <c r="AR514" s="26"/>
      <c r="AS514" s="26"/>
      <c r="AT514" s="26"/>
      <c r="AU514" s="26"/>
      <c r="AV514" s="26"/>
      <c r="AW514" s="26"/>
      <c r="AX514" s="26"/>
      <c r="AY514" s="1"/>
      <c r="AZ514" s="26"/>
      <c r="BA514" s="26"/>
      <c r="BB514" s="26"/>
      <c r="BC514" s="26"/>
      <c r="BD514" s="26"/>
      <c r="BE514" s="26"/>
      <c r="BF514" s="26"/>
      <c r="BG514" s="26"/>
      <c r="BH514" s="26"/>
      <c r="BI514" s="26"/>
      <c r="BJ514" s="26"/>
      <c r="BK514" s="26"/>
      <c r="BL514" s="26"/>
      <c r="BM514" s="26"/>
      <c r="BN514" s="26"/>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96"/>
      <c r="CP514" s="14"/>
      <c r="CQ514" s="14"/>
      <c r="CR514" s="14"/>
      <c r="CS514" s="14"/>
      <c r="CT514" s="1"/>
      <c r="CU514" s="14"/>
      <c r="CV514" s="1"/>
      <c r="CW514" s="1"/>
      <c r="CX514" s="14"/>
      <c r="CY514" s="1"/>
      <c r="CZ514" s="1"/>
      <c r="DA514" s="1"/>
      <c r="DB514" s="1"/>
      <c r="DC514" s="1"/>
      <c r="DD514" s="1"/>
      <c r="DE514" s="1"/>
      <c r="DF514" s="1"/>
      <c r="DG514" s="1"/>
      <c r="DH514" s="1"/>
      <c r="DI514" s="1"/>
      <c r="DJ514" s="1"/>
      <c r="DK514" s="1"/>
      <c r="DL514" s="1"/>
      <c r="DM514" s="1"/>
      <c r="DN514" s="1"/>
      <c r="DO514" s="1"/>
      <c r="DP514" s="1"/>
      <c r="DQ514" s="1"/>
      <c r="DR514" s="1"/>
      <c r="DS514" s="1"/>
      <c r="DT514" s="1"/>
      <c r="DU514" s="14"/>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29"/>
    </row>
    <row r="515" spans="1:160" x14ac:dyDescent="0.25">
      <c r="A515" s="5"/>
      <c r="B515" s="1"/>
      <c r="C515" s="98"/>
      <c r="D515" s="98"/>
      <c r="E515" s="1"/>
      <c r="F515" s="22"/>
      <c r="G515" s="22"/>
      <c r="H515" s="22"/>
      <c r="I515" s="22"/>
      <c r="J515" s="22"/>
      <c r="K515" s="22"/>
      <c r="L515" s="22"/>
      <c r="M515" s="22"/>
      <c r="N515" s="22"/>
      <c r="O515" s="22"/>
      <c r="P515" s="22"/>
      <c r="Q515" s="22"/>
      <c r="R515" s="1"/>
      <c r="S515" s="1"/>
      <c r="T515" s="8"/>
      <c r="U515" s="1"/>
      <c r="V515" s="1"/>
      <c r="W515" s="1"/>
      <c r="X515" s="1"/>
      <c r="Y515" s="1"/>
      <c r="Z515" s="1"/>
      <c r="AA515" s="1"/>
      <c r="AC515" s="1"/>
      <c r="AD515" s="1"/>
      <c r="AE515" s="1"/>
      <c r="AF515" s="1"/>
      <c r="AG515" s="1"/>
      <c r="AH515" s="26"/>
      <c r="AI515" s="26"/>
      <c r="AJ515" s="26"/>
      <c r="AK515" s="26"/>
      <c r="AL515" s="26"/>
      <c r="AM515" s="26"/>
      <c r="AN515" s="26"/>
      <c r="AO515" s="26"/>
      <c r="AP515" s="26"/>
      <c r="AQ515" s="26"/>
      <c r="AR515" s="26"/>
      <c r="AS515" s="26"/>
      <c r="AT515" s="26"/>
      <c r="AU515" s="26"/>
      <c r="AV515" s="26"/>
      <c r="AW515" s="26"/>
      <c r="AX515" s="26"/>
      <c r="AY515" s="1"/>
      <c r="AZ515" s="26"/>
      <c r="BA515" s="26"/>
      <c r="BB515" s="26"/>
      <c r="BC515" s="26"/>
      <c r="BD515" s="26"/>
      <c r="BE515" s="26"/>
      <c r="BF515" s="26"/>
      <c r="BG515" s="26"/>
      <c r="BH515" s="26"/>
      <c r="BI515" s="26"/>
      <c r="BJ515" s="26"/>
      <c r="BK515" s="26"/>
      <c r="BL515" s="26"/>
      <c r="BM515" s="26"/>
      <c r="BN515" s="26"/>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96"/>
      <c r="CP515" s="14"/>
      <c r="CQ515" s="14"/>
      <c r="CR515" s="14"/>
      <c r="CS515" s="14"/>
      <c r="CT515" s="1"/>
      <c r="CU515" s="14"/>
      <c r="CV515" s="1"/>
      <c r="CW515" s="1"/>
      <c r="CX515" s="14"/>
      <c r="CY515" s="1"/>
      <c r="CZ515" s="1"/>
      <c r="DA515" s="1"/>
      <c r="DB515" s="1"/>
      <c r="DC515" s="1"/>
      <c r="DD515" s="1"/>
      <c r="DE515" s="1"/>
      <c r="DF515" s="1"/>
      <c r="DG515" s="1"/>
      <c r="DH515" s="1"/>
      <c r="DI515" s="1"/>
      <c r="DJ515" s="1"/>
      <c r="DK515" s="1"/>
      <c r="DL515" s="1"/>
      <c r="DM515" s="1"/>
      <c r="DN515" s="1"/>
      <c r="DO515" s="1"/>
      <c r="DP515" s="1"/>
      <c r="DQ515" s="1"/>
      <c r="DR515" s="1"/>
      <c r="DS515" s="1"/>
      <c r="DT515" s="1"/>
      <c r="DU515" s="14"/>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29"/>
    </row>
    <row r="516" spans="1:160" x14ac:dyDescent="0.25">
      <c r="A516" s="5"/>
      <c r="B516" s="1"/>
      <c r="C516" s="98"/>
      <c r="D516" s="98"/>
      <c r="E516" s="1"/>
      <c r="F516" s="22"/>
      <c r="G516" s="22"/>
      <c r="H516" s="22"/>
      <c r="I516" s="22"/>
      <c r="J516" s="22"/>
      <c r="K516" s="22"/>
      <c r="L516" s="22"/>
      <c r="M516" s="22"/>
      <c r="N516" s="22"/>
      <c r="O516" s="22"/>
      <c r="P516" s="22"/>
      <c r="Q516" s="22"/>
      <c r="R516" s="1"/>
      <c r="S516" s="1"/>
      <c r="T516" s="8"/>
      <c r="U516" s="1"/>
      <c r="V516" s="1"/>
      <c r="W516" s="1"/>
      <c r="X516" s="1"/>
      <c r="Y516" s="1"/>
      <c r="Z516" s="1"/>
      <c r="AA516" s="1"/>
      <c r="AC516" s="1"/>
      <c r="AD516" s="1"/>
      <c r="AE516" s="1"/>
      <c r="AF516" s="1"/>
      <c r="AG516" s="1"/>
      <c r="AH516" s="26"/>
      <c r="AI516" s="26"/>
      <c r="AJ516" s="26"/>
      <c r="AK516" s="26"/>
      <c r="AL516" s="26"/>
      <c r="AM516" s="26"/>
      <c r="AN516" s="26"/>
      <c r="AO516" s="26"/>
      <c r="AP516" s="26"/>
      <c r="AQ516" s="26"/>
      <c r="AR516" s="26"/>
      <c r="AS516" s="26"/>
      <c r="AT516" s="26"/>
      <c r="AU516" s="26"/>
      <c r="AV516" s="26"/>
      <c r="AW516" s="26"/>
      <c r="AX516" s="26"/>
      <c r="AY516" s="1"/>
      <c r="AZ516" s="26"/>
      <c r="BA516" s="26"/>
      <c r="BB516" s="26"/>
      <c r="BC516" s="26"/>
      <c r="BD516" s="26"/>
      <c r="BE516" s="26"/>
      <c r="BF516" s="26"/>
      <c r="BG516" s="26"/>
      <c r="BH516" s="26"/>
      <c r="BI516" s="26"/>
      <c r="BJ516" s="26"/>
      <c r="BK516" s="26"/>
      <c r="BL516" s="26"/>
      <c r="BM516" s="26"/>
      <c r="BN516" s="26"/>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96"/>
      <c r="CP516" s="14"/>
      <c r="CQ516" s="14"/>
      <c r="CR516" s="14"/>
      <c r="CS516" s="14"/>
      <c r="CT516" s="1"/>
      <c r="CU516" s="14"/>
      <c r="CV516" s="1"/>
      <c r="CW516" s="1"/>
      <c r="CX516" s="14"/>
      <c r="CY516" s="1"/>
      <c r="CZ516" s="1"/>
      <c r="DA516" s="1"/>
      <c r="DB516" s="1"/>
      <c r="DC516" s="1"/>
      <c r="DD516" s="1"/>
      <c r="DE516" s="1"/>
      <c r="DF516" s="1"/>
      <c r="DG516" s="1"/>
      <c r="DH516" s="1"/>
      <c r="DI516" s="1"/>
      <c r="DJ516" s="1"/>
      <c r="DK516" s="1"/>
      <c r="DL516" s="1"/>
      <c r="DM516" s="1"/>
      <c r="DN516" s="1"/>
      <c r="DO516" s="1"/>
      <c r="DP516" s="1"/>
      <c r="DQ516" s="1"/>
      <c r="DR516" s="1"/>
      <c r="DS516" s="1"/>
      <c r="DT516" s="1"/>
      <c r="DU516" s="14"/>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29"/>
    </row>
    <row r="517" spans="1:160" x14ac:dyDescent="0.25">
      <c r="A517" s="5"/>
      <c r="B517" s="1"/>
      <c r="C517" s="98"/>
      <c r="D517" s="98"/>
      <c r="E517" s="1"/>
      <c r="F517" s="22"/>
      <c r="G517" s="22"/>
      <c r="H517" s="22"/>
      <c r="I517" s="22"/>
      <c r="J517" s="22"/>
      <c r="K517" s="22"/>
      <c r="L517" s="22"/>
      <c r="M517" s="22"/>
      <c r="N517" s="22"/>
      <c r="O517" s="22"/>
      <c r="P517" s="22"/>
      <c r="Q517" s="22"/>
      <c r="R517" s="1"/>
      <c r="S517" s="1"/>
      <c r="T517" s="8"/>
      <c r="U517" s="1"/>
      <c r="V517" s="1"/>
      <c r="W517" s="1"/>
      <c r="X517" s="1"/>
      <c r="Y517" s="1"/>
      <c r="Z517" s="1"/>
      <c r="AA517" s="1"/>
      <c r="AC517" s="1"/>
      <c r="AD517" s="1"/>
      <c r="AE517" s="1"/>
      <c r="AF517" s="1"/>
      <c r="AG517" s="1"/>
      <c r="AH517" s="26"/>
      <c r="AI517" s="26"/>
      <c r="AJ517" s="26"/>
      <c r="AK517" s="26"/>
      <c r="AL517" s="26"/>
      <c r="AM517" s="26"/>
      <c r="AN517" s="26"/>
      <c r="AO517" s="26"/>
      <c r="AP517" s="26"/>
      <c r="AQ517" s="26"/>
      <c r="AR517" s="26"/>
      <c r="AS517" s="26"/>
      <c r="AT517" s="26"/>
      <c r="AU517" s="26"/>
      <c r="AV517" s="26"/>
      <c r="AW517" s="26"/>
      <c r="AX517" s="26"/>
      <c r="AY517" s="1"/>
      <c r="AZ517" s="26"/>
      <c r="BA517" s="26"/>
      <c r="BB517" s="26"/>
      <c r="BC517" s="26"/>
      <c r="BD517" s="26"/>
      <c r="BE517" s="26"/>
      <c r="BF517" s="26"/>
      <c r="BG517" s="26"/>
      <c r="BH517" s="26"/>
      <c r="BI517" s="26"/>
      <c r="BJ517" s="26"/>
      <c r="BK517" s="26"/>
      <c r="BL517" s="26"/>
      <c r="BM517" s="26"/>
      <c r="BN517" s="26"/>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96"/>
      <c r="CP517" s="14"/>
      <c r="CQ517" s="14"/>
      <c r="CR517" s="14"/>
      <c r="CS517" s="14"/>
      <c r="CT517" s="1"/>
      <c r="CU517" s="14"/>
      <c r="CV517" s="1"/>
      <c r="CW517" s="1"/>
      <c r="CX517" s="14"/>
      <c r="CY517" s="1"/>
      <c r="CZ517" s="1"/>
      <c r="DA517" s="1"/>
      <c r="DB517" s="1"/>
      <c r="DC517" s="1"/>
      <c r="DD517" s="1"/>
      <c r="DE517" s="1"/>
      <c r="DF517" s="1"/>
      <c r="DG517" s="1"/>
      <c r="DH517" s="1"/>
      <c r="DI517" s="1"/>
      <c r="DJ517" s="1"/>
      <c r="DK517" s="1"/>
      <c r="DL517" s="1"/>
      <c r="DM517" s="1"/>
      <c r="DN517" s="1"/>
      <c r="DO517" s="1"/>
      <c r="DP517" s="1"/>
      <c r="DQ517" s="1"/>
      <c r="DR517" s="1"/>
      <c r="DS517" s="1"/>
      <c r="DT517" s="1"/>
      <c r="DU517" s="14"/>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29"/>
    </row>
    <row r="518" spans="1:160" x14ac:dyDescent="0.25">
      <c r="A518" s="5"/>
      <c r="B518" s="1"/>
      <c r="C518" s="98"/>
      <c r="D518" s="98"/>
      <c r="E518" s="1"/>
      <c r="F518" s="22"/>
      <c r="G518" s="22"/>
      <c r="H518" s="22"/>
      <c r="I518" s="22"/>
      <c r="J518" s="22"/>
      <c r="K518" s="22"/>
      <c r="L518" s="22"/>
      <c r="M518" s="22"/>
      <c r="N518" s="22"/>
      <c r="O518" s="22"/>
      <c r="P518" s="22"/>
      <c r="Q518" s="22"/>
      <c r="R518" s="1"/>
      <c r="S518" s="1"/>
      <c r="T518" s="8"/>
      <c r="U518" s="1"/>
      <c r="V518" s="1"/>
      <c r="W518" s="1"/>
      <c r="X518" s="1"/>
      <c r="Y518" s="1"/>
      <c r="Z518" s="1"/>
      <c r="AA518" s="1"/>
      <c r="AC518" s="1"/>
      <c r="AD518" s="1"/>
      <c r="AE518" s="1"/>
      <c r="AF518" s="1"/>
      <c r="AG518" s="1"/>
      <c r="AH518" s="26"/>
      <c r="AI518" s="26"/>
      <c r="AJ518" s="26"/>
      <c r="AK518" s="26"/>
      <c r="AL518" s="26"/>
      <c r="AM518" s="26"/>
      <c r="AN518" s="26"/>
      <c r="AO518" s="26"/>
      <c r="AP518" s="26"/>
      <c r="AQ518" s="26"/>
      <c r="AR518" s="26"/>
      <c r="AS518" s="26"/>
      <c r="AT518" s="26"/>
      <c r="AU518" s="26"/>
      <c r="AV518" s="26"/>
      <c r="AW518" s="26"/>
      <c r="AX518" s="26"/>
      <c r="AY518" s="1"/>
      <c r="AZ518" s="26"/>
      <c r="BA518" s="26"/>
      <c r="BB518" s="26"/>
      <c r="BC518" s="26"/>
      <c r="BD518" s="26"/>
      <c r="BE518" s="26"/>
      <c r="BF518" s="26"/>
      <c r="BG518" s="26"/>
      <c r="BH518" s="26"/>
      <c r="BI518" s="26"/>
      <c r="BJ518" s="26"/>
      <c r="BK518" s="26"/>
      <c r="BL518" s="26"/>
      <c r="BM518" s="26"/>
      <c r="BN518" s="26"/>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96"/>
      <c r="CP518" s="14"/>
      <c r="CQ518" s="14"/>
      <c r="CR518" s="14"/>
      <c r="CS518" s="14"/>
      <c r="CT518" s="1"/>
      <c r="CU518" s="14"/>
      <c r="CV518" s="1"/>
      <c r="CW518" s="1"/>
      <c r="CX518" s="14"/>
      <c r="CY518" s="1"/>
      <c r="CZ518" s="1"/>
      <c r="DA518" s="1"/>
      <c r="DB518" s="1"/>
      <c r="DC518" s="1"/>
      <c r="DD518" s="1"/>
      <c r="DE518" s="1"/>
      <c r="DF518" s="1"/>
      <c r="DG518" s="1"/>
      <c r="DH518" s="1"/>
      <c r="DI518" s="1"/>
      <c r="DJ518" s="1"/>
      <c r="DK518" s="1"/>
      <c r="DL518" s="1"/>
      <c r="DM518" s="1"/>
      <c r="DN518" s="1"/>
      <c r="DO518" s="1"/>
      <c r="DP518" s="1"/>
      <c r="DQ518" s="1"/>
      <c r="DR518" s="1"/>
      <c r="DS518" s="1"/>
      <c r="DT518" s="1"/>
      <c r="DU518" s="14"/>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29"/>
    </row>
    <row r="519" spans="1:160" x14ac:dyDescent="0.25">
      <c r="A519" s="5"/>
      <c r="B519" s="1"/>
      <c r="C519" s="98"/>
      <c r="D519" s="98"/>
      <c r="E519" s="1"/>
      <c r="F519" s="22"/>
      <c r="G519" s="22"/>
      <c r="H519" s="22"/>
      <c r="I519" s="22"/>
      <c r="J519" s="22"/>
      <c r="K519" s="22"/>
      <c r="L519" s="22"/>
      <c r="M519" s="22"/>
      <c r="N519" s="22"/>
      <c r="O519" s="22"/>
      <c r="P519" s="22"/>
      <c r="Q519" s="22"/>
      <c r="R519" s="1"/>
      <c r="S519" s="1"/>
      <c r="T519" s="8"/>
      <c r="U519" s="1"/>
      <c r="V519" s="1"/>
      <c r="W519" s="1"/>
      <c r="X519" s="1"/>
      <c r="Y519" s="1"/>
      <c r="Z519" s="1"/>
      <c r="AA519" s="1"/>
      <c r="AC519" s="1"/>
      <c r="AD519" s="1"/>
      <c r="AE519" s="1"/>
      <c r="AF519" s="1"/>
      <c r="AG519" s="1"/>
      <c r="AH519" s="26"/>
      <c r="AI519" s="26"/>
      <c r="AJ519" s="26"/>
      <c r="AK519" s="26"/>
      <c r="AL519" s="26"/>
      <c r="AM519" s="26"/>
      <c r="AN519" s="26"/>
      <c r="AO519" s="26"/>
      <c r="AP519" s="26"/>
      <c r="AQ519" s="26"/>
      <c r="AR519" s="26"/>
      <c r="AS519" s="26"/>
      <c r="AT519" s="26"/>
      <c r="AU519" s="26"/>
      <c r="AV519" s="26"/>
      <c r="AW519" s="26"/>
      <c r="AX519" s="26"/>
      <c r="AY519" s="1"/>
      <c r="AZ519" s="26"/>
      <c r="BA519" s="26"/>
      <c r="BB519" s="26"/>
      <c r="BC519" s="26"/>
      <c r="BD519" s="26"/>
      <c r="BE519" s="26"/>
      <c r="BF519" s="26"/>
      <c r="BG519" s="26"/>
      <c r="BH519" s="26"/>
      <c r="BI519" s="26"/>
      <c r="BJ519" s="26"/>
      <c r="BK519" s="26"/>
      <c r="BL519" s="26"/>
      <c r="BM519" s="26"/>
      <c r="BN519" s="26"/>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96"/>
      <c r="CP519" s="14"/>
      <c r="CQ519" s="14"/>
      <c r="CR519" s="14"/>
      <c r="CS519" s="14"/>
      <c r="CT519" s="1"/>
      <c r="CU519" s="14"/>
      <c r="CV519" s="1"/>
      <c r="CW519" s="1"/>
      <c r="CX519" s="14"/>
      <c r="CY519" s="1"/>
      <c r="CZ519" s="1"/>
      <c r="DA519" s="1"/>
      <c r="DB519" s="1"/>
      <c r="DC519" s="1"/>
      <c r="DD519" s="1"/>
      <c r="DE519" s="1"/>
      <c r="DF519" s="1"/>
      <c r="DG519" s="1"/>
      <c r="DH519" s="1"/>
      <c r="DI519" s="1"/>
      <c r="DJ519" s="1"/>
      <c r="DK519" s="1"/>
      <c r="DL519" s="1"/>
      <c r="DM519" s="1"/>
      <c r="DN519" s="1"/>
      <c r="DO519" s="1"/>
      <c r="DP519" s="1"/>
      <c r="DQ519" s="1"/>
      <c r="DR519" s="1"/>
      <c r="DS519" s="1"/>
      <c r="DT519" s="1"/>
      <c r="DU519" s="14"/>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29"/>
    </row>
    <row r="520" spans="1:160" x14ac:dyDescent="0.25">
      <c r="A520" s="5"/>
      <c r="B520" s="1"/>
      <c r="C520" s="98"/>
      <c r="D520" s="98"/>
      <c r="E520" s="1"/>
      <c r="F520" s="22"/>
      <c r="G520" s="22"/>
      <c r="H520" s="22"/>
      <c r="I520" s="22"/>
      <c r="J520" s="22"/>
      <c r="K520" s="22"/>
      <c r="L520" s="22"/>
      <c r="M520" s="22"/>
      <c r="N520" s="22"/>
      <c r="O520" s="22"/>
      <c r="P520" s="22"/>
      <c r="Q520" s="22"/>
      <c r="R520" s="1"/>
      <c r="S520" s="1"/>
      <c r="T520" s="8"/>
      <c r="U520" s="1"/>
      <c r="V520" s="1"/>
      <c r="W520" s="1"/>
      <c r="X520" s="1"/>
      <c r="Y520" s="1"/>
      <c r="Z520" s="1"/>
      <c r="AA520" s="1"/>
      <c r="AC520" s="1"/>
      <c r="AD520" s="1"/>
      <c r="AE520" s="1"/>
      <c r="AF520" s="1"/>
      <c r="AG520" s="1"/>
      <c r="AH520" s="26"/>
      <c r="AI520" s="26"/>
      <c r="AJ520" s="26"/>
      <c r="AK520" s="26"/>
      <c r="AL520" s="26"/>
      <c r="AM520" s="26"/>
      <c r="AN520" s="26"/>
      <c r="AO520" s="26"/>
      <c r="AP520" s="26"/>
      <c r="AQ520" s="26"/>
      <c r="AR520" s="26"/>
      <c r="AS520" s="26"/>
      <c r="AT520" s="26"/>
      <c r="AU520" s="26"/>
      <c r="AV520" s="26"/>
      <c r="AW520" s="26"/>
      <c r="AX520" s="26"/>
      <c r="AY520" s="1"/>
      <c r="AZ520" s="26"/>
      <c r="BA520" s="26"/>
      <c r="BB520" s="26"/>
      <c r="BC520" s="26"/>
      <c r="BD520" s="26"/>
      <c r="BE520" s="26"/>
      <c r="BF520" s="26"/>
      <c r="BG520" s="26"/>
      <c r="BH520" s="26"/>
      <c r="BI520" s="26"/>
      <c r="BJ520" s="26"/>
      <c r="BK520" s="26"/>
      <c r="BL520" s="26"/>
      <c r="BM520" s="26"/>
      <c r="BN520" s="26"/>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96"/>
      <c r="CP520" s="14"/>
      <c r="CQ520" s="14"/>
      <c r="CR520" s="14"/>
      <c r="CS520" s="14"/>
      <c r="CT520" s="1"/>
      <c r="CU520" s="14"/>
      <c r="CV520" s="1"/>
      <c r="CW520" s="1"/>
      <c r="CX520" s="14"/>
      <c r="CY520" s="1"/>
      <c r="CZ520" s="1"/>
      <c r="DA520" s="1"/>
      <c r="DB520" s="1"/>
      <c r="DC520" s="1"/>
      <c r="DD520" s="1"/>
      <c r="DE520" s="1"/>
      <c r="DF520" s="1"/>
      <c r="DG520" s="1"/>
      <c r="DH520" s="1"/>
      <c r="DI520" s="1"/>
      <c r="DJ520" s="1"/>
      <c r="DK520" s="1"/>
      <c r="DL520" s="1"/>
      <c r="DM520" s="1"/>
      <c r="DN520" s="1"/>
      <c r="DO520" s="1"/>
      <c r="DP520" s="1"/>
      <c r="DQ520" s="1"/>
      <c r="DR520" s="1"/>
      <c r="DS520" s="1"/>
      <c r="DT520" s="1"/>
      <c r="DU520" s="14"/>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29"/>
    </row>
    <row r="521" spans="1:160" x14ac:dyDescent="0.25">
      <c r="A521" s="5"/>
      <c r="B521" s="1"/>
      <c r="C521" s="98"/>
      <c r="D521" s="98"/>
      <c r="E521" s="1"/>
      <c r="F521" s="22"/>
      <c r="G521" s="22"/>
      <c r="H521" s="22"/>
      <c r="I521" s="22"/>
      <c r="J521" s="22"/>
      <c r="K521" s="22"/>
      <c r="L521" s="22"/>
      <c r="M521" s="22"/>
      <c r="N521" s="22"/>
      <c r="O521" s="22"/>
      <c r="P521" s="22"/>
      <c r="Q521" s="22"/>
      <c r="R521" s="1"/>
      <c r="S521" s="1"/>
      <c r="T521" s="8"/>
      <c r="U521" s="1"/>
      <c r="V521" s="1"/>
      <c r="W521" s="1"/>
      <c r="X521" s="1"/>
      <c r="Y521" s="1"/>
      <c r="Z521" s="1"/>
      <c r="AA521" s="1"/>
      <c r="AC521" s="1"/>
      <c r="AD521" s="1"/>
      <c r="AE521" s="1"/>
      <c r="AF521" s="1"/>
      <c r="AG521" s="1"/>
      <c r="AH521" s="26"/>
      <c r="AI521" s="26"/>
      <c r="AJ521" s="26"/>
      <c r="AK521" s="26"/>
      <c r="AL521" s="26"/>
      <c r="AM521" s="26"/>
      <c r="AN521" s="26"/>
      <c r="AO521" s="26"/>
      <c r="AP521" s="26"/>
      <c r="AQ521" s="26"/>
      <c r="AR521" s="26"/>
      <c r="AS521" s="26"/>
      <c r="AT521" s="26"/>
      <c r="AU521" s="26"/>
      <c r="AV521" s="26"/>
      <c r="AW521" s="26"/>
      <c r="AX521" s="26"/>
      <c r="AY521" s="1"/>
      <c r="AZ521" s="26"/>
      <c r="BA521" s="26"/>
      <c r="BB521" s="26"/>
      <c r="BC521" s="26"/>
      <c r="BD521" s="26"/>
      <c r="BE521" s="26"/>
      <c r="BF521" s="26"/>
      <c r="BG521" s="26"/>
      <c r="BH521" s="26"/>
      <c r="BI521" s="26"/>
      <c r="BJ521" s="26"/>
      <c r="BK521" s="26"/>
      <c r="BL521" s="26"/>
      <c r="BM521" s="26"/>
      <c r="BN521" s="26"/>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96"/>
      <c r="CP521" s="14"/>
      <c r="CQ521" s="14"/>
      <c r="CR521" s="14"/>
      <c r="CS521" s="14"/>
      <c r="CT521" s="1"/>
      <c r="CU521" s="14"/>
      <c r="CV521" s="1"/>
      <c r="CW521" s="1"/>
      <c r="CX521" s="14"/>
      <c r="CY521" s="1"/>
      <c r="CZ521" s="1"/>
      <c r="DA521" s="1"/>
      <c r="DB521" s="1"/>
      <c r="DC521" s="1"/>
      <c r="DD521" s="1"/>
      <c r="DE521" s="1"/>
      <c r="DF521" s="1"/>
      <c r="DG521" s="1"/>
      <c r="DH521" s="1"/>
      <c r="DI521" s="1"/>
      <c r="DJ521" s="1"/>
      <c r="DK521" s="1"/>
      <c r="DL521" s="1"/>
      <c r="DM521" s="1"/>
      <c r="DN521" s="1"/>
      <c r="DO521" s="1"/>
      <c r="DP521" s="1"/>
      <c r="DQ521" s="1"/>
      <c r="DR521" s="1"/>
      <c r="DS521" s="1"/>
      <c r="DT521" s="1"/>
      <c r="DU521" s="14"/>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29"/>
    </row>
    <row r="522" spans="1:160" x14ac:dyDescent="0.25">
      <c r="A522" s="5"/>
      <c r="B522" s="1"/>
      <c r="C522" s="98"/>
      <c r="D522" s="98"/>
      <c r="E522" s="1"/>
      <c r="F522" s="22"/>
      <c r="G522" s="22"/>
      <c r="H522" s="22"/>
      <c r="I522" s="22"/>
      <c r="J522" s="22"/>
      <c r="K522" s="22"/>
      <c r="L522" s="22"/>
      <c r="M522" s="22"/>
      <c r="N522" s="22"/>
      <c r="O522" s="22"/>
      <c r="P522" s="22"/>
      <c r="Q522" s="22"/>
      <c r="R522" s="1"/>
      <c r="S522" s="1"/>
      <c r="T522" s="8"/>
      <c r="U522" s="1"/>
      <c r="V522" s="1"/>
      <c r="W522" s="1"/>
      <c r="X522" s="1"/>
      <c r="Y522" s="1"/>
      <c r="Z522" s="1"/>
      <c r="AA522" s="1"/>
      <c r="AC522" s="1"/>
      <c r="AD522" s="1"/>
      <c r="AE522" s="1"/>
      <c r="AF522" s="1"/>
      <c r="AG522" s="1"/>
      <c r="AH522" s="26"/>
      <c r="AI522" s="26"/>
      <c r="AJ522" s="26"/>
      <c r="AK522" s="26"/>
      <c r="AL522" s="26"/>
      <c r="AM522" s="26"/>
      <c r="AN522" s="26"/>
      <c r="AO522" s="26"/>
      <c r="AP522" s="26"/>
      <c r="AQ522" s="26"/>
      <c r="AR522" s="26"/>
      <c r="AS522" s="26"/>
      <c r="AT522" s="26"/>
      <c r="AU522" s="26"/>
      <c r="AV522" s="26"/>
      <c r="AW522" s="26"/>
      <c r="AX522" s="26"/>
      <c r="AY522" s="1"/>
      <c r="AZ522" s="26"/>
      <c r="BA522" s="26"/>
      <c r="BB522" s="26"/>
      <c r="BC522" s="26"/>
      <c r="BD522" s="26"/>
      <c r="BE522" s="26"/>
      <c r="BF522" s="26"/>
      <c r="BG522" s="26"/>
      <c r="BH522" s="26"/>
      <c r="BI522" s="26"/>
      <c r="BJ522" s="26"/>
      <c r="BK522" s="26"/>
      <c r="BL522" s="26"/>
      <c r="BM522" s="26"/>
      <c r="BN522" s="26"/>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96"/>
      <c r="CP522" s="14"/>
      <c r="CQ522" s="14"/>
      <c r="CR522" s="14"/>
      <c r="CS522" s="14"/>
      <c r="CT522" s="1"/>
      <c r="CU522" s="14"/>
      <c r="CV522" s="1"/>
      <c r="CW522" s="1"/>
      <c r="CX522" s="14"/>
      <c r="CY522" s="1"/>
      <c r="CZ522" s="1"/>
      <c r="DA522" s="1"/>
      <c r="DB522" s="1"/>
      <c r="DC522" s="1"/>
      <c r="DD522" s="1"/>
      <c r="DE522" s="1"/>
      <c r="DF522" s="1"/>
      <c r="DG522" s="1"/>
      <c r="DH522" s="1"/>
      <c r="DI522" s="1"/>
      <c r="DJ522" s="1"/>
      <c r="DK522" s="1"/>
      <c r="DL522" s="1"/>
      <c r="DM522" s="1"/>
      <c r="DN522" s="1"/>
      <c r="DO522" s="1"/>
      <c r="DP522" s="1"/>
      <c r="DQ522" s="1"/>
      <c r="DR522" s="1"/>
      <c r="DS522" s="1"/>
      <c r="DT522" s="1"/>
      <c r="DU522" s="14"/>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29"/>
    </row>
    <row r="523" spans="1:160" x14ac:dyDescent="0.25">
      <c r="A523" s="5"/>
      <c r="B523" s="1"/>
      <c r="C523" s="98"/>
      <c r="D523" s="98"/>
      <c r="E523" s="1"/>
      <c r="F523" s="22"/>
      <c r="G523" s="22"/>
      <c r="H523" s="22"/>
      <c r="I523" s="22"/>
      <c r="J523" s="22"/>
      <c r="K523" s="22"/>
      <c r="L523" s="22"/>
      <c r="M523" s="22"/>
      <c r="N523" s="22"/>
      <c r="O523" s="22"/>
      <c r="P523" s="22"/>
      <c r="Q523" s="22"/>
      <c r="R523" s="1"/>
      <c r="S523" s="1"/>
      <c r="T523" s="8"/>
      <c r="U523" s="1"/>
      <c r="V523" s="1"/>
      <c r="W523" s="1"/>
      <c r="X523" s="1"/>
      <c r="Y523" s="1"/>
      <c r="Z523" s="1"/>
      <c r="AA523" s="1"/>
      <c r="AC523" s="1"/>
      <c r="AD523" s="1"/>
      <c r="AE523" s="1"/>
      <c r="AF523" s="1"/>
      <c r="AG523" s="1"/>
      <c r="AH523" s="26"/>
      <c r="AI523" s="26"/>
      <c r="AJ523" s="26"/>
      <c r="AK523" s="26"/>
      <c r="AL523" s="26"/>
      <c r="AM523" s="26"/>
      <c r="AN523" s="26"/>
      <c r="AO523" s="26"/>
      <c r="AP523" s="26"/>
      <c r="AQ523" s="26"/>
      <c r="AR523" s="26"/>
      <c r="AS523" s="26"/>
      <c r="AT523" s="26"/>
      <c r="AU523" s="26"/>
      <c r="AV523" s="26"/>
      <c r="AW523" s="26"/>
      <c r="AX523" s="26"/>
      <c r="AY523" s="1"/>
      <c r="AZ523" s="26"/>
      <c r="BA523" s="26"/>
      <c r="BB523" s="26"/>
      <c r="BC523" s="26"/>
      <c r="BD523" s="26"/>
      <c r="BE523" s="26"/>
      <c r="BF523" s="26"/>
      <c r="BG523" s="26"/>
      <c r="BH523" s="26"/>
      <c r="BI523" s="26"/>
      <c r="BJ523" s="26"/>
      <c r="BK523" s="26"/>
      <c r="BL523" s="26"/>
      <c r="BM523" s="26"/>
      <c r="BN523" s="26"/>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96"/>
      <c r="CP523" s="14"/>
      <c r="CQ523" s="14"/>
      <c r="CR523" s="14"/>
      <c r="CS523" s="14"/>
      <c r="CT523" s="1"/>
      <c r="CU523" s="14"/>
      <c r="CV523" s="1"/>
      <c r="CW523" s="1"/>
      <c r="CX523" s="14"/>
      <c r="CY523" s="1"/>
      <c r="CZ523" s="1"/>
      <c r="DA523" s="1"/>
      <c r="DB523" s="1"/>
      <c r="DC523" s="1"/>
      <c r="DD523" s="1"/>
      <c r="DE523" s="1"/>
      <c r="DF523" s="1"/>
      <c r="DG523" s="1"/>
      <c r="DH523" s="1"/>
      <c r="DI523" s="1"/>
      <c r="DJ523" s="1"/>
      <c r="DK523" s="1"/>
      <c r="DL523" s="1"/>
      <c r="DM523" s="1"/>
      <c r="DN523" s="1"/>
      <c r="DO523" s="1"/>
      <c r="DP523" s="1"/>
      <c r="DQ523" s="1"/>
      <c r="DR523" s="1"/>
      <c r="DS523" s="1"/>
      <c r="DT523" s="1"/>
      <c r="DU523" s="14"/>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29"/>
    </row>
    <row r="524" spans="1:160" x14ac:dyDescent="0.25">
      <c r="A524" s="5"/>
      <c r="B524" s="1"/>
      <c r="C524" s="98"/>
      <c r="D524" s="98"/>
      <c r="E524" s="1"/>
      <c r="F524" s="22"/>
      <c r="G524" s="22"/>
      <c r="H524" s="22"/>
      <c r="I524" s="22"/>
      <c r="J524" s="22"/>
      <c r="K524" s="22"/>
      <c r="L524" s="22"/>
      <c r="M524" s="22"/>
      <c r="N524" s="22"/>
      <c r="O524" s="22"/>
      <c r="P524" s="22"/>
      <c r="Q524" s="22"/>
      <c r="R524" s="1"/>
      <c r="S524" s="1"/>
      <c r="T524" s="8"/>
      <c r="U524" s="1"/>
      <c r="V524" s="1"/>
      <c r="W524" s="1"/>
      <c r="X524" s="1"/>
      <c r="Y524" s="1"/>
      <c r="Z524" s="1"/>
      <c r="AA524" s="1"/>
      <c r="AC524" s="1"/>
      <c r="AD524" s="1"/>
      <c r="AE524" s="1"/>
      <c r="AF524" s="1"/>
      <c r="AG524" s="1"/>
      <c r="AH524" s="26"/>
      <c r="AI524" s="26"/>
      <c r="AJ524" s="26"/>
      <c r="AK524" s="26"/>
      <c r="AL524" s="26"/>
      <c r="AM524" s="26"/>
      <c r="AN524" s="26"/>
      <c r="AO524" s="26"/>
      <c r="AP524" s="26"/>
      <c r="AQ524" s="26"/>
      <c r="AR524" s="26"/>
      <c r="AS524" s="26"/>
      <c r="AT524" s="26"/>
      <c r="AU524" s="26"/>
      <c r="AV524" s="26"/>
      <c r="AW524" s="26"/>
      <c r="AX524" s="26"/>
      <c r="AY524" s="1"/>
      <c r="AZ524" s="26"/>
      <c r="BA524" s="26"/>
      <c r="BB524" s="26"/>
      <c r="BC524" s="26"/>
      <c r="BD524" s="26"/>
      <c r="BE524" s="26"/>
      <c r="BF524" s="26"/>
      <c r="BG524" s="26"/>
      <c r="BH524" s="26"/>
      <c r="BI524" s="26"/>
      <c r="BJ524" s="26"/>
      <c r="BK524" s="26"/>
      <c r="BL524" s="26"/>
      <c r="BM524" s="26"/>
      <c r="BN524" s="26"/>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96"/>
      <c r="CP524" s="14"/>
      <c r="CQ524" s="14"/>
      <c r="CR524" s="14"/>
      <c r="CS524" s="14"/>
      <c r="CT524" s="1"/>
      <c r="CU524" s="14"/>
      <c r="CV524" s="1"/>
      <c r="CW524" s="1"/>
      <c r="CX524" s="14"/>
      <c r="CY524" s="1"/>
      <c r="CZ524" s="1"/>
      <c r="DA524" s="1"/>
      <c r="DB524" s="1"/>
      <c r="DC524" s="1"/>
      <c r="DD524" s="1"/>
      <c r="DE524" s="1"/>
      <c r="DF524" s="1"/>
      <c r="DG524" s="1"/>
      <c r="DH524" s="1"/>
      <c r="DI524" s="1"/>
      <c r="DJ524" s="1"/>
      <c r="DK524" s="1"/>
      <c r="DL524" s="1"/>
      <c r="DM524" s="1"/>
      <c r="DN524" s="1"/>
      <c r="DO524" s="1"/>
      <c r="DP524" s="1"/>
      <c r="DQ524" s="1"/>
      <c r="DR524" s="1"/>
      <c r="DS524" s="1"/>
      <c r="DT524" s="1"/>
      <c r="DU524" s="14"/>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29"/>
    </row>
    <row r="525" spans="1:160" x14ac:dyDescent="0.25">
      <c r="A525" s="5"/>
      <c r="B525" s="1"/>
      <c r="C525" s="98"/>
      <c r="D525" s="98"/>
      <c r="E525" s="1"/>
      <c r="F525" s="22"/>
      <c r="G525" s="22"/>
      <c r="H525" s="22"/>
      <c r="I525" s="22"/>
      <c r="J525" s="22"/>
      <c r="K525" s="22"/>
      <c r="L525" s="22"/>
      <c r="M525" s="22"/>
      <c r="N525" s="22"/>
      <c r="O525" s="22"/>
      <c r="P525" s="22"/>
      <c r="Q525" s="22"/>
      <c r="R525" s="1"/>
      <c r="S525" s="1"/>
      <c r="T525" s="8"/>
      <c r="U525" s="1"/>
      <c r="V525" s="1"/>
      <c r="W525" s="1"/>
      <c r="X525" s="1"/>
      <c r="Y525" s="1"/>
      <c r="Z525" s="1"/>
      <c r="AA525" s="1"/>
      <c r="AC525" s="1"/>
      <c r="AD525" s="1"/>
      <c r="AE525" s="1"/>
      <c r="AF525" s="1"/>
      <c r="AG525" s="1"/>
      <c r="AH525" s="26"/>
      <c r="AI525" s="26"/>
      <c r="AJ525" s="26"/>
      <c r="AK525" s="26"/>
      <c r="AL525" s="26"/>
      <c r="AM525" s="26"/>
      <c r="AN525" s="26"/>
      <c r="AO525" s="26"/>
      <c r="AP525" s="26"/>
      <c r="AQ525" s="26"/>
      <c r="AR525" s="26"/>
      <c r="AS525" s="26"/>
      <c r="AT525" s="26"/>
      <c r="AU525" s="26"/>
      <c r="AV525" s="26"/>
      <c r="AW525" s="26"/>
      <c r="AX525" s="26"/>
      <c r="AY525" s="1"/>
      <c r="AZ525" s="26"/>
      <c r="BA525" s="26"/>
      <c r="BB525" s="26"/>
      <c r="BC525" s="26"/>
      <c r="BD525" s="26"/>
      <c r="BE525" s="26"/>
      <c r="BF525" s="26"/>
      <c r="BG525" s="26"/>
      <c r="BH525" s="26"/>
      <c r="BI525" s="26"/>
      <c r="BJ525" s="26"/>
      <c r="BK525" s="26"/>
      <c r="BL525" s="26"/>
      <c r="BM525" s="26"/>
      <c r="BN525" s="26"/>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96"/>
      <c r="CP525" s="14"/>
      <c r="CQ525" s="14"/>
      <c r="CR525" s="14"/>
      <c r="CS525" s="14"/>
      <c r="CT525" s="1"/>
      <c r="CU525" s="14"/>
      <c r="CV525" s="1"/>
      <c r="CW525" s="1"/>
      <c r="CX525" s="14"/>
      <c r="CY525" s="1"/>
      <c r="CZ525" s="1"/>
      <c r="DA525" s="1"/>
      <c r="DB525" s="1"/>
      <c r="DC525" s="1"/>
      <c r="DD525" s="1"/>
      <c r="DE525" s="1"/>
      <c r="DF525" s="1"/>
      <c r="DG525" s="1"/>
      <c r="DH525" s="1"/>
      <c r="DI525" s="1"/>
      <c r="DJ525" s="1"/>
      <c r="DK525" s="1"/>
      <c r="DL525" s="1"/>
      <c r="DM525" s="1"/>
      <c r="DN525" s="1"/>
      <c r="DO525" s="1"/>
      <c r="DP525" s="1"/>
      <c r="DQ525" s="1"/>
      <c r="DR525" s="1"/>
      <c r="DS525" s="1"/>
      <c r="DT525" s="1"/>
      <c r="DU525" s="14"/>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29"/>
    </row>
    <row r="526" spans="1:160" x14ac:dyDescent="0.25">
      <c r="A526" s="5"/>
      <c r="B526" s="1"/>
      <c r="C526" s="98"/>
      <c r="D526" s="98"/>
      <c r="E526" s="1"/>
      <c r="F526" s="22"/>
      <c r="G526" s="22"/>
      <c r="H526" s="22"/>
      <c r="I526" s="22"/>
      <c r="J526" s="22"/>
      <c r="K526" s="22"/>
      <c r="L526" s="22"/>
      <c r="M526" s="22"/>
      <c r="N526" s="22"/>
      <c r="O526" s="22"/>
      <c r="P526" s="22"/>
      <c r="Q526" s="22"/>
      <c r="R526" s="1"/>
      <c r="S526" s="1"/>
      <c r="T526" s="8"/>
      <c r="U526" s="1"/>
      <c r="V526" s="1"/>
      <c r="W526" s="1"/>
      <c r="X526" s="1"/>
      <c r="Y526" s="1"/>
      <c r="Z526" s="1"/>
      <c r="AA526" s="1"/>
      <c r="AC526" s="1"/>
      <c r="AD526" s="1"/>
      <c r="AE526" s="1"/>
      <c r="AF526" s="1"/>
      <c r="AG526" s="1"/>
      <c r="AH526" s="26"/>
      <c r="AI526" s="26"/>
      <c r="AJ526" s="26"/>
      <c r="AK526" s="26"/>
      <c r="AL526" s="26"/>
      <c r="AM526" s="26"/>
      <c r="AN526" s="26"/>
      <c r="AO526" s="26"/>
      <c r="AP526" s="26"/>
      <c r="AQ526" s="26"/>
      <c r="AR526" s="26"/>
      <c r="AS526" s="26"/>
      <c r="AT526" s="26"/>
      <c r="AU526" s="26"/>
      <c r="AV526" s="26"/>
      <c r="AW526" s="26"/>
      <c r="AX526" s="26"/>
      <c r="AY526" s="1"/>
      <c r="AZ526" s="26"/>
      <c r="BA526" s="26"/>
      <c r="BB526" s="26"/>
      <c r="BC526" s="26"/>
      <c r="BD526" s="26"/>
      <c r="BE526" s="26"/>
      <c r="BF526" s="26"/>
      <c r="BG526" s="26"/>
      <c r="BH526" s="26"/>
      <c r="BI526" s="26"/>
      <c r="BJ526" s="26"/>
      <c r="BK526" s="26"/>
      <c r="BL526" s="26"/>
      <c r="BM526" s="26"/>
      <c r="BN526" s="26"/>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96"/>
      <c r="CP526" s="14"/>
      <c r="CQ526" s="14"/>
      <c r="CR526" s="14"/>
      <c r="CS526" s="14"/>
      <c r="CT526" s="1"/>
      <c r="CU526" s="14"/>
      <c r="CV526" s="1"/>
      <c r="CW526" s="1"/>
      <c r="CX526" s="14"/>
      <c r="CY526" s="1"/>
      <c r="CZ526" s="1"/>
      <c r="DA526" s="1"/>
      <c r="DB526" s="1"/>
      <c r="DC526" s="1"/>
      <c r="DD526" s="1"/>
      <c r="DE526" s="1"/>
      <c r="DF526" s="1"/>
      <c r="DG526" s="1"/>
      <c r="DH526" s="1"/>
      <c r="DI526" s="1"/>
      <c r="DJ526" s="1"/>
      <c r="DK526" s="1"/>
      <c r="DL526" s="1"/>
      <c r="DM526" s="1"/>
      <c r="DN526" s="1"/>
      <c r="DO526" s="1"/>
      <c r="DP526" s="1"/>
      <c r="DQ526" s="1"/>
      <c r="DR526" s="1"/>
      <c r="DS526" s="1"/>
      <c r="DT526" s="1"/>
      <c r="DU526" s="14"/>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29"/>
    </row>
    <row r="527" spans="1:160" x14ac:dyDescent="0.25">
      <c r="A527" s="5"/>
      <c r="B527" s="1"/>
      <c r="C527" s="98"/>
      <c r="D527" s="98"/>
      <c r="E527" s="1"/>
      <c r="F527" s="22"/>
      <c r="G527" s="22"/>
      <c r="H527" s="22"/>
      <c r="I527" s="22"/>
      <c r="J527" s="22"/>
      <c r="K527" s="22"/>
      <c r="L527" s="22"/>
      <c r="M527" s="22"/>
      <c r="N527" s="22"/>
      <c r="O527" s="22"/>
      <c r="P527" s="22"/>
      <c r="Q527" s="22"/>
      <c r="R527" s="1"/>
      <c r="S527" s="1"/>
      <c r="T527" s="8"/>
      <c r="U527" s="1"/>
      <c r="V527" s="1"/>
      <c r="W527" s="1"/>
      <c r="X527" s="1"/>
      <c r="Y527" s="1"/>
      <c r="Z527" s="1"/>
      <c r="AA527" s="1"/>
      <c r="AC527" s="1"/>
      <c r="AD527" s="1"/>
      <c r="AE527" s="1"/>
      <c r="AF527" s="1"/>
      <c r="AG527" s="1"/>
      <c r="AH527" s="26"/>
      <c r="AI527" s="26"/>
      <c r="AJ527" s="26"/>
      <c r="AK527" s="26"/>
      <c r="AL527" s="26"/>
      <c r="AM527" s="26"/>
      <c r="AN527" s="26"/>
      <c r="AO527" s="26"/>
      <c r="AP527" s="26"/>
      <c r="AQ527" s="26"/>
      <c r="AR527" s="26"/>
      <c r="AS527" s="26"/>
      <c r="AT527" s="26"/>
      <c r="AU527" s="26"/>
      <c r="AV527" s="26"/>
      <c r="AW527" s="26"/>
      <c r="AX527" s="26"/>
      <c r="AY527" s="1"/>
      <c r="AZ527" s="26"/>
      <c r="BA527" s="26"/>
      <c r="BB527" s="26"/>
      <c r="BC527" s="26"/>
      <c r="BD527" s="26"/>
      <c r="BE527" s="26"/>
      <c r="BF527" s="26"/>
      <c r="BG527" s="26"/>
      <c r="BH527" s="26"/>
      <c r="BI527" s="26"/>
      <c r="BJ527" s="26"/>
      <c r="BK527" s="26"/>
      <c r="BL527" s="26"/>
      <c r="BM527" s="26"/>
      <c r="BN527" s="26"/>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96"/>
      <c r="CP527" s="14"/>
      <c r="CQ527" s="14"/>
      <c r="CR527" s="14"/>
      <c r="CS527" s="14"/>
      <c r="CT527" s="1"/>
      <c r="CU527" s="14"/>
      <c r="CV527" s="1"/>
      <c r="CW527" s="1"/>
      <c r="CX527" s="14"/>
      <c r="CY527" s="1"/>
      <c r="CZ527" s="1"/>
      <c r="DA527" s="1"/>
      <c r="DB527" s="1"/>
      <c r="DC527" s="1"/>
      <c r="DD527" s="1"/>
      <c r="DE527" s="1"/>
      <c r="DF527" s="1"/>
      <c r="DG527" s="1"/>
      <c r="DH527" s="1"/>
      <c r="DI527" s="1"/>
      <c r="DJ527" s="1"/>
      <c r="DK527" s="1"/>
      <c r="DL527" s="1"/>
      <c r="DM527" s="1"/>
      <c r="DN527" s="1"/>
      <c r="DO527" s="1"/>
      <c r="DP527" s="1"/>
      <c r="DQ527" s="1"/>
      <c r="DR527" s="1"/>
      <c r="DS527" s="1"/>
      <c r="DT527" s="1"/>
      <c r="DU527" s="14"/>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29"/>
    </row>
    <row r="528" spans="1:160" x14ac:dyDescent="0.25">
      <c r="A528" s="5"/>
      <c r="B528" s="1"/>
      <c r="C528" s="98"/>
      <c r="D528" s="98"/>
      <c r="E528" s="1"/>
      <c r="F528" s="22"/>
      <c r="G528" s="22"/>
      <c r="H528" s="22"/>
      <c r="I528" s="22"/>
      <c r="J528" s="22"/>
      <c r="K528" s="22"/>
      <c r="L528" s="22"/>
      <c r="M528" s="22"/>
      <c r="N528" s="22"/>
      <c r="O528" s="22"/>
      <c r="P528" s="22"/>
      <c r="Q528" s="22"/>
      <c r="R528" s="1"/>
      <c r="S528" s="1"/>
      <c r="T528" s="8"/>
      <c r="U528" s="1"/>
      <c r="V528" s="1"/>
      <c r="W528" s="1"/>
      <c r="X528" s="1"/>
      <c r="Y528" s="1"/>
      <c r="Z528" s="1"/>
      <c r="AA528" s="1"/>
      <c r="AC528" s="1"/>
      <c r="AD528" s="1"/>
      <c r="AE528" s="1"/>
      <c r="AF528" s="1"/>
      <c r="AG528" s="1"/>
      <c r="AH528" s="26"/>
      <c r="AI528" s="26"/>
      <c r="AJ528" s="26"/>
      <c r="AK528" s="26"/>
      <c r="AL528" s="26"/>
      <c r="AM528" s="26"/>
      <c r="AN528" s="26"/>
      <c r="AO528" s="26"/>
      <c r="AP528" s="26"/>
      <c r="AQ528" s="26"/>
      <c r="AR528" s="26"/>
      <c r="AS528" s="26"/>
      <c r="AT528" s="26"/>
      <c r="AU528" s="26"/>
      <c r="AV528" s="26"/>
      <c r="AW528" s="26"/>
      <c r="AX528" s="26"/>
      <c r="AY528" s="1"/>
      <c r="AZ528" s="26"/>
      <c r="BA528" s="26"/>
      <c r="BB528" s="26"/>
      <c r="BC528" s="26"/>
      <c r="BD528" s="26"/>
      <c r="BE528" s="26"/>
      <c r="BF528" s="26"/>
      <c r="BG528" s="26"/>
      <c r="BH528" s="26"/>
      <c r="BI528" s="26"/>
      <c r="BJ528" s="26"/>
      <c r="BK528" s="26"/>
      <c r="BL528" s="26"/>
      <c r="BM528" s="26"/>
      <c r="BN528" s="26"/>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96"/>
      <c r="CP528" s="14"/>
      <c r="CQ528" s="14"/>
      <c r="CR528" s="14"/>
      <c r="CS528" s="14"/>
      <c r="CT528" s="1"/>
      <c r="CU528" s="14"/>
      <c r="CV528" s="1"/>
      <c r="CW528" s="1"/>
      <c r="CX528" s="14"/>
      <c r="CY528" s="1"/>
      <c r="CZ528" s="1"/>
      <c r="DA528" s="1"/>
      <c r="DB528" s="1"/>
      <c r="DC528" s="1"/>
      <c r="DD528" s="1"/>
      <c r="DE528" s="1"/>
      <c r="DF528" s="1"/>
      <c r="DG528" s="1"/>
      <c r="DH528" s="1"/>
      <c r="DI528" s="1"/>
      <c r="DJ528" s="1"/>
      <c r="DK528" s="1"/>
      <c r="DL528" s="1"/>
      <c r="DM528" s="1"/>
      <c r="DN528" s="1"/>
      <c r="DO528" s="1"/>
      <c r="DP528" s="1"/>
      <c r="DQ528" s="1"/>
      <c r="DR528" s="1"/>
      <c r="DS528" s="1"/>
      <c r="DT528" s="1"/>
      <c r="DU528" s="14"/>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29"/>
    </row>
    <row r="529" spans="1:160" x14ac:dyDescent="0.25">
      <c r="A529" s="5"/>
      <c r="B529" s="1"/>
      <c r="C529" s="98"/>
      <c r="D529" s="98"/>
      <c r="E529" s="1"/>
      <c r="F529" s="22"/>
      <c r="G529" s="22"/>
      <c r="H529" s="22"/>
      <c r="I529" s="22"/>
      <c r="J529" s="22"/>
      <c r="K529" s="22"/>
      <c r="L529" s="22"/>
      <c r="M529" s="22"/>
      <c r="N529" s="22"/>
      <c r="O529" s="22"/>
      <c r="P529" s="22"/>
      <c r="Q529" s="22"/>
      <c r="R529" s="1"/>
      <c r="S529" s="1"/>
      <c r="T529" s="8"/>
      <c r="U529" s="1"/>
      <c r="V529" s="1"/>
      <c r="W529" s="1"/>
      <c r="X529" s="1"/>
      <c r="Y529" s="1"/>
      <c r="Z529" s="1"/>
      <c r="AA529" s="1"/>
      <c r="AC529" s="1"/>
      <c r="AD529" s="1"/>
      <c r="AE529" s="1"/>
      <c r="AF529" s="1"/>
      <c r="AG529" s="1"/>
      <c r="AH529" s="26"/>
      <c r="AI529" s="26"/>
      <c r="AJ529" s="26"/>
      <c r="AK529" s="26"/>
      <c r="AL529" s="26"/>
      <c r="AM529" s="26"/>
      <c r="AN529" s="26"/>
      <c r="AO529" s="26"/>
      <c r="AP529" s="26"/>
      <c r="AQ529" s="26"/>
      <c r="AR529" s="26"/>
      <c r="AS529" s="26"/>
      <c r="AT529" s="26"/>
      <c r="AU529" s="26"/>
      <c r="AV529" s="26"/>
      <c r="AW529" s="26"/>
      <c r="AX529" s="26"/>
      <c r="AY529" s="1"/>
      <c r="AZ529" s="26"/>
      <c r="BA529" s="26"/>
      <c r="BB529" s="26"/>
      <c r="BC529" s="26"/>
      <c r="BD529" s="26"/>
      <c r="BE529" s="26"/>
      <c r="BF529" s="26"/>
      <c r="BG529" s="26"/>
      <c r="BH529" s="26"/>
      <c r="BI529" s="26"/>
      <c r="BJ529" s="26"/>
      <c r="BK529" s="26"/>
      <c r="BL529" s="26"/>
      <c r="BM529" s="26"/>
      <c r="BN529" s="26"/>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96"/>
      <c r="CP529" s="14"/>
      <c r="CQ529" s="14"/>
      <c r="CR529" s="14"/>
      <c r="CS529" s="14"/>
      <c r="CT529" s="1"/>
      <c r="CU529" s="14"/>
      <c r="CV529" s="1"/>
      <c r="CW529" s="1"/>
      <c r="CX529" s="14"/>
      <c r="CY529" s="1"/>
      <c r="CZ529" s="1"/>
      <c r="DA529" s="1"/>
      <c r="DB529" s="1"/>
      <c r="DC529" s="1"/>
      <c r="DD529" s="1"/>
      <c r="DE529" s="1"/>
      <c r="DF529" s="1"/>
      <c r="DG529" s="1"/>
      <c r="DH529" s="1"/>
      <c r="DI529" s="1"/>
      <c r="DJ529" s="1"/>
      <c r="DK529" s="1"/>
      <c r="DL529" s="1"/>
      <c r="DM529" s="1"/>
      <c r="DN529" s="1"/>
      <c r="DO529" s="1"/>
      <c r="DP529" s="1"/>
      <c r="DQ529" s="1"/>
      <c r="DR529" s="1"/>
      <c r="DS529" s="1"/>
      <c r="DT529" s="1"/>
      <c r="DU529" s="14"/>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29"/>
    </row>
    <row r="530" spans="1:160" x14ac:dyDescent="0.25">
      <c r="A530" s="5"/>
      <c r="B530" s="1"/>
      <c r="C530" s="98"/>
      <c r="D530" s="98"/>
      <c r="E530" s="1"/>
      <c r="F530" s="22"/>
      <c r="G530" s="22"/>
      <c r="H530" s="22"/>
      <c r="I530" s="22"/>
      <c r="J530" s="22"/>
      <c r="K530" s="22"/>
      <c r="L530" s="22"/>
      <c r="M530" s="22"/>
      <c r="N530" s="22"/>
      <c r="O530" s="22"/>
      <c r="P530" s="22"/>
      <c r="Q530" s="22"/>
      <c r="R530" s="1"/>
      <c r="S530" s="1"/>
      <c r="T530" s="8"/>
      <c r="U530" s="1"/>
      <c r="V530" s="1"/>
      <c r="W530" s="1"/>
      <c r="X530" s="1"/>
      <c r="Y530" s="1"/>
      <c r="Z530" s="1"/>
      <c r="AA530" s="1"/>
      <c r="AC530" s="1"/>
      <c r="AD530" s="1"/>
      <c r="AE530" s="1"/>
      <c r="AF530" s="1"/>
      <c r="AG530" s="1"/>
      <c r="AH530" s="26"/>
      <c r="AI530" s="26"/>
      <c r="AJ530" s="26"/>
      <c r="AK530" s="26"/>
      <c r="AL530" s="26"/>
      <c r="AM530" s="26"/>
      <c r="AN530" s="26"/>
      <c r="AO530" s="26"/>
      <c r="AP530" s="26"/>
      <c r="AQ530" s="26"/>
      <c r="AR530" s="26"/>
      <c r="AS530" s="26"/>
      <c r="AT530" s="26"/>
      <c r="AU530" s="26"/>
      <c r="AV530" s="26"/>
      <c r="AW530" s="26"/>
      <c r="AX530" s="26"/>
      <c r="AY530" s="1"/>
      <c r="AZ530" s="26"/>
      <c r="BA530" s="26"/>
      <c r="BB530" s="26"/>
      <c r="BC530" s="26"/>
      <c r="BD530" s="26"/>
      <c r="BE530" s="26"/>
      <c r="BF530" s="26"/>
      <c r="BG530" s="26"/>
      <c r="BH530" s="26"/>
      <c r="BI530" s="26"/>
      <c r="BJ530" s="26"/>
      <c r="BK530" s="26"/>
      <c r="BL530" s="26"/>
      <c r="BM530" s="26"/>
      <c r="BN530" s="26"/>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96"/>
      <c r="CP530" s="14"/>
      <c r="CQ530" s="14"/>
      <c r="CR530" s="14"/>
      <c r="CS530" s="14"/>
      <c r="CT530" s="1"/>
      <c r="CU530" s="14"/>
      <c r="CV530" s="1"/>
      <c r="CW530" s="1"/>
      <c r="CX530" s="14"/>
      <c r="CY530" s="1"/>
      <c r="CZ530" s="1"/>
      <c r="DA530" s="1"/>
      <c r="DB530" s="1"/>
      <c r="DC530" s="1"/>
      <c r="DD530" s="1"/>
      <c r="DE530" s="1"/>
      <c r="DF530" s="1"/>
      <c r="DG530" s="1"/>
      <c r="DH530" s="1"/>
      <c r="DI530" s="1"/>
      <c r="DJ530" s="1"/>
      <c r="DK530" s="1"/>
      <c r="DL530" s="1"/>
      <c r="DM530" s="1"/>
      <c r="DN530" s="1"/>
      <c r="DO530" s="1"/>
      <c r="DP530" s="1"/>
      <c r="DQ530" s="1"/>
      <c r="DR530" s="1"/>
      <c r="DS530" s="1"/>
      <c r="DT530" s="1"/>
      <c r="DU530" s="14"/>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29"/>
    </row>
    <row r="531" spans="1:160" x14ac:dyDescent="0.25">
      <c r="A531" s="5"/>
      <c r="B531" s="1"/>
      <c r="C531" s="98"/>
      <c r="D531" s="98"/>
      <c r="E531" s="1"/>
      <c r="F531" s="22"/>
      <c r="G531" s="22"/>
      <c r="H531" s="22"/>
      <c r="I531" s="22"/>
      <c r="J531" s="22"/>
      <c r="K531" s="22"/>
      <c r="L531" s="22"/>
      <c r="M531" s="22"/>
      <c r="N531" s="22"/>
      <c r="O531" s="22"/>
      <c r="P531" s="22"/>
      <c r="Q531" s="22"/>
      <c r="R531" s="1"/>
      <c r="S531" s="1"/>
      <c r="T531" s="8"/>
      <c r="U531" s="1"/>
      <c r="V531" s="1"/>
      <c r="W531" s="1"/>
      <c r="X531" s="1"/>
      <c r="Y531" s="1"/>
      <c r="Z531" s="1"/>
      <c r="AA531" s="1"/>
      <c r="AC531" s="1"/>
      <c r="AD531" s="1"/>
      <c r="AE531" s="1"/>
      <c r="AF531" s="1"/>
      <c r="AG531" s="1"/>
      <c r="AH531" s="26"/>
      <c r="AI531" s="26"/>
      <c r="AJ531" s="26"/>
      <c r="AK531" s="26"/>
      <c r="AL531" s="26"/>
      <c r="AM531" s="26"/>
      <c r="AN531" s="26"/>
      <c r="AO531" s="26"/>
      <c r="AP531" s="26"/>
      <c r="AQ531" s="26"/>
      <c r="AR531" s="26"/>
      <c r="AS531" s="26"/>
      <c r="AT531" s="26"/>
      <c r="AU531" s="26"/>
      <c r="AV531" s="26"/>
      <c r="AW531" s="26"/>
      <c r="AX531" s="26"/>
      <c r="AY531" s="1"/>
      <c r="AZ531" s="26"/>
      <c r="BA531" s="26"/>
      <c r="BB531" s="26"/>
      <c r="BC531" s="26"/>
      <c r="BD531" s="26"/>
      <c r="BE531" s="26"/>
      <c r="BF531" s="26"/>
      <c r="BG531" s="26"/>
      <c r="BH531" s="26"/>
      <c r="BI531" s="26"/>
      <c r="BJ531" s="26"/>
      <c r="BK531" s="26"/>
      <c r="BL531" s="26"/>
      <c r="BM531" s="26"/>
      <c r="BN531" s="26"/>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96"/>
      <c r="CP531" s="14"/>
      <c r="CQ531" s="14"/>
      <c r="CR531" s="14"/>
      <c r="CS531" s="14"/>
      <c r="CT531" s="1"/>
      <c r="CU531" s="14"/>
      <c r="CV531" s="1"/>
      <c r="CW531" s="1"/>
      <c r="CX531" s="14"/>
      <c r="CY531" s="1"/>
      <c r="CZ531" s="1"/>
      <c r="DA531" s="1"/>
      <c r="DB531" s="1"/>
      <c r="DC531" s="1"/>
      <c r="DD531" s="1"/>
      <c r="DE531" s="1"/>
      <c r="DF531" s="1"/>
      <c r="DG531" s="1"/>
      <c r="DH531" s="1"/>
      <c r="DI531" s="1"/>
      <c r="DJ531" s="1"/>
      <c r="DK531" s="1"/>
      <c r="DL531" s="1"/>
      <c r="DM531" s="1"/>
      <c r="DN531" s="1"/>
      <c r="DO531" s="1"/>
      <c r="DP531" s="1"/>
      <c r="DQ531" s="1"/>
      <c r="DR531" s="1"/>
      <c r="DS531" s="1"/>
      <c r="DT531" s="1"/>
      <c r="DU531" s="14"/>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29"/>
    </row>
    <row r="532" spans="1:160" x14ac:dyDescent="0.25">
      <c r="A532" s="5"/>
      <c r="B532" s="1"/>
      <c r="C532" s="98"/>
      <c r="D532" s="98"/>
      <c r="E532" s="1"/>
      <c r="F532" s="22"/>
      <c r="G532" s="22"/>
      <c r="H532" s="22"/>
      <c r="I532" s="22"/>
      <c r="J532" s="22"/>
      <c r="K532" s="22"/>
      <c r="L532" s="22"/>
      <c r="M532" s="22"/>
      <c r="N532" s="22"/>
      <c r="O532" s="22"/>
      <c r="P532" s="22"/>
      <c r="Q532" s="22"/>
      <c r="R532" s="1"/>
      <c r="S532" s="1"/>
      <c r="T532" s="8"/>
      <c r="U532" s="1"/>
      <c r="V532" s="1"/>
      <c r="W532" s="1"/>
      <c r="X532" s="1"/>
      <c r="Y532" s="1"/>
      <c r="Z532" s="1"/>
      <c r="AA532" s="1"/>
      <c r="AC532" s="1"/>
      <c r="AD532" s="1"/>
      <c r="AE532" s="1"/>
      <c r="AF532" s="1"/>
      <c r="AG532" s="1"/>
      <c r="AH532" s="26"/>
      <c r="AI532" s="26"/>
      <c r="AJ532" s="26"/>
      <c r="AK532" s="26"/>
      <c r="AL532" s="26"/>
      <c r="AM532" s="26"/>
      <c r="AN532" s="26"/>
      <c r="AO532" s="26"/>
      <c r="AP532" s="26"/>
      <c r="AQ532" s="26"/>
      <c r="AR532" s="26"/>
      <c r="AS532" s="26"/>
      <c r="AT532" s="26"/>
      <c r="AU532" s="26"/>
      <c r="AV532" s="26"/>
      <c r="AW532" s="26"/>
      <c r="AX532" s="26"/>
      <c r="AY532" s="1"/>
      <c r="AZ532" s="26"/>
      <c r="BA532" s="26"/>
      <c r="BB532" s="26"/>
      <c r="BC532" s="26"/>
      <c r="BD532" s="26"/>
      <c r="BE532" s="26"/>
      <c r="BF532" s="26"/>
      <c r="BG532" s="26"/>
      <c r="BH532" s="26"/>
      <c r="BI532" s="26"/>
      <c r="BJ532" s="26"/>
      <c r="BK532" s="26"/>
      <c r="BL532" s="26"/>
      <c r="BM532" s="26"/>
      <c r="BN532" s="26"/>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96"/>
      <c r="CP532" s="14"/>
      <c r="CQ532" s="14"/>
      <c r="CR532" s="14"/>
      <c r="CS532" s="14"/>
      <c r="CT532" s="1"/>
      <c r="CU532" s="14"/>
      <c r="CV532" s="1"/>
      <c r="CW532" s="1"/>
      <c r="CX532" s="14"/>
      <c r="CY532" s="1"/>
      <c r="CZ532" s="1"/>
      <c r="DA532" s="1"/>
      <c r="DB532" s="1"/>
      <c r="DC532" s="1"/>
      <c r="DD532" s="1"/>
      <c r="DE532" s="1"/>
      <c r="DF532" s="1"/>
      <c r="DG532" s="1"/>
      <c r="DH532" s="1"/>
      <c r="DI532" s="1"/>
      <c r="DJ532" s="1"/>
      <c r="DK532" s="1"/>
      <c r="DL532" s="1"/>
      <c r="DM532" s="1"/>
      <c r="DN532" s="1"/>
      <c r="DO532" s="1"/>
      <c r="DP532" s="1"/>
      <c r="DQ532" s="1"/>
      <c r="DR532" s="1"/>
      <c r="DS532" s="1"/>
      <c r="DT532" s="1"/>
      <c r="DU532" s="14"/>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29"/>
    </row>
    <row r="533" spans="1:160" x14ac:dyDescent="0.25">
      <c r="A533" s="5"/>
      <c r="B533" s="1"/>
      <c r="C533" s="98"/>
      <c r="D533" s="98"/>
      <c r="E533" s="1"/>
      <c r="F533" s="22"/>
      <c r="G533" s="22"/>
      <c r="H533" s="22"/>
      <c r="I533" s="22"/>
      <c r="J533" s="22"/>
      <c r="K533" s="22"/>
      <c r="L533" s="22"/>
      <c r="M533" s="22"/>
      <c r="N533" s="22"/>
      <c r="O533" s="22"/>
      <c r="P533" s="22"/>
      <c r="Q533" s="22"/>
      <c r="R533" s="1"/>
      <c r="S533" s="1"/>
      <c r="T533" s="8"/>
      <c r="U533" s="1"/>
      <c r="V533" s="1"/>
      <c r="W533" s="1"/>
      <c r="X533" s="1"/>
      <c r="Y533" s="1"/>
      <c r="Z533" s="1"/>
      <c r="AA533" s="1"/>
      <c r="AC533" s="1"/>
      <c r="AD533" s="1"/>
      <c r="AE533" s="1"/>
      <c r="AF533" s="1"/>
      <c r="AG533" s="1"/>
      <c r="AH533" s="26"/>
      <c r="AI533" s="26"/>
      <c r="AJ533" s="26"/>
      <c r="AK533" s="26"/>
      <c r="AL533" s="26"/>
      <c r="AM533" s="26"/>
      <c r="AN533" s="26"/>
      <c r="AO533" s="26"/>
      <c r="AP533" s="26"/>
      <c r="AQ533" s="26"/>
      <c r="AR533" s="26"/>
      <c r="AS533" s="26"/>
      <c r="AT533" s="26"/>
      <c r="AU533" s="26"/>
      <c r="AV533" s="26"/>
      <c r="AW533" s="26"/>
      <c r="AX533" s="26"/>
      <c r="AY533" s="1"/>
      <c r="AZ533" s="26"/>
      <c r="BA533" s="26"/>
      <c r="BB533" s="26"/>
      <c r="BC533" s="26"/>
      <c r="BD533" s="26"/>
      <c r="BE533" s="26"/>
      <c r="BF533" s="26"/>
      <c r="BG533" s="26"/>
      <c r="BH533" s="26"/>
      <c r="BI533" s="26"/>
      <c r="BJ533" s="26"/>
      <c r="BK533" s="26"/>
      <c r="BL533" s="26"/>
      <c r="BM533" s="26"/>
      <c r="BN533" s="26"/>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96"/>
      <c r="CP533" s="14"/>
      <c r="CQ533" s="14"/>
      <c r="CR533" s="14"/>
      <c r="CS533" s="14"/>
      <c r="CT533" s="1"/>
      <c r="CU533" s="14"/>
      <c r="CV533" s="1"/>
      <c r="CW533" s="1"/>
      <c r="CX533" s="14"/>
      <c r="CY533" s="1"/>
      <c r="CZ533" s="1"/>
      <c r="DA533" s="1"/>
      <c r="DB533" s="1"/>
      <c r="DC533" s="1"/>
      <c r="DD533" s="1"/>
      <c r="DE533" s="1"/>
      <c r="DF533" s="1"/>
      <c r="DG533" s="1"/>
      <c r="DH533" s="1"/>
      <c r="DI533" s="1"/>
      <c r="DJ533" s="1"/>
      <c r="DK533" s="1"/>
      <c r="DL533" s="1"/>
      <c r="DM533" s="1"/>
      <c r="DN533" s="1"/>
      <c r="DO533" s="1"/>
      <c r="DP533" s="1"/>
      <c r="DQ533" s="1"/>
      <c r="DR533" s="1"/>
      <c r="DS533" s="1"/>
      <c r="DT533" s="1"/>
      <c r="DU533" s="14"/>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29"/>
    </row>
    <row r="534" spans="1:160" x14ac:dyDescent="0.25">
      <c r="A534" s="5"/>
      <c r="B534" s="1"/>
      <c r="C534" s="98"/>
      <c r="D534" s="98"/>
      <c r="E534" s="1"/>
      <c r="F534" s="22"/>
      <c r="G534" s="22"/>
      <c r="H534" s="22"/>
      <c r="I534" s="22"/>
      <c r="J534" s="22"/>
      <c r="K534" s="22"/>
      <c r="L534" s="22"/>
      <c r="M534" s="22"/>
      <c r="N534" s="22"/>
      <c r="O534" s="22"/>
      <c r="P534" s="22"/>
      <c r="Q534" s="22"/>
      <c r="R534" s="1"/>
      <c r="S534" s="1"/>
      <c r="T534" s="8"/>
      <c r="U534" s="1"/>
      <c r="V534" s="1"/>
      <c r="W534" s="1"/>
      <c r="X534" s="1"/>
      <c r="Y534" s="1"/>
      <c r="Z534" s="1"/>
      <c r="AA534" s="1"/>
      <c r="AC534" s="1"/>
      <c r="AD534" s="1"/>
      <c r="AE534" s="1"/>
      <c r="AF534" s="1"/>
      <c r="AG534" s="1"/>
      <c r="AH534" s="26"/>
      <c r="AI534" s="26"/>
      <c r="AJ534" s="26"/>
      <c r="AK534" s="26"/>
      <c r="AL534" s="26"/>
      <c r="AM534" s="26"/>
      <c r="AN534" s="26"/>
      <c r="AO534" s="26"/>
      <c r="AP534" s="26"/>
      <c r="AQ534" s="26"/>
      <c r="AR534" s="26"/>
      <c r="AS534" s="26"/>
      <c r="AT534" s="26"/>
      <c r="AU534" s="26"/>
      <c r="AV534" s="26"/>
      <c r="AW534" s="26"/>
      <c r="AX534" s="26"/>
      <c r="AY534" s="1"/>
      <c r="AZ534" s="26"/>
      <c r="BA534" s="26"/>
      <c r="BB534" s="26"/>
      <c r="BC534" s="26"/>
      <c r="BD534" s="26"/>
      <c r="BE534" s="26"/>
      <c r="BF534" s="26"/>
      <c r="BG534" s="26"/>
      <c r="BH534" s="26"/>
      <c r="BI534" s="26"/>
      <c r="BJ534" s="26"/>
      <c r="BK534" s="26"/>
      <c r="BL534" s="26"/>
      <c r="BM534" s="26"/>
      <c r="BN534" s="26"/>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96"/>
      <c r="CP534" s="14"/>
      <c r="CQ534" s="14"/>
      <c r="CR534" s="14"/>
      <c r="CS534" s="14"/>
      <c r="CT534" s="1"/>
      <c r="CU534" s="14"/>
      <c r="CV534" s="1"/>
      <c r="CW534" s="1"/>
      <c r="CX534" s="14"/>
      <c r="CY534" s="1"/>
      <c r="CZ534" s="1"/>
      <c r="DA534" s="1"/>
      <c r="DB534" s="1"/>
      <c r="DC534" s="1"/>
      <c r="DD534" s="1"/>
      <c r="DE534" s="1"/>
      <c r="DF534" s="1"/>
      <c r="DG534" s="1"/>
      <c r="DH534" s="1"/>
      <c r="DI534" s="1"/>
      <c r="DJ534" s="1"/>
      <c r="DK534" s="1"/>
      <c r="DL534" s="1"/>
      <c r="DM534" s="1"/>
      <c r="DN534" s="1"/>
      <c r="DO534" s="1"/>
      <c r="DP534" s="1"/>
      <c r="DQ534" s="1"/>
      <c r="DR534" s="1"/>
      <c r="DS534" s="1"/>
      <c r="DT534" s="1"/>
      <c r="DU534" s="14"/>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29"/>
    </row>
    <row r="535" spans="1:160" x14ac:dyDescent="0.25">
      <c r="A535" s="5"/>
      <c r="B535" s="1"/>
      <c r="C535" s="98"/>
      <c r="D535" s="98"/>
      <c r="E535" s="1"/>
      <c r="F535" s="22"/>
      <c r="G535" s="22"/>
      <c r="H535" s="22"/>
      <c r="I535" s="22"/>
      <c r="J535" s="22"/>
      <c r="K535" s="22"/>
      <c r="L535" s="22"/>
      <c r="M535" s="22"/>
      <c r="N535" s="22"/>
      <c r="O535" s="22"/>
      <c r="P535" s="22"/>
      <c r="Q535" s="22"/>
      <c r="R535" s="1"/>
      <c r="S535" s="1"/>
      <c r="T535" s="8"/>
      <c r="U535" s="1"/>
      <c r="V535" s="1"/>
      <c r="W535" s="1"/>
      <c r="X535" s="1"/>
      <c r="Y535" s="1"/>
      <c r="Z535" s="1"/>
      <c r="AA535" s="1"/>
      <c r="AC535" s="1"/>
      <c r="AD535" s="1"/>
      <c r="AE535" s="1"/>
      <c r="AF535" s="1"/>
      <c r="AG535" s="1"/>
      <c r="AH535" s="26"/>
      <c r="AI535" s="26"/>
      <c r="AJ535" s="26"/>
      <c r="AK535" s="26"/>
      <c r="AL535" s="26"/>
      <c r="AM535" s="26"/>
      <c r="AN535" s="26"/>
      <c r="AO535" s="26"/>
      <c r="AP535" s="26"/>
      <c r="AQ535" s="26"/>
      <c r="AR535" s="26"/>
      <c r="AS535" s="26"/>
      <c r="AT535" s="26"/>
      <c r="AU535" s="26"/>
      <c r="AV535" s="26"/>
      <c r="AW535" s="26"/>
      <c r="AX535" s="26"/>
      <c r="AY535" s="1"/>
      <c r="AZ535" s="26"/>
      <c r="BA535" s="26"/>
      <c r="BB535" s="26"/>
      <c r="BC535" s="26"/>
      <c r="BD535" s="26"/>
      <c r="BE535" s="26"/>
      <c r="BF535" s="26"/>
      <c r="BG535" s="26"/>
      <c r="BH535" s="26"/>
      <c r="BI535" s="26"/>
      <c r="BJ535" s="26"/>
      <c r="BK535" s="26"/>
      <c r="BL535" s="26"/>
      <c r="BM535" s="26"/>
      <c r="BN535" s="26"/>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96"/>
      <c r="CP535" s="14"/>
      <c r="CQ535" s="14"/>
      <c r="CR535" s="14"/>
      <c r="CS535" s="14"/>
      <c r="CT535" s="1"/>
      <c r="CU535" s="14"/>
      <c r="CV535" s="1"/>
      <c r="CW535" s="1"/>
      <c r="CX535" s="14"/>
      <c r="CY535" s="1"/>
      <c r="CZ535" s="1"/>
      <c r="DA535" s="1"/>
      <c r="DB535" s="1"/>
      <c r="DC535" s="1"/>
      <c r="DD535" s="1"/>
      <c r="DE535" s="1"/>
      <c r="DF535" s="1"/>
      <c r="DG535" s="1"/>
      <c r="DH535" s="1"/>
      <c r="DI535" s="1"/>
      <c r="DJ535" s="1"/>
      <c r="DK535" s="1"/>
      <c r="DL535" s="1"/>
      <c r="DM535" s="1"/>
      <c r="DN535" s="1"/>
      <c r="DO535" s="1"/>
      <c r="DP535" s="1"/>
      <c r="DQ535" s="1"/>
      <c r="DR535" s="1"/>
      <c r="DS535" s="1"/>
      <c r="DT535" s="1"/>
      <c r="DU535" s="14"/>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29"/>
    </row>
    <row r="536" spans="1:160" x14ac:dyDescent="0.25">
      <c r="A536" s="5"/>
      <c r="B536" s="1"/>
      <c r="C536" s="98"/>
      <c r="D536" s="98"/>
      <c r="E536" s="1"/>
      <c r="F536" s="22"/>
      <c r="G536" s="22"/>
      <c r="H536" s="22"/>
      <c r="I536" s="22"/>
      <c r="J536" s="22"/>
      <c r="K536" s="22"/>
      <c r="L536" s="22"/>
      <c r="M536" s="22"/>
      <c r="N536" s="22"/>
      <c r="O536" s="22"/>
      <c r="P536" s="22"/>
      <c r="Q536" s="22"/>
      <c r="R536" s="1"/>
      <c r="S536" s="1"/>
      <c r="T536" s="8"/>
      <c r="U536" s="1"/>
      <c r="V536" s="1"/>
      <c r="W536" s="1"/>
      <c r="X536" s="1"/>
      <c r="Y536" s="1"/>
      <c r="Z536" s="1"/>
      <c r="AA536" s="1"/>
      <c r="AC536" s="1"/>
      <c r="AD536" s="1"/>
      <c r="AE536" s="1"/>
      <c r="AF536" s="1"/>
      <c r="AG536" s="1"/>
      <c r="AH536" s="26"/>
      <c r="AI536" s="26"/>
      <c r="AJ536" s="26"/>
      <c r="AK536" s="26"/>
      <c r="AL536" s="26"/>
      <c r="AM536" s="26"/>
      <c r="AN536" s="26"/>
      <c r="AO536" s="26"/>
      <c r="AP536" s="26"/>
      <c r="AQ536" s="26"/>
      <c r="AR536" s="26"/>
      <c r="AS536" s="26"/>
      <c r="AT536" s="26"/>
      <c r="AU536" s="26"/>
      <c r="AV536" s="26"/>
      <c r="AW536" s="26"/>
      <c r="AX536" s="26"/>
      <c r="AY536" s="1"/>
      <c r="AZ536" s="26"/>
      <c r="BA536" s="26"/>
      <c r="BB536" s="26"/>
      <c r="BC536" s="26"/>
      <c r="BD536" s="26"/>
      <c r="BE536" s="26"/>
      <c r="BF536" s="26"/>
      <c r="BG536" s="26"/>
      <c r="BH536" s="26"/>
      <c r="BI536" s="26"/>
      <c r="BJ536" s="26"/>
      <c r="BK536" s="26"/>
      <c r="BL536" s="26"/>
      <c r="BM536" s="26"/>
      <c r="BN536" s="26"/>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96"/>
      <c r="CP536" s="14"/>
      <c r="CQ536" s="14"/>
      <c r="CR536" s="14"/>
      <c r="CS536" s="14"/>
      <c r="CT536" s="1"/>
      <c r="CU536" s="14"/>
      <c r="CV536" s="1"/>
      <c r="CW536" s="1"/>
      <c r="CX536" s="14"/>
      <c r="CY536" s="1"/>
      <c r="CZ536" s="1"/>
      <c r="DA536" s="1"/>
      <c r="DB536" s="1"/>
      <c r="DC536" s="1"/>
      <c r="DD536" s="1"/>
      <c r="DE536" s="1"/>
      <c r="DF536" s="1"/>
      <c r="DG536" s="1"/>
      <c r="DH536" s="1"/>
      <c r="DI536" s="1"/>
      <c r="DJ536" s="1"/>
      <c r="DK536" s="1"/>
      <c r="DL536" s="1"/>
      <c r="DM536" s="1"/>
      <c r="DN536" s="1"/>
      <c r="DO536" s="1"/>
      <c r="DP536" s="1"/>
      <c r="DQ536" s="1"/>
      <c r="DR536" s="1"/>
      <c r="DS536" s="1"/>
      <c r="DT536" s="1"/>
      <c r="DU536" s="14"/>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29"/>
    </row>
    <row r="537" spans="1:160" x14ac:dyDescent="0.25">
      <c r="A537" s="5"/>
      <c r="B537" s="1"/>
      <c r="C537" s="98"/>
      <c r="D537" s="98"/>
      <c r="E537" s="1"/>
      <c r="F537" s="22"/>
      <c r="G537" s="22"/>
      <c r="H537" s="22"/>
      <c r="I537" s="22"/>
      <c r="J537" s="22"/>
      <c r="K537" s="22"/>
      <c r="L537" s="22"/>
      <c r="M537" s="22"/>
      <c r="N537" s="22"/>
      <c r="O537" s="22"/>
      <c r="P537" s="22"/>
      <c r="Q537" s="22"/>
      <c r="R537" s="1"/>
      <c r="S537" s="1"/>
      <c r="T537" s="8"/>
      <c r="U537" s="1"/>
      <c r="V537" s="1"/>
      <c r="W537" s="1"/>
      <c r="X537" s="1"/>
      <c r="Y537" s="1"/>
      <c r="Z537" s="1"/>
      <c r="AA537" s="1"/>
      <c r="AC537" s="1"/>
      <c r="AD537" s="1"/>
      <c r="AE537" s="1"/>
      <c r="AF537" s="1"/>
      <c r="AG537" s="1"/>
      <c r="AH537" s="26"/>
      <c r="AI537" s="26"/>
      <c r="AJ537" s="26"/>
      <c r="AK537" s="26"/>
      <c r="AL537" s="26"/>
      <c r="AM537" s="26"/>
      <c r="AN537" s="26"/>
      <c r="AO537" s="26"/>
      <c r="AP537" s="26"/>
      <c r="AQ537" s="26"/>
      <c r="AR537" s="26"/>
      <c r="AS537" s="26"/>
      <c r="AT537" s="26"/>
      <c r="AU537" s="26"/>
      <c r="AV537" s="26"/>
      <c r="AW537" s="26"/>
      <c r="AX537" s="26"/>
      <c r="AY537" s="1"/>
      <c r="AZ537" s="26"/>
      <c r="BA537" s="26"/>
      <c r="BB537" s="26"/>
      <c r="BC537" s="26"/>
      <c r="BD537" s="26"/>
      <c r="BE537" s="26"/>
      <c r="BF537" s="26"/>
      <c r="BG537" s="26"/>
      <c r="BH537" s="26"/>
      <c r="BI537" s="26"/>
      <c r="BJ537" s="26"/>
      <c r="BK537" s="26"/>
      <c r="BL537" s="26"/>
      <c r="BM537" s="26"/>
      <c r="BN537" s="26"/>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96"/>
      <c r="CP537" s="14"/>
      <c r="CQ537" s="14"/>
      <c r="CR537" s="14"/>
      <c r="CS537" s="14"/>
      <c r="CT537" s="1"/>
      <c r="CU537" s="14"/>
      <c r="CV537" s="1"/>
      <c r="CW537" s="1"/>
      <c r="CX537" s="14"/>
      <c r="CY537" s="1"/>
      <c r="CZ537" s="1"/>
      <c r="DA537" s="1"/>
      <c r="DB537" s="1"/>
      <c r="DC537" s="1"/>
      <c r="DD537" s="1"/>
      <c r="DE537" s="1"/>
      <c r="DF537" s="1"/>
      <c r="DG537" s="1"/>
      <c r="DH537" s="1"/>
      <c r="DI537" s="1"/>
      <c r="DJ537" s="1"/>
      <c r="DK537" s="1"/>
      <c r="DL537" s="1"/>
      <c r="DM537" s="1"/>
      <c r="DN537" s="1"/>
      <c r="DO537" s="1"/>
      <c r="DP537" s="1"/>
      <c r="DQ537" s="1"/>
      <c r="DR537" s="1"/>
      <c r="DS537" s="1"/>
      <c r="DT537" s="1"/>
      <c r="DU537" s="14"/>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29"/>
    </row>
    <row r="538" spans="1:160" x14ac:dyDescent="0.25">
      <c r="A538" s="5"/>
      <c r="B538" s="1"/>
      <c r="C538" s="98"/>
      <c r="D538" s="98"/>
      <c r="E538" s="1"/>
      <c r="F538" s="22"/>
      <c r="G538" s="22"/>
      <c r="H538" s="22"/>
      <c r="I538" s="22"/>
      <c r="J538" s="22"/>
      <c r="K538" s="22"/>
      <c r="L538" s="22"/>
      <c r="M538" s="22"/>
      <c r="N538" s="22"/>
      <c r="O538" s="22"/>
      <c r="P538" s="22"/>
      <c r="Q538" s="22"/>
      <c r="R538" s="1"/>
      <c r="S538" s="1"/>
      <c r="T538" s="8"/>
      <c r="U538" s="1"/>
      <c r="V538" s="1"/>
      <c r="W538" s="1"/>
      <c r="X538" s="1"/>
      <c r="Y538" s="1"/>
      <c r="Z538" s="1"/>
      <c r="AA538" s="1"/>
      <c r="AC538" s="1"/>
      <c r="AD538" s="1"/>
      <c r="AE538" s="1"/>
      <c r="AF538" s="1"/>
      <c r="AG538" s="1"/>
      <c r="AH538" s="26"/>
      <c r="AI538" s="26"/>
      <c r="AJ538" s="26"/>
      <c r="AK538" s="26"/>
      <c r="AL538" s="26"/>
      <c r="AM538" s="26"/>
      <c r="AN538" s="26"/>
      <c r="AO538" s="26"/>
      <c r="AP538" s="26"/>
      <c r="AQ538" s="26"/>
      <c r="AR538" s="26"/>
      <c r="AS538" s="26"/>
      <c r="AT538" s="26"/>
      <c r="AU538" s="26"/>
      <c r="AV538" s="26"/>
      <c r="AW538" s="26"/>
      <c r="AX538" s="26"/>
      <c r="AY538" s="1"/>
      <c r="AZ538" s="26"/>
      <c r="BA538" s="26"/>
      <c r="BB538" s="26"/>
      <c r="BC538" s="26"/>
      <c r="BD538" s="26"/>
      <c r="BE538" s="26"/>
      <c r="BF538" s="26"/>
      <c r="BG538" s="26"/>
      <c r="BH538" s="26"/>
      <c r="BI538" s="26"/>
      <c r="BJ538" s="26"/>
      <c r="BK538" s="26"/>
      <c r="BL538" s="26"/>
      <c r="BM538" s="26"/>
      <c r="BN538" s="26"/>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96"/>
      <c r="CP538" s="14"/>
      <c r="CQ538" s="14"/>
      <c r="CR538" s="14"/>
      <c r="CS538" s="14"/>
      <c r="CT538" s="1"/>
      <c r="CU538" s="14"/>
      <c r="CV538" s="1"/>
      <c r="CW538" s="1"/>
      <c r="CX538" s="14"/>
      <c r="CY538" s="1"/>
      <c r="CZ538" s="1"/>
      <c r="DA538" s="1"/>
      <c r="DB538" s="1"/>
      <c r="DC538" s="1"/>
      <c r="DD538" s="1"/>
      <c r="DE538" s="1"/>
      <c r="DF538" s="1"/>
      <c r="DG538" s="1"/>
      <c r="DH538" s="1"/>
      <c r="DI538" s="1"/>
      <c r="DJ538" s="1"/>
      <c r="DK538" s="1"/>
      <c r="DL538" s="1"/>
      <c r="DM538" s="1"/>
      <c r="DN538" s="1"/>
      <c r="DO538" s="1"/>
      <c r="DP538" s="1"/>
      <c r="DQ538" s="1"/>
      <c r="DR538" s="1"/>
      <c r="DS538" s="1"/>
      <c r="DT538" s="1"/>
      <c r="DU538" s="14"/>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29"/>
    </row>
    <row r="539" spans="1:160" x14ac:dyDescent="0.25">
      <c r="A539" s="5"/>
      <c r="B539" s="1"/>
      <c r="C539" s="98"/>
      <c r="D539" s="98"/>
      <c r="E539" s="1"/>
      <c r="F539" s="22"/>
      <c r="G539" s="22"/>
      <c r="H539" s="22"/>
      <c r="I539" s="22"/>
      <c r="J539" s="22"/>
      <c r="K539" s="22"/>
      <c r="L539" s="22"/>
      <c r="M539" s="22"/>
      <c r="N539" s="22"/>
      <c r="O539" s="22"/>
      <c r="P539" s="22"/>
      <c r="Q539" s="22"/>
      <c r="R539" s="1"/>
      <c r="S539" s="1"/>
      <c r="T539" s="8"/>
      <c r="U539" s="1"/>
      <c r="V539" s="1"/>
      <c r="W539" s="1"/>
      <c r="X539" s="1"/>
      <c r="Y539" s="1"/>
      <c r="Z539" s="1"/>
      <c r="AA539" s="1"/>
      <c r="AC539" s="1"/>
      <c r="AD539" s="1"/>
      <c r="AE539" s="1"/>
      <c r="AF539" s="1"/>
      <c r="AG539" s="1"/>
      <c r="AH539" s="26"/>
      <c r="AI539" s="26"/>
      <c r="AJ539" s="26"/>
      <c r="AK539" s="26"/>
      <c r="AL539" s="26"/>
      <c r="AM539" s="26"/>
      <c r="AN539" s="26"/>
      <c r="AO539" s="26"/>
      <c r="AP539" s="26"/>
      <c r="AQ539" s="26"/>
      <c r="AR539" s="26"/>
      <c r="AS539" s="26"/>
      <c r="AT539" s="26"/>
      <c r="AU539" s="26"/>
      <c r="AV539" s="26"/>
      <c r="AW539" s="26"/>
      <c r="AX539" s="26"/>
      <c r="AY539" s="1"/>
      <c r="AZ539" s="26"/>
      <c r="BA539" s="26"/>
      <c r="BB539" s="26"/>
      <c r="BC539" s="26"/>
      <c r="BD539" s="26"/>
      <c r="BE539" s="26"/>
      <c r="BF539" s="26"/>
      <c r="BG539" s="26"/>
      <c r="BH539" s="26"/>
      <c r="BI539" s="26"/>
      <c r="BJ539" s="26"/>
      <c r="BK539" s="26"/>
      <c r="BL539" s="26"/>
      <c r="BM539" s="26"/>
      <c r="BN539" s="26"/>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96"/>
      <c r="CP539" s="14"/>
      <c r="CQ539" s="14"/>
      <c r="CR539" s="14"/>
      <c r="CS539" s="14"/>
      <c r="CT539" s="1"/>
      <c r="CU539" s="14"/>
      <c r="CV539" s="1"/>
      <c r="CW539" s="1"/>
      <c r="CX539" s="14"/>
      <c r="CY539" s="1"/>
      <c r="CZ539" s="1"/>
      <c r="DA539" s="1"/>
      <c r="DB539" s="1"/>
      <c r="DC539" s="1"/>
      <c r="DD539" s="1"/>
      <c r="DE539" s="1"/>
      <c r="DF539" s="1"/>
      <c r="DG539" s="1"/>
      <c r="DH539" s="1"/>
      <c r="DI539" s="1"/>
      <c r="DJ539" s="1"/>
      <c r="DK539" s="1"/>
      <c r="DL539" s="1"/>
      <c r="DM539" s="1"/>
      <c r="DN539" s="1"/>
      <c r="DO539" s="1"/>
      <c r="DP539" s="1"/>
      <c r="DQ539" s="1"/>
      <c r="DR539" s="1"/>
      <c r="DS539" s="1"/>
      <c r="DT539" s="1"/>
      <c r="DU539" s="14"/>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29"/>
    </row>
    <row r="540" spans="1:160" x14ac:dyDescent="0.25">
      <c r="A540" s="5"/>
      <c r="B540" s="1"/>
      <c r="C540" s="98"/>
      <c r="D540" s="98"/>
      <c r="E540" s="1"/>
      <c r="F540" s="22"/>
      <c r="G540" s="22"/>
      <c r="H540" s="22"/>
      <c r="I540" s="22"/>
      <c r="J540" s="22"/>
      <c r="K540" s="22"/>
      <c r="L540" s="22"/>
      <c r="M540" s="22"/>
      <c r="N540" s="22"/>
      <c r="O540" s="22"/>
      <c r="P540" s="22"/>
      <c r="Q540" s="22"/>
      <c r="R540" s="1"/>
      <c r="S540" s="1"/>
      <c r="T540" s="8"/>
      <c r="U540" s="1"/>
      <c r="V540" s="1"/>
      <c r="W540" s="1"/>
      <c r="X540" s="1"/>
      <c r="Y540" s="1"/>
      <c r="Z540" s="1"/>
      <c r="AA540" s="1"/>
      <c r="AC540" s="1"/>
      <c r="AD540" s="1"/>
      <c r="AE540" s="1"/>
      <c r="AF540" s="1"/>
      <c r="AG540" s="1"/>
      <c r="AH540" s="26"/>
      <c r="AI540" s="26"/>
      <c r="AJ540" s="26"/>
      <c r="AK540" s="26"/>
      <c r="AL540" s="26"/>
      <c r="AM540" s="26"/>
      <c r="AN540" s="26"/>
      <c r="AO540" s="26"/>
      <c r="AP540" s="26"/>
      <c r="AQ540" s="26"/>
      <c r="AR540" s="26"/>
      <c r="AS540" s="26"/>
      <c r="AT540" s="26"/>
      <c r="AU540" s="26"/>
      <c r="AV540" s="26"/>
      <c r="AW540" s="26"/>
      <c r="AX540" s="26"/>
      <c r="AY540" s="1"/>
      <c r="AZ540" s="26"/>
      <c r="BA540" s="26"/>
      <c r="BB540" s="26"/>
      <c r="BC540" s="26"/>
      <c r="BD540" s="26"/>
      <c r="BE540" s="26"/>
      <c r="BF540" s="26"/>
      <c r="BG540" s="26"/>
      <c r="BH540" s="26"/>
      <c r="BI540" s="26"/>
      <c r="BJ540" s="26"/>
      <c r="BK540" s="26"/>
      <c r="BL540" s="26"/>
      <c r="BM540" s="26"/>
      <c r="BN540" s="26"/>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96"/>
      <c r="CP540" s="14"/>
      <c r="CQ540" s="14"/>
      <c r="CR540" s="14"/>
      <c r="CS540" s="14"/>
      <c r="CT540" s="1"/>
      <c r="CU540" s="14"/>
      <c r="CV540" s="1"/>
      <c r="CW540" s="1"/>
      <c r="CX540" s="14"/>
      <c r="CY540" s="1"/>
      <c r="CZ540" s="1"/>
      <c r="DA540" s="1"/>
      <c r="DB540" s="1"/>
      <c r="DC540" s="1"/>
      <c r="DD540" s="1"/>
      <c r="DE540" s="1"/>
      <c r="DF540" s="1"/>
      <c r="DG540" s="1"/>
      <c r="DH540" s="1"/>
      <c r="DI540" s="1"/>
      <c r="DJ540" s="1"/>
      <c r="DK540" s="1"/>
      <c r="DL540" s="1"/>
      <c r="DM540" s="1"/>
      <c r="DN540" s="1"/>
      <c r="DO540" s="1"/>
      <c r="DP540" s="1"/>
      <c r="DQ540" s="1"/>
      <c r="DR540" s="1"/>
      <c r="DS540" s="1"/>
      <c r="DT540" s="1"/>
      <c r="DU540" s="14"/>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29"/>
    </row>
    <row r="541" spans="1:160" x14ac:dyDescent="0.25">
      <c r="A541" s="5"/>
      <c r="B541" s="1"/>
      <c r="C541" s="98"/>
      <c r="D541" s="98"/>
      <c r="E541" s="1"/>
      <c r="F541" s="22"/>
      <c r="G541" s="22"/>
      <c r="H541" s="22"/>
      <c r="I541" s="22"/>
      <c r="J541" s="22"/>
      <c r="K541" s="22"/>
      <c r="L541" s="22"/>
      <c r="M541" s="22"/>
      <c r="N541" s="22"/>
      <c r="O541" s="22"/>
      <c r="P541" s="22"/>
      <c r="Q541" s="22"/>
      <c r="R541" s="1"/>
      <c r="S541" s="1"/>
      <c r="T541" s="8"/>
      <c r="U541" s="1"/>
      <c r="V541" s="1"/>
      <c r="W541" s="1"/>
      <c r="X541" s="1"/>
      <c r="Y541" s="1"/>
      <c r="Z541" s="1"/>
      <c r="AA541" s="1"/>
      <c r="AC541" s="1"/>
      <c r="AD541" s="1"/>
      <c r="AE541" s="1"/>
      <c r="AF541" s="1"/>
      <c r="AG541" s="1"/>
      <c r="AH541" s="26"/>
      <c r="AI541" s="26"/>
      <c r="AJ541" s="26"/>
      <c r="AK541" s="26"/>
      <c r="AL541" s="26"/>
      <c r="AM541" s="26"/>
      <c r="AN541" s="26"/>
      <c r="AO541" s="26"/>
      <c r="AP541" s="26"/>
      <c r="AQ541" s="26"/>
      <c r="AR541" s="26"/>
      <c r="AS541" s="26"/>
      <c r="AT541" s="26"/>
      <c r="AU541" s="26"/>
      <c r="AV541" s="26"/>
      <c r="AW541" s="26"/>
      <c r="AX541" s="26"/>
      <c r="AY541" s="1"/>
      <c r="AZ541" s="26"/>
      <c r="BA541" s="26"/>
      <c r="BB541" s="26"/>
      <c r="BC541" s="26"/>
      <c r="BD541" s="26"/>
      <c r="BE541" s="26"/>
      <c r="BF541" s="26"/>
      <c r="BG541" s="26"/>
      <c r="BH541" s="26"/>
      <c r="BI541" s="26"/>
      <c r="BJ541" s="26"/>
      <c r="BK541" s="26"/>
      <c r="BL541" s="26"/>
      <c r="BM541" s="26"/>
      <c r="BN541" s="26"/>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96"/>
      <c r="CP541" s="14"/>
      <c r="CQ541" s="14"/>
      <c r="CR541" s="14"/>
      <c r="CS541" s="14"/>
      <c r="CT541" s="1"/>
      <c r="CU541" s="14"/>
      <c r="CV541" s="1"/>
      <c r="CW541" s="1"/>
      <c r="CX541" s="14"/>
      <c r="CY541" s="1"/>
      <c r="CZ541" s="1"/>
      <c r="DA541" s="1"/>
      <c r="DB541" s="1"/>
      <c r="DC541" s="1"/>
      <c r="DD541" s="1"/>
      <c r="DE541" s="1"/>
      <c r="DF541" s="1"/>
      <c r="DG541" s="1"/>
      <c r="DH541" s="1"/>
      <c r="DI541" s="1"/>
      <c r="DJ541" s="1"/>
      <c r="DK541" s="1"/>
      <c r="DL541" s="1"/>
      <c r="DM541" s="1"/>
      <c r="DN541" s="1"/>
      <c r="DO541" s="1"/>
      <c r="DP541" s="1"/>
      <c r="DQ541" s="1"/>
      <c r="DR541" s="1"/>
      <c r="DS541" s="1"/>
      <c r="DT541" s="1"/>
      <c r="DU541" s="14"/>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29"/>
    </row>
    <row r="542" spans="1:160" x14ac:dyDescent="0.25">
      <c r="A542" s="5"/>
      <c r="B542" s="1"/>
      <c r="C542" s="98"/>
      <c r="D542" s="98"/>
      <c r="E542" s="1"/>
      <c r="F542" s="22"/>
      <c r="G542" s="22"/>
      <c r="H542" s="22"/>
      <c r="I542" s="22"/>
      <c r="J542" s="22"/>
      <c r="K542" s="22"/>
      <c r="L542" s="22"/>
      <c r="M542" s="22"/>
      <c r="N542" s="22"/>
      <c r="O542" s="22"/>
      <c r="P542" s="22"/>
      <c r="Q542" s="22"/>
      <c r="R542" s="1"/>
      <c r="S542" s="1"/>
      <c r="T542" s="8"/>
      <c r="U542" s="1"/>
      <c r="V542" s="1"/>
      <c r="W542" s="1"/>
      <c r="X542" s="1"/>
      <c r="Y542" s="1"/>
      <c r="Z542" s="1"/>
      <c r="AA542" s="1"/>
      <c r="AC542" s="1"/>
      <c r="AD542" s="1"/>
      <c r="AE542" s="1"/>
      <c r="AF542" s="1"/>
      <c r="AG542" s="1"/>
      <c r="AH542" s="26"/>
      <c r="AI542" s="26"/>
      <c r="AJ542" s="26"/>
      <c r="AK542" s="26"/>
      <c r="AL542" s="26"/>
      <c r="AM542" s="26"/>
      <c r="AN542" s="26"/>
      <c r="AO542" s="26"/>
      <c r="AP542" s="26"/>
      <c r="AQ542" s="26"/>
      <c r="AR542" s="26"/>
      <c r="AS542" s="26"/>
      <c r="AT542" s="26"/>
      <c r="AU542" s="26"/>
      <c r="AV542" s="26"/>
      <c r="AW542" s="26"/>
      <c r="AX542" s="26"/>
      <c r="AY542" s="1"/>
      <c r="AZ542" s="26"/>
      <c r="BA542" s="26"/>
      <c r="BB542" s="26"/>
      <c r="BC542" s="26"/>
      <c r="BD542" s="26"/>
      <c r="BE542" s="26"/>
      <c r="BF542" s="26"/>
      <c r="BG542" s="26"/>
      <c r="BH542" s="26"/>
      <c r="BI542" s="26"/>
      <c r="BJ542" s="26"/>
      <c r="BK542" s="26"/>
      <c r="BL542" s="26"/>
      <c r="BM542" s="26"/>
      <c r="BN542" s="26"/>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96"/>
      <c r="CP542" s="14"/>
      <c r="CQ542" s="14"/>
      <c r="CR542" s="14"/>
      <c r="CS542" s="14"/>
      <c r="CT542" s="1"/>
      <c r="CU542" s="14"/>
      <c r="CV542" s="1"/>
      <c r="CW542" s="1"/>
      <c r="CX542" s="14"/>
      <c r="CY542" s="1"/>
      <c r="CZ542" s="1"/>
      <c r="DA542" s="1"/>
      <c r="DB542" s="1"/>
      <c r="DC542" s="1"/>
      <c r="DD542" s="1"/>
      <c r="DE542" s="1"/>
      <c r="DF542" s="1"/>
      <c r="DG542" s="1"/>
      <c r="DH542" s="1"/>
      <c r="DI542" s="1"/>
      <c r="DJ542" s="1"/>
      <c r="DK542" s="1"/>
      <c r="DL542" s="1"/>
      <c r="DM542" s="1"/>
      <c r="DN542" s="1"/>
      <c r="DO542" s="1"/>
      <c r="DP542" s="1"/>
      <c r="DQ542" s="1"/>
      <c r="DR542" s="1"/>
      <c r="DS542" s="1"/>
      <c r="DT542" s="1"/>
      <c r="DU542" s="14"/>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29"/>
    </row>
    <row r="543" spans="1:160" x14ac:dyDescent="0.25">
      <c r="A543" s="5"/>
      <c r="B543" s="1"/>
      <c r="C543" s="98"/>
      <c r="D543" s="98"/>
      <c r="E543" s="1"/>
      <c r="F543" s="22"/>
      <c r="G543" s="22"/>
      <c r="H543" s="22"/>
      <c r="I543" s="22"/>
      <c r="J543" s="22"/>
      <c r="K543" s="22"/>
      <c r="L543" s="22"/>
      <c r="M543" s="22"/>
      <c r="N543" s="22"/>
      <c r="O543" s="22"/>
      <c r="P543" s="22"/>
      <c r="Q543" s="22"/>
      <c r="R543" s="1"/>
      <c r="S543" s="1"/>
      <c r="T543" s="8"/>
      <c r="U543" s="1"/>
      <c r="V543" s="1"/>
      <c r="W543" s="1"/>
      <c r="X543" s="1"/>
      <c r="Y543" s="1"/>
      <c r="Z543" s="1"/>
      <c r="AA543" s="1"/>
      <c r="AC543" s="1"/>
      <c r="AD543" s="1"/>
      <c r="AE543" s="1"/>
      <c r="AF543" s="1"/>
      <c r="AG543" s="1"/>
      <c r="AH543" s="26"/>
      <c r="AI543" s="26"/>
      <c r="AJ543" s="26"/>
      <c r="AK543" s="26"/>
      <c r="AL543" s="26"/>
      <c r="AM543" s="26"/>
      <c r="AN543" s="26"/>
      <c r="AO543" s="26"/>
      <c r="AP543" s="26"/>
      <c r="AQ543" s="26"/>
      <c r="AR543" s="26"/>
      <c r="AS543" s="26"/>
      <c r="AT543" s="26"/>
      <c r="AU543" s="26"/>
      <c r="AV543" s="26"/>
      <c r="AW543" s="26"/>
      <c r="AX543" s="26"/>
      <c r="AY543" s="1"/>
      <c r="AZ543" s="26"/>
      <c r="BA543" s="26"/>
      <c r="BB543" s="26"/>
      <c r="BC543" s="26"/>
      <c r="BD543" s="26"/>
      <c r="BE543" s="26"/>
      <c r="BF543" s="26"/>
      <c r="BG543" s="26"/>
      <c r="BH543" s="26"/>
      <c r="BI543" s="26"/>
      <c r="BJ543" s="26"/>
      <c r="BK543" s="26"/>
      <c r="BL543" s="26"/>
      <c r="BM543" s="26"/>
      <c r="BN543" s="26"/>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96"/>
      <c r="CP543" s="14"/>
      <c r="CQ543" s="14"/>
      <c r="CR543" s="14"/>
      <c r="CS543" s="14"/>
      <c r="CT543" s="1"/>
      <c r="CU543" s="14"/>
      <c r="CV543" s="1"/>
      <c r="CW543" s="1"/>
      <c r="CX543" s="14"/>
      <c r="CY543" s="1"/>
      <c r="CZ543" s="1"/>
      <c r="DA543" s="1"/>
      <c r="DB543" s="1"/>
      <c r="DC543" s="1"/>
      <c r="DD543" s="1"/>
      <c r="DE543" s="1"/>
      <c r="DF543" s="1"/>
      <c r="DG543" s="1"/>
      <c r="DH543" s="1"/>
      <c r="DI543" s="1"/>
      <c r="DJ543" s="1"/>
      <c r="DK543" s="1"/>
      <c r="DL543" s="1"/>
      <c r="DM543" s="1"/>
      <c r="DN543" s="1"/>
      <c r="DO543" s="1"/>
      <c r="DP543" s="1"/>
      <c r="DQ543" s="1"/>
      <c r="DR543" s="1"/>
      <c r="DS543" s="1"/>
      <c r="DT543" s="1"/>
      <c r="DU543" s="14"/>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29"/>
    </row>
    <row r="544" spans="1:160" x14ac:dyDescent="0.25">
      <c r="A544" s="5"/>
      <c r="B544" s="1"/>
      <c r="C544" s="98"/>
      <c r="D544" s="98"/>
      <c r="E544" s="1"/>
      <c r="F544" s="22"/>
      <c r="G544" s="22"/>
      <c r="H544" s="22"/>
      <c r="I544" s="22"/>
      <c r="J544" s="22"/>
      <c r="K544" s="22"/>
      <c r="L544" s="22"/>
      <c r="M544" s="22"/>
      <c r="N544" s="22"/>
      <c r="O544" s="22"/>
      <c r="P544" s="22"/>
      <c r="Q544" s="22"/>
      <c r="R544" s="1"/>
      <c r="S544" s="1"/>
      <c r="T544" s="8"/>
      <c r="U544" s="1"/>
      <c r="V544" s="1"/>
      <c r="W544" s="1"/>
      <c r="X544" s="1"/>
      <c r="Y544" s="1"/>
      <c r="Z544" s="1"/>
      <c r="AA544" s="1"/>
      <c r="AC544" s="1"/>
      <c r="AD544" s="1"/>
      <c r="AE544" s="1"/>
      <c r="AF544" s="1"/>
      <c r="AG544" s="1"/>
      <c r="AH544" s="26"/>
      <c r="AI544" s="26"/>
      <c r="AJ544" s="26"/>
      <c r="AK544" s="26"/>
      <c r="AL544" s="26"/>
      <c r="AM544" s="26"/>
      <c r="AN544" s="26"/>
      <c r="AO544" s="26"/>
      <c r="AP544" s="26"/>
      <c r="AQ544" s="26"/>
      <c r="AR544" s="26"/>
      <c r="AS544" s="26"/>
      <c r="AT544" s="26"/>
      <c r="AU544" s="26"/>
      <c r="AV544" s="26"/>
      <c r="AW544" s="26"/>
      <c r="AX544" s="26"/>
      <c r="AY544" s="1"/>
      <c r="AZ544" s="26"/>
      <c r="BA544" s="26"/>
      <c r="BB544" s="26"/>
      <c r="BC544" s="26"/>
      <c r="BD544" s="26"/>
      <c r="BE544" s="26"/>
      <c r="BF544" s="26"/>
      <c r="BG544" s="26"/>
      <c r="BH544" s="26"/>
      <c r="BI544" s="26"/>
      <c r="BJ544" s="26"/>
      <c r="BK544" s="26"/>
      <c r="BL544" s="26"/>
      <c r="BM544" s="26"/>
      <c r="BN544" s="26"/>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96"/>
      <c r="CP544" s="14"/>
      <c r="CQ544" s="14"/>
      <c r="CR544" s="14"/>
      <c r="CS544" s="14"/>
      <c r="CT544" s="1"/>
      <c r="CU544" s="14"/>
      <c r="CV544" s="1"/>
      <c r="CW544" s="1"/>
      <c r="CX544" s="14"/>
      <c r="CY544" s="1"/>
      <c r="CZ544" s="1"/>
      <c r="DA544" s="1"/>
      <c r="DB544" s="1"/>
      <c r="DC544" s="1"/>
      <c r="DD544" s="1"/>
      <c r="DE544" s="1"/>
      <c r="DF544" s="1"/>
      <c r="DG544" s="1"/>
      <c r="DH544" s="1"/>
      <c r="DI544" s="1"/>
      <c r="DJ544" s="1"/>
      <c r="DK544" s="1"/>
      <c r="DL544" s="1"/>
      <c r="DM544" s="1"/>
      <c r="DN544" s="1"/>
      <c r="DO544" s="1"/>
      <c r="DP544" s="1"/>
      <c r="DQ544" s="1"/>
      <c r="DR544" s="1"/>
      <c r="DS544" s="1"/>
      <c r="DT544" s="1"/>
      <c r="DU544" s="14"/>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29"/>
    </row>
    <row r="545" spans="1:160" x14ac:dyDescent="0.25">
      <c r="A545" s="5"/>
      <c r="B545" s="1"/>
      <c r="C545" s="98"/>
      <c r="D545" s="98"/>
      <c r="E545" s="1"/>
      <c r="F545" s="22"/>
      <c r="G545" s="22"/>
      <c r="H545" s="22"/>
      <c r="I545" s="22"/>
      <c r="J545" s="22"/>
      <c r="K545" s="22"/>
      <c r="L545" s="22"/>
      <c r="M545" s="22"/>
      <c r="N545" s="22"/>
      <c r="O545" s="22"/>
      <c r="P545" s="22"/>
      <c r="Q545" s="22"/>
      <c r="R545" s="1"/>
      <c r="S545" s="1"/>
      <c r="T545" s="8"/>
      <c r="U545" s="1"/>
      <c r="V545" s="1"/>
      <c r="W545" s="1"/>
      <c r="X545" s="1"/>
      <c r="Y545" s="1"/>
      <c r="Z545" s="1"/>
      <c r="AA545" s="1"/>
      <c r="AC545" s="1"/>
      <c r="AD545" s="1"/>
      <c r="AE545" s="1"/>
      <c r="AF545" s="1"/>
      <c r="AG545" s="1"/>
      <c r="AH545" s="26"/>
      <c r="AI545" s="26"/>
      <c r="AJ545" s="26"/>
      <c r="AK545" s="26"/>
      <c r="AL545" s="26"/>
      <c r="AM545" s="26"/>
      <c r="AN545" s="26"/>
      <c r="AO545" s="26"/>
      <c r="AP545" s="26"/>
      <c r="AQ545" s="26"/>
      <c r="AR545" s="26"/>
      <c r="AS545" s="26"/>
      <c r="AT545" s="26"/>
      <c r="AU545" s="26"/>
      <c r="AV545" s="26"/>
      <c r="AW545" s="26"/>
      <c r="AX545" s="26"/>
      <c r="AY545" s="1"/>
      <c r="AZ545" s="26"/>
      <c r="BA545" s="26"/>
      <c r="BB545" s="26"/>
      <c r="BC545" s="26"/>
      <c r="BD545" s="26"/>
      <c r="BE545" s="26"/>
      <c r="BF545" s="26"/>
      <c r="BG545" s="26"/>
      <c r="BH545" s="26"/>
      <c r="BI545" s="26"/>
      <c r="BJ545" s="26"/>
      <c r="BK545" s="26"/>
      <c r="BL545" s="26"/>
      <c r="BM545" s="26"/>
      <c r="BN545" s="26"/>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96"/>
      <c r="CP545" s="14"/>
      <c r="CQ545" s="14"/>
      <c r="CR545" s="14"/>
      <c r="CS545" s="14"/>
      <c r="CT545" s="1"/>
      <c r="CU545" s="14"/>
      <c r="CV545" s="1"/>
      <c r="CW545" s="1"/>
      <c r="CX545" s="14"/>
      <c r="CY545" s="1"/>
      <c r="CZ545" s="1"/>
      <c r="DA545" s="1"/>
      <c r="DB545" s="1"/>
      <c r="DC545" s="1"/>
      <c r="DD545" s="1"/>
      <c r="DE545" s="1"/>
      <c r="DF545" s="1"/>
      <c r="DG545" s="1"/>
      <c r="DH545" s="1"/>
      <c r="DI545" s="1"/>
      <c r="DJ545" s="1"/>
      <c r="DK545" s="1"/>
      <c r="DL545" s="1"/>
      <c r="DM545" s="1"/>
      <c r="DN545" s="1"/>
      <c r="DO545" s="1"/>
      <c r="DP545" s="1"/>
      <c r="DQ545" s="1"/>
      <c r="DR545" s="1"/>
      <c r="DS545" s="1"/>
      <c r="DT545" s="1"/>
      <c r="DU545" s="14"/>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29"/>
    </row>
    <row r="546" spans="1:160" x14ac:dyDescent="0.25">
      <c r="A546" s="5"/>
      <c r="B546" s="1"/>
      <c r="C546" s="98"/>
      <c r="D546" s="98"/>
      <c r="E546" s="1"/>
      <c r="F546" s="22"/>
      <c r="G546" s="22"/>
      <c r="H546" s="22"/>
      <c r="I546" s="22"/>
      <c r="J546" s="22"/>
      <c r="K546" s="22"/>
      <c r="L546" s="22"/>
      <c r="M546" s="22"/>
      <c r="N546" s="22"/>
      <c r="O546" s="22"/>
      <c r="P546" s="22"/>
      <c r="Q546" s="22"/>
      <c r="R546" s="1"/>
      <c r="S546" s="1"/>
      <c r="T546" s="8"/>
      <c r="U546" s="1"/>
      <c r="V546" s="1"/>
      <c r="W546" s="1"/>
      <c r="X546" s="1"/>
      <c r="Y546" s="1"/>
      <c r="Z546" s="1"/>
      <c r="AA546" s="1"/>
      <c r="AC546" s="1"/>
      <c r="AD546" s="1"/>
      <c r="AE546" s="1"/>
      <c r="AF546" s="1"/>
      <c r="AG546" s="1"/>
      <c r="AH546" s="26"/>
      <c r="AI546" s="26"/>
      <c r="AJ546" s="26"/>
      <c r="AK546" s="26"/>
      <c r="AL546" s="26"/>
      <c r="AM546" s="26"/>
      <c r="AN546" s="26"/>
      <c r="AO546" s="26"/>
      <c r="AP546" s="26"/>
      <c r="AQ546" s="26"/>
      <c r="AR546" s="26"/>
      <c r="AS546" s="26"/>
      <c r="AT546" s="26"/>
      <c r="AU546" s="26"/>
      <c r="AV546" s="26"/>
      <c r="AW546" s="26"/>
      <c r="AX546" s="26"/>
      <c r="AY546" s="1"/>
      <c r="AZ546" s="26"/>
      <c r="BA546" s="26"/>
      <c r="BB546" s="26"/>
      <c r="BC546" s="26"/>
      <c r="BD546" s="26"/>
      <c r="BE546" s="26"/>
      <c r="BF546" s="26"/>
      <c r="BG546" s="26"/>
      <c r="BH546" s="26"/>
      <c r="BI546" s="26"/>
      <c r="BJ546" s="26"/>
      <c r="BK546" s="26"/>
      <c r="BL546" s="26"/>
      <c r="BM546" s="26"/>
      <c r="BN546" s="26"/>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96"/>
      <c r="CP546" s="14"/>
      <c r="CQ546" s="14"/>
      <c r="CR546" s="14"/>
      <c r="CS546" s="14"/>
      <c r="CT546" s="1"/>
      <c r="CU546" s="14"/>
      <c r="CV546" s="1"/>
      <c r="CW546" s="1"/>
      <c r="CX546" s="14"/>
      <c r="CY546" s="1"/>
      <c r="CZ546" s="1"/>
      <c r="DA546" s="1"/>
      <c r="DB546" s="1"/>
      <c r="DC546" s="1"/>
      <c r="DD546" s="1"/>
      <c r="DE546" s="1"/>
      <c r="DF546" s="1"/>
      <c r="DG546" s="1"/>
      <c r="DH546" s="1"/>
      <c r="DI546" s="1"/>
      <c r="DJ546" s="1"/>
      <c r="DK546" s="1"/>
      <c r="DL546" s="1"/>
      <c r="DM546" s="1"/>
      <c r="DN546" s="1"/>
      <c r="DO546" s="1"/>
      <c r="DP546" s="1"/>
      <c r="DQ546" s="1"/>
      <c r="DR546" s="1"/>
      <c r="DS546" s="1"/>
      <c r="DT546" s="1"/>
      <c r="DU546" s="14"/>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29"/>
    </row>
    <row r="547" spans="1:160" x14ac:dyDescent="0.25">
      <c r="A547" s="5"/>
      <c r="B547" s="1"/>
      <c r="C547" s="98"/>
      <c r="D547" s="98"/>
      <c r="E547" s="1"/>
      <c r="F547" s="22"/>
      <c r="G547" s="22"/>
      <c r="H547" s="22"/>
      <c r="I547" s="22"/>
      <c r="J547" s="22"/>
      <c r="K547" s="22"/>
      <c r="L547" s="22"/>
      <c r="M547" s="22"/>
      <c r="N547" s="22"/>
      <c r="O547" s="22"/>
      <c r="P547" s="22"/>
      <c r="Q547" s="22"/>
      <c r="R547" s="1"/>
      <c r="S547" s="1"/>
      <c r="T547" s="8"/>
      <c r="U547" s="1"/>
      <c r="V547" s="1"/>
      <c r="W547" s="1"/>
      <c r="X547" s="1"/>
      <c r="Y547" s="1"/>
      <c r="Z547" s="1"/>
      <c r="AA547" s="1"/>
      <c r="AC547" s="1"/>
      <c r="AD547" s="1"/>
      <c r="AE547" s="1"/>
      <c r="AF547" s="1"/>
      <c r="AG547" s="1"/>
      <c r="AH547" s="26"/>
      <c r="AI547" s="26"/>
      <c r="AJ547" s="26"/>
      <c r="AK547" s="26"/>
      <c r="AL547" s="26"/>
      <c r="AM547" s="26"/>
      <c r="AN547" s="26"/>
      <c r="AO547" s="26"/>
      <c r="AP547" s="26"/>
      <c r="AQ547" s="26"/>
      <c r="AR547" s="26"/>
      <c r="AS547" s="26"/>
      <c r="AT547" s="26"/>
      <c r="AU547" s="26"/>
      <c r="AV547" s="26"/>
      <c r="AW547" s="26"/>
      <c r="AX547" s="26"/>
      <c r="AY547" s="1"/>
      <c r="AZ547" s="26"/>
      <c r="BA547" s="26"/>
      <c r="BB547" s="26"/>
      <c r="BC547" s="26"/>
      <c r="BD547" s="26"/>
      <c r="BE547" s="26"/>
      <c r="BF547" s="26"/>
      <c r="BG547" s="26"/>
      <c r="BH547" s="26"/>
      <c r="BI547" s="26"/>
      <c r="BJ547" s="26"/>
      <c r="BK547" s="26"/>
      <c r="BL547" s="26"/>
      <c r="BM547" s="26"/>
      <c r="BN547" s="26"/>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96"/>
      <c r="CP547" s="14"/>
      <c r="CQ547" s="14"/>
      <c r="CR547" s="14"/>
      <c r="CS547" s="14"/>
      <c r="CT547" s="1"/>
      <c r="CU547" s="14"/>
      <c r="CV547" s="1"/>
      <c r="CW547" s="1"/>
      <c r="CX547" s="14"/>
      <c r="CY547" s="1"/>
      <c r="CZ547" s="1"/>
      <c r="DA547" s="1"/>
      <c r="DB547" s="1"/>
      <c r="DC547" s="1"/>
      <c r="DD547" s="1"/>
      <c r="DE547" s="1"/>
      <c r="DF547" s="1"/>
      <c r="DG547" s="1"/>
      <c r="DH547" s="1"/>
      <c r="DI547" s="1"/>
      <c r="DJ547" s="1"/>
      <c r="DK547" s="1"/>
      <c r="DL547" s="1"/>
      <c r="DM547" s="1"/>
      <c r="DN547" s="1"/>
      <c r="DO547" s="1"/>
      <c r="DP547" s="1"/>
      <c r="DQ547" s="1"/>
      <c r="DR547" s="1"/>
      <c r="DS547" s="1"/>
      <c r="DT547" s="1"/>
      <c r="DU547" s="14"/>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29"/>
    </row>
    <row r="548" spans="1:160" x14ac:dyDescent="0.25">
      <c r="A548" s="5"/>
      <c r="B548" s="1"/>
      <c r="C548" s="98"/>
      <c r="D548" s="98"/>
      <c r="E548" s="1"/>
      <c r="F548" s="22"/>
      <c r="G548" s="22"/>
      <c r="H548" s="22"/>
      <c r="I548" s="22"/>
      <c r="J548" s="22"/>
      <c r="K548" s="22"/>
      <c r="L548" s="22"/>
      <c r="M548" s="22"/>
      <c r="N548" s="22"/>
      <c r="O548" s="22"/>
      <c r="P548" s="22"/>
      <c r="Q548" s="22"/>
      <c r="R548" s="1"/>
      <c r="S548" s="1"/>
      <c r="T548" s="8"/>
      <c r="U548" s="1"/>
      <c r="V548" s="1"/>
      <c r="W548" s="1"/>
      <c r="X548" s="1"/>
      <c r="Y548" s="1"/>
      <c r="Z548" s="1"/>
      <c r="AA548" s="1"/>
      <c r="AC548" s="1"/>
      <c r="AD548" s="1"/>
      <c r="AE548" s="1"/>
      <c r="AF548" s="1"/>
      <c r="AG548" s="1"/>
      <c r="AH548" s="26"/>
      <c r="AI548" s="26"/>
      <c r="AJ548" s="26"/>
      <c r="AK548" s="26"/>
      <c r="AL548" s="26"/>
      <c r="AM548" s="26"/>
      <c r="AN548" s="26"/>
      <c r="AO548" s="26"/>
      <c r="AP548" s="26"/>
      <c r="AQ548" s="26"/>
      <c r="AR548" s="26"/>
      <c r="AS548" s="26"/>
      <c r="AT548" s="26"/>
      <c r="AU548" s="26"/>
      <c r="AV548" s="26"/>
      <c r="AW548" s="26"/>
      <c r="AX548" s="26"/>
      <c r="AY548" s="1"/>
      <c r="AZ548" s="26"/>
      <c r="BA548" s="26"/>
      <c r="BB548" s="26"/>
      <c r="BC548" s="26"/>
      <c r="BD548" s="26"/>
      <c r="BE548" s="26"/>
      <c r="BF548" s="26"/>
      <c r="BG548" s="26"/>
      <c r="BH548" s="26"/>
      <c r="BI548" s="26"/>
      <c r="BJ548" s="26"/>
      <c r="BK548" s="26"/>
      <c r="BL548" s="26"/>
      <c r="BM548" s="26"/>
      <c r="BN548" s="26"/>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96"/>
      <c r="CP548" s="14"/>
      <c r="CQ548" s="14"/>
      <c r="CR548" s="14"/>
      <c r="CS548" s="14"/>
      <c r="CT548" s="1"/>
      <c r="CU548" s="14"/>
      <c r="CV548" s="1"/>
      <c r="CW548" s="1"/>
      <c r="CX548" s="14"/>
      <c r="CY548" s="1"/>
      <c r="CZ548" s="1"/>
      <c r="DA548" s="1"/>
      <c r="DB548" s="1"/>
      <c r="DC548" s="1"/>
      <c r="DD548" s="1"/>
      <c r="DE548" s="1"/>
      <c r="DF548" s="1"/>
      <c r="DG548" s="1"/>
      <c r="DH548" s="1"/>
      <c r="DI548" s="1"/>
      <c r="DJ548" s="1"/>
      <c r="DK548" s="1"/>
      <c r="DL548" s="1"/>
      <c r="DM548" s="1"/>
      <c r="DN548" s="1"/>
      <c r="DO548" s="1"/>
      <c r="DP548" s="1"/>
      <c r="DQ548" s="1"/>
      <c r="DR548" s="1"/>
      <c r="DS548" s="1"/>
      <c r="DT548" s="1"/>
      <c r="DU548" s="14"/>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29"/>
    </row>
    <row r="549" spans="1:160" x14ac:dyDescent="0.25">
      <c r="A549" s="5"/>
      <c r="B549" s="1"/>
      <c r="C549" s="98"/>
      <c r="D549" s="98"/>
      <c r="E549" s="1"/>
      <c r="F549" s="22"/>
      <c r="G549" s="22"/>
      <c r="H549" s="22"/>
      <c r="I549" s="22"/>
      <c r="J549" s="22"/>
      <c r="K549" s="22"/>
      <c r="L549" s="22"/>
      <c r="M549" s="22"/>
      <c r="N549" s="22"/>
      <c r="O549" s="22"/>
      <c r="P549" s="22"/>
      <c r="Q549" s="22"/>
      <c r="R549" s="1"/>
      <c r="S549" s="1"/>
      <c r="T549" s="8"/>
      <c r="U549" s="1"/>
      <c r="V549" s="1"/>
      <c r="W549" s="1"/>
      <c r="X549" s="1"/>
      <c r="Y549" s="1"/>
      <c r="Z549" s="1"/>
      <c r="AA549" s="1"/>
      <c r="AC549" s="1"/>
      <c r="AD549" s="1"/>
      <c r="AE549" s="1"/>
      <c r="AF549" s="1"/>
      <c r="AG549" s="1"/>
      <c r="AH549" s="26"/>
      <c r="AI549" s="26"/>
      <c r="AJ549" s="26"/>
      <c r="AK549" s="26"/>
      <c r="AL549" s="26"/>
      <c r="AM549" s="26"/>
      <c r="AN549" s="26"/>
      <c r="AO549" s="26"/>
      <c r="AP549" s="26"/>
      <c r="AQ549" s="26"/>
      <c r="AR549" s="26"/>
      <c r="AS549" s="26"/>
      <c r="AT549" s="26"/>
      <c r="AU549" s="26"/>
      <c r="AV549" s="26"/>
      <c r="AW549" s="26"/>
      <c r="AX549" s="26"/>
      <c r="AY549" s="1"/>
      <c r="AZ549" s="26"/>
      <c r="BA549" s="26"/>
      <c r="BB549" s="26"/>
      <c r="BC549" s="26"/>
      <c r="BD549" s="26"/>
      <c r="BE549" s="26"/>
      <c r="BF549" s="26"/>
      <c r="BG549" s="26"/>
      <c r="BH549" s="26"/>
      <c r="BI549" s="26"/>
      <c r="BJ549" s="26"/>
      <c r="BK549" s="26"/>
      <c r="BL549" s="26"/>
      <c r="BM549" s="26"/>
      <c r="BN549" s="26"/>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96"/>
      <c r="CP549" s="14"/>
      <c r="CQ549" s="14"/>
      <c r="CR549" s="14"/>
      <c r="CS549" s="14"/>
      <c r="CT549" s="1"/>
      <c r="CU549" s="14"/>
      <c r="CV549" s="1"/>
      <c r="CW549" s="1"/>
      <c r="CX549" s="14"/>
      <c r="CY549" s="1"/>
      <c r="CZ549" s="1"/>
      <c r="DA549" s="1"/>
      <c r="DB549" s="1"/>
      <c r="DC549" s="1"/>
      <c r="DD549" s="1"/>
      <c r="DE549" s="1"/>
      <c r="DF549" s="1"/>
      <c r="DG549" s="1"/>
      <c r="DH549" s="1"/>
      <c r="DI549" s="1"/>
      <c r="DJ549" s="1"/>
      <c r="DK549" s="1"/>
      <c r="DL549" s="1"/>
      <c r="DM549" s="1"/>
      <c r="DN549" s="1"/>
      <c r="DO549" s="1"/>
      <c r="DP549" s="1"/>
      <c r="DQ549" s="1"/>
      <c r="DR549" s="1"/>
      <c r="DS549" s="1"/>
      <c r="DT549" s="1"/>
      <c r="DU549" s="14"/>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29"/>
    </row>
    <row r="550" spans="1:160" x14ac:dyDescent="0.25">
      <c r="A550" s="5"/>
      <c r="B550" s="1"/>
      <c r="C550" s="98"/>
      <c r="D550" s="98"/>
      <c r="E550" s="1"/>
      <c r="F550" s="22"/>
      <c r="G550" s="22"/>
      <c r="H550" s="22"/>
      <c r="I550" s="22"/>
      <c r="J550" s="22"/>
      <c r="K550" s="22"/>
      <c r="L550" s="22"/>
      <c r="M550" s="22"/>
      <c r="N550" s="22"/>
      <c r="O550" s="22"/>
      <c r="P550" s="22"/>
      <c r="Q550" s="22"/>
      <c r="R550" s="1"/>
      <c r="S550" s="1"/>
      <c r="T550" s="8"/>
      <c r="U550" s="1"/>
      <c r="V550" s="1"/>
      <c r="W550" s="1"/>
      <c r="X550" s="1"/>
      <c r="Y550" s="1"/>
      <c r="Z550" s="1"/>
      <c r="AA550" s="1"/>
      <c r="AC550" s="1"/>
      <c r="AD550" s="1"/>
      <c r="AE550" s="1"/>
      <c r="AF550" s="1"/>
      <c r="AG550" s="1"/>
      <c r="AH550" s="26"/>
      <c r="AI550" s="26"/>
      <c r="AJ550" s="26"/>
      <c r="AK550" s="26"/>
      <c r="AL550" s="26"/>
      <c r="AM550" s="26"/>
      <c r="AN550" s="26"/>
      <c r="AO550" s="26"/>
      <c r="AP550" s="26"/>
      <c r="AQ550" s="26"/>
      <c r="AR550" s="26"/>
      <c r="AS550" s="26"/>
      <c r="AT550" s="26"/>
      <c r="AU550" s="26"/>
      <c r="AV550" s="26"/>
      <c r="AW550" s="26"/>
      <c r="AX550" s="26"/>
      <c r="AY550" s="1"/>
      <c r="AZ550" s="26"/>
      <c r="BA550" s="26"/>
      <c r="BB550" s="26"/>
      <c r="BC550" s="26"/>
      <c r="BD550" s="26"/>
      <c r="BE550" s="26"/>
      <c r="BF550" s="26"/>
      <c r="BG550" s="26"/>
      <c r="BH550" s="26"/>
      <c r="BI550" s="26"/>
      <c r="BJ550" s="26"/>
      <c r="BK550" s="26"/>
      <c r="BL550" s="26"/>
      <c r="BM550" s="26"/>
      <c r="BN550" s="26"/>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96"/>
      <c r="CP550" s="14"/>
      <c r="CQ550" s="14"/>
      <c r="CR550" s="14"/>
      <c r="CS550" s="14"/>
      <c r="CT550" s="1"/>
      <c r="CU550" s="14"/>
      <c r="CV550" s="1"/>
      <c r="CW550" s="1"/>
      <c r="CX550" s="14"/>
      <c r="CY550" s="1"/>
      <c r="CZ550" s="1"/>
      <c r="DA550" s="1"/>
      <c r="DB550" s="1"/>
      <c r="DC550" s="1"/>
      <c r="DD550" s="1"/>
      <c r="DE550" s="1"/>
      <c r="DF550" s="1"/>
      <c r="DG550" s="1"/>
      <c r="DH550" s="1"/>
      <c r="DI550" s="1"/>
      <c r="DJ550" s="1"/>
      <c r="DK550" s="1"/>
      <c r="DL550" s="1"/>
      <c r="DM550" s="1"/>
      <c r="DN550" s="1"/>
      <c r="DO550" s="1"/>
      <c r="DP550" s="1"/>
      <c r="DQ550" s="1"/>
      <c r="DR550" s="1"/>
      <c r="DS550" s="1"/>
      <c r="DT550" s="1"/>
      <c r="DU550" s="14"/>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29"/>
    </row>
    <row r="551" spans="1:160" x14ac:dyDescent="0.25">
      <c r="A551" s="5"/>
      <c r="B551" s="1"/>
      <c r="C551" s="98"/>
      <c r="D551" s="98"/>
      <c r="E551" s="1"/>
      <c r="F551" s="22"/>
      <c r="G551" s="22"/>
      <c r="H551" s="22"/>
      <c r="I551" s="22"/>
      <c r="J551" s="22"/>
      <c r="K551" s="22"/>
      <c r="L551" s="22"/>
      <c r="M551" s="22"/>
      <c r="N551" s="22"/>
      <c r="O551" s="22"/>
      <c r="P551" s="22"/>
      <c r="Q551" s="22"/>
      <c r="R551" s="1"/>
      <c r="S551" s="1"/>
      <c r="T551" s="8"/>
      <c r="U551" s="1"/>
      <c r="V551" s="1"/>
      <c r="W551" s="1"/>
      <c r="X551" s="1"/>
      <c r="Y551" s="1"/>
      <c r="Z551" s="1"/>
      <c r="AA551" s="1"/>
      <c r="AC551" s="1"/>
      <c r="AD551" s="1"/>
      <c r="AE551" s="1"/>
      <c r="AF551" s="1"/>
      <c r="AG551" s="1"/>
      <c r="AH551" s="26"/>
      <c r="AI551" s="26"/>
      <c r="AJ551" s="26"/>
      <c r="AK551" s="26"/>
      <c r="AL551" s="26"/>
      <c r="AM551" s="26"/>
      <c r="AN551" s="26"/>
      <c r="AO551" s="26"/>
      <c r="AP551" s="26"/>
      <c r="AQ551" s="26"/>
      <c r="AR551" s="26"/>
      <c r="AS551" s="26"/>
      <c r="AT551" s="26"/>
      <c r="AU551" s="26"/>
      <c r="AV551" s="26"/>
      <c r="AW551" s="26"/>
      <c r="AX551" s="26"/>
      <c r="AY551" s="1"/>
      <c r="AZ551" s="26"/>
      <c r="BA551" s="26"/>
      <c r="BB551" s="26"/>
      <c r="BC551" s="26"/>
      <c r="BD551" s="26"/>
      <c r="BE551" s="26"/>
      <c r="BF551" s="26"/>
      <c r="BG551" s="26"/>
      <c r="BH551" s="26"/>
      <c r="BI551" s="26"/>
      <c r="BJ551" s="26"/>
      <c r="BK551" s="26"/>
      <c r="BL551" s="26"/>
      <c r="BM551" s="26"/>
      <c r="BN551" s="26"/>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96"/>
      <c r="CP551" s="14"/>
      <c r="CQ551" s="14"/>
      <c r="CR551" s="14"/>
      <c r="CS551" s="14"/>
      <c r="CT551" s="1"/>
      <c r="CU551" s="14"/>
      <c r="CV551" s="1"/>
      <c r="CW551" s="1"/>
      <c r="CX551" s="14"/>
      <c r="CY551" s="1"/>
      <c r="CZ551" s="1"/>
      <c r="DA551" s="1"/>
      <c r="DB551" s="1"/>
      <c r="DC551" s="1"/>
      <c r="DD551" s="1"/>
      <c r="DE551" s="1"/>
      <c r="DF551" s="1"/>
      <c r="DG551" s="1"/>
      <c r="DH551" s="1"/>
      <c r="DI551" s="1"/>
      <c r="DJ551" s="1"/>
      <c r="DK551" s="1"/>
      <c r="DL551" s="1"/>
      <c r="DM551" s="1"/>
      <c r="DN551" s="1"/>
      <c r="DO551" s="1"/>
      <c r="DP551" s="1"/>
      <c r="DQ551" s="1"/>
      <c r="DR551" s="1"/>
      <c r="DS551" s="1"/>
      <c r="DT551" s="1"/>
      <c r="DU551" s="14"/>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29"/>
    </row>
    <row r="552" spans="1:160" x14ac:dyDescent="0.25">
      <c r="A552" s="5"/>
      <c r="B552" s="1"/>
      <c r="C552" s="98"/>
      <c r="D552" s="98"/>
      <c r="E552" s="1"/>
      <c r="F552" s="22"/>
      <c r="G552" s="22"/>
      <c r="H552" s="22"/>
      <c r="I552" s="22"/>
      <c r="J552" s="22"/>
      <c r="K552" s="22"/>
      <c r="L552" s="22"/>
      <c r="M552" s="22"/>
      <c r="N552" s="22"/>
      <c r="O552" s="22"/>
      <c r="P552" s="22"/>
      <c r="Q552" s="22"/>
      <c r="R552" s="1"/>
      <c r="S552" s="1"/>
      <c r="T552" s="8"/>
      <c r="U552" s="1"/>
      <c r="V552" s="1"/>
      <c r="W552" s="1"/>
      <c r="X552" s="1"/>
      <c r="Y552" s="1"/>
      <c r="Z552" s="1"/>
      <c r="AA552" s="1"/>
      <c r="AC552" s="1"/>
      <c r="AD552" s="1"/>
      <c r="AE552" s="1"/>
      <c r="AF552" s="1"/>
      <c r="AG552" s="1"/>
      <c r="AH552" s="26"/>
      <c r="AI552" s="26"/>
      <c r="AJ552" s="26"/>
      <c r="AK552" s="26"/>
      <c r="AL552" s="26"/>
      <c r="AM552" s="26"/>
      <c r="AN552" s="26"/>
      <c r="AO552" s="26"/>
      <c r="AP552" s="26"/>
      <c r="AQ552" s="26"/>
      <c r="AR552" s="26"/>
      <c r="AS552" s="26"/>
      <c r="AT552" s="26"/>
      <c r="AU552" s="26"/>
      <c r="AV552" s="26"/>
      <c r="AW552" s="26"/>
      <c r="AX552" s="26"/>
      <c r="AY552" s="1"/>
      <c r="AZ552" s="26"/>
      <c r="BA552" s="26"/>
      <c r="BB552" s="26"/>
      <c r="BC552" s="26"/>
      <c r="BD552" s="26"/>
      <c r="BE552" s="26"/>
      <c r="BF552" s="26"/>
      <c r="BG552" s="26"/>
      <c r="BH552" s="26"/>
      <c r="BI552" s="26"/>
      <c r="BJ552" s="26"/>
      <c r="BK552" s="26"/>
      <c r="BL552" s="26"/>
      <c r="BM552" s="26"/>
      <c r="BN552" s="26"/>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96"/>
      <c r="CP552" s="14"/>
      <c r="CQ552" s="14"/>
      <c r="CR552" s="14"/>
      <c r="CS552" s="14"/>
      <c r="CT552" s="1"/>
      <c r="CU552" s="14"/>
      <c r="CV552" s="1"/>
      <c r="CW552" s="1"/>
      <c r="CX552" s="14"/>
      <c r="CY552" s="1"/>
      <c r="CZ552" s="1"/>
      <c r="DA552" s="1"/>
      <c r="DB552" s="1"/>
      <c r="DC552" s="1"/>
      <c r="DD552" s="1"/>
      <c r="DE552" s="1"/>
      <c r="DF552" s="1"/>
      <c r="DG552" s="1"/>
      <c r="DH552" s="1"/>
      <c r="DI552" s="1"/>
      <c r="DJ552" s="1"/>
      <c r="DK552" s="1"/>
      <c r="DL552" s="1"/>
      <c r="DM552" s="1"/>
      <c r="DN552" s="1"/>
      <c r="DO552" s="1"/>
      <c r="DP552" s="1"/>
      <c r="DQ552" s="1"/>
      <c r="DR552" s="1"/>
      <c r="DS552" s="1"/>
      <c r="DT552" s="1"/>
      <c r="DU552" s="14"/>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29"/>
    </row>
    <row r="553" spans="1:160" x14ac:dyDescent="0.25">
      <c r="A553" s="5"/>
      <c r="B553" s="1"/>
      <c r="C553" s="98"/>
      <c r="D553" s="98"/>
      <c r="E553" s="1"/>
      <c r="F553" s="22"/>
      <c r="G553" s="22"/>
      <c r="H553" s="22"/>
      <c r="I553" s="22"/>
      <c r="J553" s="22"/>
      <c r="K553" s="22"/>
      <c r="L553" s="22"/>
      <c r="M553" s="22"/>
      <c r="N553" s="22"/>
      <c r="O553" s="22"/>
      <c r="P553" s="22"/>
      <c r="Q553" s="22"/>
      <c r="R553" s="1"/>
      <c r="S553" s="1"/>
      <c r="T553" s="8"/>
      <c r="U553" s="1"/>
      <c r="V553" s="1"/>
      <c r="W553" s="1"/>
      <c r="X553" s="1"/>
      <c r="Y553" s="1"/>
      <c r="Z553" s="1"/>
      <c r="AA553" s="1"/>
      <c r="AC553" s="1"/>
      <c r="AD553" s="1"/>
      <c r="AE553" s="1"/>
      <c r="AF553" s="1"/>
      <c r="AG553" s="1"/>
      <c r="AH553" s="26"/>
      <c r="AI553" s="26"/>
      <c r="AJ553" s="26"/>
      <c r="AK553" s="26"/>
      <c r="AL553" s="26"/>
      <c r="AM553" s="26"/>
      <c r="AN553" s="26"/>
      <c r="AO553" s="26"/>
      <c r="AP553" s="26"/>
      <c r="AQ553" s="26"/>
      <c r="AR553" s="26"/>
      <c r="AS553" s="26"/>
      <c r="AT553" s="26"/>
      <c r="AU553" s="26"/>
      <c r="AV553" s="26"/>
      <c r="AW553" s="26"/>
      <c r="AX553" s="26"/>
      <c r="AY553" s="1"/>
      <c r="AZ553" s="26"/>
      <c r="BA553" s="26"/>
      <c r="BB553" s="26"/>
      <c r="BC553" s="26"/>
      <c r="BD553" s="26"/>
      <c r="BE553" s="26"/>
      <c r="BF553" s="26"/>
      <c r="BG553" s="26"/>
      <c r="BH553" s="26"/>
      <c r="BI553" s="26"/>
      <c r="BJ553" s="26"/>
      <c r="BK553" s="26"/>
      <c r="BL553" s="26"/>
      <c r="BM553" s="26"/>
      <c r="BN553" s="26"/>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96"/>
      <c r="CP553" s="14"/>
      <c r="CQ553" s="14"/>
      <c r="CR553" s="14"/>
      <c r="CS553" s="14"/>
      <c r="CT553" s="1"/>
      <c r="CU553" s="14"/>
      <c r="CV553" s="1"/>
      <c r="CW553" s="1"/>
      <c r="CX553" s="14"/>
      <c r="CY553" s="1"/>
      <c r="CZ553" s="1"/>
      <c r="DA553" s="1"/>
      <c r="DB553" s="1"/>
      <c r="DC553" s="1"/>
      <c r="DD553" s="1"/>
      <c r="DE553" s="1"/>
      <c r="DF553" s="1"/>
      <c r="DG553" s="1"/>
      <c r="DH553" s="1"/>
      <c r="DI553" s="1"/>
      <c r="DJ553" s="1"/>
      <c r="DK553" s="1"/>
      <c r="DL553" s="1"/>
      <c r="DM553" s="1"/>
      <c r="DN553" s="1"/>
      <c r="DO553" s="1"/>
      <c r="DP553" s="1"/>
      <c r="DQ553" s="1"/>
      <c r="DR553" s="1"/>
      <c r="DS553" s="1"/>
      <c r="DT553" s="1"/>
      <c r="DU553" s="14"/>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29"/>
    </row>
    <row r="554" spans="1:160" x14ac:dyDescent="0.25">
      <c r="A554" s="5"/>
      <c r="B554" s="1"/>
      <c r="C554" s="98"/>
      <c r="D554" s="98"/>
      <c r="E554" s="1"/>
      <c r="F554" s="22"/>
      <c r="G554" s="22"/>
      <c r="H554" s="22"/>
      <c r="I554" s="22"/>
      <c r="J554" s="22"/>
      <c r="K554" s="22"/>
      <c r="L554" s="22"/>
      <c r="M554" s="22"/>
      <c r="N554" s="22"/>
      <c r="O554" s="22"/>
      <c r="P554" s="22"/>
      <c r="Q554" s="22"/>
      <c r="R554" s="1"/>
      <c r="S554" s="1"/>
      <c r="T554" s="8"/>
      <c r="U554" s="1"/>
      <c r="V554" s="1"/>
      <c r="W554" s="1"/>
      <c r="X554" s="1"/>
      <c r="Y554" s="1"/>
      <c r="Z554" s="1"/>
      <c r="AA554" s="1"/>
      <c r="AC554" s="1"/>
      <c r="AD554" s="1"/>
      <c r="AE554" s="1"/>
      <c r="AF554" s="1"/>
      <c r="AG554" s="1"/>
      <c r="AH554" s="26"/>
      <c r="AI554" s="26"/>
      <c r="AJ554" s="26"/>
      <c r="AK554" s="26"/>
      <c r="AL554" s="26"/>
      <c r="AM554" s="26"/>
      <c r="AN554" s="26"/>
      <c r="AO554" s="26"/>
      <c r="AP554" s="26"/>
      <c r="AQ554" s="26"/>
      <c r="AR554" s="26"/>
      <c r="AS554" s="26"/>
      <c r="AT554" s="26"/>
      <c r="AU554" s="26"/>
      <c r="AV554" s="26"/>
      <c r="AW554" s="26"/>
      <c r="AX554" s="26"/>
      <c r="AY554" s="1"/>
      <c r="AZ554" s="26"/>
      <c r="BA554" s="26"/>
      <c r="BB554" s="26"/>
      <c r="BC554" s="26"/>
      <c r="BD554" s="26"/>
      <c r="BE554" s="26"/>
      <c r="BF554" s="26"/>
      <c r="BG554" s="26"/>
      <c r="BH554" s="26"/>
      <c r="BI554" s="26"/>
      <c r="BJ554" s="26"/>
      <c r="BK554" s="26"/>
      <c r="BL554" s="26"/>
      <c r="BM554" s="26"/>
      <c r="BN554" s="26"/>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96"/>
      <c r="CP554" s="14"/>
      <c r="CQ554" s="14"/>
      <c r="CR554" s="14"/>
      <c r="CS554" s="14"/>
      <c r="CT554" s="1"/>
      <c r="CU554" s="14"/>
      <c r="CV554" s="1"/>
      <c r="CW554" s="1"/>
      <c r="CX554" s="14"/>
      <c r="CY554" s="1"/>
      <c r="CZ554" s="1"/>
      <c r="DA554" s="1"/>
      <c r="DB554" s="1"/>
      <c r="DC554" s="1"/>
      <c r="DD554" s="1"/>
      <c r="DE554" s="1"/>
      <c r="DF554" s="1"/>
      <c r="DG554" s="1"/>
      <c r="DH554" s="1"/>
      <c r="DI554" s="1"/>
      <c r="DJ554" s="1"/>
      <c r="DK554" s="1"/>
      <c r="DL554" s="1"/>
      <c r="DM554" s="1"/>
      <c r="DN554" s="1"/>
      <c r="DO554" s="1"/>
      <c r="DP554" s="1"/>
      <c r="DQ554" s="1"/>
      <c r="DR554" s="1"/>
      <c r="DS554" s="1"/>
      <c r="DT554" s="1"/>
      <c r="DU554" s="14"/>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29"/>
    </row>
    <row r="555" spans="1:160" x14ac:dyDescent="0.25">
      <c r="A555" s="5"/>
      <c r="B555" s="1"/>
      <c r="C555" s="98"/>
      <c r="D555" s="98"/>
      <c r="E555" s="1"/>
      <c r="F555" s="22"/>
      <c r="G555" s="22"/>
      <c r="H555" s="22"/>
      <c r="I555" s="22"/>
      <c r="J555" s="22"/>
      <c r="K555" s="22"/>
      <c r="L555" s="22"/>
      <c r="M555" s="22"/>
      <c r="N555" s="22"/>
      <c r="O555" s="22"/>
      <c r="P555" s="22"/>
      <c r="Q555" s="22"/>
      <c r="R555" s="1"/>
      <c r="S555" s="1"/>
      <c r="T555" s="8"/>
      <c r="U555" s="1"/>
      <c r="V555" s="1"/>
      <c r="W555" s="1"/>
      <c r="X555" s="1"/>
      <c r="Y555" s="1"/>
      <c r="Z555" s="1"/>
      <c r="AA555" s="1"/>
      <c r="AC555" s="1"/>
      <c r="AD555" s="1"/>
      <c r="AE555" s="1"/>
      <c r="AF555" s="1"/>
      <c r="AG555" s="1"/>
      <c r="AH555" s="26"/>
      <c r="AI555" s="26"/>
      <c r="AJ555" s="26"/>
      <c r="AK555" s="26"/>
      <c r="AL555" s="26"/>
      <c r="AM555" s="26"/>
      <c r="AN555" s="26"/>
      <c r="AO555" s="26"/>
      <c r="AP555" s="26"/>
      <c r="AQ555" s="26"/>
      <c r="AR555" s="26"/>
      <c r="AS555" s="26"/>
      <c r="AT555" s="26"/>
      <c r="AU555" s="26"/>
      <c r="AV555" s="26"/>
      <c r="AW555" s="26"/>
      <c r="AX555" s="26"/>
      <c r="AY555" s="1"/>
      <c r="AZ555" s="26"/>
      <c r="BA555" s="26"/>
      <c r="BB555" s="26"/>
      <c r="BC555" s="26"/>
      <c r="BD555" s="26"/>
      <c r="BE555" s="26"/>
      <c r="BF555" s="26"/>
      <c r="BG555" s="26"/>
      <c r="BH555" s="26"/>
      <c r="BI555" s="26"/>
      <c r="BJ555" s="26"/>
      <c r="BK555" s="26"/>
      <c r="BL555" s="26"/>
      <c r="BM555" s="26"/>
      <c r="BN555" s="26"/>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96"/>
      <c r="CP555" s="14"/>
      <c r="CQ555" s="14"/>
      <c r="CR555" s="14"/>
      <c r="CS555" s="14"/>
      <c r="CT555" s="1"/>
      <c r="CU555" s="14"/>
      <c r="CV555" s="1"/>
      <c r="CW555" s="1"/>
      <c r="CX555" s="14"/>
      <c r="CY555" s="1"/>
      <c r="CZ555" s="1"/>
      <c r="DA555" s="1"/>
      <c r="DB555" s="1"/>
      <c r="DC555" s="1"/>
      <c r="DD555" s="1"/>
      <c r="DE555" s="1"/>
      <c r="DF555" s="1"/>
      <c r="DG555" s="1"/>
      <c r="DH555" s="1"/>
      <c r="DI555" s="1"/>
      <c r="DJ555" s="1"/>
      <c r="DK555" s="1"/>
      <c r="DL555" s="1"/>
      <c r="DM555" s="1"/>
      <c r="DN555" s="1"/>
      <c r="DO555" s="1"/>
      <c r="DP555" s="1"/>
      <c r="DQ555" s="1"/>
      <c r="DR555" s="1"/>
      <c r="DS555" s="1"/>
      <c r="DT555" s="1"/>
      <c r="DU555" s="14"/>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29"/>
    </row>
    <row r="556" spans="1:160" x14ac:dyDescent="0.25">
      <c r="A556" s="5"/>
      <c r="B556" s="1"/>
      <c r="C556" s="98"/>
      <c r="D556" s="98"/>
      <c r="E556" s="1"/>
      <c r="F556" s="22"/>
      <c r="G556" s="22"/>
      <c r="H556" s="22"/>
      <c r="I556" s="22"/>
      <c r="J556" s="22"/>
      <c r="K556" s="22"/>
      <c r="L556" s="22"/>
      <c r="M556" s="22"/>
      <c r="N556" s="22"/>
      <c r="O556" s="22"/>
      <c r="P556" s="22"/>
      <c r="Q556" s="22"/>
      <c r="R556" s="1"/>
      <c r="S556" s="1"/>
      <c r="T556" s="8"/>
      <c r="U556" s="1"/>
      <c r="V556" s="1"/>
      <c r="W556" s="1"/>
      <c r="X556" s="1"/>
      <c r="Y556" s="1"/>
      <c r="Z556" s="1"/>
      <c r="AA556" s="1"/>
      <c r="AC556" s="1"/>
      <c r="AD556" s="1"/>
      <c r="AE556" s="1"/>
      <c r="AF556" s="1"/>
      <c r="AG556" s="1"/>
      <c r="AH556" s="26"/>
      <c r="AI556" s="26"/>
      <c r="AJ556" s="26"/>
      <c r="AK556" s="26"/>
      <c r="AL556" s="26"/>
      <c r="AM556" s="26"/>
      <c r="AN556" s="26"/>
      <c r="AO556" s="26"/>
      <c r="AP556" s="26"/>
      <c r="AQ556" s="26"/>
      <c r="AR556" s="26"/>
      <c r="AS556" s="26"/>
      <c r="AT556" s="26"/>
      <c r="AU556" s="26"/>
      <c r="AV556" s="26"/>
      <c r="AW556" s="26"/>
      <c r="AX556" s="26"/>
      <c r="AY556" s="1"/>
      <c r="AZ556" s="26"/>
      <c r="BA556" s="26"/>
      <c r="BB556" s="26"/>
      <c r="BC556" s="26"/>
      <c r="BD556" s="26"/>
      <c r="BE556" s="26"/>
      <c r="BF556" s="26"/>
      <c r="BG556" s="26"/>
      <c r="BH556" s="26"/>
      <c r="BI556" s="26"/>
      <c r="BJ556" s="26"/>
      <c r="BK556" s="26"/>
      <c r="BL556" s="26"/>
      <c r="BM556" s="26"/>
      <c r="BN556" s="26"/>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96"/>
      <c r="CP556" s="14"/>
      <c r="CQ556" s="14"/>
      <c r="CR556" s="14"/>
      <c r="CS556" s="14"/>
      <c r="CT556" s="1"/>
      <c r="CU556" s="14"/>
      <c r="CV556" s="1"/>
      <c r="CW556" s="1"/>
      <c r="CX556" s="14"/>
      <c r="CY556" s="1"/>
      <c r="CZ556" s="1"/>
      <c r="DA556" s="1"/>
      <c r="DB556" s="1"/>
      <c r="DC556" s="1"/>
      <c r="DD556" s="1"/>
      <c r="DE556" s="1"/>
      <c r="DF556" s="1"/>
      <c r="DG556" s="1"/>
      <c r="DH556" s="1"/>
      <c r="DI556" s="1"/>
      <c r="DJ556" s="1"/>
      <c r="DK556" s="1"/>
      <c r="DL556" s="1"/>
      <c r="DM556" s="1"/>
      <c r="DN556" s="1"/>
      <c r="DO556" s="1"/>
      <c r="DP556" s="1"/>
      <c r="DQ556" s="1"/>
      <c r="DR556" s="1"/>
      <c r="DS556" s="1"/>
      <c r="DT556" s="1"/>
      <c r="DU556" s="14"/>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29"/>
    </row>
    <row r="557" spans="1:160" x14ac:dyDescent="0.25">
      <c r="A557" s="5"/>
      <c r="B557" s="1"/>
      <c r="C557" s="98"/>
      <c r="D557" s="98"/>
      <c r="E557" s="1"/>
      <c r="F557" s="22"/>
      <c r="G557" s="22"/>
      <c r="H557" s="22"/>
      <c r="I557" s="22"/>
      <c r="J557" s="22"/>
      <c r="K557" s="22"/>
      <c r="L557" s="22"/>
      <c r="M557" s="22"/>
      <c r="N557" s="22"/>
      <c r="O557" s="22"/>
      <c r="P557" s="22"/>
      <c r="Q557" s="22"/>
      <c r="R557" s="1"/>
      <c r="S557" s="1"/>
      <c r="T557" s="8"/>
      <c r="U557" s="1"/>
      <c r="V557" s="1"/>
      <c r="W557" s="1"/>
      <c r="X557" s="1"/>
      <c r="Y557" s="1"/>
      <c r="Z557" s="1"/>
      <c r="AA557" s="1"/>
      <c r="AC557" s="1"/>
      <c r="AD557" s="1"/>
      <c r="AE557" s="1"/>
      <c r="AF557" s="1"/>
      <c r="AG557" s="1"/>
      <c r="AH557" s="26"/>
      <c r="AI557" s="26"/>
      <c r="AJ557" s="26"/>
      <c r="AK557" s="26"/>
      <c r="AL557" s="26"/>
      <c r="AM557" s="26"/>
      <c r="AN557" s="26"/>
      <c r="AO557" s="26"/>
      <c r="AP557" s="26"/>
      <c r="AQ557" s="26"/>
      <c r="AR557" s="26"/>
      <c r="AS557" s="26"/>
      <c r="AT557" s="26"/>
      <c r="AU557" s="26"/>
      <c r="AV557" s="26"/>
      <c r="AW557" s="26"/>
      <c r="AX557" s="26"/>
      <c r="AY557" s="1"/>
      <c r="AZ557" s="26"/>
      <c r="BA557" s="26"/>
      <c r="BB557" s="26"/>
      <c r="BC557" s="26"/>
      <c r="BD557" s="26"/>
      <c r="BE557" s="26"/>
      <c r="BF557" s="26"/>
      <c r="BG557" s="26"/>
      <c r="BH557" s="26"/>
      <c r="BI557" s="26"/>
      <c r="BJ557" s="26"/>
      <c r="BK557" s="26"/>
      <c r="BL557" s="26"/>
      <c r="BM557" s="26"/>
      <c r="BN557" s="26"/>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96"/>
      <c r="CP557" s="14"/>
      <c r="CQ557" s="14"/>
      <c r="CR557" s="14"/>
      <c r="CS557" s="14"/>
      <c r="CT557" s="1"/>
      <c r="CU557" s="14"/>
      <c r="CV557" s="1"/>
      <c r="CW557" s="1"/>
      <c r="CX557" s="14"/>
      <c r="CY557" s="1"/>
      <c r="CZ557" s="1"/>
      <c r="DA557" s="1"/>
      <c r="DB557" s="1"/>
      <c r="DC557" s="1"/>
      <c r="DD557" s="1"/>
      <c r="DE557" s="1"/>
      <c r="DF557" s="1"/>
      <c r="DG557" s="1"/>
      <c r="DH557" s="1"/>
      <c r="DI557" s="1"/>
      <c r="DJ557" s="1"/>
      <c r="DK557" s="1"/>
      <c r="DL557" s="1"/>
      <c r="DM557" s="1"/>
      <c r="DN557" s="1"/>
      <c r="DO557" s="1"/>
      <c r="DP557" s="1"/>
      <c r="DQ557" s="1"/>
      <c r="DR557" s="1"/>
      <c r="DS557" s="1"/>
      <c r="DT557" s="1"/>
      <c r="DU557" s="14"/>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29"/>
    </row>
    <row r="558" spans="1:160" x14ac:dyDescent="0.25">
      <c r="A558" s="5"/>
      <c r="B558" s="1"/>
      <c r="C558" s="98"/>
      <c r="D558" s="98"/>
      <c r="E558" s="1"/>
      <c r="F558" s="22"/>
      <c r="G558" s="22"/>
      <c r="H558" s="22"/>
      <c r="I558" s="22"/>
      <c r="J558" s="22"/>
      <c r="K558" s="22"/>
      <c r="L558" s="22"/>
      <c r="M558" s="22"/>
      <c r="N558" s="22"/>
      <c r="O558" s="22"/>
      <c r="P558" s="22"/>
      <c r="Q558" s="22"/>
      <c r="R558" s="1"/>
      <c r="S558" s="1"/>
      <c r="T558" s="8"/>
      <c r="U558" s="1"/>
      <c r="V558" s="1"/>
      <c r="W558" s="1"/>
      <c r="X558" s="1"/>
      <c r="Y558" s="1"/>
      <c r="Z558" s="1"/>
      <c r="AA558" s="1"/>
      <c r="AC558" s="1"/>
      <c r="AD558" s="1"/>
      <c r="AE558" s="1"/>
      <c r="AF558" s="1"/>
      <c r="AG558" s="1"/>
      <c r="AH558" s="26"/>
      <c r="AI558" s="26"/>
      <c r="AJ558" s="26"/>
      <c r="AK558" s="26"/>
      <c r="AL558" s="26"/>
      <c r="AM558" s="26"/>
      <c r="AN558" s="26"/>
      <c r="AO558" s="26"/>
      <c r="AP558" s="26"/>
      <c r="AQ558" s="26"/>
      <c r="AR558" s="26"/>
      <c r="AS558" s="26"/>
      <c r="AT558" s="26"/>
      <c r="AU558" s="26"/>
      <c r="AV558" s="26"/>
      <c r="AW558" s="26"/>
      <c r="AX558" s="26"/>
      <c r="AY558" s="1"/>
      <c r="AZ558" s="26"/>
      <c r="BA558" s="26"/>
      <c r="BB558" s="26"/>
      <c r="BC558" s="26"/>
      <c r="BD558" s="26"/>
      <c r="BE558" s="26"/>
      <c r="BF558" s="26"/>
      <c r="BG558" s="26"/>
      <c r="BH558" s="26"/>
      <c r="BI558" s="26"/>
      <c r="BJ558" s="26"/>
      <c r="BK558" s="26"/>
      <c r="BL558" s="26"/>
      <c r="BM558" s="26"/>
      <c r="BN558" s="26"/>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96"/>
      <c r="CP558" s="14"/>
      <c r="CQ558" s="14"/>
      <c r="CR558" s="14"/>
      <c r="CS558" s="14"/>
      <c r="CT558" s="1"/>
      <c r="CU558" s="14"/>
      <c r="CV558" s="1"/>
      <c r="CW558" s="1"/>
      <c r="CX558" s="14"/>
      <c r="CY558" s="1"/>
      <c r="CZ558" s="1"/>
      <c r="DA558" s="1"/>
      <c r="DB558" s="1"/>
      <c r="DC558" s="1"/>
      <c r="DD558" s="1"/>
      <c r="DE558" s="1"/>
      <c r="DF558" s="1"/>
      <c r="DG558" s="1"/>
      <c r="DH558" s="1"/>
      <c r="DI558" s="1"/>
      <c r="DJ558" s="1"/>
      <c r="DK558" s="1"/>
      <c r="DL558" s="1"/>
      <c r="DM558" s="1"/>
      <c r="DN558" s="1"/>
      <c r="DO558" s="1"/>
      <c r="DP558" s="1"/>
      <c r="DQ558" s="1"/>
      <c r="DR558" s="1"/>
      <c r="DS558" s="1"/>
      <c r="DT558" s="1"/>
      <c r="DU558" s="14"/>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29"/>
    </row>
    <row r="559" spans="1:160" x14ac:dyDescent="0.25">
      <c r="A559" s="5"/>
      <c r="B559" s="1"/>
      <c r="C559" s="98"/>
      <c r="D559" s="98"/>
      <c r="E559" s="1"/>
      <c r="F559" s="22"/>
      <c r="G559" s="22"/>
      <c r="H559" s="22"/>
      <c r="I559" s="22"/>
      <c r="J559" s="22"/>
      <c r="K559" s="22"/>
      <c r="L559" s="22"/>
      <c r="M559" s="22"/>
      <c r="N559" s="22"/>
      <c r="O559" s="22"/>
      <c r="P559" s="22"/>
      <c r="Q559" s="22"/>
      <c r="R559" s="1"/>
      <c r="S559" s="1"/>
      <c r="T559" s="8"/>
      <c r="U559" s="1"/>
      <c r="V559" s="1"/>
      <c r="W559" s="1"/>
      <c r="X559" s="1"/>
      <c r="Y559" s="1"/>
      <c r="Z559" s="1"/>
      <c r="AA559" s="1"/>
      <c r="AC559" s="1"/>
      <c r="AD559" s="1"/>
      <c r="AE559" s="1"/>
      <c r="AF559" s="1"/>
      <c r="AG559" s="1"/>
      <c r="AH559" s="26"/>
      <c r="AI559" s="26"/>
      <c r="AJ559" s="26"/>
      <c r="AK559" s="26"/>
      <c r="AL559" s="26"/>
      <c r="AM559" s="26"/>
      <c r="AN559" s="26"/>
      <c r="AO559" s="26"/>
      <c r="AP559" s="26"/>
      <c r="AQ559" s="26"/>
      <c r="AR559" s="26"/>
      <c r="AS559" s="26"/>
      <c r="AT559" s="26"/>
      <c r="AU559" s="26"/>
      <c r="AV559" s="26"/>
      <c r="AW559" s="26"/>
      <c r="AX559" s="26"/>
      <c r="AY559" s="1"/>
      <c r="AZ559" s="26"/>
      <c r="BA559" s="26"/>
      <c r="BB559" s="26"/>
      <c r="BC559" s="26"/>
      <c r="BD559" s="26"/>
      <c r="BE559" s="26"/>
      <c r="BF559" s="26"/>
      <c r="BG559" s="26"/>
      <c r="BH559" s="26"/>
      <c r="BI559" s="26"/>
      <c r="BJ559" s="26"/>
      <c r="BK559" s="26"/>
      <c r="BL559" s="26"/>
      <c r="BM559" s="26"/>
      <c r="BN559" s="26"/>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96"/>
      <c r="CP559" s="14"/>
      <c r="CQ559" s="14"/>
      <c r="CR559" s="14"/>
      <c r="CS559" s="14"/>
      <c r="CT559" s="1"/>
      <c r="CU559" s="14"/>
      <c r="CV559" s="1"/>
      <c r="CW559" s="1"/>
      <c r="CX559" s="14"/>
      <c r="CY559" s="1"/>
      <c r="CZ559" s="1"/>
      <c r="DA559" s="1"/>
      <c r="DB559" s="1"/>
      <c r="DC559" s="1"/>
      <c r="DD559" s="1"/>
      <c r="DE559" s="1"/>
      <c r="DF559" s="1"/>
      <c r="DG559" s="1"/>
      <c r="DH559" s="1"/>
      <c r="DI559" s="1"/>
      <c r="DJ559" s="1"/>
      <c r="DK559" s="1"/>
      <c r="DL559" s="1"/>
      <c r="DM559" s="1"/>
      <c r="DN559" s="1"/>
      <c r="DO559" s="1"/>
      <c r="DP559" s="1"/>
      <c r="DQ559" s="1"/>
      <c r="DR559" s="1"/>
      <c r="DS559" s="1"/>
      <c r="DT559" s="1"/>
      <c r="DU559" s="14"/>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29"/>
    </row>
    <row r="560" spans="1:160" x14ac:dyDescent="0.25">
      <c r="A560" s="5"/>
      <c r="B560" s="1"/>
      <c r="C560" s="98"/>
      <c r="D560" s="98"/>
      <c r="E560" s="1"/>
      <c r="F560" s="22"/>
      <c r="G560" s="22"/>
      <c r="H560" s="22"/>
      <c r="I560" s="22"/>
      <c r="J560" s="22"/>
      <c r="K560" s="22"/>
      <c r="L560" s="22"/>
      <c r="M560" s="22"/>
      <c r="N560" s="22"/>
      <c r="O560" s="22"/>
      <c r="P560" s="22"/>
      <c r="Q560" s="22"/>
      <c r="R560" s="1"/>
      <c r="S560" s="1"/>
      <c r="T560" s="8"/>
      <c r="U560" s="1"/>
      <c r="V560" s="1"/>
      <c r="W560" s="1"/>
      <c r="X560" s="1"/>
      <c r="Y560" s="1"/>
      <c r="Z560" s="1"/>
      <c r="AA560" s="1"/>
      <c r="AC560" s="1"/>
      <c r="AD560" s="1"/>
      <c r="AE560" s="1"/>
      <c r="AF560" s="1"/>
      <c r="AG560" s="1"/>
      <c r="AH560" s="26"/>
      <c r="AI560" s="26"/>
      <c r="AJ560" s="26"/>
      <c r="AK560" s="26"/>
      <c r="AL560" s="26"/>
      <c r="AM560" s="26"/>
      <c r="AN560" s="26"/>
      <c r="AO560" s="26"/>
      <c r="AP560" s="26"/>
      <c r="AQ560" s="26"/>
      <c r="AR560" s="26"/>
      <c r="AS560" s="26"/>
      <c r="AT560" s="26"/>
      <c r="AU560" s="26"/>
      <c r="AV560" s="26"/>
      <c r="AW560" s="26"/>
      <c r="AX560" s="26"/>
      <c r="AY560" s="1"/>
      <c r="AZ560" s="26"/>
      <c r="BA560" s="26"/>
      <c r="BB560" s="26"/>
      <c r="BC560" s="26"/>
      <c r="BD560" s="26"/>
      <c r="BE560" s="26"/>
      <c r="BF560" s="26"/>
      <c r="BG560" s="26"/>
      <c r="BH560" s="26"/>
      <c r="BI560" s="26"/>
      <c r="BJ560" s="26"/>
      <c r="BK560" s="26"/>
      <c r="BL560" s="26"/>
      <c r="BM560" s="26"/>
      <c r="BN560" s="26"/>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96"/>
      <c r="CP560" s="14"/>
      <c r="CQ560" s="14"/>
      <c r="CR560" s="14"/>
      <c r="CS560" s="14"/>
      <c r="CT560" s="1"/>
      <c r="CU560" s="14"/>
      <c r="CV560" s="1"/>
      <c r="CW560" s="1"/>
      <c r="CX560" s="14"/>
      <c r="CY560" s="1"/>
      <c r="CZ560" s="1"/>
      <c r="DA560" s="1"/>
      <c r="DB560" s="1"/>
      <c r="DC560" s="1"/>
      <c r="DD560" s="1"/>
      <c r="DE560" s="1"/>
      <c r="DF560" s="1"/>
      <c r="DG560" s="1"/>
      <c r="DH560" s="1"/>
      <c r="DI560" s="1"/>
      <c r="DJ560" s="1"/>
      <c r="DK560" s="1"/>
      <c r="DL560" s="1"/>
      <c r="DM560" s="1"/>
      <c r="DN560" s="1"/>
      <c r="DO560" s="1"/>
      <c r="DP560" s="1"/>
      <c r="DQ560" s="1"/>
      <c r="DR560" s="1"/>
      <c r="DS560" s="1"/>
      <c r="DT560" s="1"/>
      <c r="DU560" s="14"/>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29"/>
    </row>
    <row r="561" spans="1:160" x14ac:dyDescent="0.25">
      <c r="A561" s="5"/>
      <c r="B561" s="1"/>
      <c r="C561" s="98"/>
      <c r="D561" s="98"/>
      <c r="E561" s="1"/>
      <c r="F561" s="22"/>
      <c r="G561" s="22"/>
      <c r="H561" s="22"/>
      <c r="I561" s="22"/>
      <c r="J561" s="22"/>
      <c r="K561" s="22"/>
      <c r="L561" s="22"/>
      <c r="M561" s="22"/>
      <c r="N561" s="22"/>
      <c r="O561" s="22"/>
      <c r="P561" s="22"/>
      <c r="Q561" s="22"/>
      <c r="R561" s="1"/>
      <c r="S561" s="1"/>
      <c r="T561" s="8"/>
      <c r="U561" s="1"/>
      <c r="V561" s="1"/>
      <c r="W561" s="1"/>
      <c r="X561" s="1"/>
      <c r="Y561" s="1"/>
      <c r="Z561" s="1"/>
      <c r="AA561" s="1"/>
      <c r="AC561" s="1"/>
      <c r="AD561" s="1"/>
      <c r="AE561" s="1"/>
      <c r="AF561" s="1"/>
      <c r="AG561" s="1"/>
      <c r="AH561" s="26"/>
      <c r="AI561" s="26"/>
      <c r="AJ561" s="26"/>
      <c r="AK561" s="26"/>
      <c r="AL561" s="26"/>
      <c r="AM561" s="26"/>
      <c r="AN561" s="26"/>
      <c r="AO561" s="26"/>
      <c r="AP561" s="26"/>
      <c r="AQ561" s="26"/>
      <c r="AR561" s="26"/>
      <c r="AS561" s="26"/>
      <c r="AT561" s="26"/>
      <c r="AU561" s="26"/>
      <c r="AV561" s="26"/>
      <c r="AW561" s="26"/>
      <c r="AX561" s="26"/>
      <c r="AY561" s="1"/>
      <c r="AZ561" s="26"/>
      <c r="BA561" s="26"/>
      <c r="BB561" s="26"/>
      <c r="BC561" s="26"/>
      <c r="BD561" s="26"/>
      <c r="BE561" s="26"/>
      <c r="BF561" s="26"/>
      <c r="BG561" s="26"/>
      <c r="BH561" s="26"/>
      <c r="BI561" s="26"/>
      <c r="BJ561" s="26"/>
      <c r="BK561" s="26"/>
      <c r="BL561" s="26"/>
      <c r="BM561" s="26"/>
      <c r="BN561" s="26"/>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96"/>
      <c r="CP561" s="14"/>
      <c r="CQ561" s="14"/>
      <c r="CR561" s="14"/>
      <c r="CS561" s="14"/>
      <c r="CT561" s="1"/>
      <c r="CU561" s="14"/>
      <c r="CV561" s="1"/>
      <c r="CW561" s="1"/>
      <c r="CX561" s="14"/>
      <c r="CY561" s="1"/>
      <c r="CZ561" s="1"/>
      <c r="DA561" s="1"/>
      <c r="DB561" s="1"/>
      <c r="DC561" s="1"/>
      <c r="DD561" s="1"/>
      <c r="DE561" s="1"/>
      <c r="DF561" s="1"/>
      <c r="DG561" s="1"/>
      <c r="DH561" s="1"/>
      <c r="DI561" s="1"/>
      <c r="DJ561" s="1"/>
      <c r="DK561" s="1"/>
      <c r="DL561" s="1"/>
      <c r="DM561" s="1"/>
      <c r="DN561" s="1"/>
      <c r="DO561" s="1"/>
      <c r="DP561" s="1"/>
      <c r="DQ561" s="1"/>
      <c r="DR561" s="1"/>
      <c r="DS561" s="1"/>
      <c r="DT561" s="1"/>
      <c r="DU561" s="14"/>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29"/>
    </row>
    <row r="562" spans="1:160" x14ac:dyDescent="0.25">
      <c r="A562" s="5"/>
      <c r="B562" s="1"/>
      <c r="C562" s="98"/>
      <c r="D562" s="98"/>
      <c r="E562" s="1"/>
      <c r="F562" s="22"/>
      <c r="G562" s="22"/>
      <c r="H562" s="22"/>
      <c r="I562" s="22"/>
      <c r="J562" s="22"/>
      <c r="K562" s="22"/>
      <c r="L562" s="22"/>
      <c r="M562" s="22"/>
      <c r="N562" s="22"/>
      <c r="O562" s="22"/>
      <c r="P562" s="22"/>
      <c r="Q562" s="22"/>
      <c r="R562" s="1"/>
      <c r="S562" s="1"/>
      <c r="T562" s="8"/>
      <c r="U562" s="1"/>
      <c r="V562" s="1"/>
      <c r="W562" s="1"/>
      <c r="X562" s="1"/>
      <c r="Y562" s="1"/>
      <c r="Z562" s="1"/>
      <c r="AA562" s="1"/>
      <c r="AC562" s="1"/>
      <c r="AD562" s="1"/>
      <c r="AE562" s="1"/>
      <c r="AF562" s="1"/>
      <c r="AG562" s="1"/>
      <c r="AH562" s="26"/>
      <c r="AI562" s="26"/>
      <c r="AJ562" s="26"/>
      <c r="AK562" s="26"/>
      <c r="AL562" s="26"/>
      <c r="AM562" s="26"/>
      <c r="AN562" s="26"/>
      <c r="AO562" s="26"/>
      <c r="AP562" s="26"/>
      <c r="AQ562" s="26"/>
      <c r="AR562" s="26"/>
      <c r="AS562" s="26"/>
      <c r="AT562" s="26"/>
      <c r="AU562" s="26"/>
      <c r="AV562" s="26"/>
      <c r="AW562" s="26"/>
      <c r="AX562" s="26"/>
      <c r="AY562" s="1"/>
      <c r="AZ562" s="26"/>
      <c r="BA562" s="26"/>
      <c r="BB562" s="26"/>
      <c r="BC562" s="26"/>
      <c r="BD562" s="26"/>
      <c r="BE562" s="26"/>
      <c r="BF562" s="26"/>
      <c r="BG562" s="26"/>
      <c r="BH562" s="26"/>
      <c r="BI562" s="26"/>
      <c r="BJ562" s="26"/>
      <c r="BK562" s="26"/>
      <c r="BL562" s="26"/>
      <c r="BM562" s="26"/>
      <c r="BN562" s="26"/>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96"/>
      <c r="CP562" s="14"/>
      <c r="CQ562" s="14"/>
      <c r="CR562" s="14"/>
      <c r="CS562" s="14"/>
      <c r="CT562" s="1"/>
      <c r="CU562" s="14"/>
      <c r="CV562" s="1"/>
      <c r="CW562" s="1"/>
      <c r="CX562" s="14"/>
      <c r="CY562" s="1"/>
      <c r="CZ562" s="1"/>
      <c r="DA562" s="1"/>
      <c r="DB562" s="1"/>
      <c r="DC562" s="1"/>
      <c r="DD562" s="1"/>
      <c r="DE562" s="1"/>
      <c r="DF562" s="1"/>
      <c r="DG562" s="1"/>
      <c r="DH562" s="1"/>
      <c r="DI562" s="1"/>
      <c r="DJ562" s="1"/>
      <c r="DK562" s="1"/>
      <c r="DL562" s="1"/>
      <c r="DM562" s="1"/>
      <c r="DN562" s="1"/>
      <c r="DO562" s="1"/>
      <c r="DP562" s="1"/>
      <c r="DQ562" s="1"/>
      <c r="DR562" s="1"/>
      <c r="DS562" s="1"/>
      <c r="DT562" s="1"/>
      <c r="DU562" s="14"/>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29"/>
    </row>
    <row r="563" spans="1:160" x14ac:dyDescent="0.25">
      <c r="A563" s="5"/>
      <c r="B563" s="1"/>
      <c r="C563" s="98"/>
      <c r="D563" s="98"/>
      <c r="E563" s="1"/>
      <c r="F563" s="22"/>
      <c r="G563" s="22"/>
      <c r="H563" s="22"/>
      <c r="I563" s="22"/>
      <c r="J563" s="22"/>
      <c r="K563" s="22"/>
      <c r="L563" s="22"/>
      <c r="M563" s="22"/>
      <c r="N563" s="22"/>
      <c r="O563" s="22"/>
      <c r="P563" s="22"/>
      <c r="Q563" s="22"/>
      <c r="R563" s="1"/>
      <c r="S563" s="1"/>
      <c r="T563" s="8"/>
      <c r="U563" s="1"/>
      <c r="V563" s="1"/>
      <c r="W563" s="1"/>
      <c r="X563" s="1"/>
      <c r="Y563" s="1"/>
      <c r="Z563" s="1"/>
      <c r="AA563" s="1"/>
      <c r="AC563" s="1"/>
      <c r="AD563" s="1"/>
      <c r="AE563" s="1"/>
      <c r="AF563" s="1"/>
      <c r="AG563" s="1"/>
      <c r="AH563" s="26"/>
      <c r="AI563" s="26"/>
      <c r="AJ563" s="26"/>
      <c r="AK563" s="26"/>
      <c r="AL563" s="26"/>
      <c r="AM563" s="26"/>
      <c r="AN563" s="26"/>
      <c r="AO563" s="26"/>
      <c r="AP563" s="26"/>
      <c r="AQ563" s="26"/>
      <c r="AR563" s="26"/>
      <c r="AS563" s="26"/>
      <c r="AT563" s="26"/>
      <c r="AU563" s="26"/>
      <c r="AV563" s="26"/>
      <c r="AW563" s="26"/>
      <c r="AX563" s="26"/>
      <c r="AY563" s="1"/>
      <c r="AZ563" s="26"/>
      <c r="BA563" s="26"/>
      <c r="BB563" s="26"/>
      <c r="BC563" s="26"/>
      <c r="BD563" s="26"/>
      <c r="BE563" s="26"/>
      <c r="BF563" s="26"/>
      <c r="BG563" s="26"/>
      <c r="BH563" s="26"/>
      <c r="BI563" s="26"/>
      <c r="BJ563" s="26"/>
      <c r="BK563" s="26"/>
      <c r="BL563" s="26"/>
      <c r="BM563" s="26"/>
      <c r="BN563" s="26"/>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96"/>
      <c r="CP563" s="14"/>
      <c r="CQ563" s="14"/>
      <c r="CR563" s="14"/>
      <c r="CS563" s="14"/>
      <c r="CT563" s="1"/>
      <c r="CU563" s="14"/>
      <c r="CV563" s="1"/>
      <c r="CW563" s="1"/>
      <c r="CX563" s="14"/>
      <c r="CY563" s="1"/>
      <c r="CZ563" s="1"/>
      <c r="DA563" s="1"/>
      <c r="DB563" s="1"/>
      <c r="DC563" s="1"/>
      <c r="DD563" s="1"/>
      <c r="DE563" s="1"/>
      <c r="DF563" s="1"/>
      <c r="DG563" s="1"/>
      <c r="DH563" s="1"/>
      <c r="DI563" s="1"/>
      <c r="DJ563" s="1"/>
      <c r="DK563" s="1"/>
      <c r="DL563" s="1"/>
      <c r="DM563" s="1"/>
      <c r="DN563" s="1"/>
      <c r="DO563" s="1"/>
      <c r="DP563" s="1"/>
      <c r="DQ563" s="1"/>
      <c r="DR563" s="1"/>
      <c r="DS563" s="1"/>
      <c r="DT563" s="1"/>
      <c r="DU563" s="14"/>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29"/>
    </row>
    <row r="564" spans="1:160" x14ac:dyDescent="0.25">
      <c r="A564" s="5"/>
      <c r="B564" s="1"/>
      <c r="C564" s="98"/>
      <c r="D564" s="98"/>
      <c r="E564" s="1"/>
      <c r="F564" s="22"/>
      <c r="G564" s="22"/>
      <c r="H564" s="22"/>
      <c r="I564" s="22"/>
      <c r="J564" s="22"/>
      <c r="K564" s="22"/>
      <c r="L564" s="22"/>
      <c r="M564" s="22"/>
      <c r="N564" s="22"/>
      <c r="O564" s="22"/>
      <c r="P564" s="22"/>
      <c r="Q564" s="22"/>
      <c r="R564" s="1"/>
      <c r="S564" s="1"/>
      <c r="T564" s="8"/>
      <c r="U564" s="1"/>
      <c r="V564" s="1"/>
      <c r="W564" s="1"/>
      <c r="X564" s="1"/>
      <c r="Y564" s="1"/>
      <c r="Z564" s="1"/>
      <c r="AA564" s="1"/>
      <c r="AC564" s="1"/>
      <c r="AD564" s="1"/>
      <c r="AE564" s="1"/>
      <c r="AF564" s="1"/>
      <c r="AG564" s="1"/>
      <c r="AH564" s="26"/>
      <c r="AI564" s="26"/>
      <c r="AJ564" s="26"/>
      <c r="AK564" s="26"/>
      <c r="AL564" s="26"/>
      <c r="AM564" s="26"/>
      <c r="AN564" s="26"/>
      <c r="AO564" s="26"/>
      <c r="AP564" s="26"/>
      <c r="AQ564" s="26"/>
      <c r="AR564" s="26"/>
      <c r="AS564" s="26"/>
      <c r="AT564" s="26"/>
      <c r="AU564" s="26"/>
      <c r="AV564" s="26"/>
      <c r="AW564" s="26"/>
      <c r="AX564" s="26"/>
      <c r="AY564" s="1"/>
      <c r="AZ564" s="26"/>
      <c r="BA564" s="26"/>
      <c r="BB564" s="26"/>
      <c r="BC564" s="26"/>
      <c r="BD564" s="26"/>
      <c r="BE564" s="26"/>
      <c r="BF564" s="26"/>
      <c r="BG564" s="26"/>
      <c r="BH564" s="26"/>
      <c r="BI564" s="26"/>
      <c r="BJ564" s="26"/>
      <c r="BK564" s="26"/>
      <c r="BL564" s="26"/>
      <c r="BM564" s="26"/>
      <c r="BN564" s="26"/>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96"/>
      <c r="CP564" s="14"/>
      <c r="CQ564" s="14"/>
      <c r="CR564" s="14"/>
      <c r="CS564" s="14"/>
      <c r="CT564" s="1"/>
      <c r="CU564" s="14"/>
      <c r="CV564" s="1"/>
      <c r="CW564" s="1"/>
      <c r="CX564" s="14"/>
      <c r="CY564" s="1"/>
      <c r="CZ564" s="1"/>
      <c r="DA564" s="1"/>
      <c r="DB564" s="1"/>
      <c r="DC564" s="1"/>
      <c r="DD564" s="1"/>
      <c r="DE564" s="1"/>
      <c r="DF564" s="1"/>
      <c r="DG564" s="1"/>
      <c r="DH564" s="1"/>
      <c r="DI564" s="1"/>
      <c r="DJ564" s="1"/>
      <c r="DK564" s="1"/>
      <c r="DL564" s="1"/>
      <c r="DM564" s="1"/>
      <c r="DN564" s="1"/>
      <c r="DO564" s="1"/>
      <c r="DP564" s="1"/>
      <c r="DQ564" s="1"/>
      <c r="DR564" s="1"/>
      <c r="DS564" s="1"/>
      <c r="DT564" s="1"/>
      <c r="DU564" s="14"/>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29"/>
    </row>
    <row r="565" spans="1:160" x14ac:dyDescent="0.25">
      <c r="A565" s="5"/>
      <c r="B565" s="1"/>
      <c r="C565" s="98"/>
      <c r="D565" s="98"/>
      <c r="E565" s="1"/>
      <c r="F565" s="22"/>
      <c r="G565" s="22"/>
      <c r="H565" s="22"/>
      <c r="I565" s="22"/>
      <c r="J565" s="22"/>
      <c r="K565" s="22"/>
      <c r="L565" s="22"/>
      <c r="M565" s="22"/>
      <c r="N565" s="22"/>
      <c r="O565" s="22"/>
      <c r="P565" s="22"/>
      <c r="Q565" s="22"/>
      <c r="R565" s="1"/>
      <c r="S565" s="1"/>
      <c r="T565" s="8"/>
      <c r="U565" s="1"/>
      <c r="V565" s="1"/>
      <c r="W565" s="1"/>
      <c r="X565" s="1"/>
      <c r="Y565" s="1"/>
      <c r="Z565" s="1"/>
      <c r="AA565" s="1"/>
      <c r="AC565" s="1"/>
      <c r="AD565" s="1"/>
      <c r="AE565" s="1"/>
      <c r="AF565" s="1"/>
      <c r="AG565" s="1"/>
      <c r="AH565" s="26"/>
      <c r="AI565" s="26"/>
      <c r="AJ565" s="26"/>
      <c r="AK565" s="26"/>
      <c r="AL565" s="26"/>
      <c r="AM565" s="26"/>
      <c r="AN565" s="26"/>
      <c r="AO565" s="26"/>
      <c r="AP565" s="26"/>
      <c r="AQ565" s="26"/>
      <c r="AR565" s="26"/>
      <c r="AS565" s="26"/>
      <c r="AT565" s="26"/>
      <c r="AU565" s="26"/>
      <c r="AV565" s="26"/>
      <c r="AW565" s="26"/>
      <c r="AX565" s="26"/>
      <c r="AY565" s="1"/>
      <c r="AZ565" s="26"/>
      <c r="BA565" s="26"/>
      <c r="BB565" s="26"/>
      <c r="BC565" s="26"/>
      <c r="BD565" s="26"/>
      <c r="BE565" s="26"/>
      <c r="BF565" s="26"/>
      <c r="BG565" s="26"/>
      <c r="BH565" s="26"/>
      <c r="BI565" s="26"/>
      <c r="BJ565" s="26"/>
      <c r="BK565" s="26"/>
      <c r="BL565" s="26"/>
      <c r="BM565" s="26"/>
      <c r="BN565" s="26"/>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96"/>
      <c r="CP565" s="14"/>
      <c r="CQ565" s="14"/>
      <c r="CR565" s="14"/>
      <c r="CS565" s="14"/>
      <c r="CT565" s="1"/>
      <c r="CU565" s="14"/>
      <c r="CV565" s="1"/>
      <c r="CW565" s="1"/>
      <c r="CX565" s="14"/>
      <c r="CY565" s="1"/>
      <c r="CZ565" s="1"/>
      <c r="DA565" s="1"/>
      <c r="DB565" s="1"/>
      <c r="DC565" s="1"/>
      <c r="DD565" s="1"/>
      <c r="DE565" s="1"/>
      <c r="DF565" s="1"/>
      <c r="DG565" s="1"/>
      <c r="DH565" s="1"/>
      <c r="DI565" s="1"/>
      <c r="DJ565" s="1"/>
      <c r="DK565" s="1"/>
      <c r="DL565" s="1"/>
      <c r="DM565" s="1"/>
      <c r="DN565" s="1"/>
      <c r="DO565" s="1"/>
      <c r="DP565" s="1"/>
      <c r="DQ565" s="1"/>
      <c r="DR565" s="1"/>
      <c r="DS565" s="1"/>
      <c r="DT565" s="1"/>
      <c r="DU565" s="14"/>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29"/>
    </row>
    <row r="566" spans="1:160" x14ac:dyDescent="0.25">
      <c r="A566" s="5"/>
      <c r="B566" s="1"/>
      <c r="C566" s="98"/>
      <c r="D566" s="98"/>
      <c r="E566" s="1"/>
      <c r="F566" s="22"/>
      <c r="G566" s="22"/>
      <c r="H566" s="22"/>
      <c r="I566" s="22"/>
      <c r="J566" s="22"/>
      <c r="K566" s="22"/>
      <c r="L566" s="22"/>
      <c r="M566" s="22"/>
      <c r="N566" s="22"/>
      <c r="O566" s="22"/>
      <c r="P566" s="22"/>
      <c r="Q566" s="22"/>
      <c r="R566" s="1"/>
      <c r="S566" s="1"/>
      <c r="T566" s="8"/>
      <c r="U566" s="1"/>
      <c r="V566" s="1"/>
      <c r="W566" s="1"/>
      <c r="X566" s="1"/>
      <c r="Y566" s="1"/>
      <c r="Z566" s="1"/>
      <c r="AA566" s="1"/>
      <c r="AC566" s="1"/>
      <c r="AD566" s="1"/>
      <c r="AE566" s="1"/>
      <c r="AF566" s="1"/>
      <c r="AG566" s="1"/>
      <c r="AH566" s="26"/>
      <c r="AI566" s="26"/>
      <c r="AJ566" s="26"/>
      <c r="AK566" s="26"/>
      <c r="AL566" s="26"/>
      <c r="AM566" s="26"/>
      <c r="AN566" s="26"/>
      <c r="AO566" s="26"/>
      <c r="AP566" s="26"/>
      <c r="AQ566" s="26"/>
      <c r="AR566" s="26"/>
      <c r="AS566" s="26"/>
      <c r="AT566" s="26"/>
      <c r="AU566" s="26"/>
      <c r="AV566" s="26"/>
      <c r="AW566" s="26"/>
      <c r="AX566" s="26"/>
      <c r="AY566" s="1"/>
      <c r="AZ566" s="26"/>
      <c r="BA566" s="26"/>
      <c r="BB566" s="26"/>
      <c r="BC566" s="26"/>
      <c r="BD566" s="26"/>
      <c r="BE566" s="26"/>
      <c r="BF566" s="26"/>
      <c r="BG566" s="26"/>
      <c r="BH566" s="26"/>
      <c r="BI566" s="26"/>
      <c r="BJ566" s="26"/>
      <c r="BK566" s="26"/>
      <c r="BL566" s="26"/>
      <c r="BM566" s="26"/>
      <c r="BN566" s="26"/>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96"/>
      <c r="CP566" s="14"/>
      <c r="CQ566" s="14"/>
      <c r="CR566" s="14"/>
      <c r="CS566" s="14"/>
      <c r="CT566" s="1"/>
      <c r="CU566" s="14"/>
      <c r="CV566" s="1"/>
      <c r="CW566" s="1"/>
      <c r="CX566" s="14"/>
      <c r="CY566" s="1"/>
      <c r="CZ566" s="1"/>
      <c r="DA566" s="1"/>
      <c r="DB566" s="1"/>
      <c r="DC566" s="1"/>
      <c r="DD566" s="1"/>
      <c r="DE566" s="1"/>
      <c r="DF566" s="1"/>
      <c r="DG566" s="1"/>
      <c r="DH566" s="1"/>
      <c r="DI566" s="1"/>
      <c r="DJ566" s="1"/>
      <c r="DK566" s="1"/>
      <c r="DL566" s="1"/>
      <c r="DM566" s="1"/>
      <c r="DN566" s="1"/>
      <c r="DO566" s="1"/>
      <c r="DP566" s="1"/>
      <c r="DQ566" s="1"/>
      <c r="DR566" s="1"/>
      <c r="DS566" s="1"/>
      <c r="DT566" s="1"/>
      <c r="DU566" s="14"/>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29"/>
    </row>
    <row r="567" spans="1:160" x14ac:dyDescent="0.25">
      <c r="A567" s="5"/>
      <c r="B567" s="1"/>
      <c r="C567" s="98"/>
      <c r="D567" s="98"/>
      <c r="E567" s="1"/>
      <c r="F567" s="22"/>
      <c r="G567" s="22"/>
      <c r="H567" s="22"/>
      <c r="I567" s="22"/>
      <c r="J567" s="22"/>
      <c r="K567" s="22"/>
      <c r="L567" s="22"/>
      <c r="M567" s="22"/>
      <c r="N567" s="22"/>
      <c r="O567" s="22"/>
      <c r="P567" s="22"/>
      <c r="Q567" s="22"/>
      <c r="R567" s="1"/>
      <c r="S567" s="1"/>
      <c r="T567" s="8"/>
      <c r="U567" s="1"/>
      <c r="V567" s="1"/>
      <c r="W567" s="1"/>
      <c r="X567" s="1"/>
      <c r="Y567" s="1"/>
      <c r="Z567" s="1"/>
      <c r="AA567" s="1"/>
      <c r="AC567" s="1"/>
      <c r="AD567" s="1"/>
      <c r="AE567" s="1"/>
      <c r="AF567" s="1"/>
      <c r="AG567" s="1"/>
      <c r="AH567" s="26"/>
      <c r="AI567" s="26"/>
      <c r="AJ567" s="26"/>
      <c r="AK567" s="26"/>
      <c r="AL567" s="26"/>
      <c r="AM567" s="26"/>
      <c r="AN567" s="26"/>
      <c r="AO567" s="26"/>
      <c r="AP567" s="26"/>
      <c r="AQ567" s="26"/>
      <c r="AR567" s="26"/>
      <c r="AS567" s="26"/>
      <c r="AT567" s="26"/>
      <c r="AU567" s="26"/>
      <c r="AV567" s="26"/>
      <c r="AW567" s="26"/>
      <c r="AX567" s="26"/>
      <c r="AY567" s="1"/>
      <c r="AZ567" s="26"/>
      <c r="BA567" s="26"/>
      <c r="BB567" s="26"/>
      <c r="BC567" s="26"/>
      <c r="BD567" s="26"/>
      <c r="BE567" s="26"/>
      <c r="BF567" s="26"/>
      <c r="BG567" s="26"/>
      <c r="BH567" s="26"/>
      <c r="BI567" s="26"/>
      <c r="BJ567" s="26"/>
      <c r="BK567" s="26"/>
      <c r="BL567" s="26"/>
      <c r="BM567" s="26"/>
      <c r="BN567" s="26"/>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96"/>
      <c r="CP567" s="14"/>
      <c r="CQ567" s="14"/>
      <c r="CR567" s="14"/>
      <c r="CS567" s="14"/>
      <c r="CT567" s="1"/>
      <c r="CU567" s="14"/>
      <c r="CV567" s="1"/>
      <c r="CW567" s="1"/>
      <c r="CX567" s="14"/>
      <c r="CY567" s="1"/>
      <c r="CZ567" s="1"/>
      <c r="DA567" s="1"/>
      <c r="DB567" s="1"/>
      <c r="DC567" s="1"/>
      <c r="DD567" s="1"/>
      <c r="DE567" s="1"/>
      <c r="DF567" s="1"/>
      <c r="DG567" s="1"/>
      <c r="DH567" s="1"/>
      <c r="DI567" s="1"/>
      <c r="DJ567" s="1"/>
      <c r="DK567" s="1"/>
      <c r="DL567" s="1"/>
      <c r="DM567" s="1"/>
      <c r="DN567" s="1"/>
      <c r="DO567" s="1"/>
      <c r="DP567" s="1"/>
      <c r="DQ567" s="1"/>
      <c r="DR567" s="1"/>
      <c r="DS567" s="1"/>
      <c r="DT567" s="1"/>
      <c r="DU567" s="14"/>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29"/>
    </row>
    <row r="568" spans="1:160" x14ac:dyDescent="0.25">
      <c r="A568" s="5"/>
      <c r="B568" s="1"/>
      <c r="C568" s="98"/>
      <c r="D568" s="98"/>
      <c r="E568" s="1"/>
      <c r="F568" s="22"/>
      <c r="G568" s="22"/>
      <c r="H568" s="22"/>
      <c r="I568" s="22"/>
      <c r="J568" s="22"/>
      <c r="K568" s="22"/>
      <c r="L568" s="22"/>
      <c r="M568" s="22"/>
      <c r="N568" s="22"/>
      <c r="O568" s="22"/>
      <c r="P568" s="22"/>
      <c r="Q568" s="22"/>
      <c r="R568" s="1"/>
      <c r="S568" s="1"/>
      <c r="T568" s="8"/>
      <c r="U568" s="1"/>
      <c r="V568" s="1"/>
      <c r="W568" s="1"/>
      <c r="X568" s="1"/>
      <c r="Y568" s="1"/>
      <c r="Z568" s="1"/>
      <c r="AA568" s="1"/>
      <c r="AC568" s="1"/>
      <c r="AD568" s="1"/>
      <c r="AE568" s="1"/>
      <c r="AF568" s="1"/>
      <c r="AG568" s="1"/>
      <c r="AH568" s="26"/>
      <c r="AI568" s="26"/>
      <c r="AJ568" s="26"/>
      <c r="AK568" s="26"/>
      <c r="AL568" s="26"/>
      <c r="AM568" s="26"/>
      <c r="AN568" s="26"/>
      <c r="AO568" s="26"/>
      <c r="AP568" s="26"/>
      <c r="AQ568" s="26"/>
      <c r="AR568" s="26"/>
      <c r="AS568" s="26"/>
      <c r="AT568" s="26"/>
      <c r="AU568" s="26"/>
      <c r="AV568" s="26"/>
      <c r="AW568" s="26"/>
      <c r="AX568" s="26"/>
      <c r="AY568" s="1"/>
      <c r="AZ568" s="26"/>
      <c r="BA568" s="26"/>
      <c r="BB568" s="26"/>
      <c r="BC568" s="26"/>
      <c r="BD568" s="26"/>
      <c r="BE568" s="26"/>
      <c r="BF568" s="26"/>
      <c r="BG568" s="26"/>
      <c r="BH568" s="26"/>
      <c r="BI568" s="26"/>
      <c r="BJ568" s="26"/>
      <c r="BK568" s="26"/>
      <c r="BL568" s="26"/>
      <c r="BM568" s="26"/>
      <c r="BN568" s="26"/>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96"/>
      <c r="CP568" s="14"/>
      <c r="CQ568" s="14"/>
      <c r="CR568" s="14"/>
      <c r="CS568" s="14"/>
      <c r="CT568" s="1"/>
      <c r="CU568" s="14"/>
      <c r="CV568" s="1"/>
      <c r="CW568" s="1"/>
      <c r="CX568" s="14"/>
      <c r="CY568" s="1"/>
      <c r="CZ568" s="1"/>
      <c r="DA568" s="1"/>
      <c r="DB568" s="1"/>
      <c r="DC568" s="1"/>
      <c r="DD568" s="1"/>
      <c r="DE568" s="1"/>
      <c r="DF568" s="1"/>
      <c r="DG568" s="1"/>
      <c r="DH568" s="1"/>
      <c r="DI568" s="1"/>
      <c r="DJ568" s="1"/>
      <c r="DK568" s="1"/>
      <c r="DL568" s="1"/>
      <c r="DM568" s="1"/>
      <c r="DN568" s="1"/>
      <c r="DO568" s="1"/>
      <c r="DP568" s="1"/>
      <c r="DQ568" s="1"/>
      <c r="DR568" s="1"/>
      <c r="DS568" s="1"/>
      <c r="DT568" s="1"/>
      <c r="DU568" s="14"/>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29"/>
    </row>
    <row r="569" spans="1:160" x14ac:dyDescent="0.25">
      <c r="A569" s="5"/>
      <c r="B569" s="1"/>
      <c r="C569" s="98"/>
      <c r="D569" s="98"/>
      <c r="E569" s="1"/>
      <c r="F569" s="22"/>
      <c r="G569" s="22"/>
      <c r="H569" s="22"/>
      <c r="I569" s="22"/>
      <c r="J569" s="22"/>
      <c r="K569" s="22"/>
      <c r="L569" s="22"/>
      <c r="M569" s="22"/>
      <c r="N569" s="22"/>
      <c r="O569" s="22"/>
      <c r="P569" s="22"/>
      <c r="Q569" s="22"/>
      <c r="R569" s="1"/>
      <c r="S569" s="1"/>
      <c r="T569" s="8"/>
      <c r="U569" s="1"/>
      <c r="V569" s="1"/>
      <c r="W569" s="1"/>
      <c r="X569" s="1"/>
      <c r="Y569" s="1"/>
      <c r="Z569" s="1"/>
      <c r="AA569" s="1"/>
      <c r="AC569" s="1"/>
      <c r="AD569" s="1"/>
      <c r="AE569" s="1"/>
      <c r="AF569" s="1"/>
      <c r="AG569" s="1"/>
      <c r="AH569" s="26"/>
      <c r="AI569" s="26"/>
      <c r="AJ569" s="26"/>
      <c r="AK569" s="26"/>
      <c r="AL569" s="26"/>
      <c r="AM569" s="26"/>
      <c r="AN569" s="26"/>
      <c r="AO569" s="26"/>
      <c r="AP569" s="26"/>
      <c r="AQ569" s="26"/>
      <c r="AR569" s="26"/>
      <c r="AS569" s="26"/>
      <c r="AT569" s="26"/>
      <c r="AU569" s="26"/>
      <c r="AV569" s="26"/>
      <c r="AW569" s="26"/>
      <c r="AX569" s="26"/>
      <c r="AY569" s="1"/>
      <c r="AZ569" s="26"/>
      <c r="BA569" s="26"/>
      <c r="BB569" s="26"/>
      <c r="BC569" s="26"/>
      <c r="BD569" s="26"/>
      <c r="BE569" s="26"/>
      <c r="BF569" s="26"/>
      <c r="BG569" s="26"/>
      <c r="BH569" s="26"/>
      <c r="BI569" s="26"/>
      <c r="BJ569" s="26"/>
      <c r="BK569" s="26"/>
      <c r="BL569" s="26"/>
      <c r="BM569" s="26"/>
      <c r="BN569" s="26"/>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96"/>
      <c r="CP569" s="14"/>
      <c r="CQ569" s="14"/>
      <c r="CR569" s="14"/>
      <c r="CS569" s="14"/>
      <c r="CT569" s="1"/>
      <c r="CU569" s="14"/>
      <c r="CV569" s="1"/>
      <c r="CW569" s="1"/>
      <c r="CX569" s="14"/>
      <c r="CY569" s="1"/>
      <c r="CZ569" s="1"/>
      <c r="DA569" s="1"/>
      <c r="DB569" s="1"/>
      <c r="DC569" s="1"/>
      <c r="DD569" s="1"/>
      <c r="DE569" s="1"/>
      <c r="DF569" s="1"/>
      <c r="DG569" s="1"/>
      <c r="DH569" s="1"/>
      <c r="DI569" s="1"/>
      <c r="DJ569" s="1"/>
      <c r="DK569" s="1"/>
      <c r="DL569" s="1"/>
      <c r="DM569" s="1"/>
      <c r="DN569" s="1"/>
      <c r="DO569" s="1"/>
      <c r="DP569" s="1"/>
      <c r="DQ569" s="1"/>
      <c r="DR569" s="1"/>
      <c r="DS569" s="1"/>
      <c r="DT569" s="1"/>
      <c r="DU569" s="14"/>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29"/>
    </row>
    <row r="570" spans="1:160" x14ac:dyDescent="0.25">
      <c r="A570" s="5"/>
      <c r="B570" s="1"/>
      <c r="C570" s="98"/>
      <c r="D570" s="98"/>
      <c r="E570" s="1"/>
      <c r="F570" s="22"/>
      <c r="G570" s="22"/>
      <c r="H570" s="22"/>
      <c r="I570" s="22"/>
      <c r="J570" s="22"/>
      <c r="K570" s="22"/>
      <c r="L570" s="22"/>
      <c r="M570" s="22"/>
      <c r="N570" s="22"/>
      <c r="O570" s="22"/>
      <c r="P570" s="22"/>
      <c r="Q570" s="22"/>
      <c r="R570" s="1"/>
      <c r="S570" s="1"/>
      <c r="T570" s="8"/>
      <c r="U570" s="1"/>
      <c r="V570" s="1"/>
      <c r="W570" s="1"/>
      <c r="X570" s="1"/>
      <c r="Y570" s="1"/>
      <c r="Z570" s="1"/>
      <c r="AA570" s="1"/>
      <c r="AC570" s="1"/>
      <c r="AD570" s="1"/>
      <c r="AE570" s="1"/>
      <c r="AF570" s="1"/>
      <c r="AG570" s="1"/>
      <c r="AH570" s="26"/>
      <c r="AI570" s="26"/>
      <c r="AJ570" s="26"/>
      <c r="AK570" s="26"/>
      <c r="AL570" s="26"/>
      <c r="AM570" s="26"/>
      <c r="AN570" s="26"/>
      <c r="AO570" s="26"/>
      <c r="AP570" s="26"/>
      <c r="AQ570" s="26"/>
      <c r="AR570" s="26"/>
      <c r="AS570" s="26"/>
      <c r="AT570" s="26"/>
      <c r="AU570" s="26"/>
      <c r="AV570" s="26"/>
      <c r="AW570" s="26"/>
      <c r="AX570" s="26"/>
      <c r="AY570" s="1"/>
      <c r="AZ570" s="26"/>
      <c r="BA570" s="26"/>
      <c r="BB570" s="26"/>
      <c r="BC570" s="26"/>
      <c r="BD570" s="26"/>
      <c r="BE570" s="26"/>
      <c r="BF570" s="26"/>
      <c r="BG570" s="26"/>
      <c r="BH570" s="26"/>
      <c r="BI570" s="26"/>
      <c r="BJ570" s="26"/>
      <c r="BK570" s="26"/>
      <c r="BL570" s="26"/>
      <c r="BM570" s="26"/>
      <c r="BN570" s="26"/>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96"/>
      <c r="CP570" s="14"/>
      <c r="CQ570" s="14"/>
      <c r="CR570" s="14"/>
      <c r="CS570" s="14"/>
      <c r="CT570" s="1"/>
      <c r="CU570" s="14"/>
      <c r="CV570" s="1"/>
      <c r="CW570" s="1"/>
      <c r="CX570" s="14"/>
      <c r="CY570" s="1"/>
      <c r="CZ570" s="1"/>
      <c r="DA570" s="1"/>
      <c r="DB570" s="1"/>
      <c r="DC570" s="1"/>
      <c r="DD570" s="1"/>
      <c r="DE570" s="1"/>
      <c r="DF570" s="1"/>
      <c r="DG570" s="1"/>
      <c r="DH570" s="1"/>
      <c r="DI570" s="1"/>
      <c r="DJ570" s="1"/>
      <c r="DK570" s="1"/>
      <c r="DL570" s="1"/>
      <c r="DM570" s="1"/>
      <c r="DN570" s="1"/>
      <c r="DO570" s="1"/>
      <c r="DP570" s="1"/>
      <c r="DQ570" s="1"/>
      <c r="DR570" s="1"/>
      <c r="DS570" s="1"/>
      <c r="DT570" s="1"/>
      <c r="DU570" s="14"/>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29"/>
    </row>
    <row r="571" spans="1:160" x14ac:dyDescent="0.25">
      <c r="A571" s="5"/>
      <c r="B571" s="1"/>
      <c r="C571" s="98"/>
      <c r="D571" s="98"/>
      <c r="E571" s="1"/>
      <c r="F571" s="22"/>
      <c r="G571" s="22"/>
      <c r="H571" s="22"/>
      <c r="I571" s="22"/>
      <c r="J571" s="22"/>
      <c r="K571" s="22"/>
      <c r="L571" s="22"/>
      <c r="M571" s="22"/>
      <c r="N571" s="22"/>
      <c r="O571" s="22"/>
      <c r="P571" s="22"/>
      <c r="Q571" s="22"/>
      <c r="R571" s="1"/>
      <c r="S571" s="1"/>
      <c r="T571" s="8"/>
      <c r="U571" s="1"/>
      <c r="V571" s="1"/>
      <c r="W571" s="1"/>
      <c r="X571" s="1"/>
      <c r="Y571" s="1"/>
      <c r="Z571" s="1"/>
      <c r="AA571" s="1"/>
      <c r="AC571" s="1"/>
      <c r="AD571" s="1"/>
      <c r="AE571" s="1"/>
      <c r="AF571" s="1"/>
      <c r="AG571" s="1"/>
      <c r="AH571" s="26"/>
      <c r="AI571" s="26"/>
      <c r="AJ571" s="26"/>
      <c r="AK571" s="26"/>
      <c r="AL571" s="26"/>
      <c r="AM571" s="26"/>
      <c r="AN571" s="26"/>
      <c r="AO571" s="26"/>
      <c r="AP571" s="26"/>
      <c r="AQ571" s="26"/>
      <c r="AR571" s="26"/>
      <c r="AS571" s="26"/>
      <c r="AT571" s="26"/>
      <c r="AU571" s="26"/>
      <c r="AV571" s="26"/>
      <c r="AW571" s="26"/>
      <c r="AX571" s="26"/>
      <c r="AY571" s="1"/>
      <c r="AZ571" s="26"/>
      <c r="BA571" s="26"/>
      <c r="BB571" s="26"/>
      <c r="BC571" s="26"/>
      <c r="BD571" s="26"/>
      <c r="BE571" s="26"/>
      <c r="BF571" s="26"/>
      <c r="BG571" s="26"/>
      <c r="BH571" s="26"/>
      <c r="BI571" s="26"/>
      <c r="BJ571" s="26"/>
      <c r="BK571" s="26"/>
      <c r="BL571" s="26"/>
      <c r="BM571" s="26"/>
      <c r="BN571" s="26"/>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96"/>
      <c r="CP571" s="14"/>
      <c r="CQ571" s="14"/>
      <c r="CR571" s="14"/>
      <c r="CS571" s="14"/>
      <c r="CT571" s="1"/>
      <c r="CU571" s="14"/>
      <c r="CV571" s="1"/>
      <c r="CW571" s="1"/>
      <c r="CX571" s="14"/>
      <c r="CY571" s="1"/>
      <c r="CZ571" s="1"/>
      <c r="DA571" s="1"/>
      <c r="DB571" s="1"/>
      <c r="DC571" s="1"/>
      <c r="DD571" s="1"/>
      <c r="DE571" s="1"/>
      <c r="DF571" s="1"/>
      <c r="DG571" s="1"/>
      <c r="DH571" s="1"/>
      <c r="DI571" s="1"/>
      <c r="DJ571" s="1"/>
      <c r="DK571" s="1"/>
      <c r="DL571" s="1"/>
      <c r="DM571" s="1"/>
      <c r="DN571" s="1"/>
      <c r="DO571" s="1"/>
      <c r="DP571" s="1"/>
      <c r="DQ571" s="1"/>
      <c r="DR571" s="1"/>
      <c r="DS571" s="1"/>
      <c r="DT571" s="1"/>
      <c r="DU571" s="14"/>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29"/>
    </row>
    <row r="572" spans="1:160" x14ac:dyDescent="0.25">
      <c r="A572" s="5"/>
      <c r="B572" s="1"/>
      <c r="C572" s="98"/>
      <c r="D572" s="98"/>
      <c r="E572" s="1"/>
      <c r="F572" s="22"/>
      <c r="G572" s="22"/>
      <c r="H572" s="22"/>
      <c r="I572" s="22"/>
      <c r="J572" s="22"/>
      <c r="K572" s="22"/>
      <c r="L572" s="22"/>
      <c r="M572" s="22"/>
      <c r="N572" s="22"/>
      <c r="O572" s="22"/>
      <c r="P572" s="22"/>
      <c r="Q572" s="22"/>
      <c r="R572" s="1"/>
      <c r="S572" s="1"/>
      <c r="T572" s="8"/>
      <c r="U572" s="1"/>
      <c r="V572" s="1"/>
      <c r="W572" s="1"/>
      <c r="X572" s="1"/>
      <c r="Y572" s="1"/>
      <c r="Z572" s="1"/>
      <c r="AA572" s="1"/>
      <c r="AC572" s="1"/>
      <c r="AD572" s="1"/>
      <c r="AE572" s="1"/>
      <c r="AF572" s="1"/>
      <c r="AG572" s="1"/>
      <c r="AH572" s="26"/>
      <c r="AI572" s="26"/>
      <c r="AJ572" s="26"/>
      <c r="AK572" s="26"/>
      <c r="AL572" s="26"/>
      <c r="AM572" s="26"/>
      <c r="AN572" s="26"/>
      <c r="AO572" s="26"/>
      <c r="AP572" s="26"/>
      <c r="AQ572" s="26"/>
      <c r="AR572" s="26"/>
      <c r="AS572" s="26"/>
      <c r="AT572" s="26"/>
      <c r="AU572" s="26"/>
      <c r="AV572" s="26"/>
      <c r="AW572" s="26"/>
      <c r="AX572" s="26"/>
      <c r="AY572" s="1"/>
      <c r="AZ572" s="26"/>
      <c r="BA572" s="26"/>
      <c r="BB572" s="26"/>
      <c r="BC572" s="26"/>
      <c r="BD572" s="26"/>
      <c r="BE572" s="26"/>
      <c r="BF572" s="26"/>
      <c r="BG572" s="26"/>
      <c r="BH572" s="26"/>
      <c r="BI572" s="26"/>
      <c r="BJ572" s="26"/>
      <c r="BK572" s="26"/>
      <c r="BL572" s="26"/>
      <c r="BM572" s="26"/>
      <c r="BN572" s="26"/>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96"/>
      <c r="CP572" s="14"/>
      <c r="CQ572" s="14"/>
      <c r="CR572" s="14"/>
      <c r="CS572" s="14"/>
      <c r="CT572" s="1"/>
      <c r="CU572" s="14"/>
      <c r="CV572" s="1"/>
      <c r="CW572" s="1"/>
      <c r="CX572" s="14"/>
      <c r="CY572" s="1"/>
      <c r="CZ572" s="1"/>
      <c r="DA572" s="1"/>
      <c r="DB572" s="1"/>
      <c r="DC572" s="1"/>
      <c r="DD572" s="1"/>
      <c r="DE572" s="1"/>
      <c r="DF572" s="1"/>
      <c r="DG572" s="1"/>
      <c r="DH572" s="1"/>
      <c r="DI572" s="1"/>
      <c r="DJ572" s="1"/>
      <c r="DK572" s="1"/>
      <c r="DL572" s="1"/>
      <c r="DM572" s="1"/>
      <c r="DN572" s="1"/>
      <c r="DO572" s="1"/>
      <c r="DP572" s="1"/>
      <c r="DQ572" s="1"/>
      <c r="DR572" s="1"/>
      <c r="DS572" s="1"/>
      <c r="DT572" s="1"/>
      <c r="DU572" s="14"/>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29"/>
    </row>
    <row r="573" spans="1:160" x14ac:dyDescent="0.25">
      <c r="A573" s="5"/>
      <c r="B573" s="1"/>
      <c r="C573" s="98"/>
      <c r="D573" s="98"/>
      <c r="E573" s="1"/>
      <c r="F573" s="22"/>
      <c r="G573" s="22"/>
      <c r="H573" s="22"/>
      <c r="I573" s="22"/>
      <c r="J573" s="22"/>
      <c r="K573" s="22"/>
      <c r="L573" s="22"/>
      <c r="M573" s="22"/>
      <c r="N573" s="22"/>
      <c r="O573" s="22"/>
      <c r="P573" s="22"/>
      <c r="Q573" s="22"/>
      <c r="R573" s="1"/>
      <c r="S573" s="1"/>
      <c r="T573" s="8"/>
      <c r="U573" s="1"/>
      <c r="V573" s="1"/>
      <c r="W573" s="1"/>
      <c r="X573" s="1"/>
      <c r="Y573" s="1"/>
      <c r="Z573" s="1"/>
      <c r="AA573" s="1"/>
      <c r="AC573" s="1"/>
      <c r="AD573" s="1"/>
      <c r="AE573" s="1"/>
      <c r="AF573" s="1"/>
      <c r="AG573" s="1"/>
      <c r="AH573" s="26"/>
      <c r="AI573" s="26"/>
      <c r="AJ573" s="26"/>
      <c r="AK573" s="26"/>
      <c r="AL573" s="26"/>
      <c r="AM573" s="26"/>
      <c r="AN573" s="26"/>
      <c r="AO573" s="26"/>
      <c r="AP573" s="26"/>
      <c r="AQ573" s="26"/>
      <c r="AR573" s="26"/>
      <c r="AS573" s="26"/>
      <c r="AT573" s="26"/>
      <c r="AU573" s="26"/>
      <c r="AV573" s="26"/>
      <c r="AW573" s="26"/>
      <c r="AX573" s="26"/>
      <c r="AY573" s="1"/>
      <c r="AZ573" s="26"/>
      <c r="BA573" s="26"/>
      <c r="BB573" s="26"/>
      <c r="BC573" s="26"/>
      <c r="BD573" s="26"/>
      <c r="BE573" s="26"/>
      <c r="BF573" s="26"/>
      <c r="BG573" s="26"/>
      <c r="BH573" s="26"/>
      <c r="BI573" s="26"/>
      <c r="BJ573" s="26"/>
      <c r="BK573" s="26"/>
      <c r="BL573" s="26"/>
      <c r="BM573" s="26"/>
      <c r="BN573" s="26"/>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96"/>
      <c r="CP573" s="14"/>
      <c r="CQ573" s="14"/>
      <c r="CR573" s="14"/>
      <c r="CS573" s="14"/>
      <c r="CT573" s="1"/>
      <c r="CU573" s="14"/>
      <c r="CV573" s="1"/>
      <c r="CW573" s="1"/>
      <c r="CX573" s="14"/>
      <c r="CY573" s="1"/>
      <c r="CZ573" s="1"/>
      <c r="DA573" s="1"/>
      <c r="DB573" s="1"/>
      <c r="DC573" s="1"/>
      <c r="DD573" s="1"/>
      <c r="DE573" s="1"/>
      <c r="DF573" s="1"/>
      <c r="DG573" s="1"/>
      <c r="DH573" s="1"/>
      <c r="DI573" s="1"/>
      <c r="DJ573" s="1"/>
      <c r="DK573" s="1"/>
      <c r="DL573" s="1"/>
      <c r="DM573" s="1"/>
      <c r="DN573" s="1"/>
      <c r="DO573" s="1"/>
      <c r="DP573" s="1"/>
      <c r="DQ573" s="1"/>
      <c r="DR573" s="1"/>
      <c r="DS573" s="1"/>
      <c r="DT573" s="1"/>
      <c r="DU573" s="14"/>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29"/>
    </row>
    <row r="574" spans="1:160" x14ac:dyDescent="0.25">
      <c r="A574" s="5"/>
      <c r="B574" s="1"/>
      <c r="C574" s="98"/>
      <c r="D574" s="98"/>
      <c r="E574" s="1"/>
      <c r="F574" s="22"/>
      <c r="G574" s="22"/>
      <c r="H574" s="22"/>
      <c r="I574" s="22"/>
      <c r="J574" s="22"/>
      <c r="K574" s="22"/>
      <c r="L574" s="22"/>
      <c r="M574" s="22"/>
      <c r="N574" s="22"/>
      <c r="O574" s="22"/>
      <c r="P574" s="22"/>
      <c r="Q574" s="22"/>
      <c r="R574" s="1"/>
      <c r="S574" s="1"/>
      <c r="T574" s="8"/>
      <c r="U574" s="1"/>
      <c r="V574" s="1"/>
      <c r="W574" s="1"/>
      <c r="X574" s="1"/>
      <c r="Y574" s="1"/>
      <c r="Z574" s="1"/>
      <c r="AA574" s="1"/>
      <c r="AC574" s="1"/>
      <c r="AD574" s="1"/>
      <c r="AE574" s="1"/>
      <c r="AF574" s="1"/>
      <c r="AG574" s="1"/>
      <c r="AH574" s="26"/>
      <c r="AI574" s="26"/>
      <c r="AJ574" s="26"/>
      <c r="AK574" s="26"/>
      <c r="AL574" s="26"/>
      <c r="AM574" s="26"/>
      <c r="AN574" s="26"/>
      <c r="AO574" s="26"/>
      <c r="AP574" s="26"/>
      <c r="AQ574" s="26"/>
      <c r="AR574" s="26"/>
      <c r="AS574" s="26"/>
      <c r="AT574" s="26"/>
      <c r="AU574" s="26"/>
      <c r="AV574" s="26"/>
      <c r="AW574" s="26"/>
      <c r="AX574" s="26"/>
      <c r="AY574" s="1"/>
      <c r="AZ574" s="26"/>
      <c r="BA574" s="26"/>
      <c r="BB574" s="26"/>
      <c r="BC574" s="26"/>
      <c r="BD574" s="26"/>
      <c r="BE574" s="26"/>
      <c r="BF574" s="26"/>
      <c r="BG574" s="26"/>
      <c r="BH574" s="26"/>
      <c r="BI574" s="26"/>
      <c r="BJ574" s="26"/>
      <c r="BK574" s="26"/>
      <c r="BL574" s="26"/>
      <c r="BM574" s="26"/>
      <c r="BN574" s="26"/>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96"/>
      <c r="CP574" s="14"/>
      <c r="CQ574" s="14"/>
      <c r="CR574" s="14"/>
      <c r="CS574" s="14"/>
      <c r="CT574" s="1"/>
      <c r="CU574" s="14"/>
      <c r="CV574" s="1"/>
      <c r="CW574" s="1"/>
      <c r="CX574" s="14"/>
      <c r="CY574" s="1"/>
      <c r="CZ574" s="1"/>
      <c r="DA574" s="1"/>
      <c r="DB574" s="1"/>
      <c r="DC574" s="1"/>
      <c r="DD574" s="1"/>
      <c r="DE574" s="1"/>
      <c r="DF574" s="1"/>
      <c r="DG574" s="1"/>
      <c r="DH574" s="1"/>
      <c r="DI574" s="1"/>
      <c r="DJ574" s="1"/>
      <c r="DK574" s="1"/>
      <c r="DL574" s="1"/>
      <c r="DM574" s="1"/>
      <c r="DN574" s="1"/>
      <c r="DO574" s="1"/>
      <c r="DP574" s="1"/>
      <c r="DQ574" s="1"/>
      <c r="DR574" s="1"/>
      <c r="DS574" s="1"/>
      <c r="DT574" s="1"/>
      <c r="DU574" s="14"/>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29"/>
    </row>
    <row r="575" spans="1:160" x14ac:dyDescent="0.25">
      <c r="A575" s="5"/>
      <c r="B575" s="1"/>
      <c r="C575" s="98"/>
      <c r="D575" s="98"/>
      <c r="E575" s="1"/>
      <c r="F575" s="22"/>
      <c r="G575" s="22"/>
      <c r="H575" s="22"/>
      <c r="I575" s="22"/>
      <c r="J575" s="22"/>
      <c r="K575" s="22"/>
      <c r="L575" s="22"/>
      <c r="M575" s="22"/>
      <c r="N575" s="22"/>
      <c r="O575" s="22"/>
      <c r="P575" s="22"/>
      <c r="Q575" s="22"/>
      <c r="R575" s="1"/>
      <c r="S575" s="1"/>
      <c r="T575" s="8"/>
      <c r="U575" s="1"/>
      <c r="V575" s="1"/>
      <c r="W575" s="1"/>
      <c r="X575" s="1"/>
      <c r="Y575" s="1"/>
      <c r="Z575" s="1"/>
      <c r="AA575" s="1"/>
      <c r="AC575" s="1"/>
      <c r="AD575" s="1"/>
      <c r="AE575" s="1"/>
      <c r="AF575" s="1"/>
      <c r="AG575" s="1"/>
      <c r="AH575" s="26"/>
      <c r="AI575" s="26"/>
      <c r="AJ575" s="26"/>
      <c r="AK575" s="26"/>
      <c r="AL575" s="26"/>
      <c r="AM575" s="26"/>
      <c r="AN575" s="26"/>
      <c r="AO575" s="26"/>
      <c r="AP575" s="26"/>
      <c r="AQ575" s="26"/>
      <c r="AR575" s="26"/>
      <c r="AS575" s="26"/>
      <c r="AT575" s="26"/>
      <c r="AU575" s="26"/>
      <c r="AV575" s="26"/>
      <c r="AW575" s="26"/>
      <c r="AX575" s="26"/>
      <c r="AY575" s="1"/>
      <c r="AZ575" s="26"/>
      <c r="BA575" s="26"/>
      <c r="BB575" s="26"/>
      <c r="BC575" s="26"/>
      <c r="BD575" s="26"/>
      <c r="BE575" s="26"/>
      <c r="BF575" s="26"/>
      <c r="BG575" s="26"/>
      <c r="BH575" s="26"/>
      <c r="BI575" s="26"/>
      <c r="BJ575" s="26"/>
      <c r="BK575" s="26"/>
      <c r="BL575" s="26"/>
      <c r="BM575" s="26"/>
      <c r="BN575" s="26"/>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96"/>
      <c r="CP575" s="14"/>
      <c r="CQ575" s="14"/>
      <c r="CR575" s="14"/>
      <c r="CS575" s="14"/>
      <c r="CT575" s="1"/>
      <c r="CU575" s="14"/>
      <c r="CV575" s="1"/>
      <c r="CW575" s="1"/>
      <c r="CX575" s="14"/>
      <c r="CY575" s="1"/>
      <c r="CZ575" s="1"/>
      <c r="DA575" s="1"/>
      <c r="DB575" s="1"/>
      <c r="DC575" s="1"/>
      <c r="DD575" s="1"/>
      <c r="DE575" s="1"/>
      <c r="DF575" s="1"/>
      <c r="DG575" s="1"/>
      <c r="DH575" s="1"/>
      <c r="DI575" s="1"/>
      <c r="DJ575" s="1"/>
      <c r="DK575" s="1"/>
      <c r="DL575" s="1"/>
      <c r="DM575" s="1"/>
      <c r="DN575" s="1"/>
      <c r="DO575" s="1"/>
      <c r="DP575" s="1"/>
      <c r="DQ575" s="1"/>
      <c r="DR575" s="1"/>
      <c r="DS575" s="1"/>
      <c r="DT575" s="1"/>
      <c r="DU575" s="14"/>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29"/>
    </row>
    <row r="576" spans="1:160" x14ac:dyDescent="0.25">
      <c r="A576" s="5"/>
      <c r="B576" s="1"/>
      <c r="C576" s="98"/>
      <c r="D576" s="98"/>
      <c r="E576" s="1"/>
      <c r="F576" s="22"/>
      <c r="G576" s="22"/>
      <c r="H576" s="22"/>
      <c r="I576" s="22"/>
      <c r="J576" s="22"/>
      <c r="K576" s="22"/>
      <c r="L576" s="22"/>
      <c r="M576" s="22"/>
      <c r="N576" s="22"/>
      <c r="O576" s="22"/>
      <c r="P576" s="22"/>
      <c r="Q576" s="22"/>
      <c r="R576" s="1"/>
      <c r="S576" s="1"/>
      <c r="T576" s="8"/>
      <c r="U576" s="1"/>
      <c r="V576" s="1"/>
      <c r="W576" s="1"/>
      <c r="X576" s="1"/>
      <c r="Y576" s="1"/>
      <c r="Z576" s="1"/>
      <c r="AA576" s="1"/>
      <c r="AC576" s="1"/>
      <c r="AD576" s="1"/>
      <c r="AE576" s="1"/>
      <c r="AF576" s="1"/>
      <c r="AG576" s="1"/>
      <c r="AH576" s="26"/>
      <c r="AI576" s="26"/>
      <c r="AJ576" s="26"/>
      <c r="AK576" s="26"/>
      <c r="AL576" s="26"/>
      <c r="AM576" s="26"/>
      <c r="AN576" s="26"/>
      <c r="AO576" s="26"/>
      <c r="AP576" s="26"/>
      <c r="AQ576" s="26"/>
      <c r="AR576" s="26"/>
      <c r="AS576" s="26"/>
      <c r="AT576" s="26"/>
      <c r="AU576" s="26"/>
      <c r="AV576" s="26"/>
      <c r="AW576" s="26"/>
      <c r="AX576" s="26"/>
      <c r="AY576" s="1"/>
      <c r="AZ576" s="26"/>
      <c r="BA576" s="26"/>
      <c r="BB576" s="26"/>
      <c r="BC576" s="26"/>
      <c r="BD576" s="26"/>
      <c r="BE576" s="26"/>
      <c r="BF576" s="26"/>
      <c r="BG576" s="26"/>
      <c r="BH576" s="26"/>
      <c r="BI576" s="26"/>
      <c r="BJ576" s="26"/>
      <c r="BK576" s="26"/>
      <c r="BL576" s="26"/>
      <c r="BM576" s="26"/>
      <c r="BN576" s="26"/>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96"/>
      <c r="CP576" s="14"/>
      <c r="CQ576" s="14"/>
      <c r="CR576" s="14"/>
      <c r="CS576" s="14"/>
      <c r="CT576" s="1"/>
      <c r="CU576" s="14"/>
      <c r="CV576" s="1"/>
      <c r="CW576" s="1"/>
      <c r="CX576" s="14"/>
      <c r="CY576" s="1"/>
      <c r="CZ576" s="1"/>
      <c r="DA576" s="1"/>
      <c r="DB576" s="1"/>
      <c r="DC576" s="1"/>
      <c r="DD576" s="1"/>
      <c r="DE576" s="1"/>
      <c r="DF576" s="1"/>
      <c r="DG576" s="1"/>
      <c r="DH576" s="1"/>
      <c r="DI576" s="1"/>
      <c r="DJ576" s="1"/>
      <c r="DK576" s="1"/>
      <c r="DL576" s="1"/>
      <c r="DM576" s="1"/>
      <c r="DN576" s="1"/>
      <c r="DO576" s="1"/>
      <c r="DP576" s="1"/>
      <c r="DQ576" s="1"/>
      <c r="DR576" s="1"/>
      <c r="DS576" s="1"/>
      <c r="DT576" s="1"/>
      <c r="DU576" s="14"/>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29"/>
    </row>
    <row r="577" spans="1:160" x14ac:dyDescent="0.25">
      <c r="A577" s="5"/>
      <c r="B577" s="1"/>
      <c r="C577" s="98"/>
      <c r="D577" s="98"/>
      <c r="E577" s="1"/>
      <c r="F577" s="22"/>
      <c r="G577" s="22"/>
      <c r="H577" s="22"/>
      <c r="I577" s="22"/>
      <c r="J577" s="22"/>
      <c r="K577" s="22"/>
      <c r="L577" s="22"/>
      <c r="M577" s="22"/>
      <c r="N577" s="22"/>
      <c r="O577" s="22"/>
      <c r="P577" s="22"/>
      <c r="Q577" s="22"/>
      <c r="R577" s="1"/>
      <c r="S577" s="1"/>
      <c r="T577" s="8"/>
      <c r="U577" s="1"/>
      <c r="V577" s="1"/>
      <c r="W577" s="1"/>
      <c r="X577" s="1"/>
      <c r="Y577" s="1"/>
      <c r="Z577" s="1"/>
      <c r="AA577" s="1"/>
      <c r="AC577" s="1"/>
      <c r="AD577" s="1"/>
      <c r="AE577" s="1"/>
      <c r="AF577" s="1"/>
      <c r="AG577" s="1"/>
      <c r="AH577" s="26"/>
      <c r="AI577" s="26"/>
      <c r="AJ577" s="26"/>
      <c r="AK577" s="26"/>
      <c r="AL577" s="26"/>
      <c r="AM577" s="26"/>
      <c r="AN577" s="26"/>
      <c r="AO577" s="26"/>
      <c r="AP577" s="26"/>
      <c r="AQ577" s="26"/>
      <c r="AR577" s="26"/>
      <c r="AS577" s="26"/>
      <c r="AT577" s="26"/>
      <c r="AU577" s="26"/>
      <c r="AV577" s="26"/>
      <c r="AW577" s="26"/>
      <c r="AX577" s="26"/>
      <c r="AY577" s="1"/>
      <c r="AZ577" s="26"/>
      <c r="BA577" s="26"/>
      <c r="BB577" s="26"/>
      <c r="BC577" s="26"/>
      <c r="BD577" s="26"/>
      <c r="BE577" s="26"/>
      <c r="BF577" s="26"/>
      <c r="BG577" s="26"/>
      <c r="BH577" s="26"/>
      <c r="BI577" s="26"/>
      <c r="BJ577" s="26"/>
      <c r="BK577" s="26"/>
      <c r="BL577" s="26"/>
      <c r="BM577" s="26"/>
      <c r="BN577" s="26"/>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96"/>
      <c r="CP577" s="14"/>
      <c r="CQ577" s="14"/>
      <c r="CR577" s="14"/>
      <c r="CS577" s="14"/>
      <c r="CT577" s="1"/>
      <c r="CU577" s="14"/>
      <c r="CV577" s="1"/>
      <c r="CW577" s="1"/>
      <c r="CX577" s="14"/>
      <c r="CY577" s="1"/>
      <c r="CZ577" s="1"/>
      <c r="DA577" s="1"/>
      <c r="DB577" s="1"/>
      <c r="DC577" s="1"/>
      <c r="DD577" s="1"/>
      <c r="DE577" s="1"/>
      <c r="DF577" s="1"/>
      <c r="DG577" s="1"/>
      <c r="DH577" s="1"/>
      <c r="DI577" s="1"/>
      <c r="DJ577" s="1"/>
      <c r="DK577" s="1"/>
      <c r="DL577" s="1"/>
      <c r="DM577" s="1"/>
      <c r="DN577" s="1"/>
      <c r="DO577" s="1"/>
      <c r="DP577" s="1"/>
      <c r="DQ577" s="1"/>
      <c r="DR577" s="1"/>
      <c r="DS577" s="1"/>
      <c r="DT577" s="1"/>
      <c r="DU577" s="14"/>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29"/>
    </row>
    <row r="578" spans="1:160" x14ac:dyDescent="0.25">
      <c r="A578" s="5"/>
      <c r="B578" s="1"/>
      <c r="C578" s="98"/>
      <c r="D578" s="98"/>
      <c r="E578" s="1"/>
      <c r="F578" s="22"/>
      <c r="G578" s="22"/>
      <c r="H578" s="22"/>
      <c r="I578" s="22"/>
      <c r="J578" s="22"/>
      <c r="K578" s="22"/>
      <c r="L578" s="22"/>
      <c r="M578" s="22"/>
      <c r="N578" s="22"/>
      <c r="O578" s="22"/>
      <c r="P578" s="22"/>
      <c r="Q578" s="22"/>
      <c r="R578" s="1"/>
      <c r="S578" s="1"/>
      <c r="T578" s="8"/>
      <c r="U578" s="1"/>
      <c r="V578" s="1"/>
      <c r="W578" s="1"/>
      <c r="X578" s="1"/>
      <c r="Y578" s="1"/>
      <c r="Z578" s="1"/>
      <c r="AA578" s="1"/>
      <c r="AC578" s="1"/>
      <c r="AD578" s="1"/>
      <c r="AE578" s="1"/>
      <c r="AF578" s="1"/>
      <c r="AG578" s="1"/>
      <c r="AH578" s="26"/>
      <c r="AI578" s="26"/>
      <c r="AJ578" s="26"/>
      <c r="AK578" s="26"/>
      <c r="AL578" s="26"/>
      <c r="AM578" s="26"/>
      <c r="AN578" s="26"/>
      <c r="AO578" s="26"/>
      <c r="AP578" s="26"/>
      <c r="AQ578" s="26"/>
      <c r="AR578" s="26"/>
      <c r="AS578" s="26"/>
      <c r="AT578" s="26"/>
      <c r="AU578" s="26"/>
      <c r="AV578" s="26"/>
      <c r="AW578" s="26"/>
      <c r="AX578" s="26"/>
      <c r="AY578" s="1"/>
      <c r="AZ578" s="26"/>
      <c r="BA578" s="26"/>
      <c r="BB578" s="26"/>
      <c r="BC578" s="26"/>
      <c r="BD578" s="26"/>
      <c r="BE578" s="26"/>
      <c r="BF578" s="26"/>
      <c r="BG578" s="26"/>
      <c r="BH578" s="26"/>
      <c r="BI578" s="26"/>
      <c r="BJ578" s="26"/>
      <c r="BK578" s="26"/>
      <c r="BL578" s="26"/>
      <c r="BM578" s="26"/>
      <c r="BN578" s="26"/>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96"/>
      <c r="CP578" s="14"/>
      <c r="CQ578" s="14"/>
      <c r="CR578" s="14"/>
      <c r="CS578" s="14"/>
      <c r="CT578" s="1"/>
      <c r="CU578" s="14"/>
      <c r="CV578" s="1"/>
      <c r="CW578" s="1"/>
      <c r="CX578" s="14"/>
      <c r="CY578" s="1"/>
      <c r="CZ578" s="1"/>
      <c r="DA578" s="1"/>
      <c r="DB578" s="1"/>
      <c r="DC578" s="1"/>
      <c r="DD578" s="1"/>
      <c r="DE578" s="1"/>
      <c r="DF578" s="1"/>
      <c r="DG578" s="1"/>
      <c r="DH578" s="1"/>
      <c r="DI578" s="1"/>
      <c r="DJ578" s="1"/>
      <c r="DK578" s="1"/>
      <c r="DL578" s="1"/>
      <c r="DM578" s="1"/>
      <c r="DN578" s="1"/>
      <c r="DO578" s="1"/>
      <c r="DP578" s="1"/>
      <c r="DQ578" s="1"/>
      <c r="DR578" s="1"/>
      <c r="DS578" s="1"/>
      <c r="DT578" s="1"/>
      <c r="DU578" s="14"/>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29"/>
    </row>
    <row r="579" spans="1:160" x14ac:dyDescent="0.25">
      <c r="A579" s="5"/>
      <c r="B579" s="1"/>
      <c r="C579" s="98"/>
      <c r="D579" s="98"/>
      <c r="E579" s="1"/>
      <c r="F579" s="22"/>
      <c r="G579" s="22"/>
      <c r="H579" s="22"/>
      <c r="I579" s="22"/>
      <c r="J579" s="22"/>
      <c r="K579" s="22"/>
      <c r="L579" s="22"/>
      <c r="M579" s="22"/>
      <c r="N579" s="22"/>
      <c r="O579" s="22"/>
      <c r="P579" s="22"/>
      <c r="Q579" s="22"/>
      <c r="R579" s="1"/>
      <c r="S579" s="1"/>
      <c r="T579" s="8"/>
      <c r="U579" s="1"/>
      <c r="V579" s="1"/>
      <c r="W579" s="1"/>
      <c r="X579" s="1"/>
      <c r="Y579" s="1"/>
      <c r="Z579" s="1"/>
      <c r="AA579" s="1"/>
      <c r="AC579" s="1"/>
      <c r="AD579" s="1"/>
      <c r="AE579" s="1"/>
      <c r="AF579" s="1"/>
      <c r="AG579" s="1"/>
      <c r="AH579" s="26"/>
      <c r="AI579" s="26"/>
      <c r="AJ579" s="26"/>
      <c r="AK579" s="26"/>
      <c r="AL579" s="26"/>
      <c r="AM579" s="26"/>
      <c r="AN579" s="26"/>
      <c r="AO579" s="26"/>
      <c r="AP579" s="26"/>
      <c r="AQ579" s="26"/>
      <c r="AR579" s="26"/>
      <c r="AS579" s="26"/>
      <c r="AT579" s="26"/>
      <c r="AU579" s="26"/>
      <c r="AV579" s="26"/>
      <c r="AW579" s="26"/>
      <c r="AX579" s="26"/>
      <c r="AY579" s="1"/>
      <c r="AZ579" s="26"/>
      <c r="BA579" s="26"/>
      <c r="BB579" s="26"/>
      <c r="BC579" s="26"/>
      <c r="BD579" s="26"/>
      <c r="BE579" s="26"/>
      <c r="BF579" s="26"/>
      <c r="BG579" s="26"/>
      <c r="BH579" s="26"/>
      <c r="BI579" s="26"/>
      <c r="BJ579" s="26"/>
      <c r="BK579" s="26"/>
      <c r="BL579" s="26"/>
      <c r="BM579" s="26"/>
      <c r="BN579" s="26"/>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96"/>
      <c r="CP579" s="14"/>
      <c r="CQ579" s="14"/>
      <c r="CR579" s="14"/>
      <c r="CS579" s="14"/>
      <c r="CT579" s="1"/>
      <c r="CU579" s="14"/>
      <c r="CV579" s="1"/>
      <c r="CW579" s="1"/>
      <c r="CX579" s="14"/>
      <c r="CY579" s="1"/>
      <c r="CZ579" s="1"/>
      <c r="DA579" s="1"/>
      <c r="DB579" s="1"/>
      <c r="DC579" s="1"/>
      <c r="DD579" s="1"/>
      <c r="DE579" s="1"/>
      <c r="DF579" s="1"/>
      <c r="DG579" s="1"/>
      <c r="DH579" s="1"/>
      <c r="DI579" s="1"/>
      <c r="DJ579" s="1"/>
      <c r="DK579" s="1"/>
      <c r="DL579" s="1"/>
      <c r="DM579" s="1"/>
      <c r="DN579" s="1"/>
      <c r="DO579" s="1"/>
      <c r="DP579" s="1"/>
      <c r="DQ579" s="1"/>
      <c r="DR579" s="1"/>
      <c r="DS579" s="1"/>
      <c r="DT579" s="1"/>
      <c r="DU579" s="14"/>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29"/>
    </row>
    <row r="580" spans="1:160" x14ac:dyDescent="0.25">
      <c r="A580" s="5"/>
      <c r="B580" s="1"/>
      <c r="C580" s="98"/>
      <c r="D580" s="98"/>
      <c r="E580" s="1"/>
      <c r="F580" s="22"/>
      <c r="G580" s="22"/>
      <c r="H580" s="22"/>
      <c r="I580" s="22"/>
      <c r="J580" s="22"/>
      <c r="K580" s="22"/>
      <c r="L580" s="22"/>
      <c r="M580" s="22"/>
      <c r="N580" s="22"/>
      <c r="O580" s="22"/>
      <c r="P580" s="22"/>
      <c r="Q580" s="22"/>
      <c r="R580" s="1"/>
      <c r="S580" s="1"/>
      <c r="T580" s="8"/>
      <c r="U580" s="1"/>
      <c r="V580" s="1"/>
      <c r="W580" s="1"/>
      <c r="X580" s="1"/>
      <c r="Y580" s="1"/>
      <c r="Z580" s="1"/>
      <c r="AA580" s="1"/>
      <c r="AC580" s="1"/>
      <c r="AD580" s="1"/>
      <c r="AE580" s="1"/>
      <c r="AF580" s="1"/>
      <c r="AG580" s="1"/>
      <c r="AH580" s="26"/>
      <c r="AI580" s="26"/>
      <c r="AJ580" s="26"/>
      <c r="AK580" s="26"/>
      <c r="AL580" s="26"/>
      <c r="AM580" s="26"/>
      <c r="AN580" s="26"/>
      <c r="AO580" s="26"/>
      <c r="AP580" s="26"/>
      <c r="AQ580" s="26"/>
      <c r="AR580" s="26"/>
      <c r="AS580" s="26"/>
      <c r="AT580" s="26"/>
      <c r="AU580" s="26"/>
      <c r="AV580" s="26"/>
      <c r="AW580" s="26"/>
      <c r="AX580" s="26"/>
      <c r="AY580" s="1"/>
      <c r="AZ580" s="26"/>
      <c r="BA580" s="26"/>
      <c r="BB580" s="26"/>
      <c r="BC580" s="26"/>
      <c r="BD580" s="26"/>
      <c r="BE580" s="26"/>
      <c r="BF580" s="26"/>
      <c r="BG580" s="26"/>
      <c r="BH580" s="26"/>
      <c r="BI580" s="26"/>
      <c r="BJ580" s="26"/>
      <c r="BK580" s="26"/>
      <c r="BL580" s="26"/>
      <c r="BM580" s="26"/>
      <c r="BN580" s="26"/>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96"/>
      <c r="CP580" s="14"/>
      <c r="CQ580" s="14"/>
      <c r="CR580" s="14"/>
      <c r="CS580" s="14"/>
      <c r="CT580" s="1"/>
      <c r="CU580" s="14"/>
      <c r="CV580" s="1"/>
      <c r="CW580" s="1"/>
      <c r="CX580" s="14"/>
      <c r="CY580" s="1"/>
      <c r="CZ580" s="1"/>
      <c r="DA580" s="1"/>
      <c r="DB580" s="1"/>
      <c r="DC580" s="1"/>
      <c r="DD580" s="1"/>
      <c r="DE580" s="1"/>
      <c r="DF580" s="1"/>
      <c r="DG580" s="1"/>
      <c r="DH580" s="1"/>
      <c r="DI580" s="1"/>
      <c r="DJ580" s="1"/>
      <c r="DK580" s="1"/>
      <c r="DL580" s="1"/>
      <c r="DM580" s="1"/>
      <c r="DN580" s="1"/>
      <c r="DO580" s="1"/>
      <c r="DP580" s="1"/>
      <c r="DQ580" s="1"/>
      <c r="DR580" s="1"/>
      <c r="DS580" s="1"/>
      <c r="DT580" s="1"/>
      <c r="DU580" s="14"/>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29"/>
    </row>
    <row r="581" spans="1:160" x14ac:dyDescent="0.25">
      <c r="A581" s="5"/>
      <c r="B581" s="1"/>
      <c r="C581" s="98"/>
      <c r="D581" s="98"/>
      <c r="E581" s="1"/>
      <c r="F581" s="22"/>
      <c r="G581" s="22"/>
      <c r="H581" s="22"/>
      <c r="I581" s="22"/>
      <c r="J581" s="22"/>
      <c r="K581" s="22"/>
      <c r="L581" s="22"/>
      <c r="M581" s="22"/>
      <c r="N581" s="22"/>
      <c r="O581" s="22"/>
      <c r="P581" s="22"/>
      <c r="Q581" s="22"/>
      <c r="R581" s="1"/>
      <c r="S581" s="1"/>
      <c r="T581" s="8"/>
      <c r="U581" s="1"/>
      <c r="V581" s="1"/>
      <c r="W581" s="1"/>
      <c r="X581" s="1"/>
      <c r="Y581" s="1"/>
      <c r="Z581" s="1"/>
      <c r="AA581" s="1"/>
      <c r="AC581" s="1"/>
      <c r="AD581" s="1"/>
      <c r="AE581" s="1"/>
      <c r="AF581" s="1"/>
      <c r="AG581" s="1"/>
      <c r="AH581" s="26"/>
      <c r="AI581" s="26"/>
      <c r="AJ581" s="26"/>
      <c r="AK581" s="26"/>
      <c r="AL581" s="26"/>
      <c r="AM581" s="26"/>
      <c r="AN581" s="26"/>
      <c r="AO581" s="26"/>
      <c r="AP581" s="26"/>
      <c r="AQ581" s="26"/>
      <c r="AR581" s="26"/>
      <c r="AS581" s="26"/>
      <c r="AT581" s="26"/>
      <c r="AU581" s="26"/>
      <c r="AV581" s="26"/>
      <c r="AW581" s="26"/>
      <c r="AX581" s="26"/>
      <c r="AY581" s="1"/>
      <c r="AZ581" s="26"/>
      <c r="BA581" s="26"/>
      <c r="BB581" s="26"/>
      <c r="BC581" s="26"/>
      <c r="BD581" s="26"/>
      <c r="BE581" s="26"/>
      <c r="BF581" s="26"/>
      <c r="BG581" s="26"/>
      <c r="BH581" s="26"/>
      <c r="BI581" s="26"/>
      <c r="BJ581" s="26"/>
      <c r="BK581" s="26"/>
      <c r="BL581" s="26"/>
      <c r="BM581" s="26"/>
      <c r="BN581" s="26"/>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96"/>
      <c r="CP581" s="14"/>
      <c r="CQ581" s="14"/>
      <c r="CR581" s="14"/>
      <c r="CS581" s="14"/>
      <c r="CT581" s="1"/>
      <c r="CU581" s="14"/>
      <c r="CV581" s="1"/>
      <c r="CW581" s="1"/>
      <c r="CX581" s="14"/>
      <c r="CY581" s="1"/>
      <c r="CZ581" s="1"/>
      <c r="DA581" s="1"/>
      <c r="DB581" s="1"/>
      <c r="DC581" s="1"/>
      <c r="DD581" s="1"/>
      <c r="DE581" s="1"/>
      <c r="DF581" s="1"/>
      <c r="DG581" s="1"/>
      <c r="DH581" s="1"/>
      <c r="DI581" s="1"/>
      <c r="DJ581" s="1"/>
      <c r="DK581" s="1"/>
      <c r="DL581" s="1"/>
      <c r="DM581" s="1"/>
      <c r="DN581" s="1"/>
      <c r="DO581" s="1"/>
      <c r="DP581" s="1"/>
      <c r="DQ581" s="1"/>
      <c r="DR581" s="1"/>
      <c r="DS581" s="1"/>
      <c r="DT581" s="1"/>
      <c r="DU581" s="14"/>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29"/>
    </row>
    <row r="582" spans="1:160" x14ac:dyDescent="0.25">
      <c r="A582" s="5"/>
      <c r="B582" s="1"/>
      <c r="C582" s="98"/>
      <c r="D582" s="98"/>
      <c r="E582" s="1"/>
      <c r="F582" s="22"/>
      <c r="G582" s="22"/>
      <c r="H582" s="22"/>
      <c r="I582" s="22"/>
      <c r="J582" s="22"/>
      <c r="K582" s="22"/>
      <c r="L582" s="22"/>
      <c r="M582" s="22"/>
      <c r="N582" s="22"/>
      <c r="O582" s="22"/>
      <c r="P582" s="22"/>
      <c r="Q582" s="22"/>
      <c r="R582" s="1"/>
      <c r="S582" s="1"/>
      <c r="T582" s="8"/>
      <c r="U582" s="1"/>
      <c r="V582" s="1"/>
      <c r="W582" s="1"/>
      <c r="X582" s="1"/>
      <c r="Y582" s="1"/>
      <c r="Z582" s="1"/>
      <c r="AA582" s="1"/>
      <c r="AC582" s="1"/>
      <c r="AD582" s="1"/>
      <c r="AE582" s="1"/>
      <c r="AF582" s="1"/>
      <c r="AG582" s="1"/>
      <c r="AH582" s="26"/>
      <c r="AI582" s="26"/>
      <c r="AJ582" s="26"/>
      <c r="AK582" s="26"/>
      <c r="AL582" s="26"/>
      <c r="AM582" s="26"/>
      <c r="AN582" s="26"/>
      <c r="AO582" s="26"/>
      <c r="AP582" s="26"/>
      <c r="AQ582" s="26"/>
      <c r="AR582" s="26"/>
      <c r="AS582" s="26"/>
      <c r="AT582" s="26"/>
      <c r="AU582" s="26"/>
      <c r="AV582" s="26"/>
      <c r="AW582" s="26"/>
      <c r="AX582" s="26"/>
      <c r="AY582" s="1"/>
      <c r="AZ582" s="26"/>
      <c r="BA582" s="26"/>
      <c r="BB582" s="26"/>
      <c r="BC582" s="26"/>
      <c r="BD582" s="26"/>
      <c r="BE582" s="26"/>
      <c r="BF582" s="26"/>
      <c r="BG582" s="26"/>
      <c r="BH582" s="26"/>
      <c r="BI582" s="26"/>
      <c r="BJ582" s="26"/>
      <c r="BK582" s="26"/>
      <c r="BL582" s="26"/>
      <c r="BM582" s="26"/>
      <c r="BN582" s="26"/>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96"/>
      <c r="CP582" s="14"/>
      <c r="CQ582" s="14"/>
      <c r="CR582" s="14"/>
      <c r="CS582" s="14"/>
      <c r="CT582" s="1"/>
      <c r="CU582" s="14"/>
      <c r="CV582" s="1"/>
      <c r="CW582" s="1"/>
      <c r="CX582" s="14"/>
      <c r="CY582" s="1"/>
      <c r="CZ582" s="1"/>
      <c r="DA582" s="1"/>
      <c r="DB582" s="1"/>
      <c r="DC582" s="1"/>
      <c r="DD582" s="1"/>
      <c r="DE582" s="1"/>
      <c r="DF582" s="1"/>
      <c r="DG582" s="1"/>
      <c r="DH582" s="1"/>
      <c r="DI582" s="1"/>
      <c r="DJ582" s="1"/>
      <c r="DK582" s="1"/>
      <c r="DL582" s="1"/>
      <c r="DM582" s="1"/>
      <c r="DN582" s="1"/>
      <c r="DO582" s="1"/>
      <c r="DP582" s="1"/>
      <c r="DQ582" s="1"/>
      <c r="DR582" s="1"/>
      <c r="DS582" s="1"/>
      <c r="DT582" s="1"/>
      <c r="DU582" s="14"/>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29"/>
    </row>
    <row r="583" spans="1:160" x14ac:dyDescent="0.25">
      <c r="A583" s="5"/>
      <c r="B583" s="1"/>
      <c r="C583" s="98"/>
      <c r="D583" s="98"/>
      <c r="E583" s="1"/>
      <c r="F583" s="22"/>
      <c r="G583" s="22"/>
      <c r="H583" s="22"/>
      <c r="I583" s="22"/>
      <c r="J583" s="22"/>
      <c r="K583" s="22"/>
      <c r="L583" s="22"/>
      <c r="M583" s="22"/>
      <c r="N583" s="22"/>
      <c r="O583" s="22"/>
      <c r="P583" s="22"/>
      <c r="Q583" s="22"/>
      <c r="R583" s="1"/>
      <c r="S583" s="1"/>
      <c r="T583" s="8"/>
      <c r="U583" s="1"/>
      <c r="V583" s="1"/>
      <c r="W583" s="1"/>
      <c r="X583" s="1"/>
      <c r="Y583" s="1"/>
      <c r="Z583" s="1"/>
      <c r="AA583" s="1"/>
      <c r="AC583" s="1"/>
      <c r="AD583" s="1"/>
      <c r="AE583" s="1"/>
      <c r="AF583" s="1"/>
      <c r="AG583" s="1"/>
      <c r="AH583" s="26"/>
      <c r="AI583" s="26"/>
      <c r="AJ583" s="26"/>
      <c r="AK583" s="26"/>
      <c r="AL583" s="26"/>
      <c r="AM583" s="26"/>
      <c r="AN583" s="26"/>
      <c r="AO583" s="26"/>
      <c r="AP583" s="26"/>
      <c r="AQ583" s="26"/>
      <c r="AR583" s="26"/>
      <c r="AS583" s="26"/>
      <c r="AT583" s="26"/>
      <c r="AU583" s="26"/>
      <c r="AV583" s="26"/>
      <c r="AW583" s="26"/>
      <c r="AX583" s="26"/>
      <c r="AY583" s="1"/>
      <c r="AZ583" s="26"/>
      <c r="BA583" s="26"/>
      <c r="BB583" s="26"/>
      <c r="BC583" s="26"/>
      <c r="BD583" s="26"/>
      <c r="BE583" s="26"/>
      <c r="BF583" s="26"/>
      <c r="BG583" s="26"/>
      <c r="BH583" s="26"/>
      <c r="BI583" s="26"/>
      <c r="BJ583" s="26"/>
      <c r="BK583" s="26"/>
      <c r="BL583" s="26"/>
      <c r="BM583" s="26"/>
      <c r="BN583" s="26"/>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96"/>
      <c r="CP583" s="14"/>
      <c r="CQ583" s="14"/>
      <c r="CR583" s="14"/>
      <c r="CS583" s="14"/>
      <c r="CT583" s="1"/>
      <c r="CU583" s="14"/>
      <c r="CV583" s="1"/>
      <c r="CW583" s="1"/>
      <c r="CX583" s="14"/>
      <c r="CY583" s="1"/>
      <c r="CZ583" s="1"/>
      <c r="DA583" s="1"/>
      <c r="DB583" s="1"/>
      <c r="DC583" s="1"/>
      <c r="DD583" s="1"/>
      <c r="DE583" s="1"/>
      <c r="DF583" s="1"/>
      <c r="DG583" s="1"/>
      <c r="DH583" s="1"/>
      <c r="DI583" s="1"/>
      <c r="DJ583" s="1"/>
      <c r="DK583" s="1"/>
      <c r="DL583" s="1"/>
      <c r="DM583" s="1"/>
      <c r="DN583" s="1"/>
      <c r="DO583" s="1"/>
      <c r="DP583" s="1"/>
      <c r="DQ583" s="1"/>
      <c r="DR583" s="1"/>
      <c r="DS583" s="1"/>
      <c r="DT583" s="1"/>
      <c r="DU583" s="14"/>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29"/>
    </row>
    <row r="584" spans="1:160" x14ac:dyDescent="0.25">
      <c r="A584" s="5"/>
      <c r="B584" s="1"/>
      <c r="C584" s="98"/>
      <c r="D584" s="98"/>
      <c r="E584" s="1"/>
      <c r="F584" s="22"/>
      <c r="G584" s="22"/>
      <c r="H584" s="22"/>
      <c r="I584" s="22"/>
      <c r="J584" s="22"/>
      <c r="K584" s="22"/>
      <c r="L584" s="22"/>
      <c r="M584" s="22"/>
      <c r="N584" s="22"/>
      <c r="O584" s="22"/>
      <c r="P584" s="22"/>
      <c r="Q584" s="22"/>
      <c r="R584" s="1"/>
      <c r="S584" s="1"/>
      <c r="T584" s="8"/>
      <c r="U584" s="1"/>
      <c r="V584" s="1"/>
      <c r="W584" s="1"/>
      <c r="X584" s="1"/>
      <c r="Y584" s="1"/>
      <c r="Z584" s="1"/>
      <c r="AA584" s="1"/>
      <c r="AC584" s="1"/>
      <c r="AD584" s="1"/>
      <c r="AE584" s="1"/>
      <c r="AF584" s="1"/>
      <c r="AG584" s="1"/>
      <c r="AH584" s="26"/>
      <c r="AI584" s="26"/>
      <c r="AJ584" s="26"/>
      <c r="AK584" s="26"/>
      <c r="AL584" s="26"/>
      <c r="AM584" s="26"/>
      <c r="AN584" s="26"/>
      <c r="AO584" s="26"/>
      <c r="AP584" s="26"/>
      <c r="AQ584" s="26"/>
      <c r="AR584" s="26"/>
      <c r="AS584" s="26"/>
      <c r="AT584" s="26"/>
      <c r="AU584" s="26"/>
      <c r="AV584" s="26"/>
      <c r="AW584" s="26"/>
      <c r="AX584" s="26"/>
      <c r="AY584" s="1"/>
      <c r="AZ584" s="26"/>
      <c r="BA584" s="26"/>
      <c r="BB584" s="26"/>
      <c r="BC584" s="26"/>
      <c r="BD584" s="26"/>
      <c r="BE584" s="26"/>
      <c r="BF584" s="26"/>
      <c r="BG584" s="26"/>
      <c r="BH584" s="26"/>
      <c r="BI584" s="26"/>
      <c r="BJ584" s="26"/>
      <c r="BK584" s="26"/>
      <c r="BL584" s="26"/>
      <c r="BM584" s="26"/>
      <c r="BN584" s="26"/>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96"/>
      <c r="CP584" s="14"/>
      <c r="CQ584" s="14"/>
      <c r="CR584" s="14"/>
      <c r="CS584" s="14"/>
      <c r="CT584" s="1"/>
      <c r="CU584" s="14"/>
      <c r="CV584" s="1"/>
      <c r="CW584" s="1"/>
      <c r="CX584" s="14"/>
      <c r="CY584" s="1"/>
      <c r="CZ584" s="1"/>
      <c r="DA584" s="1"/>
      <c r="DB584" s="1"/>
      <c r="DC584" s="1"/>
      <c r="DD584" s="1"/>
      <c r="DE584" s="1"/>
      <c r="DF584" s="1"/>
      <c r="DG584" s="1"/>
      <c r="DH584" s="1"/>
      <c r="DI584" s="1"/>
      <c r="DJ584" s="1"/>
      <c r="DK584" s="1"/>
      <c r="DL584" s="1"/>
      <c r="DM584" s="1"/>
      <c r="DN584" s="1"/>
      <c r="DO584" s="1"/>
      <c r="DP584" s="1"/>
      <c r="DQ584" s="1"/>
      <c r="DR584" s="1"/>
      <c r="DS584" s="1"/>
      <c r="DT584" s="1"/>
      <c r="DU584" s="14"/>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29"/>
    </row>
    <row r="585" spans="1:160" x14ac:dyDescent="0.25">
      <c r="A585" s="5"/>
      <c r="B585" s="1"/>
      <c r="C585" s="98"/>
      <c r="D585" s="98"/>
      <c r="E585" s="1"/>
      <c r="F585" s="22"/>
      <c r="G585" s="22"/>
      <c r="H585" s="22"/>
      <c r="I585" s="22"/>
      <c r="J585" s="22"/>
      <c r="K585" s="22"/>
      <c r="L585" s="22"/>
      <c r="M585" s="22"/>
      <c r="N585" s="22"/>
      <c r="O585" s="22"/>
      <c r="P585" s="22"/>
      <c r="Q585" s="22"/>
      <c r="R585" s="1"/>
      <c r="S585" s="1"/>
      <c r="T585" s="8"/>
      <c r="U585" s="1"/>
      <c r="V585" s="1"/>
      <c r="W585" s="1"/>
      <c r="X585" s="1"/>
      <c r="Y585" s="1"/>
      <c r="Z585" s="1"/>
      <c r="AA585" s="1"/>
      <c r="AC585" s="1"/>
      <c r="AD585" s="1"/>
      <c r="AE585" s="1"/>
      <c r="AF585" s="1"/>
      <c r="AG585" s="1"/>
      <c r="AH585" s="26"/>
      <c r="AI585" s="26"/>
      <c r="AJ585" s="26"/>
      <c r="AK585" s="26"/>
      <c r="AL585" s="26"/>
      <c r="AM585" s="26"/>
      <c r="AN585" s="26"/>
      <c r="AO585" s="26"/>
      <c r="AP585" s="26"/>
      <c r="AQ585" s="26"/>
      <c r="AR585" s="26"/>
      <c r="AS585" s="26"/>
      <c r="AT585" s="26"/>
      <c r="AU585" s="26"/>
      <c r="AV585" s="26"/>
      <c r="AW585" s="26"/>
      <c r="AX585" s="26"/>
      <c r="AY585" s="1"/>
      <c r="AZ585" s="26"/>
      <c r="BA585" s="26"/>
      <c r="BB585" s="26"/>
      <c r="BC585" s="26"/>
      <c r="BD585" s="26"/>
      <c r="BE585" s="26"/>
      <c r="BF585" s="26"/>
      <c r="BG585" s="26"/>
      <c r="BH585" s="26"/>
      <c r="BI585" s="26"/>
      <c r="BJ585" s="26"/>
      <c r="BK585" s="26"/>
      <c r="BL585" s="26"/>
      <c r="BM585" s="26"/>
      <c r="BN585" s="26"/>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96"/>
      <c r="CP585" s="14"/>
      <c r="CQ585" s="14"/>
      <c r="CR585" s="14"/>
      <c r="CS585" s="14"/>
      <c r="CT585" s="1"/>
      <c r="CU585" s="14"/>
      <c r="CV585" s="1"/>
      <c r="CW585" s="1"/>
      <c r="CX585" s="14"/>
      <c r="CY585" s="1"/>
      <c r="CZ585" s="1"/>
      <c r="DA585" s="1"/>
      <c r="DB585" s="1"/>
      <c r="DC585" s="1"/>
      <c r="DD585" s="1"/>
      <c r="DE585" s="1"/>
      <c r="DF585" s="1"/>
      <c r="DG585" s="1"/>
      <c r="DH585" s="1"/>
      <c r="DI585" s="1"/>
      <c r="DJ585" s="1"/>
      <c r="DK585" s="1"/>
      <c r="DL585" s="1"/>
      <c r="DM585" s="1"/>
      <c r="DN585" s="1"/>
      <c r="DO585" s="1"/>
      <c r="DP585" s="1"/>
      <c r="DQ585" s="1"/>
      <c r="DR585" s="1"/>
      <c r="DS585" s="1"/>
      <c r="DT585" s="1"/>
      <c r="DU585" s="14"/>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29"/>
    </row>
    <row r="586" spans="1:160" x14ac:dyDescent="0.25">
      <c r="A586" s="5"/>
      <c r="B586" s="1"/>
      <c r="C586" s="98"/>
      <c r="D586" s="98"/>
      <c r="E586" s="1"/>
      <c r="F586" s="22"/>
      <c r="G586" s="22"/>
      <c r="H586" s="22"/>
      <c r="I586" s="22"/>
      <c r="J586" s="22"/>
      <c r="K586" s="22"/>
      <c r="L586" s="22"/>
      <c r="M586" s="22"/>
      <c r="N586" s="22"/>
      <c r="O586" s="22"/>
      <c r="P586" s="22"/>
      <c r="Q586" s="22"/>
      <c r="R586" s="1"/>
      <c r="S586" s="1"/>
      <c r="T586" s="8"/>
      <c r="U586" s="1"/>
      <c r="V586" s="1"/>
      <c r="W586" s="1"/>
      <c r="X586" s="1"/>
      <c r="Y586" s="1"/>
      <c r="Z586" s="1"/>
      <c r="AA586" s="1"/>
      <c r="AC586" s="1"/>
      <c r="AD586" s="1"/>
      <c r="AE586" s="1"/>
      <c r="AF586" s="1"/>
      <c r="AG586" s="1"/>
      <c r="AH586" s="26"/>
      <c r="AI586" s="26"/>
      <c r="AJ586" s="26"/>
      <c r="AK586" s="26"/>
      <c r="AL586" s="26"/>
      <c r="AM586" s="26"/>
      <c r="AN586" s="26"/>
      <c r="AO586" s="26"/>
      <c r="AP586" s="26"/>
      <c r="AQ586" s="26"/>
      <c r="AR586" s="26"/>
      <c r="AS586" s="26"/>
      <c r="AT586" s="26"/>
      <c r="AU586" s="26"/>
      <c r="AV586" s="26"/>
      <c r="AW586" s="26"/>
      <c r="AX586" s="26"/>
      <c r="AY586" s="1"/>
      <c r="AZ586" s="26"/>
      <c r="BA586" s="26"/>
      <c r="BB586" s="26"/>
      <c r="BC586" s="26"/>
      <c r="BD586" s="26"/>
      <c r="BE586" s="26"/>
      <c r="BF586" s="26"/>
      <c r="BG586" s="26"/>
      <c r="BH586" s="26"/>
      <c r="BI586" s="26"/>
      <c r="BJ586" s="26"/>
      <c r="BK586" s="26"/>
      <c r="BL586" s="26"/>
      <c r="BM586" s="26"/>
      <c r="BN586" s="26"/>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96"/>
      <c r="CP586" s="14"/>
      <c r="CQ586" s="14"/>
      <c r="CR586" s="14"/>
      <c r="CS586" s="14"/>
      <c r="CT586" s="1"/>
      <c r="CU586" s="14"/>
      <c r="CV586" s="1"/>
      <c r="CW586" s="1"/>
      <c r="CX586" s="14"/>
      <c r="CY586" s="1"/>
      <c r="CZ586" s="1"/>
      <c r="DA586" s="1"/>
      <c r="DB586" s="1"/>
      <c r="DC586" s="1"/>
      <c r="DD586" s="1"/>
      <c r="DE586" s="1"/>
      <c r="DF586" s="1"/>
      <c r="DG586" s="1"/>
      <c r="DH586" s="1"/>
      <c r="DI586" s="1"/>
      <c r="DJ586" s="1"/>
      <c r="DK586" s="1"/>
      <c r="DL586" s="1"/>
      <c r="DM586" s="1"/>
      <c r="DN586" s="1"/>
      <c r="DO586" s="1"/>
      <c r="DP586" s="1"/>
      <c r="DQ586" s="1"/>
      <c r="DR586" s="1"/>
      <c r="DS586" s="1"/>
      <c r="DT586" s="1"/>
      <c r="DU586" s="14"/>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29"/>
    </row>
    <row r="587" spans="1:160" x14ac:dyDescent="0.25">
      <c r="A587" s="5"/>
      <c r="B587" s="1"/>
      <c r="C587" s="98"/>
      <c r="D587" s="98"/>
      <c r="E587" s="1"/>
      <c r="F587" s="22"/>
      <c r="G587" s="22"/>
      <c r="H587" s="22"/>
      <c r="I587" s="22"/>
      <c r="J587" s="22"/>
      <c r="K587" s="22"/>
      <c r="L587" s="22"/>
      <c r="M587" s="22"/>
      <c r="N587" s="22"/>
      <c r="O587" s="22"/>
      <c r="P587" s="22"/>
      <c r="Q587" s="22"/>
      <c r="R587" s="1"/>
      <c r="S587" s="1"/>
      <c r="T587" s="8"/>
      <c r="U587" s="1"/>
      <c r="V587" s="1"/>
      <c r="W587" s="1"/>
      <c r="X587" s="1"/>
      <c r="Y587" s="1"/>
      <c r="Z587" s="1"/>
      <c r="AA587" s="1"/>
      <c r="AC587" s="1"/>
      <c r="AD587" s="1"/>
      <c r="AE587" s="1"/>
      <c r="AF587" s="1"/>
      <c r="AG587" s="1"/>
      <c r="AH587" s="26"/>
      <c r="AI587" s="26"/>
      <c r="AJ587" s="26"/>
      <c r="AK587" s="26"/>
      <c r="AL587" s="26"/>
      <c r="AM587" s="26"/>
      <c r="AN587" s="26"/>
      <c r="AO587" s="26"/>
      <c r="AP587" s="26"/>
      <c r="AQ587" s="26"/>
      <c r="AR587" s="26"/>
      <c r="AS587" s="26"/>
      <c r="AT587" s="26"/>
      <c r="AU587" s="26"/>
      <c r="AV587" s="26"/>
      <c r="AW587" s="26"/>
      <c r="AX587" s="26"/>
      <c r="AY587" s="1"/>
      <c r="AZ587" s="26"/>
      <c r="BA587" s="26"/>
      <c r="BB587" s="26"/>
      <c r="BC587" s="26"/>
      <c r="BD587" s="26"/>
      <c r="BE587" s="26"/>
      <c r="BF587" s="26"/>
      <c r="BG587" s="26"/>
      <c r="BH587" s="26"/>
      <c r="BI587" s="26"/>
      <c r="BJ587" s="26"/>
      <c r="BK587" s="26"/>
      <c r="BL587" s="26"/>
      <c r="BM587" s="26"/>
      <c r="BN587" s="26"/>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96"/>
      <c r="CP587" s="14"/>
      <c r="CQ587" s="14"/>
      <c r="CR587" s="14"/>
      <c r="CS587" s="14"/>
      <c r="CT587" s="1"/>
      <c r="CU587" s="14"/>
      <c r="CV587" s="1"/>
      <c r="CW587" s="1"/>
      <c r="CX587" s="14"/>
      <c r="CY587" s="1"/>
      <c r="CZ587" s="1"/>
      <c r="DA587" s="1"/>
      <c r="DB587" s="1"/>
      <c r="DC587" s="1"/>
      <c r="DD587" s="1"/>
      <c r="DE587" s="1"/>
      <c r="DF587" s="1"/>
      <c r="DG587" s="1"/>
      <c r="DH587" s="1"/>
      <c r="DI587" s="1"/>
      <c r="DJ587" s="1"/>
      <c r="DK587" s="1"/>
      <c r="DL587" s="1"/>
      <c r="DM587" s="1"/>
      <c r="DN587" s="1"/>
      <c r="DO587" s="1"/>
      <c r="DP587" s="1"/>
      <c r="DQ587" s="1"/>
      <c r="DR587" s="1"/>
      <c r="DS587" s="1"/>
      <c r="DT587" s="1"/>
      <c r="DU587" s="14"/>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29"/>
    </row>
    <row r="588" spans="1:160" x14ac:dyDescent="0.25">
      <c r="A588" s="5"/>
      <c r="B588" s="1"/>
      <c r="C588" s="98"/>
      <c r="D588" s="98"/>
      <c r="E588" s="1"/>
      <c r="F588" s="22"/>
      <c r="G588" s="22"/>
      <c r="H588" s="22"/>
      <c r="I588" s="22"/>
      <c r="J588" s="22"/>
      <c r="K588" s="22"/>
      <c r="L588" s="22"/>
      <c r="M588" s="22"/>
      <c r="N588" s="22"/>
      <c r="O588" s="22"/>
      <c r="P588" s="22"/>
      <c r="Q588" s="22"/>
      <c r="R588" s="1"/>
      <c r="S588" s="1"/>
      <c r="T588" s="8"/>
      <c r="U588" s="1"/>
      <c r="V588" s="1"/>
      <c r="W588" s="1"/>
      <c r="X588" s="1"/>
      <c r="Y588" s="1"/>
      <c r="Z588" s="1"/>
      <c r="AA588" s="1"/>
      <c r="AC588" s="1"/>
      <c r="AD588" s="1"/>
      <c r="AE588" s="1"/>
      <c r="AF588" s="1"/>
      <c r="AG588" s="1"/>
      <c r="AH588" s="26"/>
      <c r="AI588" s="26"/>
      <c r="AJ588" s="26"/>
      <c r="AK588" s="26"/>
      <c r="AL588" s="26"/>
      <c r="AM588" s="26"/>
      <c r="AN588" s="26"/>
      <c r="AO588" s="26"/>
      <c r="AP588" s="26"/>
      <c r="AQ588" s="26"/>
      <c r="AR588" s="26"/>
      <c r="AS588" s="26"/>
      <c r="AT588" s="26"/>
      <c r="AU588" s="26"/>
      <c r="AV588" s="26"/>
      <c r="AW588" s="26"/>
      <c r="AX588" s="26"/>
      <c r="AY588" s="1"/>
      <c r="AZ588" s="26"/>
      <c r="BA588" s="26"/>
      <c r="BB588" s="26"/>
      <c r="BC588" s="26"/>
      <c r="BD588" s="26"/>
      <c r="BE588" s="26"/>
      <c r="BF588" s="26"/>
      <c r="BG588" s="26"/>
      <c r="BH588" s="26"/>
      <c r="BI588" s="26"/>
      <c r="BJ588" s="26"/>
      <c r="BK588" s="26"/>
      <c r="BL588" s="26"/>
      <c r="BM588" s="26"/>
      <c r="BN588" s="26"/>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96"/>
      <c r="CP588" s="14"/>
      <c r="CQ588" s="14"/>
      <c r="CR588" s="14"/>
      <c r="CS588" s="14"/>
      <c r="CT588" s="1"/>
      <c r="CU588" s="14"/>
      <c r="CV588" s="1"/>
      <c r="CW588" s="1"/>
      <c r="CX588" s="14"/>
      <c r="CY588" s="1"/>
      <c r="CZ588" s="1"/>
      <c r="DA588" s="1"/>
      <c r="DB588" s="1"/>
      <c r="DC588" s="1"/>
      <c r="DD588" s="1"/>
      <c r="DE588" s="1"/>
      <c r="DF588" s="1"/>
      <c r="DG588" s="1"/>
      <c r="DH588" s="1"/>
      <c r="DI588" s="1"/>
      <c r="DJ588" s="1"/>
      <c r="DK588" s="1"/>
      <c r="DL588" s="1"/>
      <c r="DM588" s="1"/>
      <c r="DN588" s="1"/>
      <c r="DO588" s="1"/>
      <c r="DP588" s="1"/>
      <c r="DQ588" s="1"/>
      <c r="DR588" s="1"/>
      <c r="DS588" s="1"/>
      <c r="DT588" s="1"/>
      <c r="DU588" s="14"/>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29"/>
    </row>
    <row r="589" spans="1:160" x14ac:dyDescent="0.25">
      <c r="A589" s="5"/>
      <c r="B589" s="1"/>
      <c r="C589" s="98"/>
      <c r="D589" s="98"/>
      <c r="E589" s="1"/>
      <c r="F589" s="22"/>
      <c r="G589" s="22"/>
      <c r="H589" s="22"/>
      <c r="I589" s="22"/>
      <c r="J589" s="22"/>
      <c r="K589" s="22"/>
      <c r="L589" s="22"/>
      <c r="M589" s="22"/>
      <c r="N589" s="22"/>
      <c r="O589" s="22"/>
      <c r="P589" s="22"/>
      <c r="Q589" s="22"/>
      <c r="R589" s="1"/>
      <c r="S589" s="1"/>
      <c r="T589" s="8"/>
      <c r="U589" s="1"/>
      <c r="V589" s="1"/>
      <c r="W589" s="1"/>
      <c r="X589" s="1"/>
      <c r="Y589" s="1"/>
      <c r="Z589" s="1"/>
      <c r="AA589" s="1"/>
      <c r="AC589" s="1"/>
      <c r="AD589" s="1"/>
      <c r="AE589" s="1"/>
      <c r="AF589" s="1"/>
      <c r="AG589" s="1"/>
      <c r="AH589" s="26"/>
      <c r="AI589" s="26"/>
      <c r="AJ589" s="26"/>
      <c r="AK589" s="26"/>
      <c r="AL589" s="26"/>
      <c r="AM589" s="26"/>
      <c r="AN589" s="26"/>
      <c r="AO589" s="26"/>
      <c r="AP589" s="26"/>
      <c r="AQ589" s="26"/>
      <c r="AR589" s="26"/>
      <c r="AS589" s="26"/>
      <c r="AT589" s="26"/>
      <c r="AU589" s="26"/>
      <c r="AV589" s="26"/>
      <c r="AW589" s="26"/>
      <c r="AX589" s="26"/>
      <c r="AY589" s="1"/>
      <c r="AZ589" s="26"/>
      <c r="BA589" s="26"/>
      <c r="BB589" s="26"/>
      <c r="BC589" s="26"/>
      <c r="BD589" s="26"/>
      <c r="BE589" s="26"/>
      <c r="BF589" s="26"/>
      <c r="BG589" s="26"/>
      <c r="BH589" s="26"/>
      <c r="BI589" s="26"/>
      <c r="BJ589" s="26"/>
      <c r="BK589" s="26"/>
      <c r="BL589" s="26"/>
      <c r="BM589" s="26"/>
      <c r="BN589" s="26"/>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96"/>
      <c r="CP589" s="14"/>
      <c r="CQ589" s="14"/>
      <c r="CR589" s="14"/>
      <c r="CS589" s="14"/>
      <c r="CT589" s="1"/>
      <c r="CU589" s="14"/>
      <c r="CV589" s="1"/>
      <c r="CW589" s="1"/>
      <c r="CX589" s="14"/>
      <c r="CY589" s="1"/>
      <c r="CZ589" s="1"/>
      <c r="DA589" s="1"/>
      <c r="DB589" s="1"/>
      <c r="DC589" s="1"/>
      <c r="DD589" s="1"/>
      <c r="DE589" s="1"/>
      <c r="DF589" s="1"/>
      <c r="DG589" s="1"/>
      <c r="DH589" s="1"/>
      <c r="DI589" s="1"/>
      <c r="DJ589" s="1"/>
      <c r="DK589" s="1"/>
      <c r="DL589" s="1"/>
      <c r="DM589" s="1"/>
      <c r="DN589" s="1"/>
      <c r="DO589" s="1"/>
      <c r="DP589" s="1"/>
      <c r="DQ589" s="1"/>
      <c r="DR589" s="1"/>
      <c r="DS589" s="1"/>
      <c r="DT589" s="1"/>
      <c r="DU589" s="14"/>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29"/>
    </row>
    <row r="590" spans="1:160" x14ac:dyDescent="0.25">
      <c r="A590" s="5"/>
      <c r="B590" s="1"/>
      <c r="C590" s="98"/>
      <c r="D590" s="98"/>
      <c r="E590" s="1"/>
      <c r="F590" s="22"/>
      <c r="G590" s="22"/>
      <c r="H590" s="22"/>
      <c r="I590" s="22"/>
      <c r="J590" s="22"/>
      <c r="K590" s="22"/>
      <c r="L590" s="22"/>
      <c r="M590" s="22"/>
      <c r="N590" s="22"/>
      <c r="O590" s="22"/>
      <c r="P590" s="22"/>
      <c r="Q590" s="22"/>
      <c r="R590" s="1"/>
      <c r="S590" s="1"/>
      <c r="T590" s="8"/>
      <c r="U590" s="1"/>
      <c r="V590" s="1"/>
      <c r="W590" s="1"/>
      <c r="X590" s="1"/>
      <c r="Y590" s="1"/>
      <c r="Z590" s="1"/>
      <c r="AA590" s="1"/>
      <c r="AC590" s="1"/>
      <c r="AD590" s="1"/>
      <c r="AE590" s="1"/>
      <c r="AF590" s="1"/>
      <c r="AG590" s="1"/>
      <c r="AH590" s="26"/>
      <c r="AI590" s="26"/>
      <c r="AJ590" s="26"/>
      <c r="AK590" s="26"/>
      <c r="AL590" s="26"/>
      <c r="AM590" s="26"/>
      <c r="AN590" s="26"/>
      <c r="AO590" s="26"/>
      <c r="AP590" s="26"/>
      <c r="AQ590" s="26"/>
      <c r="AR590" s="26"/>
      <c r="AS590" s="26"/>
      <c r="AT590" s="26"/>
      <c r="AU590" s="26"/>
      <c r="AV590" s="26"/>
      <c r="AW590" s="26"/>
      <c r="AX590" s="26"/>
      <c r="AY590" s="1"/>
      <c r="AZ590" s="26"/>
      <c r="BA590" s="26"/>
      <c r="BB590" s="26"/>
      <c r="BC590" s="26"/>
      <c r="BD590" s="26"/>
      <c r="BE590" s="26"/>
      <c r="BF590" s="26"/>
      <c r="BG590" s="26"/>
      <c r="BH590" s="26"/>
      <c r="BI590" s="26"/>
      <c r="BJ590" s="26"/>
      <c r="BK590" s="26"/>
      <c r="BL590" s="26"/>
      <c r="BM590" s="26"/>
      <c r="BN590" s="26"/>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96"/>
      <c r="CP590" s="14"/>
      <c r="CQ590" s="14"/>
      <c r="CR590" s="14"/>
      <c r="CS590" s="14"/>
      <c r="CT590" s="1"/>
      <c r="CU590" s="14"/>
      <c r="CV590" s="1"/>
      <c r="CW590" s="1"/>
      <c r="CX590" s="14"/>
      <c r="CY590" s="1"/>
      <c r="CZ590" s="1"/>
      <c r="DA590" s="1"/>
      <c r="DB590" s="1"/>
      <c r="DC590" s="1"/>
      <c r="DD590" s="1"/>
      <c r="DE590" s="1"/>
      <c r="DF590" s="1"/>
      <c r="DG590" s="1"/>
      <c r="DH590" s="1"/>
      <c r="DI590" s="1"/>
      <c r="DJ590" s="1"/>
      <c r="DK590" s="1"/>
      <c r="DL590" s="1"/>
      <c r="DM590" s="1"/>
      <c r="DN590" s="1"/>
      <c r="DO590" s="1"/>
      <c r="DP590" s="1"/>
      <c r="DQ590" s="1"/>
      <c r="DR590" s="1"/>
      <c r="DS590" s="1"/>
      <c r="DT590" s="1"/>
      <c r="DU590" s="14"/>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29"/>
    </row>
    <row r="591" spans="1:160" x14ac:dyDescent="0.25">
      <c r="A591" s="5"/>
      <c r="B591" s="1"/>
      <c r="C591" s="98"/>
      <c r="D591" s="98"/>
      <c r="E591" s="1"/>
      <c r="F591" s="22"/>
      <c r="G591" s="22"/>
      <c r="H591" s="22"/>
      <c r="I591" s="22"/>
      <c r="J591" s="22"/>
      <c r="K591" s="22"/>
      <c r="L591" s="22"/>
      <c r="M591" s="22"/>
      <c r="N591" s="22"/>
      <c r="O591" s="22"/>
      <c r="P591" s="22"/>
      <c r="Q591" s="22"/>
      <c r="R591" s="1"/>
      <c r="S591" s="1"/>
      <c r="T591" s="8"/>
      <c r="U591" s="1"/>
      <c r="V591" s="1"/>
      <c r="W591" s="1"/>
      <c r="X591" s="1"/>
      <c r="Y591" s="1"/>
      <c r="Z591" s="1"/>
      <c r="AA591" s="1"/>
      <c r="AC591" s="1"/>
      <c r="AD591" s="1"/>
      <c r="AE591" s="1"/>
      <c r="AF591" s="1"/>
      <c r="AG591" s="1"/>
      <c r="AH591" s="26"/>
      <c r="AI591" s="26"/>
      <c r="AJ591" s="26"/>
      <c r="AK591" s="26"/>
      <c r="AL591" s="26"/>
      <c r="AM591" s="26"/>
      <c r="AN591" s="26"/>
      <c r="AO591" s="26"/>
      <c r="AP591" s="26"/>
      <c r="AQ591" s="26"/>
      <c r="AR591" s="26"/>
      <c r="AS591" s="26"/>
      <c r="AT591" s="26"/>
      <c r="AU591" s="26"/>
      <c r="AV591" s="26"/>
      <c r="AW591" s="26"/>
      <c r="AX591" s="26"/>
      <c r="AY591" s="1"/>
      <c r="AZ591" s="26"/>
      <c r="BA591" s="26"/>
      <c r="BB591" s="26"/>
      <c r="BC591" s="26"/>
      <c r="BD591" s="26"/>
      <c r="BE591" s="26"/>
      <c r="BF591" s="26"/>
      <c r="BG591" s="26"/>
      <c r="BH591" s="26"/>
      <c r="BI591" s="26"/>
      <c r="BJ591" s="26"/>
      <c r="BK591" s="26"/>
      <c r="BL591" s="26"/>
      <c r="BM591" s="26"/>
      <c r="BN591" s="26"/>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96"/>
      <c r="CP591" s="14"/>
      <c r="CQ591" s="14"/>
      <c r="CR591" s="14"/>
      <c r="CS591" s="14"/>
      <c r="CT591" s="1"/>
      <c r="CU591" s="14"/>
      <c r="CV591" s="1"/>
      <c r="CW591" s="1"/>
      <c r="CX591" s="14"/>
      <c r="CY591" s="1"/>
      <c r="CZ591" s="1"/>
      <c r="DA591" s="1"/>
      <c r="DB591" s="1"/>
      <c r="DC591" s="1"/>
      <c r="DD591" s="1"/>
      <c r="DE591" s="1"/>
      <c r="DF591" s="1"/>
      <c r="DG591" s="1"/>
      <c r="DH591" s="1"/>
      <c r="DI591" s="1"/>
      <c r="DJ591" s="1"/>
      <c r="DK591" s="1"/>
      <c r="DL591" s="1"/>
      <c r="DM591" s="1"/>
      <c r="DN591" s="1"/>
      <c r="DO591" s="1"/>
      <c r="DP591" s="1"/>
      <c r="DQ591" s="1"/>
      <c r="DR591" s="1"/>
      <c r="DS591" s="1"/>
      <c r="DT591" s="1"/>
      <c r="DU591" s="14"/>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29"/>
    </row>
    <row r="592" spans="1:160" x14ac:dyDescent="0.25">
      <c r="A592" s="5"/>
      <c r="B592" s="1"/>
      <c r="C592" s="98"/>
      <c r="D592" s="98"/>
      <c r="E592" s="1"/>
      <c r="F592" s="22"/>
      <c r="G592" s="22"/>
      <c r="H592" s="22"/>
      <c r="I592" s="22"/>
      <c r="J592" s="22"/>
      <c r="K592" s="22"/>
      <c r="L592" s="22"/>
      <c r="M592" s="22"/>
      <c r="N592" s="22"/>
      <c r="O592" s="22"/>
      <c r="P592" s="22"/>
      <c r="Q592" s="22"/>
      <c r="R592" s="1"/>
      <c r="S592" s="1"/>
      <c r="T592" s="8"/>
      <c r="U592" s="1"/>
      <c r="V592" s="1"/>
      <c r="W592" s="1"/>
      <c r="X592" s="1"/>
      <c r="Y592" s="1"/>
      <c r="Z592" s="1"/>
      <c r="AA592" s="1"/>
      <c r="AC592" s="1"/>
      <c r="AD592" s="1"/>
      <c r="AE592" s="1"/>
      <c r="AF592" s="1"/>
      <c r="AG592" s="1"/>
      <c r="AH592" s="26"/>
      <c r="AI592" s="26"/>
      <c r="AJ592" s="26"/>
      <c r="AK592" s="26"/>
      <c r="AL592" s="26"/>
      <c r="AM592" s="26"/>
      <c r="AN592" s="26"/>
      <c r="AO592" s="26"/>
      <c r="AP592" s="26"/>
      <c r="AQ592" s="26"/>
      <c r="AR592" s="26"/>
      <c r="AS592" s="26"/>
      <c r="AT592" s="26"/>
      <c r="AU592" s="26"/>
      <c r="AV592" s="26"/>
      <c r="AW592" s="26"/>
      <c r="AX592" s="26"/>
      <c r="AY592" s="1"/>
      <c r="AZ592" s="26"/>
      <c r="BA592" s="26"/>
      <c r="BB592" s="26"/>
      <c r="BC592" s="26"/>
      <c r="BD592" s="26"/>
      <c r="BE592" s="26"/>
      <c r="BF592" s="26"/>
      <c r="BG592" s="26"/>
      <c r="BH592" s="26"/>
      <c r="BI592" s="26"/>
      <c r="BJ592" s="26"/>
      <c r="BK592" s="26"/>
      <c r="BL592" s="26"/>
      <c r="BM592" s="26"/>
      <c r="BN592" s="26"/>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96"/>
      <c r="CP592" s="14"/>
      <c r="CQ592" s="14"/>
      <c r="CR592" s="14"/>
      <c r="CS592" s="14"/>
      <c r="CT592" s="1"/>
      <c r="CU592" s="14"/>
      <c r="CV592" s="1"/>
      <c r="CW592" s="1"/>
      <c r="CX592" s="14"/>
      <c r="CY592" s="1"/>
      <c r="CZ592" s="1"/>
      <c r="DA592" s="1"/>
      <c r="DB592" s="1"/>
      <c r="DC592" s="1"/>
      <c r="DD592" s="1"/>
      <c r="DE592" s="1"/>
      <c r="DF592" s="1"/>
      <c r="DG592" s="1"/>
      <c r="DH592" s="1"/>
      <c r="DI592" s="1"/>
      <c r="DJ592" s="1"/>
      <c r="DK592" s="1"/>
      <c r="DL592" s="1"/>
      <c r="DM592" s="1"/>
      <c r="DN592" s="1"/>
      <c r="DO592" s="1"/>
      <c r="DP592" s="1"/>
      <c r="DQ592" s="1"/>
      <c r="DR592" s="1"/>
      <c r="DS592" s="1"/>
      <c r="DT592" s="1"/>
      <c r="DU592" s="14"/>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29"/>
    </row>
    <row r="593" spans="1:160" x14ac:dyDescent="0.25">
      <c r="A593" s="5"/>
      <c r="B593" s="1"/>
      <c r="C593" s="98"/>
      <c r="D593" s="98"/>
      <c r="E593" s="1"/>
      <c r="F593" s="22"/>
      <c r="G593" s="22"/>
      <c r="H593" s="22"/>
      <c r="I593" s="22"/>
      <c r="J593" s="22"/>
      <c r="K593" s="22"/>
      <c r="L593" s="22"/>
      <c r="M593" s="22"/>
      <c r="N593" s="22"/>
      <c r="O593" s="22"/>
      <c r="P593" s="22"/>
      <c r="Q593" s="22"/>
      <c r="R593" s="1"/>
      <c r="S593" s="1"/>
      <c r="T593" s="8"/>
      <c r="U593" s="1"/>
      <c r="V593" s="1"/>
      <c r="W593" s="1"/>
      <c r="X593" s="1"/>
      <c r="Y593" s="1"/>
      <c r="Z593" s="1"/>
      <c r="AA593" s="1"/>
      <c r="AC593" s="1"/>
      <c r="AD593" s="1"/>
      <c r="AE593" s="1"/>
      <c r="AF593" s="1"/>
      <c r="AG593" s="1"/>
      <c r="AH593" s="26"/>
      <c r="AI593" s="26"/>
      <c r="AJ593" s="26"/>
      <c r="AK593" s="26"/>
      <c r="AL593" s="26"/>
      <c r="AM593" s="26"/>
      <c r="AN593" s="26"/>
      <c r="AO593" s="26"/>
      <c r="AP593" s="26"/>
      <c r="AQ593" s="26"/>
      <c r="AR593" s="26"/>
      <c r="AS593" s="26"/>
      <c r="AT593" s="26"/>
      <c r="AU593" s="26"/>
      <c r="AV593" s="26"/>
      <c r="AW593" s="26"/>
      <c r="AX593" s="26"/>
      <c r="AY593" s="1"/>
      <c r="AZ593" s="26"/>
      <c r="BA593" s="26"/>
      <c r="BB593" s="26"/>
      <c r="BC593" s="26"/>
      <c r="BD593" s="26"/>
      <c r="BE593" s="26"/>
      <c r="BF593" s="26"/>
      <c r="BG593" s="26"/>
      <c r="BH593" s="26"/>
      <c r="BI593" s="26"/>
      <c r="BJ593" s="26"/>
      <c r="BK593" s="26"/>
      <c r="BL593" s="26"/>
      <c r="BM593" s="26"/>
      <c r="BN593" s="26"/>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96"/>
      <c r="CP593" s="14"/>
      <c r="CQ593" s="14"/>
      <c r="CR593" s="14"/>
      <c r="CS593" s="14"/>
      <c r="CT593" s="1"/>
      <c r="CU593" s="14"/>
      <c r="CV593" s="1"/>
      <c r="CW593" s="1"/>
      <c r="CX593" s="14"/>
      <c r="CY593" s="1"/>
      <c r="CZ593" s="1"/>
      <c r="DA593" s="1"/>
      <c r="DB593" s="1"/>
      <c r="DC593" s="1"/>
      <c r="DD593" s="1"/>
      <c r="DE593" s="1"/>
      <c r="DF593" s="1"/>
      <c r="DG593" s="1"/>
      <c r="DH593" s="1"/>
      <c r="DI593" s="1"/>
      <c r="DJ593" s="1"/>
      <c r="DK593" s="1"/>
      <c r="DL593" s="1"/>
      <c r="DM593" s="1"/>
      <c r="DN593" s="1"/>
      <c r="DO593" s="1"/>
      <c r="DP593" s="1"/>
      <c r="DQ593" s="1"/>
      <c r="DR593" s="1"/>
      <c r="DS593" s="1"/>
      <c r="DT593" s="1"/>
      <c r="DU593" s="14"/>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29"/>
    </row>
    <row r="594" spans="1:160" x14ac:dyDescent="0.25">
      <c r="A594" s="5"/>
      <c r="B594" s="1"/>
      <c r="C594" s="98"/>
      <c r="D594" s="98"/>
      <c r="E594" s="1"/>
      <c r="F594" s="22"/>
      <c r="G594" s="22"/>
      <c r="H594" s="22"/>
      <c r="I594" s="22"/>
      <c r="J594" s="22"/>
      <c r="K594" s="22"/>
      <c r="L594" s="22"/>
      <c r="M594" s="22"/>
      <c r="N594" s="22"/>
      <c r="O594" s="22"/>
      <c r="P594" s="22"/>
      <c r="Q594" s="22"/>
      <c r="R594" s="1"/>
      <c r="S594" s="1"/>
      <c r="T594" s="8"/>
      <c r="U594" s="1"/>
      <c r="V594" s="1"/>
      <c r="W594" s="1"/>
      <c r="X594" s="1"/>
      <c r="Y594" s="1"/>
      <c r="Z594" s="1"/>
      <c r="AA594" s="1"/>
      <c r="AC594" s="1"/>
      <c r="AD594" s="1"/>
      <c r="AE594" s="1"/>
      <c r="AF594" s="1"/>
      <c r="AG594" s="1"/>
      <c r="AH594" s="26"/>
      <c r="AI594" s="26"/>
      <c r="AJ594" s="26"/>
      <c r="AK594" s="26"/>
      <c r="AL594" s="26"/>
      <c r="AM594" s="26"/>
      <c r="AN594" s="26"/>
      <c r="AO594" s="26"/>
      <c r="AP594" s="26"/>
      <c r="AQ594" s="26"/>
      <c r="AR594" s="26"/>
      <c r="AS594" s="26"/>
      <c r="AT594" s="26"/>
      <c r="AU594" s="26"/>
      <c r="AV594" s="26"/>
      <c r="AW594" s="26"/>
      <c r="AX594" s="26"/>
      <c r="AY594" s="1"/>
      <c r="AZ594" s="26"/>
      <c r="BA594" s="26"/>
      <c r="BB594" s="26"/>
      <c r="BC594" s="26"/>
      <c r="BD594" s="26"/>
      <c r="BE594" s="26"/>
      <c r="BF594" s="26"/>
      <c r="BG594" s="26"/>
      <c r="BH594" s="26"/>
      <c r="BI594" s="26"/>
      <c r="BJ594" s="26"/>
      <c r="BK594" s="26"/>
      <c r="BL594" s="26"/>
      <c r="BM594" s="26"/>
      <c r="BN594" s="26"/>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96"/>
      <c r="CP594" s="14"/>
      <c r="CQ594" s="14"/>
      <c r="CR594" s="14"/>
      <c r="CS594" s="14"/>
      <c r="CT594" s="1"/>
      <c r="CU594" s="14"/>
      <c r="CV594" s="1"/>
      <c r="CW594" s="1"/>
      <c r="CX594" s="14"/>
      <c r="CY594" s="1"/>
      <c r="CZ594" s="1"/>
      <c r="DA594" s="1"/>
      <c r="DB594" s="1"/>
      <c r="DC594" s="1"/>
      <c r="DD594" s="1"/>
      <c r="DE594" s="1"/>
      <c r="DF594" s="1"/>
      <c r="DG594" s="1"/>
      <c r="DH594" s="1"/>
      <c r="DI594" s="1"/>
      <c r="DJ594" s="1"/>
      <c r="DK594" s="1"/>
      <c r="DL594" s="1"/>
      <c r="DM594" s="1"/>
      <c r="DN594" s="1"/>
      <c r="DO594" s="1"/>
      <c r="DP594" s="1"/>
      <c r="DQ594" s="1"/>
      <c r="DR594" s="1"/>
      <c r="DS594" s="1"/>
      <c r="DT594" s="1"/>
      <c r="DU594" s="14"/>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29"/>
    </row>
    <row r="595" spans="1:160" x14ac:dyDescent="0.25">
      <c r="A595" s="5"/>
      <c r="B595" s="1"/>
      <c r="C595" s="98"/>
      <c r="D595" s="98"/>
      <c r="E595" s="1"/>
      <c r="F595" s="22"/>
      <c r="G595" s="22"/>
      <c r="H595" s="22"/>
      <c r="I595" s="22"/>
      <c r="J595" s="22"/>
      <c r="K595" s="22"/>
      <c r="L595" s="22"/>
      <c r="M595" s="22"/>
      <c r="N595" s="22"/>
      <c r="O595" s="22"/>
      <c r="P595" s="22"/>
      <c r="Q595" s="22"/>
      <c r="R595" s="1"/>
      <c r="S595" s="1"/>
      <c r="T595" s="8"/>
      <c r="U595" s="1"/>
      <c r="V595" s="1"/>
      <c r="W595" s="1"/>
      <c r="X595" s="1"/>
      <c r="Y595" s="1"/>
      <c r="Z595" s="1"/>
      <c r="AA595" s="1"/>
      <c r="AC595" s="1"/>
      <c r="AD595" s="1"/>
      <c r="AE595" s="1"/>
      <c r="AF595" s="1"/>
      <c r="AG595" s="1"/>
      <c r="AH595" s="26"/>
      <c r="AI595" s="26"/>
      <c r="AJ595" s="26"/>
      <c r="AK595" s="26"/>
      <c r="AL595" s="26"/>
      <c r="AM595" s="26"/>
      <c r="AN595" s="26"/>
      <c r="AO595" s="26"/>
      <c r="AP595" s="26"/>
      <c r="AQ595" s="26"/>
      <c r="AR595" s="26"/>
      <c r="AS595" s="26"/>
      <c r="AT595" s="26"/>
      <c r="AU595" s="26"/>
      <c r="AV595" s="26"/>
      <c r="AW595" s="26"/>
      <c r="AX595" s="26"/>
      <c r="AY595" s="1"/>
      <c r="AZ595" s="26"/>
      <c r="BA595" s="26"/>
      <c r="BB595" s="26"/>
      <c r="BC595" s="26"/>
      <c r="BD595" s="26"/>
      <c r="BE595" s="26"/>
      <c r="BF595" s="26"/>
      <c r="BG595" s="26"/>
      <c r="BH595" s="26"/>
      <c r="BI595" s="26"/>
      <c r="BJ595" s="26"/>
      <c r="BK595" s="26"/>
      <c r="BL595" s="26"/>
      <c r="BM595" s="26"/>
      <c r="BN595" s="26"/>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96"/>
      <c r="CP595" s="14"/>
      <c r="CQ595" s="14"/>
      <c r="CR595" s="14"/>
      <c r="CS595" s="14"/>
      <c r="CT595" s="1"/>
      <c r="CU595" s="14"/>
      <c r="CV595" s="1"/>
      <c r="CW595" s="1"/>
      <c r="CX595" s="14"/>
      <c r="CY595" s="1"/>
      <c r="CZ595" s="1"/>
      <c r="DA595" s="1"/>
      <c r="DB595" s="1"/>
      <c r="DC595" s="1"/>
      <c r="DD595" s="1"/>
      <c r="DE595" s="1"/>
      <c r="DF595" s="1"/>
      <c r="DG595" s="1"/>
      <c r="DH595" s="1"/>
      <c r="DI595" s="1"/>
      <c r="DJ595" s="1"/>
      <c r="DK595" s="1"/>
      <c r="DL595" s="1"/>
      <c r="DM595" s="1"/>
      <c r="DN595" s="1"/>
      <c r="DO595" s="1"/>
      <c r="DP595" s="1"/>
      <c r="DQ595" s="1"/>
      <c r="DR595" s="1"/>
      <c r="DS595" s="1"/>
      <c r="DT595" s="1"/>
      <c r="DU595" s="14"/>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29"/>
    </row>
    <row r="596" spans="1:160" x14ac:dyDescent="0.25">
      <c r="A596" s="5"/>
      <c r="B596" s="1"/>
      <c r="C596" s="98"/>
      <c r="D596" s="98"/>
      <c r="E596" s="1"/>
      <c r="F596" s="22"/>
      <c r="G596" s="22"/>
      <c r="H596" s="22"/>
      <c r="I596" s="22"/>
      <c r="J596" s="22"/>
      <c r="K596" s="22"/>
      <c r="L596" s="22"/>
      <c r="M596" s="22"/>
      <c r="N596" s="22"/>
      <c r="O596" s="22"/>
      <c r="P596" s="22"/>
      <c r="Q596" s="22"/>
      <c r="R596" s="1"/>
      <c r="S596" s="1"/>
      <c r="T596" s="8"/>
      <c r="U596" s="1"/>
      <c r="V596" s="1"/>
      <c r="W596" s="1"/>
      <c r="X596" s="1"/>
      <c r="Y596" s="1"/>
      <c r="Z596" s="1"/>
      <c r="AA596" s="1"/>
      <c r="AC596" s="1"/>
      <c r="AD596" s="1"/>
      <c r="AE596" s="1"/>
      <c r="AF596" s="1"/>
      <c r="AG596" s="1"/>
      <c r="AH596" s="26"/>
      <c r="AI596" s="26"/>
      <c r="AJ596" s="26"/>
      <c r="AK596" s="26"/>
      <c r="AL596" s="26"/>
      <c r="AM596" s="26"/>
      <c r="AN596" s="26"/>
      <c r="AO596" s="26"/>
      <c r="AP596" s="26"/>
      <c r="AQ596" s="26"/>
      <c r="AR596" s="26"/>
      <c r="AS596" s="26"/>
      <c r="AT596" s="26"/>
      <c r="AU596" s="26"/>
      <c r="AV596" s="26"/>
      <c r="AW596" s="26"/>
      <c r="AX596" s="26"/>
      <c r="AY596" s="1"/>
      <c r="AZ596" s="26"/>
      <c r="BA596" s="26"/>
      <c r="BB596" s="26"/>
      <c r="BC596" s="26"/>
      <c r="BD596" s="26"/>
      <c r="BE596" s="26"/>
      <c r="BF596" s="26"/>
      <c r="BG596" s="26"/>
      <c r="BH596" s="26"/>
      <c r="BI596" s="26"/>
      <c r="BJ596" s="26"/>
      <c r="BK596" s="26"/>
      <c r="BL596" s="26"/>
      <c r="BM596" s="26"/>
      <c r="BN596" s="26"/>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96"/>
      <c r="CP596" s="14"/>
      <c r="CQ596" s="14"/>
      <c r="CR596" s="14"/>
      <c r="CS596" s="14"/>
      <c r="CT596" s="1"/>
      <c r="CU596" s="14"/>
      <c r="CV596" s="1"/>
      <c r="CW596" s="1"/>
      <c r="CX596" s="14"/>
      <c r="CY596" s="1"/>
      <c r="CZ596" s="1"/>
      <c r="DA596" s="1"/>
      <c r="DB596" s="1"/>
      <c r="DC596" s="1"/>
      <c r="DD596" s="1"/>
      <c r="DE596" s="1"/>
      <c r="DF596" s="1"/>
      <c r="DG596" s="1"/>
      <c r="DH596" s="1"/>
      <c r="DI596" s="1"/>
      <c r="DJ596" s="1"/>
      <c r="DK596" s="1"/>
      <c r="DL596" s="1"/>
      <c r="DM596" s="1"/>
      <c r="DN596" s="1"/>
      <c r="DO596" s="1"/>
      <c r="DP596" s="1"/>
      <c r="DQ596" s="1"/>
      <c r="DR596" s="1"/>
      <c r="DS596" s="1"/>
      <c r="DT596" s="1"/>
      <c r="DU596" s="14"/>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29"/>
    </row>
    <row r="597" spans="1:160" x14ac:dyDescent="0.25">
      <c r="A597" s="5"/>
      <c r="B597" s="1"/>
      <c r="C597" s="98"/>
      <c r="D597" s="98"/>
      <c r="E597" s="1"/>
      <c r="F597" s="22"/>
      <c r="G597" s="22"/>
      <c r="H597" s="22"/>
      <c r="I597" s="22"/>
      <c r="J597" s="22"/>
      <c r="K597" s="22"/>
      <c r="L597" s="22"/>
      <c r="M597" s="22"/>
      <c r="N597" s="22"/>
      <c r="O597" s="22"/>
      <c r="P597" s="22"/>
      <c r="Q597" s="22"/>
      <c r="R597" s="1"/>
      <c r="S597" s="1"/>
      <c r="T597" s="8"/>
      <c r="U597" s="1"/>
      <c r="V597" s="1"/>
      <c r="W597" s="1"/>
      <c r="X597" s="1"/>
      <c r="Y597" s="1"/>
      <c r="Z597" s="1"/>
      <c r="AA597" s="1"/>
      <c r="AC597" s="1"/>
      <c r="AD597" s="1"/>
      <c r="AE597" s="1"/>
      <c r="AF597" s="1"/>
      <c r="AG597" s="1"/>
      <c r="AH597" s="26"/>
      <c r="AI597" s="26"/>
      <c r="AJ597" s="26"/>
      <c r="AK597" s="26"/>
      <c r="AL597" s="26"/>
      <c r="AM597" s="26"/>
      <c r="AN597" s="26"/>
      <c r="AO597" s="26"/>
      <c r="AP597" s="26"/>
      <c r="AQ597" s="26"/>
      <c r="AR597" s="26"/>
      <c r="AS597" s="26"/>
      <c r="AT597" s="26"/>
      <c r="AU597" s="26"/>
      <c r="AV597" s="26"/>
      <c r="AW597" s="26"/>
      <c r="AX597" s="26"/>
      <c r="AY597" s="1"/>
      <c r="AZ597" s="26"/>
      <c r="BA597" s="26"/>
      <c r="BB597" s="26"/>
      <c r="BC597" s="26"/>
      <c r="BD597" s="26"/>
      <c r="BE597" s="26"/>
      <c r="BF597" s="26"/>
      <c r="BG597" s="26"/>
      <c r="BH597" s="26"/>
      <c r="BI597" s="26"/>
      <c r="BJ597" s="26"/>
      <c r="BK597" s="26"/>
      <c r="BL597" s="26"/>
      <c r="BM597" s="26"/>
      <c r="BN597" s="26"/>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96"/>
      <c r="CP597" s="14"/>
      <c r="CQ597" s="14"/>
      <c r="CR597" s="14"/>
      <c r="CS597" s="14"/>
      <c r="CT597" s="1"/>
      <c r="CU597" s="14"/>
      <c r="CV597" s="1"/>
      <c r="CW597" s="1"/>
      <c r="CX597" s="14"/>
      <c r="CY597" s="1"/>
      <c r="CZ597" s="1"/>
      <c r="DA597" s="1"/>
      <c r="DB597" s="1"/>
      <c r="DC597" s="1"/>
      <c r="DD597" s="1"/>
      <c r="DE597" s="1"/>
      <c r="DF597" s="1"/>
      <c r="DG597" s="1"/>
      <c r="DH597" s="1"/>
      <c r="DI597" s="1"/>
      <c r="DJ597" s="1"/>
      <c r="DK597" s="1"/>
      <c r="DL597" s="1"/>
      <c r="DM597" s="1"/>
      <c r="DN597" s="1"/>
      <c r="DO597" s="1"/>
      <c r="DP597" s="1"/>
      <c r="DQ597" s="1"/>
      <c r="DR597" s="1"/>
      <c r="DS597" s="1"/>
      <c r="DT597" s="1"/>
      <c r="DU597" s="14"/>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29"/>
    </row>
    <row r="598" spans="1:160" x14ac:dyDescent="0.25">
      <c r="A598" s="5"/>
      <c r="B598" s="1"/>
      <c r="C598" s="98"/>
      <c r="D598" s="98"/>
      <c r="E598" s="1"/>
      <c r="F598" s="22"/>
      <c r="G598" s="22"/>
      <c r="H598" s="22"/>
      <c r="I598" s="22"/>
      <c r="J598" s="22"/>
      <c r="K598" s="22"/>
      <c r="L598" s="22"/>
      <c r="M598" s="22"/>
      <c r="N598" s="22"/>
      <c r="O598" s="22"/>
      <c r="P598" s="22"/>
      <c r="Q598" s="22"/>
      <c r="R598" s="1"/>
      <c r="S598" s="1"/>
      <c r="T598" s="8"/>
      <c r="U598" s="1"/>
      <c r="V598" s="1"/>
      <c r="W598" s="1"/>
      <c r="X598" s="1"/>
      <c r="Y598" s="1"/>
      <c r="Z598" s="1"/>
      <c r="AA598" s="1"/>
      <c r="AC598" s="1"/>
      <c r="AD598" s="1"/>
      <c r="AE598" s="1"/>
      <c r="AF598" s="1"/>
      <c r="AG598" s="1"/>
      <c r="AH598" s="26"/>
      <c r="AI598" s="26"/>
      <c r="AJ598" s="26"/>
      <c r="AK598" s="26"/>
      <c r="AL598" s="26"/>
      <c r="AM598" s="26"/>
      <c r="AN598" s="26"/>
      <c r="AO598" s="26"/>
      <c r="AP598" s="26"/>
      <c r="AQ598" s="26"/>
      <c r="AR598" s="26"/>
      <c r="AS598" s="26"/>
      <c r="AT598" s="26"/>
      <c r="AU598" s="26"/>
      <c r="AV598" s="26"/>
      <c r="AW598" s="26"/>
      <c r="AX598" s="26"/>
      <c r="AY598" s="1"/>
      <c r="AZ598" s="26"/>
      <c r="BA598" s="26"/>
      <c r="BB598" s="26"/>
      <c r="BC598" s="26"/>
      <c r="BD598" s="26"/>
      <c r="BE598" s="26"/>
      <c r="BF598" s="26"/>
      <c r="BG598" s="26"/>
      <c r="BH598" s="26"/>
      <c r="BI598" s="26"/>
      <c r="BJ598" s="26"/>
      <c r="BK598" s="26"/>
      <c r="BL598" s="26"/>
      <c r="BM598" s="26"/>
      <c r="BN598" s="26"/>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96"/>
      <c r="CP598" s="14"/>
      <c r="CQ598" s="14"/>
      <c r="CR598" s="14"/>
      <c r="CS598" s="14"/>
      <c r="CT598" s="1"/>
      <c r="CU598" s="14"/>
      <c r="CV598" s="1"/>
      <c r="CW598" s="1"/>
      <c r="CX598" s="14"/>
      <c r="CY598" s="1"/>
      <c r="CZ598" s="1"/>
      <c r="DA598" s="1"/>
      <c r="DB598" s="1"/>
      <c r="DC598" s="1"/>
      <c r="DD598" s="1"/>
      <c r="DE598" s="1"/>
      <c r="DF598" s="1"/>
      <c r="DG598" s="1"/>
      <c r="DH598" s="1"/>
      <c r="DI598" s="1"/>
      <c r="DJ598" s="1"/>
      <c r="DK598" s="1"/>
      <c r="DL598" s="1"/>
      <c r="DM598" s="1"/>
      <c r="DN598" s="1"/>
      <c r="DO598" s="1"/>
      <c r="DP598" s="1"/>
      <c r="DQ598" s="1"/>
      <c r="DR598" s="1"/>
      <c r="DS598" s="1"/>
      <c r="DT598" s="1"/>
      <c r="DU598" s="14"/>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29"/>
    </row>
    <row r="599" spans="1:160" x14ac:dyDescent="0.25">
      <c r="A599" s="5"/>
      <c r="B599" s="1"/>
      <c r="C599" s="98"/>
      <c r="D599" s="98"/>
      <c r="E599" s="1"/>
      <c r="F599" s="22"/>
      <c r="G599" s="22"/>
      <c r="H599" s="22"/>
      <c r="I599" s="22"/>
      <c r="J599" s="22"/>
      <c r="K599" s="22"/>
      <c r="L599" s="22"/>
      <c r="M599" s="22"/>
      <c r="N599" s="22"/>
      <c r="O599" s="22"/>
      <c r="P599" s="22"/>
      <c r="Q599" s="22"/>
      <c r="R599" s="1"/>
      <c r="S599" s="1"/>
      <c r="T599" s="8"/>
      <c r="U599" s="1"/>
      <c r="V599" s="1"/>
      <c r="W599" s="1"/>
      <c r="X599" s="1"/>
      <c r="Y599" s="1"/>
      <c r="Z599" s="1"/>
      <c r="AA599" s="1"/>
      <c r="AC599" s="1"/>
      <c r="AD599" s="1"/>
      <c r="AE599" s="1"/>
      <c r="AF599" s="1"/>
      <c r="AG599" s="1"/>
      <c r="AH599" s="26"/>
      <c r="AI599" s="26"/>
      <c r="AJ599" s="26"/>
      <c r="AK599" s="26"/>
      <c r="AL599" s="26"/>
      <c r="AM599" s="26"/>
      <c r="AN599" s="26"/>
      <c r="AO599" s="26"/>
      <c r="AP599" s="26"/>
      <c r="AQ599" s="26"/>
      <c r="AR599" s="26"/>
      <c r="AS599" s="26"/>
      <c r="AT599" s="26"/>
      <c r="AU599" s="26"/>
      <c r="AV599" s="26"/>
      <c r="AW599" s="26"/>
      <c r="AX599" s="26"/>
      <c r="AY599" s="1"/>
      <c r="AZ599" s="26"/>
      <c r="BA599" s="26"/>
      <c r="BB599" s="26"/>
      <c r="BC599" s="26"/>
      <c r="BD599" s="26"/>
      <c r="BE599" s="26"/>
      <c r="BF599" s="26"/>
      <c r="BG599" s="26"/>
      <c r="BH599" s="26"/>
      <c r="BI599" s="26"/>
      <c r="BJ599" s="26"/>
      <c r="BK599" s="26"/>
      <c r="BL599" s="26"/>
      <c r="BM599" s="26"/>
      <c r="BN599" s="26"/>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96"/>
      <c r="CP599" s="14"/>
      <c r="CQ599" s="14"/>
      <c r="CR599" s="14"/>
      <c r="CS599" s="14"/>
      <c r="CT599" s="1"/>
      <c r="CU599" s="14"/>
      <c r="CV599" s="1"/>
      <c r="CW599" s="1"/>
      <c r="CX599" s="14"/>
      <c r="CY599" s="1"/>
      <c r="CZ599" s="1"/>
      <c r="DA599" s="1"/>
      <c r="DB599" s="1"/>
      <c r="DC599" s="1"/>
      <c r="DD599" s="1"/>
      <c r="DE599" s="1"/>
      <c r="DF599" s="1"/>
      <c r="DG599" s="1"/>
      <c r="DH599" s="1"/>
      <c r="DI599" s="1"/>
      <c r="DJ599" s="1"/>
      <c r="DK599" s="1"/>
      <c r="DL599" s="1"/>
      <c r="DM599" s="1"/>
      <c r="DN599" s="1"/>
      <c r="DO599" s="1"/>
      <c r="DP599" s="1"/>
      <c r="DQ599" s="1"/>
      <c r="DR599" s="1"/>
      <c r="DS599" s="1"/>
      <c r="DT599" s="1"/>
      <c r="DU599" s="14"/>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29"/>
    </row>
    <row r="600" spans="1:160" x14ac:dyDescent="0.25">
      <c r="A600" s="5"/>
      <c r="B600" s="1"/>
      <c r="C600" s="98"/>
      <c r="D600" s="98"/>
      <c r="E600" s="1"/>
      <c r="F600" s="22"/>
      <c r="G600" s="22"/>
      <c r="H600" s="22"/>
      <c r="I600" s="22"/>
      <c r="J600" s="22"/>
      <c r="K600" s="22"/>
      <c r="L600" s="22"/>
      <c r="M600" s="22"/>
      <c r="N600" s="22"/>
      <c r="O600" s="22"/>
      <c r="P600" s="22"/>
      <c r="Q600" s="22"/>
      <c r="R600" s="1"/>
      <c r="S600" s="1"/>
      <c r="T600" s="8"/>
      <c r="U600" s="1"/>
      <c r="V600" s="1"/>
      <c r="W600" s="1"/>
      <c r="X600" s="1"/>
      <c r="Y600" s="1"/>
      <c r="Z600" s="1"/>
      <c r="AA600" s="1"/>
      <c r="AC600" s="1"/>
      <c r="AD600" s="1"/>
      <c r="AE600" s="1"/>
      <c r="AF600" s="1"/>
      <c r="AG600" s="1"/>
      <c r="AH600" s="26"/>
      <c r="AI600" s="26"/>
      <c r="AJ600" s="26"/>
      <c r="AK600" s="26"/>
      <c r="AL600" s="26"/>
      <c r="AM600" s="26"/>
      <c r="AN600" s="26"/>
      <c r="AO600" s="26"/>
      <c r="AP600" s="26"/>
      <c r="AQ600" s="26"/>
      <c r="AR600" s="26"/>
      <c r="AS600" s="26"/>
      <c r="AT600" s="26"/>
      <c r="AU600" s="26"/>
      <c r="AV600" s="26"/>
      <c r="AW600" s="26"/>
      <c r="AX600" s="26"/>
      <c r="AY600" s="1"/>
      <c r="AZ600" s="26"/>
      <c r="BA600" s="26"/>
      <c r="BB600" s="26"/>
      <c r="BC600" s="26"/>
      <c r="BD600" s="26"/>
      <c r="BE600" s="26"/>
      <c r="BF600" s="26"/>
      <c r="BG600" s="26"/>
      <c r="BH600" s="26"/>
      <c r="BI600" s="26"/>
      <c r="BJ600" s="26"/>
      <c r="BK600" s="26"/>
      <c r="BL600" s="26"/>
      <c r="BM600" s="26"/>
      <c r="BN600" s="26"/>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96"/>
      <c r="CP600" s="14"/>
      <c r="CQ600" s="14"/>
      <c r="CR600" s="14"/>
      <c r="CS600" s="14"/>
      <c r="CT600" s="1"/>
      <c r="CU600" s="14"/>
      <c r="CV600" s="1"/>
      <c r="CW600" s="1"/>
      <c r="CX600" s="14"/>
      <c r="CY600" s="1"/>
      <c r="CZ600" s="1"/>
      <c r="DA600" s="1"/>
      <c r="DB600" s="1"/>
      <c r="DC600" s="1"/>
      <c r="DD600" s="1"/>
      <c r="DE600" s="1"/>
      <c r="DF600" s="1"/>
      <c r="DG600" s="1"/>
      <c r="DH600" s="1"/>
      <c r="DI600" s="1"/>
      <c r="DJ600" s="1"/>
      <c r="DK600" s="1"/>
      <c r="DL600" s="1"/>
      <c r="DM600" s="1"/>
      <c r="DN600" s="1"/>
      <c r="DO600" s="1"/>
      <c r="DP600" s="1"/>
      <c r="DQ600" s="1"/>
      <c r="DR600" s="1"/>
      <c r="DS600" s="1"/>
      <c r="DT600" s="1"/>
      <c r="DU600" s="14"/>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29"/>
    </row>
    <row r="601" spans="1:160" x14ac:dyDescent="0.25">
      <c r="A601" s="5"/>
      <c r="B601" s="1"/>
      <c r="C601" s="98"/>
      <c r="D601" s="98"/>
      <c r="E601" s="1"/>
      <c r="F601" s="22"/>
      <c r="G601" s="22"/>
      <c r="H601" s="22"/>
      <c r="I601" s="22"/>
      <c r="J601" s="22"/>
      <c r="K601" s="22"/>
      <c r="L601" s="22"/>
      <c r="M601" s="22"/>
      <c r="N601" s="22"/>
      <c r="O601" s="22"/>
      <c r="P601" s="22"/>
      <c r="Q601" s="22"/>
      <c r="R601" s="1"/>
      <c r="S601" s="1"/>
      <c r="T601" s="8"/>
      <c r="U601" s="1"/>
      <c r="V601" s="1"/>
      <c r="W601" s="1"/>
      <c r="X601" s="1"/>
      <c r="Y601" s="1"/>
      <c r="Z601" s="1"/>
      <c r="AA601" s="1"/>
      <c r="AC601" s="1"/>
      <c r="AD601" s="1"/>
      <c r="AE601" s="1"/>
      <c r="AF601" s="1"/>
      <c r="AG601" s="1"/>
      <c r="AH601" s="26"/>
      <c r="AI601" s="26"/>
      <c r="AJ601" s="26"/>
      <c r="AK601" s="26"/>
      <c r="AL601" s="26"/>
      <c r="AM601" s="26"/>
      <c r="AN601" s="26"/>
      <c r="AO601" s="26"/>
      <c r="AP601" s="26"/>
      <c r="AQ601" s="26"/>
      <c r="AR601" s="26"/>
      <c r="AS601" s="26"/>
      <c r="AT601" s="26"/>
      <c r="AU601" s="26"/>
      <c r="AV601" s="26"/>
      <c r="AW601" s="26"/>
      <c r="AX601" s="26"/>
      <c r="AY601" s="1"/>
      <c r="AZ601" s="26"/>
      <c r="BA601" s="26"/>
      <c r="BB601" s="26"/>
      <c r="BC601" s="26"/>
      <c r="BD601" s="26"/>
      <c r="BE601" s="26"/>
      <c r="BF601" s="26"/>
      <c r="BG601" s="26"/>
      <c r="BH601" s="26"/>
      <c r="BI601" s="26"/>
      <c r="BJ601" s="26"/>
      <c r="BK601" s="26"/>
      <c r="BL601" s="26"/>
      <c r="BM601" s="26"/>
      <c r="BN601" s="26"/>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96"/>
      <c r="CP601" s="14"/>
      <c r="CQ601" s="14"/>
      <c r="CR601" s="14"/>
      <c r="CS601" s="14"/>
      <c r="CT601" s="1"/>
      <c r="CU601" s="14"/>
      <c r="CV601" s="1"/>
      <c r="CW601" s="1"/>
      <c r="CX601" s="14"/>
      <c r="CY601" s="1"/>
      <c r="CZ601" s="1"/>
      <c r="DA601" s="1"/>
      <c r="DB601" s="1"/>
      <c r="DC601" s="1"/>
      <c r="DD601" s="1"/>
      <c r="DE601" s="1"/>
      <c r="DF601" s="1"/>
      <c r="DG601" s="1"/>
      <c r="DH601" s="1"/>
      <c r="DI601" s="1"/>
      <c r="DJ601" s="1"/>
      <c r="DK601" s="1"/>
      <c r="DL601" s="1"/>
      <c r="DM601" s="1"/>
      <c r="DN601" s="1"/>
      <c r="DO601" s="1"/>
      <c r="DP601" s="1"/>
      <c r="DQ601" s="1"/>
      <c r="DR601" s="1"/>
      <c r="DS601" s="1"/>
      <c r="DT601" s="1"/>
      <c r="DU601" s="14"/>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29"/>
    </row>
    <row r="602" spans="1:160" x14ac:dyDescent="0.25">
      <c r="A602" s="5"/>
      <c r="B602" s="1"/>
      <c r="C602" s="98"/>
      <c r="D602" s="98"/>
      <c r="E602" s="1"/>
      <c r="F602" s="22"/>
      <c r="G602" s="22"/>
      <c r="H602" s="22"/>
      <c r="I602" s="22"/>
      <c r="J602" s="22"/>
      <c r="K602" s="22"/>
      <c r="L602" s="22"/>
      <c r="M602" s="22"/>
      <c r="N602" s="22"/>
      <c r="O602" s="22"/>
      <c r="P602" s="22"/>
      <c r="Q602" s="22"/>
      <c r="R602" s="1"/>
      <c r="S602" s="1"/>
      <c r="T602" s="8"/>
      <c r="U602" s="1"/>
      <c r="V602" s="1"/>
      <c r="W602" s="1"/>
      <c r="X602" s="1"/>
      <c r="Y602" s="1"/>
      <c r="Z602" s="1"/>
      <c r="AA602" s="1"/>
      <c r="AC602" s="1"/>
      <c r="AD602" s="1"/>
      <c r="AE602" s="1"/>
      <c r="AF602" s="1"/>
      <c r="AG602" s="1"/>
      <c r="AH602" s="26"/>
      <c r="AI602" s="26"/>
      <c r="AJ602" s="26"/>
      <c r="AK602" s="26"/>
      <c r="AL602" s="26"/>
      <c r="AM602" s="26"/>
      <c r="AN602" s="26"/>
      <c r="AO602" s="26"/>
      <c r="AP602" s="26"/>
      <c r="AQ602" s="26"/>
      <c r="AR602" s="26"/>
      <c r="AS602" s="26"/>
      <c r="AT602" s="26"/>
      <c r="AU602" s="26"/>
      <c r="AV602" s="26"/>
      <c r="AW602" s="26"/>
      <c r="AX602" s="26"/>
      <c r="AY602" s="1"/>
      <c r="AZ602" s="26"/>
      <c r="BA602" s="26"/>
      <c r="BB602" s="26"/>
      <c r="BC602" s="26"/>
      <c r="BD602" s="26"/>
      <c r="BE602" s="26"/>
      <c r="BF602" s="26"/>
      <c r="BG602" s="26"/>
      <c r="BH602" s="26"/>
      <c r="BI602" s="26"/>
      <c r="BJ602" s="26"/>
      <c r="BK602" s="26"/>
      <c r="BL602" s="26"/>
      <c r="BM602" s="26"/>
      <c r="BN602" s="26"/>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96"/>
      <c r="CP602" s="14"/>
      <c r="CQ602" s="14"/>
      <c r="CR602" s="14"/>
      <c r="CS602" s="14"/>
      <c r="CT602" s="1"/>
      <c r="CU602" s="14"/>
      <c r="CV602" s="1"/>
      <c r="CW602" s="1"/>
      <c r="CX602" s="14"/>
      <c r="CY602" s="1"/>
      <c r="CZ602" s="1"/>
      <c r="DA602" s="1"/>
      <c r="DB602" s="1"/>
      <c r="DC602" s="1"/>
      <c r="DD602" s="1"/>
      <c r="DE602" s="1"/>
      <c r="DF602" s="1"/>
      <c r="DG602" s="1"/>
      <c r="DH602" s="1"/>
      <c r="DI602" s="1"/>
      <c r="DJ602" s="1"/>
      <c r="DK602" s="1"/>
      <c r="DL602" s="1"/>
      <c r="DM602" s="1"/>
      <c r="DN602" s="1"/>
      <c r="DO602" s="1"/>
      <c r="DP602" s="1"/>
      <c r="DQ602" s="1"/>
      <c r="DR602" s="1"/>
      <c r="DS602" s="1"/>
      <c r="DT602" s="1"/>
      <c r="DU602" s="14"/>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29"/>
    </row>
    <row r="603" spans="1:160" x14ac:dyDescent="0.25">
      <c r="A603" s="5"/>
      <c r="B603" s="1"/>
      <c r="C603" s="98"/>
      <c r="D603" s="98"/>
      <c r="E603" s="1"/>
      <c r="F603" s="22"/>
      <c r="G603" s="22"/>
      <c r="H603" s="22"/>
      <c r="I603" s="22"/>
      <c r="J603" s="22"/>
      <c r="K603" s="22"/>
      <c r="L603" s="22"/>
      <c r="M603" s="22"/>
      <c r="N603" s="22"/>
      <c r="O603" s="22"/>
      <c r="P603" s="22"/>
      <c r="Q603" s="22"/>
      <c r="R603" s="1"/>
      <c r="S603" s="1"/>
      <c r="T603" s="8"/>
      <c r="U603" s="1"/>
      <c r="V603" s="1"/>
      <c r="W603" s="1"/>
      <c r="X603" s="1"/>
      <c r="Y603" s="1"/>
      <c r="Z603" s="1"/>
      <c r="AA603" s="1"/>
      <c r="AC603" s="1"/>
      <c r="AD603" s="1"/>
      <c r="AE603" s="1"/>
      <c r="AF603" s="1"/>
      <c r="AG603" s="1"/>
      <c r="AH603" s="26"/>
      <c r="AI603" s="26"/>
      <c r="AJ603" s="26"/>
      <c r="AK603" s="26"/>
      <c r="AL603" s="26"/>
      <c r="AM603" s="26"/>
      <c r="AN603" s="26"/>
      <c r="AO603" s="26"/>
      <c r="AP603" s="26"/>
      <c r="AQ603" s="26"/>
      <c r="AR603" s="26"/>
      <c r="AS603" s="26"/>
      <c r="AT603" s="26"/>
      <c r="AU603" s="26"/>
      <c r="AV603" s="26"/>
      <c r="AW603" s="26"/>
      <c r="AX603" s="26"/>
      <c r="AY603" s="1"/>
      <c r="AZ603" s="26"/>
      <c r="BA603" s="26"/>
      <c r="BB603" s="26"/>
      <c r="BC603" s="26"/>
      <c r="BD603" s="26"/>
      <c r="BE603" s="26"/>
      <c r="BF603" s="26"/>
      <c r="BG603" s="26"/>
      <c r="BH603" s="26"/>
      <c r="BI603" s="26"/>
      <c r="BJ603" s="26"/>
      <c r="BK603" s="26"/>
      <c r="BL603" s="26"/>
      <c r="BM603" s="26"/>
      <c r="BN603" s="26"/>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96"/>
      <c r="CP603" s="14"/>
      <c r="CQ603" s="14"/>
      <c r="CR603" s="14"/>
      <c r="CS603" s="14"/>
      <c r="CT603" s="1"/>
      <c r="CU603" s="14"/>
      <c r="CV603" s="1"/>
      <c r="CW603" s="1"/>
      <c r="CX603" s="14"/>
      <c r="CY603" s="1"/>
      <c r="CZ603" s="1"/>
      <c r="DA603" s="1"/>
      <c r="DB603" s="1"/>
      <c r="DC603" s="1"/>
      <c r="DD603" s="1"/>
      <c r="DE603" s="1"/>
      <c r="DF603" s="1"/>
      <c r="DG603" s="1"/>
      <c r="DH603" s="1"/>
      <c r="DI603" s="1"/>
      <c r="DJ603" s="1"/>
      <c r="DK603" s="1"/>
      <c r="DL603" s="1"/>
      <c r="DM603" s="1"/>
      <c r="DN603" s="1"/>
      <c r="DO603" s="1"/>
      <c r="DP603" s="1"/>
      <c r="DQ603" s="1"/>
      <c r="DR603" s="1"/>
      <c r="DS603" s="1"/>
      <c r="DT603" s="1"/>
      <c r="DU603" s="14"/>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29"/>
    </row>
    <row r="604" spans="1:160" x14ac:dyDescent="0.25">
      <c r="A604" s="5"/>
      <c r="B604" s="1"/>
      <c r="C604" s="98"/>
      <c r="D604" s="98"/>
      <c r="E604" s="1"/>
      <c r="F604" s="22"/>
      <c r="G604" s="22"/>
      <c r="H604" s="22"/>
      <c r="I604" s="22"/>
      <c r="J604" s="22"/>
      <c r="K604" s="22"/>
      <c r="L604" s="22"/>
      <c r="M604" s="22"/>
      <c r="N604" s="22"/>
      <c r="O604" s="22"/>
      <c r="P604" s="22"/>
      <c r="Q604" s="22"/>
      <c r="R604" s="1"/>
      <c r="S604" s="1"/>
      <c r="T604" s="8"/>
      <c r="U604" s="1"/>
      <c r="V604" s="1"/>
      <c r="W604" s="1"/>
      <c r="X604" s="1"/>
      <c r="Y604" s="1"/>
      <c r="Z604" s="1"/>
      <c r="AA604" s="1"/>
      <c r="AC604" s="1"/>
      <c r="AD604" s="1"/>
      <c r="AE604" s="1"/>
      <c r="AF604" s="1"/>
      <c r="AG604" s="1"/>
      <c r="AH604" s="26"/>
      <c r="AI604" s="26"/>
      <c r="AJ604" s="26"/>
      <c r="AK604" s="26"/>
      <c r="AL604" s="26"/>
      <c r="AM604" s="26"/>
      <c r="AN604" s="26"/>
      <c r="AO604" s="26"/>
      <c r="AP604" s="26"/>
      <c r="AQ604" s="26"/>
      <c r="AR604" s="26"/>
      <c r="AS604" s="26"/>
      <c r="AT604" s="26"/>
      <c r="AU604" s="26"/>
      <c r="AV604" s="26"/>
      <c r="AW604" s="26"/>
      <c r="AX604" s="26"/>
      <c r="AY604" s="1"/>
      <c r="AZ604" s="26"/>
      <c r="BA604" s="26"/>
      <c r="BB604" s="26"/>
      <c r="BC604" s="26"/>
      <c r="BD604" s="26"/>
      <c r="BE604" s="26"/>
      <c r="BF604" s="26"/>
      <c r="BG604" s="26"/>
      <c r="BH604" s="26"/>
      <c r="BI604" s="26"/>
      <c r="BJ604" s="26"/>
      <c r="BK604" s="26"/>
      <c r="BL604" s="26"/>
      <c r="BM604" s="26"/>
      <c r="BN604" s="26"/>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96"/>
      <c r="CP604" s="14"/>
      <c r="CQ604" s="14"/>
      <c r="CR604" s="14"/>
      <c r="CS604" s="14"/>
      <c r="CT604" s="1"/>
      <c r="CU604" s="14"/>
      <c r="CV604" s="1"/>
      <c r="CW604" s="1"/>
      <c r="CX604" s="14"/>
      <c r="CY604" s="1"/>
      <c r="CZ604" s="1"/>
      <c r="DA604" s="1"/>
      <c r="DB604" s="1"/>
      <c r="DC604" s="1"/>
      <c r="DD604" s="1"/>
      <c r="DE604" s="1"/>
      <c r="DF604" s="1"/>
      <c r="DG604" s="1"/>
      <c r="DH604" s="1"/>
      <c r="DI604" s="1"/>
      <c r="DJ604" s="1"/>
      <c r="DK604" s="1"/>
      <c r="DL604" s="1"/>
      <c r="DM604" s="1"/>
      <c r="DN604" s="1"/>
      <c r="DO604" s="1"/>
      <c r="DP604" s="1"/>
      <c r="DQ604" s="1"/>
      <c r="DR604" s="1"/>
      <c r="DS604" s="1"/>
      <c r="DT604" s="1"/>
      <c r="DU604" s="14"/>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29"/>
    </row>
    <row r="605" spans="1:160" x14ac:dyDescent="0.25">
      <c r="A605" s="5"/>
      <c r="B605" s="1"/>
      <c r="C605" s="98"/>
      <c r="D605" s="98"/>
      <c r="E605" s="1"/>
      <c r="F605" s="22"/>
      <c r="G605" s="22"/>
      <c r="H605" s="22"/>
      <c r="I605" s="22"/>
      <c r="J605" s="22"/>
      <c r="K605" s="22"/>
      <c r="L605" s="22"/>
      <c r="M605" s="22"/>
      <c r="N605" s="22"/>
      <c r="O605" s="22"/>
      <c r="P605" s="22"/>
      <c r="Q605" s="22"/>
      <c r="R605" s="1"/>
      <c r="S605" s="1"/>
      <c r="T605" s="8"/>
      <c r="U605" s="1"/>
      <c r="V605" s="1"/>
      <c r="W605" s="1"/>
      <c r="X605" s="1"/>
      <c r="Y605" s="1"/>
      <c r="Z605" s="1"/>
      <c r="AA605" s="1"/>
      <c r="AC605" s="1"/>
      <c r="AD605" s="1"/>
      <c r="AE605" s="1"/>
      <c r="AF605" s="1"/>
      <c r="AG605" s="1"/>
      <c r="AH605" s="26"/>
      <c r="AI605" s="26"/>
      <c r="AJ605" s="26"/>
      <c r="AK605" s="26"/>
      <c r="AL605" s="26"/>
      <c r="AM605" s="26"/>
      <c r="AN605" s="26"/>
      <c r="AO605" s="26"/>
      <c r="AP605" s="26"/>
      <c r="AQ605" s="26"/>
      <c r="AR605" s="26"/>
      <c r="AS605" s="26"/>
      <c r="AT605" s="26"/>
      <c r="AU605" s="26"/>
      <c r="AV605" s="26"/>
      <c r="AW605" s="26"/>
      <c r="AX605" s="26"/>
      <c r="AY605" s="1"/>
      <c r="AZ605" s="26"/>
      <c r="BA605" s="26"/>
      <c r="BB605" s="26"/>
      <c r="BC605" s="26"/>
      <c r="BD605" s="26"/>
      <c r="BE605" s="26"/>
      <c r="BF605" s="26"/>
      <c r="BG605" s="26"/>
      <c r="BH605" s="26"/>
      <c r="BI605" s="26"/>
      <c r="BJ605" s="26"/>
      <c r="BK605" s="26"/>
      <c r="BL605" s="26"/>
      <c r="BM605" s="26"/>
      <c r="BN605" s="26"/>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96"/>
      <c r="CP605" s="14"/>
      <c r="CQ605" s="14"/>
      <c r="CR605" s="14"/>
      <c r="CS605" s="14"/>
      <c r="CT605" s="1"/>
      <c r="CU605" s="14"/>
      <c r="CV605" s="1"/>
      <c r="CW605" s="1"/>
      <c r="CX605" s="14"/>
      <c r="CY605" s="1"/>
      <c r="CZ605" s="1"/>
      <c r="DA605" s="1"/>
      <c r="DB605" s="1"/>
      <c r="DC605" s="1"/>
      <c r="DD605" s="1"/>
      <c r="DE605" s="1"/>
      <c r="DF605" s="1"/>
      <c r="DG605" s="1"/>
      <c r="DH605" s="1"/>
      <c r="DI605" s="1"/>
      <c r="DJ605" s="1"/>
      <c r="DK605" s="1"/>
      <c r="DL605" s="1"/>
      <c r="DM605" s="1"/>
      <c r="DN605" s="1"/>
      <c r="DO605" s="1"/>
      <c r="DP605" s="1"/>
      <c r="DQ605" s="1"/>
      <c r="DR605" s="1"/>
      <c r="DS605" s="1"/>
      <c r="DT605" s="1"/>
      <c r="DU605" s="14"/>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29"/>
    </row>
    <row r="606" spans="1:160" x14ac:dyDescent="0.25">
      <c r="A606" s="5"/>
      <c r="B606" s="1"/>
      <c r="C606" s="98"/>
      <c r="D606" s="98"/>
      <c r="E606" s="1"/>
      <c r="F606" s="22"/>
      <c r="G606" s="22"/>
      <c r="H606" s="22"/>
      <c r="I606" s="22"/>
      <c r="J606" s="22"/>
      <c r="K606" s="22"/>
      <c r="L606" s="22"/>
      <c r="M606" s="22"/>
      <c r="N606" s="22"/>
      <c r="O606" s="22"/>
      <c r="P606" s="22"/>
      <c r="Q606" s="22"/>
      <c r="R606" s="1"/>
      <c r="S606" s="1"/>
      <c r="T606" s="8"/>
      <c r="U606" s="1"/>
      <c r="V606" s="1"/>
      <c r="W606" s="1"/>
      <c r="X606" s="1"/>
      <c r="Y606" s="1"/>
      <c r="Z606" s="1"/>
      <c r="AA606" s="1"/>
      <c r="AC606" s="1"/>
      <c r="AD606" s="1"/>
      <c r="AE606" s="1"/>
      <c r="AF606" s="1"/>
      <c r="AG606" s="1"/>
      <c r="AH606" s="26"/>
      <c r="AI606" s="26"/>
      <c r="AJ606" s="26"/>
      <c r="AK606" s="26"/>
      <c r="AL606" s="26"/>
      <c r="AM606" s="26"/>
      <c r="AN606" s="26"/>
      <c r="AO606" s="26"/>
      <c r="AP606" s="26"/>
      <c r="AQ606" s="26"/>
      <c r="AR606" s="26"/>
      <c r="AS606" s="26"/>
      <c r="AT606" s="26"/>
      <c r="AU606" s="26"/>
      <c r="AV606" s="26"/>
      <c r="AW606" s="26"/>
      <c r="AX606" s="26"/>
      <c r="AY606" s="1"/>
      <c r="AZ606" s="26"/>
      <c r="BA606" s="26"/>
      <c r="BB606" s="26"/>
      <c r="BC606" s="26"/>
      <c r="BD606" s="26"/>
      <c r="BE606" s="26"/>
      <c r="BF606" s="26"/>
      <c r="BG606" s="26"/>
      <c r="BH606" s="26"/>
      <c r="BI606" s="26"/>
      <c r="BJ606" s="26"/>
      <c r="BK606" s="26"/>
      <c r="BL606" s="26"/>
      <c r="BM606" s="26"/>
      <c r="BN606" s="26"/>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96"/>
      <c r="CP606" s="14"/>
      <c r="CQ606" s="14"/>
      <c r="CR606" s="14"/>
      <c r="CS606" s="14"/>
      <c r="CT606" s="1"/>
      <c r="CU606" s="14"/>
      <c r="CV606" s="1"/>
      <c r="CW606" s="1"/>
      <c r="CX606" s="14"/>
      <c r="CY606" s="1"/>
      <c r="CZ606" s="1"/>
      <c r="DA606" s="1"/>
      <c r="DB606" s="1"/>
      <c r="DC606" s="1"/>
      <c r="DD606" s="1"/>
      <c r="DE606" s="1"/>
      <c r="DF606" s="1"/>
      <c r="DG606" s="1"/>
      <c r="DH606" s="1"/>
      <c r="DI606" s="1"/>
      <c r="DJ606" s="1"/>
      <c r="DK606" s="1"/>
      <c r="DL606" s="1"/>
      <c r="DM606" s="1"/>
      <c r="DN606" s="1"/>
      <c r="DO606" s="1"/>
      <c r="DP606" s="1"/>
      <c r="DQ606" s="1"/>
      <c r="DR606" s="1"/>
      <c r="DS606" s="1"/>
      <c r="DT606" s="1"/>
      <c r="DU606" s="14"/>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29"/>
    </row>
    <row r="607" spans="1:160" x14ac:dyDescent="0.25">
      <c r="A607" s="5"/>
      <c r="B607" s="1"/>
      <c r="C607" s="98"/>
      <c r="D607" s="98"/>
      <c r="E607" s="1"/>
      <c r="F607" s="22"/>
      <c r="G607" s="22"/>
      <c r="H607" s="22"/>
      <c r="I607" s="22"/>
      <c r="J607" s="22"/>
      <c r="K607" s="22"/>
      <c r="L607" s="22"/>
      <c r="M607" s="22"/>
      <c r="N607" s="22"/>
      <c r="O607" s="22"/>
      <c r="P607" s="22"/>
      <c r="Q607" s="22"/>
      <c r="R607" s="1"/>
      <c r="S607" s="1"/>
      <c r="T607" s="8"/>
      <c r="U607" s="1"/>
      <c r="V607" s="1"/>
      <c r="W607" s="1"/>
      <c r="X607" s="1"/>
      <c r="Y607" s="1"/>
      <c r="Z607" s="1"/>
      <c r="AA607" s="1"/>
      <c r="AC607" s="1"/>
      <c r="AD607" s="1"/>
      <c r="AE607" s="1"/>
      <c r="AF607" s="1"/>
      <c r="AG607" s="1"/>
      <c r="AH607" s="26"/>
      <c r="AI607" s="26"/>
      <c r="AJ607" s="26"/>
      <c r="AK607" s="26"/>
      <c r="AL607" s="26"/>
      <c r="AM607" s="26"/>
      <c r="AN607" s="26"/>
      <c r="AO607" s="26"/>
      <c r="AP607" s="26"/>
      <c r="AQ607" s="26"/>
      <c r="AR607" s="26"/>
      <c r="AS607" s="26"/>
      <c r="AT607" s="26"/>
      <c r="AU607" s="26"/>
      <c r="AV607" s="26"/>
      <c r="AW607" s="26"/>
      <c r="AX607" s="26"/>
      <c r="AY607" s="1"/>
      <c r="AZ607" s="26"/>
      <c r="BA607" s="26"/>
      <c r="BB607" s="26"/>
      <c r="BC607" s="26"/>
      <c r="BD607" s="26"/>
      <c r="BE607" s="26"/>
      <c r="BF607" s="26"/>
      <c r="BG607" s="26"/>
      <c r="BH607" s="26"/>
      <c r="BI607" s="26"/>
      <c r="BJ607" s="26"/>
      <c r="BK607" s="26"/>
      <c r="BL607" s="26"/>
      <c r="BM607" s="26"/>
      <c r="BN607" s="26"/>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96"/>
      <c r="CP607" s="14"/>
      <c r="CQ607" s="14"/>
      <c r="CR607" s="14"/>
      <c r="CS607" s="14"/>
      <c r="CT607" s="1"/>
      <c r="CU607" s="14"/>
      <c r="CV607" s="1"/>
      <c r="CW607" s="1"/>
      <c r="CX607" s="14"/>
      <c r="CY607" s="1"/>
      <c r="CZ607" s="1"/>
      <c r="DA607" s="1"/>
      <c r="DB607" s="1"/>
      <c r="DC607" s="1"/>
      <c r="DD607" s="1"/>
      <c r="DE607" s="1"/>
      <c r="DF607" s="1"/>
      <c r="DG607" s="1"/>
      <c r="DH607" s="1"/>
      <c r="DI607" s="1"/>
      <c r="DJ607" s="1"/>
      <c r="DK607" s="1"/>
      <c r="DL607" s="1"/>
      <c r="DM607" s="1"/>
      <c r="DN607" s="1"/>
      <c r="DO607" s="1"/>
      <c r="DP607" s="1"/>
      <c r="DQ607" s="1"/>
      <c r="DR607" s="1"/>
      <c r="DS607" s="1"/>
      <c r="DT607" s="1"/>
      <c r="DU607" s="14"/>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29"/>
    </row>
    <row r="608" spans="1:160" x14ac:dyDescent="0.25">
      <c r="A608" s="5"/>
      <c r="B608" s="1"/>
      <c r="C608" s="98"/>
      <c r="D608" s="98"/>
      <c r="E608" s="1"/>
      <c r="F608" s="22"/>
      <c r="G608" s="22"/>
      <c r="H608" s="22"/>
      <c r="I608" s="22"/>
      <c r="J608" s="22"/>
      <c r="K608" s="22"/>
      <c r="L608" s="22"/>
      <c r="M608" s="22"/>
      <c r="N608" s="22"/>
      <c r="O608" s="22"/>
      <c r="P608" s="22"/>
      <c r="Q608" s="22"/>
      <c r="R608" s="1"/>
      <c r="S608" s="1"/>
      <c r="T608" s="8"/>
      <c r="U608" s="1"/>
      <c r="V608" s="1"/>
      <c r="W608" s="1"/>
      <c r="X608" s="1"/>
      <c r="Y608" s="1"/>
      <c r="Z608" s="1"/>
      <c r="AA608" s="1"/>
      <c r="AC608" s="1"/>
      <c r="AD608" s="1"/>
      <c r="AE608" s="1"/>
      <c r="AF608" s="1"/>
      <c r="AG608" s="1"/>
      <c r="AH608" s="26"/>
      <c r="AI608" s="26"/>
      <c r="AJ608" s="26"/>
      <c r="AK608" s="26"/>
      <c r="AL608" s="26"/>
      <c r="AM608" s="26"/>
      <c r="AN608" s="26"/>
      <c r="AO608" s="26"/>
      <c r="AP608" s="26"/>
      <c r="AQ608" s="26"/>
      <c r="AR608" s="26"/>
      <c r="AS608" s="26"/>
      <c r="AT608" s="26"/>
      <c r="AU608" s="26"/>
      <c r="AV608" s="26"/>
      <c r="AW608" s="26"/>
      <c r="AX608" s="26"/>
      <c r="AY608" s="1"/>
      <c r="AZ608" s="26"/>
      <c r="BA608" s="26"/>
      <c r="BB608" s="26"/>
      <c r="BC608" s="26"/>
      <c r="BD608" s="26"/>
      <c r="BE608" s="26"/>
      <c r="BF608" s="26"/>
      <c r="BG608" s="26"/>
      <c r="BH608" s="26"/>
      <c r="BI608" s="26"/>
      <c r="BJ608" s="26"/>
      <c r="BK608" s="26"/>
      <c r="BL608" s="26"/>
      <c r="BM608" s="26"/>
      <c r="BN608" s="26"/>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96"/>
      <c r="CP608" s="14"/>
      <c r="CQ608" s="14"/>
      <c r="CR608" s="14"/>
      <c r="CS608" s="14"/>
      <c r="CT608" s="1"/>
      <c r="CU608" s="14"/>
      <c r="CV608" s="1"/>
      <c r="CW608" s="1"/>
      <c r="CX608" s="14"/>
      <c r="CY608" s="1"/>
      <c r="CZ608" s="1"/>
      <c r="DA608" s="1"/>
      <c r="DB608" s="1"/>
      <c r="DC608" s="1"/>
      <c r="DD608" s="1"/>
      <c r="DE608" s="1"/>
      <c r="DF608" s="1"/>
      <c r="DG608" s="1"/>
      <c r="DH608" s="1"/>
      <c r="DI608" s="1"/>
      <c r="DJ608" s="1"/>
      <c r="DK608" s="1"/>
      <c r="DL608" s="1"/>
      <c r="DM608" s="1"/>
      <c r="DN608" s="1"/>
      <c r="DO608" s="1"/>
      <c r="DP608" s="1"/>
      <c r="DQ608" s="1"/>
      <c r="DR608" s="1"/>
      <c r="DS608" s="1"/>
      <c r="DT608" s="1"/>
      <c r="DU608" s="14"/>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29"/>
    </row>
    <row r="609" spans="1:160" x14ac:dyDescent="0.25">
      <c r="A609" s="5"/>
      <c r="B609" s="1"/>
      <c r="C609" s="98"/>
      <c r="D609" s="98"/>
      <c r="E609" s="1"/>
      <c r="F609" s="22"/>
      <c r="G609" s="22"/>
      <c r="H609" s="22"/>
      <c r="I609" s="22"/>
      <c r="J609" s="22"/>
      <c r="K609" s="22"/>
      <c r="L609" s="22"/>
      <c r="M609" s="22"/>
      <c r="N609" s="22"/>
      <c r="O609" s="22"/>
      <c r="P609" s="22"/>
      <c r="Q609" s="22"/>
      <c r="R609" s="1"/>
      <c r="S609" s="1"/>
      <c r="T609" s="8"/>
      <c r="U609" s="1"/>
      <c r="V609" s="1"/>
      <c r="W609" s="1"/>
      <c r="X609" s="1"/>
      <c r="Y609" s="1"/>
      <c r="Z609" s="1"/>
      <c r="AA609" s="1"/>
      <c r="AC609" s="1"/>
      <c r="AD609" s="1"/>
      <c r="AE609" s="1"/>
      <c r="AF609" s="1"/>
      <c r="AG609" s="1"/>
      <c r="AH609" s="26"/>
      <c r="AI609" s="26"/>
      <c r="AJ609" s="26"/>
      <c r="AK609" s="26"/>
      <c r="AL609" s="26"/>
      <c r="AM609" s="26"/>
      <c r="AN609" s="26"/>
      <c r="AO609" s="26"/>
      <c r="AP609" s="26"/>
      <c r="AQ609" s="26"/>
      <c r="AR609" s="26"/>
      <c r="AS609" s="26"/>
      <c r="AT609" s="26"/>
      <c r="AU609" s="26"/>
      <c r="AV609" s="26"/>
      <c r="AW609" s="26"/>
      <c r="AX609" s="26"/>
      <c r="AY609" s="1"/>
      <c r="AZ609" s="26"/>
      <c r="BA609" s="26"/>
      <c r="BB609" s="26"/>
      <c r="BC609" s="26"/>
      <c r="BD609" s="26"/>
      <c r="BE609" s="26"/>
      <c r="BF609" s="26"/>
      <c r="BG609" s="26"/>
      <c r="BH609" s="26"/>
      <c r="BI609" s="26"/>
      <c r="BJ609" s="26"/>
      <c r="BK609" s="26"/>
      <c r="BL609" s="26"/>
      <c r="BM609" s="26"/>
      <c r="BN609" s="26"/>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96"/>
      <c r="CP609" s="14"/>
      <c r="CQ609" s="14"/>
      <c r="CR609" s="14"/>
      <c r="CS609" s="14"/>
      <c r="CT609" s="1"/>
      <c r="CU609" s="14"/>
      <c r="CV609" s="1"/>
      <c r="CW609" s="1"/>
      <c r="CX609" s="14"/>
      <c r="CY609" s="1"/>
      <c r="CZ609" s="1"/>
      <c r="DA609" s="1"/>
      <c r="DB609" s="1"/>
      <c r="DC609" s="1"/>
      <c r="DD609" s="1"/>
      <c r="DE609" s="1"/>
      <c r="DF609" s="1"/>
      <c r="DG609" s="1"/>
      <c r="DH609" s="1"/>
      <c r="DI609" s="1"/>
      <c r="DJ609" s="1"/>
      <c r="DK609" s="1"/>
      <c r="DL609" s="1"/>
      <c r="DM609" s="1"/>
      <c r="DN609" s="1"/>
      <c r="DO609" s="1"/>
      <c r="DP609" s="1"/>
      <c r="DQ609" s="1"/>
      <c r="DR609" s="1"/>
      <c r="DS609" s="1"/>
      <c r="DT609" s="1"/>
      <c r="DU609" s="14"/>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29"/>
    </row>
    <row r="610" spans="1:160" x14ac:dyDescent="0.25">
      <c r="A610" s="5"/>
      <c r="B610" s="1"/>
      <c r="C610" s="98"/>
      <c r="D610" s="98"/>
      <c r="E610" s="1"/>
      <c r="F610" s="22"/>
      <c r="G610" s="22"/>
      <c r="H610" s="22"/>
      <c r="I610" s="22"/>
      <c r="J610" s="22"/>
      <c r="K610" s="22"/>
      <c r="L610" s="22"/>
      <c r="M610" s="22"/>
      <c r="N610" s="22"/>
      <c r="O610" s="22"/>
      <c r="P610" s="22"/>
      <c r="Q610" s="22"/>
      <c r="R610" s="1"/>
      <c r="S610" s="1"/>
      <c r="T610" s="8"/>
      <c r="U610" s="1"/>
      <c r="V610" s="1"/>
      <c r="W610" s="1"/>
      <c r="X610" s="1"/>
      <c r="Y610" s="1"/>
      <c r="Z610" s="1"/>
      <c r="AA610" s="1"/>
      <c r="AC610" s="1"/>
      <c r="AD610" s="1"/>
      <c r="AE610" s="1"/>
      <c r="AF610" s="1"/>
      <c r="AG610" s="1"/>
      <c r="AH610" s="26"/>
      <c r="AI610" s="26"/>
      <c r="AJ610" s="26"/>
      <c r="AK610" s="26"/>
      <c r="AL610" s="26"/>
      <c r="AM610" s="26"/>
      <c r="AN610" s="26"/>
      <c r="AO610" s="26"/>
      <c r="AP610" s="26"/>
      <c r="AQ610" s="26"/>
      <c r="AR610" s="26"/>
      <c r="AS610" s="26"/>
      <c r="AT610" s="26"/>
      <c r="AU610" s="26"/>
      <c r="AV610" s="26"/>
      <c r="AW610" s="26"/>
      <c r="AX610" s="26"/>
      <c r="AY610" s="1"/>
      <c r="AZ610" s="26"/>
      <c r="BA610" s="26"/>
      <c r="BB610" s="26"/>
      <c r="BC610" s="26"/>
      <c r="BD610" s="26"/>
      <c r="BE610" s="26"/>
      <c r="BF610" s="26"/>
      <c r="BG610" s="26"/>
      <c r="BH610" s="26"/>
      <c r="BI610" s="26"/>
      <c r="BJ610" s="26"/>
      <c r="BK610" s="26"/>
      <c r="BL610" s="26"/>
      <c r="BM610" s="26"/>
      <c r="BN610" s="26"/>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96"/>
      <c r="CP610" s="14"/>
      <c r="CQ610" s="14"/>
      <c r="CR610" s="14"/>
      <c r="CS610" s="14"/>
      <c r="CT610" s="1"/>
      <c r="CU610" s="14"/>
      <c r="CV610" s="1"/>
      <c r="CW610" s="1"/>
      <c r="CX610" s="14"/>
      <c r="CY610" s="1"/>
      <c r="CZ610" s="1"/>
      <c r="DA610" s="1"/>
      <c r="DB610" s="1"/>
      <c r="DC610" s="1"/>
      <c r="DD610" s="1"/>
      <c r="DE610" s="1"/>
      <c r="DF610" s="1"/>
      <c r="DG610" s="1"/>
      <c r="DH610" s="1"/>
      <c r="DI610" s="1"/>
      <c r="DJ610" s="1"/>
      <c r="DK610" s="1"/>
      <c r="DL610" s="1"/>
      <c r="DM610" s="1"/>
      <c r="DN610" s="1"/>
      <c r="DO610" s="1"/>
      <c r="DP610" s="1"/>
      <c r="DQ610" s="1"/>
      <c r="DR610" s="1"/>
      <c r="DS610" s="1"/>
      <c r="DT610" s="1"/>
      <c r="DU610" s="14"/>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29"/>
    </row>
    <row r="611" spans="1:160" x14ac:dyDescent="0.25">
      <c r="A611" s="5"/>
      <c r="B611" s="1"/>
      <c r="C611" s="98"/>
      <c r="D611" s="98"/>
      <c r="E611" s="1"/>
      <c r="F611" s="22"/>
      <c r="G611" s="22"/>
      <c r="H611" s="22"/>
      <c r="I611" s="22"/>
      <c r="J611" s="22"/>
      <c r="K611" s="22"/>
      <c r="L611" s="22"/>
      <c r="M611" s="22"/>
      <c r="N611" s="22"/>
      <c r="O611" s="22"/>
      <c r="P611" s="22"/>
      <c r="Q611" s="22"/>
      <c r="R611" s="1"/>
      <c r="S611" s="1"/>
      <c r="T611" s="8"/>
      <c r="U611" s="1"/>
      <c r="V611" s="1"/>
      <c r="W611" s="1"/>
      <c r="X611" s="1"/>
      <c r="Y611" s="1"/>
      <c r="Z611" s="1"/>
      <c r="AA611" s="1"/>
      <c r="AC611" s="1"/>
      <c r="AD611" s="1"/>
      <c r="AE611" s="1"/>
      <c r="AF611" s="1"/>
      <c r="AG611" s="1"/>
      <c r="AH611" s="26"/>
      <c r="AI611" s="26"/>
      <c r="AJ611" s="26"/>
      <c r="AK611" s="26"/>
      <c r="AL611" s="26"/>
      <c r="AM611" s="26"/>
      <c r="AN611" s="26"/>
      <c r="AO611" s="26"/>
      <c r="AP611" s="26"/>
      <c r="AQ611" s="26"/>
      <c r="AR611" s="26"/>
      <c r="AS611" s="26"/>
      <c r="AT611" s="26"/>
      <c r="AU611" s="26"/>
      <c r="AV611" s="26"/>
      <c r="AW611" s="26"/>
      <c r="AX611" s="26"/>
      <c r="AY611" s="1"/>
      <c r="AZ611" s="26"/>
      <c r="BA611" s="26"/>
      <c r="BB611" s="26"/>
      <c r="BC611" s="26"/>
      <c r="BD611" s="26"/>
      <c r="BE611" s="26"/>
      <c r="BF611" s="26"/>
      <c r="BG611" s="26"/>
      <c r="BH611" s="26"/>
      <c r="BI611" s="26"/>
      <c r="BJ611" s="26"/>
      <c r="BK611" s="26"/>
      <c r="BL611" s="26"/>
      <c r="BM611" s="26"/>
      <c r="BN611" s="26"/>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96"/>
      <c r="CP611" s="14"/>
      <c r="CQ611" s="14"/>
      <c r="CR611" s="14"/>
      <c r="CS611" s="14"/>
      <c r="CT611" s="1"/>
      <c r="CU611" s="14"/>
      <c r="CV611" s="1"/>
      <c r="CW611" s="1"/>
      <c r="CX611" s="14"/>
      <c r="CY611" s="1"/>
      <c r="CZ611" s="1"/>
      <c r="DA611" s="1"/>
      <c r="DB611" s="1"/>
      <c r="DC611" s="1"/>
      <c r="DD611" s="1"/>
      <c r="DE611" s="1"/>
      <c r="DF611" s="1"/>
      <c r="DG611" s="1"/>
      <c r="DH611" s="1"/>
      <c r="DI611" s="1"/>
      <c r="DJ611" s="1"/>
      <c r="DK611" s="1"/>
      <c r="DL611" s="1"/>
      <c r="DM611" s="1"/>
      <c r="DN611" s="1"/>
      <c r="DO611" s="1"/>
      <c r="DP611" s="1"/>
      <c r="DQ611" s="1"/>
      <c r="DR611" s="1"/>
      <c r="DS611" s="1"/>
      <c r="DT611" s="1"/>
      <c r="DU611" s="14"/>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29"/>
    </row>
    <row r="612" spans="1:160" x14ac:dyDescent="0.25">
      <c r="A612" s="5"/>
      <c r="B612" s="1"/>
      <c r="C612" s="98"/>
      <c r="D612" s="98"/>
      <c r="E612" s="1"/>
      <c r="F612" s="22"/>
      <c r="G612" s="22"/>
      <c r="H612" s="22"/>
      <c r="I612" s="22"/>
      <c r="J612" s="22"/>
      <c r="K612" s="22"/>
      <c r="L612" s="22"/>
      <c r="M612" s="22"/>
      <c r="N612" s="22"/>
      <c r="O612" s="22"/>
      <c r="P612" s="22"/>
      <c r="Q612" s="22"/>
      <c r="R612" s="1"/>
      <c r="S612" s="1"/>
      <c r="T612" s="8"/>
      <c r="U612" s="1"/>
      <c r="V612" s="1"/>
      <c r="W612" s="1"/>
      <c r="X612" s="1"/>
      <c r="Y612" s="1"/>
      <c r="Z612" s="1"/>
      <c r="AA612" s="1"/>
      <c r="AC612" s="1"/>
      <c r="AD612" s="1"/>
      <c r="AE612" s="1"/>
      <c r="AF612" s="1"/>
      <c r="AG612" s="1"/>
      <c r="AH612" s="26"/>
      <c r="AI612" s="26"/>
      <c r="AJ612" s="26"/>
      <c r="AK612" s="26"/>
      <c r="AL612" s="26"/>
      <c r="AM612" s="26"/>
      <c r="AN612" s="26"/>
      <c r="AO612" s="26"/>
      <c r="AP612" s="26"/>
      <c r="AQ612" s="26"/>
      <c r="AR612" s="26"/>
      <c r="AS612" s="26"/>
      <c r="AT612" s="26"/>
      <c r="AU612" s="26"/>
      <c r="AV612" s="26"/>
      <c r="AW612" s="26"/>
      <c r="AX612" s="26"/>
      <c r="AY612" s="1"/>
      <c r="AZ612" s="26"/>
      <c r="BA612" s="26"/>
      <c r="BB612" s="26"/>
      <c r="BC612" s="26"/>
      <c r="BD612" s="26"/>
      <c r="BE612" s="26"/>
      <c r="BF612" s="26"/>
      <c r="BG612" s="26"/>
      <c r="BH612" s="26"/>
      <c r="BI612" s="26"/>
      <c r="BJ612" s="26"/>
      <c r="BK612" s="26"/>
      <c r="BL612" s="26"/>
      <c r="BM612" s="26"/>
      <c r="BN612" s="26"/>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96"/>
      <c r="CP612" s="14"/>
      <c r="CQ612" s="14"/>
      <c r="CR612" s="14"/>
      <c r="CS612" s="14"/>
      <c r="CT612" s="1"/>
      <c r="CU612" s="14"/>
      <c r="CV612" s="1"/>
      <c r="CW612" s="1"/>
      <c r="CX612" s="14"/>
      <c r="CY612" s="1"/>
      <c r="CZ612" s="1"/>
      <c r="DA612" s="1"/>
      <c r="DB612" s="1"/>
      <c r="DC612" s="1"/>
      <c r="DD612" s="1"/>
      <c r="DE612" s="1"/>
      <c r="DF612" s="1"/>
      <c r="DG612" s="1"/>
      <c r="DH612" s="1"/>
      <c r="DI612" s="1"/>
      <c r="DJ612" s="1"/>
      <c r="DK612" s="1"/>
      <c r="DL612" s="1"/>
      <c r="DM612" s="1"/>
      <c r="DN612" s="1"/>
      <c r="DO612" s="1"/>
      <c r="DP612" s="1"/>
      <c r="DQ612" s="1"/>
      <c r="DR612" s="1"/>
      <c r="DS612" s="1"/>
      <c r="DT612" s="1"/>
      <c r="DU612" s="14"/>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29"/>
    </row>
    <row r="613" spans="1:160" x14ac:dyDescent="0.25">
      <c r="A613" s="5"/>
      <c r="B613" s="1"/>
      <c r="C613" s="98"/>
      <c r="D613" s="98"/>
      <c r="E613" s="1"/>
      <c r="F613" s="22"/>
      <c r="G613" s="22"/>
      <c r="H613" s="22"/>
      <c r="I613" s="22"/>
      <c r="J613" s="22"/>
      <c r="K613" s="22"/>
      <c r="L613" s="22"/>
      <c r="M613" s="22"/>
      <c r="N613" s="22"/>
      <c r="O613" s="22"/>
      <c r="P613" s="22"/>
      <c r="Q613" s="22"/>
      <c r="R613" s="1"/>
      <c r="S613" s="1"/>
      <c r="T613" s="8"/>
      <c r="U613" s="1"/>
      <c r="V613" s="1"/>
      <c r="W613" s="1"/>
      <c r="X613" s="1"/>
      <c r="Y613" s="1"/>
      <c r="Z613" s="1"/>
      <c r="AA613" s="1"/>
      <c r="AC613" s="1"/>
      <c r="AD613" s="1"/>
      <c r="AE613" s="1"/>
      <c r="AF613" s="1"/>
      <c r="AG613" s="1"/>
      <c r="AH613" s="26"/>
      <c r="AI613" s="26"/>
      <c r="AJ613" s="26"/>
      <c r="AK613" s="26"/>
      <c r="AL613" s="26"/>
      <c r="AM613" s="26"/>
      <c r="AN613" s="26"/>
      <c r="AO613" s="26"/>
      <c r="AP613" s="26"/>
      <c r="AQ613" s="26"/>
      <c r="AR613" s="26"/>
      <c r="AS613" s="26"/>
      <c r="AT613" s="26"/>
      <c r="AU613" s="26"/>
      <c r="AV613" s="26"/>
      <c r="AW613" s="26"/>
      <c r="AX613" s="26"/>
      <c r="AY613" s="1"/>
      <c r="AZ613" s="26"/>
      <c r="BA613" s="26"/>
      <c r="BB613" s="26"/>
      <c r="BC613" s="26"/>
      <c r="BD613" s="26"/>
      <c r="BE613" s="26"/>
      <c r="BF613" s="26"/>
      <c r="BG613" s="26"/>
      <c r="BH613" s="26"/>
      <c r="BI613" s="26"/>
      <c r="BJ613" s="26"/>
      <c r="BK613" s="26"/>
      <c r="BL613" s="26"/>
      <c r="BM613" s="26"/>
      <c r="BN613" s="26"/>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96"/>
      <c r="CP613" s="14"/>
      <c r="CQ613" s="14"/>
      <c r="CR613" s="14"/>
      <c r="CS613" s="14"/>
      <c r="CT613" s="1"/>
      <c r="CU613" s="14"/>
      <c r="CV613" s="1"/>
      <c r="CW613" s="1"/>
      <c r="CX613" s="14"/>
      <c r="CY613" s="1"/>
      <c r="CZ613" s="1"/>
      <c r="DA613" s="1"/>
      <c r="DB613" s="1"/>
      <c r="DC613" s="1"/>
      <c r="DD613" s="1"/>
      <c r="DE613" s="1"/>
      <c r="DF613" s="1"/>
      <c r="DG613" s="1"/>
      <c r="DH613" s="1"/>
      <c r="DI613" s="1"/>
      <c r="DJ613" s="1"/>
      <c r="DK613" s="1"/>
      <c r="DL613" s="1"/>
      <c r="DM613" s="1"/>
      <c r="DN613" s="1"/>
      <c r="DO613" s="1"/>
      <c r="DP613" s="1"/>
      <c r="DQ613" s="1"/>
      <c r="DR613" s="1"/>
      <c r="DS613" s="1"/>
      <c r="DT613" s="1"/>
      <c r="DU613" s="14"/>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29"/>
    </row>
    <row r="614" spans="1:160" x14ac:dyDescent="0.25">
      <c r="A614" s="5"/>
      <c r="B614" s="1"/>
      <c r="C614" s="98"/>
      <c r="D614" s="98"/>
      <c r="E614" s="1"/>
      <c r="F614" s="22"/>
      <c r="G614" s="22"/>
      <c r="H614" s="22"/>
      <c r="I614" s="22"/>
      <c r="J614" s="22"/>
      <c r="K614" s="22"/>
      <c r="L614" s="22"/>
      <c r="M614" s="22"/>
      <c r="N614" s="22"/>
      <c r="O614" s="22"/>
      <c r="P614" s="22"/>
      <c r="Q614" s="22"/>
      <c r="R614" s="1"/>
      <c r="S614" s="1"/>
      <c r="T614" s="8"/>
      <c r="U614" s="1"/>
      <c r="V614" s="1"/>
      <c r="W614" s="1"/>
      <c r="X614" s="1"/>
      <c r="Y614" s="1"/>
      <c r="Z614" s="1"/>
      <c r="AA614" s="1"/>
      <c r="AC614" s="1"/>
      <c r="AD614" s="1"/>
      <c r="AE614" s="1"/>
      <c r="AF614" s="1"/>
      <c r="AG614" s="1"/>
      <c r="AH614" s="26"/>
      <c r="AI614" s="26"/>
      <c r="AJ614" s="26"/>
      <c r="AK614" s="26"/>
      <c r="AL614" s="26"/>
      <c r="AM614" s="26"/>
      <c r="AN614" s="26"/>
      <c r="AO614" s="26"/>
      <c r="AP614" s="26"/>
      <c r="AQ614" s="26"/>
      <c r="AR614" s="26"/>
      <c r="AS614" s="26"/>
      <c r="AT614" s="26"/>
      <c r="AU614" s="26"/>
      <c r="AV614" s="26"/>
      <c r="AW614" s="26"/>
      <c r="AX614" s="26"/>
      <c r="AY614" s="1"/>
      <c r="AZ614" s="26"/>
      <c r="BA614" s="26"/>
      <c r="BB614" s="26"/>
      <c r="BC614" s="26"/>
      <c r="BD614" s="26"/>
      <c r="BE614" s="26"/>
      <c r="BF614" s="26"/>
      <c r="BG614" s="26"/>
      <c r="BH614" s="26"/>
      <c r="BI614" s="26"/>
      <c r="BJ614" s="26"/>
      <c r="BK614" s="26"/>
      <c r="BL614" s="26"/>
      <c r="BM614" s="26"/>
      <c r="BN614" s="26"/>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96"/>
      <c r="CP614" s="14"/>
      <c r="CQ614" s="14"/>
      <c r="CR614" s="14"/>
      <c r="CS614" s="14"/>
      <c r="CT614" s="1"/>
      <c r="CU614" s="14"/>
      <c r="CV614" s="1"/>
      <c r="CW614" s="1"/>
      <c r="CX614" s="14"/>
      <c r="CY614" s="1"/>
      <c r="CZ614" s="1"/>
      <c r="DA614" s="1"/>
      <c r="DB614" s="1"/>
      <c r="DC614" s="1"/>
      <c r="DD614" s="1"/>
      <c r="DE614" s="1"/>
      <c r="DF614" s="1"/>
      <c r="DG614" s="1"/>
      <c r="DH614" s="1"/>
      <c r="DI614" s="1"/>
      <c r="DJ614" s="1"/>
      <c r="DK614" s="1"/>
      <c r="DL614" s="1"/>
      <c r="DM614" s="1"/>
      <c r="DN614" s="1"/>
      <c r="DO614" s="1"/>
      <c r="DP614" s="1"/>
      <c r="DQ614" s="1"/>
      <c r="DR614" s="1"/>
      <c r="DS614" s="1"/>
      <c r="DT614" s="1"/>
      <c r="DU614" s="14"/>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29"/>
    </row>
    <row r="615" spans="1:160" x14ac:dyDescent="0.25">
      <c r="A615" s="5"/>
      <c r="B615" s="1"/>
      <c r="C615" s="98"/>
      <c r="D615" s="98"/>
      <c r="E615" s="1"/>
      <c r="F615" s="22"/>
      <c r="G615" s="22"/>
      <c r="H615" s="22"/>
      <c r="I615" s="22"/>
      <c r="J615" s="22"/>
      <c r="K615" s="22"/>
      <c r="L615" s="22"/>
      <c r="M615" s="22"/>
      <c r="N615" s="22"/>
      <c r="O615" s="22"/>
      <c r="P615" s="22"/>
      <c r="Q615" s="22"/>
      <c r="R615" s="1"/>
      <c r="S615" s="1"/>
      <c r="T615" s="8"/>
      <c r="U615" s="1"/>
      <c r="V615" s="1"/>
      <c r="W615" s="1"/>
      <c r="X615" s="1"/>
      <c r="Y615" s="1"/>
      <c r="Z615" s="1"/>
      <c r="AA615" s="1"/>
      <c r="AC615" s="1"/>
      <c r="AD615" s="1"/>
      <c r="AE615" s="1"/>
      <c r="AF615" s="1"/>
      <c r="AG615" s="1"/>
      <c r="AH615" s="26"/>
      <c r="AI615" s="26"/>
      <c r="AJ615" s="26"/>
      <c r="AK615" s="26"/>
      <c r="AL615" s="26"/>
      <c r="AM615" s="26"/>
      <c r="AN615" s="26"/>
      <c r="AO615" s="26"/>
      <c r="AP615" s="26"/>
      <c r="AQ615" s="26"/>
      <c r="AR615" s="26"/>
      <c r="AS615" s="26"/>
      <c r="AT615" s="26"/>
      <c r="AU615" s="26"/>
      <c r="AV615" s="26"/>
      <c r="AW615" s="26"/>
      <c r="AX615" s="26"/>
      <c r="AY615" s="1"/>
      <c r="AZ615" s="26"/>
      <c r="BA615" s="26"/>
      <c r="BB615" s="26"/>
      <c r="BC615" s="26"/>
      <c r="BD615" s="26"/>
      <c r="BE615" s="26"/>
      <c r="BF615" s="26"/>
      <c r="BG615" s="26"/>
      <c r="BH615" s="26"/>
      <c r="BI615" s="26"/>
      <c r="BJ615" s="26"/>
      <c r="BK615" s="26"/>
      <c r="BL615" s="26"/>
      <c r="BM615" s="26"/>
      <c r="BN615" s="26"/>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96"/>
      <c r="CP615" s="14"/>
      <c r="CQ615" s="14"/>
      <c r="CR615" s="14"/>
      <c r="CS615" s="14"/>
      <c r="CT615" s="1"/>
      <c r="CU615" s="14"/>
      <c r="CV615" s="1"/>
      <c r="CW615" s="1"/>
      <c r="CX615" s="14"/>
      <c r="CY615" s="1"/>
      <c r="CZ615" s="1"/>
      <c r="DA615" s="1"/>
      <c r="DB615" s="1"/>
      <c r="DC615" s="1"/>
      <c r="DD615" s="1"/>
      <c r="DE615" s="1"/>
      <c r="DF615" s="1"/>
      <c r="DG615" s="1"/>
      <c r="DH615" s="1"/>
      <c r="DI615" s="1"/>
      <c r="DJ615" s="1"/>
      <c r="DK615" s="1"/>
      <c r="DL615" s="1"/>
      <c r="DM615" s="1"/>
      <c r="DN615" s="1"/>
      <c r="DO615" s="1"/>
      <c r="DP615" s="1"/>
      <c r="DQ615" s="1"/>
      <c r="DR615" s="1"/>
      <c r="DS615" s="1"/>
      <c r="DT615" s="1"/>
      <c r="DU615" s="14"/>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29"/>
    </row>
    <row r="616" spans="1:160" x14ac:dyDescent="0.25">
      <c r="A616" s="5"/>
      <c r="B616" s="1"/>
      <c r="C616" s="98"/>
      <c r="D616" s="98"/>
      <c r="E616" s="1"/>
      <c r="F616" s="22"/>
      <c r="G616" s="22"/>
      <c r="H616" s="22"/>
      <c r="I616" s="22"/>
      <c r="J616" s="22"/>
      <c r="K616" s="22"/>
      <c r="L616" s="22"/>
      <c r="M616" s="22"/>
      <c r="N616" s="22"/>
      <c r="O616" s="22"/>
      <c r="P616" s="22"/>
      <c r="Q616" s="22"/>
      <c r="R616" s="1"/>
      <c r="S616" s="1"/>
      <c r="T616" s="8"/>
      <c r="U616" s="1"/>
      <c r="V616" s="1"/>
      <c r="W616" s="1"/>
      <c r="X616" s="1"/>
      <c r="Y616" s="1"/>
      <c r="Z616" s="1"/>
      <c r="AA616" s="1"/>
      <c r="AC616" s="1"/>
      <c r="AD616" s="1"/>
      <c r="AE616" s="1"/>
      <c r="AF616" s="1"/>
      <c r="AG616" s="1"/>
      <c r="AH616" s="26"/>
      <c r="AI616" s="26"/>
      <c r="AJ616" s="26"/>
      <c r="AK616" s="26"/>
      <c r="AL616" s="26"/>
      <c r="AM616" s="26"/>
      <c r="AN616" s="26"/>
      <c r="AO616" s="26"/>
      <c r="AP616" s="26"/>
      <c r="AQ616" s="26"/>
      <c r="AR616" s="26"/>
      <c r="AS616" s="26"/>
      <c r="AT616" s="26"/>
      <c r="AU616" s="26"/>
      <c r="AV616" s="26"/>
      <c r="AW616" s="26"/>
      <c r="AX616" s="26"/>
      <c r="AY616" s="1"/>
      <c r="AZ616" s="26"/>
      <c r="BA616" s="26"/>
      <c r="BB616" s="26"/>
      <c r="BC616" s="26"/>
      <c r="BD616" s="26"/>
      <c r="BE616" s="26"/>
      <c r="BF616" s="26"/>
      <c r="BG616" s="26"/>
      <c r="BH616" s="26"/>
      <c r="BI616" s="26"/>
      <c r="BJ616" s="26"/>
      <c r="BK616" s="26"/>
      <c r="BL616" s="26"/>
      <c r="BM616" s="26"/>
      <c r="BN616" s="26"/>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96"/>
      <c r="CP616" s="14"/>
      <c r="CQ616" s="14"/>
      <c r="CR616" s="14"/>
      <c r="CS616" s="14"/>
      <c r="CT616" s="1"/>
      <c r="CU616" s="14"/>
      <c r="CV616" s="1"/>
      <c r="CW616" s="1"/>
      <c r="CX616" s="14"/>
      <c r="CY616" s="1"/>
      <c r="CZ616" s="1"/>
      <c r="DA616" s="1"/>
      <c r="DB616" s="1"/>
      <c r="DC616" s="1"/>
      <c r="DD616" s="1"/>
      <c r="DE616" s="1"/>
      <c r="DF616" s="1"/>
      <c r="DG616" s="1"/>
      <c r="DH616" s="1"/>
      <c r="DI616" s="1"/>
      <c r="DJ616" s="1"/>
      <c r="DK616" s="1"/>
      <c r="DL616" s="1"/>
      <c r="DM616" s="1"/>
      <c r="DN616" s="1"/>
      <c r="DO616" s="1"/>
      <c r="DP616" s="1"/>
      <c r="DQ616" s="1"/>
      <c r="DR616" s="1"/>
      <c r="DS616" s="1"/>
      <c r="DT616" s="1"/>
      <c r="DU616" s="14"/>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29"/>
    </row>
    <row r="617" spans="1:160" x14ac:dyDescent="0.25">
      <c r="A617" s="5"/>
      <c r="B617" s="1"/>
      <c r="C617" s="98"/>
      <c r="D617" s="98"/>
      <c r="E617" s="1"/>
      <c r="F617" s="22"/>
      <c r="G617" s="22"/>
      <c r="H617" s="22"/>
      <c r="I617" s="22"/>
      <c r="J617" s="22"/>
      <c r="K617" s="22"/>
      <c r="L617" s="22"/>
      <c r="M617" s="22"/>
      <c r="N617" s="22"/>
      <c r="O617" s="22"/>
      <c r="P617" s="22"/>
      <c r="Q617" s="22"/>
      <c r="R617" s="1"/>
      <c r="S617" s="1"/>
      <c r="T617" s="8"/>
      <c r="U617" s="1"/>
      <c r="V617" s="1"/>
      <c r="W617" s="1"/>
      <c r="X617" s="1"/>
      <c r="Y617" s="1"/>
      <c r="Z617" s="1"/>
      <c r="AA617" s="1"/>
      <c r="AC617" s="1"/>
      <c r="AD617" s="1"/>
      <c r="AE617" s="1"/>
      <c r="AF617" s="1"/>
      <c r="AG617" s="1"/>
      <c r="AH617" s="26"/>
      <c r="AI617" s="26"/>
      <c r="AJ617" s="26"/>
      <c r="AK617" s="26"/>
      <c r="AL617" s="26"/>
      <c r="AM617" s="26"/>
      <c r="AN617" s="26"/>
      <c r="AO617" s="26"/>
      <c r="AP617" s="26"/>
      <c r="AQ617" s="26"/>
      <c r="AR617" s="26"/>
      <c r="AS617" s="26"/>
      <c r="AT617" s="26"/>
      <c r="AU617" s="26"/>
      <c r="AV617" s="26"/>
      <c r="AW617" s="26"/>
      <c r="AX617" s="26"/>
      <c r="AY617" s="1"/>
      <c r="AZ617" s="26"/>
      <c r="BA617" s="26"/>
      <c r="BB617" s="26"/>
      <c r="BC617" s="26"/>
      <c r="BD617" s="26"/>
      <c r="BE617" s="26"/>
      <c r="BF617" s="26"/>
      <c r="BG617" s="26"/>
      <c r="BH617" s="26"/>
      <c r="BI617" s="26"/>
      <c r="BJ617" s="26"/>
      <c r="BK617" s="26"/>
      <c r="BL617" s="26"/>
      <c r="BM617" s="26"/>
      <c r="BN617" s="26"/>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96"/>
      <c r="CP617" s="14"/>
      <c r="CQ617" s="14"/>
      <c r="CR617" s="14"/>
      <c r="CS617" s="14"/>
      <c r="CT617" s="1"/>
      <c r="CU617" s="14"/>
      <c r="CV617" s="1"/>
      <c r="CW617" s="1"/>
      <c r="CX617" s="14"/>
      <c r="CY617" s="1"/>
      <c r="CZ617" s="1"/>
      <c r="DA617" s="1"/>
      <c r="DB617" s="1"/>
      <c r="DC617" s="1"/>
      <c r="DD617" s="1"/>
      <c r="DE617" s="1"/>
      <c r="DF617" s="1"/>
      <c r="DG617" s="1"/>
      <c r="DH617" s="1"/>
      <c r="DI617" s="1"/>
      <c r="DJ617" s="1"/>
      <c r="DK617" s="1"/>
      <c r="DL617" s="1"/>
      <c r="DM617" s="1"/>
      <c r="DN617" s="1"/>
      <c r="DO617" s="1"/>
      <c r="DP617" s="1"/>
      <c r="DQ617" s="1"/>
      <c r="DR617" s="1"/>
      <c r="DS617" s="1"/>
      <c r="DT617" s="1"/>
      <c r="DU617" s="14"/>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29"/>
    </row>
    <row r="618" spans="1:160" x14ac:dyDescent="0.25">
      <c r="A618" s="5"/>
      <c r="B618" s="1"/>
      <c r="C618" s="98"/>
      <c r="D618" s="98"/>
      <c r="E618" s="1"/>
      <c r="F618" s="22"/>
      <c r="G618" s="22"/>
      <c r="H618" s="22"/>
      <c r="I618" s="22"/>
      <c r="J618" s="22"/>
      <c r="K618" s="22"/>
      <c r="L618" s="22"/>
      <c r="M618" s="22"/>
      <c r="N618" s="22"/>
      <c r="O618" s="22"/>
      <c r="P618" s="22"/>
      <c r="Q618" s="22"/>
      <c r="R618" s="1"/>
      <c r="S618" s="1"/>
      <c r="T618" s="8"/>
      <c r="U618" s="1"/>
      <c r="V618" s="1"/>
      <c r="W618" s="1"/>
      <c r="X618" s="1"/>
      <c r="Y618" s="1"/>
      <c r="Z618" s="1"/>
      <c r="AA618" s="1"/>
      <c r="AC618" s="1"/>
      <c r="AD618" s="1"/>
      <c r="AE618" s="1"/>
      <c r="AF618" s="1"/>
      <c r="AG618" s="1"/>
      <c r="AH618" s="26"/>
      <c r="AI618" s="26"/>
      <c r="AJ618" s="26"/>
      <c r="AK618" s="26"/>
      <c r="AL618" s="26"/>
      <c r="AM618" s="26"/>
      <c r="AN618" s="26"/>
      <c r="AO618" s="26"/>
      <c r="AP618" s="26"/>
      <c r="AQ618" s="26"/>
      <c r="AR618" s="26"/>
      <c r="AS618" s="26"/>
      <c r="AT618" s="26"/>
      <c r="AU618" s="26"/>
      <c r="AV618" s="26"/>
      <c r="AW618" s="26"/>
      <c r="AX618" s="26"/>
      <c r="AY618" s="1"/>
      <c r="AZ618" s="26"/>
      <c r="BA618" s="26"/>
      <c r="BB618" s="26"/>
      <c r="BC618" s="26"/>
      <c r="BD618" s="26"/>
      <c r="BE618" s="26"/>
      <c r="BF618" s="26"/>
      <c r="BG618" s="26"/>
      <c r="BH618" s="26"/>
      <c r="BI618" s="26"/>
      <c r="BJ618" s="26"/>
      <c r="BK618" s="26"/>
      <c r="BL618" s="26"/>
      <c r="BM618" s="26"/>
      <c r="BN618" s="26"/>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96"/>
      <c r="CP618" s="14"/>
      <c r="CQ618" s="14"/>
      <c r="CR618" s="14"/>
      <c r="CS618" s="14"/>
      <c r="CT618" s="1"/>
      <c r="CU618" s="14"/>
      <c r="CV618" s="1"/>
      <c r="CW618" s="1"/>
      <c r="CX618" s="14"/>
      <c r="CY618" s="1"/>
      <c r="CZ618" s="1"/>
      <c r="DA618" s="1"/>
      <c r="DB618" s="1"/>
      <c r="DC618" s="1"/>
      <c r="DD618" s="1"/>
      <c r="DE618" s="1"/>
      <c r="DF618" s="1"/>
      <c r="DG618" s="1"/>
      <c r="DH618" s="1"/>
      <c r="DI618" s="1"/>
      <c r="DJ618" s="1"/>
      <c r="DK618" s="1"/>
      <c r="DL618" s="1"/>
      <c r="DM618" s="1"/>
      <c r="DN618" s="1"/>
      <c r="DO618" s="1"/>
      <c r="DP618" s="1"/>
      <c r="DQ618" s="1"/>
      <c r="DR618" s="1"/>
      <c r="DS618" s="1"/>
      <c r="DT618" s="1"/>
      <c r="DU618" s="14"/>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29"/>
    </row>
    <row r="619" spans="1:160" x14ac:dyDescent="0.25">
      <c r="A619" s="5"/>
      <c r="B619" s="1"/>
      <c r="C619" s="98"/>
      <c r="D619" s="98"/>
      <c r="E619" s="1"/>
      <c r="F619" s="22"/>
      <c r="G619" s="22"/>
      <c r="H619" s="22"/>
      <c r="I619" s="22"/>
      <c r="J619" s="22"/>
      <c r="K619" s="22"/>
      <c r="L619" s="22"/>
      <c r="M619" s="22"/>
      <c r="N619" s="22"/>
      <c r="O619" s="22"/>
      <c r="P619" s="22"/>
      <c r="Q619" s="22"/>
      <c r="R619" s="1"/>
      <c r="S619" s="1"/>
      <c r="T619" s="8"/>
      <c r="U619" s="1"/>
      <c r="V619" s="1"/>
      <c r="W619" s="1"/>
      <c r="X619" s="1"/>
      <c r="Y619" s="1"/>
      <c r="Z619" s="1"/>
      <c r="AA619" s="1"/>
      <c r="AC619" s="1"/>
      <c r="AD619" s="1"/>
      <c r="AE619" s="1"/>
      <c r="AF619" s="1"/>
      <c r="AG619" s="1"/>
      <c r="AH619" s="26"/>
      <c r="AI619" s="26"/>
      <c r="AJ619" s="26"/>
      <c r="AK619" s="26"/>
      <c r="AL619" s="26"/>
      <c r="AM619" s="26"/>
      <c r="AN619" s="26"/>
      <c r="AO619" s="26"/>
      <c r="AP619" s="26"/>
      <c r="AQ619" s="26"/>
      <c r="AR619" s="26"/>
      <c r="AS619" s="26"/>
      <c r="AT619" s="26"/>
      <c r="AU619" s="26"/>
      <c r="AV619" s="26"/>
      <c r="AW619" s="26"/>
      <c r="AX619" s="26"/>
      <c r="AY619" s="1"/>
      <c r="AZ619" s="26"/>
      <c r="BA619" s="26"/>
      <c r="BB619" s="26"/>
      <c r="BC619" s="26"/>
      <c r="BD619" s="26"/>
      <c r="BE619" s="26"/>
      <c r="BF619" s="26"/>
      <c r="BG619" s="26"/>
      <c r="BH619" s="26"/>
      <c r="BI619" s="26"/>
      <c r="BJ619" s="26"/>
      <c r="BK619" s="26"/>
      <c r="BL619" s="26"/>
      <c r="BM619" s="26"/>
      <c r="BN619" s="26"/>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96"/>
      <c r="CP619" s="14"/>
      <c r="CQ619" s="14"/>
      <c r="CR619" s="14"/>
      <c r="CS619" s="14"/>
      <c r="CT619" s="1"/>
      <c r="CU619" s="14"/>
      <c r="CV619" s="1"/>
      <c r="CW619" s="1"/>
      <c r="CX619" s="14"/>
      <c r="CY619" s="1"/>
      <c r="CZ619" s="1"/>
      <c r="DA619" s="1"/>
      <c r="DB619" s="1"/>
      <c r="DC619" s="1"/>
      <c r="DD619" s="1"/>
      <c r="DE619" s="1"/>
      <c r="DF619" s="1"/>
      <c r="DG619" s="1"/>
      <c r="DH619" s="1"/>
      <c r="DI619" s="1"/>
      <c r="DJ619" s="1"/>
      <c r="DK619" s="1"/>
      <c r="DL619" s="1"/>
      <c r="DM619" s="1"/>
      <c r="DN619" s="1"/>
      <c r="DO619" s="1"/>
      <c r="DP619" s="1"/>
      <c r="DQ619" s="1"/>
      <c r="DR619" s="1"/>
      <c r="DS619" s="1"/>
      <c r="DT619" s="1"/>
      <c r="DU619" s="14"/>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29"/>
    </row>
    <row r="620" spans="1:160" x14ac:dyDescent="0.25">
      <c r="A620" s="5"/>
      <c r="B620" s="1"/>
      <c r="C620" s="98"/>
      <c r="D620" s="98"/>
      <c r="E620" s="1"/>
      <c r="F620" s="22"/>
      <c r="G620" s="22"/>
      <c r="H620" s="22"/>
      <c r="I620" s="22"/>
      <c r="J620" s="22"/>
      <c r="K620" s="22"/>
      <c r="L620" s="22"/>
      <c r="M620" s="22"/>
      <c r="N620" s="22"/>
      <c r="O620" s="22"/>
      <c r="P620" s="22"/>
      <c r="Q620" s="22"/>
      <c r="R620" s="1"/>
      <c r="S620" s="1"/>
      <c r="T620" s="8"/>
      <c r="U620" s="1"/>
      <c r="V620" s="1"/>
      <c r="W620" s="1"/>
      <c r="X620" s="1"/>
      <c r="Y620" s="1"/>
      <c r="Z620" s="1"/>
      <c r="AA620" s="1"/>
      <c r="AC620" s="1"/>
      <c r="AD620" s="1"/>
      <c r="AE620" s="1"/>
      <c r="AF620" s="1"/>
      <c r="AG620" s="1"/>
      <c r="AH620" s="26"/>
      <c r="AI620" s="26"/>
      <c r="AJ620" s="26"/>
      <c r="AK620" s="26"/>
      <c r="AL620" s="26"/>
      <c r="AM620" s="26"/>
      <c r="AN620" s="26"/>
      <c r="AO620" s="26"/>
      <c r="AP620" s="26"/>
      <c r="AQ620" s="26"/>
      <c r="AR620" s="26"/>
      <c r="AS620" s="26"/>
      <c r="AT620" s="26"/>
      <c r="AU620" s="26"/>
      <c r="AV620" s="26"/>
      <c r="AW620" s="26"/>
      <c r="AX620" s="26"/>
      <c r="AY620" s="1"/>
      <c r="AZ620" s="26"/>
      <c r="BA620" s="26"/>
      <c r="BB620" s="26"/>
      <c r="BC620" s="26"/>
      <c r="BD620" s="26"/>
      <c r="BE620" s="26"/>
      <c r="BF620" s="26"/>
      <c r="BG620" s="26"/>
      <c r="BH620" s="26"/>
      <c r="BI620" s="26"/>
      <c r="BJ620" s="26"/>
      <c r="BK620" s="26"/>
      <c r="BL620" s="26"/>
      <c r="BM620" s="26"/>
      <c r="BN620" s="26"/>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96"/>
      <c r="CP620" s="14"/>
      <c r="CQ620" s="14"/>
      <c r="CR620" s="14"/>
      <c r="CS620" s="14"/>
      <c r="CT620" s="1"/>
      <c r="CU620" s="14"/>
      <c r="CV620" s="1"/>
      <c r="CW620" s="1"/>
      <c r="CX620" s="14"/>
      <c r="CY620" s="1"/>
      <c r="CZ620" s="1"/>
      <c r="DA620" s="1"/>
      <c r="DB620" s="1"/>
      <c r="DC620" s="1"/>
      <c r="DD620" s="1"/>
      <c r="DE620" s="1"/>
      <c r="DF620" s="1"/>
      <c r="DG620" s="1"/>
      <c r="DH620" s="1"/>
      <c r="DI620" s="1"/>
      <c r="DJ620" s="1"/>
      <c r="DK620" s="1"/>
      <c r="DL620" s="1"/>
      <c r="DM620" s="1"/>
      <c r="DN620" s="1"/>
      <c r="DO620" s="1"/>
      <c r="DP620" s="1"/>
      <c r="DQ620" s="1"/>
      <c r="DR620" s="1"/>
      <c r="DS620" s="1"/>
      <c r="DT620" s="1"/>
      <c r="DU620" s="14"/>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29"/>
    </row>
    <row r="621" spans="1:160" x14ac:dyDescent="0.25">
      <c r="A621" s="5"/>
      <c r="B621" s="1"/>
      <c r="C621" s="98"/>
      <c r="D621" s="98"/>
      <c r="E621" s="1"/>
      <c r="F621" s="22"/>
      <c r="G621" s="22"/>
      <c r="H621" s="22"/>
      <c r="I621" s="22"/>
      <c r="J621" s="22"/>
      <c r="K621" s="22"/>
      <c r="L621" s="22"/>
      <c r="M621" s="22"/>
      <c r="N621" s="22"/>
      <c r="O621" s="22"/>
      <c r="P621" s="22"/>
      <c r="Q621" s="22"/>
      <c r="R621" s="1"/>
      <c r="S621" s="1"/>
      <c r="T621" s="8"/>
      <c r="U621" s="1"/>
      <c r="V621" s="1"/>
      <c r="W621" s="1"/>
      <c r="X621" s="1"/>
      <c r="Y621" s="1"/>
      <c r="Z621" s="1"/>
      <c r="AA621" s="1"/>
      <c r="AC621" s="1"/>
      <c r="AD621" s="1"/>
      <c r="AE621" s="1"/>
      <c r="AF621" s="1"/>
      <c r="AG621" s="1"/>
      <c r="AH621" s="26"/>
      <c r="AI621" s="26"/>
      <c r="AJ621" s="26"/>
      <c r="AK621" s="26"/>
      <c r="AL621" s="26"/>
      <c r="AM621" s="26"/>
      <c r="AN621" s="26"/>
      <c r="AO621" s="26"/>
      <c r="AP621" s="26"/>
      <c r="AQ621" s="26"/>
      <c r="AR621" s="26"/>
      <c r="AS621" s="26"/>
      <c r="AT621" s="26"/>
      <c r="AU621" s="26"/>
      <c r="AV621" s="26"/>
      <c r="AW621" s="26"/>
      <c r="AX621" s="26"/>
      <c r="AY621" s="1"/>
      <c r="AZ621" s="26"/>
      <c r="BA621" s="26"/>
      <c r="BB621" s="26"/>
      <c r="BC621" s="26"/>
      <c r="BD621" s="26"/>
      <c r="BE621" s="26"/>
      <c r="BF621" s="26"/>
      <c r="BG621" s="26"/>
      <c r="BH621" s="26"/>
      <c r="BI621" s="26"/>
      <c r="BJ621" s="26"/>
      <c r="BK621" s="26"/>
      <c r="BL621" s="26"/>
      <c r="BM621" s="26"/>
      <c r="BN621" s="26"/>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96"/>
      <c r="CP621" s="14"/>
      <c r="CQ621" s="14"/>
      <c r="CR621" s="14"/>
      <c r="CS621" s="14"/>
      <c r="CT621" s="1"/>
      <c r="CU621" s="14"/>
      <c r="CV621" s="1"/>
      <c r="CW621" s="1"/>
      <c r="CX621" s="14"/>
      <c r="CY621" s="1"/>
      <c r="CZ621" s="1"/>
      <c r="DA621" s="1"/>
      <c r="DB621" s="1"/>
      <c r="DC621" s="1"/>
      <c r="DD621" s="1"/>
      <c r="DE621" s="1"/>
      <c r="DF621" s="1"/>
      <c r="DG621" s="1"/>
      <c r="DH621" s="1"/>
      <c r="DI621" s="1"/>
      <c r="DJ621" s="1"/>
      <c r="DK621" s="1"/>
      <c r="DL621" s="1"/>
      <c r="DM621" s="1"/>
      <c r="DN621" s="1"/>
      <c r="DO621" s="1"/>
      <c r="DP621" s="1"/>
      <c r="DQ621" s="1"/>
      <c r="DR621" s="1"/>
      <c r="DS621" s="1"/>
      <c r="DT621" s="1"/>
      <c r="DU621" s="14"/>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29"/>
    </row>
    <row r="622" spans="1:160" x14ac:dyDescent="0.25">
      <c r="A622" s="5"/>
      <c r="B622" s="1"/>
      <c r="C622" s="98"/>
      <c r="D622" s="98"/>
      <c r="E622" s="1"/>
      <c r="F622" s="22"/>
      <c r="G622" s="22"/>
      <c r="H622" s="22"/>
      <c r="I622" s="22"/>
      <c r="J622" s="22"/>
      <c r="K622" s="22"/>
      <c r="L622" s="22"/>
      <c r="M622" s="22"/>
      <c r="N622" s="22"/>
      <c r="O622" s="22"/>
      <c r="P622" s="22"/>
      <c r="Q622" s="22"/>
      <c r="R622" s="1"/>
      <c r="S622" s="1"/>
      <c r="T622" s="8"/>
      <c r="U622" s="1"/>
      <c r="V622" s="1"/>
      <c r="W622" s="1"/>
      <c r="X622" s="1"/>
      <c r="Y622" s="1"/>
      <c r="Z622" s="1"/>
      <c r="AA622" s="1"/>
      <c r="AC622" s="1"/>
      <c r="AD622" s="1"/>
      <c r="AE622" s="1"/>
      <c r="AF622" s="1"/>
      <c r="AG622" s="1"/>
      <c r="AH622" s="26"/>
      <c r="AI622" s="26"/>
      <c r="AJ622" s="26"/>
      <c r="AK622" s="26"/>
      <c r="AL622" s="26"/>
      <c r="AM622" s="26"/>
      <c r="AN622" s="26"/>
      <c r="AO622" s="26"/>
      <c r="AP622" s="26"/>
      <c r="AQ622" s="26"/>
      <c r="AR622" s="26"/>
      <c r="AS622" s="26"/>
      <c r="AT622" s="26"/>
      <c r="AU622" s="26"/>
      <c r="AV622" s="26"/>
      <c r="AW622" s="26"/>
      <c r="AX622" s="26"/>
      <c r="AY622" s="1"/>
      <c r="AZ622" s="26"/>
      <c r="BA622" s="26"/>
      <c r="BB622" s="26"/>
      <c r="BC622" s="26"/>
      <c r="BD622" s="26"/>
      <c r="BE622" s="26"/>
      <c r="BF622" s="26"/>
      <c r="BG622" s="26"/>
      <c r="BH622" s="26"/>
      <c r="BI622" s="26"/>
      <c r="BJ622" s="26"/>
      <c r="BK622" s="26"/>
      <c r="BL622" s="26"/>
      <c r="BM622" s="26"/>
      <c r="BN622" s="26"/>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96"/>
      <c r="CP622" s="14"/>
      <c r="CQ622" s="14"/>
      <c r="CR622" s="14"/>
      <c r="CS622" s="14"/>
      <c r="CT622" s="1"/>
      <c r="CU622" s="14"/>
      <c r="CV622" s="1"/>
      <c r="CW622" s="1"/>
      <c r="CX622" s="14"/>
      <c r="CY622" s="1"/>
      <c r="CZ622" s="1"/>
      <c r="DA622" s="1"/>
      <c r="DB622" s="1"/>
      <c r="DC622" s="1"/>
      <c r="DD622" s="1"/>
      <c r="DE622" s="1"/>
      <c r="DF622" s="1"/>
      <c r="DG622" s="1"/>
      <c r="DH622" s="1"/>
      <c r="DI622" s="1"/>
      <c r="DJ622" s="1"/>
      <c r="DK622" s="1"/>
      <c r="DL622" s="1"/>
      <c r="DM622" s="1"/>
      <c r="DN622" s="1"/>
      <c r="DO622" s="1"/>
      <c r="DP622" s="1"/>
      <c r="DQ622" s="1"/>
      <c r="DR622" s="1"/>
      <c r="DS622" s="1"/>
      <c r="DT622" s="1"/>
      <c r="DU622" s="14"/>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29"/>
    </row>
    <row r="623" spans="1:160" x14ac:dyDescent="0.25">
      <c r="A623" s="5"/>
      <c r="B623" s="1"/>
      <c r="C623" s="98"/>
      <c r="D623" s="98"/>
      <c r="E623" s="1"/>
      <c r="F623" s="22"/>
      <c r="G623" s="22"/>
      <c r="H623" s="22"/>
      <c r="I623" s="22"/>
      <c r="J623" s="22"/>
      <c r="K623" s="22"/>
      <c r="L623" s="22"/>
      <c r="M623" s="22"/>
      <c r="N623" s="22"/>
      <c r="O623" s="22"/>
      <c r="P623" s="22"/>
      <c r="Q623" s="22"/>
      <c r="R623" s="1"/>
      <c r="S623" s="1"/>
      <c r="T623" s="8"/>
      <c r="U623" s="1"/>
      <c r="V623" s="1"/>
      <c r="W623" s="1"/>
      <c r="X623" s="1"/>
      <c r="Y623" s="1"/>
      <c r="Z623" s="1"/>
      <c r="AA623" s="1"/>
      <c r="AC623" s="1"/>
      <c r="AD623" s="1"/>
      <c r="AE623" s="1"/>
      <c r="AF623" s="1"/>
      <c r="AG623" s="1"/>
      <c r="AH623" s="26"/>
      <c r="AI623" s="26"/>
      <c r="AJ623" s="26"/>
      <c r="AK623" s="26"/>
      <c r="AL623" s="26"/>
      <c r="AM623" s="26"/>
      <c r="AN623" s="26"/>
      <c r="AO623" s="26"/>
      <c r="AP623" s="26"/>
      <c r="AQ623" s="26"/>
      <c r="AR623" s="26"/>
      <c r="AS623" s="26"/>
      <c r="AT623" s="26"/>
      <c r="AU623" s="26"/>
      <c r="AV623" s="26"/>
      <c r="AW623" s="26"/>
      <c r="AX623" s="26"/>
      <c r="AY623" s="1"/>
      <c r="AZ623" s="26"/>
      <c r="BA623" s="26"/>
      <c r="BB623" s="26"/>
      <c r="BC623" s="26"/>
      <c r="BD623" s="26"/>
      <c r="BE623" s="26"/>
      <c r="BF623" s="26"/>
      <c r="BG623" s="26"/>
      <c r="BH623" s="26"/>
      <c r="BI623" s="26"/>
      <c r="BJ623" s="26"/>
      <c r="BK623" s="26"/>
      <c r="BL623" s="26"/>
      <c r="BM623" s="26"/>
      <c r="BN623" s="26"/>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96"/>
      <c r="CP623" s="14"/>
      <c r="CQ623" s="14"/>
      <c r="CR623" s="14"/>
      <c r="CS623" s="14"/>
      <c r="CT623" s="1"/>
      <c r="CU623" s="14"/>
      <c r="CV623" s="1"/>
      <c r="CW623" s="1"/>
      <c r="CX623" s="14"/>
      <c r="CY623" s="1"/>
      <c r="CZ623" s="1"/>
      <c r="DA623" s="1"/>
      <c r="DB623" s="1"/>
      <c r="DC623" s="1"/>
      <c r="DD623" s="1"/>
      <c r="DE623" s="1"/>
      <c r="DF623" s="1"/>
      <c r="DG623" s="1"/>
      <c r="DH623" s="1"/>
      <c r="DI623" s="1"/>
      <c r="DJ623" s="1"/>
      <c r="DK623" s="1"/>
      <c r="DL623" s="1"/>
      <c r="DM623" s="1"/>
      <c r="DN623" s="1"/>
      <c r="DO623" s="1"/>
      <c r="DP623" s="1"/>
      <c r="DQ623" s="1"/>
      <c r="DR623" s="1"/>
      <c r="DS623" s="1"/>
      <c r="DT623" s="1"/>
      <c r="DU623" s="14"/>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29"/>
    </row>
    <row r="624" spans="1:160" x14ac:dyDescent="0.25">
      <c r="A624" s="5"/>
      <c r="B624" s="1"/>
      <c r="C624" s="98"/>
      <c r="D624" s="98"/>
      <c r="E624" s="1"/>
      <c r="F624" s="22"/>
      <c r="G624" s="22"/>
      <c r="H624" s="22"/>
      <c r="I624" s="22"/>
      <c r="J624" s="22"/>
      <c r="K624" s="22"/>
      <c r="L624" s="22"/>
      <c r="M624" s="22"/>
      <c r="N624" s="22"/>
      <c r="O624" s="22"/>
      <c r="P624" s="22"/>
      <c r="Q624" s="22"/>
      <c r="R624" s="1"/>
      <c r="S624" s="1"/>
      <c r="T624" s="8"/>
      <c r="U624" s="1"/>
      <c r="V624" s="1"/>
      <c r="W624" s="1"/>
      <c r="X624" s="1"/>
      <c r="Y624" s="1"/>
      <c r="Z624" s="1"/>
      <c r="AA624" s="1"/>
      <c r="AC624" s="1"/>
      <c r="AD624" s="1"/>
      <c r="AE624" s="1"/>
      <c r="AF624" s="1"/>
      <c r="AG624" s="1"/>
      <c r="AH624" s="26"/>
      <c r="AI624" s="26"/>
      <c r="AJ624" s="26"/>
      <c r="AK624" s="26"/>
      <c r="AL624" s="26"/>
      <c r="AM624" s="26"/>
      <c r="AN624" s="26"/>
      <c r="AO624" s="26"/>
      <c r="AP624" s="26"/>
      <c r="AQ624" s="26"/>
      <c r="AR624" s="26"/>
      <c r="AS624" s="26"/>
      <c r="AT624" s="26"/>
      <c r="AU624" s="26"/>
      <c r="AV624" s="26"/>
      <c r="AW624" s="26"/>
      <c r="AX624" s="26"/>
      <c r="AY624" s="1"/>
      <c r="AZ624" s="26"/>
      <c r="BA624" s="26"/>
      <c r="BB624" s="26"/>
      <c r="BC624" s="26"/>
      <c r="BD624" s="26"/>
      <c r="BE624" s="26"/>
      <c r="BF624" s="26"/>
      <c r="BG624" s="26"/>
      <c r="BH624" s="26"/>
      <c r="BI624" s="26"/>
      <c r="BJ624" s="26"/>
      <c r="BK624" s="26"/>
      <c r="BL624" s="26"/>
      <c r="BM624" s="26"/>
      <c r="BN624" s="26"/>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96"/>
      <c r="CP624" s="14"/>
      <c r="CQ624" s="14"/>
      <c r="CR624" s="14"/>
      <c r="CS624" s="14"/>
      <c r="CT624" s="1"/>
      <c r="CU624" s="14"/>
      <c r="CV624" s="1"/>
      <c r="CW624" s="1"/>
      <c r="CX624" s="14"/>
      <c r="CY624" s="1"/>
      <c r="CZ624" s="1"/>
      <c r="DA624" s="1"/>
      <c r="DB624" s="1"/>
      <c r="DC624" s="1"/>
      <c r="DD624" s="1"/>
      <c r="DE624" s="1"/>
      <c r="DF624" s="1"/>
      <c r="DG624" s="1"/>
      <c r="DH624" s="1"/>
      <c r="DI624" s="1"/>
      <c r="DJ624" s="1"/>
      <c r="DK624" s="1"/>
      <c r="DL624" s="1"/>
      <c r="DM624" s="1"/>
      <c r="DN624" s="1"/>
      <c r="DO624" s="1"/>
      <c r="DP624" s="1"/>
      <c r="DQ624" s="1"/>
      <c r="DR624" s="1"/>
      <c r="DS624" s="1"/>
      <c r="DT624" s="1"/>
      <c r="DU624" s="14"/>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29"/>
    </row>
    <row r="625" spans="1:160" x14ac:dyDescent="0.25">
      <c r="A625" s="5"/>
      <c r="B625" s="1"/>
      <c r="C625" s="98"/>
      <c r="D625" s="98"/>
      <c r="E625" s="1"/>
      <c r="F625" s="22"/>
      <c r="G625" s="22"/>
      <c r="H625" s="22"/>
      <c r="I625" s="22"/>
      <c r="J625" s="22"/>
      <c r="K625" s="22"/>
      <c r="L625" s="22"/>
      <c r="M625" s="22"/>
      <c r="N625" s="22"/>
      <c r="O625" s="22"/>
      <c r="P625" s="22"/>
      <c r="Q625" s="22"/>
      <c r="R625" s="1"/>
      <c r="S625" s="1"/>
      <c r="T625" s="8"/>
      <c r="U625" s="1"/>
      <c r="V625" s="1"/>
      <c r="W625" s="1"/>
      <c r="X625" s="1"/>
      <c r="Y625" s="1"/>
      <c r="Z625" s="1"/>
      <c r="AA625" s="1"/>
      <c r="AC625" s="1"/>
      <c r="AD625" s="1"/>
      <c r="AE625" s="1"/>
      <c r="AF625" s="1"/>
      <c r="AG625" s="1"/>
      <c r="AH625" s="26"/>
      <c r="AI625" s="26"/>
      <c r="AJ625" s="26"/>
      <c r="AK625" s="26"/>
      <c r="AL625" s="26"/>
      <c r="AM625" s="26"/>
      <c r="AN625" s="26"/>
      <c r="AO625" s="26"/>
      <c r="AP625" s="26"/>
      <c r="AQ625" s="26"/>
      <c r="AR625" s="26"/>
      <c r="AS625" s="26"/>
      <c r="AT625" s="26"/>
      <c r="AU625" s="26"/>
      <c r="AV625" s="26"/>
      <c r="AW625" s="26"/>
      <c r="AX625" s="26"/>
      <c r="AY625" s="1"/>
      <c r="AZ625" s="26"/>
      <c r="BA625" s="26"/>
      <c r="BB625" s="26"/>
      <c r="BC625" s="26"/>
      <c r="BD625" s="26"/>
      <c r="BE625" s="26"/>
      <c r="BF625" s="26"/>
      <c r="BG625" s="26"/>
      <c r="BH625" s="26"/>
      <c r="BI625" s="26"/>
      <c r="BJ625" s="26"/>
      <c r="BK625" s="26"/>
      <c r="BL625" s="26"/>
      <c r="BM625" s="26"/>
      <c r="BN625" s="26"/>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96"/>
      <c r="CP625" s="14"/>
      <c r="CQ625" s="14"/>
      <c r="CR625" s="14"/>
      <c r="CS625" s="14"/>
      <c r="CT625" s="1"/>
      <c r="CU625" s="14"/>
      <c r="CV625" s="1"/>
      <c r="CW625" s="1"/>
      <c r="CX625" s="14"/>
      <c r="CY625" s="1"/>
      <c r="CZ625" s="1"/>
      <c r="DA625" s="1"/>
      <c r="DB625" s="1"/>
      <c r="DC625" s="1"/>
      <c r="DD625" s="1"/>
      <c r="DE625" s="1"/>
      <c r="DF625" s="1"/>
      <c r="DG625" s="1"/>
      <c r="DH625" s="1"/>
      <c r="DI625" s="1"/>
      <c r="DJ625" s="1"/>
      <c r="DK625" s="1"/>
      <c r="DL625" s="1"/>
      <c r="DM625" s="1"/>
      <c r="DN625" s="1"/>
      <c r="DO625" s="1"/>
      <c r="DP625" s="1"/>
      <c r="DQ625" s="1"/>
      <c r="DR625" s="1"/>
      <c r="DS625" s="1"/>
      <c r="DT625" s="1"/>
      <c r="DU625" s="14"/>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29"/>
    </row>
    <row r="626" spans="1:160" x14ac:dyDescent="0.25">
      <c r="A626" s="5"/>
      <c r="B626" s="1"/>
      <c r="C626" s="98"/>
      <c r="D626" s="98"/>
      <c r="E626" s="1"/>
      <c r="F626" s="22"/>
      <c r="G626" s="22"/>
      <c r="H626" s="22"/>
      <c r="I626" s="22"/>
      <c r="J626" s="22"/>
      <c r="K626" s="22"/>
      <c r="L626" s="22"/>
      <c r="M626" s="22"/>
      <c r="N626" s="22"/>
      <c r="O626" s="22"/>
      <c r="P626" s="22"/>
      <c r="Q626" s="22"/>
      <c r="R626" s="1"/>
      <c r="S626" s="1"/>
      <c r="T626" s="8"/>
      <c r="U626" s="1"/>
      <c r="V626" s="1"/>
      <c r="W626" s="1"/>
      <c r="X626" s="1"/>
      <c r="Y626" s="1"/>
      <c r="Z626" s="1"/>
      <c r="AA626" s="1"/>
      <c r="AC626" s="1"/>
      <c r="AD626" s="1"/>
      <c r="AE626" s="1"/>
      <c r="AF626" s="1"/>
      <c r="AG626" s="1"/>
      <c r="AH626" s="26"/>
      <c r="AI626" s="26"/>
      <c r="AJ626" s="26"/>
      <c r="AK626" s="26"/>
      <c r="AL626" s="26"/>
      <c r="AM626" s="26"/>
      <c r="AN626" s="26"/>
      <c r="AO626" s="26"/>
      <c r="AP626" s="26"/>
      <c r="AQ626" s="26"/>
      <c r="AR626" s="26"/>
      <c r="AS626" s="26"/>
      <c r="AT626" s="26"/>
      <c r="AU626" s="26"/>
      <c r="AV626" s="26"/>
      <c r="AW626" s="26"/>
      <c r="AX626" s="26"/>
      <c r="AY626" s="1"/>
      <c r="AZ626" s="26"/>
      <c r="BA626" s="26"/>
      <c r="BB626" s="26"/>
      <c r="BC626" s="26"/>
      <c r="BD626" s="26"/>
      <c r="BE626" s="26"/>
      <c r="BF626" s="26"/>
      <c r="BG626" s="26"/>
      <c r="BH626" s="26"/>
      <c r="BI626" s="26"/>
      <c r="BJ626" s="26"/>
      <c r="BK626" s="26"/>
      <c r="BL626" s="26"/>
      <c r="BM626" s="26"/>
      <c r="BN626" s="26"/>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96"/>
      <c r="CP626" s="14"/>
      <c r="CQ626" s="14"/>
      <c r="CR626" s="14"/>
      <c r="CS626" s="14"/>
      <c r="CT626" s="1"/>
      <c r="CU626" s="14"/>
      <c r="CV626" s="1"/>
      <c r="CW626" s="1"/>
      <c r="CX626" s="14"/>
      <c r="CY626" s="1"/>
      <c r="CZ626" s="1"/>
      <c r="DA626" s="1"/>
      <c r="DB626" s="1"/>
      <c r="DC626" s="1"/>
      <c r="DD626" s="1"/>
      <c r="DE626" s="1"/>
      <c r="DF626" s="1"/>
      <c r="DG626" s="1"/>
      <c r="DH626" s="1"/>
      <c r="DI626" s="1"/>
      <c r="DJ626" s="1"/>
      <c r="DK626" s="1"/>
      <c r="DL626" s="1"/>
      <c r="DM626" s="1"/>
      <c r="DN626" s="1"/>
      <c r="DO626" s="1"/>
      <c r="DP626" s="1"/>
      <c r="DQ626" s="1"/>
      <c r="DR626" s="1"/>
      <c r="DS626" s="1"/>
      <c r="DT626" s="1"/>
      <c r="DU626" s="14"/>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29"/>
    </row>
    <row r="627" spans="1:160" x14ac:dyDescent="0.25">
      <c r="A627" s="5"/>
      <c r="B627" s="1"/>
      <c r="C627" s="98"/>
      <c r="D627" s="98"/>
      <c r="E627" s="1"/>
      <c r="F627" s="22"/>
      <c r="G627" s="22"/>
      <c r="H627" s="22"/>
      <c r="I627" s="22"/>
      <c r="J627" s="22"/>
      <c r="K627" s="22"/>
      <c r="L627" s="22"/>
      <c r="M627" s="22"/>
      <c r="N627" s="22"/>
      <c r="O627" s="22"/>
      <c r="P627" s="22"/>
      <c r="Q627" s="22"/>
      <c r="R627" s="1"/>
      <c r="S627" s="1"/>
      <c r="T627" s="8"/>
      <c r="U627" s="1"/>
      <c r="V627" s="1"/>
      <c r="W627" s="1"/>
      <c r="X627" s="1"/>
      <c r="Y627" s="1"/>
      <c r="Z627" s="1"/>
      <c r="AA627" s="1"/>
      <c r="AC627" s="1"/>
      <c r="AD627" s="1"/>
      <c r="AE627" s="1"/>
      <c r="AF627" s="1"/>
      <c r="AG627" s="1"/>
      <c r="AH627" s="26"/>
      <c r="AI627" s="26"/>
      <c r="AJ627" s="26"/>
      <c r="AK627" s="26"/>
      <c r="AL627" s="26"/>
      <c r="AM627" s="26"/>
      <c r="AN627" s="26"/>
      <c r="AO627" s="26"/>
      <c r="AP627" s="26"/>
      <c r="AQ627" s="26"/>
      <c r="AR627" s="26"/>
      <c r="AS627" s="26"/>
      <c r="AT627" s="26"/>
      <c r="AU627" s="26"/>
      <c r="AV627" s="26"/>
      <c r="AW627" s="26"/>
      <c r="AX627" s="26"/>
      <c r="AY627" s="1"/>
      <c r="AZ627" s="26"/>
      <c r="BA627" s="26"/>
      <c r="BB627" s="26"/>
      <c r="BC627" s="26"/>
      <c r="BD627" s="26"/>
      <c r="BE627" s="26"/>
      <c r="BF627" s="26"/>
      <c r="BG627" s="26"/>
      <c r="BH627" s="26"/>
      <c r="BI627" s="26"/>
      <c r="BJ627" s="26"/>
      <c r="BK627" s="26"/>
      <c r="BL627" s="26"/>
      <c r="BM627" s="26"/>
      <c r="BN627" s="26"/>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96"/>
      <c r="CP627" s="14"/>
      <c r="CQ627" s="14"/>
      <c r="CR627" s="14"/>
      <c r="CS627" s="14"/>
      <c r="CT627" s="1"/>
      <c r="CU627" s="14"/>
      <c r="CV627" s="1"/>
      <c r="CW627" s="1"/>
      <c r="CX627" s="14"/>
      <c r="CY627" s="1"/>
      <c r="CZ627" s="1"/>
      <c r="DA627" s="1"/>
      <c r="DB627" s="1"/>
      <c r="DC627" s="1"/>
      <c r="DD627" s="1"/>
      <c r="DE627" s="1"/>
      <c r="DF627" s="1"/>
      <c r="DG627" s="1"/>
      <c r="DH627" s="1"/>
      <c r="DI627" s="1"/>
      <c r="DJ627" s="1"/>
      <c r="DK627" s="1"/>
      <c r="DL627" s="1"/>
      <c r="DM627" s="1"/>
      <c r="DN627" s="1"/>
      <c r="DO627" s="1"/>
      <c r="DP627" s="1"/>
      <c r="DQ627" s="1"/>
      <c r="DR627" s="1"/>
      <c r="DS627" s="1"/>
      <c r="DT627" s="1"/>
      <c r="DU627" s="14"/>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29"/>
    </row>
    <row r="628" spans="1:160" x14ac:dyDescent="0.25">
      <c r="A628" s="5"/>
      <c r="B628" s="1"/>
      <c r="C628" s="98"/>
      <c r="D628" s="98"/>
      <c r="E628" s="1"/>
      <c r="F628" s="22"/>
      <c r="G628" s="22"/>
      <c r="H628" s="22"/>
      <c r="I628" s="22"/>
      <c r="J628" s="22"/>
      <c r="K628" s="22"/>
      <c r="L628" s="22"/>
      <c r="M628" s="22"/>
      <c r="N628" s="22"/>
      <c r="O628" s="22"/>
      <c r="P628" s="22"/>
      <c r="Q628" s="22"/>
      <c r="R628" s="1"/>
      <c r="S628" s="1"/>
      <c r="T628" s="8"/>
      <c r="U628" s="1"/>
      <c r="V628" s="1"/>
      <c r="W628" s="1"/>
      <c r="X628" s="1"/>
      <c r="Y628" s="1"/>
      <c r="Z628" s="1"/>
      <c r="AA628" s="1"/>
      <c r="AC628" s="1"/>
      <c r="AD628" s="1"/>
      <c r="AE628" s="1"/>
      <c r="AF628" s="1"/>
      <c r="AG628" s="1"/>
      <c r="AH628" s="26"/>
      <c r="AI628" s="26"/>
      <c r="AJ628" s="26"/>
      <c r="AK628" s="26"/>
      <c r="AL628" s="26"/>
      <c r="AM628" s="26"/>
      <c r="AN628" s="26"/>
      <c r="AO628" s="26"/>
      <c r="AP628" s="26"/>
      <c r="AQ628" s="26"/>
      <c r="AR628" s="26"/>
      <c r="AS628" s="26"/>
      <c r="AT628" s="26"/>
      <c r="AU628" s="26"/>
      <c r="AV628" s="26"/>
      <c r="AW628" s="26"/>
      <c r="AX628" s="26"/>
      <c r="AY628" s="1"/>
      <c r="AZ628" s="26"/>
      <c r="BA628" s="26"/>
      <c r="BB628" s="26"/>
      <c r="BC628" s="26"/>
      <c r="BD628" s="26"/>
      <c r="BE628" s="26"/>
      <c r="BF628" s="26"/>
      <c r="BG628" s="26"/>
      <c r="BH628" s="26"/>
      <c r="BI628" s="26"/>
      <c r="BJ628" s="26"/>
      <c r="BK628" s="26"/>
      <c r="BL628" s="26"/>
      <c r="BM628" s="26"/>
      <c r="BN628" s="26"/>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96"/>
      <c r="CP628" s="14"/>
      <c r="CQ628" s="14"/>
      <c r="CR628" s="14"/>
      <c r="CS628" s="14"/>
      <c r="CT628" s="1"/>
      <c r="CU628" s="14"/>
      <c r="CV628" s="1"/>
      <c r="CW628" s="1"/>
      <c r="CX628" s="14"/>
      <c r="CY628" s="1"/>
      <c r="CZ628" s="1"/>
      <c r="DA628" s="1"/>
      <c r="DB628" s="1"/>
      <c r="DC628" s="1"/>
      <c r="DD628" s="1"/>
      <c r="DE628" s="1"/>
      <c r="DF628" s="1"/>
      <c r="DG628" s="1"/>
      <c r="DH628" s="1"/>
      <c r="DI628" s="1"/>
      <c r="DJ628" s="1"/>
      <c r="DK628" s="1"/>
      <c r="DL628" s="1"/>
      <c r="DM628" s="1"/>
      <c r="DN628" s="1"/>
      <c r="DO628" s="1"/>
      <c r="DP628" s="1"/>
      <c r="DQ628" s="1"/>
      <c r="DR628" s="1"/>
      <c r="DS628" s="1"/>
      <c r="DT628" s="1"/>
      <c r="DU628" s="14"/>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29"/>
    </row>
    <row r="629" spans="1:160" x14ac:dyDescent="0.25">
      <c r="A629" s="5"/>
      <c r="B629" s="1"/>
      <c r="C629" s="98"/>
      <c r="D629" s="98"/>
      <c r="E629" s="1"/>
      <c r="F629" s="22"/>
      <c r="G629" s="22"/>
      <c r="H629" s="22"/>
      <c r="I629" s="22"/>
      <c r="J629" s="22"/>
      <c r="K629" s="22"/>
      <c r="L629" s="22"/>
      <c r="M629" s="22"/>
      <c r="N629" s="22"/>
      <c r="O629" s="22"/>
      <c r="P629" s="22"/>
      <c r="Q629" s="22"/>
      <c r="R629" s="1"/>
      <c r="S629" s="1"/>
      <c r="T629" s="8"/>
      <c r="U629" s="1"/>
      <c r="V629" s="1"/>
      <c r="W629" s="1"/>
      <c r="X629" s="1"/>
      <c r="Y629" s="1"/>
      <c r="Z629" s="1"/>
      <c r="AA629" s="1"/>
      <c r="AC629" s="1"/>
      <c r="AD629" s="1"/>
      <c r="AE629" s="1"/>
      <c r="AF629" s="1"/>
      <c r="AG629" s="1"/>
      <c r="AH629" s="26"/>
      <c r="AI629" s="26"/>
      <c r="AJ629" s="26"/>
      <c r="AK629" s="26"/>
      <c r="AL629" s="26"/>
      <c r="AM629" s="26"/>
      <c r="AN629" s="26"/>
      <c r="AO629" s="26"/>
      <c r="AP629" s="26"/>
      <c r="AQ629" s="26"/>
      <c r="AR629" s="26"/>
      <c r="AS629" s="26"/>
      <c r="AT629" s="26"/>
      <c r="AU629" s="26"/>
      <c r="AV629" s="26"/>
      <c r="AW629" s="26"/>
      <c r="AX629" s="26"/>
      <c r="AY629" s="1"/>
      <c r="AZ629" s="26"/>
      <c r="BA629" s="26"/>
      <c r="BB629" s="26"/>
      <c r="BC629" s="26"/>
      <c r="BD629" s="26"/>
      <c r="BE629" s="26"/>
      <c r="BF629" s="26"/>
      <c r="BG629" s="26"/>
      <c r="BH629" s="26"/>
      <c r="BI629" s="26"/>
      <c r="BJ629" s="26"/>
      <c r="BK629" s="26"/>
      <c r="BL629" s="26"/>
      <c r="BM629" s="26"/>
      <c r="BN629" s="26"/>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96"/>
      <c r="CP629" s="14"/>
      <c r="CQ629" s="14"/>
      <c r="CR629" s="14"/>
      <c r="CS629" s="14"/>
      <c r="CT629" s="1"/>
      <c r="CU629" s="14"/>
      <c r="CV629" s="1"/>
      <c r="CW629" s="1"/>
      <c r="CX629" s="14"/>
      <c r="CY629" s="1"/>
      <c r="CZ629" s="1"/>
      <c r="DA629" s="1"/>
      <c r="DB629" s="1"/>
      <c r="DC629" s="1"/>
      <c r="DD629" s="1"/>
      <c r="DE629" s="1"/>
      <c r="DF629" s="1"/>
      <c r="DG629" s="1"/>
      <c r="DH629" s="1"/>
      <c r="DI629" s="1"/>
      <c r="DJ629" s="1"/>
      <c r="DK629" s="1"/>
      <c r="DL629" s="1"/>
      <c r="DM629" s="1"/>
      <c r="DN629" s="1"/>
      <c r="DO629" s="1"/>
      <c r="DP629" s="1"/>
      <c r="DQ629" s="1"/>
      <c r="DR629" s="1"/>
      <c r="DS629" s="1"/>
      <c r="DT629" s="1"/>
      <c r="DU629" s="14"/>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29"/>
    </row>
    <row r="630" spans="1:160" x14ac:dyDescent="0.25">
      <c r="A630" s="5"/>
      <c r="B630" s="1"/>
      <c r="C630" s="98"/>
      <c r="D630" s="98"/>
      <c r="E630" s="1"/>
      <c r="F630" s="22"/>
      <c r="G630" s="22"/>
      <c r="H630" s="22"/>
      <c r="I630" s="22"/>
      <c r="J630" s="22"/>
      <c r="K630" s="22"/>
      <c r="L630" s="22"/>
      <c r="M630" s="22"/>
      <c r="N630" s="22"/>
      <c r="O630" s="22"/>
      <c r="P630" s="22"/>
      <c r="Q630" s="22"/>
      <c r="R630" s="1"/>
      <c r="S630" s="1"/>
      <c r="T630" s="8"/>
      <c r="U630" s="1"/>
      <c r="V630" s="1"/>
      <c r="W630" s="1"/>
      <c r="X630" s="1"/>
      <c r="Y630" s="1"/>
      <c r="Z630" s="1"/>
      <c r="AA630" s="1"/>
      <c r="AC630" s="1"/>
      <c r="AD630" s="1"/>
      <c r="AE630" s="1"/>
      <c r="AF630" s="1"/>
      <c r="AG630" s="1"/>
      <c r="AH630" s="26"/>
      <c r="AI630" s="26"/>
      <c r="AJ630" s="26"/>
      <c r="AK630" s="26"/>
      <c r="AL630" s="26"/>
      <c r="AM630" s="26"/>
      <c r="AN630" s="26"/>
      <c r="AO630" s="26"/>
      <c r="AP630" s="26"/>
      <c r="AQ630" s="26"/>
      <c r="AR630" s="26"/>
      <c r="AS630" s="26"/>
      <c r="AT630" s="26"/>
      <c r="AU630" s="26"/>
      <c r="AV630" s="26"/>
      <c r="AW630" s="26"/>
      <c r="AX630" s="26"/>
      <c r="AY630" s="1"/>
      <c r="AZ630" s="26"/>
      <c r="BA630" s="26"/>
      <c r="BB630" s="26"/>
      <c r="BC630" s="26"/>
      <c r="BD630" s="26"/>
      <c r="BE630" s="26"/>
      <c r="BF630" s="26"/>
      <c r="BG630" s="26"/>
      <c r="BH630" s="26"/>
      <c r="BI630" s="26"/>
      <c r="BJ630" s="26"/>
      <c r="BK630" s="26"/>
      <c r="BL630" s="26"/>
      <c r="BM630" s="26"/>
      <c r="BN630" s="26"/>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96"/>
      <c r="CP630" s="14"/>
      <c r="CQ630" s="14"/>
      <c r="CR630" s="14"/>
      <c r="CS630" s="14"/>
      <c r="CT630" s="1"/>
      <c r="CU630" s="14"/>
      <c r="CV630" s="1"/>
      <c r="CW630" s="1"/>
      <c r="CX630" s="14"/>
      <c r="CY630" s="1"/>
      <c r="CZ630" s="1"/>
      <c r="DA630" s="1"/>
      <c r="DB630" s="1"/>
      <c r="DC630" s="1"/>
      <c r="DD630" s="1"/>
      <c r="DE630" s="1"/>
      <c r="DF630" s="1"/>
      <c r="DG630" s="1"/>
      <c r="DH630" s="1"/>
      <c r="DI630" s="1"/>
      <c r="DJ630" s="1"/>
      <c r="DK630" s="1"/>
      <c r="DL630" s="1"/>
      <c r="DM630" s="1"/>
      <c r="DN630" s="1"/>
      <c r="DO630" s="1"/>
      <c r="DP630" s="1"/>
      <c r="DQ630" s="1"/>
      <c r="DR630" s="1"/>
      <c r="DS630" s="1"/>
      <c r="DT630" s="1"/>
      <c r="DU630" s="14"/>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29"/>
    </row>
    <row r="631" spans="1:160" x14ac:dyDescent="0.25">
      <c r="A631" s="5"/>
      <c r="B631" s="1"/>
      <c r="C631" s="98"/>
      <c r="D631" s="98"/>
      <c r="E631" s="1"/>
      <c r="F631" s="22"/>
      <c r="G631" s="22"/>
      <c r="H631" s="22"/>
      <c r="I631" s="22"/>
      <c r="J631" s="22"/>
      <c r="K631" s="22"/>
      <c r="L631" s="22"/>
      <c r="M631" s="22"/>
      <c r="N631" s="22"/>
      <c r="O631" s="22"/>
      <c r="P631" s="22"/>
      <c r="Q631" s="22"/>
      <c r="R631" s="1"/>
      <c r="S631" s="1"/>
      <c r="T631" s="8"/>
      <c r="U631" s="1"/>
      <c r="V631" s="1"/>
      <c r="W631" s="1"/>
      <c r="X631" s="1"/>
      <c r="Y631" s="1"/>
      <c r="Z631" s="1"/>
      <c r="AA631" s="1"/>
      <c r="AC631" s="1"/>
      <c r="AD631" s="1"/>
      <c r="AE631" s="1"/>
      <c r="AF631" s="1"/>
      <c r="AG631" s="1"/>
      <c r="AH631" s="26"/>
      <c r="AI631" s="26"/>
      <c r="AJ631" s="26"/>
      <c r="AK631" s="26"/>
      <c r="AL631" s="26"/>
      <c r="AM631" s="26"/>
      <c r="AN631" s="26"/>
      <c r="AO631" s="26"/>
      <c r="AP631" s="26"/>
      <c r="AQ631" s="26"/>
      <c r="AR631" s="26"/>
      <c r="AS631" s="26"/>
      <c r="AT631" s="26"/>
      <c r="AU631" s="26"/>
      <c r="AV631" s="26"/>
      <c r="AW631" s="26"/>
      <c r="AX631" s="26"/>
      <c r="AY631" s="1"/>
      <c r="AZ631" s="26"/>
      <c r="BA631" s="26"/>
      <c r="BB631" s="26"/>
      <c r="BC631" s="26"/>
      <c r="BD631" s="26"/>
      <c r="BE631" s="26"/>
      <c r="BF631" s="26"/>
      <c r="BG631" s="26"/>
      <c r="BH631" s="26"/>
      <c r="BI631" s="26"/>
      <c r="BJ631" s="26"/>
      <c r="BK631" s="26"/>
      <c r="BL631" s="26"/>
      <c r="BM631" s="26"/>
      <c r="BN631" s="26"/>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96"/>
      <c r="CP631" s="14"/>
      <c r="CQ631" s="14"/>
      <c r="CR631" s="14"/>
      <c r="CS631" s="14"/>
      <c r="CT631" s="1"/>
      <c r="CU631" s="14"/>
      <c r="CV631" s="1"/>
      <c r="CW631" s="1"/>
      <c r="CX631" s="14"/>
      <c r="CY631" s="1"/>
      <c r="CZ631" s="1"/>
      <c r="DA631" s="1"/>
      <c r="DB631" s="1"/>
      <c r="DC631" s="1"/>
      <c r="DD631" s="1"/>
      <c r="DE631" s="1"/>
      <c r="DF631" s="1"/>
      <c r="DG631" s="1"/>
      <c r="DH631" s="1"/>
      <c r="DI631" s="1"/>
      <c r="DJ631" s="1"/>
      <c r="DK631" s="1"/>
      <c r="DL631" s="1"/>
      <c r="DM631" s="1"/>
      <c r="DN631" s="1"/>
      <c r="DO631" s="1"/>
      <c r="DP631" s="1"/>
      <c r="DQ631" s="1"/>
      <c r="DR631" s="1"/>
      <c r="DS631" s="1"/>
      <c r="DT631" s="1"/>
      <c r="DU631" s="14"/>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29"/>
    </row>
    <row r="632" spans="1:160" x14ac:dyDescent="0.25">
      <c r="A632" s="5"/>
      <c r="B632" s="1"/>
      <c r="C632" s="98"/>
      <c r="D632" s="98"/>
      <c r="E632" s="1"/>
      <c r="F632" s="22"/>
      <c r="G632" s="22"/>
      <c r="H632" s="22"/>
      <c r="I632" s="22"/>
      <c r="J632" s="22"/>
      <c r="K632" s="22"/>
      <c r="L632" s="22"/>
      <c r="M632" s="22"/>
      <c r="N632" s="22"/>
      <c r="O632" s="22"/>
      <c r="P632" s="22"/>
      <c r="Q632" s="22"/>
      <c r="R632" s="1"/>
      <c r="S632" s="1"/>
      <c r="T632" s="8"/>
      <c r="U632" s="1"/>
      <c r="V632" s="1"/>
      <c r="W632" s="1"/>
      <c r="X632" s="1"/>
      <c r="Y632" s="1"/>
      <c r="Z632" s="1"/>
      <c r="AA632" s="1"/>
      <c r="AC632" s="1"/>
      <c r="AD632" s="1"/>
      <c r="AE632" s="1"/>
      <c r="AF632" s="1"/>
      <c r="AG632" s="1"/>
      <c r="AH632" s="26"/>
      <c r="AI632" s="26"/>
      <c r="AJ632" s="26"/>
      <c r="AK632" s="26"/>
      <c r="AL632" s="26"/>
      <c r="AM632" s="26"/>
      <c r="AN632" s="26"/>
      <c r="AO632" s="26"/>
      <c r="AP632" s="26"/>
      <c r="AQ632" s="26"/>
      <c r="AR632" s="26"/>
      <c r="AS632" s="26"/>
      <c r="AT632" s="26"/>
      <c r="AU632" s="26"/>
      <c r="AV632" s="26"/>
      <c r="AW632" s="26"/>
      <c r="AX632" s="26"/>
      <c r="AY632" s="1"/>
      <c r="AZ632" s="26"/>
      <c r="BA632" s="26"/>
      <c r="BB632" s="26"/>
      <c r="BC632" s="26"/>
      <c r="BD632" s="26"/>
      <c r="BE632" s="26"/>
      <c r="BF632" s="26"/>
      <c r="BG632" s="26"/>
      <c r="BH632" s="26"/>
      <c r="BI632" s="26"/>
      <c r="BJ632" s="26"/>
      <c r="BK632" s="26"/>
      <c r="BL632" s="26"/>
      <c r="BM632" s="26"/>
      <c r="BN632" s="26"/>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96"/>
      <c r="CP632" s="14"/>
      <c r="CQ632" s="14"/>
      <c r="CR632" s="14"/>
      <c r="CS632" s="14"/>
      <c r="CT632" s="1"/>
      <c r="CU632" s="14"/>
      <c r="CV632" s="1"/>
      <c r="CW632" s="1"/>
      <c r="CX632" s="14"/>
      <c r="CY632" s="1"/>
      <c r="CZ632" s="1"/>
      <c r="DA632" s="1"/>
      <c r="DB632" s="1"/>
      <c r="DC632" s="1"/>
      <c r="DD632" s="1"/>
      <c r="DE632" s="1"/>
      <c r="DF632" s="1"/>
      <c r="DG632" s="1"/>
      <c r="DH632" s="1"/>
      <c r="DI632" s="1"/>
      <c r="DJ632" s="1"/>
      <c r="DK632" s="1"/>
      <c r="DL632" s="1"/>
      <c r="DM632" s="1"/>
      <c r="DN632" s="1"/>
      <c r="DO632" s="1"/>
      <c r="DP632" s="1"/>
      <c r="DQ632" s="1"/>
      <c r="DR632" s="1"/>
      <c r="DS632" s="1"/>
      <c r="DT632" s="1"/>
      <c r="DU632" s="14"/>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29"/>
    </row>
    <row r="633" spans="1:160" x14ac:dyDescent="0.25">
      <c r="A633" s="5"/>
      <c r="B633" s="1"/>
      <c r="C633" s="98"/>
      <c r="D633" s="98"/>
      <c r="E633" s="1"/>
      <c r="F633" s="22"/>
      <c r="G633" s="22"/>
      <c r="H633" s="22"/>
      <c r="I633" s="22"/>
      <c r="J633" s="22"/>
      <c r="K633" s="22"/>
      <c r="L633" s="22"/>
      <c r="M633" s="22"/>
      <c r="N633" s="22"/>
      <c r="O633" s="22"/>
      <c r="P633" s="22"/>
      <c r="Q633" s="22"/>
      <c r="R633" s="1"/>
      <c r="S633" s="1"/>
      <c r="T633" s="8"/>
      <c r="U633" s="1"/>
      <c r="V633" s="1"/>
      <c r="W633" s="1"/>
      <c r="X633" s="1"/>
      <c r="Y633" s="1"/>
      <c r="Z633" s="1"/>
      <c r="AA633" s="1"/>
      <c r="AC633" s="1"/>
      <c r="AD633" s="1"/>
      <c r="AE633" s="1"/>
      <c r="AF633" s="1"/>
      <c r="AG633" s="1"/>
      <c r="AH633" s="26"/>
      <c r="AI633" s="26"/>
      <c r="AJ633" s="26"/>
      <c r="AK633" s="26"/>
      <c r="AL633" s="26"/>
      <c r="AM633" s="26"/>
      <c r="AN633" s="26"/>
      <c r="AO633" s="26"/>
      <c r="AP633" s="26"/>
      <c r="AQ633" s="26"/>
      <c r="AR633" s="26"/>
      <c r="AS633" s="26"/>
      <c r="AT633" s="26"/>
      <c r="AU633" s="26"/>
      <c r="AV633" s="26"/>
      <c r="AW633" s="26"/>
      <c r="AX633" s="26"/>
      <c r="AY633" s="1"/>
      <c r="AZ633" s="26"/>
      <c r="BA633" s="26"/>
      <c r="BB633" s="26"/>
      <c r="BC633" s="26"/>
      <c r="BD633" s="26"/>
      <c r="BE633" s="26"/>
      <c r="BF633" s="26"/>
      <c r="BG633" s="26"/>
      <c r="BH633" s="26"/>
      <c r="BI633" s="26"/>
      <c r="BJ633" s="26"/>
      <c r="BK633" s="26"/>
      <c r="BL633" s="26"/>
      <c r="BM633" s="26"/>
      <c r="BN633" s="26"/>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96"/>
      <c r="CP633" s="14"/>
      <c r="CQ633" s="14"/>
      <c r="CR633" s="14"/>
      <c r="CS633" s="14"/>
      <c r="CT633" s="1"/>
      <c r="CU633" s="14"/>
      <c r="CV633" s="1"/>
      <c r="CW633" s="1"/>
      <c r="CX633" s="14"/>
      <c r="CY633" s="1"/>
      <c r="CZ633" s="1"/>
      <c r="DA633" s="1"/>
      <c r="DB633" s="1"/>
      <c r="DC633" s="1"/>
      <c r="DD633" s="1"/>
      <c r="DE633" s="1"/>
      <c r="DF633" s="1"/>
      <c r="DG633" s="1"/>
      <c r="DH633" s="1"/>
      <c r="DI633" s="1"/>
      <c r="DJ633" s="1"/>
      <c r="DK633" s="1"/>
      <c r="DL633" s="1"/>
      <c r="DM633" s="1"/>
      <c r="DN633" s="1"/>
      <c r="DO633" s="1"/>
      <c r="DP633" s="1"/>
      <c r="DQ633" s="1"/>
      <c r="DR633" s="1"/>
      <c r="DS633" s="1"/>
      <c r="DT633" s="1"/>
      <c r="DU633" s="14"/>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29"/>
    </row>
    <row r="634" spans="1:160" x14ac:dyDescent="0.25">
      <c r="A634" s="5"/>
      <c r="B634" s="1"/>
      <c r="C634" s="98"/>
      <c r="D634" s="98"/>
      <c r="E634" s="1"/>
      <c r="F634" s="22"/>
      <c r="G634" s="22"/>
      <c r="H634" s="22"/>
      <c r="I634" s="22"/>
      <c r="J634" s="22"/>
      <c r="K634" s="22"/>
      <c r="L634" s="22"/>
      <c r="M634" s="22"/>
      <c r="N634" s="22"/>
      <c r="O634" s="22"/>
      <c r="P634" s="22"/>
      <c r="Q634" s="22"/>
      <c r="R634" s="1"/>
      <c r="S634" s="1"/>
      <c r="T634" s="8"/>
      <c r="U634" s="1"/>
      <c r="V634" s="1"/>
      <c r="W634" s="1"/>
      <c r="X634" s="1"/>
      <c r="Y634" s="1"/>
      <c r="Z634" s="1"/>
      <c r="AA634" s="1"/>
      <c r="AC634" s="1"/>
      <c r="AD634" s="1"/>
      <c r="AE634" s="1"/>
      <c r="AF634" s="1"/>
      <c r="AG634" s="1"/>
      <c r="AH634" s="26"/>
      <c r="AI634" s="26"/>
      <c r="AJ634" s="26"/>
      <c r="AK634" s="26"/>
      <c r="AL634" s="26"/>
      <c r="AM634" s="26"/>
      <c r="AN634" s="26"/>
      <c r="AO634" s="26"/>
      <c r="AP634" s="26"/>
      <c r="AQ634" s="26"/>
      <c r="AR634" s="26"/>
      <c r="AS634" s="26"/>
      <c r="AT634" s="26"/>
      <c r="AU634" s="26"/>
      <c r="AV634" s="26"/>
      <c r="AW634" s="26"/>
      <c r="AX634" s="26"/>
      <c r="AY634" s="1"/>
      <c r="AZ634" s="26"/>
      <c r="BA634" s="26"/>
      <c r="BB634" s="26"/>
      <c r="BC634" s="26"/>
      <c r="BD634" s="26"/>
      <c r="BE634" s="26"/>
      <c r="BF634" s="26"/>
      <c r="BG634" s="26"/>
      <c r="BH634" s="26"/>
      <c r="BI634" s="26"/>
      <c r="BJ634" s="26"/>
      <c r="BK634" s="26"/>
      <c r="BL634" s="26"/>
      <c r="BM634" s="26"/>
      <c r="BN634" s="26"/>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96"/>
      <c r="CP634" s="14"/>
      <c r="CQ634" s="14"/>
      <c r="CR634" s="14"/>
      <c r="CS634" s="14"/>
      <c r="CT634" s="1"/>
      <c r="CU634" s="14"/>
      <c r="CV634" s="1"/>
      <c r="CW634" s="1"/>
      <c r="CX634" s="14"/>
      <c r="CY634" s="1"/>
      <c r="CZ634" s="1"/>
      <c r="DA634" s="1"/>
      <c r="DB634" s="1"/>
      <c r="DC634" s="1"/>
      <c r="DD634" s="1"/>
      <c r="DE634" s="1"/>
      <c r="DF634" s="1"/>
      <c r="DG634" s="1"/>
      <c r="DH634" s="1"/>
      <c r="DI634" s="1"/>
      <c r="DJ634" s="1"/>
      <c r="DK634" s="1"/>
      <c r="DL634" s="1"/>
      <c r="DM634" s="1"/>
      <c r="DN634" s="1"/>
      <c r="DO634" s="1"/>
      <c r="DP634" s="1"/>
      <c r="DQ634" s="1"/>
      <c r="DR634" s="1"/>
      <c r="DS634" s="1"/>
      <c r="DT634" s="1"/>
      <c r="DU634" s="14"/>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29"/>
    </row>
    <row r="635" spans="1:160" x14ac:dyDescent="0.25">
      <c r="A635" s="5"/>
      <c r="B635" s="1"/>
      <c r="C635" s="98"/>
      <c r="D635" s="98"/>
      <c r="E635" s="1"/>
      <c r="F635" s="22"/>
      <c r="G635" s="22"/>
      <c r="H635" s="22"/>
      <c r="I635" s="22"/>
      <c r="J635" s="22"/>
      <c r="K635" s="22"/>
      <c r="L635" s="22"/>
      <c r="M635" s="22"/>
      <c r="N635" s="22"/>
      <c r="O635" s="22"/>
      <c r="P635" s="22"/>
      <c r="Q635" s="22"/>
      <c r="R635" s="1"/>
      <c r="S635" s="1"/>
      <c r="T635" s="8"/>
      <c r="U635" s="1"/>
      <c r="V635" s="1"/>
      <c r="W635" s="1"/>
      <c r="X635" s="1"/>
      <c r="Y635" s="1"/>
      <c r="Z635" s="1"/>
      <c r="AA635" s="1"/>
      <c r="AC635" s="1"/>
      <c r="AD635" s="1"/>
      <c r="AE635" s="1"/>
      <c r="AF635" s="1"/>
      <c r="AG635" s="1"/>
      <c r="AH635" s="26"/>
      <c r="AI635" s="26"/>
      <c r="AJ635" s="26"/>
      <c r="AK635" s="26"/>
      <c r="AL635" s="26"/>
      <c r="AM635" s="26"/>
      <c r="AN635" s="26"/>
      <c r="AO635" s="26"/>
      <c r="AP635" s="26"/>
      <c r="AQ635" s="26"/>
      <c r="AR635" s="26"/>
      <c r="AS635" s="26"/>
      <c r="AT635" s="26"/>
      <c r="AU635" s="26"/>
      <c r="AV635" s="26"/>
      <c r="AW635" s="26"/>
      <c r="AX635" s="26"/>
      <c r="AY635" s="1"/>
      <c r="AZ635" s="26"/>
      <c r="BA635" s="26"/>
      <c r="BB635" s="26"/>
      <c r="BC635" s="26"/>
      <c r="BD635" s="26"/>
      <c r="BE635" s="26"/>
      <c r="BF635" s="26"/>
      <c r="BG635" s="26"/>
      <c r="BH635" s="26"/>
      <c r="BI635" s="26"/>
      <c r="BJ635" s="26"/>
      <c r="BK635" s="26"/>
      <c r="BL635" s="26"/>
      <c r="BM635" s="26"/>
      <c r="BN635" s="26"/>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96"/>
      <c r="CP635" s="14"/>
      <c r="CQ635" s="14"/>
      <c r="CR635" s="14"/>
      <c r="CS635" s="14"/>
      <c r="CT635" s="1"/>
      <c r="CU635" s="14"/>
      <c r="CV635" s="1"/>
      <c r="CW635" s="1"/>
      <c r="CX635" s="14"/>
      <c r="CY635" s="1"/>
      <c r="CZ635" s="1"/>
      <c r="DA635" s="1"/>
      <c r="DB635" s="1"/>
      <c r="DC635" s="1"/>
      <c r="DD635" s="1"/>
      <c r="DE635" s="1"/>
      <c r="DF635" s="1"/>
      <c r="DG635" s="1"/>
      <c r="DH635" s="1"/>
      <c r="DI635" s="1"/>
      <c r="DJ635" s="1"/>
      <c r="DK635" s="1"/>
      <c r="DL635" s="1"/>
      <c r="DM635" s="1"/>
      <c r="DN635" s="1"/>
      <c r="DO635" s="1"/>
      <c r="DP635" s="1"/>
      <c r="DQ635" s="1"/>
      <c r="DR635" s="1"/>
      <c r="DS635" s="1"/>
      <c r="DT635" s="1"/>
      <c r="DU635" s="14"/>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29"/>
    </row>
    <row r="636" spans="1:160" x14ac:dyDescent="0.25">
      <c r="A636" s="5"/>
      <c r="B636" s="1"/>
      <c r="C636" s="98"/>
      <c r="D636" s="98"/>
      <c r="E636" s="1"/>
      <c r="F636" s="22"/>
      <c r="G636" s="22"/>
      <c r="H636" s="22"/>
      <c r="I636" s="22"/>
      <c r="J636" s="22"/>
      <c r="K636" s="22"/>
      <c r="L636" s="22"/>
      <c r="M636" s="22"/>
      <c r="N636" s="22"/>
      <c r="O636" s="22"/>
      <c r="P636" s="22"/>
      <c r="Q636" s="22"/>
      <c r="R636" s="1"/>
      <c r="S636" s="1"/>
      <c r="T636" s="8"/>
      <c r="U636" s="1"/>
      <c r="V636" s="1"/>
      <c r="W636" s="1"/>
      <c r="X636" s="1"/>
      <c r="Y636" s="1"/>
      <c r="Z636" s="1"/>
      <c r="AA636" s="1"/>
      <c r="AC636" s="1"/>
      <c r="AD636" s="1"/>
      <c r="AE636" s="1"/>
      <c r="AF636" s="1"/>
      <c r="AG636" s="1"/>
      <c r="AH636" s="26"/>
      <c r="AI636" s="26"/>
      <c r="AJ636" s="26"/>
      <c r="AK636" s="26"/>
      <c r="AL636" s="26"/>
      <c r="AM636" s="26"/>
      <c r="AN636" s="26"/>
      <c r="AO636" s="26"/>
      <c r="AP636" s="26"/>
      <c r="AQ636" s="26"/>
      <c r="AR636" s="26"/>
      <c r="AS636" s="26"/>
      <c r="AT636" s="26"/>
      <c r="AU636" s="26"/>
      <c r="AV636" s="26"/>
      <c r="AW636" s="26"/>
      <c r="AX636" s="26"/>
      <c r="AY636" s="1"/>
      <c r="AZ636" s="26"/>
      <c r="BA636" s="26"/>
      <c r="BB636" s="26"/>
      <c r="BC636" s="26"/>
      <c r="BD636" s="26"/>
      <c r="BE636" s="26"/>
      <c r="BF636" s="26"/>
      <c r="BG636" s="26"/>
      <c r="BH636" s="26"/>
      <c r="BI636" s="26"/>
      <c r="BJ636" s="26"/>
      <c r="BK636" s="26"/>
      <c r="BL636" s="26"/>
      <c r="BM636" s="26"/>
      <c r="BN636" s="26"/>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96"/>
      <c r="CP636" s="14"/>
      <c r="CQ636" s="14"/>
      <c r="CR636" s="14"/>
      <c r="CS636" s="14"/>
      <c r="CT636" s="1"/>
      <c r="CU636" s="14"/>
      <c r="CV636" s="1"/>
      <c r="CW636" s="1"/>
      <c r="CX636" s="14"/>
      <c r="CY636" s="1"/>
      <c r="CZ636" s="1"/>
      <c r="DA636" s="1"/>
      <c r="DB636" s="1"/>
      <c r="DC636" s="1"/>
      <c r="DD636" s="1"/>
      <c r="DE636" s="1"/>
      <c r="DF636" s="1"/>
      <c r="DG636" s="1"/>
      <c r="DH636" s="1"/>
      <c r="DI636" s="1"/>
      <c r="DJ636" s="1"/>
      <c r="DK636" s="1"/>
      <c r="DL636" s="1"/>
      <c r="DM636" s="1"/>
      <c r="DN636" s="1"/>
      <c r="DO636" s="1"/>
      <c r="DP636" s="1"/>
      <c r="DQ636" s="1"/>
      <c r="DR636" s="1"/>
      <c r="DS636" s="1"/>
      <c r="DT636" s="1"/>
      <c r="DU636" s="14"/>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29"/>
    </row>
    <row r="637" spans="1:160" x14ac:dyDescent="0.25">
      <c r="A637" s="5"/>
      <c r="B637" s="1"/>
      <c r="C637" s="98"/>
      <c r="D637" s="98"/>
      <c r="E637" s="1"/>
      <c r="F637" s="22"/>
      <c r="G637" s="22"/>
      <c r="H637" s="22"/>
      <c r="I637" s="22"/>
      <c r="J637" s="22"/>
      <c r="K637" s="22"/>
      <c r="L637" s="22"/>
      <c r="M637" s="22"/>
      <c r="N637" s="22"/>
      <c r="O637" s="22"/>
      <c r="P637" s="22"/>
      <c r="Q637" s="22"/>
      <c r="R637" s="1"/>
      <c r="S637" s="1"/>
      <c r="T637" s="8"/>
      <c r="U637" s="1"/>
      <c r="V637" s="1"/>
      <c r="W637" s="1"/>
      <c r="X637" s="1"/>
      <c r="Y637" s="1"/>
      <c r="Z637" s="1"/>
      <c r="AA637" s="1"/>
      <c r="AC637" s="1"/>
      <c r="AD637" s="1"/>
      <c r="AE637" s="1"/>
      <c r="AF637" s="1"/>
      <c r="AG637" s="1"/>
      <c r="AH637" s="26"/>
      <c r="AI637" s="26"/>
      <c r="AJ637" s="26"/>
      <c r="AK637" s="26"/>
      <c r="AL637" s="26"/>
      <c r="AM637" s="26"/>
      <c r="AN637" s="26"/>
      <c r="AO637" s="26"/>
      <c r="AP637" s="26"/>
      <c r="AQ637" s="26"/>
      <c r="AR637" s="26"/>
      <c r="AS637" s="26"/>
      <c r="AT637" s="26"/>
      <c r="AU637" s="26"/>
      <c r="AV637" s="26"/>
      <c r="AW637" s="26"/>
      <c r="AX637" s="26"/>
      <c r="AY637" s="1"/>
      <c r="AZ637" s="26"/>
      <c r="BA637" s="26"/>
      <c r="BB637" s="26"/>
      <c r="BC637" s="26"/>
      <c r="BD637" s="26"/>
      <c r="BE637" s="26"/>
      <c r="BF637" s="26"/>
      <c r="BG637" s="26"/>
      <c r="BH637" s="26"/>
      <c r="BI637" s="26"/>
      <c r="BJ637" s="26"/>
      <c r="BK637" s="26"/>
      <c r="BL637" s="26"/>
      <c r="BM637" s="26"/>
      <c r="BN637" s="26"/>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96"/>
      <c r="CP637" s="14"/>
      <c r="CQ637" s="14"/>
      <c r="CR637" s="14"/>
      <c r="CS637" s="14"/>
      <c r="CT637" s="1"/>
      <c r="CU637" s="14"/>
      <c r="CV637" s="1"/>
      <c r="CW637" s="1"/>
      <c r="CX637" s="14"/>
      <c r="CY637" s="1"/>
      <c r="CZ637" s="1"/>
      <c r="DA637" s="1"/>
      <c r="DB637" s="1"/>
      <c r="DC637" s="1"/>
      <c r="DD637" s="1"/>
      <c r="DE637" s="1"/>
      <c r="DF637" s="1"/>
      <c r="DG637" s="1"/>
      <c r="DH637" s="1"/>
      <c r="DI637" s="1"/>
      <c r="DJ637" s="1"/>
      <c r="DK637" s="1"/>
      <c r="DL637" s="1"/>
      <c r="DM637" s="1"/>
      <c r="DN637" s="1"/>
      <c r="DO637" s="1"/>
      <c r="DP637" s="1"/>
      <c r="DQ637" s="1"/>
      <c r="DR637" s="1"/>
      <c r="DS637" s="1"/>
      <c r="DT637" s="1"/>
      <c r="DU637" s="14"/>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29"/>
    </row>
    <row r="638" spans="1:160" x14ac:dyDescent="0.25">
      <c r="A638" s="5"/>
      <c r="B638" s="1"/>
      <c r="C638" s="98"/>
      <c r="D638" s="98"/>
      <c r="E638" s="1"/>
      <c r="F638" s="22"/>
      <c r="G638" s="22"/>
      <c r="H638" s="22"/>
      <c r="I638" s="22"/>
      <c r="J638" s="22"/>
      <c r="K638" s="22"/>
      <c r="L638" s="22"/>
      <c r="M638" s="22"/>
      <c r="N638" s="22"/>
      <c r="O638" s="22"/>
      <c r="P638" s="22"/>
      <c r="Q638" s="22"/>
      <c r="R638" s="1"/>
      <c r="S638" s="1"/>
      <c r="T638" s="8"/>
      <c r="U638" s="1"/>
      <c r="V638" s="1"/>
      <c r="W638" s="1"/>
      <c r="X638" s="1"/>
      <c r="Y638" s="1"/>
      <c r="Z638" s="1"/>
      <c r="AA638" s="1"/>
      <c r="AC638" s="1"/>
      <c r="AD638" s="1"/>
      <c r="AE638" s="1"/>
      <c r="AF638" s="1"/>
      <c r="AG638" s="1"/>
      <c r="AH638" s="26"/>
      <c r="AI638" s="26"/>
      <c r="AJ638" s="26"/>
      <c r="AK638" s="26"/>
      <c r="AL638" s="26"/>
      <c r="AM638" s="26"/>
      <c r="AN638" s="26"/>
      <c r="AO638" s="26"/>
      <c r="AP638" s="26"/>
      <c r="AQ638" s="26"/>
      <c r="AR638" s="26"/>
      <c r="AS638" s="26"/>
      <c r="AT638" s="26"/>
      <c r="AU638" s="26"/>
      <c r="AV638" s="26"/>
      <c r="AW638" s="26"/>
      <c r="AX638" s="26"/>
      <c r="AY638" s="1"/>
      <c r="AZ638" s="26"/>
      <c r="BA638" s="26"/>
      <c r="BB638" s="26"/>
      <c r="BC638" s="26"/>
      <c r="BD638" s="26"/>
      <c r="BE638" s="26"/>
      <c r="BF638" s="26"/>
      <c r="BG638" s="26"/>
      <c r="BH638" s="26"/>
      <c r="BI638" s="26"/>
      <c r="BJ638" s="26"/>
      <c r="BK638" s="26"/>
      <c r="BL638" s="26"/>
      <c r="BM638" s="26"/>
      <c r="BN638" s="26"/>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96"/>
      <c r="CP638" s="14"/>
      <c r="CQ638" s="14"/>
      <c r="CR638" s="14"/>
      <c r="CS638" s="14"/>
      <c r="CT638" s="1"/>
      <c r="CU638" s="14"/>
      <c r="CV638" s="1"/>
      <c r="CW638" s="1"/>
      <c r="CX638" s="14"/>
      <c r="CY638" s="1"/>
      <c r="CZ638" s="1"/>
      <c r="DA638" s="1"/>
      <c r="DB638" s="1"/>
      <c r="DC638" s="1"/>
      <c r="DD638" s="1"/>
      <c r="DE638" s="1"/>
      <c r="DF638" s="1"/>
      <c r="DG638" s="1"/>
      <c r="DH638" s="1"/>
      <c r="DI638" s="1"/>
      <c r="DJ638" s="1"/>
      <c r="DK638" s="1"/>
      <c r="DL638" s="1"/>
      <c r="DM638" s="1"/>
      <c r="DN638" s="1"/>
      <c r="DO638" s="1"/>
      <c r="DP638" s="1"/>
      <c r="DQ638" s="1"/>
      <c r="DR638" s="1"/>
      <c r="DS638" s="1"/>
      <c r="DT638" s="1"/>
      <c r="DU638" s="14"/>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29"/>
    </row>
    <row r="639" spans="1:160" x14ac:dyDescent="0.25">
      <c r="A639" s="5"/>
      <c r="B639" s="1"/>
      <c r="C639" s="98"/>
      <c r="D639" s="98"/>
      <c r="E639" s="1"/>
      <c r="F639" s="22"/>
      <c r="G639" s="22"/>
      <c r="H639" s="22"/>
      <c r="I639" s="22"/>
      <c r="J639" s="22"/>
      <c r="K639" s="22"/>
      <c r="L639" s="22"/>
      <c r="M639" s="22"/>
      <c r="N639" s="22"/>
      <c r="O639" s="22"/>
      <c r="P639" s="22"/>
      <c r="Q639" s="22"/>
      <c r="R639" s="1"/>
      <c r="S639" s="1"/>
      <c r="T639" s="8"/>
      <c r="U639" s="1"/>
      <c r="V639" s="1"/>
      <c r="W639" s="1"/>
      <c r="X639" s="1"/>
      <c r="Y639" s="1"/>
      <c r="Z639" s="1"/>
      <c r="AA639" s="1"/>
      <c r="AC639" s="1"/>
      <c r="AD639" s="1"/>
      <c r="AE639" s="1"/>
      <c r="AF639" s="1"/>
      <c r="AG639" s="1"/>
      <c r="AH639" s="26"/>
      <c r="AI639" s="26"/>
      <c r="AJ639" s="26"/>
      <c r="AK639" s="26"/>
      <c r="AL639" s="26"/>
      <c r="AM639" s="26"/>
      <c r="AN639" s="26"/>
      <c r="AO639" s="26"/>
      <c r="AP639" s="26"/>
      <c r="AQ639" s="26"/>
      <c r="AR639" s="26"/>
      <c r="AS639" s="26"/>
      <c r="AT639" s="26"/>
      <c r="AU639" s="26"/>
      <c r="AV639" s="26"/>
      <c r="AW639" s="26"/>
      <c r="AX639" s="26"/>
      <c r="AY639" s="1"/>
      <c r="AZ639" s="26"/>
      <c r="BA639" s="26"/>
      <c r="BB639" s="26"/>
      <c r="BC639" s="26"/>
      <c r="BD639" s="26"/>
      <c r="BE639" s="26"/>
      <c r="BF639" s="26"/>
      <c r="BG639" s="26"/>
      <c r="BH639" s="26"/>
      <c r="BI639" s="26"/>
      <c r="BJ639" s="26"/>
      <c r="BK639" s="26"/>
      <c r="BL639" s="26"/>
      <c r="BM639" s="26"/>
      <c r="BN639" s="26"/>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96"/>
      <c r="CP639" s="14"/>
      <c r="CQ639" s="14"/>
      <c r="CR639" s="14"/>
      <c r="CS639" s="14"/>
      <c r="CT639" s="1"/>
      <c r="CU639" s="14"/>
      <c r="CV639" s="1"/>
      <c r="CW639" s="1"/>
      <c r="CX639" s="14"/>
      <c r="CY639" s="1"/>
      <c r="CZ639" s="1"/>
      <c r="DA639" s="1"/>
      <c r="DB639" s="1"/>
      <c r="DC639" s="1"/>
      <c r="DD639" s="1"/>
      <c r="DE639" s="1"/>
      <c r="DF639" s="1"/>
      <c r="DG639" s="1"/>
      <c r="DH639" s="1"/>
      <c r="DI639" s="1"/>
      <c r="DJ639" s="1"/>
      <c r="DK639" s="1"/>
      <c r="DL639" s="1"/>
      <c r="DM639" s="1"/>
      <c r="DN639" s="1"/>
      <c r="DO639" s="1"/>
      <c r="DP639" s="1"/>
      <c r="DQ639" s="1"/>
      <c r="DR639" s="1"/>
      <c r="DS639" s="1"/>
      <c r="DT639" s="1"/>
      <c r="DU639" s="14"/>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29"/>
    </row>
    <row r="640" spans="1:160" x14ac:dyDescent="0.25">
      <c r="A640" s="5"/>
      <c r="B640" s="1"/>
      <c r="C640" s="98"/>
      <c r="D640" s="98"/>
      <c r="E640" s="1"/>
      <c r="F640" s="22"/>
      <c r="G640" s="22"/>
      <c r="H640" s="22"/>
      <c r="I640" s="22"/>
      <c r="J640" s="22"/>
      <c r="K640" s="22"/>
      <c r="L640" s="22"/>
      <c r="M640" s="22"/>
      <c r="N640" s="22"/>
      <c r="O640" s="22"/>
      <c r="P640" s="22"/>
      <c r="Q640" s="22"/>
      <c r="R640" s="1"/>
      <c r="S640" s="1"/>
      <c r="T640" s="8"/>
      <c r="U640" s="1"/>
      <c r="V640" s="1"/>
      <c r="W640" s="1"/>
      <c r="X640" s="1"/>
      <c r="Y640" s="1"/>
      <c r="Z640" s="1"/>
      <c r="AA640" s="1"/>
      <c r="AC640" s="1"/>
      <c r="AD640" s="1"/>
      <c r="AE640" s="1"/>
      <c r="AF640" s="1"/>
      <c r="AG640" s="1"/>
      <c r="AH640" s="26"/>
      <c r="AI640" s="26"/>
      <c r="AJ640" s="26"/>
      <c r="AK640" s="26"/>
      <c r="AL640" s="26"/>
      <c r="AM640" s="26"/>
      <c r="AN640" s="26"/>
      <c r="AO640" s="26"/>
      <c r="AP640" s="26"/>
      <c r="AQ640" s="26"/>
      <c r="AR640" s="26"/>
      <c r="AS640" s="26"/>
      <c r="AT640" s="26"/>
      <c r="AU640" s="26"/>
      <c r="AV640" s="26"/>
      <c r="AW640" s="26"/>
      <c r="AX640" s="26"/>
      <c r="AY640" s="1"/>
      <c r="AZ640" s="26"/>
      <c r="BA640" s="26"/>
      <c r="BB640" s="26"/>
      <c r="BC640" s="26"/>
      <c r="BD640" s="26"/>
      <c r="BE640" s="26"/>
      <c r="BF640" s="26"/>
      <c r="BG640" s="26"/>
      <c r="BH640" s="26"/>
      <c r="BI640" s="26"/>
      <c r="BJ640" s="26"/>
      <c r="BK640" s="26"/>
      <c r="BL640" s="26"/>
      <c r="BM640" s="26"/>
      <c r="BN640" s="26"/>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96"/>
      <c r="CP640" s="14"/>
      <c r="CQ640" s="14"/>
      <c r="CR640" s="14"/>
      <c r="CS640" s="14"/>
      <c r="CT640" s="1"/>
      <c r="CU640" s="14"/>
      <c r="CV640" s="1"/>
      <c r="CW640" s="1"/>
      <c r="CX640" s="14"/>
      <c r="CY640" s="1"/>
      <c r="CZ640" s="1"/>
      <c r="DA640" s="1"/>
      <c r="DB640" s="1"/>
      <c r="DC640" s="1"/>
      <c r="DD640" s="1"/>
      <c r="DE640" s="1"/>
      <c r="DF640" s="1"/>
      <c r="DG640" s="1"/>
      <c r="DH640" s="1"/>
      <c r="DI640" s="1"/>
      <c r="DJ640" s="1"/>
      <c r="DK640" s="1"/>
      <c r="DL640" s="1"/>
      <c r="DM640" s="1"/>
      <c r="DN640" s="1"/>
      <c r="DO640" s="1"/>
      <c r="DP640" s="1"/>
      <c r="DQ640" s="1"/>
      <c r="DR640" s="1"/>
      <c r="DS640" s="1"/>
      <c r="DT640" s="1"/>
      <c r="DU640" s="14"/>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29"/>
    </row>
    <row r="641" spans="1:160" x14ac:dyDescent="0.25">
      <c r="A641" s="5"/>
      <c r="B641" s="1"/>
      <c r="C641" s="98"/>
      <c r="D641" s="98"/>
      <c r="E641" s="1"/>
      <c r="F641" s="22"/>
      <c r="G641" s="22"/>
      <c r="H641" s="22"/>
      <c r="I641" s="22"/>
      <c r="J641" s="22"/>
      <c r="K641" s="22"/>
      <c r="L641" s="22"/>
      <c r="M641" s="22"/>
      <c r="N641" s="22"/>
      <c r="O641" s="22"/>
      <c r="P641" s="22"/>
      <c r="Q641" s="22"/>
      <c r="R641" s="1"/>
      <c r="S641" s="1"/>
      <c r="T641" s="8"/>
      <c r="U641" s="1"/>
      <c r="V641" s="1"/>
      <c r="W641" s="1"/>
      <c r="X641" s="1"/>
      <c r="Y641" s="1"/>
      <c r="Z641" s="1"/>
      <c r="AA641" s="1"/>
      <c r="AC641" s="1"/>
      <c r="AD641" s="1"/>
      <c r="AE641" s="1"/>
      <c r="AF641" s="1"/>
      <c r="AG641" s="1"/>
      <c r="AH641" s="26"/>
      <c r="AI641" s="26"/>
      <c r="AJ641" s="26"/>
      <c r="AK641" s="26"/>
      <c r="AL641" s="26"/>
      <c r="AM641" s="26"/>
      <c r="AN641" s="26"/>
      <c r="AO641" s="26"/>
      <c r="AP641" s="26"/>
      <c r="AQ641" s="26"/>
      <c r="AR641" s="26"/>
      <c r="AS641" s="26"/>
      <c r="AT641" s="26"/>
      <c r="AU641" s="26"/>
      <c r="AV641" s="26"/>
      <c r="AW641" s="26"/>
      <c r="AX641" s="26"/>
      <c r="AY641" s="1"/>
      <c r="AZ641" s="26"/>
      <c r="BA641" s="26"/>
      <c r="BB641" s="26"/>
      <c r="BC641" s="26"/>
      <c r="BD641" s="26"/>
      <c r="BE641" s="26"/>
      <c r="BF641" s="26"/>
      <c r="BG641" s="26"/>
      <c r="BH641" s="26"/>
      <c r="BI641" s="26"/>
      <c r="BJ641" s="26"/>
      <c r="BK641" s="26"/>
      <c r="BL641" s="26"/>
      <c r="BM641" s="26"/>
      <c r="BN641" s="26"/>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96"/>
      <c r="CP641" s="14"/>
      <c r="CQ641" s="14"/>
      <c r="CR641" s="14"/>
      <c r="CS641" s="14"/>
      <c r="CT641" s="1"/>
      <c r="CU641" s="14"/>
      <c r="CV641" s="1"/>
      <c r="CW641" s="1"/>
      <c r="CX641" s="14"/>
      <c r="CY641" s="1"/>
      <c r="CZ641" s="1"/>
      <c r="DA641" s="1"/>
      <c r="DB641" s="1"/>
      <c r="DC641" s="1"/>
      <c r="DD641" s="1"/>
      <c r="DE641" s="1"/>
      <c r="DF641" s="1"/>
      <c r="DG641" s="1"/>
      <c r="DH641" s="1"/>
      <c r="DI641" s="1"/>
      <c r="DJ641" s="1"/>
      <c r="DK641" s="1"/>
      <c r="DL641" s="1"/>
      <c r="DM641" s="1"/>
      <c r="DN641" s="1"/>
      <c r="DO641" s="1"/>
      <c r="DP641" s="1"/>
      <c r="DQ641" s="1"/>
      <c r="DR641" s="1"/>
      <c r="DS641" s="1"/>
      <c r="DT641" s="1"/>
      <c r="DU641" s="14"/>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29"/>
    </row>
    <row r="642" spans="1:160" x14ac:dyDescent="0.25">
      <c r="A642" s="5"/>
      <c r="B642" s="1"/>
      <c r="C642" s="98"/>
      <c r="D642" s="98"/>
      <c r="E642" s="1"/>
      <c r="F642" s="22"/>
      <c r="G642" s="22"/>
      <c r="H642" s="22"/>
      <c r="I642" s="22"/>
      <c r="J642" s="22"/>
      <c r="K642" s="22"/>
      <c r="L642" s="22"/>
      <c r="M642" s="22"/>
      <c r="N642" s="22"/>
      <c r="O642" s="22"/>
      <c r="P642" s="22"/>
      <c r="Q642" s="22"/>
      <c r="R642" s="1"/>
      <c r="S642" s="1"/>
      <c r="T642" s="8"/>
      <c r="U642" s="1"/>
      <c r="V642" s="1"/>
      <c r="W642" s="1"/>
      <c r="X642" s="1"/>
      <c r="Y642" s="1"/>
      <c r="Z642" s="1"/>
      <c r="AA642" s="1"/>
      <c r="AC642" s="1"/>
      <c r="AD642" s="1"/>
      <c r="AE642" s="1"/>
      <c r="AF642" s="1"/>
      <c r="AG642" s="1"/>
      <c r="AH642" s="26"/>
      <c r="AI642" s="26"/>
      <c r="AJ642" s="26"/>
      <c r="AK642" s="26"/>
      <c r="AL642" s="26"/>
      <c r="AM642" s="26"/>
      <c r="AN642" s="26"/>
      <c r="AO642" s="26"/>
      <c r="AP642" s="26"/>
      <c r="AQ642" s="26"/>
      <c r="AR642" s="26"/>
      <c r="AS642" s="26"/>
      <c r="AT642" s="26"/>
      <c r="AU642" s="26"/>
      <c r="AV642" s="26"/>
      <c r="AW642" s="26"/>
      <c r="AX642" s="26"/>
      <c r="AY642" s="1"/>
      <c r="AZ642" s="26"/>
      <c r="BA642" s="26"/>
      <c r="BB642" s="26"/>
      <c r="BC642" s="26"/>
      <c r="BD642" s="26"/>
      <c r="BE642" s="26"/>
      <c r="BF642" s="26"/>
      <c r="BG642" s="26"/>
      <c r="BH642" s="26"/>
      <c r="BI642" s="26"/>
      <c r="BJ642" s="26"/>
      <c r="BK642" s="26"/>
      <c r="BL642" s="26"/>
      <c r="BM642" s="26"/>
      <c r="BN642" s="26"/>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96"/>
      <c r="CP642" s="14"/>
      <c r="CQ642" s="14"/>
      <c r="CR642" s="14"/>
      <c r="CS642" s="14"/>
      <c r="CT642" s="1"/>
      <c r="CU642" s="14"/>
      <c r="CV642" s="1"/>
      <c r="CW642" s="1"/>
      <c r="CX642" s="14"/>
      <c r="CY642" s="1"/>
      <c r="CZ642" s="1"/>
      <c r="DA642" s="1"/>
      <c r="DB642" s="1"/>
      <c r="DC642" s="1"/>
      <c r="DD642" s="1"/>
      <c r="DE642" s="1"/>
      <c r="DF642" s="1"/>
      <c r="DG642" s="1"/>
      <c r="DH642" s="1"/>
      <c r="DI642" s="1"/>
      <c r="DJ642" s="1"/>
      <c r="DK642" s="1"/>
      <c r="DL642" s="1"/>
      <c r="DM642" s="1"/>
      <c r="DN642" s="1"/>
      <c r="DO642" s="1"/>
      <c r="DP642" s="1"/>
      <c r="DQ642" s="1"/>
      <c r="DR642" s="1"/>
      <c r="DS642" s="1"/>
      <c r="DT642" s="1"/>
      <c r="DU642" s="14"/>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29"/>
    </row>
    <row r="643" spans="1:160" x14ac:dyDescent="0.25">
      <c r="A643" s="5"/>
      <c r="B643" s="1"/>
      <c r="C643" s="98"/>
      <c r="D643" s="98"/>
      <c r="E643" s="1"/>
      <c r="F643" s="22"/>
      <c r="G643" s="22"/>
      <c r="H643" s="22"/>
      <c r="I643" s="22"/>
      <c r="J643" s="22"/>
      <c r="K643" s="22"/>
      <c r="L643" s="22"/>
      <c r="M643" s="22"/>
      <c r="N643" s="22"/>
      <c r="O643" s="22"/>
      <c r="P643" s="22"/>
      <c r="Q643" s="22"/>
      <c r="R643" s="1"/>
      <c r="S643" s="1"/>
      <c r="T643" s="8"/>
      <c r="U643" s="1"/>
      <c r="V643" s="1"/>
      <c r="W643" s="1"/>
      <c r="X643" s="1"/>
      <c r="Y643" s="1"/>
      <c r="Z643" s="1"/>
      <c r="AA643" s="1"/>
      <c r="AC643" s="1"/>
      <c r="AD643" s="1"/>
      <c r="AE643" s="1"/>
      <c r="AF643" s="1"/>
      <c r="AG643" s="1"/>
      <c r="AH643" s="26"/>
      <c r="AI643" s="26"/>
      <c r="AJ643" s="26"/>
      <c r="AK643" s="26"/>
      <c r="AL643" s="26"/>
      <c r="AM643" s="26"/>
      <c r="AN643" s="26"/>
      <c r="AO643" s="26"/>
      <c r="AP643" s="26"/>
      <c r="AQ643" s="26"/>
      <c r="AR643" s="26"/>
      <c r="AS643" s="26"/>
      <c r="AT643" s="26"/>
      <c r="AU643" s="26"/>
      <c r="AV643" s="26"/>
      <c r="AW643" s="26"/>
      <c r="AX643" s="26"/>
      <c r="AY643" s="1"/>
      <c r="AZ643" s="26"/>
      <c r="BA643" s="26"/>
      <c r="BB643" s="26"/>
      <c r="BC643" s="26"/>
      <c r="BD643" s="26"/>
      <c r="BE643" s="26"/>
      <c r="BF643" s="26"/>
      <c r="BG643" s="26"/>
      <c r="BH643" s="26"/>
      <c r="BI643" s="26"/>
      <c r="BJ643" s="26"/>
      <c r="BK643" s="26"/>
      <c r="BL643" s="26"/>
      <c r="BM643" s="26"/>
      <c r="BN643" s="26"/>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96"/>
      <c r="CP643" s="14"/>
      <c r="CQ643" s="14"/>
      <c r="CR643" s="14"/>
      <c r="CS643" s="14"/>
      <c r="CT643" s="1"/>
      <c r="CU643" s="14"/>
      <c r="CV643" s="1"/>
      <c r="CW643" s="1"/>
      <c r="CX643" s="14"/>
      <c r="CY643" s="1"/>
      <c r="CZ643" s="1"/>
      <c r="DA643" s="1"/>
      <c r="DB643" s="1"/>
      <c r="DC643" s="1"/>
      <c r="DD643" s="1"/>
      <c r="DE643" s="1"/>
      <c r="DF643" s="1"/>
      <c r="DG643" s="1"/>
      <c r="DH643" s="1"/>
      <c r="DI643" s="1"/>
      <c r="DJ643" s="1"/>
      <c r="DK643" s="1"/>
      <c r="DL643" s="1"/>
      <c r="DM643" s="1"/>
      <c r="DN643" s="1"/>
      <c r="DO643" s="1"/>
      <c r="DP643" s="1"/>
      <c r="DQ643" s="1"/>
      <c r="DR643" s="1"/>
      <c r="DS643" s="1"/>
      <c r="DT643" s="1"/>
      <c r="DU643" s="14"/>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29"/>
    </row>
    <row r="644" spans="1:160" x14ac:dyDescent="0.25">
      <c r="A644" s="5"/>
      <c r="B644" s="1"/>
      <c r="C644" s="98"/>
      <c r="D644" s="98"/>
      <c r="E644" s="1"/>
      <c r="F644" s="22"/>
      <c r="G644" s="22"/>
      <c r="H644" s="22"/>
      <c r="I644" s="22"/>
      <c r="J644" s="22"/>
      <c r="K644" s="22"/>
      <c r="L644" s="22"/>
      <c r="M644" s="22"/>
      <c r="N644" s="22"/>
      <c r="O644" s="22"/>
      <c r="P644" s="22"/>
      <c r="Q644" s="22"/>
      <c r="R644" s="1"/>
      <c r="S644" s="1"/>
      <c r="T644" s="8"/>
      <c r="U644" s="1"/>
      <c r="V644" s="1"/>
      <c r="W644" s="1"/>
      <c r="X644" s="1"/>
      <c r="Y644" s="1"/>
      <c r="Z644" s="1"/>
      <c r="AA644" s="1"/>
      <c r="AC644" s="1"/>
      <c r="AD644" s="1"/>
      <c r="AE644" s="1"/>
      <c r="AF644" s="1"/>
      <c r="AG644" s="1"/>
      <c r="AH644" s="26"/>
      <c r="AI644" s="26"/>
      <c r="AJ644" s="26"/>
      <c r="AK644" s="26"/>
      <c r="AL644" s="26"/>
      <c r="AM644" s="26"/>
      <c r="AN644" s="26"/>
      <c r="AO644" s="26"/>
      <c r="AP644" s="26"/>
      <c r="AQ644" s="26"/>
      <c r="AR644" s="26"/>
      <c r="AS644" s="26"/>
      <c r="AT644" s="26"/>
      <c r="AU644" s="26"/>
      <c r="AV644" s="26"/>
      <c r="AW644" s="26"/>
      <c r="AX644" s="26"/>
      <c r="AY644" s="1"/>
      <c r="AZ644" s="26"/>
      <c r="BA644" s="26"/>
      <c r="BB644" s="26"/>
      <c r="BC644" s="26"/>
      <c r="BD644" s="26"/>
      <c r="BE644" s="26"/>
      <c r="BF644" s="26"/>
      <c r="BG644" s="26"/>
      <c r="BH644" s="26"/>
      <c r="BI644" s="26"/>
      <c r="BJ644" s="26"/>
      <c r="BK644" s="26"/>
      <c r="BL644" s="26"/>
      <c r="BM644" s="26"/>
      <c r="BN644" s="26"/>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96"/>
      <c r="CP644" s="14"/>
      <c r="CQ644" s="14"/>
      <c r="CR644" s="14"/>
      <c r="CS644" s="14"/>
      <c r="CT644" s="1"/>
      <c r="CU644" s="14"/>
      <c r="CV644" s="1"/>
      <c r="CW644" s="1"/>
      <c r="CX644" s="14"/>
      <c r="CY644" s="1"/>
      <c r="CZ644" s="1"/>
      <c r="DA644" s="1"/>
      <c r="DB644" s="1"/>
      <c r="DC644" s="1"/>
      <c r="DD644" s="1"/>
      <c r="DE644" s="1"/>
      <c r="DF644" s="1"/>
      <c r="DG644" s="1"/>
      <c r="DH644" s="1"/>
      <c r="DI644" s="1"/>
      <c r="DJ644" s="1"/>
      <c r="DK644" s="1"/>
      <c r="DL644" s="1"/>
      <c r="DM644" s="1"/>
      <c r="DN644" s="1"/>
      <c r="DO644" s="1"/>
      <c r="DP644" s="1"/>
      <c r="DQ644" s="1"/>
      <c r="DR644" s="1"/>
      <c r="DS644" s="1"/>
      <c r="DT644" s="1"/>
      <c r="DU644" s="14"/>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29"/>
    </row>
    <row r="645" spans="1:160" x14ac:dyDescent="0.25">
      <c r="A645" s="5"/>
      <c r="B645" s="1"/>
      <c r="C645" s="98"/>
      <c r="D645" s="98"/>
      <c r="E645" s="1"/>
      <c r="F645" s="22"/>
      <c r="G645" s="22"/>
      <c r="H645" s="22"/>
      <c r="I645" s="22"/>
      <c r="J645" s="22"/>
      <c r="K645" s="22"/>
      <c r="L645" s="22"/>
      <c r="M645" s="22"/>
      <c r="N645" s="22"/>
      <c r="O645" s="22"/>
      <c r="P645" s="22"/>
      <c r="Q645" s="22"/>
      <c r="R645" s="1"/>
      <c r="S645" s="1"/>
      <c r="T645" s="8"/>
      <c r="U645" s="1"/>
      <c r="V645" s="1"/>
      <c r="W645" s="1"/>
      <c r="X645" s="1"/>
      <c r="Y645" s="1"/>
      <c r="Z645" s="1"/>
      <c r="AA645" s="1"/>
      <c r="AC645" s="1"/>
      <c r="AD645" s="1"/>
      <c r="AE645" s="1"/>
      <c r="AF645" s="1"/>
      <c r="AG645" s="1"/>
      <c r="AH645" s="26"/>
      <c r="AI645" s="26"/>
      <c r="AJ645" s="26"/>
      <c r="AK645" s="26"/>
      <c r="AL645" s="26"/>
      <c r="AM645" s="26"/>
      <c r="AN645" s="26"/>
      <c r="AO645" s="26"/>
      <c r="AP645" s="26"/>
      <c r="AQ645" s="26"/>
      <c r="AR645" s="26"/>
      <c r="AS645" s="26"/>
      <c r="AT645" s="26"/>
      <c r="AU645" s="26"/>
      <c r="AV645" s="26"/>
      <c r="AW645" s="26"/>
      <c r="AX645" s="26"/>
      <c r="AY645" s="1"/>
      <c r="AZ645" s="26"/>
      <c r="BA645" s="26"/>
      <c r="BB645" s="26"/>
      <c r="BC645" s="26"/>
      <c r="BD645" s="26"/>
      <c r="BE645" s="26"/>
      <c r="BF645" s="26"/>
      <c r="BG645" s="26"/>
      <c r="BH645" s="26"/>
      <c r="BI645" s="26"/>
      <c r="BJ645" s="26"/>
      <c r="BK645" s="26"/>
      <c r="BL645" s="26"/>
      <c r="BM645" s="26"/>
      <c r="BN645" s="26"/>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96"/>
      <c r="CP645" s="14"/>
      <c r="CQ645" s="14"/>
      <c r="CR645" s="14"/>
      <c r="CS645" s="14"/>
      <c r="CT645" s="1"/>
      <c r="CU645" s="14"/>
      <c r="CV645" s="1"/>
      <c r="CW645" s="1"/>
      <c r="CX645" s="14"/>
      <c r="CY645" s="1"/>
      <c r="CZ645" s="1"/>
      <c r="DA645" s="1"/>
      <c r="DB645" s="1"/>
      <c r="DC645" s="1"/>
      <c r="DD645" s="1"/>
      <c r="DE645" s="1"/>
      <c r="DF645" s="1"/>
      <c r="DG645" s="1"/>
      <c r="DH645" s="1"/>
      <c r="DI645" s="1"/>
      <c r="DJ645" s="1"/>
      <c r="DK645" s="1"/>
      <c r="DL645" s="1"/>
      <c r="DM645" s="1"/>
      <c r="DN645" s="1"/>
      <c r="DO645" s="1"/>
      <c r="DP645" s="1"/>
      <c r="DQ645" s="1"/>
      <c r="DR645" s="1"/>
      <c r="DS645" s="1"/>
      <c r="DT645" s="1"/>
      <c r="DU645" s="14"/>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29"/>
    </row>
    <row r="646" spans="1:160" x14ac:dyDescent="0.25">
      <c r="A646" s="5"/>
      <c r="B646" s="1"/>
      <c r="C646" s="98"/>
      <c r="D646" s="98"/>
      <c r="E646" s="1"/>
      <c r="F646" s="22"/>
      <c r="G646" s="22"/>
      <c r="H646" s="22"/>
      <c r="I646" s="22"/>
      <c r="J646" s="22"/>
      <c r="K646" s="22"/>
      <c r="L646" s="22"/>
      <c r="M646" s="22"/>
      <c r="N646" s="22"/>
      <c r="O646" s="22"/>
      <c r="P646" s="22"/>
      <c r="Q646" s="22"/>
      <c r="R646" s="1"/>
      <c r="S646" s="1"/>
      <c r="T646" s="8"/>
      <c r="U646" s="1"/>
      <c r="V646" s="1"/>
      <c r="W646" s="1"/>
      <c r="X646" s="1"/>
      <c r="Y646" s="1"/>
      <c r="Z646" s="1"/>
      <c r="AA646" s="1"/>
      <c r="AC646" s="1"/>
      <c r="AD646" s="1"/>
      <c r="AE646" s="1"/>
      <c r="AF646" s="1"/>
      <c r="AG646" s="1"/>
      <c r="AH646" s="26"/>
      <c r="AI646" s="26"/>
      <c r="AJ646" s="26"/>
      <c r="AK646" s="26"/>
      <c r="AL646" s="26"/>
      <c r="AM646" s="26"/>
      <c r="AN646" s="26"/>
      <c r="AO646" s="26"/>
      <c r="AP646" s="26"/>
      <c r="AQ646" s="26"/>
      <c r="AR646" s="26"/>
      <c r="AS646" s="26"/>
      <c r="AT646" s="26"/>
      <c r="AU646" s="26"/>
      <c r="AV646" s="26"/>
      <c r="AW646" s="26"/>
      <c r="AX646" s="26"/>
      <c r="AY646" s="1"/>
      <c r="AZ646" s="26"/>
      <c r="BA646" s="26"/>
      <c r="BB646" s="26"/>
      <c r="BC646" s="26"/>
      <c r="BD646" s="26"/>
      <c r="BE646" s="26"/>
      <c r="BF646" s="26"/>
      <c r="BG646" s="26"/>
      <c r="BH646" s="26"/>
      <c r="BI646" s="26"/>
      <c r="BJ646" s="26"/>
      <c r="BK646" s="26"/>
      <c r="BL646" s="26"/>
      <c r="BM646" s="26"/>
      <c r="BN646" s="26"/>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96"/>
      <c r="CP646" s="14"/>
      <c r="CQ646" s="14"/>
      <c r="CR646" s="14"/>
      <c r="CS646" s="14"/>
      <c r="CT646" s="1"/>
      <c r="CU646" s="14"/>
      <c r="CV646" s="1"/>
      <c r="CW646" s="1"/>
      <c r="CX646" s="14"/>
      <c r="CY646" s="1"/>
      <c r="CZ646" s="1"/>
      <c r="DA646" s="1"/>
      <c r="DB646" s="1"/>
      <c r="DC646" s="1"/>
      <c r="DD646" s="1"/>
      <c r="DE646" s="1"/>
      <c r="DF646" s="1"/>
      <c r="DG646" s="1"/>
      <c r="DH646" s="1"/>
      <c r="DI646" s="1"/>
      <c r="DJ646" s="1"/>
      <c r="DK646" s="1"/>
      <c r="DL646" s="1"/>
      <c r="DM646" s="1"/>
      <c r="DN646" s="1"/>
      <c r="DO646" s="1"/>
      <c r="DP646" s="1"/>
      <c r="DQ646" s="1"/>
      <c r="DR646" s="1"/>
      <c r="DS646" s="1"/>
      <c r="DT646" s="1"/>
      <c r="DU646" s="14"/>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29"/>
    </row>
    <row r="647" spans="1:160" x14ac:dyDescent="0.25">
      <c r="A647" s="5"/>
      <c r="B647" s="1"/>
      <c r="C647" s="98"/>
      <c r="D647" s="98"/>
      <c r="E647" s="1"/>
      <c r="F647" s="22"/>
      <c r="G647" s="22"/>
      <c r="H647" s="22"/>
      <c r="I647" s="22"/>
      <c r="J647" s="22"/>
      <c r="K647" s="22"/>
      <c r="L647" s="22"/>
      <c r="M647" s="22"/>
      <c r="N647" s="22"/>
      <c r="O647" s="22"/>
      <c r="P647" s="22"/>
      <c r="Q647" s="22"/>
      <c r="R647" s="1"/>
      <c r="S647" s="1"/>
      <c r="T647" s="8"/>
      <c r="U647" s="1"/>
      <c r="V647" s="1"/>
      <c r="W647" s="1"/>
      <c r="X647" s="1"/>
      <c r="Y647" s="1"/>
      <c r="Z647" s="1"/>
      <c r="AA647" s="1"/>
      <c r="AC647" s="1"/>
      <c r="AD647" s="1"/>
      <c r="AE647" s="1"/>
      <c r="AF647" s="1"/>
      <c r="AG647" s="1"/>
      <c r="AH647" s="26"/>
      <c r="AI647" s="26"/>
      <c r="AJ647" s="26"/>
      <c r="AK647" s="26"/>
      <c r="AL647" s="26"/>
      <c r="AM647" s="26"/>
      <c r="AN647" s="26"/>
      <c r="AO647" s="26"/>
      <c r="AP647" s="26"/>
      <c r="AQ647" s="26"/>
      <c r="AR647" s="26"/>
      <c r="AS647" s="26"/>
      <c r="AT647" s="26"/>
      <c r="AU647" s="26"/>
      <c r="AV647" s="26"/>
      <c r="AW647" s="26"/>
      <c r="AX647" s="26"/>
      <c r="AY647" s="1"/>
      <c r="AZ647" s="26"/>
      <c r="BA647" s="26"/>
      <c r="BB647" s="26"/>
      <c r="BC647" s="26"/>
      <c r="BD647" s="26"/>
      <c r="BE647" s="26"/>
      <c r="BF647" s="26"/>
      <c r="BG647" s="26"/>
      <c r="BH647" s="26"/>
      <c r="BI647" s="26"/>
      <c r="BJ647" s="26"/>
      <c r="BK647" s="26"/>
      <c r="BL647" s="26"/>
      <c r="BM647" s="26"/>
      <c r="BN647" s="26"/>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96"/>
      <c r="CP647" s="14"/>
      <c r="CQ647" s="14"/>
      <c r="CR647" s="14"/>
      <c r="CS647" s="14"/>
      <c r="CT647" s="1"/>
      <c r="CU647" s="14"/>
      <c r="CV647" s="1"/>
      <c r="CW647" s="1"/>
      <c r="CX647" s="14"/>
      <c r="CY647" s="1"/>
      <c r="CZ647" s="1"/>
      <c r="DA647" s="1"/>
      <c r="DB647" s="1"/>
      <c r="DC647" s="1"/>
      <c r="DD647" s="1"/>
      <c r="DE647" s="1"/>
      <c r="DF647" s="1"/>
      <c r="DG647" s="1"/>
      <c r="DH647" s="1"/>
      <c r="DI647" s="1"/>
      <c r="DJ647" s="1"/>
      <c r="DK647" s="1"/>
      <c r="DL647" s="1"/>
      <c r="DM647" s="1"/>
      <c r="DN647" s="1"/>
      <c r="DO647" s="1"/>
      <c r="DP647" s="1"/>
      <c r="DQ647" s="1"/>
      <c r="DR647" s="1"/>
      <c r="DS647" s="1"/>
      <c r="DT647" s="1"/>
      <c r="DU647" s="14"/>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29"/>
    </row>
    <row r="648" spans="1:160" x14ac:dyDescent="0.25">
      <c r="A648" s="5"/>
      <c r="B648" s="1"/>
      <c r="C648" s="98"/>
      <c r="D648" s="98"/>
      <c r="E648" s="1"/>
      <c r="F648" s="22"/>
      <c r="G648" s="22"/>
      <c r="H648" s="22"/>
      <c r="I648" s="22"/>
      <c r="J648" s="22"/>
      <c r="K648" s="22"/>
      <c r="L648" s="22"/>
      <c r="M648" s="22"/>
      <c r="N648" s="22"/>
      <c r="O648" s="22"/>
      <c r="P648" s="22"/>
      <c r="Q648" s="22"/>
      <c r="R648" s="1"/>
      <c r="S648" s="1"/>
      <c r="T648" s="8"/>
      <c r="U648" s="1"/>
      <c r="V648" s="1"/>
      <c r="W648" s="1"/>
      <c r="X648" s="1"/>
      <c r="Y648" s="1"/>
      <c r="Z648" s="1"/>
      <c r="AA648" s="1"/>
      <c r="AC648" s="1"/>
      <c r="AD648" s="1"/>
      <c r="AE648" s="1"/>
      <c r="AF648" s="1"/>
      <c r="AG648" s="1"/>
      <c r="AH648" s="26"/>
      <c r="AI648" s="26"/>
      <c r="AJ648" s="26"/>
      <c r="AK648" s="26"/>
      <c r="AL648" s="26"/>
      <c r="AM648" s="26"/>
      <c r="AN648" s="26"/>
      <c r="AO648" s="26"/>
      <c r="AP648" s="26"/>
      <c r="AQ648" s="26"/>
      <c r="AR648" s="26"/>
      <c r="AS648" s="26"/>
      <c r="AT648" s="26"/>
      <c r="AU648" s="26"/>
      <c r="AV648" s="26"/>
      <c r="AW648" s="26"/>
      <c r="AX648" s="26"/>
      <c r="AY648" s="1"/>
      <c r="AZ648" s="26"/>
      <c r="BA648" s="26"/>
      <c r="BB648" s="26"/>
      <c r="BC648" s="26"/>
      <c r="BD648" s="26"/>
      <c r="BE648" s="26"/>
      <c r="BF648" s="26"/>
      <c r="BG648" s="26"/>
      <c r="BH648" s="26"/>
      <c r="BI648" s="26"/>
      <c r="BJ648" s="26"/>
      <c r="BK648" s="26"/>
      <c r="BL648" s="26"/>
      <c r="BM648" s="26"/>
      <c r="BN648" s="26"/>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96"/>
      <c r="CP648" s="14"/>
      <c r="CQ648" s="14"/>
      <c r="CR648" s="14"/>
      <c r="CS648" s="14"/>
      <c r="CT648" s="1"/>
      <c r="CU648" s="14"/>
      <c r="CV648" s="1"/>
      <c r="CW648" s="1"/>
      <c r="CX648" s="14"/>
      <c r="CY648" s="1"/>
      <c r="CZ648" s="1"/>
      <c r="DA648" s="1"/>
      <c r="DB648" s="1"/>
      <c r="DC648" s="1"/>
      <c r="DD648" s="1"/>
      <c r="DE648" s="1"/>
      <c r="DF648" s="1"/>
      <c r="DG648" s="1"/>
      <c r="DH648" s="1"/>
      <c r="DI648" s="1"/>
      <c r="DJ648" s="1"/>
      <c r="DK648" s="1"/>
      <c r="DL648" s="1"/>
      <c r="DM648" s="1"/>
      <c r="DN648" s="1"/>
      <c r="DO648" s="1"/>
      <c r="DP648" s="1"/>
      <c r="DQ648" s="1"/>
      <c r="DR648" s="1"/>
      <c r="DS648" s="1"/>
      <c r="DT648" s="1"/>
      <c r="DU648" s="14"/>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29"/>
    </row>
    <row r="649" spans="1:160" x14ac:dyDescent="0.25">
      <c r="A649" s="5"/>
      <c r="B649" s="1"/>
      <c r="C649" s="98"/>
      <c r="D649" s="98"/>
      <c r="E649" s="1"/>
      <c r="F649" s="22"/>
      <c r="G649" s="22"/>
      <c r="H649" s="22"/>
      <c r="I649" s="22"/>
      <c r="J649" s="22"/>
      <c r="K649" s="22"/>
      <c r="L649" s="22"/>
      <c r="M649" s="22"/>
      <c r="N649" s="22"/>
      <c r="O649" s="22"/>
      <c r="P649" s="22"/>
      <c r="Q649" s="22"/>
      <c r="R649" s="1"/>
      <c r="S649" s="1"/>
      <c r="T649" s="8"/>
      <c r="U649" s="1"/>
      <c r="V649" s="1"/>
      <c r="W649" s="1"/>
      <c r="X649" s="1"/>
      <c r="Y649" s="1"/>
      <c r="Z649" s="1"/>
      <c r="AA649" s="1"/>
      <c r="AC649" s="1"/>
      <c r="AD649" s="1"/>
      <c r="AE649" s="1"/>
      <c r="AF649" s="1"/>
      <c r="AG649" s="1"/>
      <c r="AH649" s="26"/>
      <c r="AI649" s="26"/>
      <c r="AJ649" s="26"/>
      <c r="AK649" s="26"/>
      <c r="AL649" s="26"/>
      <c r="AM649" s="26"/>
      <c r="AN649" s="26"/>
      <c r="AO649" s="26"/>
      <c r="AP649" s="26"/>
      <c r="AQ649" s="26"/>
      <c r="AR649" s="26"/>
      <c r="AS649" s="26"/>
      <c r="AT649" s="26"/>
      <c r="AU649" s="26"/>
      <c r="AV649" s="26"/>
      <c r="AW649" s="26"/>
      <c r="AX649" s="26"/>
      <c r="AY649" s="1"/>
      <c r="AZ649" s="26"/>
      <c r="BA649" s="26"/>
      <c r="BB649" s="26"/>
      <c r="BC649" s="26"/>
      <c r="BD649" s="26"/>
      <c r="BE649" s="26"/>
      <c r="BF649" s="26"/>
      <c r="BG649" s="26"/>
      <c r="BH649" s="26"/>
      <c r="BI649" s="26"/>
      <c r="BJ649" s="26"/>
      <c r="BK649" s="26"/>
      <c r="BL649" s="26"/>
      <c r="BM649" s="26"/>
      <c r="BN649" s="26"/>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96"/>
      <c r="CP649" s="14"/>
      <c r="CQ649" s="14"/>
      <c r="CR649" s="14"/>
      <c r="CS649" s="14"/>
      <c r="CT649" s="1"/>
      <c r="CU649" s="14"/>
      <c r="CV649" s="1"/>
      <c r="CW649" s="1"/>
      <c r="CX649" s="14"/>
      <c r="CY649" s="1"/>
      <c r="CZ649" s="1"/>
      <c r="DA649" s="1"/>
      <c r="DB649" s="1"/>
      <c r="DC649" s="1"/>
      <c r="DD649" s="1"/>
      <c r="DE649" s="1"/>
      <c r="DF649" s="1"/>
      <c r="DG649" s="1"/>
      <c r="DH649" s="1"/>
      <c r="DI649" s="1"/>
      <c r="DJ649" s="1"/>
      <c r="DK649" s="1"/>
      <c r="DL649" s="1"/>
      <c r="DM649" s="1"/>
      <c r="DN649" s="1"/>
      <c r="DO649" s="1"/>
      <c r="DP649" s="1"/>
      <c r="DQ649" s="1"/>
      <c r="DR649" s="1"/>
      <c r="DS649" s="1"/>
      <c r="DT649" s="1"/>
      <c r="DU649" s="14"/>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29"/>
    </row>
    <row r="650" spans="1:160" x14ac:dyDescent="0.25">
      <c r="A650" s="5"/>
      <c r="B650" s="1"/>
      <c r="C650" s="98"/>
      <c r="D650" s="98"/>
      <c r="E650" s="1"/>
      <c r="F650" s="22"/>
      <c r="G650" s="22"/>
      <c r="H650" s="22"/>
      <c r="I650" s="22"/>
      <c r="J650" s="22"/>
      <c r="K650" s="22"/>
      <c r="L650" s="22"/>
      <c r="M650" s="22"/>
      <c r="N650" s="22"/>
      <c r="O650" s="22"/>
      <c r="P650" s="22"/>
      <c r="Q650" s="22"/>
      <c r="R650" s="1"/>
      <c r="S650" s="1"/>
      <c r="T650" s="8"/>
      <c r="U650" s="1"/>
      <c r="V650" s="1"/>
      <c r="W650" s="1"/>
      <c r="X650" s="1"/>
      <c r="Y650" s="1"/>
      <c r="Z650" s="1"/>
      <c r="AA650" s="1"/>
      <c r="AC650" s="1"/>
      <c r="AD650" s="1"/>
      <c r="AE650" s="1"/>
      <c r="AF650" s="1"/>
      <c r="AG650" s="1"/>
      <c r="AH650" s="26"/>
      <c r="AI650" s="26"/>
      <c r="AJ650" s="26"/>
      <c r="AK650" s="26"/>
      <c r="AL650" s="26"/>
      <c r="AM650" s="26"/>
      <c r="AN650" s="26"/>
      <c r="AO650" s="26"/>
      <c r="AP650" s="26"/>
      <c r="AQ650" s="26"/>
      <c r="AR650" s="26"/>
      <c r="AS650" s="26"/>
      <c r="AT650" s="26"/>
      <c r="AU650" s="26"/>
      <c r="AV650" s="26"/>
      <c r="AW650" s="26"/>
      <c r="AX650" s="26"/>
      <c r="AY650" s="1"/>
      <c r="AZ650" s="26"/>
      <c r="BA650" s="26"/>
      <c r="BB650" s="26"/>
      <c r="BC650" s="26"/>
      <c r="BD650" s="26"/>
      <c r="BE650" s="26"/>
      <c r="BF650" s="26"/>
      <c r="BG650" s="26"/>
      <c r="BH650" s="26"/>
      <c r="BI650" s="26"/>
      <c r="BJ650" s="26"/>
      <c r="BK650" s="26"/>
      <c r="BL650" s="26"/>
      <c r="BM650" s="26"/>
      <c r="BN650" s="26"/>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96"/>
      <c r="CP650" s="14"/>
      <c r="CQ650" s="14"/>
      <c r="CR650" s="14"/>
      <c r="CS650" s="14"/>
      <c r="CT650" s="1"/>
      <c r="CU650" s="14"/>
      <c r="CV650" s="1"/>
      <c r="CW650" s="1"/>
      <c r="CX650" s="14"/>
      <c r="CY650" s="1"/>
      <c r="CZ650" s="1"/>
      <c r="DA650" s="1"/>
      <c r="DB650" s="1"/>
      <c r="DC650" s="1"/>
      <c r="DD650" s="1"/>
      <c r="DE650" s="1"/>
      <c r="DF650" s="1"/>
      <c r="DG650" s="1"/>
      <c r="DH650" s="1"/>
      <c r="DI650" s="1"/>
      <c r="DJ650" s="1"/>
      <c r="DK650" s="1"/>
      <c r="DL650" s="1"/>
      <c r="DM650" s="1"/>
      <c r="DN650" s="1"/>
      <c r="DO650" s="1"/>
      <c r="DP650" s="1"/>
      <c r="DQ650" s="1"/>
      <c r="DR650" s="1"/>
      <c r="DS650" s="1"/>
      <c r="DT650" s="1"/>
      <c r="DU650" s="14"/>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29"/>
    </row>
    <row r="651" spans="1:160" x14ac:dyDescent="0.25">
      <c r="A651" s="5"/>
      <c r="B651" s="1"/>
      <c r="C651" s="98"/>
      <c r="D651" s="98"/>
      <c r="E651" s="1"/>
      <c r="F651" s="22"/>
      <c r="G651" s="22"/>
      <c r="H651" s="22"/>
      <c r="I651" s="22"/>
      <c r="J651" s="22"/>
      <c r="K651" s="22"/>
      <c r="L651" s="22"/>
      <c r="M651" s="22"/>
      <c r="N651" s="22"/>
      <c r="O651" s="22"/>
      <c r="P651" s="22"/>
      <c r="Q651" s="22"/>
      <c r="R651" s="1"/>
      <c r="S651" s="1"/>
      <c r="T651" s="8"/>
      <c r="U651" s="1"/>
      <c r="V651" s="1"/>
      <c r="W651" s="1"/>
      <c r="X651" s="1"/>
      <c r="Y651" s="1"/>
      <c r="Z651" s="1"/>
      <c r="AA651" s="1"/>
      <c r="AC651" s="1"/>
      <c r="AD651" s="1"/>
      <c r="AE651" s="1"/>
      <c r="AF651" s="1"/>
      <c r="AG651" s="1"/>
      <c r="AH651" s="26"/>
      <c r="AI651" s="26"/>
      <c r="AJ651" s="26"/>
      <c r="AK651" s="26"/>
      <c r="AL651" s="26"/>
      <c r="AM651" s="26"/>
      <c r="AN651" s="26"/>
      <c r="AO651" s="26"/>
      <c r="AP651" s="26"/>
      <c r="AQ651" s="26"/>
      <c r="AR651" s="26"/>
      <c r="AS651" s="26"/>
      <c r="AT651" s="26"/>
      <c r="AU651" s="26"/>
      <c r="AV651" s="26"/>
      <c r="AW651" s="26"/>
      <c r="AX651" s="26"/>
      <c r="AY651" s="1"/>
      <c r="AZ651" s="26"/>
      <c r="BA651" s="26"/>
      <c r="BB651" s="26"/>
      <c r="BC651" s="26"/>
      <c r="BD651" s="26"/>
      <c r="BE651" s="26"/>
      <c r="BF651" s="26"/>
      <c r="BG651" s="26"/>
      <c r="BH651" s="26"/>
      <c r="BI651" s="26"/>
      <c r="BJ651" s="26"/>
      <c r="BK651" s="26"/>
      <c r="BL651" s="26"/>
      <c r="BM651" s="26"/>
      <c r="BN651" s="26"/>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96"/>
      <c r="CP651" s="14"/>
      <c r="CQ651" s="14"/>
      <c r="CR651" s="14"/>
      <c r="CS651" s="14"/>
      <c r="CT651" s="1"/>
      <c r="CU651" s="14"/>
      <c r="CV651" s="1"/>
      <c r="CW651" s="1"/>
      <c r="CX651" s="14"/>
      <c r="CY651" s="1"/>
      <c r="CZ651" s="1"/>
      <c r="DA651" s="1"/>
      <c r="DB651" s="1"/>
      <c r="DC651" s="1"/>
      <c r="DD651" s="1"/>
      <c r="DE651" s="1"/>
      <c r="DF651" s="1"/>
      <c r="DG651" s="1"/>
      <c r="DH651" s="1"/>
      <c r="DI651" s="1"/>
      <c r="DJ651" s="1"/>
      <c r="DK651" s="1"/>
      <c r="DL651" s="1"/>
      <c r="DM651" s="1"/>
      <c r="DN651" s="1"/>
      <c r="DO651" s="1"/>
      <c r="DP651" s="1"/>
      <c r="DQ651" s="1"/>
      <c r="DR651" s="1"/>
      <c r="DS651" s="1"/>
      <c r="DT651" s="1"/>
      <c r="DU651" s="14"/>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29"/>
    </row>
    <row r="652" spans="1:160" x14ac:dyDescent="0.25">
      <c r="A652" s="5"/>
      <c r="B652" s="1"/>
      <c r="C652" s="98"/>
      <c r="D652" s="98"/>
      <c r="E652" s="1"/>
      <c r="F652" s="22"/>
      <c r="G652" s="22"/>
      <c r="H652" s="22"/>
      <c r="I652" s="22"/>
      <c r="J652" s="22"/>
      <c r="K652" s="22"/>
      <c r="L652" s="22"/>
      <c r="M652" s="22"/>
      <c r="N652" s="22"/>
      <c r="O652" s="22"/>
      <c r="P652" s="22"/>
      <c r="Q652" s="22"/>
      <c r="R652" s="1"/>
      <c r="S652" s="1"/>
      <c r="T652" s="8"/>
      <c r="U652" s="1"/>
      <c r="V652" s="1"/>
      <c r="W652" s="1"/>
      <c r="X652" s="1"/>
      <c r="Y652" s="1"/>
      <c r="Z652" s="1"/>
      <c r="AA652" s="1"/>
      <c r="AC652" s="1"/>
      <c r="AD652" s="1"/>
      <c r="AE652" s="1"/>
      <c r="AF652" s="1"/>
      <c r="AG652" s="1"/>
      <c r="AH652" s="26"/>
      <c r="AI652" s="26"/>
      <c r="AJ652" s="26"/>
      <c r="AK652" s="26"/>
      <c r="AL652" s="26"/>
      <c r="AM652" s="26"/>
      <c r="AN652" s="26"/>
      <c r="AO652" s="26"/>
      <c r="AP652" s="26"/>
      <c r="AQ652" s="26"/>
      <c r="AR652" s="26"/>
      <c r="AS652" s="26"/>
      <c r="AT652" s="26"/>
      <c r="AU652" s="26"/>
      <c r="AV652" s="26"/>
      <c r="AW652" s="26"/>
      <c r="AX652" s="26"/>
      <c r="AY652" s="1"/>
      <c r="AZ652" s="26"/>
      <c r="BA652" s="26"/>
      <c r="BB652" s="26"/>
      <c r="BC652" s="26"/>
      <c r="BD652" s="26"/>
      <c r="BE652" s="26"/>
      <c r="BF652" s="26"/>
      <c r="BG652" s="26"/>
      <c r="BH652" s="26"/>
      <c r="BI652" s="26"/>
      <c r="BJ652" s="26"/>
      <c r="BK652" s="26"/>
      <c r="BL652" s="26"/>
      <c r="BM652" s="26"/>
      <c r="BN652" s="26"/>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96"/>
      <c r="CP652" s="14"/>
      <c r="CQ652" s="14"/>
      <c r="CR652" s="14"/>
      <c r="CS652" s="14"/>
      <c r="CT652" s="1"/>
      <c r="CU652" s="14"/>
      <c r="CV652" s="1"/>
      <c r="CW652" s="1"/>
      <c r="CX652" s="14"/>
      <c r="CY652" s="1"/>
      <c r="CZ652" s="1"/>
      <c r="DA652" s="1"/>
      <c r="DB652" s="1"/>
      <c r="DC652" s="1"/>
      <c r="DD652" s="1"/>
      <c r="DE652" s="1"/>
      <c r="DF652" s="1"/>
      <c r="DG652" s="1"/>
      <c r="DH652" s="1"/>
      <c r="DI652" s="1"/>
      <c r="DJ652" s="1"/>
      <c r="DK652" s="1"/>
      <c r="DL652" s="1"/>
      <c r="DM652" s="1"/>
      <c r="DN652" s="1"/>
      <c r="DO652" s="1"/>
      <c r="DP652" s="1"/>
      <c r="DQ652" s="1"/>
      <c r="DR652" s="1"/>
      <c r="DS652" s="1"/>
      <c r="DT652" s="1"/>
      <c r="DU652" s="14"/>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29"/>
    </row>
    <row r="653" spans="1:160" x14ac:dyDescent="0.25">
      <c r="A653" s="5"/>
      <c r="B653" s="1"/>
      <c r="C653" s="98"/>
      <c r="D653" s="98"/>
      <c r="E653" s="1"/>
      <c r="F653" s="22"/>
      <c r="G653" s="22"/>
      <c r="H653" s="22"/>
      <c r="I653" s="22"/>
      <c r="J653" s="22"/>
      <c r="K653" s="22"/>
      <c r="L653" s="22"/>
      <c r="M653" s="22"/>
      <c r="N653" s="22"/>
      <c r="O653" s="22"/>
      <c r="P653" s="22"/>
      <c r="Q653" s="22"/>
      <c r="R653" s="1"/>
      <c r="S653" s="1"/>
      <c r="T653" s="8"/>
      <c r="U653" s="1"/>
      <c r="V653" s="1"/>
      <c r="W653" s="1"/>
      <c r="X653" s="1"/>
      <c r="Y653" s="1"/>
      <c r="Z653" s="1"/>
      <c r="AA653" s="1"/>
      <c r="AC653" s="1"/>
      <c r="AD653" s="1"/>
      <c r="AE653" s="1"/>
      <c r="AF653" s="1"/>
      <c r="AG653" s="1"/>
      <c r="AH653" s="26"/>
      <c r="AI653" s="26"/>
      <c r="AJ653" s="26"/>
      <c r="AK653" s="26"/>
      <c r="AL653" s="26"/>
      <c r="AM653" s="26"/>
      <c r="AN653" s="26"/>
      <c r="AO653" s="26"/>
      <c r="AP653" s="26"/>
      <c r="AQ653" s="26"/>
      <c r="AR653" s="26"/>
      <c r="AS653" s="26"/>
      <c r="AT653" s="26"/>
      <c r="AU653" s="26"/>
      <c r="AV653" s="26"/>
      <c r="AW653" s="26"/>
      <c r="AX653" s="26"/>
      <c r="AY653" s="1"/>
      <c r="AZ653" s="26"/>
      <c r="BA653" s="26"/>
      <c r="BB653" s="26"/>
      <c r="BC653" s="26"/>
      <c r="BD653" s="26"/>
      <c r="BE653" s="26"/>
      <c r="BF653" s="26"/>
      <c r="BG653" s="26"/>
      <c r="BH653" s="26"/>
      <c r="BI653" s="26"/>
      <c r="BJ653" s="26"/>
      <c r="BK653" s="26"/>
      <c r="BL653" s="26"/>
      <c r="BM653" s="26"/>
      <c r="BN653" s="26"/>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96"/>
      <c r="CP653" s="14"/>
      <c r="CQ653" s="14"/>
      <c r="CR653" s="14"/>
      <c r="CS653" s="14"/>
      <c r="CT653" s="1"/>
      <c r="CU653" s="14"/>
      <c r="CV653" s="1"/>
      <c r="CW653" s="1"/>
      <c r="CX653" s="14"/>
      <c r="CY653" s="1"/>
      <c r="CZ653" s="1"/>
      <c r="DA653" s="1"/>
      <c r="DB653" s="1"/>
      <c r="DC653" s="1"/>
      <c r="DD653" s="1"/>
      <c r="DE653" s="1"/>
      <c r="DF653" s="1"/>
      <c r="DG653" s="1"/>
      <c r="DH653" s="1"/>
      <c r="DI653" s="1"/>
      <c r="DJ653" s="1"/>
      <c r="DK653" s="1"/>
      <c r="DL653" s="1"/>
      <c r="DM653" s="1"/>
      <c r="DN653" s="1"/>
      <c r="DO653" s="1"/>
      <c r="DP653" s="1"/>
      <c r="DQ653" s="1"/>
      <c r="DR653" s="1"/>
      <c r="DS653" s="1"/>
      <c r="DT653" s="1"/>
      <c r="DU653" s="14"/>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29"/>
    </row>
    <row r="654" spans="1:160" x14ac:dyDescent="0.25">
      <c r="A654" s="5"/>
      <c r="B654" s="1"/>
      <c r="C654" s="98"/>
      <c r="D654" s="98"/>
      <c r="E654" s="1"/>
      <c r="F654" s="22"/>
      <c r="G654" s="22"/>
      <c r="H654" s="22"/>
      <c r="I654" s="22"/>
      <c r="J654" s="22"/>
      <c r="K654" s="22"/>
      <c r="L654" s="22"/>
      <c r="M654" s="22"/>
      <c r="N654" s="22"/>
      <c r="O654" s="22"/>
      <c r="P654" s="22"/>
      <c r="Q654" s="22"/>
      <c r="R654" s="1"/>
      <c r="S654" s="1"/>
      <c r="T654" s="8"/>
      <c r="U654" s="1"/>
      <c r="V654" s="1"/>
      <c r="W654" s="1"/>
      <c r="X654" s="1"/>
      <c r="Y654" s="1"/>
      <c r="Z654" s="1"/>
      <c r="AA654" s="1"/>
      <c r="AC654" s="1"/>
      <c r="AD654" s="1"/>
      <c r="AE654" s="1"/>
      <c r="AF654" s="1"/>
      <c r="AG654" s="1"/>
      <c r="AH654" s="26"/>
      <c r="AI654" s="26"/>
      <c r="AJ654" s="26"/>
      <c r="AK654" s="26"/>
      <c r="AL654" s="26"/>
      <c r="AM654" s="26"/>
      <c r="AN654" s="26"/>
      <c r="AO654" s="26"/>
      <c r="AP654" s="26"/>
      <c r="AQ654" s="26"/>
      <c r="AR654" s="26"/>
      <c r="AS654" s="26"/>
      <c r="AT654" s="26"/>
      <c r="AU654" s="26"/>
      <c r="AV654" s="26"/>
      <c r="AW654" s="26"/>
      <c r="AX654" s="26"/>
      <c r="AY654" s="1"/>
      <c r="AZ654" s="26"/>
      <c r="BA654" s="26"/>
      <c r="BB654" s="26"/>
      <c r="BC654" s="26"/>
      <c r="BD654" s="26"/>
      <c r="BE654" s="26"/>
      <c r="BF654" s="26"/>
      <c r="BG654" s="26"/>
      <c r="BH654" s="26"/>
      <c r="BI654" s="26"/>
      <c r="BJ654" s="26"/>
      <c r="BK654" s="26"/>
      <c r="BL654" s="26"/>
      <c r="BM654" s="26"/>
      <c r="BN654" s="26"/>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96"/>
      <c r="CP654" s="14"/>
      <c r="CQ654" s="14"/>
      <c r="CR654" s="14"/>
      <c r="CS654" s="14"/>
      <c r="CT654" s="1"/>
      <c r="CU654" s="14"/>
      <c r="CV654" s="1"/>
      <c r="CW654" s="1"/>
      <c r="CX654" s="14"/>
      <c r="CY654" s="1"/>
      <c r="CZ654" s="1"/>
      <c r="DA654" s="1"/>
      <c r="DB654" s="1"/>
      <c r="DC654" s="1"/>
      <c r="DD654" s="1"/>
      <c r="DE654" s="1"/>
      <c r="DF654" s="1"/>
      <c r="DG654" s="1"/>
      <c r="DH654" s="1"/>
      <c r="DI654" s="1"/>
      <c r="DJ654" s="1"/>
      <c r="DK654" s="1"/>
      <c r="DL654" s="1"/>
      <c r="DM654" s="1"/>
      <c r="DN654" s="1"/>
      <c r="DO654" s="1"/>
      <c r="DP654" s="1"/>
      <c r="DQ654" s="1"/>
      <c r="DR654" s="1"/>
      <c r="DS654" s="1"/>
      <c r="DT654" s="1"/>
      <c r="DU654" s="14"/>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29"/>
    </row>
    <row r="655" spans="1:160" x14ac:dyDescent="0.25">
      <c r="A655" s="5"/>
      <c r="B655" s="1"/>
      <c r="C655" s="98"/>
      <c r="D655" s="98"/>
      <c r="E655" s="1"/>
      <c r="F655" s="22"/>
      <c r="G655" s="22"/>
      <c r="H655" s="22"/>
      <c r="I655" s="22"/>
      <c r="J655" s="22"/>
      <c r="K655" s="22"/>
      <c r="L655" s="22"/>
      <c r="M655" s="22"/>
      <c r="N655" s="22"/>
      <c r="O655" s="22"/>
      <c r="P655" s="22"/>
      <c r="Q655" s="22"/>
      <c r="R655" s="1"/>
      <c r="S655" s="1"/>
      <c r="T655" s="8"/>
      <c r="U655" s="1"/>
      <c r="V655" s="1"/>
      <c r="W655" s="1"/>
      <c r="X655" s="1"/>
      <c r="Y655" s="1"/>
      <c r="Z655" s="1"/>
      <c r="AA655" s="1"/>
      <c r="AC655" s="1"/>
      <c r="AD655" s="1"/>
      <c r="AE655" s="1"/>
      <c r="AF655" s="1"/>
      <c r="AG655" s="1"/>
      <c r="AH655" s="26"/>
      <c r="AI655" s="26"/>
      <c r="AJ655" s="26"/>
      <c r="AK655" s="26"/>
      <c r="AL655" s="26"/>
      <c r="AM655" s="26"/>
      <c r="AN655" s="26"/>
      <c r="AO655" s="26"/>
      <c r="AP655" s="26"/>
      <c r="AQ655" s="26"/>
      <c r="AR655" s="26"/>
      <c r="AS655" s="26"/>
      <c r="AT655" s="26"/>
      <c r="AU655" s="26"/>
      <c r="AV655" s="26"/>
      <c r="AW655" s="26"/>
      <c r="AX655" s="26"/>
      <c r="AY655" s="1"/>
      <c r="AZ655" s="26"/>
      <c r="BA655" s="26"/>
      <c r="BB655" s="26"/>
      <c r="BC655" s="26"/>
      <c r="BD655" s="26"/>
      <c r="BE655" s="26"/>
      <c r="BF655" s="26"/>
      <c r="BG655" s="26"/>
      <c r="BH655" s="26"/>
      <c r="BI655" s="26"/>
      <c r="BJ655" s="26"/>
      <c r="BK655" s="26"/>
      <c r="BL655" s="26"/>
      <c r="BM655" s="26"/>
      <c r="BN655" s="26"/>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96"/>
      <c r="CP655" s="14"/>
      <c r="CQ655" s="14"/>
      <c r="CR655" s="14"/>
      <c r="CS655" s="14"/>
      <c r="CT655" s="1"/>
      <c r="CU655" s="14"/>
      <c r="CV655" s="1"/>
      <c r="CW655" s="1"/>
      <c r="CX655" s="14"/>
      <c r="CY655" s="1"/>
      <c r="CZ655" s="1"/>
      <c r="DA655" s="1"/>
      <c r="DB655" s="1"/>
      <c r="DC655" s="1"/>
      <c r="DD655" s="1"/>
      <c r="DE655" s="1"/>
      <c r="DF655" s="1"/>
      <c r="DG655" s="1"/>
      <c r="DH655" s="1"/>
      <c r="DI655" s="1"/>
      <c r="DJ655" s="1"/>
      <c r="DK655" s="1"/>
      <c r="DL655" s="1"/>
      <c r="DM655" s="1"/>
      <c r="DN655" s="1"/>
      <c r="DO655" s="1"/>
      <c r="DP655" s="1"/>
      <c r="DQ655" s="1"/>
      <c r="DR655" s="1"/>
      <c r="DS655" s="1"/>
      <c r="DT655" s="1"/>
      <c r="DU655" s="14"/>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29"/>
    </row>
    <row r="656" spans="1:160" x14ac:dyDescent="0.25">
      <c r="A656" s="5"/>
      <c r="B656" s="1"/>
      <c r="C656" s="98"/>
      <c r="D656" s="98"/>
      <c r="E656" s="1"/>
      <c r="F656" s="22"/>
      <c r="G656" s="22"/>
      <c r="H656" s="22"/>
      <c r="I656" s="22"/>
      <c r="J656" s="22"/>
      <c r="K656" s="22"/>
      <c r="L656" s="22"/>
      <c r="M656" s="22"/>
      <c r="N656" s="22"/>
      <c r="O656" s="22"/>
      <c r="P656" s="22"/>
      <c r="Q656" s="22"/>
      <c r="R656" s="1"/>
      <c r="S656" s="1"/>
      <c r="T656" s="8"/>
      <c r="U656" s="1"/>
      <c r="V656" s="1"/>
      <c r="W656" s="1"/>
      <c r="X656" s="1"/>
      <c r="Y656" s="1"/>
      <c r="Z656" s="1"/>
      <c r="AA656" s="1"/>
      <c r="AC656" s="1"/>
      <c r="AD656" s="1"/>
      <c r="AE656" s="1"/>
      <c r="AF656" s="1"/>
      <c r="AG656" s="1"/>
      <c r="AH656" s="26"/>
      <c r="AI656" s="26"/>
      <c r="AJ656" s="26"/>
      <c r="AK656" s="26"/>
      <c r="AL656" s="26"/>
      <c r="AM656" s="26"/>
      <c r="AN656" s="26"/>
      <c r="AO656" s="26"/>
      <c r="AP656" s="26"/>
      <c r="AQ656" s="26"/>
      <c r="AR656" s="26"/>
      <c r="AS656" s="26"/>
      <c r="AT656" s="26"/>
      <c r="AU656" s="26"/>
      <c r="AV656" s="26"/>
      <c r="AW656" s="26"/>
      <c r="AX656" s="26"/>
      <c r="AY656" s="1"/>
      <c r="AZ656" s="26"/>
      <c r="BA656" s="26"/>
      <c r="BB656" s="26"/>
      <c r="BC656" s="26"/>
      <c r="BD656" s="26"/>
      <c r="BE656" s="26"/>
      <c r="BF656" s="26"/>
      <c r="BG656" s="26"/>
      <c r="BH656" s="26"/>
      <c r="BI656" s="26"/>
      <c r="BJ656" s="26"/>
      <c r="BK656" s="26"/>
      <c r="BL656" s="26"/>
      <c r="BM656" s="26"/>
      <c r="BN656" s="26"/>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96"/>
      <c r="CP656" s="14"/>
      <c r="CQ656" s="14"/>
      <c r="CR656" s="14"/>
      <c r="CS656" s="14"/>
      <c r="CT656" s="1"/>
      <c r="CU656" s="14"/>
      <c r="CV656" s="1"/>
      <c r="CW656" s="1"/>
      <c r="CX656" s="14"/>
      <c r="CY656" s="1"/>
      <c r="CZ656" s="1"/>
      <c r="DA656" s="1"/>
      <c r="DB656" s="1"/>
      <c r="DC656" s="1"/>
      <c r="DD656" s="1"/>
      <c r="DE656" s="1"/>
      <c r="DF656" s="1"/>
      <c r="DG656" s="1"/>
      <c r="DH656" s="1"/>
      <c r="DI656" s="1"/>
      <c r="DJ656" s="1"/>
      <c r="DK656" s="1"/>
      <c r="DL656" s="1"/>
      <c r="DM656" s="1"/>
      <c r="DN656" s="1"/>
      <c r="DO656" s="1"/>
      <c r="DP656" s="1"/>
      <c r="DQ656" s="1"/>
      <c r="DR656" s="1"/>
      <c r="DS656" s="1"/>
      <c r="DT656" s="1"/>
      <c r="DU656" s="14"/>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29"/>
    </row>
    <row r="657" spans="1:160" x14ac:dyDescent="0.25">
      <c r="A657" s="5"/>
      <c r="B657" s="1"/>
      <c r="C657" s="98"/>
      <c r="D657" s="98"/>
      <c r="E657" s="1"/>
      <c r="F657" s="22"/>
      <c r="G657" s="22"/>
      <c r="H657" s="22"/>
      <c r="I657" s="22"/>
      <c r="J657" s="22"/>
      <c r="K657" s="22"/>
      <c r="L657" s="22"/>
      <c r="M657" s="22"/>
      <c r="N657" s="22"/>
      <c r="O657" s="22"/>
      <c r="P657" s="22"/>
      <c r="Q657" s="22"/>
      <c r="R657" s="1"/>
      <c r="S657" s="1"/>
      <c r="T657" s="8"/>
      <c r="U657" s="1"/>
      <c r="V657" s="1"/>
      <c r="W657" s="1"/>
      <c r="X657" s="1"/>
      <c r="Y657" s="1"/>
      <c r="Z657" s="1"/>
      <c r="AA657" s="1"/>
      <c r="AC657" s="1"/>
      <c r="AD657" s="1"/>
      <c r="AE657" s="1"/>
      <c r="AF657" s="1"/>
      <c r="AG657" s="1"/>
      <c r="AH657" s="26"/>
      <c r="AI657" s="26"/>
      <c r="AJ657" s="26"/>
      <c r="AK657" s="26"/>
      <c r="AL657" s="26"/>
      <c r="AM657" s="26"/>
      <c r="AN657" s="26"/>
      <c r="AO657" s="26"/>
      <c r="AP657" s="26"/>
      <c r="AQ657" s="26"/>
      <c r="AR657" s="26"/>
      <c r="AS657" s="26"/>
      <c r="AT657" s="26"/>
      <c r="AU657" s="26"/>
      <c r="AV657" s="26"/>
      <c r="AW657" s="26"/>
      <c r="AX657" s="26"/>
      <c r="AY657" s="1"/>
      <c r="AZ657" s="26"/>
      <c r="BA657" s="26"/>
      <c r="BB657" s="26"/>
      <c r="BC657" s="26"/>
      <c r="BD657" s="26"/>
      <c r="BE657" s="26"/>
      <c r="BF657" s="26"/>
      <c r="BG657" s="26"/>
      <c r="BH657" s="26"/>
      <c r="BI657" s="26"/>
      <c r="BJ657" s="26"/>
      <c r="BK657" s="26"/>
      <c r="BL657" s="26"/>
      <c r="BM657" s="26"/>
      <c r="BN657" s="26"/>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96"/>
      <c r="CP657" s="14"/>
      <c r="CQ657" s="14"/>
      <c r="CR657" s="14"/>
      <c r="CS657" s="14"/>
      <c r="CT657" s="1"/>
      <c r="CU657" s="14"/>
      <c r="CV657" s="1"/>
      <c r="CW657" s="1"/>
      <c r="CX657" s="14"/>
      <c r="CY657" s="1"/>
      <c r="CZ657" s="1"/>
      <c r="DA657" s="1"/>
      <c r="DB657" s="1"/>
      <c r="DC657" s="1"/>
      <c r="DD657" s="1"/>
      <c r="DE657" s="1"/>
      <c r="DF657" s="1"/>
      <c r="DG657" s="1"/>
      <c r="DH657" s="1"/>
      <c r="DI657" s="1"/>
      <c r="DJ657" s="1"/>
      <c r="DK657" s="1"/>
      <c r="DL657" s="1"/>
      <c r="DM657" s="1"/>
      <c r="DN657" s="1"/>
      <c r="DO657" s="1"/>
      <c r="DP657" s="1"/>
      <c r="DQ657" s="1"/>
      <c r="DR657" s="1"/>
      <c r="DS657" s="1"/>
      <c r="DT657" s="1"/>
      <c r="DU657" s="14"/>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29"/>
    </row>
    <row r="658" spans="1:160" x14ac:dyDescent="0.25">
      <c r="A658" s="5"/>
      <c r="B658" s="1"/>
      <c r="C658" s="98"/>
      <c r="D658" s="98"/>
      <c r="E658" s="1"/>
      <c r="F658" s="22"/>
      <c r="G658" s="22"/>
      <c r="H658" s="22"/>
      <c r="I658" s="22"/>
      <c r="J658" s="22"/>
      <c r="K658" s="22"/>
      <c r="L658" s="22"/>
      <c r="M658" s="22"/>
      <c r="N658" s="22"/>
      <c r="O658" s="22"/>
      <c r="P658" s="22"/>
      <c r="Q658" s="22"/>
      <c r="R658" s="1"/>
      <c r="S658" s="1"/>
      <c r="T658" s="8"/>
      <c r="U658" s="1"/>
      <c r="V658" s="1"/>
      <c r="W658" s="1"/>
      <c r="X658" s="1"/>
      <c r="Y658" s="1"/>
      <c r="Z658" s="1"/>
      <c r="AA658" s="1"/>
      <c r="AC658" s="1"/>
      <c r="AD658" s="1"/>
      <c r="AE658" s="1"/>
      <c r="AF658" s="1"/>
      <c r="AG658" s="1"/>
      <c r="AH658" s="26"/>
      <c r="AI658" s="26"/>
      <c r="AJ658" s="26"/>
      <c r="AK658" s="26"/>
      <c r="AL658" s="26"/>
      <c r="AM658" s="26"/>
      <c r="AN658" s="26"/>
      <c r="AO658" s="26"/>
      <c r="AP658" s="26"/>
      <c r="AQ658" s="26"/>
      <c r="AR658" s="26"/>
      <c r="AS658" s="26"/>
      <c r="AT658" s="26"/>
      <c r="AU658" s="26"/>
      <c r="AV658" s="26"/>
      <c r="AW658" s="26"/>
      <c r="AX658" s="26"/>
      <c r="AY658" s="1"/>
      <c r="AZ658" s="26"/>
      <c r="BA658" s="26"/>
      <c r="BB658" s="26"/>
      <c r="BC658" s="26"/>
      <c r="BD658" s="26"/>
      <c r="BE658" s="26"/>
      <c r="BF658" s="26"/>
      <c r="BG658" s="26"/>
      <c r="BH658" s="26"/>
      <c r="BI658" s="26"/>
      <c r="BJ658" s="26"/>
      <c r="BK658" s="26"/>
      <c r="BL658" s="26"/>
      <c r="BM658" s="26"/>
      <c r="BN658" s="26"/>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96"/>
      <c r="CP658" s="14"/>
      <c r="CQ658" s="14"/>
      <c r="CR658" s="14"/>
      <c r="CS658" s="14"/>
      <c r="CT658" s="1"/>
      <c r="CU658" s="14"/>
      <c r="CV658" s="1"/>
      <c r="CW658" s="1"/>
      <c r="CX658" s="14"/>
      <c r="CY658" s="1"/>
      <c r="CZ658" s="1"/>
      <c r="DA658" s="1"/>
      <c r="DB658" s="1"/>
      <c r="DC658" s="1"/>
      <c r="DD658" s="1"/>
      <c r="DE658" s="1"/>
      <c r="DF658" s="1"/>
      <c r="DG658" s="1"/>
      <c r="DH658" s="1"/>
      <c r="DI658" s="1"/>
      <c r="DJ658" s="1"/>
      <c r="DK658" s="1"/>
      <c r="DL658" s="1"/>
      <c r="DM658" s="1"/>
      <c r="DN658" s="1"/>
      <c r="DO658" s="1"/>
      <c r="DP658" s="1"/>
      <c r="DQ658" s="1"/>
      <c r="DR658" s="1"/>
      <c r="DS658" s="1"/>
      <c r="DT658" s="1"/>
      <c r="DU658" s="14"/>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29"/>
    </row>
    <row r="659" spans="1:160" x14ac:dyDescent="0.25">
      <c r="A659" s="5"/>
      <c r="B659" s="1"/>
      <c r="C659" s="98"/>
      <c r="D659" s="98"/>
      <c r="E659" s="1"/>
      <c r="F659" s="22"/>
      <c r="G659" s="22"/>
      <c r="H659" s="22"/>
      <c r="I659" s="22"/>
      <c r="J659" s="22"/>
      <c r="K659" s="22"/>
      <c r="L659" s="22"/>
      <c r="M659" s="22"/>
      <c r="N659" s="22"/>
      <c r="O659" s="22"/>
      <c r="P659" s="22"/>
      <c r="Q659" s="22"/>
      <c r="R659" s="1"/>
      <c r="S659" s="1"/>
      <c r="T659" s="8"/>
      <c r="U659" s="1"/>
      <c r="V659" s="1"/>
      <c r="W659" s="1"/>
      <c r="X659" s="1"/>
      <c r="Y659" s="1"/>
      <c r="Z659" s="1"/>
      <c r="AA659" s="1"/>
      <c r="AC659" s="1"/>
      <c r="AD659" s="1"/>
      <c r="AE659" s="1"/>
      <c r="AF659" s="1"/>
      <c r="AG659" s="1"/>
      <c r="AH659" s="26"/>
      <c r="AI659" s="26"/>
      <c r="AJ659" s="26"/>
      <c r="AK659" s="26"/>
      <c r="AL659" s="26"/>
      <c r="AM659" s="26"/>
      <c r="AN659" s="26"/>
      <c r="AO659" s="26"/>
      <c r="AP659" s="26"/>
      <c r="AQ659" s="26"/>
      <c r="AR659" s="26"/>
      <c r="AS659" s="26"/>
      <c r="AT659" s="26"/>
      <c r="AU659" s="26"/>
      <c r="AV659" s="26"/>
      <c r="AW659" s="26"/>
      <c r="AX659" s="26"/>
      <c r="AY659" s="1"/>
      <c r="AZ659" s="26"/>
      <c r="BA659" s="26"/>
      <c r="BB659" s="26"/>
      <c r="BC659" s="26"/>
      <c r="BD659" s="26"/>
      <c r="BE659" s="26"/>
      <c r="BF659" s="26"/>
      <c r="BG659" s="26"/>
      <c r="BH659" s="26"/>
      <c r="BI659" s="26"/>
      <c r="BJ659" s="26"/>
      <c r="BK659" s="26"/>
      <c r="BL659" s="26"/>
      <c r="BM659" s="26"/>
      <c r="BN659" s="26"/>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96"/>
      <c r="CP659" s="14"/>
      <c r="CQ659" s="14"/>
      <c r="CR659" s="14"/>
      <c r="CS659" s="14"/>
      <c r="CT659" s="1"/>
      <c r="CU659" s="14"/>
      <c r="CV659" s="1"/>
      <c r="CW659" s="1"/>
      <c r="CX659" s="14"/>
      <c r="CY659" s="1"/>
      <c r="CZ659" s="1"/>
      <c r="DA659" s="1"/>
      <c r="DB659" s="1"/>
      <c r="DC659" s="1"/>
      <c r="DD659" s="1"/>
      <c r="DE659" s="1"/>
      <c r="DF659" s="1"/>
      <c r="DG659" s="1"/>
      <c r="DH659" s="1"/>
      <c r="DI659" s="1"/>
      <c r="DJ659" s="1"/>
      <c r="DK659" s="1"/>
      <c r="DL659" s="1"/>
      <c r="DM659" s="1"/>
      <c r="DN659" s="1"/>
      <c r="DO659" s="1"/>
      <c r="DP659" s="1"/>
      <c r="DQ659" s="1"/>
      <c r="DR659" s="1"/>
      <c r="DS659" s="1"/>
      <c r="DT659" s="1"/>
      <c r="DU659" s="14"/>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29"/>
    </row>
    <row r="660" spans="1:160" x14ac:dyDescent="0.25">
      <c r="A660" s="5"/>
      <c r="B660" s="1"/>
      <c r="C660" s="98"/>
      <c r="D660" s="98"/>
      <c r="E660" s="1"/>
      <c r="F660" s="22"/>
      <c r="G660" s="22"/>
      <c r="H660" s="22"/>
      <c r="I660" s="22"/>
      <c r="J660" s="22"/>
      <c r="K660" s="22"/>
      <c r="L660" s="22"/>
      <c r="M660" s="22"/>
      <c r="N660" s="22"/>
      <c r="O660" s="22"/>
      <c r="P660" s="22"/>
      <c r="Q660" s="22"/>
      <c r="R660" s="1"/>
      <c r="S660" s="1"/>
      <c r="T660" s="8"/>
      <c r="U660" s="1"/>
      <c r="V660" s="1"/>
      <c r="W660" s="1"/>
      <c r="X660" s="1"/>
      <c r="Y660" s="1"/>
      <c r="Z660" s="1"/>
      <c r="AA660" s="1"/>
      <c r="AC660" s="1"/>
      <c r="AD660" s="1"/>
      <c r="AE660" s="1"/>
      <c r="AF660" s="1"/>
      <c r="AG660" s="1"/>
      <c r="AH660" s="26"/>
      <c r="AI660" s="26"/>
      <c r="AJ660" s="26"/>
      <c r="AK660" s="26"/>
      <c r="AL660" s="26"/>
      <c r="AM660" s="26"/>
      <c r="AN660" s="26"/>
      <c r="AO660" s="26"/>
      <c r="AP660" s="26"/>
      <c r="AQ660" s="26"/>
      <c r="AR660" s="26"/>
      <c r="AS660" s="26"/>
      <c r="AT660" s="26"/>
      <c r="AU660" s="26"/>
      <c r="AV660" s="26"/>
      <c r="AW660" s="26"/>
      <c r="AX660" s="26"/>
      <c r="AY660" s="1"/>
      <c r="AZ660" s="26"/>
      <c r="BA660" s="26"/>
      <c r="BB660" s="26"/>
      <c r="BC660" s="26"/>
      <c r="BD660" s="26"/>
      <c r="BE660" s="26"/>
      <c r="BF660" s="26"/>
      <c r="BG660" s="26"/>
      <c r="BH660" s="26"/>
      <c r="BI660" s="26"/>
      <c r="BJ660" s="26"/>
      <c r="BK660" s="26"/>
      <c r="BL660" s="26"/>
      <c r="BM660" s="26"/>
      <c r="BN660" s="26"/>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96"/>
      <c r="CP660" s="14"/>
      <c r="CQ660" s="14"/>
      <c r="CR660" s="14"/>
      <c r="CS660" s="14"/>
      <c r="CT660" s="1"/>
      <c r="CU660" s="14"/>
      <c r="CV660" s="1"/>
      <c r="CW660" s="1"/>
      <c r="CX660" s="14"/>
      <c r="CY660" s="1"/>
      <c r="CZ660" s="1"/>
      <c r="DA660" s="1"/>
      <c r="DB660" s="1"/>
      <c r="DC660" s="1"/>
      <c r="DD660" s="1"/>
      <c r="DE660" s="1"/>
      <c r="DF660" s="1"/>
      <c r="DG660" s="1"/>
      <c r="DH660" s="1"/>
      <c r="DI660" s="1"/>
      <c r="DJ660" s="1"/>
      <c r="DK660" s="1"/>
      <c r="DL660" s="1"/>
      <c r="DM660" s="1"/>
      <c r="DN660" s="1"/>
      <c r="DO660" s="1"/>
      <c r="DP660" s="1"/>
      <c r="DQ660" s="1"/>
      <c r="DR660" s="1"/>
      <c r="DS660" s="1"/>
      <c r="DT660" s="1"/>
      <c r="DU660" s="14"/>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29"/>
    </row>
    <row r="661" spans="1:160" x14ac:dyDescent="0.25">
      <c r="A661" s="5"/>
      <c r="B661" s="1"/>
      <c r="C661" s="98"/>
      <c r="D661" s="98"/>
      <c r="E661" s="1"/>
      <c r="F661" s="22"/>
      <c r="G661" s="22"/>
      <c r="H661" s="22"/>
      <c r="I661" s="22"/>
      <c r="J661" s="22"/>
      <c r="K661" s="22"/>
      <c r="L661" s="22"/>
      <c r="M661" s="22"/>
      <c r="N661" s="22"/>
      <c r="O661" s="22"/>
      <c r="P661" s="22"/>
      <c r="Q661" s="22"/>
      <c r="R661" s="1"/>
      <c r="S661" s="1"/>
      <c r="T661" s="8"/>
      <c r="U661" s="1"/>
      <c r="V661" s="1"/>
      <c r="W661" s="1"/>
      <c r="X661" s="1"/>
      <c r="Y661" s="1"/>
      <c r="Z661" s="1"/>
      <c r="AA661" s="1"/>
      <c r="AC661" s="1"/>
      <c r="AD661" s="1"/>
      <c r="AE661" s="1"/>
      <c r="AF661" s="1"/>
      <c r="AG661" s="1"/>
      <c r="AH661" s="26"/>
      <c r="AI661" s="26"/>
      <c r="AJ661" s="26"/>
      <c r="AK661" s="26"/>
      <c r="AL661" s="26"/>
      <c r="AM661" s="26"/>
      <c r="AN661" s="26"/>
      <c r="AO661" s="26"/>
      <c r="AP661" s="26"/>
      <c r="AQ661" s="26"/>
      <c r="AR661" s="26"/>
      <c r="AS661" s="26"/>
      <c r="AT661" s="26"/>
      <c r="AU661" s="26"/>
      <c r="AV661" s="26"/>
      <c r="AW661" s="26"/>
      <c r="AX661" s="26"/>
      <c r="AY661" s="1"/>
      <c r="AZ661" s="26"/>
      <c r="BA661" s="26"/>
      <c r="BB661" s="26"/>
      <c r="BC661" s="26"/>
      <c r="BD661" s="26"/>
      <c r="BE661" s="26"/>
      <c r="BF661" s="26"/>
      <c r="BG661" s="26"/>
      <c r="BH661" s="26"/>
      <c r="BI661" s="26"/>
      <c r="BJ661" s="26"/>
      <c r="BK661" s="26"/>
      <c r="BL661" s="26"/>
      <c r="BM661" s="26"/>
      <c r="BN661" s="26"/>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96"/>
      <c r="CP661" s="14"/>
      <c r="CQ661" s="14"/>
      <c r="CR661" s="14"/>
      <c r="CS661" s="14"/>
      <c r="CT661" s="1"/>
      <c r="CU661" s="14"/>
      <c r="CV661" s="1"/>
      <c r="CW661" s="1"/>
      <c r="CX661" s="14"/>
      <c r="CY661" s="1"/>
      <c r="CZ661" s="1"/>
      <c r="DA661" s="1"/>
      <c r="DB661" s="1"/>
      <c r="DC661" s="1"/>
      <c r="DD661" s="1"/>
      <c r="DE661" s="1"/>
      <c r="DF661" s="1"/>
      <c r="DG661" s="1"/>
      <c r="DH661" s="1"/>
      <c r="DI661" s="1"/>
      <c r="DJ661" s="1"/>
      <c r="DK661" s="1"/>
      <c r="DL661" s="1"/>
      <c r="DM661" s="1"/>
      <c r="DN661" s="1"/>
      <c r="DO661" s="1"/>
      <c r="DP661" s="1"/>
      <c r="DQ661" s="1"/>
      <c r="DR661" s="1"/>
      <c r="DS661" s="1"/>
      <c r="DT661" s="1"/>
      <c r="DU661" s="14"/>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29"/>
    </row>
    <row r="662" spans="1:160" x14ac:dyDescent="0.25">
      <c r="A662" s="5"/>
      <c r="B662" s="1"/>
      <c r="C662" s="98"/>
      <c r="D662" s="98"/>
      <c r="E662" s="1"/>
      <c r="F662" s="22"/>
      <c r="G662" s="22"/>
      <c r="H662" s="22"/>
      <c r="I662" s="22"/>
      <c r="J662" s="22"/>
      <c r="K662" s="22"/>
      <c r="L662" s="22"/>
      <c r="M662" s="22"/>
      <c r="N662" s="22"/>
      <c r="O662" s="22"/>
      <c r="P662" s="22"/>
      <c r="Q662" s="22"/>
      <c r="R662" s="1"/>
      <c r="S662" s="1"/>
      <c r="T662" s="8"/>
      <c r="U662" s="1"/>
      <c r="V662" s="1"/>
      <c r="W662" s="1"/>
      <c r="X662" s="1"/>
      <c r="Y662" s="1"/>
      <c r="Z662" s="1"/>
      <c r="AA662" s="1"/>
      <c r="AC662" s="1"/>
      <c r="AD662" s="1"/>
      <c r="AE662" s="1"/>
      <c r="AF662" s="1"/>
      <c r="AG662" s="1"/>
      <c r="AH662" s="26"/>
      <c r="AI662" s="26"/>
      <c r="AJ662" s="26"/>
      <c r="AK662" s="26"/>
      <c r="AL662" s="26"/>
      <c r="AM662" s="26"/>
      <c r="AN662" s="26"/>
      <c r="AO662" s="26"/>
      <c r="AP662" s="26"/>
      <c r="AQ662" s="26"/>
      <c r="AR662" s="26"/>
      <c r="AS662" s="26"/>
      <c r="AT662" s="26"/>
      <c r="AU662" s="26"/>
      <c r="AV662" s="26"/>
      <c r="AW662" s="26"/>
      <c r="AX662" s="26"/>
      <c r="AY662" s="1"/>
      <c r="AZ662" s="26"/>
      <c r="BA662" s="26"/>
      <c r="BB662" s="26"/>
      <c r="BC662" s="26"/>
      <c r="BD662" s="26"/>
      <c r="BE662" s="26"/>
      <c r="BF662" s="26"/>
      <c r="BG662" s="26"/>
      <c r="BH662" s="26"/>
      <c r="BI662" s="26"/>
      <c r="BJ662" s="26"/>
      <c r="BK662" s="26"/>
      <c r="BL662" s="26"/>
      <c r="BM662" s="26"/>
      <c r="BN662" s="26"/>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96"/>
      <c r="CP662" s="14"/>
      <c r="CQ662" s="14"/>
      <c r="CR662" s="14"/>
      <c r="CS662" s="14"/>
      <c r="CT662" s="1"/>
      <c r="CU662" s="14"/>
      <c r="CV662" s="1"/>
      <c r="CW662" s="1"/>
      <c r="CX662" s="14"/>
      <c r="CY662" s="1"/>
      <c r="CZ662" s="1"/>
      <c r="DA662" s="1"/>
      <c r="DB662" s="1"/>
      <c r="DC662" s="1"/>
      <c r="DD662" s="1"/>
      <c r="DE662" s="1"/>
      <c r="DF662" s="1"/>
      <c r="DG662" s="1"/>
      <c r="DH662" s="1"/>
      <c r="DI662" s="1"/>
      <c r="DJ662" s="1"/>
      <c r="DK662" s="1"/>
      <c r="DL662" s="1"/>
      <c r="DM662" s="1"/>
      <c r="DN662" s="1"/>
      <c r="DO662" s="1"/>
      <c r="DP662" s="1"/>
      <c r="DQ662" s="1"/>
      <c r="DR662" s="1"/>
      <c r="DS662" s="1"/>
      <c r="DT662" s="1"/>
      <c r="DU662" s="14"/>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29"/>
    </row>
    <row r="663" spans="1:160" x14ac:dyDescent="0.25">
      <c r="A663" s="5"/>
      <c r="B663" s="1"/>
      <c r="C663" s="98"/>
      <c r="D663" s="98"/>
      <c r="E663" s="1"/>
      <c r="F663" s="22"/>
      <c r="G663" s="22"/>
      <c r="H663" s="22"/>
      <c r="I663" s="22"/>
      <c r="J663" s="22"/>
      <c r="K663" s="22"/>
      <c r="L663" s="22"/>
      <c r="M663" s="22"/>
      <c r="N663" s="22"/>
      <c r="O663" s="22"/>
      <c r="P663" s="22"/>
      <c r="Q663" s="22"/>
      <c r="R663" s="1"/>
      <c r="S663" s="1"/>
      <c r="T663" s="8"/>
      <c r="U663" s="1"/>
      <c r="V663" s="1"/>
      <c r="W663" s="1"/>
      <c r="X663" s="1"/>
      <c r="Y663" s="1"/>
      <c r="Z663" s="1"/>
      <c r="AA663" s="1"/>
      <c r="AC663" s="1"/>
      <c r="AD663" s="1"/>
      <c r="AE663" s="1"/>
      <c r="AF663" s="1"/>
      <c r="AG663" s="1"/>
      <c r="AH663" s="26"/>
      <c r="AI663" s="26"/>
      <c r="AJ663" s="26"/>
      <c r="AK663" s="26"/>
      <c r="AL663" s="26"/>
      <c r="AM663" s="26"/>
      <c r="AN663" s="26"/>
      <c r="AO663" s="26"/>
      <c r="AP663" s="26"/>
      <c r="AQ663" s="26"/>
      <c r="AR663" s="26"/>
      <c r="AS663" s="26"/>
      <c r="AT663" s="26"/>
      <c r="AU663" s="26"/>
      <c r="AV663" s="26"/>
      <c r="AW663" s="26"/>
      <c r="AX663" s="26"/>
      <c r="AY663" s="1"/>
      <c r="AZ663" s="26"/>
      <c r="BA663" s="26"/>
      <c r="BB663" s="26"/>
      <c r="BC663" s="26"/>
      <c r="BD663" s="26"/>
      <c r="BE663" s="26"/>
      <c r="BF663" s="26"/>
      <c r="BG663" s="26"/>
      <c r="BH663" s="26"/>
      <c r="BI663" s="26"/>
      <c r="BJ663" s="26"/>
      <c r="BK663" s="26"/>
      <c r="BL663" s="26"/>
      <c r="BM663" s="26"/>
      <c r="BN663" s="26"/>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96"/>
      <c r="CP663" s="14"/>
      <c r="CQ663" s="14"/>
      <c r="CR663" s="14"/>
      <c r="CS663" s="14"/>
      <c r="CT663" s="1"/>
      <c r="CU663" s="14"/>
      <c r="CV663" s="1"/>
      <c r="CW663" s="1"/>
      <c r="CX663" s="14"/>
      <c r="CY663" s="1"/>
      <c r="CZ663" s="1"/>
      <c r="DA663" s="1"/>
      <c r="DB663" s="1"/>
      <c r="DC663" s="1"/>
      <c r="DD663" s="1"/>
      <c r="DE663" s="1"/>
      <c r="DF663" s="1"/>
      <c r="DG663" s="1"/>
      <c r="DH663" s="1"/>
      <c r="DI663" s="1"/>
      <c r="DJ663" s="1"/>
      <c r="DK663" s="1"/>
      <c r="DL663" s="1"/>
      <c r="DM663" s="1"/>
      <c r="DN663" s="1"/>
      <c r="DO663" s="1"/>
      <c r="DP663" s="1"/>
      <c r="DQ663" s="1"/>
      <c r="DR663" s="1"/>
      <c r="DS663" s="1"/>
      <c r="DT663" s="1"/>
      <c r="DU663" s="14"/>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29"/>
    </row>
    <row r="664" spans="1:160" x14ac:dyDescent="0.25">
      <c r="A664" s="5"/>
      <c r="B664" s="1"/>
      <c r="C664" s="98"/>
      <c r="D664" s="98"/>
      <c r="E664" s="1"/>
      <c r="F664" s="22"/>
      <c r="G664" s="22"/>
      <c r="H664" s="22"/>
      <c r="I664" s="22"/>
      <c r="J664" s="22"/>
      <c r="K664" s="22"/>
      <c r="L664" s="22"/>
      <c r="M664" s="22"/>
      <c r="N664" s="22"/>
      <c r="O664" s="22"/>
      <c r="P664" s="22"/>
      <c r="Q664" s="22"/>
      <c r="R664" s="1"/>
      <c r="S664" s="1"/>
      <c r="T664" s="8"/>
      <c r="U664" s="1"/>
      <c r="V664" s="1"/>
      <c r="W664" s="1"/>
      <c r="X664" s="1"/>
      <c r="Y664" s="1"/>
      <c r="Z664" s="1"/>
      <c r="AA664" s="1"/>
      <c r="AC664" s="1"/>
      <c r="AD664" s="1"/>
      <c r="AE664" s="1"/>
      <c r="AF664" s="1"/>
      <c r="AG664" s="1"/>
      <c r="AH664" s="26"/>
      <c r="AI664" s="26"/>
      <c r="AJ664" s="26"/>
      <c r="AK664" s="26"/>
      <c r="AL664" s="26"/>
      <c r="AM664" s="26"/>
      <c r="AN664" s="26"/>
      <c r="AO664" s="26"/>
      <c r="AP664" s="26"/>
      <c r="AQ664" s="26"/>
      <c r="AR664" s="26"/>
      <c r="AS664" s="26"/>
      <c r="AT664" s="26"/>
      <c r="AU664" s="26"/>
      <c r="AV664" s="26"/>
      <c r="AW664" s="26"/>
      <c r="AX664" s="26"/>
      <c r="AY664" s="1"/>
      <c r="AZ664" s="26"/>
      <c r="BA664" s="26"/>
      <c r="BB664" s="26"/>
      <c r="BC664" s="26"/>
      <c r="BD664" s="26"/>
      <c r="BE664" s="26"/>
      <c r="BF664" s="26"/>
      <c r="BG664" s="26"/>
      <c r="BH664" s="26"/>
      <c r="BI664" s="26"/>
      <c r="BJ664" s="26"/>
      <c r="BK664" s="26"/>
      <c r="BL664" s="26"/>
      <c r="BM664" s="26"/>
      <c r="BN664" s="26"/>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96"/>
      <c r="CP664" s="14"/>
      <c r="CQ664" s="14"/>
      <c r="CR664" s="14"/>
      <c r="CS664" s="14"/>
      <c r="CT664" s="1"/>
      <c r="CU664" s="14"/>
      <c r="CV664" s="1"/>
      <c r="CW664" s="1"/>
      <c r="CX664" s="14"/>
      <c r="CY664" s="1"/>
      <c r="CZ664" s="1"/>
      <c r="DA664" s="1"/>
      <c r="DB664" s="1"/>
      <c r="DC664" s="1"/>
      <c r="DD664" s="1"/>
      <c r="DE664" s="1"/>
      <c r="DF664" s="1"/>
      <c r="DG664" s="1"/>
      <c r="DH664" s="1"/>
      <c r="DI664" s="1"/>
      <c r="DJ664" s="1"/>
      <c r="DK664" s="1"/>
      <c r="DL664" s="1"/>
      <c r="DM664" s="1"/>
      <c r="DN664" s="1"/>
      <c r="DO664" s="1"/>
      <c r="DP664" s="1"/>
      <c r="DQ664" s="1"/>
      <c r="DR664" s="1"/>
      <c r="DS664" s="1"/>
      <c r="DT664" s="1"/>
      <c r="DU664" s="14"/>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29"/>
    </row>
    <row r="665" spans="1:160" x14ac:dyDescent="0.25">
      <c r="A665" s="5"/>
      <c r="B665" s="1"/>
      <c r="C665" s="98"/>
      <c r="D665" s="98"/>
      <c r="E665" s="1"/>
      <c r="F665" s="22"/>
      <c r="G665" s="22"/>
      <c r="H665" s="22"/>
      <c r="I665" s="22"/>
      <c r="J665" s="22"/>
      <c r="K665" s="22"/>
      <c r="L665" s="22"/>
      <c r="M665" s="22"/>
      <c r="N665" s="22"/>
      <c r="O665" s="22"/>
      <c r="P665" s="22"/>
      <c r="Q665" s="22"/>
      <c r="R665" s="1"/>
      <c r="S665" s="1"/>
      <c r="T665" s="8"/>
      <c r="U665" s="1"/>
      <c r="V665" s="1"/>
      <c r="W665" s="1"/>
      <c r="X665" s="1"/>
      <c r="Y665" s="1"/>
      <c r="Z665" s="1"/>
      <c r="AA665" s="1"/>
      <c r="AC665" s="1"/>
      <c r="AD665" s="1"/>
      <c r="AE665" s="1"/>
      <c r="AF665" s="1"/>
      <c r="AG665" s="1"/>
      <c r="AH665" s="26"/>
      <c r="AI665" s="26"/>
      <c r="AJ665" s="26"/>
      <c r="AK665" s="26"/>
      <c r="AL665" s="26"/>
      <c r="AM665" s="26"/>
      <c r="AN665" s="26"/>
      <c r="AO665" s="26"/>
      <c r="AP665" s="26"/>
      <c r="AQ665" s="26"/>
      <c r="AR665" s="26"/>
      <c r="AS665" s="26"/>
      <c r="AT665" s="26"/>
      <c r="AU665" s="26"/>
      <c r="AV665" s="26"/>
      <c r="AW665" s="26"/>
      <c r="AX665" s="26"/>
      <c r="AY665" s="1"/>
      <c r="AZ665" s="26"/>
      <c r="BA665" s="26"/>
      <c r="BB665" s="26"/>
      <c r="BC665" s="26"/>
      <c r="BD665" s="26"/>
      <c r="BE665" s="26"/>
      <c r="BF665" s="26"/>
      <c r="BG665" s="26"/>
      <c r="BH665" s="26"/>
      <c r="BI665" s="26"/>
      <c r="BJ665" s="26"/>
      <c r="BK665" s="26"/>
      <c r="BL665" s="26"/>
      <c r="BM665" s="26"/>
      <c r="BN665" s="26"/>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96"/>
      <c r="CP665" s="14"/>
      <c r="CQ665" s="14"/>
      <c r="CR665" s="14"/>
      <c r="CS665" s="14"/>
      <c r="CT665" s="1"/>
      <c r="CU665" s="14"/>
      <c r="CV665" s="1"/>
      <c r="CW665" s="1"/>
      <c r="CX665" s="14"/>
      <c r="CY665" s="1"/>
      <c r="CZ665" s="1"/>
      <c r="DA665" s="1"/>
      <c r="DB665" s="1"/>
      <c r="DC665" s="1"/>
      <c r="DD665" s="1"/>
      <c r="DE665" s="1"/>
      <c r="DF665" s="1"/>
      <c r="DG665" s="1"/>
      <c r="DH665" s="1"/>
      <c r="DI665" s="1"/>
      <c r="DJ665" s="1"/>
      <c r="DK665" s="1"/>
      <c r="DL665" s="1"/>
      <c r="DM665" s="1"/>
      <c r="DN665" s="1"/>
      <c r="DO665" s="1"/>
      <c r="DP665" s="1"/>
      <c r="DQ665" s="1"/>
      <c r="DR665" s="1"/>
      <c r="DS665" s="1"/>
      <c r="DT665" s="1"/>
      <c r="DU665" s="14"/>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29"/>
    </row>
    <row r="666" spans="1:160" x14ac:dyDescent="0.25">
      <c r="A666" s="5"/>
      <c r="B666" s="1"/>
      <c r="C666" s="98"/>
      <c r="D666" s="98"/>
      <c r="E666" s="1"/>
      <c r="F666" s="22"/>
      <c r="G666" s="22"/>
      <c r="H666" s="22"/>
      <c r="I666" s="22"/>
      <c r="J666" s="22"/>
      <c r="K666" s="22"/>
      <c r="L666" s="22"/>
      <c r="M666" s="22"/>
      <c r="N666" s="22"/>
      <c r="O666" s="22"/>
      <c r="P666" s="22"/>
      <c r="Q666" s="22"/>
      <c r="R666" s="1"/>
      <c r="S666" s="1"/>
      <c r="T666" s="8"/>
      <c r="U666" s="1"/>
      <c r="V666" s="1"/>
      <c r="W666" s="1"/>
      <c r="X666" s="1"/>
      <c r="Y666" s="1"/>
      <c r="Z666" s="1"/>
      <c r="AA666" s="1"/>
      <c r="AC666" s="1"/>
      <c r="AD666" s="1"/>
      <c r="AE666" s="1"/>
      <c r="AF666" s="1"/>
      <c r="AG666" s="1"/>
      <c r="AH666" s="26"/>
      <c r="AI666" s="26"/>
      <c r="AJ666" s="26"/>
      <c r="AK666" s="26"/>
      <c r="AL666" s="26"/>
      <c r="AM666" s="26"/>
      <c r="AN666" s="26"/>
      <c r="AO666" s="26"/>
      <c r="AP666" s="26"/>
      <c r="AQ666" s="26"/>
      <c r="AR666" s="26"/>
      <c r="AS666" s="26"/>
      <c r="AT666" s="26"/>
      <c r="AU666" s="26"/>
      <c r="AV666" s="26"/>
      <c r="AW666" s="26"/>
      <c r="AX666" s="26"/>
      <c r="AY666" s="1"/>
      <c r="AZ666" s="26"/>
      <c r="BA666" s="26"/>
      <c r="BB666" s="26"/>
      <c r="BC666" s="26"/>
      <c r="BD666" s="26"/>
      <c r="BE666" s="26"/>
      <c r="BF666" s="26"/>
      <c r="BG666" s="26"/>
      <c r="BH666" s="26"/>
      <c r="BI666" s="26"/>
      <c r="BJ666" s="26"/>
      <c r="BK666" s="26"/>
      <c r="BL666" s="26"/>
      <c r="BM666" s="26"/>
      <c r="BN666" s="26"/>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96"/>
      <c r="CP666" s="14"/>
      <c r="CQ666" s="14"/>
      <c r="CR666" s="14"/>
      <c r="CS666" s="14"/>
      <c r="CT666" s="1"/>
      <c r="CU666" s="14"/>
      <c r="CV666" s="1"/>
      <c r="CW666" s="1"/>
      <c r="CX666" s="14"/>
      <c r="CY666" s="1"/>
      <c r="CZ666" s="1"/>
      <c r="DA666" s="1"/>
      <c r="DB666" s="1"/>
      <c r="DC666" s="1"/>
      <c r="DD666" s="1"/>
      <c r="DE666" s="1"/>
      <c r="DF666" s="1"/>
      <c r="DG666" s="1"/>
      <c r="DH666" s="1"/>
      <c r="DI666" s="1"/>
      <c r="DJ666" s="1"/>
      <c r="DK666" s="1"/>
      <c r="DL666" s="1"/>
      <c r="DM666" s="1"/>
      <c r="DN666" s="1"/>
      <c r="DO666" s="1"/>
      <c r="DP666" s="1"/>
      <c r="DQ666" s="1"/>
      <c r="DR666" s="1"/>
      <c r="DS666" s="1"/>
      <c r="DT666" s="1"/>
      <c r="DU666" s="14"/>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29"/>
    </row>
    <row r="667" spans="1:160" x14ac:dyDescent="0.25">
      <c r="A667" s="5"/>
      <c r="B667" s="1"/>
      <c r="C667" s="98"/>
      <c r="D667" s="98"/>
      <c r="E667" s="1"/>
      <c r="F667" s="22"/>
      <c r="G667" s="22"/>
      <c r="H667" s="22"/>
      <c r="I667" s="22"/>
      <c r="J667" s="22"/>
      <c r="K667" s="22"/>
      <c r="L667" s="22"/>
      <c r="M667" s="22"/>
      <c r="N667" s="22"/>
      <c r="O667" s="22"/>
      <c r="P667" s="22"/>
      <c r="Q667" s="22"/>
      <c r="R667" s="1"/>
      <c r="S667" s="1"/>
      <c r="T667" s="8"/>
      <c r="U667" s="1"/>
      <c r="V667" s="1"/>
      <c r="W667" s="1"/>
      <c r="X667" s="1"/>
      <c r="Y667" s="1"/>
      <c r="Z667" s="1"/>
      <c r="AA667" s="1"/>
      <c r="AC667" s="1"/>
      <c r="AD667" s="1"/>
      <c r="AE667" s="1"/>
      <c r="AF667" s="1"/>
      <c r="AG667" s="1"/>
      <c r="AH667" s="26"/>
      <c r="AI667" s="26"/>
      <c r="AJ667" s="26"/>
      <c r="AK667" s="26"/>
      <c r="AL667" s="26"/>
      <c r="AM667" s="26"/>
      <c r="AN667" s="26"/>
      <c r="AO667" s="26"/>
      <c r="AP667" s="26"/>
      <c r="AQ667" s="26"/>
      <c r="AR667" s="26"/>
      <c r="AS667" s="26"/>
      <c r="AT667" s="26"/>
      <c r="AU667" s="26"/>
      <c r="AV667" s="26"/>
      <c r="AW667" s="26"/>
      <c r="AX667" s="26"/>
      <c r="AY667" s="1"/>
      <c r="AZ667" s="26"/>
      <c r="BA667" s="26"/>
      <c r="BB667" s="26"/>
      <c r="BC667" s="26"/>
      <c r="BD667" s="26"/>
      <c r="BE667" s="26"/>
      <c r="BF667" s="26"/>
      <c r="BG667" s="26"/>
      <c r="BH667" s="26"/>
      <c r="BI667" s="26"/>
      <c r="BJ667" s="26"/>
      <c r="BK667" s="26"/>
      <c r="BL667" s="26"/>
      <c r="BM667" s="26"/>
      <c r="BN667" s="26"/>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96"/>
      <c r="CP667" s="14"/>
      <c r="CQ667" s="14"/>
      <c r="CR667" s="14"/>
      <c r="CS667" s="14"/>
      <c r="CT667" s="1"/>
      <c r="CU667" s="14"/>
      <c r="CV667" s="1"/>
      <c r="CW667" s="1"/>
      <c r="CX667" s="14"/>
      <c r="CY667" s="1"/>
      <c r="CZ667" s="1"/>
      <c r="DA667" s="1"/>
      <c r="DB667" s="1"/>
      <c r="DC667" s="1"/>
      <c r="DD667" s="1"/>
      <c r="DE667" s="1"/>
      <c r="DF667" s="1"/>
      <c r="DG667" s="1"/>
      <c r="DH667" s="1"/>
      <c r="DI667" s="1"/>
      <c r="DJ667" s="1"/>
      <c r="DK667" s="1"/>
      <c r="DL667" s="1"/>
      <c r="DM667" s="1"/>
      <c r="DN667" s="1"/>
      <c r="DO667" s="1"/>
      <c r="DP667" s="1"/>
      <c r="DQ667" s="1"/>
      <c r="DR667" s="1"/>
      <c r="DS667" s="1"/>
      <c r="DT667" s="1"/>
      <c r="DU667" s="14"/>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29"/>
    </row>
    <row r="668" spans="1:160" x14ac:dyDescent="0.25">
      <c r="A668" s="5"/>
      <c r="B668" s="1"/>
      <c r="C668" s="98"/>
      <c r="D668" s="98"/>
      <c r="E668" s="1"/>
      <c r="F668" s="22"/>
      <c r="G668" s="22"/>
      <c r="H668" s="22"/>
      <c r="I668" s="22"/>
      <c r="J668" s="22"/>
      <c r="K668" s="22"/>
      <c r="L668" s="22"/>
      <c r="M668" s="22"/>
      <c r="N668" s="22"/>
      <c r="O668" s="22"/>
      <c r="P668" s="22"/>
      <c r="Q668" s="22"/>
      <c r="R668" s="1"/>
      <c r="S668" s="1"/>
      <c r="T668" s="8"/>
      <c r="U668" s="1"/>
      <c r="V668" s="1"/>
      <c r="W668" s="1"/>
      <c r="X668" s="1"/>
      <c r="Y668" s="1"/>
      <c r="Z668" s="1"/>
      <c r="AA668" s="1"/>
      <c r="AC668" s="1"/>
      <c r="AD668" s="1"/>
      <c r="AE668" s="1"/>
      <c r="AF668" s="1"/>
      <c r="AG668" s="1"/>
      <c r="AH668" s="26"/>
      <c r="AI668" s="26"/>
      <c r="AJ668" s="26"/>
      <c r="AK668" s="26"/>
      <c r="AL668" s="26"/>
      <c r="AM668" s="26"/>
      <c r="AN668" s="26"/>
      <c r="AO668" s="26"/>
      <c r="AP668" s="26"/>
      <c r="AQ668" s="26"/>
      <c r="AR668" s="26"/>
      <c r="AS668" s="26"/>
      <c r="AT668" s="26"/>
      <c r="AU668" s="26"/>
      <c r="AV668" s="26"/>
      <c r="AW668" s="26"/>
      <c r="AX668" s="26"/>
      <c r="AY668" s="1"/>
      <c r="AZ668" s="26"/>
      <c r="BA668" s="26"/>
      <c r="BB668" s="26"/>
      <c r="BC668" s="26"/>
      <c r="BD668" s="26"/>
      <c r="BE668" s="26"/>
      <c r="BF668" s="26"/>
      <c r="BG668" s="26"/>
      <c r="BH668" s="26"/>
      <c r="BI668" s="26"/>
      <c r="BJ668" s="26"/>
      <c r="BK668" s="26"/>
      <c r="BL668" s="26"/>
      <c r="BM668" s="26"/>
      <c r="BN668" s="26"/>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96"/>
      <c r="CP668" s="14"/>
      <c r="CQ668" s="14"/>
      <c r="CR668" s="14"/>
      <c r="CS668" s="14"/>
      <c r="CT668" s="1"/>
      <c r="CU668" s="14"/>
      <c r="CV668" s="1"/>
      <c r="CW668" s="1"/>
      <c r="CX668" s="14"/>
      <c r="CY668" s="1"/>
      <c r="CZ668" s="1"/>
      <c r="DA668" s="1"/>
      <c r="DB668" s="1"/>
      <c r="DC668" s="1"/>
      <c r="DD668" s="1"/>
      <c r="DE668" s="1"/>
      <c r="DF668" s="1"/>
      <c r="DG668" s="1"/>
      <c r="DH668" s="1"/>
      <c r="DI668" s="1"/>
      <c r="DJ668" s="1"/>
      <c r="DK668" s="1"/>
      <c r="DL668" s="1"/>
      <c r="DM668" s="1"/>
      <c r="DN668" s="1"/>
      <c r="DO668" s="1"/>
      <c r="DP668" s="1"/>
      <c r="DQ668" s="1"/>
      <c r="DR668" s="1"/>
      <c r="DS668" s="1"/>
      <c r="DT668" s="1"/>
      <c r="DU668" s="14"/>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29"/>
    </row>
    <row r="669" spans="1:160" x14ac:dyDescent="0.25">
      <c r="A669" s="5"/>
      <c r="B669" s="1"/>
      <c r="C669" s="98"/>
      <c r="D669" s="98"/>
      <c r="E669" s="1"/>
      <c r="F669" s="22"/>
      <c r="G669" s="22"/>
      <c r="H669" s="22"/>
      <c r="I669" s="22"/>
      <c r="J669" s="22"/>
      <c r="K669" s="22"/>
      <c r="L669" s="22"/>
      <c r="M669" s="22"/>
      <c r="N669" s="22"/>
      <c r="O669" s="22"/>
      <c r="P669" s="22"/>
      <c r="Q669" s="22"/>
      <c r="R669" s="1"/>
      <c r="S669" s="1"/>
      <c r="T669" s="8"/>
      <c r="U669" s="1"/>
      <c r="V669" s="1"/>
      <c r="W669" s="1"/>
      <c r="X669" s="1"/>
      <c r="Y669" s="1"/>
      <c r="Z669" s="1"/>
      <c r="AA669" s="1"/>
      <c r="AC669" s="1"/>
      <c r="AD669" s="1"/>
      <c r="AE669" s="1"/>
      <c r="AF669" s="1"/>
      <c r="AG669" s="1"/>
      <c r="AH669" s="26"/>
      <c r="AI669" s="26"/>
      <c r="AJ669" s="26"/>
      <c r="AK669" s="26"/>
      <c r="AL669" s="26"/>
      <c r="AM669" s="26"/>
      <c r="AN669" s="26"/>
      <c r="AO669" s="26"/>
      <c r="AP669" s="26"/>
      <c r="AQ669" s="26"/>
      <c r="AR669" s="26"/>
      <c r="AS669" s="26"/>
      <c r="AT669" s="26"/>
      <c r="AU669" s="26"/>
      <c r="AV669" s="26"/>
      <c r="AW669" s="26"/>
      <c r="AX669" s="26"/>
      <c r="AY669" s="1"/>
      <c r="AZ669" s="26"/>
      <c r="BA669" s="26"/>
      <c r="BB669" s="26"/>
      <c r="BC669" s="26"/>
      <c r="BD669" s="26"/>
      <c r="BE669" s="26"/>
      <c r="BF669" s="26"/>
      <c r="BG669" s="26"/>
      <c r="BH669" s="26"/>
      <c r="BI669" s="26"/>
      <c r="BJ669" s="26"/>
      <c r="BK669" s="26"/>
      <c r="BL669" s="26"/>
      <c r="BM669" s="26"/>
      <c r="BN669" s="26"/>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96"/>
      <c r="CP669" s="14"/>
      <c r="CQ669" s="14"/>
      <c r="CR669" s="14"/>
      <c r="CS669" s="14"/>
      <c r="CT669" s="1"/>
      <c r="CU669" s="14"/>
      <c r="CV669" s="1"/>
      <c r="CW669" s="1"/>
      <c r="CX669" s="14"/>
      <c r="CY669" s="1"/>
      <c r="CZ669" s="1"/>
      <c r="DA669" s="1"/>
      <c r="DB669" s="1"/>
      <c r="DC669" s="1"/>
      <c r="DD669" s="1"/>
      <c r="DE669" s="1"/>
      <c r="DF669" s="1"/>
      <c r="DG669" s="1"/>
      <c r="DH669" s="1"/>
      <c r="DI669" s="1"/>
      <c r="DJ669" s="1"/>
      <c r="DK669" s="1"/>
      <c r="DL669" s="1"/>
      <c r="DM669" s="1"/>
      <c r="DN669" s="1"/>
      <c r="DO669" s="1"/>
      <c r="DP669" s="1"/>
      <c r="DQ669" s="1"/>
      <c r="DR669" s="1"/>
      <c r="DS669" s="1"/>
      <c r="DT669" s="1"/>
      <c r="DU669" s="14"/>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29"/>
    </row>
    <row r="670" spans="1:160" x14ac:dyDescent="0.25">
      <c r="A670" s="5"/>
      <c r="B670" s="1"/>
      <c r="C670" s="98"/>
      <c r="D670" s="98"/>
      <c r="E670" s="1"/>
      <c r="F670" s="22"/>
      <c r="G670" s="22"/>
      <c r="H670" s="22"/>
      <c r="I670" s="22"/>
      <c r="J670" s="22"/>
      <c r="K670" s="22"/>
      <c r="L670" s="22"/>
      <c r="M670" s="22"/>
      <c r="N670" s="22"/>
      <c r="O670" s="22"/>
      <c r="P670" s="22"/>
      <c r="Q670" s="22"/>
      <c r="R670" s="1"/>
      <c r="S670" s="1"/>
      <c r="T670" s="8"/>
      <c r="U670" s="1"/>
      <c r="V670" s="1"/>
      <c r="W670" s="1"/>
      <c r="X670" s="1"/>
      <c r="Y670" s="1"/>
      <c r="Z670" s="1"/>
      <c r="AA670" s="1"/>
      <c r="AC670" s="1"/>
      <c r="AD670" s="1"/>
      <c r="AE670" s="1"/>
      <c r="AF670" s="1"/>
      <c r="AG670" s="1"/>
      <c r="AH670" s="26"/>
      <c r="AI670" s="26"/>
      <c r="AJ670" s="26"/>
      <c r="AK670" s="26"/>
      <c r="AL670" s="26"/>
      <c r="AM670" s="26"/>
      <c r="AN670" s="26"/>
      <c r="AO670" s="26"/>
      <c r="AP670" s="26"/>
      <c r="AQ670" s="26"/>
      <c r="AR670" s="26"/>
      <c r="AS670" s="26"/>
      <c r="AT670" s="26"/>
      <c r="AU670" s="26"/>
      <c r="AV670" s="26"/>
      <c r="AW670" s="26"/>
      <c r="AX670" s="26"/>
      <c r="AY670" s="1"/>
      <c r="AZ670" s="26"/>
      <c r="BA670" s="26"/>
      <c r="BB670" s="26"/>
      <c r="BC670" s="26"/>
      <c r="BD670" s="26"/>
      <c r="BE670" s="26"/>
      <c r="BF670" s="26"/>
      <c r="BG670" s="26"/>
      <c r="BH670" s="26"/>
      <c r="BI670" s="26"/>
      <c r="BJ670" s="26"/>
      <c r="BK670" s="26"/>
      <c r="BL670" s="26"/>
      <c r="BM670" s="26"/>
      <c r="BN670" s="26"/>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96"/>
      <c r="CP670" s="14"/>
      <c r="CQ670" s="14"/>
      <c r="CR670" s="14"/>
      <c r="CS670" s="14"/>
      <c r="CT670" s="1"/>
      <c r="CU670" s="14"/>
      <c r="CV670" s="1"/>
      <c r="CW670" s="1"/>
      <c r="CX670" s="14"/>
      <c r="CY670" s="1"/>
      <c r="CZ670" s="1"/>
      <c r="DA670" s="1"/>
      <c r="DB670" s="1"/>
      <c r="DC670" s="1"/>
      <c r="DD670" s="1"/>
      <c r="DE670" s="1"/>
      <c r="DF670" s="1"/>
      <c r="DG670" s="1"/>
      <c r="DH670" s="1"/>
      <c r="DI670" s="1"/>
      <c r="DJ670" s="1"/>
      <c r="DK670" s="1"/>
      <c r="DL670" s="1"/>
      <c r="DM670" s="1"/>
      <c r="DN670" s="1"/>
      <c r="DO670" s="1"/>
      <c r="DP670" s="1"/>
      <c r="DQ670" s="1"/>
      <c r="DR670" s="1"/>
      <c r="DS670" s="1"/>
      <c r="DT670" s="1"/>
      <c r="DU670" s="14"/>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29"/>
    </row>
    <row r="671" spans="1:160" x14ac:dyDescent="0.25">
      <c r="A671" s="5"/>
      <c r="B671" s="1"/>
      <c r="C671" s="98"/>
      <c r="D671" s="98"/>
      <c r="E671" s="1"/>
      <c r="F671" s="22"/>
      <c r="G671" s="22"/>
      <c r="H671" s="22"/>
      <c r="I671" s="22"/>
      <c r="J671" s="22"/>
      <c r="K671" s="22"/>
      <c r="L671" s="22"/>
      <c r="M671" s="22"/>
      <c r="N671" s="22"/>
      <c r="O671" s="22"/>
      <c r="P671" s="22"/>
      <c r="Q671" s="22"/>
      <c r="R671" s="1"/>
      <c r="S671" s="1"/>
      <c r="T671" s="8"/>
      <c r="U671" s="1"/>
      <c r="V671" s="1"/>
      <c r="W671" s="1"/>
      <c r="X671" s="1"/>
      <c r="Y671" s="1"/>
      <c r="Z671" s="1"/>
      <c r="AA671" s="1"/>
      <c r="AC671" s="1"/>
      <c r="AD671" s="1"/>
      <c r="AE671" s="1"/>
      <c r="AF671" s="1"/>
      <c r="AG671" s="1"/>
      <c r="AH671" s="26"/>
      <c r="AI671" s="26"/>
      <c r="AJ671" s="26"/>
      <c r="AK671" s="26"/>
      <c r="AL671" s="26"/>
      <c r="AM671" s="26"/>
      <c r="AN671" s="26"/>
      <c r="AO671" s="26"/>
      <c r="AP671" s="26"/>
      <c r="AQ671" s="26"/>
      <c r="AR671" s="26"/>
      <c r="AS671" s="26"/>
      <c r="AT671" s="26"/>
      <c r="AU671" s="26"/>
      <c r="AV671" s="26"/>
      <c r="AW671" s="26"/>
      <c r="AX671" s="26"/>
      <c r="AY671" s="1"/>
      <c r="AZ671" s="26"/>
      <c r="BA671" s="26"/>
      <c r="BB671" s="26"/>
      <c r="BC671" s="26"/>
      <c r="BD671" s="26"/>
      <c r="BE671" s="26"/>
      <c r="BF671" s="26"/>
      <c r="BG671" s="26"/>
      <c r="BH671" s="26"/>
      <c r="BI671" s="26"/>
      <c r="BJ671" s="26"/>
      <c r="BK671" s="26"/>
      <c r="BL671" s="26"/>
      <c r="BM671" s="26"/>
      <c r="BN671" s="26"/>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96"/>
      <c r="CP671" s="14"/>
      <c r="CQ671" s="14"/>
      <c r="CR671" s="14"/>
      <c r="CS671" s="14"/>
      <c r="CT671" s="1"/>
      <c r="CU671" s="14"/>
      <c r="CV671" s="1"/>
      <c r="CW671" s="1"/>
      <c r="CX671" s="14"/>
      <c r="CY671" s="1"/>
      <c r="CZ671" s="1"/>
      <c r="DA671" s="1"/>
      <c r="DB671" s="1"/>
      <c r="DC671" s="1"/>
      <c r="DD671" s="1"/>
      <c r="DE671" s="1"/>
      <c r="DF671" s="1"/>
      <c r="DG671" s="1"/>
      <c r="DH671" s="1"/>
      <c r="DI671" s="1"/>
      <c r="DJ671" s="1"/>
      <c r="DK671" s="1"/>
      <c r="DL671" s="1"/>
      <c r="DM671" s="1"/>
      <c r="DN671" s="1"/>
      <c r="DO671" s="1"/>
      <c r="DP671" s="1"/>
      <c r="DQ671" s="1"/>
      <c r="DR671" s="1"/>
      <c r="DS671" s="1"/>
      <c r="DT671" s="1"/>
      <c r="DU671" s="14"/>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29"/>
    </row>
    <row r="672" spans="1:160" x14ac:dyDescent="0.25">
      <c r="A672" s="5"/>
      <c r="B672" s="1"/>
      <c r="C672" s="98"/>
      <c r="D672" s="98"/>
      <c r="E672" s="1"/>
      <c r="F672" s="22"/>
      <c r="G672" s="22"/>
      <c r="H672" s="22"/>
      <c r="I672" s="22"/>
      <c r="J672" s="22"/>
      <c r="K672" s="22"/>
      <c r="L672" s="22"/>
      <c r="M672" s="22"/>
      <c r="N672" s="22"/>
      <c r="O672" s="22"/>
      <c r="P672" s="22"/>
      <c r="Q672" s="22"/>
      <c r="R672" s="1"/>
      <c r="S672" s="1"/>
      <c r="T672" s="8"/>
      <c r="U672" s="1"/>
      <c r="V672" s="1"/>
      <c r="W672" s="1"/>
      <c r="X672" s="1"/>
      <c r="Y672" s="1"/>
      <c r="Z672" s="1"/>
      <c r="AA672" s="1"/>
      <c r="AC672" s="1"/>
      <c r="AD672" s="1"/>
      <c r="AE672" s="1"/>
      <c r="AF672" s="1"/>
      <c r="AG672" s="1"/>
      <c r="AH672" s="26"/>
      <c r="AI672" s="26"/>
      <c r="AJ672" s="26"/>
      <c r="AK672" s="26"/>
      <c r="AL672" s="26"/>
      <c r="AM672" s="26"/>
      <c r="AN672" s="26"/>
      <c r="AO672" s="26"/>
      <c r="AP672" s="26"/>
      <c r="AQ672" s="26"/>
      <c r="AR672" s="26"/>
      <c r="AS672" s="26"/>
      <c r="AT672" s="26"/>
      <c r="AU672" s="26"/>
      <c r="AV672" s="26"/>
      <c r="AW672" s="26"/>
      <c r="AX672" s="26"/>
      <c r="AY672" s="1"/>
      <c r="AZ672" s="26"/>
      <c r="BA672" s="26"/>
      <c r="BB672" s="26"/>
      <c r="BC672" s="26"/>
      <c r="BD672" s="26"/>
      <c r="BE672" s="26"/>
      <c r="BF672" s="26"/>
      <c r="BG672" s="26"/>
      <c r="BH672" s="26"/>
      <c r="BI672" s="26"/>
      <c r="BJ672" s="26"/>
      <c r="BK672" s="26"/>
      <c r="BL672" s="26"/>
      <c r="BM672" s="26"/>
      <c r="BN672" s="26"/>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96"/>
      <c r="CP672" s="14"/>
      <c r="CQ672" s="14"/>
      <c r="CR672" s="14"/>
      <c r="CS672" s="14"/>
      <c r="CT672" s="1"/>
      <c r="CU672" s="14"/>
      <c r="CV672" s="1"/>
      <c r="CW672" s="1"/>
      <c r="CX672" s="14"/>
      <c r="CY672" s="1"/>
      <c r="CZ672" s="1"/>
      <c r="DA672" s="1"/>
      <c r="DB672" s="1"/>
      <c r="DC672" s="1"/>
      <c r="DD672" s="1"/>
      <c r="DE672" s="1"/>
      <c r="DF672" s="1"/>
      <c r="DG672" s="1"/>
      <c r="DH672" s="1"/>
      <c r="DI672" s="1"/>
      <c r="DJ672" s="1"/>
      <c r="DK672" s="1"/>
      <c r="DL672" s="1"/>
      <c r="DM672" s="1"/>
      <c r="DN672" s="1"/>
      <c r="DO672" s="1"/>
      <c r="DP672" s="1"/>
      <c r="DQ672" s="1"/>
      <c r="DR672" s="1"/>
      <c r="DS672" s="1"/>
      <c r="DT672" s="1"/>
      <c r="DU672" s="14"/>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29"/>
    </row>
    <row r="673" spans="1:160" x14ac:dyDescent="0.25">
      <c r="A673" s="5"/>
      <c r="B673" s="1"/>
      <c r="C673" s="98"/>
      <c r="D673" s="98"/>
      <c r="E673" s="1"/>
      <c r="F673" s="22"/>
      <c r="G673" s="22"/>
      <c r="H673" s="22"/>
      <c r="I673" s="22"/>
      <c r="J673" s="22"/>
      <c r="K673" s="22"/>
      <c r="L673" s="22"/>
      <c r="M673" s="22"/>
      <c r="N673" s="22"/>
      <c r="O673" s="22"/>
      <c r="P673" s="22"/>
      <c r="Q673" s="22"/>
      <c r="R673" s="1"/>
      <c r="S673" s="1"/>
      <c r="T673" s="8"/>
      <c r="U673" s="1"/>
      <c r="V673" s="1"/>
      <c r="W673" s="1"/>
      <c r="X673" s="1"/>
      <c r="Y673" s="1"/>
      <c r="Z673" s="1"/>
      <c r="AA673" s="1"/>
      <c r="AC673" s="1"/>
      <c r="AD673" s="1"/>
      <c r="AE673" s="1"/>
      <c r="AF673" s="1"/>
      <c r="AG673" s="1"/>
      <c r="AH673" s="26"/>
      <c r="AI673" s="26"/>
      <c r="AJ673" s="26"/>
      <c r="AK673" s="26"/>
      <c r="AL673" s="26"/>
      <c r="AM673" s="26"/>
      <c r="AN673" s="26"/>
      <c r="AO673" s="26"/>
      <c r="AP673" s="26"/>
      <c r="AQ673" s="26"/>
      <c r="AR673" s="26"/>
      <c r="AS673" s="26"/>
      <c r="AT673" s="26"/>
      <c r="AU673" s="26"/>
      <c r="AV673" s="26"/>
      <c r="AW673" s="26"/>
      <c r="AX673" s="26"/>
      <c r="AY673" s="1"/>
      <c r="AZ673" s="26"/>
      <c r="BA673" s="26"/>
      <c r="BB673" s="26"/>
      <c r="BC673" s="26"/>
      <c r="BD673" s="26"/>
      <c r="BE673" s="26"/>
      <c r="BF673" s="26"/>
      <c r="BG673" s="26"/>
      <c r="BH673" s="26"/>
      <c r="BI673" s="26"/>
      <c r="BJ673" s="26"/>
      <c r="BK673" s="26"/>
      <c r="BL673" s="26"/>
      <c r="BM673" s="26"/>
      <c r="BN673" s="26"/>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96"/>
      <c r="CP673" s="14"/>
      <c r="CQ673" s="14"/>
      <c r="CR673" s="14"/>
      <c r="CS673" s="14"/>
      <c r="CT673" s="1"/>
      <c r="CU673" s="14"/>
      <c r="CV673" s="1"/>
      <c r="CW673" s="1"/>
      <c r="CX673" s="14"/>
      <c r="CY673" s="1"/>
      <c r="CZ673" s="1"/>
      <c r="DA673" s="1"/>
      <c r="DB673" s="1"/>
      <c r="DC673" s="1"/>
      <c r="DD673" s="1"/>
      <c r="DE673" s="1"/>
      <c r="DF673" s="1"/>
      <c r="DG673" s="1"/>
      <c r="DH673" s="1"/>
      <c r="DI673" s="1"/>
      <c r="DJ673" s="1"/>
      <c r="DK673" s="1"/>
      <c r="DL673" s="1"/>
      <c r="DM673" s="1"/>
      <c r="DN673" s="1"/>
      <c r="DO673" s="1"/>
      <c r="DP673" s="1"/>
      <c r="DQ673" s="1"/>
      <c r="DR673" s="1"/>
      <c r="DS673" s="1"/>
      <c r="DT673" s="1"/>
      <c r="DU673" s="14"/>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29"/>
    </row>
    <row r="674" spans="1:160" x14ac:dyDescent="0.25">
      <c r="A674" s="5"/>
      <c r="B674" s="1"/>
      <c r="C674" s="98"/>
      <c r="D674" s="98"/>
      <c r="E674" s="1"/>
      <c r="F674" s="22"/>
      <c r="G674" s="22"/>
      <c r="H674" s="22"/>
      <c r="I674" s="22"/>
      <c r="J674" s="22"/>
      <c r="K674" s="22"/>
      <c r="L674" s="22"/>
      <c r="M674" s="22"/>
      <c r="N674" s="22"/>
      <c r="O674" s="22"/>
      <c r="P674" s="22"/>
      <c r="Q674" s="22"/>
      <c r="R674" s="1"/>
      <c r="S674" s="1"/>
      <c r="T674" s="8"/>
      <c r="U674" s="1"/>
      <c r="V674" s="1"/>
      <c r="W674" s="1"/>
      <c r="X674" s="1"/>
      <c r="Y674" s="1"/>
      <c r="Z674" s="1"/>
      <c r="AA674" s="1"/>
      <c r="AC674" s="1"/>
      <c r="AD674" s="1"/>
      <c r="AE674" s="1"/>
      <c r="AF674" s="1"/>
      <c r="AG674" s="1"/>
      <c r="AH674" s="26"/>
      <c r="AI674" s="26"/>
      <c r="AJ674" s="26"/>
      <c r="AK674" s="26"/>
      <c r="AL674" s="26"/>
      <c r="AM674" s="26"/>
      <c r="AN674" s="26"/>
      <c r="AO674" s="26"/>
      <c r="AP674" s="26"/>
      <c r="AQ674" s="26"/>
      <c r="AR674" s="26"/>
      <c r="AS674" s="26"/>
      <c r="AT674" s="26"/>
      <c r="AU674" s="26"/>
      <c r="AV674" s="26"/>
      <c r="AW674" s="26"/>
      <c r="AX674" s="26"/>
      <c r="AY674" s="1"/>
      <c r="AZ674" s="26"/>
      <c r="BA674" s="26"/>
      <c r="BB674" s="26"/>
      <c r="BC674" s="26"/>
      <c r="BD674" s="26"/>
      <c r="BE674" s="26"/>
      <c r="BF674" s="26"/>
      <c r="BG674" s="26"/>
      <c r="BH674" s="26"/>
      <c r="BI674" s="26"/>
      <c r="BJ674" s="26"/>
      <c r="BK674" s="26"/>
      <c r="BL674" s="26"/>
      <c r="BM674" s="26"/>
      <c r="BN674" s="26"/>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96"/>
      <c r="CP674" s="14"/>
      <c r="CQ674" s="14"/>
      <c r="CR674" s="14"/>
      <c r="CS674" s="14"/>
      <c r="CT674" s="1"/>
      <c r="CU674" s="14"/>
      <c r="CV674" s="1"/>
      <c r="CW674" s="1"/>
      <c r="CX674" s="14"/>
      <c r="CY674" s="1"/>
      <c r="CZ674" s="1"/>
      <c r="DA674" s="1"/>
      <c r="DB674" s="1"/>
      <c r="DC674" s="1"/>
      <c r="DD674" s="1"/>
      <c r="DE674" s="1"/>
      <c r="DF674" s="1"/>
      <c r="DG674" s="1"/>
      <c r="DH674" s="1"/>
      <c r="DI674" s="1"/>
      <c r="DJ674" s="1"/>
      <c r="DK674" s="1"/>
      <c r="DL674" s="1"/>
      <c r="DM674" s="1"/>
      <c r="DN674" s="1"/>
      <c r="DO674" s="1"/>
      <c r="DP674" s="1"/>
      <c r="DQ674" s="1"/>
      <c r="DR674" s="1"/>
      <c r="DS674" s="1"/>
      <c r="DT674" s="1"/>
      <c r="DU674" s="14"/>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29"/>
    </row>
    <row r="675" spans="1:160" x14ac:dyDescent="0.25">
      <c r="A675" s="5"/>
      <c r="B675" s="1"/>
      <c r="C675" s="98"/>
      <c r="D675" s="98"/>
      <c r="E675" s="1"/>
      <c r="F675" s="22"/>
      <c r="G675" s="22"/>
      <c r="H675" s="22"/>
      <c r="I675" s="22"/>
      <c r="J675" s="22"/>
      <c r="K675" s="22"/>
      <c r="L675" s="22"/>
      <c r="M675" s="22"/>
      <c r="N675" s="22"/>
      <c r="O675" s="22"/>
      <c r="P675" s="22"/>
      <c r="Q675" s="22"/>
      <c r="R675" s="1"/>
      <c r="S675" s="1"/>
      <c r="T675" s="8"/>
      <c r="U675" s="1"/>
      <c r="V675" s="1"/>
      <c r="W675" s="1"/>
      <c r="X675" s="1"/>
      <c r="Y675" s="1"/>
      <c r="Z675" s="1"/>
      <c r="AA675" s="1"/>
      <c r="AC675" s="1"/>
      <c r="AD675" s="1"/>
      <c r="AE675" s="1"/>
      <c r="AF675" s="1"/>
      <c r="AG675" s="1"/>
      <c r="AH675" s="26"/>
      <c r="AI675" s="26"/>
      <c r="AJ675" s="26"/>
      <c r="AK675" s="26"/>
      <c r="AL675" s="26"/>
      <c r="AM675" s="26"/>
      <c r="AN675" s="26"/>
      <c r="AO675" s="26"/>
      <c r="AP675" s="26"/>
      <c r="AQ675" s="26"/>
      <c r="AR675" s="26"/>
      <c r="AS675" s="26"/>
      <c r="AT675" s="26"/>
      <c r="AU675" s="26"/>
      <c r="AV675" s="26"/>
      <c r="AW675" s="26"/>
      <c r="AX675" s="26"/>
      <c r="AY675" s="1"/>
      <c r="AZ675" s="26"/>
      <c r="BA675" s="26"/>
      <c r="BB675" s="26"/>
      <c r="BC675" s="26"/>
      <c r="BD675" s="26"/>
      <c r="BE675" s="26"/>
      <c r="BF675" s="26"/>
      <c r="BG675" s="26"/>
      <c r="BH675" s="26"/>
      <c r="BI675" s="26"/>
      <c r="BJ675" s="26"/>
      <c r="BK675" s="26"/>
      <c r="BL675" s="26"/>
      <c r="BM675" s="26"/>
      <c r="BN675" s="26"/>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96"/>
      <c r="CP675" s="14"/>
      <c r="CQ675" s="14"/>
      <c r="CR675" s="14"/>
      <c r="CS675" s="14"/>
      <c r="CT675" s="1"/>
      <c r="CU675" s="14"/>
      <c r="CV675" s="1"/>
      <c r="CW675" s="1"/>
      <c r="CX675" s="14"/>
      <c r="CY675" s="1"/>
      <c r="CZ675" s="1"/>
      <c r="DA675" s="1"/>
      <c r="DB675" s="1"/>
      <c r="DC675" s="1"/>
      <c r="DD675" s="1"/>
      <c r="DE675" s="1"/>
      <c r="DF675" s="1"/>
      <c r="DG675" s="1"/>
      <c r="DH675" s="1"/>
      <c r="DI675" s="1"/>
      <c r="DJ675" s="1"/>
      <c r="DK675" s="1"/>
      <c r="DL675" s="1"/>
      <c r="DM675" s="1"/>
      <c r="DN675" s="1"/>
      <c r="DO675" s="1"/>
      <c r="DP675" s="1"/>
      <c r="DQ675" s="1"/>
      <c r="DR675" s="1"/>
      <c r="DS675" s="1"/>
      <c r="DT675" s="1"/>
      <c r="DU675" s="14"/>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29"/>
    </row>
    <row r="676" spans="1:160" x14ac:dyDescent="0.25">
      <c r="A676" s="5"/>
      <c r="B676" s="1"/>
      <c r="C676" s="98"/>
      <c r="D676" s="98"/>
      <c r="E676" s="1"/>
      <c r="F676" s="22"/>
      <c r="G676" s="22"/>
      <c r="H676" s="22"/>
      <c r="I676" s="22"/>
      <c r="J676" s="22"/>
      <c r="K676" s="22"/>
      <c r="L676" s="22"/>
      <c r="M676" s="22"/>
      <c r="N676" s="22"/>
      <c r="O676" s="22"/>
      <c r="P676" s="22"/>
      <c r="Q676" s="22"/>
      <c r="R676" s="1"/>
      <c r="S676" s="1"/>
      <c r="T676" s="8"/>
      <c r="U676" s="1"/>
      <c r="V676" s="1"/>
      <c r="W676" s="1"/>
      <c r="X676" s="1"/>
      <c r="Y676" s="1"/>
      <c r="Z676" s="1"/>
      <c r="AA676" s="1"/>
      <c r="AC676" s="1"/>
      <c r="AD676" s="1"/>
      <c r="AE676" s="1"/>
      <c r="AF676" s="1"/>
      <c r="AG676" s="1"/>
      <c r="AH676" s="26"/>
      <c r="AI676" s="26"/>
      <c r="AJ676" s="26"/>
      <c r="AK676" s="26"/>
      <c r="AL676" s="26"/>
      <c r="AM676" s="26"/>
      <c r="AN676" s="26"/>
      <c r="AO676" s="26"/>
      <c r="AP676" s="26"/>
      <c r="AQ676" s="26"/>
      <c r="AR676" s="26"/>
      <c r="AS676" s="26"/>
      <c r="AT676" s="26"/>
      <c r="AU676" s="26"/>
      <c r="AV676" s="26"/>
      <c r="AW676" s="26"/>
      <c r="AX676" s="26"/>
      <c r="AY676" s="1"/>
      <c r="AZ676" s="26"/>
      <c r="BA676" s="26"/>
      <c r="BB676" s="26"/>
      <c r="BC676" s="26"/>
      <c r="BD676" s="26"/>
      <c r="BE676" s="26"/>
      <c r="BF676" s="26"/>
      <c r="BG676" s="26"/>
      <c r="BH676" s="26"/>
      <c r="BI676" s="26"/>
      <c r="BJ676" s="26"/>
      <c r="BK676" s="26"/>
      <c r="BL676" s="26"/>
      <c r="BM676" s="26"/>
      <c r="BN676" s="26"/>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96"/>
      <c r="CP676" s="14"/>
      <c r="CQ676" s="14"/>
      <c r="CR676" s="14"/>
      <c r="CS676" s="14"/>
      <c r="CT676" s="1"/>
      <c r="CU676" s="14"/>
      <c r="CV676" s="1"/>
      <c r="CW676" s="1"/>
      <c r="CX676" s="14"/>
      <c r="CY676" s="1"/>
      <c r="CZ676" s="1"/>
      <c r="DA676" s="1"/>
      <c r="DB676" s="1"/>
      <c r="DC676" s="1"/>
      <c r="DD676" s="1"/>
      <c r="DE676" s="1"/>
      <c r="DF676" s="1"/>
      <c r="DG676" s="1"/>
      <c r="DH676" s="1"/>
      <c r="DI676" s="1"/>
      <c r="DJ676" s="1"/>
      <c r="DK676" s="1"/>
      <c r="DL676" s="1"/>
      <c r="DM676" s="1"/>
      <c r="DN676" s="1"/>
      <c r="DO676" s="1"/>
      <c r="DP676" s="1"/>
      <c r="DQ676" s="1"/>
      <c r="DR676" s="1"/>
      <c r="DS676" s="1"/>
      <c r="DT676" s="1"/>
      <c r="DU676" s="14"/>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29"/>
    </row>
    <row r="677" spans="1:160" x14ac:dyDescent="0.25">
      <c r="A677" s="5"/>
      <c r="B677" s="1"/>
      <c r="C677" s="98"/>
      <c r="D677" s="98"/>
      <c r="E677" s="1"/>
      <c r="F677" s="22"/>
      <c r="G677" s="22"/>
      <c r="H677" s="22"/>
      <c r="I677" s="22"/>
      <c r="J677" s="22"/>
      <c r="K677" s="22"/>
      <c r="L677" s="22"/>
      <c r="M677" s="22"/>
      <c r="N677" s="22"/>
      <c r="O677" s="22"/>
      <c r="P677" s="22"/>
      <c r="Q677" s="22"/>
      <c r="R677" s="1"/>
      <c r="S677" s="1"/>
      <c r="T677" s="8"/>
      <c r="U677" s="1"/>
      <c r="V677" s="1"/>
      <c r="W677" s="1"/>
      <c r="X677" s="1"/>
      <c r="Y677" s="1"/>
      <c r="Z677" s="1"/>
      <c r="AA677" s="1"/>
      <c r="AC677" s="1"/>
      <c r="AD677" s="1"/>
      <c r="AE677" s="1"/>
      <c r="AF677" s="1"/>
      <c r="AG677" s="1"/>
      <c r="AH677" s="26"/>
      <c r="AI677" s="26"/>
      <c r="AJ677" s="26"/>
      <c r="AK677" s="26"/>
      <c r="AL677" s="26"/>
      <c r="AM677" s="26"/>
      <c r="AN677" s="26"/>
      <c r="AO677" s="26"/>
      <c r="AP677" s="26"/>
      <c r="AQ677" s="26"/>
      <c r="AR677" s="26"/>
      <c r="AS677" s="26"/>
      <c r="AT677" s="26"/>
      <c r="AU677" s="26"/>
      <c r="AV677" s="26"/>
      <c r="AW677" s="26"/>
      <c r="AX677" s="26"/>
      <c r="AY677" s="1"/>
      <c r="AZ677" s="26"/>
      <c r="BA677" s="26"/>
      <c r="BB677" s="26"/>
      <c r="BC677" s="26"/>
      <c r="BD677" s="26"/>
      <c r="BE677" s="26"/>
      <c r="BF677" s="26"/>
      <c r="BG677" s="26"/>
      <c r="BH677" s="26"/>
      <c r="BI677" s="26"/>
      <c r="BJ677" s="26"/>
      <c r="BK677" s="26"/>
      <c r="BL677" s="26"/>
      <c r="BM677" s="26"/>
      <c r="BN677" s="26"/>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96"/>
      <c r="CP677" s="14"/>
      <c r="CQ677" s="14"/>
      <c r="CR677" s="14"/>
      <c r="CS677" s="14"/>
      <c r="CT677" s="1"/>
      <c r="CU677" s="14"/>
      <c r="CV677" s="1"/>
      <c r="CW677" s="1"/>
      <c r="CX677" s="14"/>
      <c r="CY677" s="1"/>
      <c r="CZ677" s="1"/>
      <c r="DA677" s="1"/>
      <c r="DB677" s="1"/>
      <c r="DC677" s="1"/>
      <c r="DD677" s="1"/>
      <c r="DE677" s="1"/>
      <c r="DF677" s="1"/>
      <c r="DG677" s="1"/>
      <c r="DH677" s="1"/>
      <c r="DI677" s="1"/>
      <c r="DJ677" s="1"/>
      <c r="DK677" s="1"/>
      <c r="DL677" s="1"/>
      <c r="DM677" s="1"/>
      <c r="DN677" s="1"/>
      <c r="DO677" s="1"/>
      <c r="DP677" s="1"/>
      <c r="DQ677" s="1"/>
      <c r="DR677" s="1"/>
      <c r="DS677" s="1"/>
      <c r="DT677" s="1"/>
      <c r="DU677" s="14"/>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29"/>
    </row>
    <row r="678" spans="1:160" x14ac:dyDescent="0.25">
      <c r="A678" s="5"/>
      <c r="B678" s="1"/>
      <c r="C678" s="98"/>
      <c r="D678" s="98"/>
      <c r="E678" s="1"/>
      <c r="F678" s="22"/>
      <c r="G678" s="22"/>
      <c r="H678" s="22"/>
      <c r="I678" s="22"/>
      <c r="J678" s="22"/>
      <c r="K678" s="22"/>
      <c r="L678" s="22"/>
      <c r="M678" s="22"/>
      <c r="N678" s="22"/>
      <c r="O678" s="22"/>
      <c r="P678" s="22"/>
      <c r="Q678" s="22"/>
      <c r="R678" s="1"/>
      <c r="S678" s="1"/>
      <c r="T678" s="8"/>
      <c r="U678" s="1"/>
      <c r="V678" s="1"/>
      <c r="W678" s="1"/>
      <c r="X678" s="1"/>
      <c r="Y678" s="1"/>
      <c r="Z678" s="1"/>
      <c r="AA678" s="1"/>
      <c r="AC678" s="1"/>
      <c r="AD678" s="1"/>
      <c r="AE678" s="1"/>
      <c r="AF678" s="1"/>
      <c r="AG678" s="1"/>
      <c r="AH678" s="26"/>
      <c r="AI678" s="26"/>
      <c r="AJ678" s="26"/>
      <c r="AK678" s="26"/>
      <c r="AL678" s="26"/>
      <c r="AM678" s="26"/>
      <c r="AN678" s="26"/>
      <c r="AO678" s="26"/>
      <c r="AP678" s="26"/>
      <c r="AQ678" s="26"/>
      <c r="AR678" s="26"/>
      <c r="AS678" s="26"/>
      <c r="AT678" s="26"/>
      <c r="AU678" s="26"/>
      <c r="AV678" s="26"/>
      <c r="AW678" s="26"/>
      <c r="AX678" s="26"/>
      <c r="AY678" s="1"/>
      <c r="AZ678" s="26"/>
      <c r="BA678" s="26"/>
      <c r="BB678" s="26"/>
      <c r="BC678" s="26"/>
      <c r="BD678" s="26"/>
      <c r="BE678" s="26"/>
      <c r="BF678" s="26"/>
      <c r="BG678" s="26"/>
      <c r="BH678" s="26"/>
      <c r="BI678" s="26"/>
      <c r="BJ678" s="26"/>
      <c r="BK678" s="26"/>
      <c r="BL678" s="26"/>
      <c r="BM678" s="26"/>
      <c r="BN678" s="26"/>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96"/>
      <c r="CP678" s="14"/>
      <c r="CQ678" s="14"/>
      <c r="CR678" s="14"/>
      <c r="CS678" s="14"/>
      <c r="CT678" s="1"/>
      <c r="CU678" s="14"/>
      <c r="CV678" s="1"/>
      <c r="CW678" s="1"/>
      <c r="CX678" s="14"/>
      <c r="CY678" s="1"/>
      <c r="CZ678" s="1"/>
      <c r="DA678" s="1"/>
      <c r="DB678" s="1"/>
      <c r="DC678" s="1"/>
      <c r="DD678" s="1"/>
      <c r="DE678" s="1"/>
      <c r="DF678" s="1"/>
      <c r="DG678" s="1"/>
      <c r="DH678" s="1"/>
      <c r="DI678" s="1"/>
      <c r="DJ678" s="1"/>
      <c r="DK678" s="1"/>
      <c r="DL678" s="1"/>
      <c r="DM678" s="1"/>
      <c r="DN678" s="1"/>
      <c r="DO678" s="1"/>
      <c r="DP678" s="1"/>
      <c r="DQ678" s="1"/>
      <c r="DR678" s="1"/>
      <c r="DS678" s="1"/>
      <c r="DT678" s="1"/>
      <c r="DU678" s="14"/>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29"/>
    </row>
    <row r="679" spans="1:160" x14ac:dyDescent="0.25">
      <c r="A679" s="5"/>
      <c r="B679" s="1"/>
      <c r="C679" s="98"/>
      <c r="D679" s="98"/>
      <c r="E679" s="1"/>
      <c r="F679" s="22"/>
      <c r="G679" s="22"/>
      <c r="H679" s="22"/>
      <c r="I679" s="22"/>
      <c r="J679" s="22"/>
      <c r="K679" s="22"/>
      <c r="L679" s="22"/>
      <c r="M679" s="22"/>
      <c r="N679" s="22"/>
      <c r="O679" s="22"/>
      <c r="P679" s="22"/>
      <c r="Q679" s="22"/>
      <c r="R679" s="1"/>
      <c r="S679" s="1"/>
      <c r="T679" s="8"/>
      <c r="U679" s="1"/>
      <c r="V679" s="1"/>
      <c r="W679" s="1"/>
      <c r="X679" s="1"/>
      <c r="Y679" s="1"/>
      <c r="Z679" s="1"/>
      <c r="AA679" s="1"/>
      <c r="AC679" s="1"/>
      <c r="AD679" s="1"/>
      <c r="AE679" s="1"/>
      <c r="AF679" s="1"/>
      <c r="AG679" s="1"/>
      <c r="AH679" s="26"/>
      <c r="AI679" s="26"/>
      <c r="AJ679" s="26"/>
      <c r="AK679" s="26"/>
      <c r="AL679" s="26"/>
      <c r="AM679" s="26"/>
      <c r="AN679" s="26"/>
      <c r="AO679" s="26"/>
      <c r="AP679" s="26"/>
      <c r="AQ679" s="26"/>
      <c r="AR679" s="26"/>
      <c r="AS679" s="26"/>
      <c r="AT679" s="26"/>
      <c r="AU679" s="26"/>
      <c r="AV679" s="26"/>
      <c r="AW679" s="26"/>
      <c r="AX679" s="26"/>
      <c r="AY679" s="1"/>
      <c r="AZ679" s="26"/>
      <c r="BA679" s="26"/>
      <c r="BB679" s="26"/>
      <c r="BC679" s="26"/>
      <c r="BD679" s="26"/>
      <c r="BE679" s="26"/>
      <c r="BF679" s="26"/>
      <c r="BG679" s="26"/>
      <c r="BH679" s="26"/>
      <c r="BI679" s="26"/>
      <c r="BJ679" s="26"/>
      <c r="BK679" s="26"/>
      <c r="BL679" s="26"/>
      <c r="BM679" s="26"/>
      <c r="BN679" s="26"/>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96"/>
      <c r="CP679" s="14"/>
      <c r="CQ679" s="14"/>
      <c r="CR679" s="14"/>
      <c r="CS679" s="14"/>
      <c r="CT679" s="1"/>
      <c r="CU679" s="14"/>
      <c r="CV679" s="1"/>
      <c r="CW679" s="1"/>
      <c r="CX679" s="14"/>
      <c r="CY679" s="1"/>
      <c r="CZ679" s="1"/>
      <c r="DA679" s="1"/>
      <c r="DB679" s="1"/>
      <c r="DC679" s="1"/>
      <c r="DD679" s="1"/>
      <c r="DE679" s="1"/>
      <c r="DF679" s="1"/>
      <c r="DG679" s="1"/>
      <c r="DH679" s="1"/>
      <c r="DI679" s="1"/>
      <c r="DJ679" s="1"/>
      <c r="DK679" s="1"/>
      <c r="DL679" s="1"/>
      <c r="DM679" s="1"/>
      <c r="DN679" s="1"/>
      <c r="DO679" s="1"/>
      <c r="DP679" s="1"/>
      <c r="DQ679" s="1"/>
      <c r="DR679" s="1"/>
      <c r="DS679" s="1"/>
      <c r="DT679" s="1"/>
      <c r="DU679" s="14"/>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29"/>
    </row>
    <row r="680" spans="1:160" x14ac:dyDescent="0.25">
      <c r="A680" s="5"/>
      <c r="B680" s="1"/>
      <c r="C680" s="98"/>
      <c r="D680" s="98"/>
      <c r="E680" s="1"/>
      <c r="F680" s="22"/>
      <c r="G680" s="22"/>
      <c r="H680" s="22"/>
      <c r="I680" s="22"/>
      <c r="J680" s="22"/>
      <c r="K680" s="22"/>
      <c r="L680" s="22"/>
      <c r="M680" s="22"/>
      <c r="N680" s="22"/>
      <c r="O680" s="22"/>
      <c r="P680" s="22"/>
      <c r="Q680" s="22"/>
      <c r="R680" s="1"/>
      <c r="S680" s="1"/>
      <c r="T680" s="8"/>
      <c r="U680" s="1"/>
      <c r="V680" s="1"/>
      <c r="W680" s="1"/>
      <c r="X680" s="1"/>
      <c r="Y680" s="1"/>
      <c r="Z680" s="1"/>
      <c r="AA680" s="1"/>
      <c r="AC680" s="1"/>
      <c r="AD680" s="1"/>
      <c r="AE680" s="1"/>
      <c r="AF680" s="1"/>
      <c r="AG680" s="1"/>
      <c r="AH680" s="26"/>
      <c r="AI680" s="26"/>
      <c r="AJ680" s="26"/>
      <c r="AK680" s="26"/>
      <c r="AL680" s="26"/>
      <c r="AM680" s="26"/>
      <c r="AN680" s="26"/>
      <c r="AO680" s="26"/>
      <c r="AP680" s="26"/>
      <c r="AQ680" s="26"/>
      <c r="AR680" s="26"/>
      <c r="AS680" s="26"/>
      <c r="AT680" s="26"/>
      <c r="AU680" s="26"/>
      <c r="AV680" s="26"/>
      <c r="AW680" s="26"/>
      <c r="AX680" s="26"/>
      <c r="AY680" s="1"/>
      <c r="AZ680" s="26"/>
      <c r="BA680" s="26"/>
      <c r="BB680" s="26"/>
      <c r="BC680" s="26"/>
      <c r="BD680" s="26"/>
      <c r="BE680" s="26"/>
      <c r="BF680" s="26"/>
      <c r="BG680" s="26"/>
      <c r="BH680" s="26"/>
      <c r="BI680" s="26"/>
      <c r="BJ680" s="26"/>
      <c r="BK680" s="26"/>
      <c r="BL680" s="26"/>
      <c r="BM680" s="26"/>
      <c r="BN680" s="26"/>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96"/>
      <c r="CP680" s="14"/>
      <c r="CQ680" s="14"/>
      <c r="CR680" s="14"/>
      <c r="CS680" s="14"/>
      <c r="CT680" s="1"/>
      <c r="CU680" s="14"/>
      <c r="CV680" s="1"/>
      <c r="CW680" s="1"/>
      <c r="CX680" s="14"/>
      <c r="CY680" s="1"/>
      <c r="CZ680" s="1"/>
      <c r="DA680" s="1"/>
      <c r="DB680" s="1"/>
      <c r="DC680" s="1"/>
      <c r="DD680" s="1"/>
      <c r="DE680" s="1"/>
      <c r="DF680" s="1"/>
      <c r="DG680" s="1"/>
      <c r="DH680" s="1"/>
      <c r="DI680" s="1"/>
      <c r="DJ680" s="1"/>
      <c r="DK680" s="1"/>
      <c r="DL680" s="1"/>
      <c r="DM680" s="1"/>
      <c r="DN680" s="1"/>
      <c r="DO680" s="1"/>
      <c r="DP680" s="1"/>
      <c r="DQ680" s="1"/>
      <c r="DR680" s="1"/>
      <c r="DS680" s="1"/>
      <c r="DT680" s="1"/>
      <c r="DU680" s="14"/>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29"/>
    </row>
    <row r="681" spans="1:160" x14ac:dyDescent="0.25">
      <c r="A681" s="5"/>
      <c r="B681" s="1"/>
      <c r="C681" s="98"/>
      <c r="D681" s="98"/>
      <c r="E681" s="1"/>
      <c r="F681" s="22"/>
      <c r="G681" s="22"/>
      <c r="H681" s="22"/>
      <c r="I681" s="22"/>
      <c r="J681" s="22"/>
      <c r="K681" s="22"/>
      <c r="L681" s="22"/>
      <c r="M681" s="22"/>
      <c r="N681" s="22"/>
      <c r="O681" s="22"/>
      <c r="P681" s="22"/>
      <c r="Q681" s="22"/>
      <c r="R681" s="1"/>
      <c r="S681" s="1"/>
      <c r="T681" s="8"/>
      <c r="U681" s="1"/>
      <c r="V681" s="1"/>
      <c r="W681" s="1"/>
      <c r="X681" s="1"/>
      <c r="Y681" s="1"/>
      <c r="Z681" s="1"/>
      <c r="AA681" s="1"/>
      <c r="AC681" s="1"/>
      <c r="AD681" s="1"/>
      <c r="AE681" s="1"/>
      <c r="AF681" s="1"/>
      <c r="AG681" s="1"/>
      <c r="AH681" s="26"/>
      <c r="AI681" s="26"/>
      <c r="AJ681" s="26"/>
      <c r="AK681" s="26"/>
      <c r="AL681" s="26"/>
      <c r="AM681" s="26"/>
      <c r="AN681" s="26"/>
      <c r="AO681" s="26"/>
      <c r="AP681" s="26"/>
      <c r="AQ681" s="26"/>
      <c r="AR681" s="26"/>
      <c r="AS681" s="26"/>
      <c r="AT681" s="26"/>
      <c r="AU681" s="26"/>
      <c r="AV681" s="26"/>
      <c r="AW681" s="26"/>
      <c r="AX681" s="26"/>
      <c r="AY681" s="1"/>
      <c r="AZ681" s="26"/>
      <c r="BA681" s="26"/>
      <c r="BB681" s="26"/>
      <c r="BC681" s="26"/>
      <c r="BD681" s="26"/>
      <c r="BE681" s="26"/>
      <c r="BF681" s="26"/>
      <c r="BG681" s="26"/>
      <c r="BH681" s="26"/>
      <c r="BI681" s="26"/>
      <c r="BJ681" s="26"/>
      <c r="BK681" s="26"/>
      <c r="BL681" s="26"/>
      <c r="BM681" s="26"/>
      <c r="BN681" s="26"/>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96"/>
      <c r="CP681" s="14"/>
      <c r="CQ681" s="14"/>
      <c r="CR681" s="14"/>
      <c r="CS681" s="14"/>
      <c r="CT681" s="1"/>
      <c r="CU681" s="14"/>
      <c r="CV681" s="1"/>
      <c r="CW681" s="1"/>
      <c r="CX681" s="14"/>
      <c r="CY681" s="1"/>
      <c r="CZ681" s="1"/>
      <c r="DA681" s="1"/>
      <c r="DB681" s="1"/>
      <c r="DC681" s="1"/>
      <c r="DD681" s="1"/>
      <c r="DE681" s="1"/>
      <c r="DF681" s="1"/>
      <c r="DG681" s="1"/>
      <c r="DH681" s="1"/>
      <c r="DI681" s="1"/>
      <c r="DJ681" s="1"/>
      <c r="DK681" s="1"/>
      <c r="DL681" s="1"/>
      <c r="DM681" s="1"/>
      <c r="DN681" s="1"/>
      <c r="DO681" s="1"/>
      <c r="DP681" s="1"/>
      <c r="DQ681" s="1"/>
      <c r="DR681" s="1"/>
      <c r="DS681" s="1"/>
      <c r="DT681" s="1"/>
      <c r="DU681" s="14"/>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29"/>
    </row>
    <row r="682" spans="1:160" x14ac:dyDescent="0.25">
      <c r="A682" s="5"/>
      <c r="B682" s="1"/>
      <c r="C682" s="98"/>
      <c r="D682" s="98"/>
      <c r="E682" s="1"/>
      <c r="F682" s="22"/>
      <c r="G682" s="22"/>
      <c r="H682" s="22"/>
      <c r="I682" s="22"/>
      <c r="J682" s="22"/>
      <c r="K682" s="22"/>
      <c r="L682" s="22"/>
      <c r="M682" s="22"/>
      <c r="N682" s="22"/>
      <c r="O682" s="22"/>
      <c r="P682" s="22"/>
      <c r="Q682" s="22"/>
      <c r="R682" s="1"/>
      <c r="S682" s="1"/>
      <c r="T682" s="8"/>
      <c r="U682" s="1"/>
      <c r="V682" s="1"/>
      <c r="W682" s="1"/>
      <c r="X682" s="1"/>
      <c r="Y682" s="1"/>
      <c r="Z682" s="1"/>
      <c r="AA682" s="1"/>
      <c r="AC682" s="1"/>
      <c r="AD682" s="1"/>
      <c r="AE682" s="1"/>
      <c r="AF682" s="1"/>
      <c r="AG682" s="1"/>
      <c r="AH682" s="26"/>
      <c r="AI682" s="26"/>
      <c r="AJ682" s="26"/>
      <c r="AK682" s="26"/>
      <c r="AL682" s="26"/>
      <c r="AM682" s="26"/>
      <c r="AN682" s="26"/>
      <c r="AO682" s="26"/>
      <c r="AP682" s="26"/>
      <c r="AQ682" s="26"/>
      <c r="AR682" s="26"/>
      <c r="AS682" s="26"/>
      <c r="AT682" s="26"/>
      <c r="AU682" s="26"/>
      <c r="AV682" s="26"/>
      <c r="AW682" s="26"/>
      <c r="AX682" s="26"/>
      <c r="AY682" s="1"/>
      <c r="AZ682" s="26"/>
      <c r="BA682" s="26"/>
      <c r="BB682" s="26"/>
      <c r="BC682" s="26"/>
      <c r="BD682" s="26"/>
      <c r="BE682" s="26"/>
      <c r="BF682" s="26"/>
      <c r="BG682" s="26"/>
      <c r="BH682" s="26"/>
      <c r="BI682" s="26"/>
      <c r="BJ682" s="26"/>
      <c r="BK682" s="26"/>
      <c r="BL682" s="26"/>
      <c r="BM682" s="26"/>
      <c r="BN682" s="26"/>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96"/>
      <c r="CP682" s="14"/>
      <c r="CQ682" s="14"/>
      <c r="CR682" s="14"/>
      <c r="CS682" s="14"/>
      <c r="CT682" s="1"/>
      <c r="CU682" s="14"/>
      <c r="CV682" s="1"/>
      <c r="CW682" s="1"/>
      <c r="CX682" s="14"/>
      <c r="CY682" s="1"/>
      <c r="CZ682" s="1"/>
      <c r="DA682" s="1"/>
      <c r="DB682" s="1"/>
      <c r="DC682" s="1"/>
      <c r="DD682" s="1"/>
      <c r="DE682" s="1"/>
      <c r="DF682" s="1"/>
      <c r="DG682" s="1"/>
      <c r="DH682" s="1"/>
      <c r="DI682" s="1"/>
      <c r="DJ682" s="1"/>
      <c r="DK682" s="1"/>
      <c r="DL682" s="1"/>
      <c r="DM682" s="1"/>
      <c r="DN682" s="1"/>
      <c r="DO682" s="1"/>
      <c r="DP682" s="1"/>
      <c r="DQ682" s="1"/>
      <c r="DR682" s="1"/>
      <c r="DS682" s="1"/>
      <c r="DT682" s="1"/>
      <c r="DU682" s="14"/>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29"/>
    </row>
    <row r="683" spans="1:160" x14ac:dyDescent="0.25">
      <c r="A683" s="5"/>
      <c r="B683" s="1"/>
      <c r="C683" s="98"/>
      <c r="D683" s="98"/>
      <c r="E683" s="1"/>
      <c r="F683" s="22"/>
      <c r="G683" s="22"/>
      <c r="H683" s="22"/>
      <c r="I683" s="22"/>
      <c r="J683" s="22"/>
      <c r="K683" s="22"/>
      <c r="L683" s="22"/>
      <c r="M683" s="22"/>
      <c r="N683" s="22"/>
      <c r="O683" s="22"/>
      <c r="P683" s="22"/>
      <c r="Q683" s="22"/>
      <c r="R683" s="1"/>
      <c r="S683" s="1"/>
      <c r="T683" s="8"/>
      <c r="U683" s="1"/>
      <c r="V683" s="1"/>
      <c r="W683" s="1"/>
      <c r="X683" s="1"/>
      <c r="Y683" s="1"/>
      <c r="Z683" s="1"/>
      <c r="AA683" s="1"/>
      <c r="AC683" s="1"/>
      <c r="AD683" s="1"/>
      <c r="AE683" s="1"/>
      <c r="AF683" s="1"/>
      <c r="AG683" s="1"/>
      <c r="AH683" s="26"/>
      <c r="AI683" s="26"/>
      <c r="AJ683" s="26"/>
      <c r="AK683" s="26"/>
      <c r="AL683" s="26"/>
      <c r="AM683" s="26"/>
      <c r="AN683" s="26"/>
      <c r="AO683" s="26"/>
      <c r="AP683" s="26"/>
      <c r="AQ683" s="26"/>
      <c r="AR683" s="26"/>
      <c r="AS683" s="26"/>
      <c r="AT683" s="26"/>
      <c r="AU683" s="26"/>
      <c r="AV683" s="26"/>
      <c r="AW683" s="26"/>
      <c r="AX683" s="26"/>
      <c r="AY683" s="1"/>
      <c r="AZ683" s="26"/>
      <c r="BA683" s="26"/>
      <c r="BB683" s="26"/>
      <c r="BC683" s="26"/>
      <c r="BD683" s="26"/>
      <c r="BE683" s="26"/>
      <c r="BF683" s="26"/>
      <c r="BG683" s="26"/>
      <c r="BH683" s="26"/>
      <c r="BI683" s="26"/>
      <c r="BJ683" s="26"/>
      <c r="BK683" s="26"/>
      <c r="BL683" s="26"/>
      <c r="BM683" s="26"/>
      <c r="BN683" s="26"/>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96"/>
      <c r="CP683" s="14"/>
      <c r="CQ683" s="14"/>
      <c r="CR683" s="14"/>
      <c r="CS683" s="14"/>
      <c r="CT683" s="1"/>
      <c r="CU683" s="14"/>
      <c r="CV683" s="1"/>
      <c r="CW683" s="1"/>
      <c r="CX683" s="14"/>
      <c r="CY683" s="1"/>
      <c r="CZ683" s="1"/>
      <c r="DA683" s="1"/>
      <c r="DB683" s="1"/>
      <c r="DC683" s="1"/>
      <c r="DD683" s="1"/>
      <c r="DE683" s="1"/>
      <c r="DF683" s="1"/>
      <c r="DG683" s="1"/>
      <c r="DH683" s="1"/>
      <c r="DI683" s="1"/>
      <c r="DJ683" s="1"/>
      <c r="DK683" s="1"/>
      <c r="DL683" s="1"/>
      <c r="DM683" s="1"/>
      <c r="DN683" s="1"/>
      <c r="DO683" s="1"/>
      <c r="DP683" s="1"/>
      <c r="DQ683" s="1"/>
      <c r="DR683" s="1"/>
      <c r="DS683" s="1"/>
      <c r="DT683" s="1"/>
      <c r="DU683" s="14"/>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29"/>
    </row>
    <row r="684" spans="1:160" x14ac:dyDescent="0.25">
      <c r="A684" s="5"/>
      <c r="B684" s="1"/>
      <c r="C684" s="98"/>
      <c r="D684" s="98"/>
      <c r="E684" s="1"/>
      <c r="F684" s="22"/>
      <c r="G684" s="22"/>
      <c r="H684" s="22"/>
      <c r="I684" s="22"/>
      <c r="J684" s="22"/>
      <c r="K684" s="22"/>
      <c r="L684" s="22"/>
      <c r="M684" s="22"/>
      <c r="N684" s="22"/>
      <c r="O684" s="22"/>
      <c r="P684" s="22"/>
      <c r="Q684" s="22"/>
      <c r="R684" s="1"/>
      <c r="S684" s="1"/>
      <c r="T684" s="8"/>
      <c r="U684" s="1"/>
      <c r="V684" s="1"/>
      <c r="W684" s="1"/>
      <c r="X684" s="1"/>
      <c r="Y684" s="1"/>
      <c r="Z684" s="1"/>
      <c r="AA684" s="1"/>
      <c r="AC684" s="1"/>
      <c r="AD684" s="1"/>
      <c r="AE684" s="1"/>
      <c r="AF684" s="1"/>
      <c r="AG684" s="1"/>
      <c r="AH684" s="26"/>
      <c r="AI684" s="26"/>
      <c r="AJ684" s="26"/>
      <c r="AK684" s="26"/>
      <c r="AL684" s="26"/>
      <c r="AM684" s="26"/>
      <c r="AN684" s="26"/>
      <c r="AO684" s="26"/>
      <c r="AP684" s="26"/>
      <c r="AQ684" s="26"/>
      <c r="AR684" s="26"/>
      <c r="AS684" s="26"/>
      <c r="AT684" s="26"/>
      <c r="AU684" s="26"/>
      <c r="AV684" s="26"/>
      <c r="AW684" s="26"/>
      <c r="AX684" s="26"/>
      <c r="AY684" s="1"/>
      <c r="AZ684" s="26"/>
      <c r="BA684" s="26"/>
      <c r="BB684" s="26"/>
      <c r="BC684" s="26"/>
      <c r="BD684" s="26"/>
      <c r="BE684" s="26"/>
      <c r="BF684" s="26"/>
      <c r="BG684" s="26"/>
      <c r="BH684" s="26"/>
      <c r="BI684" s="26"/>
      <c r="BJ684" s="26"/>
      <c r="BK684" s="26"/>
      <c r="BL684" s="26"/>
      <c r="BM684" s="26"/>
      <c r="BN684" s="26"/>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96"/>
      <c r="CP684" s="14"/>
      <c r="CQ684" s="14"/>
      <c r="CR684" s="14"/>
      <c r="CS684" s="14"/>
      <c r="CT684" s="1"/>
      <c r="CU684" s="14"/>
      <c r="CV684" s="1"/>
      <c r="CW684" s="1"/>
      <c r="CX684" s="14"/>
      <c r="CY684" s="1"/>
      <c r="CZ684" s="1"/>
      <c r="DA684" s="1"/>
      <c r="DB684" s="1"/>
      <c r="DC684" s="1"/>
      <c r="DD684" s="1"/>
      <c r="DE684" s="1"/>
      <c r="DF684" s="1"/>
      <c r="DG684" s="1"/>
      <c r="DH684" s="1"/>
      <c r="DI684" s="1"/>
      <c r="DJ684" s="1"/>
      <c r="DK684" s="1"/>
      <c r="DL684" s="1"/>
      <c r="DM684" s="1"/>
      <c r="DN684" s="1"/>
      <c r="DO684" s="1"/>
      <c r="DP684" s="1"/>
      <c r="DQ684" s="1"/>
      <c r="DR684" s="1"/>
      <c r="DS684" s="1"/>
      <c r="DT684" s="1"/>
      <c r="DU684" s="14"/>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29"/>
    </row>
    <row r="685" spans="1:160" x14ac:dyDescent="0.25">
      <c r="A685" s="5"/>
      <c r="B685" s="1"/>
      <c r="C685" s="98"/>
      <c r="D685" s="98"/>
      <c r="E685" s="1"/>
      <c r="F685" s="22"/>
      <c r="G685" s="22"/>
      <c r="H685" s="22"/>
      <c r="I685" s="22"/>
      <c r="J685" s="22"/>
      <c r="K685" s="22"/>
      <c r="L685" s="22"/>
      <c r="M685" s="22"/>
      <c r="N685" s="22"/>
      <c r="O685" s="22"/>
      <c r="P685" s="22"/>
      <c r="Q685" s="22"/>
      <c r="R685" s="1"/>
      <c r="S685" s="1"/>
      <c r="T685" s="8"/>
      <c r="U685" s="1"/>
      <c r="V685" s="1"/>
      <c r="W685" s="1"/>
      <c r="X685" s="1"/>
      <c r="Y685" s="1"/>
      <c r="Z685" s="1"/>
      <c r="AA685" s="1"/>
      <c r="AC685" s="1"/>
      <c r="AD685" s="1"/>
      <c r="AE685" s="1"/>
      <c r="AF685" s="1"/>
      <c r="AG685" s="1"/>
      <c r="AH685" s="26"/>
      <c r="AI685" s="26"/>
      <c r="AJ685" s="26"/>
      <c r="AK685" s="26"/>
      <c r="AL685" s="26"/>
      <c r="AM685" s="26"/>
      <c r="AN685" s="26"/>
      <c r="AO685" s="26"/>
      <c r="AP685" s="26"/>
      <c r="AQ685" s="26"/>
      <c r="AR685" s="26"/>
      <c r="AS685" s="26"/>
      <c r="AT685" s="26"/>
      <c r="AU685" s="26"/>
      <c r="AV685" s="26"/>
      <c r="AW685" s="26"/>
      <c r="AX685" s="26"/>
      <c r="AY685" s="1"/>
      <c r="AZ685" s="26"/>
      <c r="BA685" s="26"/>
      <c r="BB685" s="26"/>
      <c r="BC685" s="26"/>
      <c r="BD685" s="26"/>
      <c r="BE685" s="26"/>
      <c r="BF685" s="26"/>
      <c r="BG685" s="26"/>
      <c r="BH685" s="26"/>
      <c r="BI685" s="26"/>
      <c r="BJ685" s="26"/>
      <c r="BK685" s="26"/>
      <c r="BL685" s="26"/>
      <c r="BM685" s="26"/>
      <c r="BN685" s="26"/>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96"/>
      <c r="CP685" s="14"/>
      <c r="CQ685" s="14"/>
      <c r="CR685" s="14"/>
      <c r="CS685" s="14"/>
      <c r="CT685" s="1"/>
      <c r="CU685" s="14"/>
      <c r="CV685" s="1"/>
      <c r="CW685" s="1"/>
      <c r="CX685" s="14"/>
      <c r="CY685" s="1"/>
      <c r="CZ685" s="1"/>
      <c r="DA685" s="1"/>
      <c r="DB685" s="1"/>
      <c r="DC685" s="1"/>
      <c r="DD685" s="1"/>
      <c r="DE685" s="1"/>
      <c r="DF685" s="1"/>
      <c r="DG685" s="1"/>
      <c r="DH685" s="1"/>
      <c r="DI685" s="1"/>
      <c r="DJ685" s="1"/>
      <c r="DK685" s="1"/>
      <c r="DL685" s="1"/>
      <c r="DM685" s="1"/>
      <c r="DN685" s="1"/>
      <c r="DO685" s="1"/>
      <c r="DP685" s="1"/>
      <c r="DQ685" s="1"/>
      <c r="DR685" s="1"/>
      <c r="DS685" s="1"/>
      <c r="DT685" s="1"/>
      <c r="DU685" s="14"/>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29"/>
    </row>
    <row r="686" spans="1:160" x14ac:dyDescent="0.25">
      <c r="A686" s="5"/>
      <c r="B686" s="1"/>
      <c r="C686" s="98"/>
      <c r="D686" s="98"/>
      <c r="E686" s="1"/>
      <c r="F686" s="22"/>
      <c r="G686" s="22"/>
      <c r="H686" s="22"/>
      <c r="I686" s="22"/>
      <c r="J686" s="22"/>
      <c r="K686" s="22"/>
      <c r="L686" s="22"/>
      <c r="M686" s="22"/>
      <c r="N686" s="22"/>
      <c r="O686" s="22"/>
      <c r="P686" s="22"/>
      <c r="Q686" s="22"/>
      <c r="R686" s="1"/>
      <c r="S686" s="1"/>
      <c r="T686" s="8"/>
      <c r="U686" s="1"/>
      <c r="V686" s="1"/>
      <c r="W686" s="1"/>
      <c r="X686" s="1"/>
      <c r="Y686" s="1"/>
      <c r="Z686" s="1"/>
      <c r="AA686" s="1"/>
      <c r="AC686" s="1"/>
      <c r="AD686" s="1"/>
      <c r="AE686" s="1"/>
      <c r="AF686" s="1"/>
      <c r="AG686" s="1"/>
      <c r="AH686" s="26"/>
      <c r="AI686" s="26"/>
      <c r="AJ686" s="26"/>
      <c r="AK686" s="26"/>
      <c r="AL686" s="26"/>
      <c r="AM686" s="26"/>
      <c r="AN686" s="26"/>
      <c r="AO686" s="26"/>
      <c r="AP686" s="26"/>
      <c r="AQ686" s="26"/>
      <c r="AR686" s="26"/>
      <c r="AS686" s="26"/>
      <c r="AT686" s="26"/>
      <c r="AU686" s="26"/>
      <c r="AV686" s="26"/>
      <c r="AW686" s="26"/>
      <c r="AX686" s="26"/>
      <c r="AY686" s="1"/>
      <c r="AZ686" s="26"/>
      <c r="BA686" s="26"/>
      <c r="BB686" s="26"/>
      <c r="BC686" s="26"/>
      <c r="BD686" s="26"/>
      <c r="BE686" s="26"/>
      <c r="BF686" s="26"/>
      <c r="BG686" s="26"/>
      <c r="BH686" s="26"/>
      <c r="BI686" s="26"/>
      <c r="BJ686" s="26"/>
      <c r="BK686" s="26"/>
      <c r="BL686" s="26"/>
      <c r="BM686" s="26"/>
      <c r="BN686" s="26"/>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96"/>
      <c r="CP686" s="14"/>
      <c r="CQ686" s="14"/>
      <c r="CR686" s="14"/>
      <c r="CS686" s="14"/>
      <c r="CT686" s="1"/>
      <c r="CU686" s="14"/>
      <c r="CV686" s="1"/>
      <c r="CW686" s="1"/>
      <c r="CX686" s="14"/>
      <c r="CY686" s="1"/>
      <c r="CZ686" s="1"/>
      <c r="DA686" s="1"/>
      <c r="DB686" s="1"/>
      <c r="DC686" s="1"/>
      <c r="DD686" s="1"/>
      <c r="DE686" s="1"/>
      <c r="DF686" s="1"/>
      <c r="DG686" s="1"/>
      <c r="DH686" s="1"/>
      <c r="DI686" s="1"/>
      <c r="DJ686" s="1"/>
      <c r="DK686" s="1"/>
      <c r="DL686" s="1"/>
      <c r="DM686" s="1"/>
      <c r="DN686" s="1"/>
      <c r="DO686" s="1"/>
      <c r="DP686" s="1"/>
      <c r="DQ686" s="1"/>
      <c r="DR686" s="1"/>
      <c r="DS686" s="1"/>
      <c r="DT686" s="1"/>
      <c r="DU686" s="14"/>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29"/>
    </row>
    <row r="687" spans="1:160" x14ac:dyDescent="0.25">
      <c r="A687" s="5"/>
      <c r="B687" s="1"/>
      <c r="C687" s="98"/>
      <c r="D687" s="98"/>
      <c r="E687" s="1"/>
      <c r="F687" s="22"/>
      <c r="G687" s="22"/>
      <c r="H687" s="22"/>
      <c r="I687" s="22"/>
      <c r="J687" s="22"/>
      <c r="K687" s="22"/>
      <c r="L687" s="22"/>
      <c r="M687" s="22"/>
      <c r="N687" s="22"/>
      <c r="O687" s="22"/>
      <c r="P687" s="22"/>
      <c r="Q687" s="22"/>
      <c r="R687" s="1"/>
      <c r="S687" s="1"/>
      <c r="T687" s="8"/>
      <c r="U687" s="1"/>
      <c r="V687" s="1"/>
      <c r="W687" s="1"/>
      <c r="X687" s="1"/>
      <c r="Y687" s="1"/>
      <c r="Z687" s="1"/>
      <c r="AA687" s="1"/>
      <c r="AC687" s="1"/>
      <c r="AD687" s="1"/>
      <c r="AE687" s="1"/>
      <c r="AF687" s="1"/>
      <c r="AG687" s="1"/>
      <c r="AH687" s="26"/>
      <c r="AI687" s="26"/>
      <c r="AJ687" s="26"/>
      <c r="AK687" s="26"/>
      <c r="AL687" s="26"/>
      <c r="AM687" s="26"/>
      <c r="AN687" s="26"/>
      <c r="AO687" s="26"/>
      <c r="AP687" s="26"/>
      <c r="AQ687" s="26"/>
      <c r="AR687" s="26"/>
      <c r="AS687" s="26"/>
      <c r="AT687" s="26"/>
      <c r="AU687" s="26"/>
      <c r="AV687" s="26"/>
      <c r="AW687" s="26"/>
      <c r="AX687" s="26"/>
      <c r="AY687" s="1"/>
      <c r="AZ687" s="26"/>
      <c r="BA687" s="26"/>
      <c r="BB687" s="26"/>
      <c r="BC687" s="26"/>
      <c r="BD687" s="26"/>
      <c r="BE687" s="26"/>
      <c r="BF687" s="26"/>
      <c r="BG687" s="26"/>
      <c r="BH687" s="26"/>
      <c r="BI687" s="26"/>
      <c r="BJ687" s="26"/>
      <c r="BK687" s="26"/>
      <c r="BL687" s="26"/>
      <c r="BM687" s="26"/>
      <c r="BN687" s="26"/>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96"/>
      <c r="CP687" s="14"/>
      <c r="CQ687" s="14"/>
      <c r="CR687" s="14"/>
      <c r="CS687" s="14"/>
      <c r="CT687" s="1"/>
      <c r="CU687" s="14"/>
      <c r="CV687" s="1"/>
      <c r="CW687" s="1"/>
      <c r="CX687" s="14"/>
      <c r="CY687" s="1"/>
      <c r="CZ687" s="1"/>
      <c r="DA687" s="1"/>
      <c r="DB687" s="1"/>
      <c r="DC687" s="1"/>
      <c r="DD687" s="1"/>
      <c r="DE687" s="1"/>
      <c r="DF687" s="1"/>
      <c r="DG687" s="1"/>
      <c r="DH687" s="1"/>
      <c r="DI687" s="1"/>
      <c r="DJ687" s="1"/>
      <c r="DK687" s="1"/>
      <c r="DL687" s="1"/>
      <c r="DM687" s="1"/>
      <c r="DN687" s="1"/>
      <c r="DO687" s="1"/>
      <c r="DP687" s="1"/>
      <c r="DQ687" s="1"/>
      <c r="DR687" s="1"/>
      <c r="DS687" s="1"/>
      <c r="DT687" s="1"/>
      <c r="DU687" s="14"/>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29"/>
    </row>
    <row r="688" spans="1:160" x14ac:dyDescent="0.25">
      <c r="A688" s="5"/>
      <c r="B688" s="1"/>
      <c r="C688" s="98"/>
      <c r="D688" s="98"/>
      <c r="E688" s="1"/>
      <c r="F688" s="22"/>
      <c r="G688" s="22"/>
      <c r="H688" s="22"/>
      <c r="I688" s="22"/>
      <c r="J688" s="22"/>
      <c r="K688" s="22"/>
      <c r="L688" s="22"/>
      <c r="M688" s="22"/>
      <c r="N688" s="22"/>
      <c r="O688" s="22"/>
      <c r="P688" s="22"/>
      <c r="Q688" s="22"/>
      <c r="R688" s="1"/>
      <c r="S688" s="1"/>
      <c r="T688" s="8"/>
      <c r="U688" s="1"/>
      <c r="V688" s="1"/>
      <c r="W688" s="1"/>
      <c r="X688" s="1"/>
      <c r="Y688" s="1"/>
      <c r="Z688" s="1"/>
      <c r="AA688" s="1"/>
      <c r="AC688" s="1"/>
      <c r="AD688" s="1"/>
      <c r="AE688" s="1"/>
      <c r="AF688" s="1"/>
      <c r="AG688" s="1"/>
      <c r="AH688" s="26"/>
      <c r="AI688" s="26"/>
      <c r="AJ688" s="26"/>
      <c r="AK688" s="26"/>
      <c r="AL688" s="26"/>
      <c r="AM688" s="26"/>
      <c r="AN688" s="26"/>
      <c r="AO688" s="26"/>
      <c r="AP688" s="26"/>
      <c r="AQ688" s="26"/>
      <c r="AR688" s="26"/>
      <c r="AS688" s="26"/>
      <c r="AT688" s="26"/>
      <c r="AU688" s="26"/>
      <c r="AV688" s="26"/>
      <c r="AW688" s="26"/>
      <c r="AX688" s="26"/>
      <c r="AY688" s="1"/>
      <c r="AZ688" s="26"/>
      <c r="BA688" s="26"/>
      <c r="BB688" s="26"/>
      <c r="BC688" s="26"/>
      <c r="BD688" s="26"/>
      <c r="BE688" s="26"/>
      <c r="BF688" s="26"/>
      <c r="BG688" s="26"/>
      <c r="BH688" s="26"/>
      <c r="BI688" s="26"/>
      <c r="BJ688" s="26"/>
      <c r="BK688" s="26"/>
      <c r="BL688" s="26"/>
      <c r="BM688" s="26"/>
      <c r="BN688" s="26"/>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96"/>
      <c r="CP688" s="14"/>
      <c r="CQ688" s="14"/>
      <c r="CR688" s="14"/>
      <c r="CS688" s="14"/>
      <c r="CT688" s="1"/>
      <c r="CU688" s="14"/>
      <c r="CV688" s="1"/>
      <c r="CW688" s="1"/>
      <c r="CX688" s="14"/>
      <c r="CY688" s="1"/>
      <c r="CZ688" s="1"/>
      <c r="DA688" s="1"/>
      <c r="DB688" s="1"/>
      <c r="DC688" s="1"/>
      <c r="DD688" s="1"/>
      <c r="DE688" s="1"/>
      <c r="DF688" s="1"/>
      <c r="DG688" s="1"/>
      <c r="DH688" s="1"/>
      <c r="DI688" s="1"/>
      <c r="DJ688" s="1"/>
      <c r="DK688" s="1"/>
      <c r="DL688" s="1"/>
      <c r="DM688" s="1"/>
      <c r="DN688" s="1"/>
      <c r="DO688" s="1"/>
      <c r="DP688" s="1"/>
      <c r="DQ688" s="1"/>
      <c r="DR688" s="1"/>
      <c r="DS688" s="1"/>
      <c r="DT688" s="1"/>
      <c r="DU688" s="14"/>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29"/>
    </row>
    <row r="689" spans="1:160" x14ac:dyDescent="0.25">
      <c r="A689" s="5"/>
      <c r="B689" s="1"/>
      <c r="C689" s="98"/>
      <c r="D689" s="98"/>
      <c r="E689" s="1"/>
      <c r="F689" s="22"/>
      <c r="G689" s="22"/>
      <c r="H689" s="22"/>
      <c r="I689" s="22"/>
      <c r="J689" s="22"/>
      <c r="K689" s="22"/>
      <c r="L689" s="22"/>
      <c r="M689" s="22"/>
      <c r="N689" s="22"/>
      <c r="O689" s="22"/>
      <c r="P689" s="22"/>
      <c r="Q689" s="22"/>
      <c r="R689" s="1"/>
      <c r="S689" s="1"/>
      <c r="T689" s="8"/>
      <c r="U689" s="1"/>
      <c r="V689" s="1"/>
      <c r="W689" s="1"/>
      <c r="X689" s="1"/>
      <c r="Y689" s="1"/>
      <c r="Z689" s="1"/>
      <c r="AA689" s="1"/>
      <c r="AC689" s="1"/>
      <c r="AD689" s="1"/>
      <c r="AE689" s="1"/>
      <c r="AF689" s="1"/>
      <c r="AG689" s="1"/>
      <c r="AH689" s="26"/>
      <c r="AI689" s="26"/>
      <c r="AJ689" s="26"/>
      <c r="AK689" s="26"/>
      <c r="AL689" s="26"/>
      <c r="AM689" s="26"/>
      <c r="AN689" s="26"/>
      <c r="AO689" s="26"/>
      <c r="AP689" s="26"/>
      <c r="AQ689" s="26"/>
      <c r="AR689" s="26"/>
      <c r="AS689" s="26"/>
      <c r="AT689" s="26"/>
      <c r="AU689" s="26"/>
      <c r="AV689" s="26"/>
      <c r="AW689" s="26"/>
      <c r="AX689" s="26"/>
      <c r="AY689" s="1"/>
      <c r="AZ689" s="26"/>
      <c r="BA689" s="26"/>
      <c r="BB689" s="26"/>
      <c r="BC689" s="26"/>
      <c r="BD689" s="26"/>
      <c r="BE689" s="26"/>
      <c r="BF689" s="26"/>
      <c r="BG689" s="26"/>
      <c r="BH689" s="26"/>
      <c r="BI689" s="26"/>
      <c r="BJ689" s="26"/>
      <c r="BK689" s="26"/>
      <c r="BL689" s="26"/>
      <c r="BM689" s="26"/>
      <c r="BN689" s="26"/>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96"/>
      <c r="CP689" s="14"/>
      <c r="CQ689" s="14"/>
      <c r="CR689" s="14"/>
      <c r="CS689" s="14"/>
      <c r="CT689" s="1"/>
      <c r="CU689" s="14"/>
      <c r="CV689" s="1"/>
      <c r="CW689" s="1"/>
      <c r="CX689" s="14"/>
      <c r="CY689" s="1"/>
      <c r="CZ689" s="1"/>
      <c r="DA689" s="1"/>
      <c r="DB689" s="1"/>
      <c r="DC689" s="1"/>
      <c r="DD689" s="1"/>
      <c r="DE689" s="1"/>
      <c r="DF689" s="1"/>
      <c r="DG689" s="1"/>
      <c r="DH689" s="1"/>
      <c r="DI689" s="1"/>
      <c r="DJ689" s="1"/>
      <c r="DK689" s="1"/>
      <c r="DL689" s="1"/>
      <c r="DM689" s="1"/>
      <c r="DN689" s="1"/>
      <c r="DO689" s="1"/>
      <c r="DP689" s="1"/>
      <c r="DQ689" s="1"/>
      <c r="DR689" s="1"/>
      <c r="DS689" s="1"/>
      <c r="DT689" s="1"/>
      <c r="DU689" s="14"/>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29"/>
    </row>
    <row r="690" spans="1:160" x14ac:dyDescent="0.25">
      <c r="A690" s="5"/>
      <c r="B690" s="1"/>
      <c r="C690" s="98"/>
      <c r="D690" s="98"/>
      <c r="E690" s="1"/>
      <c r="F690" s="22"/>
      <c r="G690" s="22"/>
      <c r="H690" s="22"/>
      <c r="I690" s="22"/>
      <c r="J690" s="22"/>
      <c r="K690" s="22"/>
      <c r="L690" s="22"/>
      <c r="M690" s="22"/>
      <c r="N690" s="22"/>
      <c r="O690" s="22"/>
      <c r="P690" s="22"/>
      <c r="Q690" s="22"/>
      <c r="R690" s="1"/>
      <c r="S690" s="1"/>
      <c r="T690" s="8"/>
      <c r="U690" s="1"/>
      <c r="V690" s="1"/>
      <c r="W690" s="1"/>
      <c r="X690" s="1"/>
      <c r="Y690" s="1"/>
      <c r="Z690" s="1"/>
      <c r="AA690" s="1"/>
      <c r="AC690" s="1"/>
      <c r="AD690" s="1"/>
      <c r="AE690" s="1"/>
      <c r="AF690" s="1"/>
      <c r="AG690" s="1"/>
      <c r="AH690" s="26"/>
      <c r="AI690" s="26"/>
      <c r="AJ690" s="26"/>
      <c r="AK690" s="26"/>
      <c r="AL690" s="26"/>
      <c r="AM690" s="26"/>
      <c r="AN690" s="26"/>
      <c r="AO690" s="26"/>
      <c r="AP690" s="26"/>
      <c r="AQ690" s="26"/>
      <c r="AR690" s="26"/>
      <c r="AS690" s="26"/>
      <c r="AT690" s="26"/>
      <c r="AU690" s="26"/>
      <c r="AV690" s="26"/>
      <c r="AW690" s="26"/>
      <c r="AX690" s="26"/>
      <c r="AY690" s="1"/>
      <c r="AZ690" s="26"/>
      <c r="BA690" s="26"/>
      <c r="BB690" s="26"/>
      <c r="BC690" s="26"/>
      <c r="BD690" s="26"/>
      <c r="BE690" s="26"/>
      <c r="BF690" s="26"/>
      <c r="BG690" s="26"/>
      <c r="BH690" s="26"/>
      <c r="BI690" s="26"/>
      <c r="BJ690" s="26"/>
      <c r="BK690" s="26"/>
      <c r="BL690" s="26"/>
      <c r="BM690" s="26"/>
      <c r="BN690" s="26"/>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96"/>
      <c r="CP690" s="14"/>
      <c r="CQ690" s="14"/>
      <c r="CR690" s="14"/>
      <c r="CS690" s="14"/>
      <c r="CT690" s="1"/>
      <c r="CU690" s="14"/>
      <c r="CV690" s="1"/>
      <c r="CW690" s="1"/>
      <c r="CX690" s="14"/>
      <c r="CY690" s="1"/>
      <c r="CZ690" s="1"/>
      <c r="DA690" s="1"/>
      <c r="DB690" s="1"/>
      <c r="DC690" s="1"/>
      <c r="DD690" s="1"/>
      <c r="DE690" s="1"/>
      <c r="DF690" s="1"/>
      <c r="DG690" s="1"/>
      <c r="DH690" s="1"/>
      <c r="DI690" s="1"/>
      <c r="DJ690" s="1"/>
      <c r="DK690" s="1"/>
      <c r="DL690" s="1"/>
      <c r="DM690" s="1"/>
      <c r="DN690" s="1"/>
      <c r="DO690" s="1"/>
      <c r="DP690" s="1"/>
      <c r="DQ690" s="1"/>
      <c r="DR690" s="1"/>
      <c r="DS690" s="1"/>
      <c r="DT690" s="1"/>
      <c r="DU690" s="14"/>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29"/>
    </row>
    <row r="691" spans="1:160" x14ac:dyDescent="0.25">
      <c r="A691" s="5"/>
      <c r="B691" s="1"/>
      <c r="C691" s="98"/>
      <c r="D691" s="98"/>
      <c r="E691" s="1"/>
      <c r="F691" s="22"/>
      <c r="G691" s="22"/>
      <c r="H691" s="22"/>
      <c r="I691" s="22"/>
      <c r="J691" s="22"/>
      <c r="K691" s="22"/>
      <c r="L691" s="22"/>
      <c r="M691" s="22"/>
      <c r="N691" s="22"/>
      <c r="O691" s="22"/>
      <c r="P691" s="22"/>
      <c r="Q691" s="22"/>
      <c r="R691" s="1"/>
      <c r="S691" s="1"/>
      <c r="T691" s="8"/>
      <c r="U691" s="1"/>
      <c r="V691" s="1"/>
      <c r="W691" s="1"/>
      <c r="X691" s="1"/>
      <c r="Y691" s="1"/>
      <c r="Z691" s="1"/>
      <c r="AA691" s="1"/>
      <c r="AC691" s="1"/>
      <c r="AD691" s="1"/>
      <c r="AE691" s="1"/>
      <c r="AF691" s="1"/>
      <c r="AG691" s="1"/>
      <c r="AH691" s="26"/>
      <c r="AI691" s="26"/>
      <c r="AJ691" s="26"/>
      <c r="AK691" s="26"/>
      <c r="AL691" s="26"/>
      <c r="AM691" s="26"/>
      <c r="AN691" s="26"/>
      <c r="AO691" s="26"/>
      <c r="AP691" s="26"/>
      <c r="AQ691" s="26"/>
      <c r="AR691" s="26"/>
      <c r="AS691" s="26"/>
      <c r="AT691" s="26"/>
      <c r="AU691" s="26"/>
      <c r="AV691" s="26"/>
      <c r="AW691" s="26"/>
      <c r="AX691" s="26"/>
      <c r="AY691" s="1"/>
      <c r="AZ691" s="26"/>
      <c r="BA691" s="26"/>
      <c r="BB691" s="26"/>
      <c r="BC691" s="26"/>
      <c r="BD691" s="26"/>
      <c r="BE691" s="26"/>
      <c r="BF691" s="26"/>
      <c r="BG691" s="26"/>
      <c r="BH691" s="26"/>
      <c r="BI691" s="26"/>
      <c r="BJ691" s="26"/>
      <c r="BK691" s="26"/>
      <c r="BL691" s="26"/>
      <c r="BM691" s="26"/>
      <c r="BN691" s="26"/>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96"/>
      <c r="CP691" s="14"/>
      <c r="CQ691" s="14"/>
      <c r="CR691" s="14"/>
      <c r="CS691" s="14"/>
      <c r="CT691" s="1"/>
      <c r="CU691" s="14"/>
      <c r="CV691" s="1"/>
      <c r="CW691" s="1"/>
      <c r="CX691" s="14"/>
      <c r="CY691" s="1"/>
      <c r="CZ691" s="1"/>
      <c r="DA691" s="1"/>
      <c r="DB691" s="1"/>
      <c r="DC691" s="1"/>
      <c r="DD691" s="1"/>
      <c r="DE691" s="1"/>
      <c r="DF691" s="1"/>
      <c r="DG691" s="1"/>
      <c r="DH691" s="1"/>
      <c r="DI691" s="1"/>
      <c r="DJ691" s="1"/>
      <c r="DK691" s="1"/>
      <c r="DL691" s="1"/>
      <c r="DM691" s="1"/>
      <c r="DN691" s="1"/>
      <c r="DO691" s="1"/>
      <c r="DP691" s="1"/>
      <c r="DQ691" s="1"/>
      <c r="DR691" s="1"/>
      <c r="DS691" s="1"/>
      <c r="DT691" s="1"/>
      <c r="DU691" s="14"/>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29"/>
    </row>
    <row r="692" spans="1:160" x14ac:dyDescent="0.25">
      <c r="A692" s="5"/>
      <c r="B692" s="1"/>
      <c r="C692" s="98"/>
      <c r="D692" s="98"/>
      <c r="E692" s="1"/>
      <c r="F692" s="22"/>
      <c r="G692" s="22"/>
      <c r="H692" s="22"/>
      <c r="I692" s="22"/>
      <c r="J692" s="22"/>
      <c r="K692" s="22"/>
      <c r="L692" s="22"/>
      <c r="M692" s="22"/>
      <c r="N692" s="22"/>
      <c r="O692" s="22"/>
      <c r="P692" s="22"/>
      <c r="Q692" s="22"/>
      <c r="R692" s="1"/>
      <c r="S692" s="1"/>
      <c r="T692" s="8"/>
      <c r="U692" s="1"/>
      <c r="V692" s="1"/>
      <c r="W692" s="1"/>
      <c r="X692" s="1"/>
      <c r="Y692" s="1"/>
      <c r="Z692" s="1"/>
      <c r="AA692" s="1"/>
      <c r="AC692" s="1"/>
      <c r="AD692" s="1"/>
      <c r="AE692" s="1"/>
      <c r="AF692" s="1"/>
      <c r="AG692" s="1"/>
      <c r="AH692" s="26"/>
      <c r="AI692" s="26"/>
      <c r="AJ692" s="26"/>
      <c r="AK692" s="26"/>
      <c r="AL692" s="26"/>
      <c r="AM692" s="26"/>
      <c r="AN692" s="26"/>
      <c r="AO692" s="26"/>
      <c r="AP692" s="26"/>
      <c r="AQ692" s="26"/>
      <c r="AR692" s="26"/>
      <c r="AS692" s="26"/>
      <c r="AT692" s="26"/>
      <c r="AU692" s="26"/>
      <c r="AV692" s="26"/>
      <c r="AW692" s="26"/>
      <c r="AX692" s="26"/>
      <c r="AY692" s="1"/>
      <c r="AZ692" s="26"/>
      <c r="BA692" s="26"/>
      <c r="BB692" s="26"/>
      <c r="BC692" s="26"/>
      <c r="BD692" s="26"/>
      <c r="BE692" s="26"/>
      <c r="BF692" s="26"/>
      <c r="BG692" s="26"/>
      <c r="BH692" s="26"/>
      <c r="BI692" s="26"/>
      <c r="BJ692" s="26"/>
      <c r="BK692" s="26"/>
      <c r="BL692" s="26"/>
      <c r="BM692" s="26"/>
      <c r="BN692" s="26"/>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96"/>
      <c r="CP692" s="14"/>
      <c r="CQ692" s="14"/>
      <c r="CR692" s="14"/>
      <c r="CS692" s="14"/>
      <c r="CT692" s="1"/>
      <c r="CU692" s="14"/>
      <c r="CV692" s="1"/>
      <c r="CW692" s="1"/>
      <c r="CX692" s="14"/>
      <c r="CY692" s="1"/>
      <c r="CZ692" s="1"/>
      <c r="DA692" s="1"/>
      <c r="DB692" s="1"/>
      <c r="DC692" s="1"/>
      <c r="DD692" s="1"/>
      <c r="DE692" s="1"/>
      <c r="DF692" s="1"/>
      <c r="DG692" s="1"/>
      <c r="DH692" s="1"/>
      <c r="DI692" s="1"/>
      <c r="DJ692" s="1"/>
      <c r="DK692" s="1"/>
      <c r="DL692" s="1"/>
      <c r="DM692" s="1"/>
      <c r="DN692" s="1"/>
      <c r="DO692" s="1"/>
      <c r="DP692" s="1"/>
      <c r="DQ692" s="1"/>
      <c r="DR692" s="1"/>
      <c r="DS692" s="1"/>
      <c r="DT692" s="1"/>
      <c r="DU692" s="14"/>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29"/>
    </row>
    <row r="693" spans="1:160" x14ac:dyDescent="0.25">
      <c r="A693" s="5"/>
      <c r="B693" s="1"/>
      <c r="C693" s="98"/>
      <c r="D693" s="98"/>
      <c r="E693" s="1"/>
      <c r="F693" s="22"/>
      <c r="G693" s="22"/>
      <c r="H693" s="22"/>
      <c r="I693" s="22"/>
      <c r="J693" s="22"/>
      <c r="K693" s="22"/>
      <c r="L693" s="22"/>
      <c r="M693" s="22"/>
      <c r="N693" s="22"/>
      <c r="O693" s="22"/>
      <c r="P693" s="22"/>
      <c r="Q693" s="22"/>
      <c r="R693" s="1"/>
      <c r="S693" s="1"/>
      <c r="T693" s="8"/>
      <c r="U693" s="1"/>
      <c r="V693" s="1"/>
      <c r="W693" s="1"/>
      <c r="X693" s="1"/>
      <c r="Y693" s="1"/>
      <c r="Z693" s="1"/>
      <c r="AA693" s="1"/>
      <c r="AC693" s="1"/>
      <c r="AD693" s="1"/>
      <c r="AE693" s="1"/>
      <c r="AF693" s="1"/>
      <c r="AG693" s="1"/>
      <c r="AH693" s="26"/>
      <c r="AI693" s="26"/>
      <c r="AJ693" s="26"/>
      <c r="AK693" s="26"/>
      <c r="AL693" s="26"/>
      <c r="AM693" s="26"/>
      <c r="AN693" s="26"/>
      <c r="AO693" s="26"/>
      <c r="AP693" s="26"/>
      <c r="AQ693" s="26"/>
      <c r="AR693" s="26"/>
      <c r="AS693" s="26"/>
      <c r="AT693" s="26"/>
      <c r="AU693" s="26"/>
      <c r="AV693" s="26"/>
      <c r="AW693" s="26"/>
      <c r="AX693" s="26"/>
      <c r="AY693" s="1"/>
      <c r="AZ693" s="26"/>
      <c r="BA693" s="26"/>
      <c r="BB693" s="26"/>
      <c r="BC693" s="26"/>
      <c r="BD693" s="26"/>
      <c r="BE693" s="26"/>
      <c r="BF693" s="26"/>
      <c r="BG693" s="26"/>
      <c r="BH693" s="26"/>
      <c r="BI693" s="26"/>
      <c r="BJ693" s="26"/>
      <c r="BK693" s="26"/>
      <c r="BL693" s="26"/>
      <c r="BM693" s="26"/>
      <c r="BN693" s="26"/>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96"/>
      <c r="CP693" s="14"/>
      <c r="CQ693" s="14"/>
      <c r="CR693" s="14"/>
      <c r="CS693" s="14"/>
      <c r="CT693" s="1"/>
      <c r="CU693" s="14"/>
      <c r="CV693" s="1"/>
      <c r="CW693" s="1"/>
      <c r="CX693" s="14"/>
      <c r="CY693" s="1"/>
      <c r="CZ693" s="1"/>
      <c r="DA693" s="1"/>
      <c r="DB693" s="1"/>
      <c r="DC693" s="1"/>
      <c r="DD693" s="1"/>
      <c r="DE693" s="1"/>
      <c r="DF693" s="1"/>
      <c r="DG693" s="1"/>
      <c r="DH693" s="1"/>
      <c r="DI693" s="1"/>
      <c r="DJ693" s="1"/>
      <c r="DK693" s="1"/>
      <c r="DL693" s="1"/>
      <c r="DM693" s="1"/>
      <c r="DN693" s="1"/>
      <c r="DO693" s="1"/>
      <c r="DP693" s="1"/>
      <c r="DQ693" s="1"/>
      <c r="DR693" s="1"/>
      <c r="DS693" s="1"/>
      <c r="DT693" s="1"/>
      <c r="DU693" s="14"/>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29"/>
    </row>
    <row r="694" spans="1:160" x14ac:dyDescent="0.25">
      <c r="A694" s="5"/>
      <c r="B694" s="1"/>
      <c r="C694" s="98"/>
      <c r="D694" s="98"/>
      <c r="E694" s="1"/>
      <c r="F694" s="22"/>
      <c r="G694" s="22"/>
      <c r="H694" s="22"/>
      <c r="I694" s="22"/>
      <c r="J694" s="22"/>
      <c r="K694" s="22"/>
      <c r="L694" s="22"/>
      <c r="M694" s="22"/>
      <c r="N694" s="22"/>
      <c r="O694" s="22"/>
      <c r="P694" s="22"/>
      <c r="Q694" s="22"/>
      <c r="R694" s="1"/>
      <c r="S694" s="1"/>
      <c r="T694" s="8"/>
      <c r="U694" s="1"/>
      <c r="V694" s="1"/>
      <c r="W694" s="1"/>
      <c r="X694" s="1"/>
      <c r="Y694" s="1"/>
      <c r="Z694" s="1"/>
      <c r="AA694" s="1"/>
      <c r="AC694" s="1"/>
      <c r="AD694" s="1"/>
      <c r="AE694" s="1"/>
      <c r="AF694" s="1"/>
      <c r="AG694" s="1"/>
      <c r="AH694" s="26"/>
      <c r="AI694" s="26"/>
      <c r="AJ694" s="26"/>
      <c r="AK694" s="26"/>
      <c r="AL694" s="26"/>
      <c r="AM694" s="26"/>
      <c r="AN694" s="26"/>
      <c r="AO694" s="26"/>
      <c r="AP694" s="26"/>
      <c r="AQ694" s="26"/>
      <c r="AR694" s="26"/>
      <c r="AS694" s="26"/>
      <c r="AT694" s="26"/>
      <c r="AU694" s="26"/>
      <c r="AV694" s="26"/>
      <c r="AW694" s="26"/>
      <c r="AX694" s="26"/>
      <c r="AY694" s="1"/>
      <c r="AZ694" s="26"/>
      <c r="BA694" s="26"/>
      <c r="BB694" s="26"/>
      <c r="BC694" s="26"/>
      <c r="BD694" s="26"/>
      <c r="BE694" s="26"/>
      <c r="BF694" s="26"/>
      <c r="BG694" s="26"/>
      <c r="BH694" s="26"/>
      <c r="BI694" s="26"/>
      <c r="BJ694" s="26"/>
      <c r="BK694" s="26"/>
      <c r="BL694" s="26"/>
      <c r="BM694" s="26"/>
      <c r="BN694" s="26"/>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96"/>
      <c r="CP694" s="14"/>
      <c r="CQ694" s="14"/>
      <c r="CR694" s="14"/>
      <c r="CS694" s="14"/>
      <c r="CT694" s="1"/>
      <c r="CU694" s="14"/>
      <c r="CV694" s="1"/>
      <c r="CW694" s="1"/>
      <c r="CX694" s="14"/>
      <c r="CY694" s="1"/>
      <c r="CZ694" s="1"/>
      <c r="DA694" s="1"/>
      <c r="DB694" s="1"/>
      <c r="DC694" s="1"/>
      <c r="DD694" s="1"/>
      <c r="DE694" s="1"/>
      <c r="DF694" s="1"/>
      <c r="DG694" s="1"/>
      <c r="DH694" s="1"/>
      <c r="DI694" s="1"/>
      <c r="DJ694" s="1"/>
      <c r="DK694" s="1"/>
      <c r="DL694" s="1"/>
      <c r="DM694" s="1"/>
      <c r="DN694" s="1"/>
      <c r="DO694" s="1"/>
      <c r="DP694" s="1"/>
      <c r="DQ694" s="1"/>
      <c r="DR694" s="1"/>
      <c r="DS694" s="1"/>
      <c r="DT694" s="1"/>
      <c r="DU694" s="14"/>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29"/>
    </row>
    <row r="695" spans="1:160" x14ac:dyDescent="0.25">
      <c r="A695" s="5"/>
      <c r="B695" s="1"/>
      <c r="C695" s="98"/>
      <c r="D695" s="98"/>
      <c r="E695" s="1"/>
      <c r="F695" s="22"/>
      <c r="G695" s="22"/>
      <c r="H695" s="22"/>
      <c r="I695" s="22"/>
      <c r="J695" s="22"/>
      <c r="K695" s="22"/>
      <c r="L695" s="22"/>
      <c r="M695" s="22"/>
      <c r="N695" s="22"/>
      <c r="O695" s="22"/>
      <c r="P695" s="22"/>
      <c r="Q695" s="22"/>
      <c r="R695" s="1"/>
      <c r="S695" s="1"/>
      <c r="T695" s="8"/>
      <c r="U695" s="1"/>
      <c r="V695" s="1"/>
      <c r="W695" s="1"/>
      <c r="X695" s="1"/>
      <c r="Y695" s="1"/>
      <c r="Z695" s="1"/>
      <c r="AA695" s="1"/>
      <c r="AC695" s="1"/>
      <c r="AD695" s="1"/>
      <c r="AE695" s="1"/>
      <c r="AF695" s="1"/>
      <c r="AG695" s="1"/>
      <c r="AH695" s="26"/>
      <c r="AI695" s="26"/>
      <c r="AJ695" s="26"/>
      <c r="AK695" s="26"/>
      <c r="AL695" s="26"/>
      <c r="AM695" s="26"/>
      <c r="AN695" s="26"/>
      <c r="AO695" s="26"/>
      <c r="AP695" s="26"/>
      <c r="AQ695" s="26"/>
      <c r="AR695" s="26"/>
      <c r="AS695" s="26"/>
      <c r="AT695" s="26"/>
      <c r="AU695" s="26"/>
      <c r="AV695" s="26"/>
      <c r="AW695" s="26"/>
      <c r="AX695" s="26"/>
      <c r="AY695" s="1"/>
      <c r="AZ695" s="26"/>
      <c r="BA695" s="26"/>
      <c r="BB695" s="26"/>
      <c r="BC695" s="26"/>
      <c r="BD695" s="26"/>
      <c r="BE695" s="26"/>
      <c r="BF695" s="26"/>
      <c r="BG695" s="26"/>
      <c r="BH695" s="26"/>
      <c r="BI695" s="26"/>
      <c r="BJ695" s="26"/>
      <c r="BK695" s="26"/>
      <c r="BL695" s="26"/>
      <c r="BM695" s="26"/>
      <c r="BN695" s="26"/>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96"/>
      <c r="CP695" s="14"/>
      <c r="CQ695" s="14"/>
      <c r="CR695" s="14"/>
      <c r="CS695" s="14"/>
      <c r="CT695" s="1"/>
      <c r="CU695" s="14"/>
      <c r="CV695" s="1"/>
      <c r="CW695" s="1"/>
      <c r="CX695" s="14"/>
      <c r="CY695" s="1"/>
      <c r="CZ695" s="1"/>
      <c r="DA695" s="1"/>
      <c r="DB695" s="1"/>
      <c r="DC695" s="1"/>
      <c r="DD695" s="1"/>
      <c r="DE695" s="1"/>
      <c r="DF695" s="1"/>
      <c r="DG695" s="1"/>
      <c r="DH695" s="1"/>
      <c r="DI695" s="1"/>
      <c r="DJ695" s="1"/>
      <c r="DK695" s="1"/>
      <c r="DL695" s="1"/>
      <c r="DM695" s="1"/>
      <c r="DN695" s="1"/>
      <c r="DO695" s="1"/>
      <c r="DP695" s="1"/>
      <c r="DQ695" s="1"/>
      <c r="DR695" s="1"/>
      <c r="DS695" s="1"/>
      <c r="DT695" s="1"/>
      <c r="DU695" s="14"/>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29"/>
    </row>
    <row r="696" spans="1:160" x14ac:dyDescent="0.25">
      <c r="A696" s="5"/>
      <c r="B696" s="1"/>
      <c r="C696" s="98"/>
      <c r="D696" s="98"/>
      <c r="E696" s="1"/>
      <c r="F696" s="22"/>
      <c r="G696" s="22"/>
      <c r="H696" s="22"/>
      <c r="I696" s="22"/>
      <c r="J696" s="22"/>
      <c r="K696" s="22"/>
      <c r="L696" s="22"/>
      <c r="M696" s="22"/>
      <c r="N696" s="22"/>
      <c r="O696" s="22"/>
      <c r="P696" s="22"/>
      <c r="Q696" s="22"/>
      <c r="R696" s="1"/>
      <c r="S696" s="1"/>
      <c r="T696" s="8"/>
      <c r="U696" s="1"/>
      <c r="V696" s="1"/>
      <c r="W696" s="1"/>
      <c r="X696" s="1"/>
      <c r="Y696" s="1"/>
      <c r="Z696" s="1"/>
      <c r="AA696" s="1"/>
      <c r="AC696" s="1"/>
      <c r="AD696" s="1"/>
      <c r="AE696" s="1"/>
      <c r="AF696" s="1"/>
      <c r="AG696" s="1"/>
      <c r="AH696" s="26"/>
      <c r="AI696" s="26"/>
      <c r="AJ696" s="26"/>
      <c r="AK696" s="26"/>
      <c r="AL696" s="26"/>
      <c r="AM696" s="26"/>
      <c r="AN696" s="26"/>
      <c r="AO696" s="26"/>
      <c r="AP696" s="26"/>
      <c r="AQ696" s="26"/>
      <c r="AR696" s="26"/>
      <c r="AS696" s="26"/>
      <c r="AT696" s="26"/>
      <c r="AU696" s="26"/>
      <c r="AV696" s="26"/>
      <c r="AW696" s="26"/>
      <c r="AX696" s="26"/>
      <c r="AY696" s="1"/>
      <c r="AZ696" s="26"/>
      <c r="BA696" s="26"/>
      <c r="BB696" s="26"/>
      <c r="BC696" s="26"/>
      <c r="BD696" s="26"/>
      <c r="BE696" s="26"/>
      <c r="BF696" s="26"/>
      <c r="BG696" s="26"/>
      <c r="BH696" s="26"/>
      <c r="BI696" s="26"/>
      <c r="BJ696" s="26"/>
      <c r="BK696" s="26"/>
      <c r="BL696" s="26"/>
      <c r="BM696" s="26"/>
      <c r="BN696" s="26"/>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96"/>
      <c r="CP696" s="14"/>
      <c r="CQ696" s="14"/>
      <c r="CR696" s="14"/>
      <c r="CS696" s="14"/>
      <c r="CT696" s="1"/>
      <c r="CU696" s="14"/>
      <c r="CV696" s="1"/>
      <c r="CW696" s="1"/>
      <c r="CX696" s="14"/>
      <c r="CY696" s="1"/>
      <c r="CZ696" s="1"/>
      <c r="DA696" s="1"/>
      <c r="DB696" s="1"/>
      <c r="DC696" s="1"/>
      <c r="DD696" s="1"/>
      <c r="DE696" s="1"/>
      <c r="DF696" s="1"/>
      <c r="DG696" s="1"/>
      <c r="DH696" s="1"/>
      <c r="DI696" s="1"/>
      <c r="DJ696" s="1"/>
      <c r="DK696" s="1"/>
      <c r="DL696" s="1"/>
      <c r="DM696" s="1"/>
      <c r="DN696" s="1"/>
      <c r="DO696" s="1"/>
      <c r="DP696" s="1"/>
      <c r="DQ696" s="1"/>
      <c r="DR696" s="1"/>
      <c r="DS696" s="1"/>
      <c r="DT696" s="1"/>
      <c r="DU696" s="14"/>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29"/>
    </row>
    <row r="697" spans="1:160" x14ac:dyDescent="0.25">
      <c r="A697" s="5"/>
      <c r="B697" s="1"/>
      <c r="C697" s="98"/>
      <c r="D697" s="98"/>
      <c r="E697" s="1"/>
      <c r="F697" s="22"/>
      <c r="G697" s="22"/>
      <c r="H697" s="22"/>
      <c r="I697" s="22"/>
      <c r="J697" s="22"/>
      <c r="K697" s="22"/>
      <c r="L697" s="22"/>
      <c r="M697" s="22"/>
      <c r="N697" s="22"/>
      <c r="O697" s="22"/>
      <c r="P697" s="22"/>
      <c r="Q697" s="22"/>
      <c r="R697" s="1"/>
      <c r="S697" s="1"/>
      <c r="T697" s="8"/>
      <c r="U697" s="1"/>
      <c r="V697" s="1"/>
      <c r="W697" s="1"/>
      <c r="X697" s="1"/>
      <c r="Y697" s="1"/>
      <c r="Z697" s="1"/>
      <c r="AA697" s="1"/>
      <c r="AC697" s="1"/>
      <c r="AD697" s="1"/>
      <c r="AE697" s="1"/>
      <c r="AF697" s="1"/>
      <c r="AG697" s="1"/>
      <c r="AH697" s="26"/>
      <c r="AI697" s="26"/>
      <c r="AJ697" s="26"/>
      <c r="AK697" s="26"/>
      <c r="AL697" s="26"/>
      <c r="AM697" s="26"/>
      <c r="AN697" s="26"/>
      <c r="AO697" s="26"/>
      <c r="AP697" s="26"/>
      <c r="AQ697" s="26"/>
      <c r="AR697" s="26"/>
      <c r="AS697" s="26"/>
      <c r="AT697" s="26"/>
      <c r="AU697" s="26"/>
      <c r="AV697" s="26"/>
      <c r="AW697" s="26"/>
      <c r="AX697" s="26"/>
      <c r="AY697" s="1"/>
      <c r="AZ697" s="26"/>
      <c r="BA697" s="26"/>
      <c r="BB697" s="26"/>
      <c r="BC697" s="26"/>
      <c r="BD697" s="26"/>
      <c r="BE697" s="26"/>
      <c r="BF697" s="26"/>
      <c r="BG697" s="26"/>
      <c r="BH697" s="26"/>
      <c r="BI697" s="26"/>
      <c r="BJ697" s="26"/>
      <c r="BK697" s="26"/>
      <c r="BL697" s="26"/>
      <c r="BM697" s="26"/>
      <c r="BN697" s="26"/>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96"/>
      <c r="CP697" s="14"/>
      <c r="CQ697" s="14"/>
      <c r="CR697" s="14"/>
      <c r="CS697" s="14"/>
      <c r="CT697" s="1"/>
      <c r="CU697" s="14"/>
      <c r="CV697" s="1"/>
      <c r="CW697" s="1"/>
      <c r="CX697" s="14"/>
      <c r="CY697" s="1"/>
      <c r="CZ697" s="1"/>
      <c r="DA697" s="1"/>
      <c r="DB697" s="1"/>
      <c r="DC697" s="1"/>
      <c r="DD697" s="1"/>
      <c r="DE697" s="1"/>
      <c r="DF697" s="1"/>
      <c r="DG697" s="1"/>
      <c r="DH697" s="1"/>
      <c r="DI697" s="1"/>
      <c r="DJ697" s="1"/>
      <c r="DK697" s="1"/>
      <c r="DL697" s="1"/>
      <c r="DM697" s="1"/>
      <c r="DN697" s="1"/>
      <c r="DO697" s="1"/>
      <c r="DP697" s="1"/>
      <c r="DQ697" s="1"/>
      <c r="DR697" s="1"/>
      <c r="DS697" s="1"/>
      <c r="DT697" s="1"/>
      <c r="DU697" s="14"/>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29"/>
    </row>
    <row r="698" spans="1:160" x14ac:dyDescent="0.25">
      <c r="A698" s="5"/>
      <c r="B698" s="1"/>
      <c r="C698" s="98"/>
      <c r="D698" s="98"/>
      <c r="E698" s="1"/>
      <c r="F698" s="22"/>
      <c r="G698" s="22"/>
      <c r="H698" s="22"/>
      <c r="I698" s="22"/>
      <c r="J698" s="22"/>
      <c r="K698" s="22"/>
      <c r="L698" s="22"/>
      <c r="M698" s="22"/>
      <c r="N698" s="22"/>
      <c r="O698" s="22"/>
      <c r="P698" s="22"/>
      <c r="Q698" s="22"/>
      <c r="R698" s="1"/>
      <c r="S698" s="1"/>
      <c r="T698" s="8"/>
      <c r="U698" s="1"/>
      <c r="V698" s="1"/>
      <c r="W698" s="1"/>
      <c r="X698" s="1"/>
      <c r="Y698" s="1"/>
      <c r="Z698" s="1"/>
      <c r="AA698" s="1"/>
      <c r="AC698" s="1"/>
      <c r="AD698" s="1"/>
      <c r="AE698" s="1"/>
      <c r="AF698" s="1"/>
      <c r="AG698" s="1"/>
      <c r="AH698" s="26"/>
      <c r="AI698" s="26"/>
      <c r="AJ698" s="26"/>
      <c r="AK698" s="26"/>
      <c r="AL698" s="26"/>
      <c r="AM698" s="26"/>
      <c r="AN698" s="26"/>
      <c r="AO698" s="26"/>
      <c r="AP698" s="26"/>
      <c r="AQ698" s="26"/>
      <c r="AR698" s="26"/>
      <c r="AS698" s="26"/>
      <c r="AT698" s="26"/>
      <c r="AU698" s="26"/>
      <c r="AV698" s="26"/>
      <c r="AW698" s="26"/>
      <c r="AX698" s="26"/>
      <c r="AY698" s="1"/>
      <c r="AZ698" s="26"/>
      <c r="BA698" s="26"/>
      <c r="BB698" s="26"/>
      <c r="BC698" s="26"/>
      <c r="BD698" s="26"/>
      <c r="BE698" s="26"/>
      <c r="BF698" s="26"/>
      <c r="BG698" s="26"/>
      <c r="BH698" s="26"/>
      <c r="BI698" s="26"/>
      <c r="BJ698" s="26"/>
      <c r="BK698" s="26"/>
      <c r="BL698" s="26"/>
      <c r="BM698" s="26"/>
      <c r="BN698" s="26"/>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96"/>
      <c r="CP698" s="14"/>
      <c r="CQ698" s="14"/>
      <c r="CR698" s="14"/>
      <c r="CS698" s="14"/>
      <c r="CT698" s="1"/>
      <c r="CU698" s="14"/>
      <c r="CV698" s="1"/>
      <c r="CW698" s="1"/>
      <c r="CX698" s="14"/>
      <c r="CY698" s="1"/>
      <c r="CZ698" s="1"/>
      <c r="DA698" s="1"/>
      <c r="DB698" s="1"/>
      <c r="DC698" s="1"/>
      <c r="DD698" s="1"/>
      <c r="DE698" s="1"/>
      <c r="DF698" s="1"/>
      <c r="DG698" s="1"/>
      <c r="DH698" s="1"/>
      <c r="DI698" s="1"/>
      <c r="DJ698" s="1"/>
      <c r="DK698" s="1"/>
      <c r="DL698" s="1"/>
      <c r="DM698" s="1"/>
      <c r="DN698" s="1"/>
      <c r="DO698" s="1"/>
      <c r="DP698" s="1"/>
      <c r="DQ698" s="1"/>
      <c r="DR698" s="1"/>
      <c r="DS698" s="1"/>
      <c r="DT698" s="1"/>
      <c r="DU698" s="14"/>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29"/>
    </row>
    <row r="699" spans="1:160" x14ac:dyDescent="0.25">
      <c r="A699" s="5"/>
      <c r="B699" s="1"/>
      <c r="C699" s="98"/>
      <c r="D699" s="98"/>
      <c r="E699" s="1"/>
      <c r="F699" s="22"/>
      <c r="G699" s="22"/>
      <c r="H699" s="22"/>
      <c r="I699" s="22"/>
      <c r="J699" s="22"/>
      <c r="K699" s="22"/>
      <c r="L699" s="22"/>
      <c r="M699" s="22"/>
      <c r="N699" s="22"/>
      <c r="O699" s="22"/>
      <c r="P699" s="22"/>
      <c r="Q699" s="22"/>
      <c r="R699" s="1"/>
      <c r="S699" s="1"/>
      <c r="T699" s="8"/>
      <c r="U699" s="1"/>
      <c r="V699" s="1"/>
      <c r="W699" s="1"/>
      <c r="X699" s="1"/>
      <c r="Y699" s="1"/>
      <c r="Z699" s="1"/>
      <c r="AA699" s="1"/>
      <c r="AC699" s="1"/>
      <c r="AD699" s="1"/>
      <c r="AE699" s="1"/>
      <c r="AF699" s="1"/>
      <c r="AG699" s="1"/>
      <c r="AH699" s="26"/>
      <c r="AI699" s="26"/>
      <c r="AJ699" s="26"/>
      <c r="AK699" s="26"/>
      <c r="AL699" s="26"/>
      <c r="AM699" s="26"/>
      <c r="AN699" s="26"/>
      <c r="AO699" s="26"/>
      <c r="AP699" s="26"/>
      <c r="AQ699" s="26"/>
      <c r="AR699" s="26"/>
      <c r="AS699" s="26"/>
      <c r="AT699" s="26"/>
      <c r="AU699" s="26"/>
      <c r="AV699" s="26"/>
      <c r="AW699" s="26"/>
      <c r="AX699" s="26"/>
      <c r="AY699" s="1"/>
      <c r="AZ699" s="26"/>
      <c r="BA699" s="26"/>
      <c r="BB699" s="26"/>
      <c r="BC699" s="26"/>
      <c r="BD699" s="26"/>
      <c r="BE699" s="26"/>
      <c r="BF699" s="26"/>
      <c r="BG699" s="26"/>
      <c r="BH699" s="26"/>
      <c r="BI699" s="26"/>
      <c r="BJ699" s="26"/>
      <c r="BK699" s="26"/>
      <c r="BL699" s="26"/>
      <c r="BM699" s="26"/>
      <c r="BN699" s="26"/>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96"/>
      <c r="CP699" s="14"/>
      <c r="CQ699" s="14"/>
      <c r="CR699" s="14"/>
      <c r="CS699" s="14"/>
      <c r="CT699" s="1"/>
      <c r="CU699" s="14"/>
      <c r="CV699" s="1"/>
      <c r="CW699" s="1"/>
      <c r="CX699" s="14"/>
      <c r="CY699" s="1"/>
      <c r="CZ699" s="1"/>
      <c r="DA699" s="1"/>
      <c r="DB699" s="1"/>
      <c r="DC699" s="1"/>
      <c r="DD699" s="1"/>
      <c r="DE699" s="1"/>
      <c r="DF699" s="1"/>
      <c r="DG699" s="1"/>
      <c r="DH699" s="1"/>
      <c r="DI699" s="1"/>
      <c r="DJ699" s="1"/>
      <c r="DK699" s="1"/>
      <c r="DL699" s="1"/>
      <c r="DM699" s="1"/>
      <c r="DN699" s="1"/>
      <c r="DO699" s="1"/>
      <c r="DP699" s="1"/>
      <c r="DQ699" s="1"/>
      <c r="DR699" s="1"/>
      <c r="DS699" s="1"/>
      <c r="DT699" s="1"/>
      <c r="DU699" s="14"/>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29"/>
    </row>
    <row r="700" spans="1:160" x14ac:dyDescent="0.25">
      <c r="A700" s="5"/>
      <c r="B700" s="1"/>
      <c r="C700" s="98"/>
      <c r="D700" s="98"/>
      <c r="E700" s="1"/>
      <c r="F700" s="22"/>
      <c r="G700" s="22"/>
      <c r="H700" s="22"/>
      <c r="I700" s="22"/>
      <c r="J700" s="22"/>
      <c r="K700" s="22"/>
      <c r="L700" s="22"/>
      <c r="M700" s="22"/>
      <c r="N700" s="22"/>
      <c r="O700" s="22"/>
      <c r="P700" s="22"/>
      <c r="Q700" s="22"/>
      <c r="R700" s="1"/>
      <c r="S700" s="1"/>
      <c r="T700" s="8"/>
      <c r="U700" s="1"/>
      <c r="V700" s="1"/>
      <c r="W700" s="1"/>
      <c r="X700" s="1"/>
      <c r="Y700" s="1"/>
      <c r="Z700" s="1"/>
      <c r="AA700" s="1"/>
      <c r="AC700" s="1"/>
      <c r="AD700" s="1"/>
      <c r="AE700" s="1"/>
      <c r="AF700" s="1"/>
      <c r="AG700" s="1"/>
      <c r="AH700" s="26"/>
      <c r="AI700" s="26"/>
      <c r="AJ700" s="26"/>
      <c r="AK700" s="26"/>
      <c r="AL700" s="26"/>
      <c r="AM700" s="26"/>
      <c r="AN700" s="26"/>
      <c r="AO700" s="26"/>
      <c r="AP700" s="26"/>
      <c r="AQ700" s="26"/>
      <c r="AR700" s="26"/>
      <c r="AS700" s="26"/>
      <c r="AT700" s="26"/>
      <c r="AU700" s="26"/>
      <c r="AV700" s="26"/>
      <c r="AW700" s="26"/>
      <c r="AX700" s="26"/>
      <c r="AY700" s="1"/>
      <c r="AZ700" s="26"/>
      <c r="BA700" s="26"/>
      <c r="BB700" s="26"/>
      <c r="BC700" s="26"/>
      <c r="BD700" s="26"/>
      <c r="BE700" s="26"/>
      <c r="BF700" s="26"/>
      <c r="BG700" s="26"/>
      <c r="BH700" s="26"/>
      <c r="BI700" s="26"/>
      <c r="BJ700" s="26"/>
      <c r="BK700" s="26"/>
      <c r="BL700" s="26"/>
      <c r="BM700" s="26"/>
      <c r="BN700" s="26"/>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96"/>
      <c r="CP700" s="14"/>
      <c r="CQ700" s="14"/>
      <c r="CR700" s="14"/>
      <c r="CS700" s="14"/>
      <c r="CT700" s="1"/>
      <c r="CU700" s="14"/>
      <c r="CV700" s="1"/>
      <c r="CW700" s="1"/>
      <c r="CX700" s="14"/>
      <c r="CY700" s="1"/>
      <c r="CZ700" s="1"/>
      <c r="DA700" s="1"/>
      <c r="DB700" s="1"/>
      <c r="DC700" s="1"/>
      <c r="DD700" s="1"/>
      <c r="DE700" s="1"/>
      <c r="DF700" s="1"/>
      <c r="DG700" s="1"/>
      <c r="DH700" s="1"/>
      <c r="DI700" s="1"/>
      <c r="DJ700" s="1"/>
      <c r="DK700" s="1"/>
      <c r="DL700" s="1"/>
      <c r="DM700" s="1"/>
      <c r="DN700" s="1"/>
      <c r="DO700" s="1"/>
      <c r="DP700" s="1"/>
      <c r="DQ700" s="1"/>
      <c r="DR700" s="1"/>
      <c r="DS700" s="1"/>
      <c r="DT700" s="1"/>
      <c r="DU700" s="14"/>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29"/>
    </row>
    <row r="701" spans="1:160" x14ac:dyDescent="0.25">
      <c r="A701" s="5"/>
      <c r="B701" s="1"/>
      <c r="C701" s="98"/>
      <c r="D701" s="98"/>
      <c r="E701" s="1"/>
      <c r="F701" s="22"/>
      <c r="G701" s="22"/>
      <c r="H701" s="22"/>
      <c r="I701" s="22"/>
      <c r="J701" s="22"/>
      <c r="K701" s="22"/>
      <c r="L701" s="22"/>
      <c r="M701" s="22"/>
      <c r="N701" s="22"/>
      <c r="O701" s="22"/>
      <c r="P701" s="22"/>
      <c r="Q701" s="22"/>
      <c r="R701" s="1"/>
      <c r="S701" s="1"/>
      <c r="T701" s="8"/>
      <c r="U701" s="1"/>
      <c r="V701" s="1"/>
      <c r="W701" s="1"/>
      <c r="X701" s="1"/>
      <c r="Y701" s="1"/>
      <c r="Z701" s="1"/>
      <c r="AA701" s="1"/>
      <c r="AC701" s="1"/>
      <c r="AD701" s="1"/>
      <c r="AE701" s="1"/>
      <c r="AF701" s="1"/>
      <c r="AG701" s="1"/>
      <c r="AH701" s="26"/>
      <c r="AI701" s="26"/>
      <c r="AJ701" s="26"/>
      <c r="AK701" s="26"/>
      <c r="AL701" s="26"/>
      <c r="AM701" s="26"/>
      <c r="AN701" s="26"/>
      <c r="AO701" s="26"/>
      <c r="AP701" s="26"/>
      <c r="AQ701" s="26"/>
      <c r="AR701" s="26"/>
      <c r="AS701" s="26"/>
      <c r="AT701" s="26"/>
      <c r="AU701" s="26"/>
      <c r="AV701" s="26"/>
      <c r="AW701" s="26"/>
      <c r="AX701" s="26"/>
      <c r="AY701" s="1"/>
      <c r="AZ701" s="26"/>
      <c r="BA701" s="26"/>
      <c r="BB701" s="26"/>
      <c r="BC701" s="26"/>
      <c r="BD701" s="26"/>
      <c r="BE701" s="26"/>
      <c r="BF701" s="26"/>
      <c r="BG701" s="26"/>
      <c r="BH701" s="26"/>
      <c r="BI701" s="26"/>
      <c r="BJ701" s="26"/>
      <c r="BK701" s="26"/>
      <c r="BL701" s="26"/>
      <c r="BM701" s="26"/>
      <c r="BN701" s="26"/>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96"/>
      <c r="CP701" s="14"/>
      <c r="CQ701" s="14"/>
      <c r="CR701" s="14"/>
      <c r="CS701" s="14"/>
      <c r="CT701" s="1"/>
      <c r="CU701" s="14"/>
      <c r="CV701" s="1"/>
      <c r="CW701" s="1"/>
      <c r="CX701" s="14"/>
      <c r="CY701" s="1"/>
      <c r="CZ701" s="1"/>
      <c r="DA701" s="1"/>
      <c r="DB701" s="1"/>
      <c r="DC701" s="1"/>
      <c r="DD701" s="1"/>
      <c r="DE701" s="1"/>
      <c r="DF701" s="1"/>
      <c r="DG701" s="1"/>
      <c r="DH701" s="1"/>
      <c r="DI701" s="1"/>
      <c r="DJ701" s="1"/>
      <c r="DK701" s="1"/>
      <c r="DL701" s="1"/>
      <c r="DM701" s="1"/>
      <c r="DN701" s="1"/>
      <c r="DO701" s="1"/>
      <c r="DP701" s="1"/>
      <c r="DQ701" s="1"/>
      <c r="DR701" s="1"/>
      <c r="DS701" s="1"/>
      <c r="DT701" s="1"/>
      <c r="DU701" s="14"/>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29"/>
    </row>
    <row r="702" spans="1:160" x14ac:dyDescent="0.25">
      <c r="A702" s="5"/>
      <c r="B702" s="1"/>
      <c r="C702" s="98"/>
      <c r="D702" s="98"/>
      <c r="E702" s="1"/>
      <c r="F702" s="22"/>
      <c r="G702" s="22"/>
      <c r="H702" s="22"/>
      <c r="I702" s="22"/>
      <c r="J702" s="22"/>
      <c r="K702" s="22"/>
      <c r="L702" s="22"/>
      <c r="M702" s="22"/>
      <c r="N702" s="22"/>
      <c r="O702" s="22"/>
      <c r="P702" s="22"/>
      <c r="Q702" s="22"/>
      <c r="R702" s="1"/>
      <c r="S702" s="1"/>
      <c r="T702" s="8"/>
      <c r="U702" s="1"/>
      <c r="V702" s="1"/>
      <c r="W702" s="1"/>
      <c r="X702" s="1"/>
      <c r="Y702" s="1"/>
      <c r="Z702" s="1"/>
      <c r="AA702" s="1"/>
      <c r="AC702" s="1"/>
      <c r="AD702" s="1"/>
      <c r="AE702" s="1"/>
      <c r="AF702" s="1"/>
      <c r="AG702" s="1"/>
      <c r="AH702" s="26"/>
      <c r="AI702" s="26"/>
      <c r="AJ702" s="26"/>
      <c r="AK702" s="26"/>
      <c r="AL702" s="26"/>
      <c r="AM702" s="26"/>
      <c r="AN702" s="26"/>
      <c r="AO702" s="26"/>
      <c r="AP702" s="26"/>
      <c r="AQ702" s="26"/>
      <c r="AR702" s="26"/>
      <c r="AS702" s="26"/>
      <c r="AT702" s="26"/>
      <c r="AU702" s="26"/>
      <c r="AV702" s="26"/>
      <c r="AW702" s="26"/>
      <c r="AX702" s="26"/>
      <c r="AY702" s="1"/>
      <c r="AZ702" s="26"/>
      <c r="BA702" s="26"/>
      <c r="BB702" s="26"/>
      <c r="BC702" s="26"/>
      <c r="BD702" s="26"/>
      <c r="BE702" s="26"/>
      <c r="BF702" s="26"/>
      <c r="BG702" s="26"/>
      <c r="BH702" s="26"/>
      <c r="BI702" s="26"/>
      <c r="BJ702" s="26"/>
      <c r="BK702" s="26"/>
      <c r="BL702" s="26"/>
      <c r="BM702" s="26"/>
      <c r="BN702" s="26"/>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96"/>
      <c r="CP702" s="14"/>
      <c r="CQ702" s="14"/>
      <c r="CR702" s="14"/>
      <c r="CS702" s="14"/>
      <c r="CT702" s="1"/>
      <c r="CU702" s="14"/>
      <c r="CV702" s="1"/>
      <c r="CW702" s="1"/>
      <c r="CX702" s="14"/>
      <c r="CY702" s="1"/>
      <c r="CZ702" s="1"/>
      <c r="DA702" s="1"/>
      <c r="DB702" s="1"/>
      <c r="DC702" s="1"/>
      <c r="DD702" s="1"/>
      <c r="DE702" s="1"/>
      <c r="DF702" s="1"/>
      <c r="DG702" s="1"/>
      <c r="DH702" s="1"/>
      <c r="DI702" s="1"/>
      <c r="DJ702" s="1"/>
      <c r="DK702" s="1"/>
      <c r="DL702" s="1"/>
      <c r="DM702" s="1"/>
      <c r="DN702" s="1"/>
      <c r="DO702" s="1"/>
      <c r="DP702" s="1"/>
      <c r="DQ702" s="1"/>
      <c r="DR702" s="1"/>
      <c r="DS702" s="1"/>
      <c r="DT702" s="1"/>
      <c r="DU702" s="14"/>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29"/>
    </row>
    <row r="703" spans="1:160" x14ac:dyDescent="0.25">
      <c r="A703" s="5"/>
      <c r="B703" s="1"/>
      <c r="C703" s="98"/>
      <c r="D703" s="98"/>
      <c r="E703" s="1"/>
      <c r="F703" s="22"/>
      <c r="G703" s="22"/>
      <c r="H703" s="22"/>
      <c r="I703" s="22"/>
      <c r="J703" s="22"/>
      <c r="K703" s="22"/>
      <c r="L703" s="22"/>
      <c r="M703" s="22"/>
      <c r="N703" s="22"/>
      <c r="O703" s="22"/>
      <c r="P703" s="22"/>
      <c r="Q703" s="22"/>
      <c r="R703" s="1"/>
      <c r="S703" s="1"/>
      <c r="T703" s="8"/>
      <c r="U703" s="1"/>
      <c r="V703" s="1"/>
      <c r="W703" s="1"/>
      <c r="X703" s="1"/>
      <c r="Y703" s="1"/>
      <c r="Z703" s="1"/>
      <c r="AA703" s="1"/>
      <c r="AC703" s="1"/>
      <c r="AD703" s="1"/>
      <c r="AE703" s="1"/>
      <c r="AF703" s="1"/>
      <c r="AG703" s="1"/>
      <c r="AH703" s="26"/>
      <c r="AI703" s="26"/>
      <c r="AJ703" s="26"/>
      <c r="AK703" s="26"/>
      <c r="AL703" s="26"/>
      <c r="AM703" s="26"/>
      <c r="AN703" s="26"/>
      <c r="AO703" s="26"/>
      <c r="AP703" s="26"/>
      <c r="AQ703" s="26"/>
      <c r="AR703" s="26"/>
      <c r="AS703" s="26"/>
      <c r="AT703" s="26"/>
      <c r="AU703" s="26"/>
      <c r="AV703" s="26"/>
      <c r="AW703" s="26"/>
      <c r="AX703" s="26"/>
      <c r="AY703" s="1"/>
      <c r="AZ703" s="26"/>
      <c r="BA703" s="26"/>
      <c r="BB703" s="26"/>
      <c r="BC703" s="26"/>
      <c r="BD703" s="26"/>
      <c r="BE703" s="26"/>
      <c r="BF703" s="26"/>
      <c r="BG703" s="26"/>
      <c r="BH703" s="26"/>
      <c r="BI703" s="26"/>
      <c r="BJ703" s="26"/>
      <c r="BK703" s="26"/>
      <c r="BL703" s="26"/>
      <c r="BM703" s="26"/>
      <c r="BN703" s="26"/>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96"/>
      <c r="CP703" s="14"/>
      <c r="CQ703" s="14"/>
      <c r="CR703" s="14"/>
      <c r="CS703" s="14"/>
      <c r="CT703" s="1"/>
      <c r="CU703" s="14"/>
      <c r="CV703" s="1"/>
      <c r="CW703" s="1"/>
      <c r="CX703" s="14"/>
      <c r="CY703" s="1"/>
      <c r="CZ703" s="1"/>
      <c r="DA703" s="1"/>
      <c r="DB703" s="1"/>
      <c r="DC703" s="1"/>
      <c r="DD703" s="1"/>
      <c r="DE703" s="1"/>
      <c r="DF703" s="1"/>
      <c r="DG703" s="1"/>
      <c r="DH703" s="1"/>
      <c r="DI703" s="1"/>
      <c r="DJ703" s="1"/>
      <c r="DK703" s="1"/>
      <c r="DL703" s="1"/>
      <c r="DM703" s="1"/>
      <c r="DN703" s="1"/>
      <c r="DO703" s="1"/>
      <c r="DP703" s="1"/>
      <c r="DQ703" s="1"/>
      <c r="DR703" s="1"/>
      <c r="DS703" s="1"/>
      <c r="DT703" s="1"/>
      <c r="DU703" s="14"/>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29"/>
    </row>
    <row r="704" spans="1:160" x14ac:dyDescent="0.25">
      <c r="A704" s="5"/>
      <c r="B704" s="1"/>
      <c r="C704" s="98"/>
      <c r="D704" s="98"/>
      <c r="E704" s="1"/>
      <c r="F704" s="22"/>
      <c r="G704" s="22"/>
      <c r="H704" s="22"/>
      <c r="I704" s="22"/>
      <c r="J704" s="22"/>
      <c r="K704" s="22"/>
      <c r="L704" s="22"/>
      <c r="M704" s="22"/>
      <c r="N704" s="22"/>
      <c r="O704" s="22"/>
      <c r="P704" s="22"/>
      <c r="Q704" s="22"/>
      <c r="R704" s="1"/>
      <c r="S704" s="1"/>
      <c r="T704" s="8"/>
      <c r="U704" s="1"/>
      <c r="V704" s="1"/>
      <c r="W704" s="1"/>
      <c r="X704" s="1"/>
      <c r="Y704" s="1"/>
      <c r="Z704" s="1"/>
      <c r="AA704" s="1"/>
      <c r="AC704" s="1"/>
      <c r="AD704" s="1"/>
      <c r="AE704" s="1"/>
      <c r="AF704" s="1"/>
      <c r="AG704" s="1"/>
      <c r="AH704" s="26"/>
      <c r="AI704" s="26"/>
      <c r="AJ704" s="26"/>
      <c r="AK704" s="26"/>
      <c r="AL704" s="26"/>
      <c r="AM704" s="26"/>
      <c r="AN704" s="26"/>
      <c r="AO704" s="26"/>
      <c r="AP704" s="26"/>
      <c r="AQ704" s="26"/>
      <c r="AR704" s="26"/>
      <c r="AS704" s="26"/>
      <c r="AT704" s="26"/>
      <c r="AU704" s="26"/>
      <c r="AV704" s="26"/>
      <c r="AW704" s="26"/>
      <c r="AX704" s="26"/>
      <c r="AY704" s="1"/>
      <c r="AZ704" s="26"/>
      <c r="BA704" s="26"/>
      <c r="BB704" s="26"/>
      <c r="BC704" s="26"/>
      <c r="BD704" s="26"/>
      <c r="BE704" s="26"/>
      <c r="BF704" s="26"/>
      <c r="BG704" s="26"/>
      <c r="BH704" s="26"/>
      <c r="BI704" s="26"/>
      <c r="BJ704" s="26"/>
      <c r="BK704" s="26"/>
      <c r="BL704" s="26"/>
      <c r="BM704" s="26"/>
      <c r="BN704" s="26"/>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96"/>
      <c r="CP704" s="14"/>
      <c r="CQ704" s="14"/>
      <c r="CR704" s="14"/>
      <c r="CS704" s="14"/>
      <c r="CT704" s="1"/>
      <c r="CU704" s="14"/>
      <c r="CV704" s="1"/>
      <c r="CW704" s="1"/>
      <c r="CX704" s="14"/>
      <c r="CY704" s="1"/>
      <c r="CZ704" s="1"/>
      <c r="DA704" s="1"/>
      <c r="DB704" s="1"/>
      <c r="DC704" s="1"/>
      <c r="DD704" s="1"/>
      <c r="DE704" s="1"/>
      <c r="DF704" s="1"/>
      <c r="DG704" s="1"/>
      <c r="DH704" s="1"/>
      <c r="DI704" s="1"/>
      <c r="DJ704" s="1"/>
      <c r="DK704" s="1"/>
      <c r="DL704" s="1"/>
      <c r="DM704" s="1"/>
      <c r="DN704" s="1"/>
      <c r="DO704" s="1"/>
      <c r="DP704" s="1"/>
      <c r="DQ704" s="1"/>
      <c r="DR704" s="1"/>
      <c r="DS704" s="1"/>
      <c r="DT704" s="1"/>
      <c r="DU704" s="14"/>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29"/>
    </row>
    <row r="705" spans="1:160" x14ac:dyDescent="0.25">
      <c r="A705" s="5"/>
      <c r="B705" s="1"/>
      <c r="C705" s="98"/>
      <c r="D705" s="98"/>
      <c r="E705" s="1"/>
      <c r="F705" s="22"/>
      <c r="G705" s="22"/>
      <c r="H705" s="22"/>
      <c r="I705" s="22"/>
      <c r="J705" s="22"/>
      <c r="K705" s="22"/>
      <c r="L705" s="22"/>
      <c r="M705" s="22"/>
      <c r="N705" s="22"/>
      <c r="O705" s="22"/>
      <c r="P705" s="22"/>
      <c r="Q705" s="22"/>
      <c r="R705" s="1"/>
      <c r="S705" s="1"/>
      <c r="T705" s="8"/>
      <c r="U705" s="1"/>
      <c r="V705" s="1"/>
      <c r="W705" s="1"/>
      <c r="X705" s="1"/>
      <c r="Y705" s="1"/>
      <c r="Z705" s="1"/>
      <c r="AA705" s="1"/>
      <c r="AC705" s="1"/>
      <c r="AD705" s="1"/>
      <c r="AE705" s="1"/>
      <c r="AF705" s="1"/>
      <c r="AG705" s="1"/>
      <c r="AH705" s="26"/>
      <c r="AI705" s="26"/>
      <c r="AJ705" s="26"/>
      <c r="AK705" s="26"/>
      <c r="AL705" s="26"/>
      <c r="AM705" s="26"/>
      <c r="AN705" s="26"/>
      <c r="AO705" s="26"/>
      <c r="AP705" s="26"/>
      <c r="AQ705" s="26"/>
      <c r="AR705" s="26"/>
      <c r="AS705" s="26"/>
      <c r="AT705" s="26"/>
      <c r="AU705" s="26"/>
      <c r="AV705" s="26"/>
      <c r="AW705" s="26"/>
      <c r="AX705" s="26"/>
      <c r="AY705" s="1"/>
      <c r="AZ705" s="26"/>
      <c r="BA705" s="26"/>
      <c r="BB705" s="26"/>
      <c r="BC705" s="26"/>
      <c r="BD705" s="26"/>
      <c r="BE705" s="26"/>
      <c r="BF705" s="26"/>
      <c r="BG705" s="26"/>
      <c r="BH705" s="26"/>
      <c r="BI705" s="26"/>
      <c r="BJ705" s="26"/>
      <c r="BK705" s="26"/>
      <c r="BL705" s="26"/>
      <c r="BM705" s="26"/>
      <c r="BN705" s="26"/>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96"/>
      <c r="CP705" s="14"/>
      <c r="CQ705" s="14"/>
      <c r="CR705" s="14"/>
      <c r="CS705" s="14"/>
      <c r="CT705" s="1"/>
      <c r="CU705" s="14"/>
      <c r="CV705" s="1"/>
      <c r="CW705" s="1"/>
      <c r="CX705" s="14"/>
      <c r="CY705" s="1"/>
      <c r="CZ705" s="1"/>
      <c r="DA705" s="1"/>
      <c r="DB705" s="1"/>
      <c r="DC705" s="1"/>
      <c r="DD705" s="1"/>
      <c r="DE705" s="1"/>
      <c r="DF705" s="1"/>
      <c r="DG705" s="1"/>
      <c r="DH705" s="1"/>
      <c r="DI705" s="1"/>
      <c r="DJ705" s="1"/>
      <c r="DK705" s="1"/>
      <c r="DL705" s="1"/>
      <c r="DM705" s="1"/>
      <c r="DN705" s="1"/>
      <c r="DO705" s="1"/>
      <c r="DP705" s="1"/>
      <c r="DQ705" s="1"/>
      <c r="DR705" s="1"/>
      <c r="DS705" s="1"/>
      <c r="DT705" s="1"/>
      <c r="DU705" s="14"/>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29"/>
    </row>
    <row r="706" spans="1:160" x14ac:dyDescent="0.25">
      <c r="A706" s="5"/>
      <c r="B706" s="1"/>
      <c r="C706" s="98"/>
      <c r="D706" s="98"/>
      <c r="E706" s="1"/>
      <c r="F706" s="22"/>
      <c r="G706" s="22"/>
      <c r="H706" s="22"/>
      <c r="I706" s="22"/>
      <c r="J706" s="22"/>
      <c r="K706" s="22"/>
      <c r="L706" s="22"/>
      <c r="M706" s="22"/>
      <c r="N706" s="22"/>
      <c r="O706" s="22"/>
      <c r="P706" s="22"/>
      <c r="Q706" s="22"/>
      <c r="R706" s="1"/>
      <c r="S706" s="1"/>
      <c r="T706" s="8"/>
      <c r="U706" s="1"/>
      <c r="V706" s="1"/>
      <c r="W706" s="1"/>
      <c r="X706" s="1"/>
      <c r="Y706" s="1"/>
      <c r="Z706" s="1"/>
      <c r="AA706" s="1"/>
      <c r="AC706" s="1"/>
      <c r="AD706" s="1"/>
      <c r="AE706" s="1"/>
      <c r="AF706" s="1"/>
      <c r="AG706" s="1"/>
      <c r="AH706" s="26"/>
      <c r="AI706" s="26"/>
      <c r="AJ706" s="26"/>
      <c r="AK706" s="26"/>
      <c r="AL706" s="26"/>
      <c r="AM706" s="26"/>
      <c r="AN706" s="26"/>
      <c r="AO706" s="26"/>
      <c r="AP706" s="26"/>
      <c r="AQ706" s="26"/>
      <c r="AR706" s="26"/>
      <c r="AS706" s="26"/>
      <c r="AT706" s="26"/>
      <c r="AU706" s="26"/>
      <c r="AV706" s="26"/>
      <c r="AW706" s="26"/>
      <c r="AX706" s="26"/>
      <c r="AY706" s="1"/>
      <c r="AZ706" s="26"/>
      <c r="BA706" s="26"/>
      <c r="BB706" s="26"/>
      <c r="BC706" s="26"/>
      <c r="BD706" s="26"/>
      <c r="BE706" s="26"/>
      <c r="BF706" s="26"/>
      <c r="BG706" s="26"/>
      <c r="BH706" s="26"/>
      <c r="BI706" s="26"/>
      <c r="BJ706" s="26"/>
      <c r="BK706" s="26"/>
      <c r="BL706" s="26"/>
      <c r="BM706" s="26"/>
      <c r="BN706" s="26"/>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96"/>
      <c r="CP706" s="14"/>
      <c r="CQ706" s="14"/>
      <c r="CR706" s="14"/>
      <c r="CS706" s="14"/>
      <c r="CT706" s="1"/>
      <c r="CU706" s="14"/>
      <c r="CV706" s="1"/>
      <c r="CW706" s="1"/>
      <c r="CX706" s="14"/>
      <c r="CY706" s="1"/>
      <c r="CZ706" s="1"/>
      <c r="DA706" s="1"/>
      <c r="DB706" s="1"/>
      <c r="DC706" s="1"/>
      <c r="DD706" s="1"/>
      <c r="DE706" s="1"/>
      <c r="DF706" s="1"/>
      <c r="DG706" s="1"/>
      <c r="DH706" s="1"/>
      <c r="DI706" s="1"/>
      <c r="DJ706" s="1"/>
      <c r="DK706" s="1"/>
      <c r="DL706" s="1"/>
      <c r="DM706" s="1"/>
      <c r="DN706" s="1"/>
      <c r="DO706" s="1"/>
      <c r="DP706" s="1"/>
      <c r="DQ706" s="1"/>
      <c r="DR706" s="1"/>
      <c r="DS706" s="1"/>
      <c r="DT706" s="1"/>
      <c r="DU706" s="14"/>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29"/>
    </row>
    <row r="707" spans="1:160" x14ac:dyDescent="0.25">
      <c r="A707" s="5"/>
      <c r="B707" s="1"/>
      <c r="C707" s="98"/>
      <c r="D707" s="98"/>
      <c r="E707" s="1"/>
      <c r="F707" s="22"/>
      <c r="G707" s="22"/>
      <c r="H707" s="22"/>
      <c r="I707" s="22"/>
      <c r="J707" s="22"/>
      <c r="K707" s="22"/>
      <c r="L707" s="22"/>
      <c r="M707" s="22"/>
      <c r="N707" s="22"/>
      <c r="O707" s="22"/>
      <c r="P707" s="22"/>
      <c r="Q707" s="22"/>
      <c r="R707" s="1"/>
      <c r="S707" s="1"/>
      <c r="T707" s="8"/>
      <c r="U707" s="1"/>
      <c r="V707" s="1"/>
      <c r="W707" s="1"/>
      <c r="X707" s="1"/>
      <c r="Y707" s="1"/>
      <c r="Z707" s="1"/>
      <c r="AA707" s="1"/>
      <c r="AC707" s="1"/>
      <c r="AD707" s="1"/>
      <c r="AE707" s="1"/>
      <c r="AF707" s="1"/>
      <c r="AG707" s="1"/>
      <c r="AH707" s="26"/>
      <c r="AI707" s="26"/>
      <c r="AJ707" s="26"/>
      <c r="AK707" s="26"/>
      <c r="AL707" s="26"/>
      <c r="AM707" s="26"/>
      <c r="AN707" s="26"/>
      <c r="AO707" s="26"/>
      <c r="AP707" s="26"/>
      <c r="AQ707" s="26"/>
      <c r="AR707" s="26"/>
      <c r="AS707" s="26"/>
      <c r="AT707" s="26"/>
      <c r="AU707" s="26"/>
      <c r="AV707" s="26"/>
      <c r="AW707" s="26"/>
      <c r="AX707" s="26"/>
      <c r="AY707" s="1"/>
      <c r="AZ707" s="26"/>
      <c r="BA707" s="26"/>
      <c r="BB707" s="26"/>
      <c r="BC707" s="26"/>
      <c r="BD707" s="26"/>
      <c r="BE707" s="26"/>
      <c r="BF707" s="26"/>
      <c r="BG707" s="26"/>
      <c r="BH707" s="26"/>
      <c r="BI707" s="26"/>
      <c r="BJ707" s="26"/>
      <c r="BK707" s="26"/>
      <c r="BL707" s="26"/>
      <c r="BM707" s="26"/>
      <c r="BN707" s="26"/>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96"/>
      <c r="CP707" s="14"/>
      <c r="CQ707" s="14"/>
      <c r="CR707" s="14"/>
      <c r="CS707" s="14"/>
      <c r="CT707" s="1"/>
      <c r="CU707" s="14"/>
      <c r="CV707" s="1"/>
      <c r="CW707" s="1"/>
      <c r="CX707" s="14"/>
      <c r="CY707" s="1"/>
      <c r="CZ707" s="1"/>
      <c r="DA707" s="1"/>
      <c r="DB707" s="1"/>
      <c r="DC707" s="1"/>
      <c r="DD707" s="1"/>
      <c r="DE707" s="1"/>
      <c r="DF707" s="1"/>
      <c r="DG707" s="1"/>
      <c r="DH707" s="1"/>
      <c r="DI707" s="1"/>
      <c r="DJ707" s="1"/>
      <c r="DK707" s="1"/>
      <c r="DL707" s="1"/>
      <c r="DM707" s="1"/>
      <c r="DN707" s="1"/>
      <c r="DO707" s="1"/>
      <c r="DP707" s="1"/>
      <c r="DQ707" s="1"/>
      <c r="DR707" s="1"/>
      <c r="DS707" s="1"/>
      <c r="DT707" s="1"/>
      <c r="DU707" s="14"/>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29"/>
    </row>
    <row r="708" spans="1:160" x14ac:dyDescent="0.25">
      <c r="A708" s="5"/>
      <c r="B708" s="1"/>
      <c r="C708" s="98"/>
      <c r="D708" s="98"/>
      <c r="E708" s="1"/>
      <c r="F708" s="22"/>
      <c r="G708" s="22"/>
      <c r="H708" s="22"/>
      <c r="I708" s="22"/>
      <c r="J708" s="22"/>
      <c r="K708" s="22"/>
      <c r="L708" s="22"/>
      <c r="M708" s="22"/>
      <c r="N708" s="22"/>
      <c r="O708" s="22"/>
      <c r="P708" s="22"/>
      <c r="Q708" s="22"/>
      <c r="R708" s="1"/>
      <c r="S708" s="1"/>
      <c r="T708" s="8"/>
      <c r="U708" s="1"/>
      <c r="V708" s="1"/>
      <c r="W708" s="1"/>
      <c r="X708" s="1"/>
      <c r="Y708" s="1"/>
      <c r="Z708" s="1"/>
      <c r="AA708" s="1"/>
      <c r="AC708" s="1"/>
      <c r="AD708" s="1"/>
      <c r="AE708" s="1"/>
      <c r="AF708" s="1"/>
      <c r="AG708" s="1"/>
      <c r="AH708" s="26"/>
      <c r="AI708" s="26"/>
      <c r="AJ708" s="26"/>
      <c r="AK708" s="26"/>
      <c r="AL708" s="26"/>
      <c r="AM708" s="26"/>
      <c r="AN708" s="26"/>
      <c r="AO708" s="26"/>
      <c r="AP708" s="26"/>
      <c r="AQ708" s="26"/>
      <c r="AR708" s="26"/>
      <c r="AS708" s="26"/>
      <c r="AT708" s="26"/>
      <c r="AU708" s="26"/>
      <c r="AV708" s="26"/>
      <c r="AW708" s="26"/>
      <c r="AX708" s="26"/>
      <c r="AY708" s="1"/>
      <c r="AZ708" s="26"/>
      <c r="BA708" s="26"/>
      <c r="BB708" s="26"/>
      <c r="BC708" s="26"/>
      <c r="BD708" s="26"/>
      <c r="BE708" s="26"/>
      <c r="BF708" s="26"/>
      <c r="BG708" s="26"/>
      <c r="BH708" s="26"/>
      <c r="BI708" s="26"/>
      <c r="BJ708" s="26"/>
      <c r="BK708" s="26"/>
      <c r="BL708" s="26"/>
      <c r="BM708" s="26"/>
      <c r="BN708" s="26"/>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96"/>
      <c r="CP708" s="14"/>
      <c r="CQ708" s="14"/>
      <c r="CR708" s="14"/>
      <c r="CS708" s="14"/>
      <c r="CT708" s="1"/>
      <c r="CU708" s="14"/>
      <c r="CV708" s="1"/>
      <c r="CW708" s="1"/>
      <c r="CX708" s="14"/>
      <c r="CY708" s="1"/>
      <c r="CZ708" s="1"/>
      <c r="DA708" s="1"/>
      <c r="DB708" s="1"/>
      <c r="DC708" s="1"/>
      <c r="DD708" s="1"/>
      <c r="DE708" s="1"/>
      <c r="DF708" s="1"/>
      <c r="DG708" s="1"/>
      <c r="DH708" s="1"/>
      <c r="DI708" s="1"/>
      <c r="DJ708" s="1"/>
      <c r="DK708" s="1"/>
      <c r="DL708" s="1"/>
      <c r="DM708" s="1"/>
      <c r="DN708" s="1"/>
      <c r="DO708" s="1"/>
      <c r="DP708" s="1"/>
      <c r="DQ708" s="1"/>
      <c r="DR708" s="1"/>
      <c r="DS708" s="1"/>
      <c r="DT708" s="1"/>
      <c r="DU708" s="14"/>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29"/>
    </row>
    <row r="709" spans="1:160" x14ac:dyDescent="0.25">
      <c r="A709" s="5"/>
      <c r="B709" s="1"/>
      <c r="C709" s="98"/>
      <c r="D709" s="98"/>
      <c r="E709" s="1"/>
      <c r="F709" s="22"/>
      <c r="G709" s="22"/>
      <c r="H709" s="22"/>
      <c r="I709" s="22"/>
      <c r="J709" s="22"/>
      <c r="K709" s="22"/>
      <c r="L709" s="22"/>
      <c r="M709" s="22"/>
      <c r="N709" s="22"/>
      <c r="O709" s="22"/>
      <c r="P709" s="22"/>
      <c r="Q709" s="22"/>
      <c r="R709" s="1"/>
      <c r="S709" s="1"/>
      <c r="T709" s="8"/>
      <c r="U709" s="1"/>
      <c r="V709" s="1"/>
      <c r="W709" s="1"/>
      <c r="X709" s="1"/>
      <c r="Y709" s="1"/>
      <c r="Z709" s="1"/>
      <c r="AA709" s="1"/>
      <c r="AC709" s="1"/>
      <c r="AD709" s="1"/>
      <c r="AE709" s="1"/>
      <c r="AF709" s="1"/>
      <c r="AG709" s="1"/>
      <c r="AH709" s="26"/>
      <c r="AI709" s="26"/>
      <c r="AJ709" s="26"/>
      <c r="AK709" s="26"/>
      <c r="AL709" s="26"/>
      <c r="AM709" s="26"/>
      <c r="AN709" s="26"/>
      <c r="AO709" s="26"/>
      <c r="AP709" s="26"/>
      <c r="AQ709" s="26"/>
      <c r="AR709" s="26"/>
      <c r="AS709" s="26"/>
      <c r="AT709" s="26"/>
      <c r="AU709" s="26"/>
      <c r="AV709" s="26"/>
      <c r="AW709" s="26"/>
      <c r="AX709" s="26"/>
      <c r="AY709" s="1"/>
      <c r="AZ709" s="26"/>
      <c r="BA709" s="26"/>
      <c r="BB709" s="26"/>
      <c r="BC709" s="26"/>
      <c r="BD709" s="26"/>
      <c r="BE709" s="26"/>
      <c r="BF709" s="26"/>
      <c r="BG709" s="26"/>
      <c r="BH709" s="26"/>
      <c r="BI709" s="26"/>
      <c r="BJ709" s="26"/>
      <c r="BK709" s="26"/>
      <c r="BL709" s="26"/>
      <c r="BM709" s="26"/>
      <c r="BN709" s="26"/>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96"/>
      <c r="CP709" s="14"/>
      <c r="CQ709" s="14"/>
      <c r="CR709" s="14"/>
      <c r="CS709" s="14"/>
      <c r="CT709" s="1"/>
      <c r="CU709" s="14"/>
      <c r="CV709" s="1"/>
      <c r="CW709" s="1"/>
      <c r="CX709" s="14"/>
      <c r="CY709" s="1"/>
      <c r="CZ709" s="1"/>
      <c r="DA709" s="1"/>
      <c r="DB709" s="1"/>
      <c r="DC709" s="1"/>
      <c r="DD709" s="1"/>
      <c r="DE709" s="1"/>
      <c r="DF709" s="1"/>
      <c r="DG709" s="1"/>
      <c r="DH709" s="1"/>
      <c r="DI709" s="1"/>
      <c r="DJ709" s="1"/>
      <c r="DK709" s="1"/>
      <c r="DL709" s="1"/>
      <c r="DM709" s="1"/>
      <c r="DN709" s="1"/>
      <c r="DO709" s="1"/>
      <c r="DP709" s="1"/>
      <c r="DQ709" s="1"/>
      <c r="DR709" s="1"/>
      <c r="DS709" s="1"/>
      <c r="DT709" s="1"/>
      <c r="DU709" s="14"/>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29"/>
    </row>
    <row r="710" spans="1:160" x14ac:dyDescent="0.25">
      <c r="A710" s="5"/>
      <c r="B710" s="1"/>
      <c r="C710" s="98"/>
      <c r="D710" s="98"/>
      <c r="E710" s="1"/>
      <c r="F710" s="22"/>
      <c r="G710" s="22"/>
      <c r="H710" s="22"/>
      <c r="I710" s="22"/>
      <c r="J710" s="22"/>
      <c r="K710" s="22"/>
      <c r="L710" s="22"/>
      <c r="M710" s="22"/>
      <c r="N710" s="22"/>
      <c r="O710" s="22"/>
      <c r="P710" s="22"/>
      <c r="Q710" s="22"/>
      <c r="R710" s="1"/>
      <c r="S710" s="1"/>
      <c r="T710" s="8"/>
      <c r="U710" s="1"/>
      <c r="V710" s="1"/>
      <c r="W710" s="1"/>
      <c r="X710" s="1"/>
      <c r="Y710" s="1"/>
      <c r="Z710" s="1"/>
      <c r="AA710" s="1"/>
      <c r="AC710" s="1"/>
      <c r="AD710" s="1"/>
      <c r="AE710" s="1"/>
      <c r="AF710" s="1"/>
      <c r="AG710" s="1"/>
      <c r="AH710" s="26"/>
      <c r="AI710" s="26"/>
      <c r="AJ710" s="26"/>
      <c r="AK710" s="26"/>
      <c r="AL710" s="26"/>
      <c r="AM710" s="26"/>
      <c r="AN710" s="26"/>
      <c r="AO710" s="26"/>
      <c r="AP710" s="26"/>
      <c r="AQ710" s="26"/>
      <c r="AR710" s="26"/>
      <c r="AS710" s="26"/>
      <c r="AT710" s="26"/>
      <c r="AU710" s="26"/>
      <c r="AV710" s="26"/>
      <c r="AW710" s="26"/>
      <c r="AX710" s="26"/>
      <c r="AY710" s="1"/>
      <c r="AZ710" s="26"/>
      <c r="BA710" s="26"/>
      <c r="BB710" s="26"/>
      <c r="BC710" s="26"/>
      <c r="BD710" s="26"/>
      <c r="BE710" s="26"/>
      <c r="BF710" s="26"/>
      <c r="BG710" s="26"/>
      <c r="BH710" s="26"/>
      <c r="BI710" s="26"/>
      <c r="BJ710" s="26"/>
      <c r="BK710" s="26"/>
      <c r="BL710" s="26"/>
      <c r="BM710" s="26"/>
      <c r="BN710" s="26"/>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96"/>
      <c r="CP710" s="14"/>
      <c r="CQ710" s="14"/>
      <c r="CR710" s="14"/>
      <c r="CS710" s="14"/>
      <c r="CT710" s="1"/>
      <c r="CU710" s="14"/>
      <c r="CV710" s="1"/>
      <c r="CW710" s="1"/>
      <c r="CX710" s="14"/>
      <c r="CY710" s="1"/>
      <c r="CZ710" s="1"/>
      <c r="DA710" s="1"/>
      <c r="DB710" s="1"/>
      <c r="DC710" s="1"/>
      <c r="DD710" s="1"/>
      <c r="DE710" s="1"/>
      <c r="DF710" s="1"/>
      <c r="DG710" s="1"/>
      <c r="DH710" s="1"/>
      <c r="DI710" s="1"/>
      <c r="DJ710" s="1"/>
      <c r="DK710" s="1"/>
      <c r="DL710" s="1"/>
      <c r="DM710" s="1"/>
      <c r="DN710" s="1"/>
      <c r="DO710" s="1"/>
      <c r="DP710" s="1"/>
      <c r="DQ710" s="1"/>
      <c r="DR710" s="1"/>
      <c r="DS710" s="1"/>
      <c r="DT710" s="1"/>
      <c r="DU710" s="14"/>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29"/>
    </row>
    <row r="711" spans="1:160" x14ac:dyDescent="0.25">
      <c r="A711" s="5"/>
      <c r="B711" s="1"/>
      <c r="C711" s="98"/>
      <c r="D711" s="98"/>
      <c r="E711" s="1"/>
      <c r="F711" s="22"/>
      <c r="G711" s="22"/>
      <c r="H711" s="22"/>
      <c r="I711" s="22"/>
      <c r="J711" s="22"/>
      <c r="K711" s="22"/>
      <c r="L711" s="22"/>
      <c r="M711" s="22"/>
      <c r="N711" s="22"/>
      <c r="O711" s="22"/>
      <c r="P711" s="22"/>
      <c r="Q711" s="22"/>
      <c r="R711" s="1"/>
      <c r="S711" s="1"/>
      <c r="T711" s="8"/>
      <c r="U711" s="1"/>
      <c r="V711" s="1"/>
      <c r="W711" s="1"/>
      <c r="X711" s="1"/>
      <c r="Y711" s="1"/>
      <c r="Z711" s="1"/>
      <c r="AA711" s="1"/>
      <c r="AC711" s="1"/>
      <c r="AD711" s="1"/>
      <c r="AE711" s="1"/>
      <c r="AF711" s="1"/>
      <c r="AG711" s="1"/>
      <c r="AH711" s="26"/>
      <c r="AI711" s="26"/>
      <c r="AJ711" s="26"/>
      <c r="AK711" s="26"/>
      <c r="AL711" s="26"/>
      <c r="AM711" s="26"/>
      <c r="AN711" s="26"/>
      <c r="AO711" s="26"/>
      <c r="AP711" s="26"/>
      <c r="AQ711" s="26"/>
      <c r="AR711" s="26"/>
      <c r="AS711" s="26"/>
      <c r="AT711" s="26"/>
      <c r="AU711" s="26"/>
      <c r="AV711" s="26"/>
      <c r="AW711" s="26"/>
      <c r="AX711" s="26"/>
      <c r="AY711" s="1"/>
      <c r="AZ711" s="26"/>
      <c r="BA711" s="26"/>
      <c r="BB711" s="26"/>
      <c r="BC711" s="26"/>
      <c r="BD711" s="26"/>
      <c r="BE711" s="26"/>
      <c r="BF711" s="26"/>
      <c r="BG711" s="26"/>
      <c r="BH711" s="26"/>
      <c r="BI711" s="26"/>
      <c r="BJ711" s="26"/>
      <c r="BK711" s="26"/>
      <c r="BL711" s="26"/>
      <c r="BM711" s="26"/>
      <c r="BN711" s="26"/>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96"/>
      <c r="CP711" s="14"/>
      <c r="CQ711" s="14"/>
      <c r="CR711" s="14"/>
      <c r="CS711" s="14"/>
      <c r="CT711" s="1"/>
      <c r="CU711" s="14"/>
      <c r="CV711" s="1"/>
      <c r="CW711" s="1"/>
      <c r="CX711" s="14"/>
      <c r="CY711" s="1"/>
      <c r="CZ711" s="1"/>
      <c r="DA711" s="1"/>
      <c r="DB711" s="1"/>
      <c r="DC711" s="1"/>
      <c r="DD711" s="1"/>
      <c r="DE711" s="1"/>
      <c r="DF711" s="1"/>
      <c r="DG711" s="1"/>
      <c r="DH711" s="1"/>
      <c r="DI711" s="1"/>
      <c r="DJ711" s="1"/>
      <c r="DK711" s="1"/>
      <c r="DL711" s="1"/>
      <c r="DM711" s="1"/>
      <c r="DN711" s="1"/>
      <c r="DO711" s="1"/>
      <c r="DP711" s="1"/>
      <c r="DQ711" s="1"/>
      <c r="DR711" s="1"/>
      <c r="DS711" s="1"/>
      <c r="DT711" s="1"/>
      <c r="DU711" s="14"/>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29"/>
    </row>
    <row r="712" spans="1:160" x14ac:dyDescent="0.25">
      <c r="A712" s="5"/>
      <c r="B712" s="1"/>
      <c r="C712" s="98"/>
      <c r="D712" s="98"/>
      <c r="E712" s="1"/>
      <c r="F712" s="22"/>
      <c r="G712" s="22"/>
      <c r="H712" s="22"/>
      <c r="I712" s="22"/>
      <c r="J712" s="22"/>
      <c r="K712" s="22"/>
      <c r="L712" s="22"/>
      <c r="M712" s="22"/>
      <c r="N712" s="22"/>
      <c r="O712" s="22"/>
      <c r="P712" s="22"/>
      <c r="Q712" s="22"/>
      <c r="R712" s="1"/>
      <c r="S712" s="1"/>
      <c r="T712" s="8"/>
      <c r="U712" s="1"/>
      <c r="V712" s="1"/>
      <c r="W712" s="1"/>
      <c r="X712" s="1"/>
      <c r="Y712" s="1"/>
      <c r="Z712" s="1"/>
      <c r="AA712" s="1"/>
      <c r="AC712" s="1"/>
      <c r="AD712" s="1"/>
      <c r="AE712" s="1"/>
      <c r="AF712" s="1"/>
      <c r="AG712" s="1"/>
      <c r="AH712" s="26"/>
      <c r="AI712" s="26"/>
      <c r="AJ712" s="26"/>
      <c r="AK712" s="26"/>
      <c r="AL712" s="26"/>
      <c r="AM712" s="26"/>
      <c r="AN712" s="26"/>
      <c r="AO712" s="26"/>
      <c r="AP712" s="26"/>
      <c r="AQ712" s="26"/>
      <c r="AR712" s="26"/>
      <c r="AS712" s="26"/>
      <c r="AT712" s="26"/>
      <c r="AU712" s="26"/>
      <c r="AV712" s="26"/>
      <c r="AW712" s="26"/>
      <c r="AX712" s="26"/>
      <c r="AY712" s="1"/>
      <c r="AZ712" s="26"/>
      <c r="BA712" s="26"/>
      <c r="BB712" s="26"/>
      <c r="BC712" s="26"/>
      <c r="BD712" s="26"/>
      <c r="BE712" s="26"/>
      <c r="BF712" s="26"/>
      <c r="BG712" s="26"/>
      <c r="BH712" s="26"/>
      <c r="BI712" s="26"/>
      <c r="BJ712" s="26"/>
      <c r="BK712" s="26"/>
      <c r="BL712" s="26"/>
      <c r="BM712" s="26"/>
      <c r="BN712" s="26"/>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96"/>
      <c r="CP712" s="14"/>
      <c r="CQ712" s="14"/>
      <c r="CR712" s="14"/>
      <c r="CS712" s="14"/>
      <c r="CT712" s="1"/>
      <c r="CU712" s="14"/>
      <c r="CV712" s="1"/>
      <c r="CW712" s="1"/>
      <c r="CX712" s="14"/>
      <c r="CY712" s="1"/>
      <c r="CZ712" s="1"/>
      <c r="DA712" s="1"/>
      <c r="DB712" s="1"/>
      <c r="DC712" s="1"/>
      <c r="DD712" s="1"/>
      <c r="DE712" s="1"/>
      <c r="DF712" s="1"/>
      <c r="DG712" s="1"/>
      <c r="DH712" s="1"/>
      <c r="DI712" s="1"/>
      <c r="DJ712" s="1"/>
      <c r="DK712" s="1"/>
      <c r="DL712" s="1"/>
      <c r="DM712" s="1"/>
      <c r="DN712" s="1"/>
      <c r="DO712" s="1"/>
      <c r="DP712" s="1"/>
      <c r="DQ712" s="1"/>
      <c r="DR712" s="1"/>
      <c r="DS712" s="1"/>
      <c r="DT712" s="1"/>
      <c r="DU712" s="14"/>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29"/>
    </row>
    <row r="713" spans="1:160" x14ac:dyDescent="0.25">
      <c r="A713" s="5"/>
      <c r="B713" s="1"/>
      <c r="C713" s="98"/>
      <c r="D713" s="98"/>
      <c r="E713" s="1"/>
      <c r="F713" s="22"/>
      <c r="G713" s="22"/>
      <c r="H713" s="22"/>
      <c r="I713" s="22"/>
      <c r="J713" s="22"/>
      <c r="K713" s="22"/>
      <c r="L713" s="22"/>
      <c r="M713" s="22"/>
      <c r="N713" s="22"/>
      <c r="O713" s="22"/>
      <c r="P713" s="22"/>
      <c r="Q713" s="22"/>
      <c r="R713" s="1"/>
      <c r="S713" s="1"/>
      <c r="T713" s="8"/>
      <c r="U713" s="1"/>
      <c r="V713" s="1"/>
      <c r="W713" s="1"/>
      <c r="X713" s="1"/>
      <c r="Y713" s="1"/>
      <c r="Z713" s="1"/>
      <c r="AA713" s="1"/>
      <c r="AC713" s="1"/>
      <c r="AD713" s="1"/>
      <c r="AE713" s="1"/>
      <c r="AF713" s="1"/>
      <c r="AG713" s="1"/>
      <c r="AH713" s="26"/>
      <c r="AI713" s="26"/>
      <c r="AJ713" s="26"/>
      <c r="AK713" s="26"/>
      <c r="AL713" s="26"/>
      <c r="AM713" s="26"/>
      <c r="AN713" s="26"/>
      <c r="AO713" s="26"/>
      <c r="AP713" s="26"/>
      <c r="AQ713" s="26"/>
      <c r="AR713" s="26"/>
      <c r="AS713" s="26"/>
      <c r="AT713" s="26"/>
      <c r="AU713" s="26"/>
      <c r="AV713" s="26"/>
      <c r="AW713" s="26"/>
      <c r="AX713" s="26"/>
      <c r="AY713" s="1"/>
      <c r="AZ713" s="26"/>
      <c r="BA713" s="26"/>
      <c r="BB713" s="26"/>
      <c r="BC713" s="26"/>
      <c r="BD713" s="26"/>
      <c r="BE713" s="26"/>
      <c r="BF713" s="26"/>
      <c r="BG713" s="26"/>
      <c r="BH713" s="26"/>
      <c r="BI713" s="26"/>
      <c r="BJ713" s="26"/>
      <c r="BK713" s="26"/>
      <c r="BL713" s="26"/>
      <c r="BM713" s="26"/>
      <c r="BN713" s="26"/>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96"/>
      <c r="CP713" s="14"/>
      <c r="CQ713" s="14"/>
      <c r="CR713" s="14"/>
      <c r="CS713" s="14"/>
      <c r="CT713" s="1"/>
      <c r="CU713" s="14"/>
      <c r="CV713" s="1"/>
      <c r="CW713" s="1"/>
      <c r="CX713" s="14"/>
      <c r="CY713" s="1"/>
      <c r="CZ713" s="1"/>
      <c r="DA713" s="1"/>
      <c r="DB713" s="1"/>
      <c r="DC713" s="1"/>
      <c r="DD713" s="1"/>
      <c r="DE713" s="1"/>
      <c r="DF713" s="1"/>
      <c r="DG713" s="1"/>
      <c r="DH713" s="1"/>
      <c r="DI713" s="1"/>
      <c r="DJ713" s="1"/>
      <c r="DK713" s="1"/>
      <c r="DL713" s="1"/>
      <c r="DM713" s="1"/>
      <c r="DN713" s="1"/>
      <c r="DO713" s="1"/>
      <c r="DP713" s="1"/>
      <c r="DQ713" s="1"/>
      <c r="DR713" s="1"/>
      <c r="DS713" s="1"/>
      <c r="DT713" s="1"/>
      <c r="DU713" s="14"/>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29"/>
    </row>
    <row r="714" spans="1:160" x14ac:dyDescent="0.25">
      <c r="A714" s="5"/>
      <c r="B714" s="1"/>
      <c r="C714" s="98"/>
      <c r="D714" s="98"/>
      <c r="E714" s="1"/>
      <c r="F714" s="22"/>
      <c r="G714" s="22"/>
      <c r="H714" s="22"/>
      <c r="I714" s="22"/>
      <c r="J714" s="22"/>
      <c r="K714" s="22"/>
      <c r="L714" s="22"/>
      <c r="M714" s="22"/>
      <c r="N714" s="22"/>
      <c r="O714" s="22"/>
      <c r="P714" s="22"/>
      <c r="Q714" s="22"/>
      <c r="R714" s="1"/>
      <c r="S714" s="1"/>
      <c r="T714" s="8"/>
      <c r="U714" s="1"/>
      <c r="V714" s="1"/>
      <c r="W714" s="1"/>
      <c r="X714" s="1"/>
      <c r="Y714" s="1"/>
      <c r="Z714" s="1"/>
      <c r="AA714" s="1"/>
      <c r="AC714" s="1"/>
      <c r="AD714" s="1"/>
      <c r="AE714" s="1"/>
      <c r="AF714" s="1"/>
      <c r="AG714" s="1"/>
      <c r="AH714" s="26"/>
      <c r="AI714" s="26"/>
      <c r="AJ714" s="26"/>
      <c r="AK714" s="26"/>
      <c r="AL714" s="26"/>
      <c r="AM714" s="26"/>
      <c r="AN714" s="26"/>
      <c r="AO714" s="26"/>
      <c r="AP714" s="26"/>
      <c r="AQ714" s="26"/>
      <c r="AR714" s="26"/>
      <c r="AS714" s="26"/>
      <c r="AT714" s="26"/>
      <c r="AU714" s="26"/>
      <c r="AV714" s="26"/>
      <c r="AW714" s="26"/>
      <c r="AX714" s="26"/>
      <c r="AY714" s="1"/>
      <c r="AZ714" s="26"/>
      <c r="BA714" s="26"/>
      <c r="BB714" s="26"/>
      <c r="BC714" s="26"/>
      <c r="BD714" s="26"/>
      <c r="BE714" s="26"/>
      <c r="BF714" s="26"/>
      <c r="BG714" s="26"/>
      <c r="BH714" s="26"/>
      <c r="BI714" s="26"/>
      <c r="BJ714" s="26"/>
      <c r="BK714" s="26"/>
      <c r="BL714" s="26"/>
      <c r="BM714" s="26"/>
      <c r="BN714" s="26"/>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96"/>
      <c r="CP714" s="14"/>
      <c r="CQ714" s="14"/>
      <c r="CR714" s="14"/>
      <c r="CS714" s="14"/>
      <c r="CT714" s="1"/>
      <c r="CU714" s="14"/>
      <c r="CV714" s="1"/>
      <c r="CW714" s="1"/>
      <c r="CX714" s="14"/>
      <c r="CY714" s="1"/>
      <c r="CZ714" s="1"/>
      <c r="DA714" s="1"/>
      <c r="DB714" s="1"/>
      <c r="DC714" s="1"/>
      <c r="DD714" s="1"/>
      <c r="DE714" s="1"/>
      <c r="DF714" s="1"/>
      <c r="DG714" s="1"/>
      <c r="DH714" s="1"/>
      <c r="DI714" s="1"/>
      <c r="DJ714" s="1"/>
      <c r="DK714" s="1"/>
      <c r="DL714" s="1"/>
      <c r="DM714" s="1"/>
      <c r="DN714" s="1"/>
      <c r="DO714" s="1"/>
      <c r="DP714" s="1"/>
      <c r="DQ714" s="1"/>
      <c r="DR714" s="1"/>
      <c r="DS714" s="1"/>
      <c r="DT714" s="1"/>
      <c r="DU714" s="14"/>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29"/>
    </row>
    <row r="715" spans="1:160" x14ac:dyDescent="0.25">
      <c r="A715" s="5"/>
      <c r="B715" s="1"/>
      <c r="C715" s="98"/>
      <c r="D715" s="98"/>
      <c r="E715" s="1"/>
      <c r="F715" s="22"/>
      <c r="G715" s="22"/>
      <c r="H715" s="22"/>
      <c r="I715" s="22"/>
      <c r="J715" s="22"/>
      <c r="K715" s="22"/>
      <c r="L715" s="22"/>
      <c r="M715" s="22"/>
      <c r="N715" s="22"/>
      <c r="O715" s="22"/>
      <c r="P715" s="22"/>
      <c r="Q715" s="22"/>
      <c r="R715" s="1"/>
      <c r="S715" s="1"/>
      <c r="T715" s="8"/>
      <c r="U715" s="1"/>
      <c r="V715" s="1"/>
      <c r="W715" s="1"/>
      <c r="X715" s="1"/>
      <c r="Y715" s="1"/>
      <c r="Z715" s="1"/>
      <c r="AA715" s="1"/>
      <c r="AC715" s="1"/>
      <c r="AD715" s="1"/>
      <c r="AE715" s="1"/>
      <c r="AF715" s="1"/>
      <c r="AG715" s="1"/>
      <c r="AH715" s="26"/>
      <c r="AI715" s="26"/>
      <c r="AJ715" s="26"/>
      <c r="AK715" s="26"/>
      <c r="AL715" s="26"/>
      <c r="AM715" s="26"/>
      <c r="AN715" s="26"/>
      <c r="AO715" s="26"/>
      <c r="AP715" s="26"/>
      <c r="AQ715" s="26"/>
      <c r="AR715" s="26"/>
      <c r="AS715" s="26"/>
      <c r="AT715" s="26"/>
      <c r="AU715" s="26"/>
      <c r="AV715" s="26"/>
      <c r="AW715" s="26"/>
      <c r="AX715" s="26"/>
      <c r="AY715" s="1"/>
      <c r="AZ715" s="26"/>
      <c r="BA715" s="26"/>
      <c r="BB715" s="26"/>
      <c r="BC715" s="26"/>
      <c r="BD715" s="26"/>
      <c r="BE715" s="26"/>
      <c r="BF715" s="26"/>
      <c r="BG715" s="26"/>
      <c r="BH715" s="26"/>
      <c r="BI715" s="26"/>
      <c r="BJ715" s="26"/>
      <c r="BK715" s="26"/>
      <c r="BL715" s="26"/>
      <c r="BM715" s="26"/>
      <c r="BN715" s="26"/>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96"/>
      <c r="CP715" s="14"/>
      <c r="CQ715" s="14"/>
      <c r="CR715" s="14"/>
      <c r="CS715" s="14"/>
      <c r="CT715" s="1"/>
      <c r="CU715" s="14"/>
      <c r="CV715" s="1"/>
      <c r="CW715" s="1"/>
      <c r="CX715" s="14"/>
      <c r="CY715" s="1"/>
      <c r="CZ715" s="1"/>
      <c r="DA715" s="1"/>
      <c r="DB715" s="1"/>
      <c r="DC715" s="1"/>
      <c r="DD715" s="1"/>
      <c r="DE715" s="1"/>
      <c r="DF715" s="1"/>
      <c r="DG715" s="1"/>
      <c r="DH715" s="1"/>
      <c r="DI715" s="1"/>
      <c r="DJ715" s="1"/>
      <c r="DK715" s="1"/>
      <c r="DL715" s="1"/>
      <c r="DM715" s="1"/>
      <c r="DN715" s="1"/>
      <c r="DO715" s="1"/>
      <c r="DP715" s="1"/>
      <c r="DQ715" s="1"/>
      <c r="DR715" s="1"/>
      <c r="DS715" s="1"/>
      <c r="DT715" s="1"/>
      <c r="DU715" s="14"/>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29"/>
    </row>
    <row r="716" spans="1:160" x14ac:dyDescent="0.25">
      <c r="A716" s="5"/>
      <c r="B716" s="1"/>
      <c r="C716" s="98"/>
      <c r="D716" s="98"/>
      <c r="E716" s="1"/>
      <c r="F716" s="22"/>
      <c r="G716" s="22"/>
      <c r="H716" s="22"/>
      <c r="I716" s="22"/>
      <c r="J716" s="22"/>
      <c r="K716" s="22"/>
      <c r="L716" s="22"/>
      <c r="M716" s="22"/>
      <c r="N716" s="22"/>
      <c r="O716" s="22"/>
      <c r="P716" s="22"/>
      <c r="Q716" s="22"/>
      <c r="R716" s="1"/>
      <c r="S716" s="1"/>
      <c r="T716" s="8"/>
      <c r="U716" s="1"/>
      <c r="V716" s="1"/>
      <c r="W716" s="1"/>
      <c r="X716" s="1"/>
      <c r="Y716" s="1"/>
      <c r="Z716" s="1"/>
      <c r="AA716" s="1"/>
      <c r="AC716" s="1"/>
      <c r="AD716" s="1"/>
      <c r="AE716" s="1"/>
      <c r="AF716" s="1"/>
      <c r="AG716" s="1"/>
      <c r="AH716" s="26"/>
      <c r="AI716" s="26"/>
      <c r="AJ716" s="26"/>
      <c r="AK716" s="26"/>
      <c r="AL716" s="26"/>
      <c r="AM716" s="26"/>
      <c r="AN716" s="26"/>
      <c r="AO716" s="26"/>
      <c r="AP716" s="26"/>
      <c r="AQ716" s="26"/>
      <c r="AR716" s="26"/>
      <c r="AS716" s="26"/>
      <c r="AT716" s="26"/>
      <c r="AU716" s="26"/>
      <c r="AV716" s="26"/>
      <c r="AW716" s="26"/>
      <c r="AX716" s="26"/>
      <c r="AY716" s="1"/>
      <c r="AZ716" s="26"/>
      <c r="BA716" s="26"/>
      <c r="BB716" s="26"/>
      <c r="BC716" s="26"/>
      <c r="BD716" s="26"/>
      <c r="BE716" s="26"/>
      <c r="BF716" s="26"/>
      <c r="BG716" s="26"/>
      <c r="BH716" s="26"/>
      <c r="BI716" s="26"/>
      <c r="BJ716" s="26"/>
      <c r="BK716" s="26"/>
      <c r="BL716" s="26"/>
      <c r="BM716" s="26"/>
      <c r="BN716" s="26"/>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96"/>
      <c r="CP716" s="14"/>
      <c r="CQ716" s="14"/>
      <c r="CR716" s="14"/>
      <c r="CS716" s="14"/>
      <c r="CT716" s="1"/>
      <c r="CU716" s="14"/>
      <c r="CV716" s="1"/>
      <c r="CW716" s="1"/>
      <c r="CX716" s="14"/>
      <c r="CY716" s="1"/>
      <c r="CZ716" s="1"/>
      <c r="DA716" s="1"/>
      <c r="DB716" s="1"/>
      <c r="DC716" s="1"/>
      <c r="DD716" s="1"/>
      <c r="DE716" s="1"/>
      <c r="DF716" s="1"/>
      <c r="DG716" s="1"/>
      <c r="DH716" s="1"/>
      <c r="DI716" s="1"/>
      <c r="DJ716" s="1"/>
      <c r="DK716" s="1"/>
      <c r="DL716" s="1"/>
      <c r="DM716" s="1"/>
      <c r="DN716" s="1"/>
      <c r="DO716" s="1"/>
      <c r="DP716" s="1"/>
      <c r="DQ716" s="1"/>
      <c r="DR716" s="1"/>
      <c r="DS716" s="1"/>
      <c r="DT716" s="1"/>
      <c r="DU716" s="14"/>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29"/>
    </row>
    <row r="717" spans="1:160" x14ac:dyDescent="0.25">
      <c r="A717" s="5"/>
      <c r="B717" s="1"/>
      <c r="C717" s="98"/>
      <c r="D717" s="98"/>
      <c r="E717" s="1"/>
      <c r="F717" s="22"/>
      <c r="G717" s="22"/>
      <c r="H717" s="22"/>
      <c r="I717" s="22"/>
      <c r="J717" s="22"/>
      <c r="K717" s="22"/>
      <c r="L717" s="22"/>
      <c r="M717" s="22"/>
      <c r="N717" s="22"/>
      <c r="O717" s="22"/>
      <c r="P717" s="22"/>
      <c r="Q717" s="22"/>
      <c r="R717" s="1"/>
      <c r="S717" s="1"/>
      <c r="T717" s="8"/>
      <c r="U717" s="1"/>
      <c r="V717" s="1"/>
      <c r="W717" s="1"/>
      <c r="X717" s="1"/>
      <c r="Y717" s="1"/>
      <c r="Z717" s="1"/>
      <c r="AA717" s="1"/>
      <c r="AC717" s="1"/>
      <c r="AD717" s="1"/>
      <c r="AE717" s="1"/>
      <c r="AF717" s="1"/>
      <c r="AG717" s="1"/>
      <c r="AH717" s="26"/>
      <c r="AI717" s="26"/>
      <c r="AJ717" s="26"/>
      <c r="AK717" s="26"/>
      <c r="AL717" s="26"/>
      <c r="AM717" s="26"/>
      <c r="AN717" s="26"/>
      <c r="AO717" s="26"/>
      <c r="AP717" s="26"/>
      <c r="AQ717" s="26"/>
      <c r="AR717" s="26"/>
      <c r="AS717" s="26"/>
      <c r="AT717" s="26"/>
      <c r="AU717" s="26"/>
      <c r="AV717" s="26"/>
      <c r="AW717" s="26"/>
      <c r="AX717" s="26"/>
      <c r="AY717" s="1"/>
      <c r="AZ717" s="26"/>
      <c r="BA717" s="26"/>
      <c r="BB717" s="26"/>
      <c r="BC717" s="26"/>
      <c r="BD717" s="26"/>
      <c r="BE717" s="26"/>
      <c r="BF717" s="26"/>
      <c r="BG717" s="26"/>
      <c r="BH717" s="26"/>
      <c r="BI717" s="26"/>
      <c r="BJ717" s="26"/>
      <c r="BK717" s="26"/>
      <c r="BL717" s="26"/>
      <c r="BM717" s="26"/>
      <c r="BN717" s="26"/>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96"/>
      <c r="CP717" s="14"/>
      <c r="CQ717" s="14"/>
      <c r="CR717" s="14"/>
      <c r="CS717" s="14"/>
      <c r="CT717" s="1"/>
      <c r="CU717" s="14"/>
      <c r="CV717" s="1"/>
      <c r="CW717" s="1"/>
      <c r="CX717" s="14"/>
      <c r="CY717" s="1"/>
      <c r="CZ717" s="1"/>
      <c r="DA717" s="1"/>
      <c r="DB717" s="1"/>
      <c r="DC717" s="1"/>
      <c r="DD717" s="1"/>
      <c r="DE717" s="1"/>
      <c r="DF717" s="1"/>
      <c r="DG717" s="1"/>
      <c r="DH717" s="1"/>
      <c r="DI717" s="1"/>
      <c r="DJ717" s="1"/>
      <c r="DK717" s="1"/>
      <c r="DL717" s="1"/>
      <c r="DM717" s="1"/>
      <c r="DN717" s="1"/>
      <c r="DO717" s="1"/>
      <c r="DP717" s="1"/>
      <c r="DQ717" s="1"/>
      <c r="DR717" s="1"/>
      <c r="DS717" s="1"/>
      <c r="DT717" s="1"/>
      <c r="DU717" s="14"/>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29"/>
    </row>
    <row r="718" spans="1:160" x14ac:dyDescent="0.25">
      <c r="A718" s="5"/>
      <c r="B718" s="1"/>
      <c r="C718" s="98"/>
      <c r="D718" s="98"/>
      <c r="E718" s="1"/>
      <c r="F718" s="22"/>
      <c r="G718" s="22"/>
      <c r="H718" s="22"/>
      <c r="I718" s="22"/>
      <c r="J718" s="22"/>
      <c r="K718" s="22"/>
      <c r="L718" s="22"/>
      <c r="M718" s="22"/>
      <c r="N718" s="22"/>
      <c r="O718" s="22"/>
      <c r="P718" s="22"/>
      <c r="Q718" s="22"/>
      <c r="R718" s="1"/>
      <c r="S718" s="1"/>
      <c r="T718" s="8"/>
      <c r="U718" s="1"/>
      <c r="V718" s="1"/>
      <c r="W718" s="1"/>
      <c r="X718" s="1"/>
      <c r="Y718" s="1"/>
      <c r="Z718" s="1"/>
      <c r="AA718" s="1"/>
      <c r="AC718" s="1"/>
      <c r="AD718" s="1"/>
      <c r="AE718" s="1"/>
      <c r="AF718" s="1"/>
      <c r="AG718" s="1"/>
      <c r="AH718" s="26"/>
      <c r="AI718" s="26"/>
      <c r="AJ718" s="26"/>
      <c r="AK718" s="26"/>
      <c r="AL718" s="26"/>
      <c r="AM718" s="26"/>
      <c r="AN718" s="26"/>
      <c r="AO718" s="26"/>
      <c r="AP718" s="26"/>
      <c r="AQ718" s="26"/>
      <c r="AR718" s="26"/>
      <c r="AS718" s="26"/>
      <c r="AT718" s="26"/>
      <c r="AU718" s="26"/>
      <c r="AV718" s="26"/>
      <c r="AW718" s="26"/>
      <c r="AX718" s="26"/>
      <c r="AY718" s="1"/>
      <c r="AZ718" s="26"/>
      <c r="BA718" s="26"/>
      <c r="BB718" s="26"/>
      <c r="BC718" s="26"/>
      <c r="BD718" s="26"/>
      <c r="BE718" s="26"/>
      <c r="BF718" s="26"/>
      <c r="BG718" s="26"/>
      <c r="BH718" s="26"/>
      <c r="BI718" s="26"/>
      <c r="BJ718" s="26"/>
      <c r="BK718" s="26"/>
      <c r="BL718" s="26"/>
      <c r="BM718" s="26"/>
      <c r="BN718" s="26"/>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96"/>
      <c r="CP718" s="14"/>
      <c r="CQ718" s="14"/>
      <c r="CR718" s="14"/>
      <c r="CS718" s="14"/>
      <c r="CT718" s="1"/>
      <c r="CU718" s="14"/>
      <c r="CV718" s="1"/>
      <c r="CW718" s="1"/>
      <c r="CX718" s="14"/>
      <c r="CY718" s="1"/>
      <c r="CZ718" s="1"/>
      <c r="DA718" s="1"/>
      <c r="DB718" s="1"/>
      <c r="DC718" s="1"/>
      <c r="DD718" s="1"/>
      <c r="DE718" s="1"/>
      <c r="DF718" s="1"/>
      <c r="DG718" s="1"/>
      <c r="DH718" s="1"/>
      <c r="DI718" s="1"/>
      <c r="DJ718" s="1"/>
      <c r="DK718" s="1"/>
      <c r="DL718" s="1"/>
      <c r="DM718" s="1"/>
      <c r="DN718" s="1"/>
      <c r="DO718" s="1"/>
      <c r="DP718" s="1"/>
      <c r="DQ718" s="1"/>
      <c r="DR718" s="1"/>
      <c r="DS718" s="1"/>
      <c r="DT718" s="1"/>
      <c r="DU718" s="14"/>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29"/>
    </row>
    <row r="719" spans="1:160" x14ac:dyDescent="0.25">
      <c r="A719" s="5"/>
      <c r="B719" s="1"/>
      <c r="C719" s="98"/>
      <c r="D719" s="98"/>
      <c r="E719" s="1"/>
      <c r="F719" s="22"/>
      <c r="G719" s="22"/>
      <c r="H719" s="22"/>
      <c r="I719" s="22"/>
      <c r="J719" s="22"/>
      <c r="K719" s="22"/>
      <c r="L719" s="22"/>
      <c r="M719" s="22"/>
      <c r="N719" s="22"/>
      <c r="O719" s="22"/>
      <c r="P719" s="22"/>
      <c r="Q719" s="22"/>
      <c r="R719" s="1"/>
      <c r="S719" s="1"/>
      <c r="T719" s="8"/>
      <c r="U719" s="1"/>
      <c r="V719" s="1"/>
      <c r="W719" s="1"/>
      <c r="X719" s="1"/>
      <c r="Y719" s="1"/>
      <c r="Z719" s="1"/>
      <c r="AA719" s="1"/>
      <c r="AC719" s="1"/>
      <c r="AD719" s="1"/>
      <c r="AE719" s="1"/>
      <c r="AF719" s="1"/>
      <c r="AG719" s="1"/>
      <c r="AH719" s="26"/>
      <c r="AI719" s="26"/>
      <c r="AJ719" s="26"/>
      <c r="AK719" s="26"/>
      <c r="AL719" s="26"/>
      <c r="AM719" s="26"/>
      <c r="AN719" s="26"/>
      <c r="AO719" s="26"/>
      <c r="AP719" s="26"/>
      <c r="AQ719" s="26"/>
      <c r="AR719" s="26"/>
      <c r="AS719" s="26"/>
      <c r="AT719" s="26"/>
      <c r="AU719" s="26"/>
      <c r="AV719" s="26"/>
      <c r="AW719" s="26"/>
      <c r="AX719" s="26"/>
      <c r="AY719" s="1"/>
      <c r="AZ719" s="26"/>
      <c r="BA719" s="26"/>
      <c r="BB719" s="26"/>
      <c r="BC719" s="26"/>
      <c r="BD719" s="26"/>
      <c r="BE719" s="26"/>
      <c r="BF719" s="26"/>
      <c r="BG719" s="26"/>
      <c r="BH719" s="26"/>
      <c r="BI719" s="26"/>
      <c r="BJ719" s="26"/>
      <c r="BK719" s="26"/>
      <c r="BL719" s="26"/>
      <c r="BM719" s="26"/>
      <c r="BN719" s="26"/>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96"/>
      <c r="CP719" s="14"/>
      <c r="CQ719" s="14"/>
      <c r="CR719" s="14"/>
      <c r="CS719" s="14"/>
      <c r="CT719" s="1"/>
      <c r="CU719" s="14"/>
      <c r="CV719" s="1"/>
      <c r="CW719" s="1"/>
      <c r="CX719" s="14"/>
      <c r="CY719" s="1"/>
      <c r="CZ719" s="1"/>
      <c r="DA719" s="1"/>
      <c r="DB719" s="1"/>
      <c r="DC719" s="1"/>
      <c r="DD719" s="1"/>
      <c r="DE719" s="1"/>
      <c r="DF719" s="1"/>
      <c r="DG719" s="1"/>
      <c r="DH719" s="1"/>
      <c r="DI719" s="1"/>
      <c r="DJ719" s="1"/>
      <c r="DK719" s="1"/>
      <c r="DL719" s="1"/>
      <c r="DM719" s="1"/>
      <c r="DN719" s="1"/>
      <c r="DO719" s="1"/>
      <c r="DP719" s="1"/>
      <c r="DQ719" s="1"/>
      <c r="DR719" s="1"/>
      <c r="DS719" s="1"/>
      <c r="DT719" s="1"/>
      <c r="DU719" s="14"/>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29"/>
    </row>
    <row r="720" spans="1:160" x14ac:dyDescent="0.25">
      <c r="A720" s="5"/>
      <c r="B720" s="1"/>
      <c r="C720" s="98"/>
      <c r="D720" s="98"/>
      <c r="E720" s="1"/>
      <c r="F720" s="22"/>
      <c r="G720" s="22"/>
      <c r="H720" s="22"/>
      <c r="I720" s="22"/>
      <c r="J720" s="22"/>
      <c r="K720" s="22"/>
      <c r="L720" s="22"/>
      <c r="M720" s="22"/>
      <c r="N720" s="22"/>
      <c r="O720" s="22"/>
      <c r="P720" s="22"/>
      <c r="Q720" s="22"/>
      <c r="R720" s="1"/>
      <c r="S720" s="1"/>
      <c r="T720" s="8"/>
      <c r="U720" s="1"/>
      <c r="V720" s="1"/>
      <c r="W720" s="1"/>
      <c r="X720" s="1"/>
      <c r="Y720" s="1"/>
      <c r="Z720" s="1"/>
      <c r="AA720" s="1"/>
      <c r="AC720" s="1"/>
      <c r="AD720" s="1"/>
      <c r="AE720" s="1"/>
      <c r="AF720" s="1"/>
      <c r="AG720" s="1"/>
      <c r="AH720" s="26"/>
      <c r="AI720" s="26"/>
      <c r="AJ720" s="26"/>
      <c r="AK720" s="26"/>
      <c r="AL720" s="26"/>
      <c r="AM720" s="26"/>
      <c r="AN720" s="26"/>
      <c r="AO720" s="26"/>
      <c r="AP720" s="26"/>
      <c r="AQ720" s="26"/>
      <c r="AR720" s="26"/>
      <c r="AS720" s="26"/>
      <c r="AT720" s="26"/>
      <c r="AU720" s="26"/>
      <c r="AV720" s="26"/>
      <c r="AW720" s="26"/>
      <c r="AX720" s="26"/>
      <c r="AY720" s="1"/>
      <c r="AZ720" s="26"/>
      <c r="BA720" s="26"/>
      <c r="BB720" s="26"/>
      <c r="BC720" s="26"/>
      <c r="BD720" s="26"/>
      <c r="BE720" s="26"/>
      <c r="BF720" s="26"/>
      <c r="BG720" s="26"/>
      <c r="BH720" s="26"/>
      <c r="BI720" s="26"/>
      <c r="BJ720" s="26"/>
      <c r="BK720" s="26"/>
      <c r="BL720" s="26"/>
      <c r="BM720" s="26"/>
      <c r="BN720" s="26"/>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96"/>
      <c r="CP720" s="14"/>
      <c r="CQ720" s="14"/>
      <c r="CR720" s="14"/>
      <c r="CS720" s="14"/>
      <c r="CT720" s="1"/>
      <c r="CU720" s="14"/>
      <c r="CV720" s="1"/>
      <c r="CW720" s="1"/>
      <c r="CX720" s="14"/>
      <c r="CY720" s="1"/>
      <c r="CZ720" s="1"/>
      <c r="DA720" s="1"/>
      <c r="DB720" s="1"/>
      <c r="DC720" s="1"/>
      <c r="DD720" s="1"/>
      <c r="DE720" s="1"/>
      <c r="DF720" s="1"/>
      <c r="DG720" s="1"/>
      <c r="DH720" s="1"/>
      <c r="DI720" s="1"/>
      <c r="DJ720" s="1"/>
      <c r="DK720" s="1"/>
      <c r="DL720" s="1"/>
      <c r="DM720" s="1"/>
      <c r="DN720" s="1"/>
      <c r="DO720" s="1"/>
      <c r="DP720" s="1"/>
      <c r="DQ720" s="1"/>
      <c r="DR720" s="1"/>
      <c r="DS720" s="1"/>
      <c r="DT720" s="1"/>
      <c r="DU720" s="14"/>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29"/>
    </row>
    <row r="721" spans="1:160" x14ac:dyDescent="0.25">
      <c r="A721" s="5"/>
      <c r="B721" s="1"/>
      <c r="C721" s="98"/>
      <c r="D721" s="98"/>
      <c r="E721" s="1"/>
      <c r="F721" s="22"/>
      <c r="G721" s="22"/>
      <c r="H721" s="22"/>
      <c r="I721" s="22"/>
      <c r="J721" s="22"/>
      <c r="K721" s="22"/>
      <c r="L721" s="22"/>
      <c r="M721" s="22"/>
      <c r="N721" s="22"/>
      <c r="O721" s="22"/>
      <c r="P721" s="22"/>
      <c r="Q721" s="22"/>
      <c r="R721" s="1"/>
      <c r="S721" s="1"/>
      <c r="T721" s="8"/>
      <c r="U721" s="1"/>
      <c r="V721" s="1"/>
      <c r="W721" s="1"/>
      <c r="X721" s="1"/>
      <c r="Y721" s="1"/>
      <c r="Z721" s="1"/>
      <c r="AA721" s="1"/>
      <c r="AC721" s="1"/>
      <c r="AD721" s="1"/>
      <c r="AE721" s="1"/>
      <c r="AF721" s="1"/>
      <c r="AG721" s="1"/>
      <c r="AH721" s="26"/>
      <c r="AI721" s="26"/>
      <c r="AJ721" s="26"/>
      <c r="AK721" s="26"/>
      <c r="AL721" s="26"/>
      <c r="AM721" s="26"/>
      <c r="AN721" s="26"/>
      <c r="AO721" s="26"/>
      <c r="AP721" s="26"/>
      <c r="AQ721" s="26"/>
      <c r="AR721" s="26"/>
      <c r="AS721" s="26"/>
      <c r="AT721" s="26"/>
      <c r="AU721" s="26"/>
      <c r="AV721" s="26"/>
      <c r="AW721" s="26"/>
      <c r="AX721" s="26"/>
      <c r="AY721" s="1"/>
      <c r="AZ721" s="26"/>
      <c r="BA721" s="26"/>
      <c r="BB721" s="26"/>
      <c r="BC721" s="26"/>
      <c r="BD721" s="26"/>
      <c r="BE721" s="26"/>
      <c r="BF721" s="26"/>
      <c r="BG721" s="26"/>
      <c r="BH721" s="26"/>
      <c r="BI721" s="26"/>
      <c r="BJ721" s="26"/>
      <c r="BK721" s="26"/>
      <c r="BL721" s="26"/>
      <c r="BM721" s="26"/>
      <c r="BN721" s="26"/>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96"/>
      <c r="CP721" s="14"/>
      <c r="CQ721" s="14"/>
      <c r="CR721" s="14"/>
      <c r="CS721" s="14"/>
      <c r="CT721" s="1"/>
      <c r="CU721" s="14"/>
      <c r="CV721" s="1"/>
      <c r="CW721" s="1"/>
      <c r="CX721" s="14"/>
      <c r="CY721" s="1"/>
      <c r="CZ721" s="1"/>
      <c r="DA721" s="1"/>
      <c r="DB721" s="1"/>
      <c r="DC721" s="1"/>
      <c r="DD721" s="1"/>
      <c r="DE721" s="1"/>
      <c r="DF721" s="1"/>
      <c r="DG721" s="1"/>
      <c r="DH721" s="1"/>
      <c r="DI721" s="1"/>
      <c r="DJ721" s="1"/>
      <c r="DK721" s="1"/>
      <c r="DL721" s="1"/>
      <c r="DM721" s="1"/>
      <c r="DN721" s="1"/>
      <c r="DO721" s="1"/>
      <c r="DP721" s="1"/>
      <c r="DQ721" s="1"/>
      <c r="DR721" s="1"/>
      <c r="DS721" s="1"/>
      <c r="DT721" s="1"/>
      <c r="DU721" s="14"/>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29"/>
    </row>
    <row r="722" spans="1:160" x14ac:dyDescent="0.25">
      <c r="A722" s="5"/>
      <c r="B722" s="1"/>
      <c r="C722" s="98"/>
      <c r="D722" s="98"/>
      <c r="E722" s="1"/>
      <c r="F722" s="22"/>
      <c r="G722" s="22"/>
      <c r="H722" s="22"/>
      <c r="I722" s="22"/>
      <c r="J722" s="22"/>
      <c r="K722" s="22"/>
      <c r="L722" s="22"/>
      <c r="M722" s="22"/>
      <c r="N722" s="22"/>
      <c r="O722" s="22"/>
      <c r="P722" s="22"/>
      <c r="Q722" s="22"/>
      <c r="R722" s="1"/>
      <c r="S722" s="1"/>
      <c r="T722" s="8"/>
      <c r="U722" s="1"/>
      <c r="V722" s="1"/>
      <c r="W722" s="1"/>
      <c r="X722" s="1"/>
      <c r="Y722" s="1"/>
      <c r="Z722" s="1"/>
      <c r="AA722" s="1"/>
      <c r="AC722" s="1"/>
      <c r="AD722" s="1"/>
      <c r="AE722" s="1"/>
      <c r="AF722" s="1"/>
      <c r="AG722" s="1"/>
      <c r="AH722" s="26"/>
      <c r="AI722" s="26"/>
      <c r="AJ722" s="26"/>
      <c r="AK722" s="26"/>
      <c r="AL722" s="26"/>
      <c r="AM722" s="26"/>
      <c r="AN722" s="26"/>
      <c r="AO722" s="26"/>
      <c r="AP722" s="26"/>
      <c r="AQ722" s="26"/>
      <c r="AR722" s="26"/>
      <c r="AS722" s="26"/>
      <c r="AT722" s="26"/>
      <c r="AU722" s="26"/>
      <c r="AV722" s="26"/>
      <c r="AW722" s="26"/>
      <c r="AX722" s="26"/>
      <c r="AY722" s="1"/>
      <c r="AZ722" s="26"/>
      <c r="BA722" s="26"/>
      <c r="BB722" s="26"/>
      <c r="BC722" s="26"/>
      <c r="BD722" s="26"/>
      <c r="BE722" s="26"/>
      <c r="BF722" s="26"/>
      <c r="BG722" s="26"/>
      <c r="BH722" s="26"/>
      <c r="BI722" s="26"/>
      <c r="BJ722" s="26"/>
      <c r="BK722" s="26"/>
      <c r="BL722" s="26"/>
      <c r="BM722" s="26"/>
      <c r="BN722" s="26"/>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96"/>
      <c r="CP722" s="14"/>
      <c r="CQ722" s="14"/>
      <c r="CR722" s="14"/>
      <c r="CS722" s="14"/>
      <c r="CT722" s="1"/>
      <c r="CU722" s="14"/>
      <c r="CV722" s="1"/>
      <c r="CW722" s="1"/>
      <c r="CX722" s="14"/>
      <c r="CY722" s="1"/>
      <c r="CZ722" s="1"/>
      <c r="DA722" s="1"/>
      <c r="DB722" s="1"/>
      <c r="DC722" s="1"/>
      <c r="DD722" s="1"/>
      <c r="DE722" s="1"/>
      <c r="DF722" s="1"/>
      <c r="DG722" s="1"/>
      <c r="DH722" s="1"/>
      <c r="DI722" s="1"/>
      <c r="DJ722" s="1"/>
      <c r="DK722" s="1"/>
      <c r="DL722" s="1"/>
      <c r="DM722" s="1"/>
      <c r="DN722" s="1"/>
      <c r="DO722" s="1"/>
      <c r="DP722" s="1"/>
      <c r="DQ722" s="1"/>
      <c r="DR722" s="1"/>
      <c r="DS722" s="1"/>
      <c r="DT722" s="1"/>
      <c r="DU722" s="14"/>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29"/>
    </row>
    <row r="723" spans="1:160" x14ac:dyDescent="0.25">
      <c r="A723" s="5"/>
      <c r="B723" s="1"/>
      <c r="C723" s="98"/>
      <c r="D723" s="98"/>
      <c r="E723" s="1"/>
      <c r="F723" s="22"/>
      <c r="G723" s="22"/>
      <c r="H723" s="22"/>
      <c r="I723" s="22"/>
      <c r="J723" s="22"/>
      <c r="K723" s="22"/>
      <c r="L723" s="22"/>
      <c r="M723" s="22"/>
      <c r="N723" s="22"/>
      <c r="O723" s="22"/>
      <c r="P723" s="22"/>
      <c r="Q723" s="22"/>
      <c r="R723" s="1"/>
      <c r="S723" s="1"/>
      <c r="T723" s="8"/>
      <c r="U723" s="1"/>
      <c r="V723" s="1"/>
      <c r="W723" s="1"/>
      <c r="X723" s="1"/>
      <c r="Y723" s="1"/>
      <c r="Z723" s="1"/>
      <c r="AA723" s="1"/>
      <c r="AC723" s="1"/>
      <c r="AD723" s="1"/>
      <c r="AE723" s="1"/>
      <c r="AF723" s="1"/>
      <c r="AG723" s="1"/>
      <c r="AH723" s="26"/>
      <c r="AI723" s="26"/>
      <c r="AJ723" s="26"/>
      <c r="AK723" s="26"/>
      <c r="AL723" s="26"/>
      <c r="AM723" s="26"/>
      <c r="AN723" s="26"/>
      <c r="AO723" s="26"/>
      <c r="AP723" s="26"/>
      <c r="AQ723" s="26"/>
      <c r="AR723" s="26"/>
      <c r="AS723" s="26"/>
      <c r="AT723" s="26"/>
      <c r="AU723" s="26"/>
      <c r="AV723" s="26"/>
      <c r="AW723" s="26"/>
      <c r="AX723" s="26"/>
      <c r="AY723" s="1"/>
      <c r="AZ723" s="26"/>
      <c r="BA723" s="26"/>
      <c r="BB723" s="26"/>
      <c r="BC723" s="26"/>
      <c r="BD723" s="26"/>
      <c r="BE723" s="26"/>
      <c r="BF723" s="26"/>
      <c r="BG723" s="26"/>
      <c r="BH723" s="26"/>
      <c r="BI723" s="26"/>
      <c r="BJ723" s="26"/>
      <c r="BK723" s="26"/>
      <c r="BL723" s="26"/>
      <c r="BM723" s="26"/>
      <c r="BN723" s="26"/>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96"/>
      <c r="CP723" s="14"/>
      <c r="CQ723" s="14"/>
      <c r="CR723" s="14"/>
      <c r="CS723" s="14"/>
      <c r="CT723" s="1"/>
      <c r="CU723" s="14"/>
      <c r="CV723" s="1"/>
      <c r="CW723" s="1"/>
      <c r="CX723" s="14"/>
      <c r="CY723" s="1"/>
      <c r="CZ723" s="1"/>
      <c r="DA723" s="1"/>
      <c r="DB723" s="1"/>
      <c r="DC723" s="1"/>
      <c r="DD723" s="1"/>
      <c r="DE723" s="1"/>
      <c r="DF723" s="1"/>
      <c r="DG723" s="1"/>
      <c r="DH723" s="1"/>
      <c r="DI723" s="1"/>
      <c r="DJ723" s="1"/>
      <c r="DK723" s="1"/>
      <c r="DL723" s="1"/>
      <c r="DM723" s="1"/>
      <c r="DN723" s="1"/>
      <c r="DO723" s="1"/>
      <c r="DP723" s="1"/>
      <c r="DQ723" s="1"/>
      <c r="DR723" s="1"/>
      <c r="DS723" s="1"/>
      <c r="DT723" s="1"/>
      <c r="DU723" s="14"/>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29"/>
    </row>
    <row r="724" spans="1:160" x14ac:dyDescent="0.25">
      <c r="A724" s="5"/>
      <c r="B724" s="1"/>
      <c r="C724" s="98"/>
      <c r="D724" s="98"/>
      <c r="E724" s="1"/>
      <c r="F724" s="22"/>
      <c r="G724" s="22"/>
      <c r="H724" s="22"/>
      <c r="I724" s="22"/>
      <c r="J724" s="22"/>
      <c r="K724" s="22"/>
      <c r="L724" s="22"/>
      <c r="M724" s="22"/>
      <c r="N724" s="22"/>
      <c r="O724" s="22"/>
      <c r="P724" s="22"/>
      <c r="Q724" s="22"/>
      <c r="R724" s="1"/>
      <c r="S724" s="1"/>
      <c r="T724" s="8"/>
      <c r="U724" s="1"/>
      <c r="V724" s="1"/>
      <c r="W724" s="1"/>
      <c r="X724" s="1"/>
      <c r="Y724" s="1"/>
      <c r="Z724" s="1"/>
      <c r="AA724" s="1"/>
      <c r="AC724" s="1"/>
      <c r="AD724" s="1"/>
      <c r="AE724" s="1"/>
      <c r="AF724" s="1"/>
      <c r="AG724" s="1"/>
      <c r="AH724" s="26"/>
      <c r="AI724" s="26"/>
      <c r="AJ724" s="26"/>
      <c r="AK724" s="26"/>
      <c r="AL724" s="26"/>
      <c r="AM724" s="26"/>
      <c r="AN724" s="26"/>
      <c r="AO724" s="26"/>
      <c r="AP724" s="26"/>
      <c r="AQ724" s="26"/>
      <c r="AR724" s="26"/>
      <c r="AS724" s="26"/>
      <c r="AT724" s="26"/>
      <c r="AU724" s="26"/>
      <c r="AV724" s="26"/>
      <c r="AW724" s="26"/>
      <c r="AX724" s="26"/>
      <c r="AY724" s="1"/>
      <c r="AZ724" s="26"/>
      <c r="BA724" s="26"/>
      <c r="BB724" s="26"/>
      <c r="BC724" s="26"/>
      <c r="BD724" s="26"/>
      <c r="BE724" s="26"/>
      <c r="BF724" s="26"/>
      <c r="BG724" s="26"/>
      <c r="BH724" s="26"/>
      <c r="BI724" s="26"/>
      <c r="BJ724" s="26"/>
      <c r="BK724" s="26"/>
      <c r="BL724" s="26"/>
      <c r="BM724" s="26"/>
      <c r="BN724" s="26"/>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96"/>
      <c r="CP724" s="14"/>
      <c r="CQ724" s="14"/>
      <c r="CR724" s="14"/>
      <c r="CS724" s="14"/>
      <c r="CT724" s="1"/>
      <c r="CU724" s="14"/>
      <c r="CV724" s="1"/>
      <c r="CW724" s="1"/>
      <c r="CX724" s="14"/>
      <c r="CY724" s="1"/>
      <c r="CZ724" s="1"/>
      <c r="DA724" s="1"/>
      <c r="DB724" s="1"/>
      <c r="DC724" s="1"/>
      <c r="DD724" s="1"/>
      <c r="DE724" s="1"/>
      <c r="DF724" s="1"/>
      <c r="DG724" s="1"/>
      <c r="DH724" s="1"/>
      <c r="DI724" s="1"/>
      <c r="DJ724" s="1"/>
      <c r="DK724" s="1"/>
      <c r="DL724" s="1"/>
      <c r="DM724" s="1"/>
      <c r="DN724" s="1"/>
      <c r="DO724" s="1"/>
      <c r="DP724" s="1"/>
      <c r="DQ724" s="1"/>
      <c r="DR724" s="1"/>
      <c r="DS724" s="1"/>
      <c r="DT724" s="1"/>
      <c r="DU724" s="14"/>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29"/>
    </row>
    <row r="725" spans="1:160" x14ac:dyDescent="0.25">
      <c r="A725" s="5"/>
      <c r="B725" s="1"/>
      <c r="C725" s="98"/>
      <c r="D725" s="98"/>
      <c r="E725" s="1"/>
      <c r="F725" s="22"/>
      <c r="G725" s="22"/>
      <c r="H725" s="22"/>
      <c r="I725" s="22"/>
      <c r="J725" s="22"/>
      <c r="K725" s="22"/>
      <c r="L725" s="22"/>
      <c r="M725" s="22"/>
      <c r="N725" s="22"/>
      <c r="O725" s="22"/>
      <c r="P725" s="22"/>
      <c r="Q725" s="22"/>
      <c r="R725" s="1"/>
      <c r="S725" s="1"/>
      <c r="T725" s="8"/>
      <c r="U725" s="1"/>
      <c r="V725" s="1"/>
      <c r="W725" s="1"/>
      <c r="X725" s="1"/>
      <c r="Y725" s="1"/>
      <c r="Z725" s="1"/>
      <c r="AA725" s="1"/>
      <c r="AC725" s="1"/>
      <c r="AD725" s="1"/>
      <c r="AE725" s="1"/>
      <c r="AF725" s="1"/>
      <c r="AG725" s="1"/>
      <c r="AH725" s="26"/>
      <c r="AI725" s="26"/>
      <c r="AJ725" s="26"/>
      <c r="AK725" s="26"/>
      <c r="AL725" s="26"/>
      <c r="AM725" s="26"/>
      <c r="AN725" s="26"/>
      <c r="AO725" s="26"/>
      <c r="AP725" s="26"/>
      <c r="AQ725" s="26"/>
      <c r="AR725" s="26"/>
      <c r="AS725" s="26"/>
      <c r="AT725" s="26"/>
      <c r="AU725" s="26"/>
      <c r="AV725" s="26"/>
      <c r="AW725" s="26"/>
      <c r="AX725" s="26"/>
      <c r="AY725" s="1"/>
      <c r="AZ725" s="26"/>
      <c r="BA725" s="26"/>
      <c r="BB725" s="26"/>
      <c r="BC725" s="26"/>
      <c r="BD725" s="26"/>
      <c r="BE725" s="26"/>
      <c r="BF725" s="26"/>
      <c r="BG725" s="26"/>
      <c r="BH725" s="26"/>
      <c r="BI725" s="26"/>
      <c r="BJ725" s="26"/>
      <c r="BK725" s="26"/>
      <c r="BL725" s="26"/>
      <c r="BM725" s="26"/>
      <c r="BN725" s="26"/>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96"/>
      <c r="CP725" s="14"/>
      <c r="CQ725" s="14"/>
      <c r="CR725" s="14"/>
      <c r="CS725" s="14"/>
      <c r="CT725" s="1"/>
      <c r="CU725" s="14"/>
      <c r="CV725" s="1"/>
      <c r="CW725" s="1"/>
      <c r="CX725" s="14"/>
      <c r="CY725" s="1"/>
      <c r="CZ725" s="1"/>
      <c r="DA725" s="1"/>
      <c r="DB725" s="1"/>
      <c r="DC725" s="1"/>
      <c r="DD725" s="1"/>
      <c r="DE725" s="1"/>
      <c r="DF725" s="1"/>
      <c r="DG725" s="1"/>
      <c r="DH725" s="1"/>
      <c r="DI725" s="1"/>
      <c r="DJ725" s="1"/>
      <c r="DK725" s="1"/>
      <c r="DL725" s="1"/>
      <c r="DM725" s="1"/>
      <c r="DN725" s="1"/>
      <c r="DO725" s="1"/>
      <c r="DP725" s="1"/>
      <c r="DQ725" s="1"/>
      <c r="DR725" s="1"/>
      <c r="DS725" s="1"/>
      <c r="DT725" s="1"/>
      <c r="DU725" s="14"/>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29"/>
    </row>
    <row r="726" spans="1:160" x14ac:dyDescent="0.25">
      <c r="A726" s="5"/>
      <c r="B726" s="1"/>
      <c r="C726" s="98"/>
      <c r="D726" s="98"/>
      <c r="E726" s="1"/>
      <c r="F726" s="22"/>
      <c r="G726" s="22"/>
      <c r="H726" s="22"/>
      <c r="I726" s="22"/>
      <c r="J726" s="22"/>
      <c r="K726" s="22"/>
      <c r="L726" s="22"/>
      <c r="M726" s="22"/>
      <c r="N726" s="22"/>
      <c r="O726" s="22"/>
      <c r="P726" s="22"/>
      <c r="Q726" s="22"/>
      <c r="R726" s="1"/>
      <c r="S726" s="1"/>
      <c r="T726" s="8"/>
      <c r="U726" s="1"/>
      <c r="V726" s="1"/>
      <c r="W726" s="1"/>
      <c r="X726" s="1"/>
      <c r="Y726" s="1"/>
      <c r="Z726" s="1"/>
      <c r="AA726" s="1"/>
      <c r="AC726" s="1"/>
      <c r="AD726" s="1"/>
      <c r="AE726" s="1"/>
      <c r="AF726" s="1"/>
      <c r="AG726" s="1"/>
      <c r="AH726" s="26"/>
      <c r="AI726" s="26"/>
      <c r="AJ726" s="26"/>
      <c r="AK726" s="26"/>
      <c r="AL726" s="26"/>
      <c r="AM726" s="26"/>
      <c r="AN726" s="26"/>
      <c r="AO726" s="26"/>
      <c r="AP726" s="26"/>
      <c r="AQ726" s="26"/>
      <c r="AR726" s="26"/>
      <c r="AS726" s="26"/>
      <c r="AT726" s="26"/>
      <c r="AU726" s="26"/>
      <c r="AV726" s="26"/>
      <c r="AW726" s="26"/>
      <c r="AX726" s="26"/>
      <c r="AY726" s="1"/>
      <c r="AZ726" s="26"/>
      <c r="BA726" s="26"/>
      <c r="BB726" s="26"/>
      <c r="BC726" s="26"/>
      <c r="BD726" s="26"/>
      <c r="BE726" s="26"/>
      <c r="BF726" s="26"/>
      <c r="BG726" s="26"/>
      <c r="BH726" s="26"/>
      <c r="BI726" s="26"/>
      <c r="BJ726" s="26"/>
      <c r="BK726" s="26"/>
      <c r="BL726" s="26"/>
      <c r="BM726" s="26"/>
      <c r="BN726" s="26"/>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96"/>
      <c r="CP726" s="14"/>
      <c r="CQ726" s="14"/>
      <c r="CR726" s="14"/>
      <c r="CS726" s="14"/>
      <c r="CT726" s="1"/>
      <c r="CU726" s="14"/>
      <c r="CV726" s="1"/>
      <c r="CW726" s="1"/>
      <c r="CX726" s="14"/>
      <c r="CY726" s="1"/>
      <c r="CZ726" s="1"/>
      <c r="DA726" s="1"/>
      <c r="DB726" s="1"/>
      <c r="DC726" s="1"/>
      <c r="DD726" s="1"/>
      <c r="DE726" s="1"/>
      <c r="DF726" s="1"/>
      <c r="DG726" s="1"/>
      <c r="DH726" s="1"/>
      <c r="DI726" s="1"/>
      <c r="DJ726" s="1"/>
      <c r="DK726" s="1"/>
      <c r="DL726" s="1"/>
      <c r="DM726" s="1"/>
      <c r="DN726" s="1"/>
      <c r="DO726" s="1"/>
      <c r="DP726" s="1"/>
      <c r="DQ726" s="1"/>
      <c r="DR726" s="1"/>
      <c r="DS726" s="1"/>
      <c r="DT726" s="1"/>
      <c r="DU726" s="14"/>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29"/>
    </row>
    <row r="727" spans="1:160" x14ac:dyDescent="0.25">
      <c r="A727" s="5"/>
      <c r="B727" s="1"/>
      <c r="C727" s="98"/>
      <c r="D727" s="98"/>
      <c r="E727" s="1"/>
      <c r="F727" s="22"/>
      <c r="G727" s="22"/>
      <c r="H727" s="22"/>
      <c r="I727" s="22"/>
      <c r="J727" s="22"/>
      <c r="K727" s="22"/>
      <c r="L727" s="22"/>
      <c r="M727" s="22"/>
      <c r="N727" s="22"/>
      <c r="O727" s="22"/>
      <c r="P727" s="22"/>
      <c r="Q727" s="22"/>
      <c r="R727" s="1"/>
      <c r="S727" s="1"/>
      <c r="T727" s="8"/>
      <c r="U727" s="1"/>
      <c r="V727" s="1"/>
      <c r="W727" s="1"/>
      <c r="X727" s="1"/>
      <c r="Y727" s="1"/>
      <c r="Z727" s="1"/>
      <c r="AA727" s="1"/>
      <c r="AC727" s="1"/>
      <c r="AD727" s="1"/>
      <c r="AE727" s="1"/>
      <c r="AF727" s="1"/>
      <c r="AG727" s="1"/>
      <c r="AH727" s="26"/>
      <c r="AI727" s="26"/>
      <c r="AJ727" s="26"/>
      <c r="AK727" s="26"/>
      <c r="AL727" s="26"/>
      <c r="AM727" s="26"/>
      <c r="AN727" s="26"/>
      <c r="AO727" s="26"/>
      <c r="AP727" s="26"/>
      <c r="AQ727" s="26"/>
      <c r="AR727" s="26"/>
      <c r="AS727" s="26"/>
      <c r="AT727" s="26"/>
      <c r="AU727" s="26"/>
      <c r="AV727" s="26"/>
      <c r="AW727" s="26"/>
      <c r="AX727" s="26"/>
      <c r="AY727" s="1"/>
      <c r="AZ727" s="26"/>
      <c r="BA727" s="26"/>
      <c r="BB727" s="26"/>
      <c r="BC727" s="26"/>
      <c r="BD727" s="26"/>
      <c r="BE727" s="26"/>
      <c r="BF727" s="26"/>
      <c r="BG727" s="26"/>
      <c r="BH727" s="26"/>
      <c r="BI727" s="26"/>
      <c r="BJ727" s="26"/>
      <c r="BK727" s="26"/>
      <c r="BL727" s="26"/>
      <c r="BM727" s="26"/>
      <c r="BN727" s="26"/>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96"/>
      <c r="CP727" s="14"/>
      <c r="CQ727" s="14"/>
      <c r="CR727" s="14"/>
      <c r="CS727" s="14"/>
      <c r="CT727" s="1"/>
      <c r="CU727" s="14"/>
      <c r="CV727" s="1"/>
      <c r="CW727" s="1"/>
      <c r="CX727" s="14"/>
      <c r="CY727" s="1"/>
      <c r="CZ727" s="1"/>
      <c r="DA727" s="1"/>
      <c r="DB727" s="1"/>
      <c r="DC727" s="1"/>
      <c r="DD727" s="1"/>
      <c r="DE727" s="1"/>
      <c r="DF727" s="1"/>
      <c r="DG727" s="1"/>
      <c r="DH727" s="1"/>
      <c r="DI727" s="1"/>
      <c r="DJ727" s="1"/>
      <c r="DK727" s="1"/>
      <c r="DL727" s="1"/>
      <c r="DM727" s="1"/>
      <c r="DN727" s="1"/>
      <c r="DO727" s="1"/>
      <c r="DP727" s="1"/>
      <c r="DQ727" s="1"/>
      <c r="DR727" s="1"/>
      <c r="DS727" s="1"/>
      <c r="DT727" s="1"/>
      <c r="DU727" s="14"/>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29"/>
    </row>
    <row r="728" spans="1:160" x14ac:dyDescent="0.25">
      <c r="A728" s="5"/>
      <c r="B728" s="1"/>
      <c r="C728" s="98"/>
      <c r="D728" s="98"/>
      <c r="E728" s="1"/>
      <c r="F728" s="22"/>
      <c r="G728" s="22"/>
      <c r="H728" s="22"/>
      <c r="I728" s="22"/>
      <c r="J728" s="22"/>
      <c r="K728" s="22"/>
      <c r="L728" s="22"/>
      <c r="M728" s="22"/>
      <c r="N728" s="22"/>
      <c r="O728" s="22"/>
      <c r="P728" s="22"/>
      <c r="Q728" s="22"/>
      <c r="R728" s="1"/>
      <c r="S728" s="1"/>
      <c r="T728" s="8"/>
      <c r="U728" s="1"/>
      <c r="V728" s="1"/>
      <c r="W728" s="1"/>
      <c r="X728" s="1"/>
      <c r="Y728" s="1"/>
      <c r="Z728" s="1"/>
      <c r="AA728" s="1"/>
      <c r="AC728" s="1"/>
      <c r="AD728" s="1"/>
      <c r="AE728" s="1"/>
      <c r="AF728" s="1"/>
      <c r="AG728" s="1"/>
      <c r="AH728" s="26"/>
      <c r="AI728" s="26"/>
      <c r="AJ728" s="26"/>
      <c r="AK728" s="26"/>
      <c r="AL728" s="26"/>
      <c r="AM728" s="26"/>
      <c r="AN728" s="26"/>
      <c r="AO728" s="26"/>
      <c r="AP728" s="26"/>
      <c r="AQ728" s="26"/>
      <c r="AR728" s="26"/>
      <c r="AS728" s="26"/>
      <c r="AT728" s="26"/>
      <c r="AU728" s="26"/>
      <c r="AV728" s="26"/>
      <c r="AW728" s="26"/>
      <c r="AX728" s="26"/>
      <c r="AY728" s="1"/>
      <c r="AZ728" s="26"/>
      <c r="BA728" s="26"/>
      <c r="BB728" s="26"/>
      <c r="BC728" s="26"/>
      <c r="BD728" s="26"/>
      <c r="BE728" s="26"/>
      <c r="BF728" s="26"/>
      <c r="BG728" s="26"/>
      <c r="BH728" s="26"/>
      <c r="BI728" s="26"/>
      <c r="BJ728" s="26"/>
      <c r="BK728" s="26"/>
      <c r="BL728" s="26"/>
      <c r="BM728" s="26"/>
      <c r="BN728" s="26"/>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96"/>
      <c r="CP728" s="14"/>
      <c r="CQ728" s="14"/>
      <c r="CR728" s="14"/>
      <c r="CS728" s="14"/>
      <c r="CT728" s="1"/>
      <c r="CU728" s="14"/>
      <c r="CV728" s="1"/>
      <c r="CW728" s="1"/>
      <c r="CX728" s="14"/>
      <c r="CY728" s="1"/>
      <c r="CZ728" s="1"/>
      <c r="DA728" s="1"/>
      <c r="DB728" s="1"/>
      <c r="DC728" s="1"/>
      <c r="DD728" s="1"/>
      <c r="DE728" s="1"/>
      <c r="DF728" s="1"/>
      <c r="DG728" s="1"/>
      <c r="DH728" s="1"/>
      <c r="DI728" s="1"/>
      <c r="DJ728" s="1"/>
      <c r="DK728" s="1"/>
      <c r="DL728" s="1"/>
      <c r="DM728" s="1"/>
      <c r="DN728" s="1"/>
      <c r="DO728" s="1"/>
      <c r="DP728" s="1"/>
      <c r="DQ728" s="1"/>
      <c r="DR728" s="1"/>
      <c r="DS728" s="1"/>
      <c r="DT728" s="1"/>
      <c r="DU728" s="14"/>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29"/>
    </row>
    <row r="729" spans="1:160" x14ac:dyDescent="0.25">
      <c r="A729" s="5"/>
      <c r="B729" s="1"/>
      <c r="C729" s="98"/>
      <c r="D729" s="98"/>
      <c r="E729" s="1"/>
      <c r="F729" s="22"/>
      <c r="G729" s="22"/>
      <c r="H729" s="22"/>
      <c r="I729" s="22"/>
      <c r="J729" s="22"/>
      <c r="K729" s="22"/>
      <c r="L729" s="22"/>
      <c r="M729" s="22"/>
      <c r="N729" s="22"/>
      <c r="O729" s="22"/>
      <c r="P729" s="22"/>
      <c r="Q729" s="22"/>
      <c r="R729" s="1"/>
      <c r="S729" s="1"/>
      <c r="T729" s="8"/>
      <c r="U729" s="1"/>
      <c r="V729" s="1"/>
      <c r="W729" s="1"/>
      <c r="X729" s="1"/>
      <c r="Y729" s="1"/>
      <c r="Z729" s="1"/>
      <c r="AA729" s="1"/>
      <c r="AC729" s="1"/>
      <c r="AD729" s="1"/>
      <c r="AE729" s="1"/>
      <c r="AF729" s="1"/>
      <c r="AG729" s="1"/>
      <c r="AH729" s="26"/>
      <c r="AI729" s="26"/>
      <c r="AJ729" s="26"/>
      <c r="AK729" s="26"/>
      <c r="AL729" s="26"/>
      <c r="AM729" s="26"/>
      <c r="AN729" s="26"/>
      <c r="AO729" s="26"/>
      <c r="AP729" s="26"/>
      <c r="AQ729" s="26"/>
      <c r="AR729" s="26"/>
      <c r="AS729" s="26"/>
      <c r="AT729" s="26"/>
      <c r="AU729" s="26"/>
      <c r="AV729" s="26"/>
      <c r="AW729" s="26"/>
      <c r="AX729" s="26"/>
      <c r="AY729" s="1"/>
      <c r="AZ729" s="26"/>
      <c r="BA729" s="26"/>
      <c r="BB729" s="26"/>
      <c r="BC729" s="26"/>
      <c r="BD729" s="26"/>
      <c r="BE729" s="26"/>
      <c r="BF729" s="26"/>
      <c r="BG729" s="26"/>
      <c r="BH729" s="26"/>
      <c r="BI729" s="26"/>
      <c r="BJ729" s="26"/>
      <c r="BK729" s="26"/>
      <c r="BL729" s="26"/>
      <c r="BM729" s="26"/>
      <c r="BN729" s="26"/>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96"/>
      <c r="CP729" s="14"/>
      <c r="CQ729" s="14"/>
      <c r="CR729" s="14"/>
      <c r="CS729" s="14"/>
      <c r="CT729" s="1"/>
      <c r="CU729" s="14"/>
      <c r="CV729" s="1"/>
      <c r="CW729" s="1"/>
      <c r="CX729" s="14"/>
      <c r="CY729" s="1"/>
      <c r="CZ729" s="1"/>
      <c r="DA729" s="1"/>
      <c r="DB729" s="1"/>
      <c r="DC729" s="1"/>
      <c r="DD729" s="1"/>
      <c r="DE729" s="1"/>
      <c r="DF729" s="1"/>
      <c r="DG729" s="1"/>
      <c r="DH729" s="1"/>
      <c r="DI729" s="1"/>
      <c r="DJ729" s="1"/>
      <c r="DK729" s="1"/>
      <c r="DL729" s="1"/>
      <c r="DM729" s="1"/>
      <c r="DN729" s="1"/>
      <c r="DO729" s="1"/>
      <c r="DP729" s="1"/>
      <c r="DQ729" s="1"/>
      <c r="DR729" s="1"/>
      <c r="DS729" s="1"/>
      <c r="DT729" s="1"/>
      <c r="DU729" s="14"/>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29"/>
    </row>
    <row r="730" spans="1:160" x14ac:dyDescent="0.25">
      <c r="A730" s="5"/>
      <c r="B730" s="1"/>
      <c r="C730" s="98"/>
      <c r="D730" s="98"/>
      <c r="E730" s="1"/>
      <c r="F730" s="22"/>
      <c r="G730" s="22"/>
      <c r="H730" s="22"/>
      <c r="I730" s="22"/>
      <c r="J730" s="22"/>
      <c r="K730" s="22"/>
      <c r="L730" s="22"/>
      <c r="M730" s="22"/>
      <c r="N730" s="22"/>
      <c r="O730" s="22"/>
      <c r="P730" s="22"/>
      <c r="Q730" s="22"/>
      <c r="R730" s="1"/>
      <c r="S730" s="1"/>
      <c r="T730" s="8"/>
      <c r="U730" s="1"/>
      <c r="V730" s="1"/>
      <c r="W730" s="1"/>
      <c r="X730" s="1"/>
      <c r="Y730" s="1"/>
      <c r="Z730" s="1"/>
      <c r="AA730" s="1"/>
      <c r="AC730" s="1"/>
      <c r="AD730" s="1"/>
      <c r="AE730" s="1"/>
      <c r="AF730" s="1"/>
      <c r="AG730" s="1"/>
      <c r="AH730" s="26"/>
      <c r="AI730" s="26"/>
      <c r="AJ730" s="26"/>
      <c r="AK730" s="26"/>
      <c r="AL730" s="26"/>
      <c r="AM730" s="26"/>
      <c r="AN730" s="26"/>
      <c r="AO730" s="26"/>
      <c r="AP730" s="26"/>
      <c r="AQ730" s="26"/>
      <c r="AR730" s="26"/>
      <c r="AS730" s="26"/>
      <c r="AT730" s="26"/>
      <c r="AU730" s="26"/>
      <c r="AV730" s="26"/>
      <c r="AW730" s="26"/>
      <c r="AX730" s="26"/>
      <c r="AY730" s="1"/>
      <c r="AZ730" s="26"/>
      <c r="BA730" s="26"/>
      <c r="BB730" s="26"/>
      <c r="BC730" s="26"/>
      <c r="BD730" s="26"/>
      <c r="BE730" s="26"/>
      <c r="BF730" s="26"/>
      <c r="BG730" s="26"/>
      <c r="BH730" s="26"/>
      <c r="BI730" s="26"/>
      <c r="BJ730" s="26"/>
      <c r="BK730" s="26"/>
      <c r="BL730" s="26"/>
      <c r="BM730" s="26"/>
      <c r="BN730" s="26"/>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96"/>
      <c r="CP730" s="14"/>
      <c r="CQ730" s="14"/>
      <c r="CR730" s="14"/>
      <c r="CS730" s="14"/>
      <c r="CT730" s="1"/>
      <c r="CU730" s="14"/>
      <c r="CV730" s="1"/>
      <c r="CW730" s="1"/>
      <c r="CX730" s="14"/>
      <c r="CY730" s="1"/>
      <c r="CZ730" s="1"/>
      <c r="DA730" s="1"/>
      <c r="DB730" s="1"/>
      <c r="DC730" s="1"/>
      <c r="DD730" s="1"/>
      <c r="DE730" s="1"/>
      <c r="DF730" s="1"/>
      <c r="DG730" s="1"/>
      <c r="DH730" s="1"/>
      <c r="DI730" s="1"/>
      <c r="DJ730" s="1"/>
      <c r="DK730" s="1"/>
      <c r="DL730" s="1"/>
      <c r="DM730" s="1"/>
      <c r="DN730" s="1"/>
      <c r="DO730" s="1"/>
      <c r="DP730" s="1"/>
      <c r="DQ730" s="1"/>
      <c r="DR730" s="1"/>
      <c r="DS730" s="1"/>
      <c r="DT730" s="1"/>
      <c r="DU730" s="14"/>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29"/>
    </row>
    <row r="731" spans="1:160" x14ac:dyDescent="0.25">
      <c r="A731" s="5"/>
      <c r="B731" s="1"/>
      <c r="C731" s="98"/>
      <c r="D731" s="98"/>
      <c r="E731" s="1"/>
      <c r="F731" s="22"/>
      <c r="G731" s="22"/>
      <c r="H731" s="22"/>
      <c r="I731" s="22"/>
      <c r="J731" s="22"/>
      <c r="K731" s="22"/>
      <c r="L731" s="22"/>
      <c r="M731" s="22"/>
      <c r="N731" s="22"/>
      <c r="O731" s="22"/>
      <c r="P731" s="22"/>
      <c r="Q731" s="22"/>
      <c r="R731" s="1"/>
      <c r="S731" s="1"/>
      <c r="T731" s="8"/>
      <c r="U731" s="1"/>
      <c r="V731" s="1"/>
      <c r="W731" s="1"/>
      <c r="X731" s="1"/>
      <c r="Y731" s="1"/>
      <c r="Z731" s="1"/>
      <c r="AA731" s="1"/>
      <c r="AC731" s="1"/>
      <c r="AD731" s="1"/>
      <c r="AE731" s="1"/>
      <c r="AF731" s="1"/>
      <c r="AG731" s="1"/>
      <c r="AH731" s="26"/>
      <c r="AI731" s="26"/>
      <c r="AJ731" s="26"/>
      <c r="AK731" s="26"/>
      <c r="AL731" s="26"/>
      <c r="AM731" s="26"/>
      <c r="AN731" s="26"/>
      <c r="AO731" s="26"/>
      <c r="AP731" s="26"/>
      <c r="AQ731" s="26"/>
      <c r="AR731" s="26"/>
      <c r="AS731" s="26"/>
      <c r="AT731" s="26"/>
      <c r="AU731" s="26"/>
      <c r="AV731" s="26"/>
      <c r="AW731" s="26"/>
      <c r="AX731" s="26"/>
      <c r="AY731" s="1"/>
      <c r="AZ731" s="26"/>
      <c r="BA731" s="26"/>
      <c r="BB731" s="26"/>
      <c r="BC731" s="26"/>
      <c r="BD731" s="26"/>
      <c r="BE731" s="26"/>
      <c r="BF731" s="26"/>
      <c r="BG731" s="26"/>
      <c r="BH731" s="26"/>
      <c r="BI731" s="26"/>
      <c r="BJ731" s="26"/>
      <c r="BK731" s="26"/>
      <c r="BL731" s="26"/>
      <c r="BM731" s="26"/>
      <c r="BN731" s="26"/>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96"/>
      <c r="CP731" s="14"/>
      <c r="CQ731" s="14"/>
      <c r="CR731" s="14"/>
      <c r="CS731" s="14"/>
      <c r="CT731" s="1"/>
      <c r="CU731" s="14"/>
      <c r="CV731" s="1"/>
      <c r="CW731" s="1"/>
      <c r="CX731" s="14"/>
      <c r="CY731" s="1"/>
      <c r="CZ731" s="1"/>
      <c r="DA731" s="1"/>
      <c r="DB731" s="1"/>
      <c r="DC731" s="1"/>
      <c r="DD731" s="1"/>
      <c r="DE731" s="1"/>
      <c r="DF731" s="1"/>
      <c r="DG731" s="1"/>
      <c r="DH731" s="1"/>
      <c r="DI731" s="1"/>
      <c r="DJ731" s="1"/>
      <c r="DK731" s="1"/>
      <c r="DL731" s="1"/>
      <c r="DM731" s="1"/>
      <c r="DN731" s="1"/>
      <c r="DO731" s="1"/>
      <c r="DP731" s="1"/>
      <c r="DQ731" s="1"/>
      <c r="DR731" s="1"/>
      <c r="DS731" s="1"/>
      <c r="DT731" s="1"/>
      <c r="DU731" s="14"/>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29"/>
    </row>
    <row r="732" spans="1:160" x14ac:dyDescent="0.25">
      <c r="A732" s="5"/>
      <c r="B732" s="1"/>
      <c r="C732" s="98"/>
      <c r="D732" s="98"/>
      <c r="E732" s="1"/>
      <c r="F732" s="22"/>
      <c r="G732" s="22"/>
      <c r="H732" s="22"/>
      <c r="I732" s="22"/>
      <c r="J732" s="22"/>
      <c r="K732" s="22"/>
      <c r="L732" s="22"/>
      <c r="M732" s="22"/>
      <c r="N732" s="22"/>
      <c r="O732" s="22"/>
      <c r="P732" s="22"/>
      <c r="Q732" s="22"/>
      <c r="R732" s="1"/>
      <c r="S732" s="1"/>
      <c r="T732" s="8"/>
      <c r="U732" s="1"/>
      <c r="V732" s="1"/>
      <c r="W732" s="1"/>
      <c r="X732" s="1"/>
      <c r="Y732" s="1"/>
      <c r="Z732" s="1"/>
      <c r="AA732" s="1"/>
      <c r="AC732" s="1"/>
      <c r="AD732" s="1"/>
      <c r="AE732" s="1"/>
      <c r="AF732" s="1"/>
      <c r="AG732" s="1"/>
      <c r="AH732" s="26"/>
      <c r="AI732" s="26"/>
      <c r="AJ732" s="26"/>
      <c r="AK732" s="26"/>
      <c r="AL732" s="26"/>
      <c r="AM732" s="26"/>
      <c r="AN732" s="26"/>
      <c r="AO732" s="26"/>
      <c r="AP732" s="26"/>
      <c r="AQ732" s="26"/>
      <c r="AR732" s="26"/>
      <c r="AS732" s="26"/>
      <c r="AT732" s="26"/>
      <c r="AU732" s="26"/>
      <c r="AV732" s="26"/>
      <c r="AW732" s="26"/>
      <c r="AX732" s="26"/>
      <c r="AY732" s="1"/>
      <c r="AZ732" s="26"/>
      <c r="BA732" s="26"/>
      <c r="BB732" s="26"/>
      <c r="BC732" s="26"/>
      <c r="BD732" s="26"/>
      <c r="BE732" s="26"/>
      <c r="BF732" s="26"/>
      <c r="BG732" s="26"/>
      <c r="BH732" s="26"/>
      <c r="BI732" s="26"/>
      <c r="BJ732" s="26"/>
      <c r="BK732" s="26"/>
      <c r="BL732" s="26"/>
      <c r="BM732" s="26"/>
      <c r="BN732" s="26"/>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96"/>
      <c r="CP732" s="14"/>
      <c r="CQ732" s="14"/>
      <c r="CR732" s="14"/>
      <c r="CS732" s="14"/>
      <c r="CT732" s="1"/>
      <c r="CU732" s="14"/>
      <c r="CV732" s="1"/>
      <c r="CW732" s="1"/>
      <c r="CX732" s="14"/>
      <c r="CY732" s="1"/>
      <c r="CZ732" s="1"/>
      <c r="DA732" s="1"/>
      <c r="DB732" s="1"/>
      <c r="DC732" s="1"/>
      <c r="DD732" s="1"/>
      <c r="DE732" s="1"/>
      <c r="DF732" s="1"/>
      <c r="DG732" s="1"/>
      <c r="DH732" s="1"/>
      <c r="DI732" s="1"/>
      <c r="DJ732" s="1"/>
      <c r="DK732" s="1"/>
      <c r="DL732" s="1"/>
      <c r="DM732" s="1"/>
      <c r="DN732" s="1"/>
      <c r="DO732" s="1"/>
      <c r="DP732" s="1"/>
      <c r="DQ732" s="1"/>
      <c r="DR732" s="1"/>
      <c r="DS732" s="1"/>
      <c r="DT732" s="1"/>
      <c r="DU732" s="14"/>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29"/>
    </row>
    <row r="733" spans="1:160" x14ac:dyDescent="0.25">
      <c r="A733" s="5"/>
      <c r="B733" s="1"/>
      <c r="C733" s="98"/>
      <c r="D733" s="98"/>
      <c r="E733" s="1"/>
      <c r="F733" s="22"/>
      <c r="G733" s="22"/>
      <c r="H733" s="22"/>
      <c r="I733" s="22"/>
      <c r="J733" s="22"/>
      <c r="K733" s="22"/>
      <c r="L733" s="22"/>
      <c r="M733" s="22"/>
      <c r="N733" s="22"/>
      <c r="O733" s="22"/>
      <c r="P733" s="22"/>
      <c r="Q733" s="22"/>
      <c r="R733" s="1"/>
      <c r="S733" s="1"/>
      <c r="T733" s="8"/>
      <c r="U733" s="1"/>
      <c r="V733" s="1"/>
      <c r="W733" s="1"/>
      <c r="X733" s="1"/>
      <c r="Y733" s="1"/>
      <c r="Z733" s="1"/>
      <c r="AA733" s="1"/>
      <c r="AC733" s="1"/>
      <c r="AD733" s="1"/>
      <c r="AE733" s="1"/>
      <c r="AF733" s="1"/>
      <c r="AG733" s="1"/>
      <c r="AH733" s="26"/>
      <c r="AI733" s="26"/>
      <c r="AJ733" s="26"/>
      <c r="AK733" s="26"/>
      <c r="AL733" s="26"/>
      <c r="AM733" s="26"/>
      <c r="AN733" s="26"/>
      <c r="AO733" s="26"/>
      <c r="AP733" s="26"/>
      <c r="AQ733" s="26"/>
      <c r="AR733" s="26"/>
      <c r="AS733" s="26"/>
      <c r="AT733" s="26"/>
      <c r="AU733" s="26"/>
      <c r="AV733" s="26"/>
      <c r="AW733" s="26"/>
      <c r="AX733" s="26"/>
      <c r="AY733" s="1"/>
      <c r="AZ733" s="26"/>
      <c r="BA733" s="26"/>
      <c r="BB733" s="26"/>
      <c r="BC733" s="26"/>
      <c r="BD733" s="26"/>
      <c r="BE733" s="26"/>
      <c r="BF733" s="26"/>
      <c r="BG733" s="26"/>
      <c r="BH733" s="26"/>
      <c r="BI733" s="26"/>
      <c r="BJ733" s="26"/>
      <c r="BK733" s="26"/>
      <c r="BL733" s="26"/>
      <c r="BM733" s="26"/>
      <c r="BN733" s="26"/>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96"/>
      <c r="CP733" s="14"/>
      <c r="CQ733" s="14"/>
      <c r="CR733" s="14"/>
      <c r="CS733" s="14"/>
      <c r="CT733" s="1"/>
      <c r="CU733" s="14"/>
      <c r="CV733" s="1"/>
      <c r="CW733" s="1"/>
      <c r="CX733" s="14"/>
      <c r="CY733" s="1"/>
      <c r="CZ733" s="1"/>
      <c r="DA733" s="1"/>
      <c r="DB733" s="1"/>
      <c r="DC733" s="1"/>
      <c r="DD733" s="1"/>
      <c r="DE733" s="1"/>
      <c r="DF733" s="1"/>
      <c r="DG733" s="1"/>
      <c r="DH733" s="1"/>
      <c r="DI733" s="1"/>
      <c r="DJ733" s="1"/>
      <c r="DK733" s="1"/>
      <c r="DL733" s="1"/>
      <c r="DM733" s="1"/>
      <c r="DN733" s="1"/>
      <c r="DO733" s="1"/>
      <c r="DP733" s="1"/>
      <c r="DQ733" s="1"/>
      <c r="DR733" s="1"/>
      <c r="DS733" s="1"/>
      <c r="DT733" s="1"/>
      <c r="DU733" s="14"/>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29"/>
    </row>
    <row r="734" spans="1:160" x14ac:dyDescent="0.25">
      <c r="A734" s="5"/>
      <c r="B734" s="1"/>
      <c r="C734" s="98"/>
      <c r="D734" s="98"/>
      <c r="E734" s="1"/>
      <c r="F734" s="22"/>
      <c r="G734" s="22"/>
      <c r="H734" s="22"/>
      <c r="I734" s="22"/>
      <c r="J734" s="22"/>
      <c r="K734" s="22"/>
      <c r="L734" s="22"/>
      <c r="M734" s="22"/>
      <c r="N734" s="22"/>
      <c r="O734" s="22"/>
      <c r="P734" s="22"/>
      <c r="Q734" s="22"/>
      <c r="R734" s="1"/>
      <c r="S734" s="1"/>
      <c r="T734" s="8"/>
      <c r="U734" s="1"/>
      <c r="V734" s="1"/>
      <c r="W734" s="1"/>
      <c r="X734" s="1"/>
      <c r="Y734" s="1"/>
      <c r="Z734" s="1"/>
      <c r="AA734" s="1"/>
      <c r="AC734" s="1"/>
      <c r="AD734" s="1"/>
      <c r="AE734" s="1"/>
      <c r="AF734" s="1"/>
      <c r="AG734" s="1"/>
      <c r="AH734" s="26"/>
      <c r="AI734" s="26"/>
      <c r="AJ734" s="26"/>
      <c r="AK734" s="26"/>
      <c r="AL734" s="26"/>
      <c r="AM734" s="26"/>
      <c r="AN734" s="26"/>
      <c r="AO734" s="26"/>
      <c r="AP734" s="26"/>
      <c r="AQ734" s="26"/>
      <c r="AR734" s="26"/>
      <c r="AS734" s="26"/>
      <c r="AT734" s="26"/>
      <c r="AU734" s="26"/>
      <c r="AV734" s="26"/>
      <c r="AW734" s="26"/>
      <c r="AX734" s="26"/>
      <c r="AY734" s="1"/>
      <c r="AZ734" s="26"/>
      <c r="BA734" s="26"/>
      <c r="BB734" s="26"/>
      <c r="BC734" s="26"/>
      <c r="BD734" s="26"/>
      <c r="BE734" s="26"/>
      <c r="BF734" s="26"/>
      <c r="BG734" s="26"/>
      <c r="BH734" s="26"/>
      <c r="BI734" s="26"/>
      <c r="BJ734" s="26"/>
      <c r="BK734" s="26"/>
      <c r="BL734" s="26"/>
      <c r="BM734" s="26"/>
      <c r="BN734" s="26"/>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96"/>
      <c r="CP734" s="14"/>
      <c r="CQ734" s="14"/>
      <c r="CR734" s="14"/>
      <c r="CS734" s="14"/>
      <c r="CT734" s="1"/>
      <c r="CU734" s="14"/>
      <c r="CV734" s="1"/>
      <c r="CW734" s="1"/>
      <c r="CX734" s="14"/>
      <c r="CY734" s="1"/>
      <c r="CZ734" s="1"/>
      <c r="DA734" s="1"/>
      <c r="DB734" s="1"/>
      <c r="DC734" s="1"/>
      <c r="DD734" s="1"/>
      <c r="DE734" s="1"/>
      <c r="DF734" s="1"/>
      <c r="DG734" s="1"/>
      <c r="DH734" s="1"/>
      <c r="DI734" s="1"/>
      <c r="DJ734" s="1"/>
      <c r="DK734" s="1"/>
      <c r="DL734" s="1"/>
      <c r="DM734" s="1"/>
      <c r="DN734" s="1"/>
      <c r="DO734" s="1"/>
      <c r="DP734" s="1"/>
      <c r="DQ734" s="1"/>
      <c r="DR734" s="1"/>
      <c r="DS734" s="1"/>
      <c r="DT734" s="1"/>
      <c r="DU734" s="14"/>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29"/>
    </row>
    <row r="735" spans="1:160" x14ac:dyDescent="0.25">
      <c r="A735" s="5"/>
      <c r="B735" s="1"/>
      <c r="C735" s="98"/>
      <c r="D735" s="98"/>
      <c r="E735" s="1"/>
      <c r="F735" s="22"/>
      <c r="G735" s="22"/>
      <c r="H735" s="22"/>
      <c r="I735" s="22"/>
      <c r="J735" s="22"/>
      <c r="K735" s="22"/>
      <c r="L735" s="22"/>
      <c r="M735" s="22"/>
      <c r="N735" s="22"/>
      <c r="O735" s="22"/>
      <c r="P735" s="22"/>
      <c r="Q735" s="22"/>
      <c r="R735" s="1"/>
      <c r="S735" s="1"/>
      <c r="T735" s="8"/>
      <c r="U735" s="1"/>
      <c r="V735" s="1"/>
      <c r="W735" s="1"/>
      <c r="X735" s="1"/>
      <c r="Y735" s="1"/>
      <c r="Z735" s="1"/>
      <c r="AA735" s="1"/>
      <c r="AC735" s="1"/>
      <c r="AD735" s="1"/>
      <c r="AE735" s="1"/>
      <c r="AF735" s="1"/>
      <c r="AG735" s="1"/>
      <c r="AH735" s="26"/>
      <c r="AI735" s="26"/>
      <c r="AJ735" s="26"/>
      <c r="AK735" s="26"/>
      <c r="AL735" s="26"/>
      <c r="AM735" s="26"/>
      <c r="AN735" s="26"/>
      <c r="AO735" s="26"/>
      <c r="AP735" s="26"/>
      <c r="AQ735" s="26"/>
      <c r="AR735" s="26"/>
      <c r="AS735" s="26"/>
      <c r="AT735" s="26"/>
      <c r="AU735" s="26"/>
      <c r="AV735" s="26"/>
      <c r="AW735" s="26"/>
      <c r="AX735" s="26"/>
      <c r="AY735" s="1"/>
      <c r="AZ735" s="26"/>
      <c r="BA735" s="26"/>
      <c r="BB735" s="26"/>
      <c r="BC735" s="26"/>
      <c r="BD735" s="26"/>
      <c r="BE735" s="26"/>
      <c r="BF735" s="26"/>
      <c r="BG735" s="26"/>
      <c r="BH735" s="26"/>
      <c r="BI735" s="26"/>
      <c r="BJ735" s="26"/>
      <c r="BK735" s="26"/>
      <c r="BL735" s="26"/>
      <c r="BM735" s="26"/>
      <c r="BN735" s="26"/>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96"/>
      <c r="CP735" s="14"/>
      <c r="CQ735" s="14"/>
      <c r="CR735" s="14"/>
      <c r="CS735" s="14"/>
      <c r="CT735" s="1"/>
      <c r="CU735" s="14"/>
      <c r="CV735" s="1"/>
      <c r="CW735" s="1"/>
      <c r="CX735" s="14"/>
      <c r="CY735" s="1"/>
      <c r="CZ735" s="1"/>
      <c r="DA735" s="1"/>
      <c r="DB735" s="1"/>
      <c r="DC735" s="1"/>
      <c r="DD735" s="1"/>
      <c r="DE735" s="1"/>
      <c r="DF735" s="1"/>
      <c r="DG735" s="1"/>
      <c r="DH735" s="1"/>
      <c r="DI735" s="1"/>
      <c r="DJ735" s="1"/>
      <c r="DK735" s="1"/>
      <c r="DL735" s="1"/>
      <c r="DM735" s="1"/>
      <c r="DN735" s="1"/>
      <c r="DO735" s="1"/>
      <c r="DP735" s="1"/>
      <c r="DQ735" s="1"/>
      <c r="DR735" s="1"/>
      <c r="DS735" s="1"/>
      <c r="DT735" s="1"/>
      <c r="DU735" s="14"/>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29"/>
    </row>
    <row r="736" spans="1:160" x14ac:dyDescent="0.25">
      <c r="A736" s="5"/>
      <c r="B736" s="1"/>
      <c r="C736" s="98"/>
      <c r="D736" s="98"/>
      <c r="E736" s="1"/>
      <c r="F736" s="22"/>
      <c r="G736" s="22"/>
      <c r="H736" s="22"/>
      <c r="I736" s="22"/>
      <c r="J736" s="22"/>
      <c r="K736" s="22"/>
      <c r="L736" s="22"/>
      <c r="M736" s="22"/>
      <c r="N736" s="22"/>
      <c r="O736" s="22"/>
      <c r="P736" s="22"/>
      <c r="Q736" s="22"/>
      <c r="R736" s="1"/>
      <c r="S736" s="1"/>
      <c r="T736" s="8"/>
      <c r="U736" s="1"/>
      <c r="V736" s="1"/>
      <c r="W736" s="1"/>
      <c r="X736" s="1"/>
      <c r="Y736" s="1"/>
      <c r="Z736" s="1"/>
      <c r="AA736" s="1"/>
      <c r="AC736" s="1"/>
      <c r="AD736" s="1"/>
      <c r="AE736" s="1"/>
      <c r="AF736" s="1"/>
      <c r="AG736" s="1"/>
      <c r="AH736" s="26"/>
      <c r="AI736" s="26"/>
      <c r="AJ736" s="26"/>
      <c r="AK736" s="26"/>
      <c r="AL736" s="26"/>
      <c r="AM736" s="26"/>
      <c r="AN736" s="26"/>
      <c r="AO736" s="26"/>
      <c r="AP736" s="26"/>
      <c r="AQ736" s="26"/>
      <c r="AR736" s="26"/>
      <c r="AS736" s="26"/>
      <c r="AT736" s="26"/>
      <c r="AU736" s="26"/>
      <c r="AV736" s="26"/>
      <c r="AW736" s="26"/>
      <c r="AX736" s="26"/>
      <c r="AY736" s="1"/>
      <c r="AZ736" s="26"/>
      <c r="BA736" s="26"/>
      <c r="BB736" s="26"/>
      <c r="BC736" s="26"/>
      <c r="BD736" s="26"/>
      <c r="BE736" s="26"/>
      <c r="BF736" s="26"/>
      <c r="BG736" s="26"/>
      <c r="BH736" s="26"/>
      <c r="BI736" s="26"/>
      <c r="BJ736" s="26"/>
      <c r="BK736" s="26"/>
      <c r="BL736" s="26"/>
      <c r="BM736" s="26"/>
      <c r="BN736" s="26"/>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96"/>
      <c r="CP736" s="14"/>
      <c r="CQ736" s="14"/>
      <c r="CR736" s="14"/>
      <c r="CS736" s="14"/>
      <c r="CT736" s="1"/>
      <c r="CU736" s="14"/>
      <c r="CV736" s="1"/>
      <c r="CW736" s="1"/>
      <c r="CX736" s="14"/>
      <c r="CY736" s="1"/>
      <c r="CZ736" s="1"/>
      <c r="DA736" s="1"/>
      <c r="DB736" s="1"/>
      <c r="DC736" s="1"/>
      <c r="DD736" s="1"/>
      <c r="DE736" s="1"/>
      <c r="DF736" s="1"/>
      <c r="DG736" s="1"/>
      <c r="DH736" s="1"/>
      <c r="DI736" s="1"/>
      <c r="DJ736" s="1"/>
      <c r="DK736" s="1"/>
      <c r="DL736" s="1"/>
      <c r="DM736" s="1"/>
      <c r="DN736" s="1"/>
      <c r="DO736" s="1"/>
      <c r="DP736" s="1"/>
      <c r="DQ736" s="1"/>
      <c r="DR736" s="1"/>
      <c r="DS736" s="1"/>
      <c r="DT736" s="1"/>
      <c r="DU736" s="14"/>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29"/>
    </row>
    <row r="737" spans="1:160" x14ac:dyDescent="0.25">
      <c r="A737" s="5"/>
      <c r="B737" s="1"/>
      <c r="C737" s="98"/>
      <c r="D737" s="98"/>
      <c r="E737" s="1"/>
      <c r="F737" s="22"/>
      <c r="G737" s="22"/>
      <c r="H737" s="22"/>
      <c r="I737" s="22"/>
      <c r="J737" s="22"/>
      <c r="K737" s="22"/>
      <c r="L737" s="22"/>
      <c r="M737" s="22"/>
      <c r="N737" s="22"/>
      <c r="O737" s="22"/>
      <c r="P737" s="22"/>
      <c r="Q737" s="22"/>
      <c r="R737" s="1"/>
      <c r="S737" s="1"/>
      <c r="T737" s="8"/>
      <c r="U737" s="1"/>
      <c r="V737" s="1"/>
      <c r="W737" s="1"/>
      <c r="X737" s="1"/>
      <c r="Y737" s="1"/>
      <c r="Z737" s="1"/>
      <c r="AA737" s="1"/>
      <c r="AC737" s="1"/>
      <c r="AD737" s="1"/>
      <c r="AE737" s="1"/>
      <c r="AF737" s="1"/>
      <c r="AG737" s="1"/>
      <c r="AH737" s="26"/>
      <c r="AI737" s="26"/>
      <c r="AJ737" s="26"/>
      <c r="AK737" s="26"/>
      <c r="AL737" s="26"/>
      <c r="AM737" s="26"/>
      <c r="AN737" s="26"/>
      <c r="AO737" s="26"/>
      <c r="AP737" s="26"/>
      <c r="AQ737" s="26"/>
      <c r="AR737" s="26"/>
      <c r="AS737" s="26"/>
      <c r="AT737" s="26"/>
      <c r="AU737" s="26"/>
      <c r="AV737" s="26"/>
      <c r="AW737" s="26"/>
      <c r="AX737" s="26"/>
      <c r="AY737" s="1"/>
      <c r="AZ737" s="26"/>
      <c r="BA737" s="26"/>
      <c r="BB737" s="26"/>
      <c r="BC737" s="26"/>
      <c r="BD737" s="26"/>
      <c r="BE737" s="26"/>
      <c r="BF737" s="26"/>
      <c r="BG737" s="26"/>
      <c r="BH737" s="26"/>
      <c r="BI737" s="26"/>
      <c r="BJ737" s="26"/>
      <c r="BK737" s="26"/>
      <c r="BL737" s="26"/>
      <c r="BM737" s="26"/>
      <c r="BN737" s="26"/>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96"/>
      <c r="CP737" s="14"/>
      <c r="CQ737" s="14"/>
      <c r="CR737" s="14"/>
      <c r="CS737" s="14"/>
      <c r="CT737" s="1"/>
      <c r="CU737" s="14"/>
      <c r="CV737" s="1"/>
      <c r="CW737" s="1"/>
      <c r="CX737" s="14"/>
      <c r="CY737" s="1"/>
      <c r="CZ737" s="1"/>
      <c r="DA737" s="1"/>
      <c r="DB737" s="1"/>
      <c r="DC737" s="1"/>
      <c r="DD737" s="1"/>
      <c r="DE737" s="1"/>
      <c r="DF737" s="1"/>
      <c r="DG737" s="1"/>
      <c r="DH737" s="1"/>
      <c r="DI737" s="1"/>
      <c r="DJ737" s="1"/>
      <c r="DK737" s="1"/>
      <c r="DL737" s="1"/>
      <c r="DM737" s="1"/>
      <c r="DN737" s="1"/>
      <c r="DO737" s="1"/>
      <c r="DP737" s="1"/>
      <c r="DQ737" s="1"/>
      <c r="DR737" s="1"/>
      <c r="DS737" s="1"/>
      <c r="DT737" s="1"/>
      <c r="DU737" s="14"/>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29"/>
    </row>
    <row r="738" spans="1:160" x14ac:dyDescent="0.25">
      <c r="A738" s="5"/>
      <c r="B738" s="1"/>
      <c r="C738" s="98"/>
      <c r="D738" s="98"/>
      <c r="E738" s="1"/>
      <c r="F738" s="22"/>
      <c r="G738" s="22"/>
      <c r="H738" s="22"/>
      <c r="I738" s="22"/>
      <c r="J738" s="22"/>
      <c r="K738" s="22"/>
      <c r="L738" s="22"/>
      <c r="M738" s="22"/>
      <c r="N738" s="22"/>
      <c r="O738" s="22"/>
      <c r="P738" s="22"/>
      <c r="Q738" s="22"/>
      <c r="R738" s="1"/>
      <c r="S738" s="1"/>
      <c r="T738" s="8"/>
      <c r="U738" s="1"/>
      <c r="V738" s="1"/>
      <c r="W738" s="1"/>
      <c r="X738" s="1"/>
      <c r="Y738" s="1"/>
      <c r="Z738" s="1"/>
      <c r="AA738" s="1"/>
      <c r="AC738" s="1"/>
      <c r="AD738" s="1"/>
      <c r="AE738" s="1"/>
      <c r="AF738" s="1"/>
      <c r="AG738" s="1"/>
      <c r="AH738" s="26"/>
      <c r="AI738" s="26"/>
      <c r="AJ738" s="26"/>
      <c r="AK738" s="26"/>
      <c r="AL738" s="26"/>
      <c r="AM738" s="26"/>
      <c r="AN738" s="26"/>
      <c r="AO738" s="26"/>
      <c r="AP738" s="26"/>
      <c r="AQ738" s="26"/>
      <c r="AR738" s="26"/>
      <c r="AS738" s="26"/>
      <c r="AT738" s="26"/>
      <c r="AU738" s="26"/>
      <c r="AV738" s="26"/>
      <c r="AW738" s="26"/>
      <c r="AX738" s="26"/>
      <c r="AY738" s="1"/>
      <c r="AZ738" s="26"/>
      <c r="BA738" s="26"/>
      <c r="BB738" s="26"/>
      <c r="BC738" s="26"/>
      <c r="BD738" s="26"/>
      <c r="BE738" s="26"/>
      <c r="BF738" s="26"/>
      <c r="BG738" s="26"/>
      <c r="BH738" s="26"/>
      <c r="BI738" s="26"/>
      <c r="BJ738" s="26"/>
      <c r="BK738" s="26"/>
      <c r="BL738" s="26"/>
      <c r="BM738" s="26"/>
      <c r="BN738" s="26"/>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96"/>
      <c r="CP738" s="14"/>
      <c r="CQ738" s="14"/>
      <c r="CR738" s="14"/>
      <c r="CS738" s="14"/>
      <c r="CT738" s="1"/>
      <c r="CU738" s="14"/>
      <c r="CV738" s="1"/>
      <c r="CW738" s="1"/>
      <c r="CX738" s="14"/>
      <c r="CY738" s="1"/>
      <c r="CZ738" s="1"/>
      <c r="DA738" s="1"/>
      <c r="DB738" s="1"/>
      <c r="DC738" s="1"/>
      <c r="DD738" s="1"/>
      <c r="DE738" s="1"/>
      <c r="DF738" s="1"/>
      <c r="DG738" s="1"/>
      <c r="DH738" s="1"/>
      <c r="DI738" s="1"/>
      <c r="DJ738" s="1"/>
      <c r="DK738" s="1"/>
      <c r="DL738" s="1"/>
      <c r="DM738" s="1"/>
      <c r="DN738" s="1"/>
      <c r="DO738" s="1"/>
      <c r="DP738" s="1"/>
      <c r="DQ738" s="1"/>
      <c r="DR738" s="1"/>
      <c r="DS738" s="1"/>
      <c r="DT738" s="1"/>
      <c r="DU738" s="14"/>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29"/>
    </row>
    <row r="739" spans="1:160" x14ac:dyDescent="0.25">
      <c r="A739" s="5"/>
      <c r="B739" s="1"/>
      <c r="C739" s="98"/>
      <c r="D739" s="98"/>
      <c r="E739" s="1"/>
      <c r="F739" s="22"/>
      <c r="G739" s="22"/>
      <c r="H739" s="22"/>
      <c r="I739" s="22"/>
      <c r="J739" s="22"/>
      <c r="K739" s="22"/>
      <c r="L739" s="22"/>
      <c r="M739" s="22"/>
      <c r="N739" s="22"/>
      <c r="O739" s="22"/>
      <c r="P739" s="22"/>
      <c r="Q739" s="22"/>
      <c r="R739" s="1"/>
      <c r="S739" s="1"/>
      <c r="T739" s="8"/>
      <c r="U739" s="1"/>
      <c r="V739" s="1"/>
      <c r="W739" s="1"/>
      <c r="X739" s="1"/>
      <c r="Y739" s="1"/>
      <c r="Z739" s="1"/>
      <c r="AA739" s="1"/>
      <c r="AC739" s="1"/>
      <c r="AD739" s="1"/>
      <c r="AE739" s="1"/>
      <c r="AF739" s="1"/>
      <c r="AG739" s="1"/>
      <c r="AH739" s="26"/>
      <c r="AI739" s="26"/>
      <c r="AJ739" s="26"/>
      <c r="AK739" s="26"/>
      <c r="AL739" s="26"/>
      <c r="AM739" s="26"/>
      <c r="AN739" s="26"/>
      <c r="AO739" s="26"/>
      <c r="AP739" s="26"/>
      <c r="AQ739" s="26"/>
      <c r="AR739" s="26"/>
      <c r="AS739" s="26"/>
      <c r="AT739" s="26"/>
      <c r="AU739" s="26"/>
      <c r="AV739" s="26"/>
      <c r="AW739" s="26"/>
      <c r="AX739" s="26"/>
      <c r="AY739" s="1"/>
      <c r="AZ739" s="26"/>
      <c r="BA739" s="26"/>
      <c r="BB739" s="26"/>
      <c r="BC739" s="26"/>
      <c r="BD739" s="26"/>
      <c r="BE739" s="26"/>
      <c r="BF739" s="26"/>
      <c r="BG739" s="26"/>
      <c r="BH739" s="26"/>
      <c r="BI739" s="26"/>
      <c r="BJ739" s="26"/>
      <c r="BK739" s="26"/>
      <c r="BL739" s="26"/>
      <c r="BM739" s="26"/>
      <c r="BN739" s="26"/>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96"/>
      <c r="CP739" s="14"/>
      <c r="CQ739" s="14"/>
      <c r="CR739" s="14"/>
      <c r="CS739" s="14"/>
      <c r="CT739" s="1"/>
      <c r="CU739" s="14"/>
      <c r="CV739" s="1"/>
      <c r="CW739" s="1"/>
      <c r="CX739" s="14"/>
      <c r="CY739" s="1"/>
      <c r="CZ739" s="1"/>
      <c r="DA739" s="1"/>
      <c r="DB739" s="1"/>
      <c r="DC739" s="1"/>
      <c r="DD739" s="1"/>
      <c r="DE739" s="1"/>
      <c r="DF739" s="1"/>
      <c r="DG739" s="1"/>
      <c r="DH739" s="1"/>
      <c r="DI739" s="1"/>
      <c r="DJ739" s="1"/>
      <c r="DK739" s="1"/>
      <c r="DL739" s="1"/>
      <c r="DM739" s="1"/>
      <c r="DN739" s="1"/>
      <c r="DO739" s="1"/>
      <c r="DP739" s="1"/>
      <c r="DQ739" s="1"/>
      <c r="DR739" s="1"/>
      <c r="DS739" s="1"/>
      <c r="DT739" s="1"/>
      <c r="DU739" s="14"/>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29"/>
    </row>
    <row r="740" spans="1:160" x14ac:dyDescent="0.25">
      <c r="A740" s="5"/>
      <c r="B740" s="1"/>
      <c r="C740" s="98"/>
      <c r="D740" s="98"/>
      <c r="E740" s="1"/>
      <c r="F740" s="22"/>
      <c r="G740" s="22"/>
      <c r="H740" s="22"/>
      <c r="I740" s="22"/>
      <c r="J740" s="22"/>
      <c r="K740" s="22"/>
      <c r="L740" s="22"/>
      <c r="M740" s="22"/>
      <c r="N740" s="22"/>
      <c r="O740" s="22"/>
      <c r="P740" s="22"/>
      <c r="Q740" s="22"/>
      <c r="R740" s="1"/>
      <c r="S740" s="1"/>
      <c r="T740" s="8"/>
      <c r="U740" s="1"/>
      <c r="V740" s="1"/>
      <c r="W740" s="1"/>
      <c r="X740" s="1"/>
      <c r="Y740" s="1"/>
      <c r="Z740" s="1"/>
      <c r="AA740" s="1"/>
      <c r="AC740" s="1"/>
      <c r="AD740" s="1"/>
      <c r="AE740" s="1"/>
      <c r="AF740" s="1"/>
      <c r="AG740" s="1"/>
      <c r="AH740" s="26"/>
      <c r="AI740" s="26"/>
      <c r="AJ740" s="26"/>
      <c r="AK740" s="26"/>
      <c r="AL740" s="26"/>
      <c r="AM740" s="26"/>
      <c r="AN740" s="26"/>
      <c r="AO740" s="26"/>
      <c r="AP740" s="26"/>
      <c r="AQ740" s="26"/>
      <c r="AR740" s="26"/>
      <c r="AS740" s="26"/>
      <c r="AT740" s="26"/>
      <c r="AU740" s="26"/>
      <c r="AV740" s="26"/>
      <c r="AW740" s="26"/>
      <c r="AX740" s="26"/>
      <c r="AY740" s="1"/>
      <c r="AZ740" s="26"/>
      <c r="BA740" s="26"/>
      <c r="BB740" s="26"/>
      <c r="BC740" s="26"/>
      <c r="BD740" s="26"/>
      <c r="BE740" s="26"/>
      <c r="BF740" s="26"/>
      <c r="BG740" s="26"/>
      <c r="BH740" s="26"/>
      <c r="BI740" s="26"/>
      <c r="BJ740" s="26"/>
      <c r="BK740" s="26"/>
      <c r="BL740" s="26"/>
      <c r="BM740" s="26"/>
      <c r="BN740" s="26"/>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96"/>
      <c r="CP740" s="14"/>
      <c r="CQ740" s="14"/>
      <c r="CR740" s="14"/>
      <c r="CS740" s="14"/>
      <c r="CT740" s="1"/>
      <c r="CU740" s="14"/>
      <c r="CV740" s="1"/>
      <c r="CW740" s="1"/>
      <c r="CX740" s="14"/>
      <c r="CY740" s="1"/>
      <c r="CZ740" s="1"/>
      <c r="DA740" s="1"/>
      <c r="DB740" s="1"/>
      <c r="DC740" s="1"/>
      <c r="DD740" s="1"/>
      <c r="DE740" s="1"/>
      <c r="DF740" s="1"/>
      <c r="DG740" s="1"/>
      <c r="DH740" s="1"/>
      <c r="DI740" s="1"/>
      <c r="DJ740" s="1"/>
      <c r="DK740" s="1"/>
      <c r="DL740" s="1"/>
      <c r="DM740" s="1"/>
      <c r="DN740" s="1"/>
      <c r="DO740" s="1"/>
      <c r="DP740" s="1"/>
      <c r="DQ740" s="1"/>
      <c r="DR740" s="1"/>
      <c r="DS740" s="1"/>
      <c r="DT740" s="1"/>
      <c r="DU740" s="14"/>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29"/>
    </row>
    <row r="741" spans="1:160" x14ac:dyDescent="0.25">
      <c r="A741" s="5"/>
      <c r="B741" s="1"/>
      <c r="C741" s="98"/>
      <c r="D741" s="98"/>
      <c r="E741" s="1"/>
      <c r="F741" s="22"/>
      <c r="G741" s="22"/>
      <c r="H741" s="22"/>
      <c r="I741" s="22"/>
      <c r="J741" s="22"/>
      <c r="K741" s="22"/>
      <c r="L741" s="22"/>
      <c r="M741" s="22"/>
      <c r="N741" s="22"/>
      <c r="O741" s="22"/>
      <c r="P741" s="22"/>
      <c r="Q741" s="22"/>
      <c r="R741" s="1"/>
      <c r="S741" s="1"/>
      <c r="T741" s="8"/>
      <c r="U741" s="1"/>
      <c r="V741" s="1"/>
      <c r="W741" s="1"/>
      <c r="X741" s="1"/>
      <c r="Y741" s="1"/>
      <c r="Z741" s="1"/>
      <c r="AA741" s="1"/>
      <c r="AC741" s="1"/>
      <c r="AD741" s="1"/>
      <c r="AE741" s="1"/>
      <c r="AF741" s="1"/>
      <c r="AG741" s="1"/>
      <c r="AH741" s="26"/>
      <c r="AI741" s="26"/>
      <c r="AJ741" s="26"/>
      <c r="AK741" s="26"/>
      <c r="AL741" s="26"/>
      <c r="AM741" s="26"/>
      <c r="AN741" s="26"/>
      <c r="AO741" s="26"/>
      <c r="AP741" s="26"/>
      <c r="AQ741" s="26"/>
      <c r="AR741" s="26"/>
      <c r="AS741" s="26"/>
      <c r="AT741" s="26"/>
      <c r="AU741" s="26"/>
      <c r="AV741" s="26"/>
      <c r="AW741" s="26"/>
      <c r="AX741" s="26"/>
      <c r="AY741" s="1"/>
      <c r="AZ741" s="26"/>
      <c r="BA741" s="26"/>
      <c r="BB741" s="26"/>
      <c r="BC741" s="26"/>
      <c r="BD741" s="26"/>
      <c r="BE741" s="26"/>
      <c r="BF741" s="26"/>
      <c r="BG741" s="26"/>
      <c r="BH741" s="26"/>
      <c r="BI741" s="26"/>
      <c r="BJ741" s="26"/>
      <c r="BK741" s="26"/>
      <c r="BL741" s="26"/>
      <c r="BM741" s="26"/>
      <c r="BN741" s="26"/>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96"/>
      <c r="CP741" s="14"/>
      <c r="CQ741" s="14"/>
      <c r="CR741" s="14"/>
      <c r="CS741" s="14"/>
      <c r="CT741" s="1"/>
      <c r="CU741" s="14"/>
      <c r="CV741" s="1"/>
      <c r="CW741" s="1"/>
      <c r="CX741" s="14"/>
      <c r="CY741" s="1"/>
      <c r="CZ741" s="1"/>
      <c r="DA741" s="1"/>
      <c r="DB741" s="1"/>
      <c r="DC741" s="1"/>
      <c r="DD741" s="1"/>
      <c r="DE741" s="1"/>
      <c r="DF741" s="1"/>
      <c r="DG741" s="1"/>
      <c r="DH741" s="1"/>
      <c r="DI741" s="1"/>
      <c r="DJ741" s="1"/>
      <c r="DK741" s="1"/>
      <c r="DL741" s="1"/>
      <c r="DM741" s="1"/>
      <c r="DN741" s="1"/>
      <c r="DO741" s="1"/>
      <c r="DP741" s="1"/>
      <c r="DQ741" s="1"/>
      <c r="DR741" s="1"/>
      <c r="DS741" s="1"/>
      <c r="DT741" s="1"/>
      <c r="DU741" s="14"/>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29"/>
    </row>
    <row r="742" spans="1:160" x14ac:dyDescent="0.25">
      <c r="A742" s="5"/>
      <c r="B742" s="1"/>
      <c r="C742" s="98"/>
      <c r="D742" s="98"/>
      <c r="E742" s="1"/>
      <c r="F742" s="22"/>
      <c r="G742" s="22"/>
      <c r="H742" s="22"/>
      <c r="I742" s="22"/>
      <c r="J742" s="22"/>
      <c r="K742" s="22"/>
      <c r="L742" s="22"/>
      <c r="M742" s="22"/>
      <c r="N742" s="22"/>
      <c r="O742" s="22"/>
      <c r="P742" s="22"/>
      <c r="Q742" s="22"/>
      <c r="R742" s="1"/>
      <c r="S742" s="1"/>
      <c r="T742" s="8"/>
      <c r="U742" s="1"/>
      <c r="V742" s="1"/>
      <c r="W742" s="1"/>
      <c r="X742" s="1"/>
      <c r="Y742" s="1"/>
      <c r="Z742" s="1"/>
      <c r="AA742" s="1"/>
      <c r="AC742" s="1"/>
      <c r="AD742" s="1"/>
      <c r="AE742" s="1"/>
      <c r="AF742" s="1"/>
      <c r="AG742" s="1"/>
      <c r="AH742" s="26"/>
      <c r="AI742" s="26"/>
      <c r="AJ742" s="26"/>
      <c r="AK742" s="26"/>
      <c r="AL742" s="26"/>
      <c r="AM742" s="26"/>
      <c r="AN742" s="26"/>
      <c r="AO742" s="26"/>
      <c r="AP742" s="26"/>
      <c r="AQ742" s="26"/>
      <c r="AR742" s="26"/>
      <c r="AS742" s="26"/>
      <c r="AT742" s="26"/>
      <c r="AU742" s="26"/>
      <c r="AV742" s="26"/>
      <c r="AW742" s="26"/>
      <c r="AX742" s="26"/>
      <c r="AY742" s="1"/>
      <c r="AZ742" s="26"/>
      <c r="BA742" s="26"/>
      <c r="BB742" s="26"/>
      <c r="BC742" s="26"/>
      <c r="BD742" s="26"/>
      <c r="BE742" s="26"/>
      <c r="BF742" s="26"/>
      <c r="BG742" s="26"/>
      <c r="BH742" s="26"/>
      <c r="BI742" s="26"/>
      <c r="BJ742" s="26"/>
      <c r="BK742" s="26"/>
      <c r="BL742" s="26"/>
      <c r="BM742" s="26"/>
      <c r="BN742" s="26"/>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96"/>
      <c r="CP742" s="14"/>
      <c r="CQ742" s="14"/>
      <c r="CR742" s="14"/>
      <c r="CS742" s="14"/>
      <c r="CT742" s="1"/>
      <c r="CU742" s="14"/>
      <c r="CV742" s="1"/>
      <c r="CW742" s="1"/>
      <c r="CX742" s="14"/>
      <c r="CY742" s="1"/>
      <c r="CZ742" s="1"/>
      <c r="DA742" s="1"/>
      <c r="DB742" s="1"/>
      <c r="DC742" s="1"/>
      <c r="DD742" s="1"/>
      <c r="DE742" s="1"/>
      <c r="DF742" s="1"/>
      <c r="DG742" s="1"/>
      <c r="DH742" s="1"/>
      <c r="DI742" s="1"/>
      <c r="DJ742" s="1"/>
      <c r="DK742" s="1"/>
      <c r="DL742" s="1"/>
      <c r="DM742" s="1"/>
      <c r="DN742" s="1"/>
      <c r="DO742" s="1"/>
      <c r="DP742" s="1"/>
      <c r="DQ742" s="1"/>
      <c r="DR742" s="1"/>
      <c r="DS742" s="1"/>
      <c r="DT742" s="1"/>
      <c r="DU742" s="14"/>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29"/>
    </row>
    <row r="743" spans="1:160" x14ac:dyDescent="0.25">
      <c r="A743" s="5"/>
      <c r="B743" s="1"/>
      <c r="C743" s="98"/>
      <c r="D743" s="98"/>
      <c r="E743" s="1"/>
      <c r="F743" s="22"/>
      <c r="G743" s="22"/>
      <c r="H743" s="22"/>
      <c r="I743" s="22"/>
      <c r="J743" s="22"/>
      <c r="K743" s="22"/>
      <c r="L743" s="22"/>
      <c r="M743" s="22"/>
      <c r="N743" s="22"/>
      <c r="O743" s="22"/>
      <c r="P743" s="22"/>
      <c r="Q743" s="22"/>
      <c r="R743" s="1"/>
      <c r="S743" s="1"/>
      <c r="T743" s="8"/>
      <c r="U743" s="1"/>
      <c r="V743" s="1"/>
      <c r="W743" s="1"/>
      <c r="X743" s="1"/>
      <c r="Y743" s="1"/>
      <c r="Z743" s="1"/>
      <c r="AA743" s="1"/>
      <c r="AC743" s="1"/>
      <c r="AD743" s="1"/>
      <c r="AE743" s="1"/>
      <c r="AF743" s="1"/>
      <c r="AG743" s="1"/>
      <c r="AH743" s="26"/>
      <c r="AI743" s="26"/>
      <c r="AJ743" s="26"/>
      <c r="AK743" s="26"/>
      <c r="AL743" s="26"/>
      <c r="AM743" s="26"/>
      <c r="AN743" s="26"/>
      <c r="AO743" s="26"/>
      <c r="AP743" s="26"/>
      <c r="AQ743" s="26"/>
      <c r="AR743" s="26"/>
      <c r="AS743" s="26"/>
      <c r="AT743" s="26"/>
      <c r="AU743" s="26"/>
      <c r="AV743" s="26"/>
      <c r="AW743" s="26"/>
      <c r="AX743" s="26"/>
      <c r="AY743" s="1"/>
      <c r="AZ743" s="26"/>
      <c r="BA743" s="26"/>
      <c r="BB743" s="26"/>
      <c r="BC743" s="26"/>
      <c r="BD743" s="26"/>
      <c r="BE743" s="26"/>
      <c r="BF743" s="26"/>
      <c r="BG743" s="26"/>
      <c r="BH743" s="26"/>
      <c r="BI743" s="26"/>
      <c r="BJ743" s="26"/>
      <c r="BK743" s="26"/>
      <c r="BL743" s="26"/>
      <c r="BM743" s="26"/>
      <c r="BN743" s="26"/>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96"/>
      <c r="CP743" s="14"/>
      <c r="CQ743" s="14"/>
      <c r="CR743" s="14"/>
      <c r="CS743" s="14"/>
      <c r="CT743" s="1"/>
      <c r="CU743" s="14"/>
      <c r="CV743" s="1"/>
      <c r="CW743" s="1"/>
      <c r="CX743" s="14"/>
      <c r="CY743" s="1"/>
      <c r="CZ743" s="1"/>
      <c r="DA743" s="1"/>
      <c r="DB743" s="1"/>
      <c r="DC743" s="1"/>
      <c r="DD743" s="1"/>
      <c r="DE743" s="1"/>
      <c r="DF743" s="1"/>
      <c r="DG743" s="1"/>
      <c r="DH743" s="1"/>
      <c r="DI743" s="1"/>
      <c r="DJ743" s="1"/>
      <c r="DK743" s="1"/>
      <c r="DL743" s="1"/>
      <c r="DM743" s="1"/>
      <c r="DN743" s="1"/>
      <c r="DO743" s="1"/>
      <c r="DP743" s="1"/>
      <c r="DQ743" s="1"/>
      <c r="DR743" s="1"/>
      <c r="DS743" s="1"/>
      <c r="DT743" s="1"/>
      <c r="DU743" s="14"/>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29"/>
    </row>
    <row r="744" spans="1:160" x14ac:dyDescent="0.25">
      <c r="A744" s="5"/>
      <c r="B744" s="1"/>
      <c r="C744" s="98"/>
      <c r="D744" s="98"/>
      <c r="E744" s="1"/>
      <c r="F744" s="22"/>
      <c r="G744" s="22"/>
      <c r="H744" s="22"/>
      <c r="I744" s="22"/>
      <c r="J744" s="22"/>
      <c r="K744" s="22"/>
      <c r="L744" s="22"/>
      <c r="M744" s="22"/>
      <c r="N744" s="22"/>
      <c r="O744" s="22"/>
      <c r="P744" s="22"/>
      <c r="Q744" s="22"/>
      <c r="R744" s="1"/>
      <c r="S744" s="1"/>
      <c r="T744" s="8"/>
      <c r="U744" s="1"/>
      <c r="V744" s="1"/>
      <c r="W744" s="1"/>
      <c r="X744" s="1"/>
      <c r="Y744" s="1"/>
      <c r="Z744" s="1"/>
      <c r="AA744" s="1"/>
      <c r="AC744" s="1"/>
      <c r="AD744" s="1"/>
      <c r="AE744" s="1"/>
      <c r="AF744" s="1"/>
      <c r="AG744" s="1"/>
      <c r="AH744" s="26"/>
      <c r="AI744" s="26"/>
      <c r="AJ744" s="26"/>
      <c r="AK744" s="26"/>
      <c r="AL744" s="26"/>
      <c r="AM744" s="26"/>
      <c r="AN744" s="26"/>
      <c r="AO744" s="26"/>
      <c r="AP744" s="26"/>
      <c r="AQ744" s="26"/>
      <c r="AR744" s="26"/>
      <c r="AS744" s="26"/>
      <c r="AT744" s="26"/>
      <c r="AU744" s="26"/>
      <c r="AV744" s="26"/>
      <c r="AW744" s="26"/>
      <c r="AX744" s="26"/>
      <c r="AY744" s="1"/>
      <c r="AZ744" s="26"/>
      <c r="BA744" s="26"/>
      <c r="BB744" s="26"/>
      <c r="BC744" s="26"/>
      <c r="BD744" s="26"/>
      <c r="BE744" s="26"/>
      <c r="BF744" s="26"/>
      <c r="BG744" s="26"/>
      <c r="BH744" s="26"/>
      <c r="BI744" s="26"/>
      <c r="BJ744" s="26"/>
      <c r="BK744" s="26"/>
      <c r="BL744" s="26"/>
      <c r="BM744" s="26"/>
      <c r="BN744" s="26"/>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96"/>
      <c r="CP744" s="14"/>
      <c r="CQ744" s="14"/>
      <c r="CR744" s="14"/>
      <c r="CS744" s="14"/>
      <c r="CT744" s="1"/>
      <c r="CU744" s="14"/>
      <c r="CV744" s="1"/>
      <c r="CW744" s="1"/>
      <c r="CX744" s="14"/>
      <c r="CY744" s="1"/>
      <c r="CZ744" s="1"/>
      <c r="DA744" s="1"/>
      <c r="DB744" s="1"/>
      <c r="DC744" s="1"/>
      <c r="DD744" s="1"/>
      <c r="DE744" s="1"/>
      <c r="DF744" s="1"/>
      <c r="DG744" s="1"/>
      <c r="DH744" s="1"/>
      <c r="DI744" s="1"/>
      <c r="DJ744" s="1"/>
      <c r="DK744" s="1"/>
      <c r="DL744" s="1"/>
      <c r="DM744" s="1"/>
      <c r="DN744" s="1"/>
      <c r="DO744" s="1"/>
      <c r="DP744" s="1"/>
      <c r="DQ744" s="1"/>
      <c r="DR744" s="1"/>
      <c r="DS744" s="1"/>
      <c r="DT744" s="1"/>
      <c r="DU744" s="14"/>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29"/>
    </row>
    <row r="745" spans="1:160" x14ac:dyDescent="0.25">
      <c r="A745" s="5"/>
      <c r="B745" s="1"/>
      <c r="C745" s="98"/>
      <c r="D745" s="98"/>
      <c r="E745" s="1"/>
      <c r="F745" s="22"/>
      <c r="G745" s="22"/>
      <c r="H745" s="22"/>
      <c r="I745" s="22"/>
      <c r="J745" s="22"/>
      <c r="K745" s="22"/>
      <c r="L745" s="22"/>
      <c r="M745" s="22"/>
      <c r="N745" s="22"/>
      <c r="O745" s="22"/>
      <c r="P745" s="22"/>
      <c r="Q745" s="22"/>
      <c r="R745" s="1"/>
      <c r="S745" s="1"/>
      <c r="T745" s="8"/>
      <c r="U745" s="1"/>
      <c r="V745" s="1"/>
      <c r="W745" s="1"/>
      <c r="X745" s="1"/>
      <c r="Y745" s="1"/>
      <c r="Z745" s="1"/>
      <c r="AA745" s="1"/>
      <c r="AC745" s="1"/>
      <c r="AD745" s="1"/>
      <c r="AE745" s="1"/>
      <c r="AF745" s="1"/>
      <c r="AG745" s="1"/>
      <c r="AH745" s="26"/>
      <c r="AI745" s="26"/>
      <c r="AJ745" s="26"/>
      <c r="AK745" s="26"/>
      <c r="AL745" s="26"/>
      <c r="AM745" s="26"/>
      <c r="AN745" s="26"/>
      <c r="AO745" s="26"/>
      <c r="AP745" s="26"/>
      <c r="AQ745" s="26"/>
      <c r="AR745" s="26"/>
      <c r="AS745" s="26"/>
      <c r="AT745" s="26"/>
      <c r="AU745" s="26"/>
      <c r="AV745" s="26"/>
      <c r="AW745" s="26"/>
      <c r="AX745" s="26"/>
      <c r="AY745" s="1"/>
      <c r="AZ745" s="26"/>
      <c r="BA745" s="26"/>
      <c r="BB745" s="26"/>
      <c r="BC745" s="26"/>
      <c r="BD745" s="26"/>
      <c r="BE745" s="26"/>
      <c r="BF745" s="26"/>
      <c r="BG745" s="26"/>
      <c r="BH745" s="26"/>
      <c r="BI745" s="26"/>
      <c r="BJ745" s="26"/>
      <c r="BK745" s="26"/>
      <c r="BL745" s="26"/>
      <c r="BM745" s="26"/>
      <c r="BN745" s="26"/>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96"/>
      <c r="CP745" s="14"/>
      <c r="CQ745" s="14"/>
      <c r="CR745" s="14"/>
      <c r="CS745" s="14"/>
      <c r="CT745" s="1"/>
      <c r="CU745" s="14"/>
      <c r="CV745" s="1"/>
      <c r="CW745" s="1"/>
      <c r="CX745" s="14"/>
      <c r="CY745" s="1"/>
      <c r="CZ745" s="1"/>
      <c r="DA745" s="1"/>
      <c r="DB745" s="1"/>
      <c r="DC745" s="1"/>
      <c r="DD745" s="1"/>
      <c r="DE745" s="1"/>
      <c r="DF745" s="1"/>
      <c r="DG745" s="1"/>
      <c r="DH745" s="1"/>
      <c r="DI745" s="1"/>
      <c r="DJ745" s="1"/>
      <c r="DK745" s="1"/>
      <c r="DL745" s="1"/>
      <c r="DM745" s="1"/>
      <c r="DN745" s="1"/>
      <c r="DO745" s="1"/>
      <c r="DP745" s="1"/>
      <c r="DQ745" s="1"/>
      <c r="DR745" s="1"/>
      <c r="DS745" s="1"/>
      <c r="DT745" s="1"/>
      <c r="DU745" s="14"/>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29"/>
    </row>
    <row r="746" spans="1:160" x14ac:dyDescent="0.25">
      <c r="A746" s="5"/>
      <c r="B746" s="1"/>
      <c r="C746" s="98"/>
      <c r="D746" s="98"/>
      <c r="E746" s="1"/>
      <c r="F746" s="22"/>
      <c r="G746" s="22"/>
      <c r="H746" s="22"/>
      <c r="I746" s="22"/>
      <c r="J746" s="22"/>
      <c r="K746" s="22"/>
      <c r="L746" s="22"/>
      <c r="M746" s="22"/>
      <c r="N746" s="22"/>
      <c r="O746" s="22"/>
      <c r="P746" s="22"/>
      <c r="Q746" s="22"/>
      <c r="R746" s="1"/>
      <c r="S746" s="1"/>
      <c r="T746" s="8"/>
      <c r="U746" s="1"/>
      <c r="V746" s="1"/>
      <c r="W746" s="1"/>
      <c r="X746" s="1"/>
      <c r="Y746" s="1"/>
      <c r="Z746" s="1"/>
      <c r="AA746" s="1"/>
      <c r="AC746" s="1"/>
      <c r="AD746" s="1"/>
      <c r="AE746" s="1"/>
      <c r="AF746" s="1"/>
      <c r="AG746" s="1"/>
      <c r="AH746" s="26"/>
      <c r="AI746" s="26"/>
      <c r="AJ746" s="26"/>
      <c r="AK746" s="26"/>
      <c r="AL746" s="26"/>
      <c r="AM746" s="26"/>
      <c r="AN746" s="26"/>
      <c r="AO746" s="26"/>
      <c r="AP746" s="26"/>
      <c r="AQ746" s="26"/>
      <c r="AR746" s="26"/>
      <c r="AS746" s="26"/>
      <c r="AT746" s="26"/>
      <c r="AU746" s="26"/>
      <c r="AV746" s="26"/>
      <c r="AW746" s="26"/>
      <c r="AX746" s="26"/>
      <c r="AY746" s="1"/>
      <c r="AZ746" s="26"/>
      <c r="BA746" s="26"/>
      <c r="BB746" s="26"/>
      <c r="BC746" s="26"/>
      <c r="BD746" s="26"/>
      <c r="BE746" s="26"/>
      <c r="BF746" s="26"/>
      <c r="BG746" s="26"/>
      <c r="BH746" s="26"/>
      <c r="BI746" s="26"/>
      <c r="BJ746" s="26"/>
      <c r="BK746" s="26"/>
      <c r="BL746" s="26"/>
      <c r="BM746" s="26"/>
      <c r="BN746" s="26"/>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96"/>
      <c r="CP746" s="14"/>
      <c r="CQ746" s="14"/>
      <c r="CR746" s="14"/>
      <c r="CS746" s="14"/>
      <c r="CT746" s="1"/>
      <c r="CU746" s="14"/>
      <c r="CV746" s="1"/>
      <c r="CW746" s="1"/>
      <c r="CX746" s="14"/>
      <c r="CY746" s="1"/>
      <c r="CZ746" s="1"/>
      <c r="DA746" s="1"/>
      <c r="DB746" s="1"/>
      <c r="DC746" s="1"/>
      <c r="DD746" s="1"/>
      <c r="DE746" s="1"/>
      <c r="DF746" s="1"/>
      <c r="DG746" s="1"/>
      <c r="DH746" s="1"/>
      <c r="DI746" s="1"/>
      <c r="DJ746" s="1"/>
      <c r="DK746" s="1"/>
      <c r="DL746" s="1"/>
      <c r="DM746" s="1"/>
      <c r="DN746" s="1"/>
      <c r="DO746" s="1"/>
      <c r="DP746" s="1"/>
      <c r="DQ746" s="1"/>
      <c r="DR746" s="1"/>
      <c r="DS746" s="1"/>
      <c r="DT746" s="1"/>
      <c r="DU746" s="14"/>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29"/>
    </row>
    <row r="747" spans="1:160" x14ac:dyDescent="0.25">
      <c r="A747" s="5"/>
      <c r="B747" s="1"/>
      <c r="C747" s="98"/>
      <c r="D747" s="98"/>
      <c r="E747" s="1"/>
      <c r="F747" s="22"/>
      <c r="G747" s="22"/>
      <c r="H747" s="22"/>
      <c r="I747" s="22"/>
      <c r="J747" s="22"/>
      <c r="K747" s="22"/>
      <c r="L747" s="22"/>
      <c r="M747" s="22"/>
      <c r="N747" s="22"/>
      <c r="O747" s="22"/>
      <c r="P747" s="22"/>
      <c r="Q747" s="22"/>
      <c r="R747" s="1"/>
      <c r="S747" s="1"/>
      <c r="T747" s="8"/>
      <c r="U747" s="1"/>
      <c r="V747" s="1"/>
      <c r="W747" s="1"/>
      <c r="X747" s="1"/>
      <c r="Y747" s="1"/>
      <c r="Z747" s="1"/>
      <c r="AA747" s="1"/>
      <c r="AC747" s="1"/>
      <c r="AD747" s="1"/>
      <c r="AE747" s="1"/>
      <c r="AF747" s="1"/>
      <c r="AG747" s="1"/>
      <c r="AH747" s="26"/>
      <c r="AI747" s="26"/>
      <c r="AJ747" s="26"/>
      <c r="AK747" s="26"/>
      <c r="AL747" s="26"/>
      <c r="AM747" s="26"/>
      <c r="AN747" s="26"/>
      <c r="AO747" s="26"/>
      <c r="AP747" s="26"/>
      <c r="AQ747" s="26"/>
      <c r="AR747" s="26"/>
      <c r="AS747" s="26"/>
      <c r="AT747" s="26"/>
      <c r="AU747" s="26"/>
      <c r="AV747" s="26"/>
      <c r="AW747" s="26"/>
      <c r="AX747" s="26"/>
      <c r="AY747" s="1"/>
      <c r="AZ747" s="26"/>
      <c r="BA747" s="26"/>
      <c r="BB747" s="26"/>
      <c r="BC747" s="26"/>
      <c r="BD747" s="26"/>
      <c r="BE747" s="26"/>
      <c r="BF747" s="26"/>
      <c r="BG747" s="26"/>
      <c r="BH747" s="26"/>
      <c r="BI747" s="26"/>
      <c r="BJ747" s="26"/>
      <c r="BK747" s="26"/>
      <c r="BL747" s="26"/>
      <c r="BM747" s="26"/>
      <c r="BN747" s="26"/>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96"/>
      <c r="CP747" s="14"/>
      <c r="CQ747" s="14"/>
      <c r="CR747" s="14"/>
      <c r="CS747" s="14"/>
      <c r="CT747" s="1"/>
      <c r="CU747" s="14"/>
      <c r="CV747" s="1"/>
      <c r="CW747" s="1"/>
      <c r="CX747" s="14"/>
      <c r="CY747" s="1"/>
      <c r="CZ747" s="1"/>
      <c r="DA747" s="1"/>
      <c r="DB747" s="1"/>
      <c r="DC747" s="1"/>
      <c r="DD747" s="1"/>
      <c r="DE747" s="1"/>
      <c r="DF747" s="1"/>
      <c r="DG747" s="1"/>
      <c r="DH747" s="1"/>
      <c r="DI747" s="1"/>
      <c r="DJ747" s="1"/>
      <c r="DK747" s="1"/>
      <c r="DL747" s="1"/>
      <c r="DM747" s="1"/>
      <c r="DN747" s="1"/>
      <c r="DO747" s="1"/>
      <c r="DP747" s="1"/>
      <c r="DQ747" s="1"/>
      <c r="DR747" s="1"/>
      <c r="DS747" s="1"/>
      <c r="DT747" s="1"/>
      <c r="DU747" s="14"/>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29"/>
    </row>
    <row r="748" spans="1:160" x14ac:dyDescent="0.25">
      <c r="A748" s="5"/>
      <c r="B748" s="1"/>
      <c r="C748" s="98"/>
      <c r="D748" s="98"/>
      <c r="E748" s="1"/>
      <c r="F748" s="22"/>
      <c r="G748" s="22"/>
      <c r="H748" s="22"/>
      <c r="I748" s="22"/>
      <c r="J748" s="22"/>
      <c r="K748" s="22"/>
      <c r="L748" s="22"/>
      <c r="M748" s="22"/>
      <c r="N748" s="22"/>
      <c r="O748" s="22"/>
      <c r="P748" s="22"/>
      <c r="Q748" s="22"/>
      <c r="R748" s="1"/>
      <c r="S748" s="1"/>
      <c r="T748" s="8"/>
      <c r="U748" s="1"/>
      <c r="V748" s="1"/>
      <c r="W748" s="1"/>
      <c r="X748" s="1"/>
      <c r="Y748" s="1"/>
      <c r="Z748" s="1"/>
      <c r="AA748" s="1"/>
      <c r="AC748" s="1"/>
      <c r="AD748" s="1"/>
      <c r="AE748" s="1"/>
      <c r="AF748" s="1"/>
      <c r="AG748" s="1"/>
      <c r="AH748" s="26"/>
      <c r="AI748" s="26"/>
      <c r="AJ748" s="26"/>
      <c r="AK748" s="26"/>
      <c r="AL748" s="26"/>
      <c r="AM748" s="26"/>
      <c r="AN748" s="26"/>
      <c r="AO748" s="26"/>
      <c r="AP748" s="26"/>
      <c r="AQ748" s="26"/>
      <c r="AR748" s="26"/>
      <c r="AS748" s="26"/>
      <c r="AT748" s="26"/>
      <c r="AU748" s="26"/>
      <c r="AV748" s="26"/>
      <c r="AW748" s="26"/>
      <c r="AX748" s="26"/>
      <c r="AY748" s="1"/>
      <c r="AZ748" s="26"/>
      <c r="BA748" s="26"/>
      <c r="BB748" s="26"/>
      <c r="BC748" s="26"/>
      <c r="BD748" s="26"/>
      <c r="BE748" s="26"/>
      <c r="BF748" s="26"/>
      <c r="BG748" s="26"/>
      <c r="BH748" s="26"/>
      <c r="BI748" s="26"/>
      <c r="BJ748" s="26"/>
      <c r="BK748" s="26"/>
      <c r="BL748" s="26"/>
      <c r="BM748" s="26"/>
      <c r="BN748" s="26"/>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96"/>
      <c r="CP748" s="14"/>
      <c r="CQ748" s="14"/>
      <c r="CR748" s="14"/>
      <c r="CS748" s="14"/>
      <c r="CT748" s="1"/>
      <c r="CU748" s="14"/>
      <c r="CV748" s="1"/>
      <c r="CW748" s="1"/>
      <c r="CX748" s="14"/>
      <c r="CY748" s="1"/>
      <c r="CZ748" s="1"/>
      <c r="DA748" s="1"/>
      <c r="DB748" s="1"/>
      <c r="DC748" s="1"/>
      <c r="DD748" s="1"/>
      <c r="DE748" s="1"/>
      <c r="DF748" s="1"/>
      <c r="DG748" s="1"/>
      <c r="DH748" s="1"/>
      <c r="DI748" s="1"/>
      <c r="DJ748" s="1"/>
      <c r="DK748" s="1"/>
      <c r="DL748" s="1"/>
      <c r="DM748" s="1"/>
      <c r="DN748" s="1"/>
      <c r="DO748" s="1"/>
      <c r="DP748" s="1"/>
      <c r="DQ748" s="1"/>
      <c r="DR748" s="1"/>
      <c r="DS748" s="1"/>
      <c r="DT748" s="1"/>
      <c r="DU748" s="14"/>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29"/>
    </row>
    <row r="749" spans="1:160" x14ac:dyDescent="0.25">
      <c r="A749" s="5"/>
      <c r="B749" s="1"/>
      <c r="C749" s="98"/>
      <c r="D749" s="98"/>
      <c r="E749" s="1"/>
      <c r="F749" s="22"/>
      <c r="G749" s="22"/>
      <c r="H749" s="22"/>
      <c r="I749" s="22"/>
      <c r="J749" s="22"/>
      <c r="K749" s="22"/>
      <c r="L749" s="22"/>
      <c r="M749" s="22"/>
      <c r="N749" s="22"/>
      <c r="O749" s="22"/>
      <c r="P749" s="22"/>
      <c r="Q749" s="22"/>
      <c r="R749" s="1"/>
      <c r="S749" s="1"/>
      <c r="T749" s="8"/>
      <c r="U749" s="1"/>
      <c r="V749" s="1"/>
      <c r="W749" s="1"/>
      <c r="X749" s="1"/>
      <c r="Y749" s="1"/>
      <c r="Z749" s="1"/>
      <c r="AA749" s="1"/>
      <c r="AC749" s="1"/>
      <c r="AD749" s="1"/>
      <c r="AE749" s="1"/>
      <c r="AF749" s="1"/>
      <c r="AG749" s="1"/>
      <c r="AH749" s="26"/>
      <c r="AI749" s="26"/>
      <c r="AJ749" s="26"/>
      <c r="AK749" s="26"/>
      <c r="AL749" s="26"/>
      <c r="AM749" s="26"/>
      <c r="AN749" s="26"/>
      <c r="AO749" s="26"/>
      <c r="AP749" s="26"/>
      <c r="AQ749" s="26"/>
      <c r="AR749" s="26"/>
      <c r="AS749" s="26"/>
      <c r="AT749" s="26"/>
      <c r="AU749" s="26"/>
      <c r="AV749" s="26"/>
      <c r="AW749" s="26"/>
      <c r="AX749" s="26"/>
      <c r="AY749" s="1"/>
      <c r="AZ749" s="26"/>
      <c r="BA749" s="26"/>
      <c r="BB749" s="26"/>
      <c r="BC749" s="26"/>
      <c r="BD749" s="26"/>
      <c r="BE749" s="26"/>
      <c r="BF749" s="26"/>
      <c r="BG749" s="26"/>
      <c r="BH749" s="26"/>
      <c r="BI749" s="26"/>
      <c r="BJ749" s="26"/>
      <c r="BK749" s="26"/>
      <c r="BL749" s="26"/>
      <c r="BM749" s="26"/>
      <c r="BN749" s="26"/>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96"/>
      <c r="CP749" s="14"/>
      <c r="CQ749" s="14"/>
      <c r="CR749" s="14"/>
      <c r="CS749" s="14"/>
      <c r="CT749" s="1"/>
      <c r="CU749" s="14"/>
      <c r="CV749" s="1"/>
      <c r="CW749" s="1"/>
      <c r="CX749" s="14"/>
      <c r="CY749" s="1"/>
      <c r="CZ749" s="1"/>
      <c r="DA749" s="1"/>
      <c r="DB749" s="1"/>
      <c r="DC749" s="1"/>
      <c r="DD749" s="1"/>
      <c r="DE749" s="1"/>
      <c r="DF749" s="1"/>
      <c r="DG749" s="1"/>
      <c r="DH749" s="1"/>
      <c r="DI749" s="1"/>
      <c r="DJ749" s="1"/>
      <c r="DK749" s="1"/>
      <c r="DL749" s="1"/>
      <c r="DM749" s="1"/>
      <c r="DN749" s="1"/>
      <c r="DO749" s="1"/>
      <c r="DP749" s="1"/>
      <c r="DQ749" s="1"/>
      <c r="DR749" s="1"/>
      <c r="DS749" s="1"/>
      <c r="DT749" s="1"/>
      <c r="DU749" s="14"/>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29"/>
    </row>
  </sheetData>
  <autoFilter ref="A1:FD749" xr:uid="{00000000-0009-0000-0000-000003000000}">
    <sortState xmlns:xlrd2="http://schemas.microsoft.com/office/spreadsheetml/2017/richdata2" ref="A2:FD749">
      <sortCondition ref="A1:A749"/>
    </sortState>
  </autoFilter>
  <conditionalFormatting sqref="F1:Q749">
    <cfRule type="colorScale" priority="2061">
      <colorScale>
        <cfvo type="min"/>
        <cfvo type="max"/>
        <color rgb="FFFCFCFF"/>
        <color rgb="FF63BE7B"/>
      </colorScale>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K476"/>
  <sheetViews>
    <sheetView zoomScaleNormal="100" workbookViewId="0">
      <pane ySplit="1" topLeftCell="A2" activePane="bottomLeft" state="frozen"/>
      <selection pane="bottomLeft"/>
    </sheetView>
  </sheetViews>
  <sheetFormatPr defaultRowHeight="15" x14ac:dyDescent="0.25"/>
  <cols>
    <col min="1" max="1" width="14.7109375" customWidth="1"/>
    <col min="3" max="3" width="9.140625" style="99" customWidth="1"/>
    <col min="4" max="4" width="14.7109375" style="99" customWidth="1"/>
    <col min="68" max="85" width="0" hidden="1" customWidth="1"/>
    <col min="88" max="88" width="9.140625" style="101"/>
    <col min="89" max="89" width="9.140625" style="100"/>
    <col min="90" max="92" width="9.140625" style="101"/>
    <col min="103" max="104" width="9.140625" style="100"/>
    <col min="131" max="131" width="9.140625" style="101"/>
  </cols>
  <sheetData>
    <row r="1" spans="1:167" x14ac:dyDescent="0.25">
      <c r="A1" s="35" t="s">
        <v>81</v>
      </c>
      <c r="B1" s="15" t="s">
        <v>114</v>
      </c>
      <c r="C1" s="102" t="s">
        <v>94</v>
      </c>
      <c r="D1" s="102" t="s">
        <v>102</v>
      </c>
      <c r="E1" s="45" t="s">
        <v>115</v>
      </c>
      <c r="F1" s="16" t="s">
        <v>117</v>
      </c>
      <c r="G1" s="16" t="s">
        <v>118</v>
      </c>
      <c r="H1" s="16" t="s">
        <v>119</v>
      </c>
      <c r="I1" s="16" t="s">
        <v>120</v>
      </c>
      <c r="J1" s="16" t="s">
        <v>21</v>
      </c>
      <c r="K1" s="16" t="s">
        <v>22</v>
      </c>
      <c r="L1" s="16" t="s">
        <v>23</v>
      </c>
      <c r="M1" s="16" t="s">
        <v>24</v>
      </c>
      <c r="N1" s="16" t="s">
        <v>121</v>
      </c>
      <c r="O1" s="16" t="s">
        <v>122</v>
      </c>
      <c r="P1" s="16" t="s">
        <v>123</v>
      </c>
      <c r="Q1" s="16" t="s">
        <v>124</v>
      </c>
      <c r="R1" s="16" t="s">
        <v>29</v>
      </c>
      <c r="S1" s="15" t="s">
        <v>31</v>
      </c>
      <c r="T1" s="15"/>
      <c r="U1" s="15" t="s">
        <v>128</v>
      </c>
      <c r="V1" s="15" t="s">
        <v>129</v>
      </c>
      <c r="W1" s="15" t="s">
        <v>130</v>
      </c>
      <c r="X1" s="15" t="s">
        <v>131</v>
      </c>
      <c r="Y1" s="15" t="s">
        <v>132</v>
      </c>
      <c r="Z1" s="37" t="s">
        <v>133</v>
      </c>
      <c r="AA1" s="37" t="s">
        <v>134</v>
      </c>
      <c r="AB1" s="36" t="s">
        <v>135</v>
      </c>
      <c r="AC1" s="38" t="s">
        <v>136</v>
      </c>
      <c r="AD1" s="38" t="s">
        <v>137</v>
      </c>
      <c r="AE1" s="38" t="s">
        <v>138</v>
      </c>
      <c r="AF1" s="38" t="s">
        <v>139</v>
      </c>
      <c r="AG1" s="38" t="s">
        <v>140</v>
      </c>
      <c r="AH1" s="38" t="s">
        <v>141</v>
      </c>
      <c r="AI1" s="38" t="s">
        <v>142</v>
      </c>
      <c r="AJ1" s="38" t="s">
        <v>143</v>
      </c>
      <c r="AK1" s="38" t="s">
        <v>144</v>
      </c>
      <c r="AL1" s="38" t="s">
        <v>145</v>
      </c>
      <c r="AM1" s="38" t="s">
        <v>146</v>
      </c>
      <c r="AN1" s="38" t="s">
        <v>30</v>
      </c>
      <c r="AO1" s="38" t="s">
        <v>29</v>
      </c>
      <c r="AP1" s="39" t="s">
        <v>147</v>
      </c>
      <c r="AQ1" s="38" t="s">
        <v>189</v>
      </c>
      <c r="AR1" s="38" t="s">
        <v>190</v>
      </c>
      <c r="AS1" s="36" t="s">
        <v>148</v>
      </c>
      <c r="AT1" s="38" t="s">
        <v>136</v>
      </c>
      <c r="AU1" s="38" t="s">
        <v>137</v>
      </c>
      <c r="AV1" s="38" t="s">
        <v>138</v>
      </c>
      <c r="AW1" s="38" t="s">
        <v>139</v>
      </c>
      <c r="AX1" s="38" t="s">
        <v>149</v>
      </c>
      <c r="AY1" s="38" t="s">
        <v>150</v>
      </c>
      <c r="AZ1" s="38" t="s">
        <v>141</v>
      </c>
      <c r="BA1" s="38" t="s">
        <v>142</v>
      </c>
      <c r="BB1" s="38" t="s">
        <v>143</v>
      </c>
      <c r="BC1" s="38" t="s">
        <v>144</v>
      </c>
      <c r="BD1" s="38" t="s">
        <v>145</v>
      </c>
      <c r="BE1" s="38" t="s">
        <v>146</v>
      </c>
      <c r="BF1" s="38" t="s">
        <v>30</v>
      </c>
      <c r="BG1" s="38" t="s">
        <v>29</v>
      </c>
      <c r="BH1" s="41" t="s">
        <v>147</v>
      </c>
      <c r="BI1" s="42" t="s">
        <v>151</v>
      </c>
      <c r="BJ1" s="38" t="s">
        <v>189</v>
      </c>
      <c r="BK1" s="38" t="s">
        <v>190</v>
      </c>
      <c r="BL1" s="36" t="s">
        <v>261</v>
      </c>
      <c r="BM1" s="15" t="s">
        <v>262</v>
      </c>
      <c r="BN1" s="15" t="s">
        <v>263</v>
      </c>
      <c r="BO1" s="15" t="s">
        <v>264</v>
      </c>
      <c r="BP1" s="36" t="s">
        <v>153</v>
      </c>
      <c r="BQ1" s="15" t="s">
        <v>136</v>
      </c>
      <c r="BR1" s="15" t="s">
        <v>137</v>
      </c>
      <c r="BS1" s="15" t="s">
        <v>138</v>
      </c>
      <c r="BT1" s="15" t="s">
        <v>139</v>
      </c>
      <c r="BU1" s="15" t="s">
        <v>140</v>
      </c>
      <c r="BV1" s="15" t="s">
        <v>141</v>
      </c>
      <c r="BW1" s="15" t="s">
        <v>142</v>
      </c>
      <c r="BX1" s="15" t="s">
        <v>143</v>
      </c>
      <c r="BY1" s="15" t="s">
        <v>144</v>
      </c>
      <c r="BZ1" s="15" t="s">
        <v>145</v>
      </c>
      <c r="CA1" s="15" t="s">
        <v>146</v>
      </c>
      <c r="CB1" s="15" t="s">
        <v>30</v>
      </c>
      <c r="CC1" s="15" t="s">
        <v>29</v>
      </c>
      <c r="CD1" s="15" t="s">
        <v>147</v>
      </c>
      <c r="CE1" s="15" t="s">
        <v>151</v>
      </c>
      <c r="CF1" s="15" t="s">
        <v>154</v>
      </c>
      <c r="CG1" s="15" t="s">
        <v>155</v>
      </c>
      <c r="CH1" s="36" t="s">
        <v>156</v>
      </c>
      <c r="CI1" s="16" t="s">
        <v>157</v>
      </c>
      <c r="CJ1" s="13" t="s">
        <v>144</v>
      </c>
      <c r="CK1" s="104" t="s">
        <v>142</v>
      </c>
      <c r="CL1" s="13" t="s">
        <v>138</v>
      </c>
      <c r="CM1" s="13" t="s">
        <v>136</v>
      </c>
      <c r="CN1" s="13" t="s">
        <v>143</v>
      </c>
      <c r="CO1" s="16" t="s">
        <v>108</v>
      </c>
      <c r="CP1" s="16" t="s">
        <v>137</v>
      </c>
      <c r="CQ1" s="16" t="s">
        <v>158</v>
      </c>
      <c r="CR1" s="16" t="s">
        <v>139</v>
      </c>
      <c r="CS1" s="16" t="s">
        <v>141</v>
      </c>
      <c r="CT1" s="16" t="s">
        <v>159</v>
      </c>
      <c r="CU1" s="16" t="s">
        <v>160</v>
      </c>
      <c r="CV1" s="16" t="s">
        <v>161</v>
      </c>
      <c r="CW1" s="16" t="s">
        <v>162</v>
      </c>
      <c r="CX1" s="16" t="s">
        <v>163</v>
      </c>
      <c r="CY1" s="104" t="s">
        <v>109</v>
      </c>
      <c r="CZ1" s="104" t="s">
        <v>109</v>
      </c>
      <c r="DA1" s="16" t="s">
        <v>110</v>
      </c>
      <c r="DB1" s="16" t="s">
        <v>111</v>
      </c>
      <c r="DC1" s="16" t="s">
        <v>112</v>
      </c>
      <c r="DD1" s="16" t="s">
        <v>164</v>
      </c>
      <c r="DE1" s="16" t="s">
        <v>113</v>
      </c>
      <c r="DF1" s="16" t="s">
        <v>165</v>
      </c>
      <c r="DG1" s="16" t="s">
        <v>166</v>
      </c>
      <c r="DH1" s="16" t="s">
        <v>167</v>
      </c>
      <c r="DI1" s="16" t="s">
        <v>168</v>
      </c>
      <c r="DJ1" s="16" t="s">
        <v>169</v>
      </c>
      <c r="DK1" s="16" t="s">
        <v>170</v>
      </c>
      <c r="DL1" s="16" t="s">
        <v>171</v>
      </c>
      <c r="DM1" s="16" t="s">
        <v>172</v>
      </c>
      <c r="DN1" s="16" t="s">
        <v>173</v>
      </c>
      <c r="DO1" s="16" t="s">
        <v>174</v>
      </c>
      <c r="DP1" s="16" t="s">
        <v>175</v>
      </c>
      <c r="DQ1" s="16" t="s">
        <v>176</v>
      </c>
      <c r="DR1" s="16" t="s">
        <v>177</v>
      </c>
      <c r="DS1" s="16" t="s">
        <v>178</v>
      </c>
      <c r="DT1" s="16" t="s">
        <v>179</v>
      </c>
      <c r="DU1" s="16" t="s">
        <v>180</v>
      </c>
      <c r="DV1" s="16" t="s">
        <v>181</v>
      </c>
      <c r="DW1" s="16" t="s">
        <v>182</v>
      </c>
      <c r="DX1" s="16" t="s">
        <v>183</v>
      </c>
      <c r="DY1" s="16" t="s">
        <v>214</v>
      </c>
      <c r="DZ1" s="16"/>
      <c r="EA1" s="13" t="s">
        <v>265</v>
      </c>
      <c r="EB1" s="16" t="s">
        <v>215</v>
      </c>
      <c r="EC1" s="16" t="s">
        <v>216</v>
      </c>
      <c r="ED1" s="16" t="s">
        <v>217</v>
      </c>
      <c r="EE1" s="16" t="s">
        <v>218</v>
      </c>
      <c r="EF1" s="16"/>
      <c r="EG1" s="16" t="s">
        <v>219</v>
      </c>
      <c r="EH1" s="16" t="s">
        <v>220</v>
      </c>
      <c r="EI1" s="16" t="s">
        <v>221</v>
      </c>
      <c r="EJ1" s="16" t="s">
        <v>222</v>
      </c>
      <c r="EK1" s="16" t="s">
        <v>223</v>
      </c>
      <c r="EL1" s="16" t="s">
        <v>224</v>
      </c>
      <c r="EM1" s="16" t="s">
        <v>224</v>
      </c>
      <c r="EN1" s="16" t="s">
        <v>225</v>
      </c>
      <c r="EO1" s="16" t="s">
        <v>226</v>
      </c>
      <c r="EP1" s="16" t="s">
        <v>227</v>
      </c>
      <c r="EQ1" s="16" t="s">
        <v>228</v>
      </c>
      <c r="ER1" s="16" t="s">
        <v>229</v>
      </c>
      <c r="ES1" s="16" t="s">
        <v>230</v>
      </c>
      <c r="ET1" s="16" t="s">
        <v>231</v>
      </c>
      <c r="EU1" s="16" t="s">
        <v>232</v>
      </c>
      <c r="EV1" s="16" t="s">
        <v>233</v>
      </c>
      <c r="EW1" s="16" t="s">
        <v>234</v>
      </c>
      <c r="EX1" s="16" t="s">
        <v>235</v>
      </c>
      <c r="EY1" s="16" t="s">
        <v>236</v>
      </c>
      <c r="EZ1" s="16" t="s">
        <v>237</v>
      </c>
      <c r="FA1" s="16" t="s">
        <v>238</v>
      </c>
      <c r="FB1" s="16" t="s">
        <v>239</v>
      </c>
      <c r="FC1" s="16" t="s">
        <v>240</v>
      </c>
      <c r="FD1" s="16" t="s">
        <v>241</v>
      </c>
      <c r="FE1" s="16" t="s">
        <v>242</v>
      </c>
      <c r="FF1" s="16" t="s">
        <v>243</v>
      </c>
      <c r="FG1" s="16" t="s">
        <v>244</v>
      </c>
      <c r="FH1" s="16" t="s">
        <v>245</v>
      </c>
      <c r="FI1" s="16" t="s">
        <v>246</v>
      </c>
      <c r="FJ1" s="16" t="s">
        <v>247</v>
      </c>
      <c r="FK1" s="16" t="s">
        <v>248</v>
      </c>
    </row>
    <row r="2" spans="1:167" x14ac:dyDescent="0.25">
      <c r="A2" s="35" t="s">
        <v>82</v>
      </c>
      <c r="B2" s="15">
        <v>13</v>
      </c>
      <c r="C2" s="102" t="s">
        <v>95</v>
      </c>
      <c r="D2" s="102" t="s">
        <v>103</v>
      </c>
      <c r="E2" s="15">
        <v>44</v>
      </c>
      <c r="F2" s="16">
        <v>54.2</v>
      </c>
      <c r="G2" s="16">
        <v>1.4E-2</v>
      </c>
      <c r="H2" s="16">
        <v>28.31</v>
      </c>
      <c r="I2" s="16"/>
      <c r="J2" s="16">
        <v>0.94299999999999995</v>
      </c>
      <c r="K2" s="16">
        <v>4.3999999999999997E-2</v>
      </c>
      <c r="L2" s="16">
        <v>0.14899999999999999</v>
      </c>
      <c r="M2" s="16">
        <v>10.61</v>
      </c>
      <c r="N2" s="16">
        <v>5.47</v>
      </c>
      <c r="O2" s="16">
        <v>0.16</v>
      </c>
      <c r="P2" s="16">
        <v>8.5999999999999993E-2</v>
      </c>
      <c r="Q2" s="16"/>
      <c r="R2" s="16"/>
      <c r="S2" s="16">
        <f t="shared" ref="S2:S65" si="0">SUM(F2:R2)</f>
        <v>99.98599999999999</v>
      </c>
      <c r="T2" s="16"/>
      <c r="U2" s="15"/>
      <c r="V2" s="15"/>
      <c r="W2" s="15"/>
      <c r="X2" s="15" t="s">
        <v>187</v>
      </c>
      <c r="Y2" s="15"/>
      <c r="Z2" s="37">
        <v>8</v>
      </c>
      <c r="AA2" s="37">
        <v>5</v>
      </c>
      <c r="AB2" s="15"/>
      <c r="AC2" s="38">
        <f t="shared" ref="AC2:AC65" si="1">BQ2*($Z2/$CE2)</f>
        <v>2.4571139913607696</v>
      </c>
      <c r="AD2" s="38">
        <f t="shared" ref="AD2:AD65" si="2">BR2*($Z2/$CE2)</f>
        <v>4.7735988678898665E-4</v>
      </c>
      <c r="AE2" s="38">
        <f t="shared" ref="AE2:AE65" si="3">BS2*($Z2/$CE2)</f>
        <v>1.5125020800766371</v>
      </c>
      <c r="AF2" s="38">
        <f t="shared" ref="AF2:AF65" si="4">BT2*($Z2/$CE2)</f>
        <v>0</v>
      </c>
      <c r="AG2" s="38">
        <f t="shared" ref="AG2:AG65" si="5">BU2*($Z2/$CE2)</f>
        <v>3.5747103901552946E-2</v>
      </c>
      <c r="AH2" s="38">
        <f t="shared" ref="AH2:AH65" si="6">BV2*($Z2/$CE2)</f>
        <v>1.6893414367221667E-3</v>
      </c>
      <c r="AI2" s="38">
        <f t="shared" ref="AI2:AI65" si="7">BW2*($Z2/$CE2)</f>
        <v>1.007017840437599E-2</v>
      </c>
      <c r="AJ2" s="38">
        <f t="shared" ref="AJ2:AJ65" si="8">BX2*($Z2/$CE2)</f>
        <v>0.51530377177836773</v>
      </c>
      <c r="AK2" s="38">
        <f t="shared" ref="AK2:AK65" si="9">BY2*($Z2/$CE2)</f>
        <v>0.48075265622360269</v>
      </c>
      <c r="AL2" s="38">
        <f t="shared" ref="AL2:AL65" si="10">BZ2*($Z2/$CE2)</f>
        <v>9.2524131651087055E-3</v>
      </c>
      <c r="AM2" s="38">
        <f t="shared" ref="AM2:AM65" si="11">CA2*($Z2/$CE2)</f>
        <v>3.300498869820815E-3</v>
      </c>
      <c r="AN2" s="38">
        <f t="shared" ref="AN2:AN65" si="12">CB2*($Z2/$CE2)</f>
        <v>0</v>
      </c>
      <c r="AO2" s="38">
        <f t="shared" ref="AO2:AO65" si="13">CC2*($Z2/$CE2)</f>
        <v>0</v>
      </c>
      <c r="AP2" s="38">
        <f t="shared" ref="AP2:AP65" si="14">SUM(AC2:AN2)</f>
        <v>5.0262093951037459</v>
      </c>
      <c r="AQ2" s="38">
        <f t="shared" ref="AQ2:AQ65" si="15">AC2+AE2</f>
        <v>3.9696160714374065</v>
      </c>
      <c r="AR2" s="38">
        <f t="shared" ref="AR2:AR65" si="16">SUM(AJ2:AL2)</f>
        <v>1.005308841167079</v>
      </c>
      <c r="AS2" s="40"/>
      <c r="AT2" s="38">
        <f t="shared" ref="AT2:AT65" si="17">IF($AA2&gt;0,BQ2*$CF2,"")</f>
        <v>2.4443012598662852</v>
      </c>
      <c r="AU2" s="38">
        <f t="shared" ref="AU2:AU65" si="18">IF($AA2&gt;0,BR2*$CF2,"")</f>
        <v>4.7487067217494359E-4</v>
      </c>
      <c r="AV2" s="38">
        <f t="shared" ref="AV2:AV65" si="19">IF($AA2&gt;0,BS2*$CF2,"")</f>
        <v>1.5046150699073859</v>
      </c>
      <c r="AW2" s="38">
        <f t="shared" ref="AW2:AW65" si="20">IF($AA2&gt;0,BT2*$CF2,"")</f>
        <v>0</v>
      </c>
      <c r="AX2" s="38">
        <f t="shared" ref="AX2:AX65" si="21">IF($AA2&gt;0 +N("so a blank cell if no ideal cations set"),                         BU2*CF2-AY2,"")</f>
        <v>0</v>
      </c>
      <c r="AY2" s="38">
        <f t="shared" ref="AY2:AY65" si="22">IF($AA2&gt;0 +N("so a blank cell if no ideal cations set"),                                                                     IF(AP2&gt;AA2,                          IF(  2*Z2*(1-(AA2/AP2))   &lt;   BU2*CF2,    2*Z2*(1-(AA2/AP2)),    BU2*CF2),0),"")</f>
        <v>3.5560699019399969E-2</v>
      </c>
      <c r="AZ2" s="38">
        <f t="shared" ref="AZ2:AZ65" si="23">IF($AA2&gt;0,BV2*$CF2,"")</f>
        <v>1.6805322897687359E-3</v>
      </c>
      <c r="BA2" s="38">
        <f t="shared" ref="BA2:BA65" si="24">IF($AA2&gt;0,BW2*$CF2,"")</f>
        <v>1.0017667005861113E-2</v>
      </c>
      <c r="BB2" s="38">
        <f t="shared" ref="BB2:BB65" si="25">IF($AA2&gt;0,BX2*$CF2,"")</f>
        <v>0.51261669706831936</v>
      </c>
      <c r="BC2" s="38">
        <f t="shared" ref="BC2:BC65" si="26">IF($AA2&gt;0,BY2*$CF2,"")</f>
        <v>0.47824574986064555</v>
      </c>
      <c r="BD2" s="38">
        <f t="shared" ref="BD2:BD65" si="27">IF($AA2&gt;0,BZ2*$CF2,"")</f>
        <v>9.2041660402388814E-3</v>
      </c>
      <c r="BE2" s="38">
        <f t="shared" ref="BE2:BE65" si="28">IF($AA2&gt;0,CA2*$CF2,"")</f>
        <v>3.2832882699196505E-3</v>
      </c>
      <c r="BF2" s="38">
        <f t="shared" ref="BF2:BF65" si="29">IF($AA2&gt;0,CB2*$CF2,"")</f>
        <v>0</v>
      </c>
      <c r="BG2" s="38">
        <f t="shared" ref="BG2:BG65" si="30">IF($AA2&gt;0,CC2*$CF2,"")</f>
        <v>0</v>
      </c>
      <c r="BH2" s="41">
        <f t="shared" ref="BH2:BH65" si="31">IF(AA2&gt;0,SUM(AT2:BF2),"")</f>
        <v>4.9999999999999991</v>
      </c>
      <c r="BI2" s="42">
        <f t="shared" ref="BI2:BI65" si="32">(AT2+AU2)*2+(AV2+AW2+AY2)*1.5+AX2+AZ2+BA2+BB2+(BC2+BD2)*0.5+BE2*2.5+BF2*3  -(0.5*(BG2))</f>
        <v>7.9760639894562884</v>
      </c>
      <c r="BJ2" s="38">
        <f t="shared" ref="BJ2:BJ65" si="33">IF(AA2&gt;0,AT2+AV2,"")</f>
        <v>3.9489163297736711</v>
      </c>
      <c r="BK2" s="38">
        <f t="shared" ref="BK2:BK65" si="34">IF(AA2&gt;0,SUM(BB2:BD2),"")</f>
        <v>1.0000666129692037</v>
      </c>
      <c r="BL2" s="16"/>
      <c r="BM2" s="16">
        <f t="shared" ref="BM2:BM65" si="35">AJ2/(AJ2+AK2+AL2)</f>
        <v>0.51258255242254058</v>
      </c>
      <c r="BN2" s="16">
        <f t="shared" ref="BN2:BN65" si="36">AK2/(AK2+AJ2+AL2)</f>
        <v>0.4782138946132109</v>
      </c>
      <c r="BO2" s="16">
        <f t="shared" ref="BO2:BO65" si="37">AL2/(AJ2+AK2+AL2)</f>
        <v>9.2035529642487107E-3</v>
      </c>
      <c r="BP2" s="15"/>
      <c r="BQ2" s="38">
        <f t="shared" ref="BQ2:BQ65" si="38">F2/60.08</f>
        <v>0.90213049267643153</v>
      </c>
      <c r="BR2" s="38">
        <f t="shared" ref="BR2:BR65" si="39">G2/79.88</f>
        <v>1.7526289434151228E-4</v>
      </c>
      <c r="BS2" s="38">
        <f t="shared" ref="BS2:BS65" si="40">H2/101.96*2</f>
        <v>0.55531581012161635</v>
      </c>
      <c r="BT2" s="38">
        <f t="shared" ref="BT2:BT65" si="41">I2/151.99*2</f>
        <v>0</v>
      </c>
      <c r="BU2" s="38">
        <f t="shared" ref="BU2:BU65" si="42">J2/71.85</f>
        <v>1.3124565066109952E-2</v>
      </c>
      <c r="BV2" s="38">
        <f t="shared" ref="BV2:BV65" si="43">K2/70.94</f>
        <v>6.2024245841556247E-4</v>
      </c>
      <c r="BW2" s="38">
        <f t="shared" ref="BW2:BW65" si="44">L2/40.3</f>
        <v>3.6972704714640201E-3</v>
      </c>
      <c r="BX2" s="38">
        <f t="shared" ref="BX2:BX65" si="45">M2/56.08</f>
        <v>0.18919400855920113</v>
      </c>
      <c r="BY2" s="38">
        <f t="shared" ref="BY2:BY65" si="46">N2/61.98*2</f>
        <v>0.17650855114553082</v>
      </c>
      <c r="BZ2" s="38">
        <f t="shared" ref="BZ2:BZ65" si="47">O2/94.2*2</f>
        <v>3.397027600849257E-3</v>
      </c>
      <c r="CA2" s="38">
        <f t="shared" ref="CA2:CA65" si="48">P2/141.94*2</f>
        <v>1.2117796251937438E-3</v>
      </c>
      <c r="CB2" s="38">
        <f t="shared" ref="CB2:CB65" si="49">Q2/80.06</f>
        <v>0</v>
      </c>
      <c r="CC2" s="38">
        <f t="shared" ref="CC2:CC65" si="50">R2/35.45</f>
        <v>0</v>
      </c>
      <c r="CD2" s="38">
        <f t="shared" ref="CD2:CD65" si="51">SUM(BQ2:CB2)</f>
        <v>1.8453750106191542</v>
      </c>
      <c r="CE2" s="38">
        <f t="shared" ref="CE2:CE65" si="52">(BQ2+BR2)*2+(BS2+BT2)*1.5+BU2+BV2+BW2+BX2+(BY2+BZ2)*0.5+CA2*2.5+CB2*3+     -(0.5*(CC2))</f>
        <v>2.9372035513153358</v>
      </c>
      <c r="CF2" s="38">
        <f t="shared" ref="CF2:CF65" si="53">AA2/CD2</f>
        <v>2.7094763780953208</v>
      </c>
      <c r="CG2" s="38">
        <f t="shared" ref="CG2:CG65" si="54">CE2*CF2</f>
        <v>7.9582836399465897</v>
      </c>
      <c r="CH2" s="15"/>
      <c r="CI2" s="16"/>
      <c r="CJ2" s="13"/>
      <c r="CK2" s="104"/>
      <c r="CL2" s="13"/>
      <c r="CM2" s="13"/>
      <c r="CN2" s="13"/>
      <c r="CO2" s="16"/>
      <c r="CP2" s="16"/>
      <c r="CQ2" s="16"/>
      <c r="CR2" s="16"/>
      <c r="CS2" s="16"/>
      <c r="CT2" s="16"/>
      <c r="CU2" s="16"/>
      <c r="CV2" s="16"/>
      <c r="CW2" s="16"/>
      <c r="CX2" s="16"/>
      <c r="CY2" s="104"/>
      <c r="CZ2" s="104"/>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3"/>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row>
    <row r="3" spans="1:167" x14ac:dyDescent="0.25">
      <c r="A3" s="35" t="s">
        <v>82</v>
      </c>
      <c r="B3" s="15">
        <v>14</v>
      </c>
      <c r="C3" s="102" t="s">
        <v>95</v>
      </c>
      <c r="D3" s="102" t="s">
        <v>103</v>
      </c>
      <c r="E3" s="15">
        <v>45</v>
      </c>
      <c r="F3" s="16">
        <v>55.02</v>
      </c>
      <c r="G3" s="16"/>
      <c r="H3" s="16">
        <v>27.68</v>
      </c>
      <c r="I3" s="16"/>
      <c r="J3" s="16">
        <v>1.3227751282282012</v>
      </c>
      <c r="K3" s="16"/>
      <c r="L3" s="16"/>
      <c r="M3" s="16">
        <v>11.4</v>
      </c>
      <c r="N3" s="16">
        <v>4.9800000000000004</v>
      </c>
      <c r="O3" s="16">
        <v>0.187</v>
      </c>
      <c r="P3" s="16">
        <v>0</v>
      </c>
      <c r="Q3" s="16"/>
      <c r="R3" s="16"/>
      <c r="S3" s="16">
        <f t="shared" si="0"/>
        <v>100.58977512822821</v>
      </c>
      <c r="T3" s="16"/>
      <c r="U3" s="15"/>
      <c r="V3" s="15"/>
      <c r="W3" s="15"/>
      <c r="X3" s="15" t="s">
        <v>187</v>
      </c>
      <c r="Y3" s="15"/>
      <c r="Z3" s="37">
        <v>8</v>
      </c>
      <c r="AA3" s="37">
        <v>5</v>
      </c>
      <c r="AB3" s="15"/>
      <c r="AC3" s="38">
        <f t="shared" si="1"/>
        <v>2.4834516566864764</v>
      </c>
      <c r="AD3" s="38">
        <f t="shared" si="2"/>
        <v>0</v>
      </c>
      <c r="AE3" s="38">
        <f t="shared" si="3"/>
        <v>1.4724186271768596</v>
      </c>
      <c r="AF3" s="38">
        <f t="shared" si="4"/>
        <v>0</v>
      </c>
      <c r="AG3" s="38">
        <f t="shared" si="5"/>
        <v>4.99257153441032E-2</v>
      </c>
      <c r="AH3" s="38">
        <f t="shared" si="6"/>
        <v>0</v>
      </c>
      <c r="AI3" s="38">
        <f t="shared" si="7"/>
        <v>0</v>
      </c>
      <c r="AJ3" s="38">
        <f t="shared" si="8"/>
        <v>0.55126687205315561</v>
      </c>
      <c r="AK3" s="38">
        <f t="shared" si="9"/>
        <v>0.43578553919490165</v>
      </c>
      <c r="AL3" s="38">
        <f t="shared" si="10"/>
        <v>1.0766777734097961E-2</v>
      </c>
      <c r="AM3" s="38">
        <f t="shared" si="11"/>
        <v>0</v>
      </c>
      <c r="AN3" s="38">
        <f t="shared" si="12"/>
        <v>0</v>
      </c>
      <c r="AO3" s="38">
        <f t="shared" si="13"/>
        <v>0</v>
      </c>
      <c r="AP3" s="38">
        <f t="shared" si="14"/>
        <v>5.0036151881895945</v>
      </c>
      <c r="AQ3" s="38">
        <f t="shared" si="15"/>
        <v>3.9558702838633359</v>
      </c>
      <c r="AR3" s="38">
        <f t="shared" si="16"/>
        <v>0.99781918898215516</v>
      </c>
      <c r="AS3" s="40"/>
      <c r="AT3" s="38">
        <f t="shared" si="17"/>
        <v>2.4816573250360583</v>
      </c>
      <c r="AU3" s="38">
        <f t="shared" si="18"/>
        <v>0</v>
      </c>
      <c r="AV3" s="38">
        <f t="shared" si="19"/>
        <v>1.4713547822905315</v>
      </c>
      <c r="AW3" s="38">
        <f t="shared" si="20"/>
        <v>0</v>
      </c>
      <c r="AX3" s="38">
        <f t="shared" si="21"/>
        <v>3.83293995388959E-2</v>
      </c>
      <c r="AY3" s="38">
        <f t="shared" si="22"/>
        <v>1.1560243715392104E-2</v>
      </c>
      <c r="AZ3" s="38">
        <f t="shared" si="23"/>
        <v>0</v>
      </c>
      <c r="BA3" s="38">
        <f t="shared" si="24"/>
        <v>0</v>
      </c>
      <c r="BB3" s="38">
        <f t="shared" si="25"/>
        <v>0.5508685733410833</v>
      </c>
      <c r="BC3" s="38">
        <f t="shared" si="26"/>
        <v>0.43547067750485557</v>
      </c>
      <c r="BD3" s="38">
        <f t="shared" si="27"/>
        <v>1.0758998573183234E-2</v>
      </c>
      <c r="BE3" s="38">
        <f t="shared" si="28"/>
        <v>0</v>
      </c>
      <c r="BF3" s="38">
        <f t="shared" si="29"/>
        <v>0</v>
      </c>
      <c r="BG3" s="38">
        <f t="shared" si="30"/>
        <v>0</v>
      </c>
      <c r="BH3" s="41">
        <f t="shared" si="31"/>
        <v>4.9999999999999991</v>
      </c>
      <c r="BI3" s="42">
        <f t="shared" si="32"/>
        <v>8.0000000000000018</v>
      </c>
      <c r="BJ3" s="38">
        <f t="shared" si="33"/>
        <v>3.9530121073265896</v>
      </c>
      <c r="BK3" s="38">
        <f t="shared" si="34"/>
        <v>0.99709824941912206</v>
      </c>
      <c r="BL3" s="16"/>
      <c r="BM3" s="16">
        <f t="shared" si="35"/>
        <v>0.55247170844197346</v>
      </c>
      <c r="BN3" s="16">
        <f t="shared" si="36"/>
        <v>0.43673798219839122</v>
      </c>
      <c r="BO3" s="16">
        <f t="shared" si="37"/>
        <v>1.0790309359635408E-2</v>
      </c>
      <c r="BP3" s="15"/>
      <c r="BQ3" s="38">
        <f t="shared" si="38"/>
        <v>0.91577896138482029</v>
      </c>
      <c r="BR3" s="38">
        <f t="shared" si="39"/>
        <v>0</v>
      </c>
      <c r="BS3" s="38">
        <f t="shared" si="40"/>
        <v>0.54295802275402116</v>
      </c>
      <c r="BT3" s="38">
        <f t="shared" si="41"/>
        <v>0</v>
      </c>
      <c r="BU3" s="38">
        <f t="shared" si="42"/>
        <v>1.8410231429759238E-2</v>
      </c>
      <c r="BV3" s="38">
        <f t="shared" si="43"/>
        <v>0</v>
      </c>
      <c r="BW3" s="38">
        <f t="shared" si="44"/>
        <v>0</v>
      </c>
      <c r="BX3" s="38">
        <f t="shared" si="45"/>
        <v>0.20328102710413695</v>
      </c>
      <c r="BY3" s="38">
        <f t="shared" si="46"/>
        <v>0.16069699903194581</v>
      </c>
      <c r="BZ3" s="38">
        <f t="shared" si="47"/>
        <v>3.9702760084925686E-3</v>
      </c>
      <c r="CA3" s="38">
        <f t="shared" si="48"/>
        <v>0</v>
      </c>
      <c r="CB3" s="38">
        <f t="shared" si="49"/>
        <v>0</v>
      </c>
      <c r="CC3" s="38">
        <f t="shared" si="50"/>
        <v>0</v>
      </c>
      <c r="CD3" s="38">
        <f t="shared" si="51"/>
        <v>1.845095517713176</v>
      </c>
      <c r="CE3" s="38">
        <f t="shared" si="52"/>
        <v>2.9500198529547874</v>
      </c>
      <c r="CF3" s="38">
        <f t="shared" si="53"/>
        <v>2.7098868064006973</v>
      </c>
      <c r="CG3" s="38">
        <f t="shared" si="54"/>
        <v>7.9942198781423039</v>
      </c>
      <c r="CH3" s="15"/>
      <c r="CI3" s="16"/>
      <c r="CJ3" s="13"/>
      <c r="CK3" s="104"/>
      <c r="CL3" s="13"/>
      <c r="CM3" s="13"/>
      <c r="CN3" s="13"/>
      <c r="CO3" s="16"/>
      <c r="CP3" s="16"/>
      <c r="CQ3" s="16"/>
      <c r="CR3" s="16"/>
      <c r="CS3" s="16"/>
      <c r="CT3" s="16"/>
      <c r="CU3" s="16"/>
      <c r="CV3" s="16"/>
      <c r="CW3" s="16"/>
      <c r="CX3" s="16"/>
      <c r="CY3" s="104"/>
      <c r="CZ3" s="104"/>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3"/>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row>
    <row r="4" spans="1:167" x14ac:dyDescent="0.25">
      <c r="A4" s="35" t="s">
        <v>82</v>
      </c>
      <c r="B4" s="15">
        <v>15</v>
      </c>
      <c r="C4" s="102" t="s">
        <v>95</v>
      </c>
      <c r="D4" s="102" t="s">
        <v>103</v>
      </c>
      <c r="E4" s="15">
        <v>46</v>
      </c>
      <c r="F4" s="16">
        <v>45.95</v>
      </c>
      <c r="G4" s="16"/>
      <c r="H4" s="16">
        <v>35.4</v>
      </c>
      <c r="I4" s="16"/>
      <c r="J4" s="16">
        <v>0.61099613065778824</v>
      </c>
      <c r="K4" s="16"/>
      <c r="L4" s="16"/>
      <c r="M4" s="16">
        <v>18.239999999999998</v>
      </c>
      <c r="N4" s="16">
        <v>1.131</v>
      </c>
      <c r="O4" s="16">
        <v>8.9999999999999993E-3</v>
      </c>
      <c r="P4" s="16">
        <v>0</v>
      </c>
      <c r="Q4" s="16"/>
      <c r="R4" s="16"/>
      <c r="S4" s="16">
        <f t="shared" si="0"/>
        <v>101.34099613065777</v>
      </c>
      <c r="T4" s="16"/>
      <c r="U4" s="15"/>
      <c r="V4" s="15"/>
      <c r="W4" s="15"/>
      <c r="X4" s="15" t="s">
        <v>185</v>
      </c>
      <c r="Y4" s="15"/>
      <c r="Z4" s="37">
        <v>8</v>
      </c>
      <c r="AA4" s="37">
        <v>5</v>
      </c>
      <c r="AB4" s="15"/>
      <c r="AC4" s="38">
        <f t="shared" si="1"/>
        <v>2.0930079262347023</v>
      </c>
      <c r="AD4" s="38">
        <f t="shared" si="2"/>
        <v>0</v>
      </c>
      <c r="AE4" s="38">
        <f t="shared" si="3"/>
        <v>1.9002848772415839</v>
      </c>
      <c r="AF4" s="38">
        <f t="shared" si="4"/>
        <v>0</v>
      </c>
      <c r="AG4" s="38">
        <f t="shared" si="5"/>
        <v>2.3271638862391902E-2</v>
      </c>
      <c r="AH4" s="38">
        <f t="shared" si="6"/>
        <v>0</v>
      </c>
      <c r="AI4" s="38">
        <f t="shared" si="7"/>
        <v>0</v>
      </c>
      <c r="AJ4" s="38">
        <f t="shared" si="8"/>
        <v>0.89008628728631878</v>
      </c>
      <c r="AK4" s="38">
        <f t="shared" si="9"/>
        <v>9.9874889075069417E-2</v>
      </c>
      <c r="AL4" s="38">
        <f t="shared" si="10"/>
        <v>5.2292196395215332E-4</v>
      </c>
      <c r="AM4" s="38">
        <f t="shared" si="11"/>
        <v>0</v>
      </c>
      <c r="AN4" s="38">
        <f t="shared" si="12"/>
        <v>0</v>
      </c>
      <c r="AO4" s="38">
        <f t="shared" si="13"/>
        <v>0</v>
      </c>
      <c r="AP4" s="38">
        <f t="shared" si="14"/>
        <v>5.0070485406640186</v>
      </c>
      <c r="AQ4" s="38">
        <f t="shared" si="15"/>
        <v>3.9932928034762862</v>
      </c>
      <c r="AR4" s="38">
        <f t="shared" si="16"/>
        <v>0.99048409832534046</v>
      </c>
      <c r="AS4" s="40"/>
      <c r="AT4" s="38">
        <f t="shared" si="17"/>
        <v>2.0900615494703541</v>
      </c>
      <c r="AU4" s="38">
        <f t="shared" si="18"/>
        <v>0</v>
      </c>
      <c r="AV4" s="38">
        <f t="shared" si="19"/>
        <v>1.8976098012718432</v>
      </c>
      <c r="AW4" s="38">
        <f t="shared" si="20"/>
        <v>0</v>
      </c>
      <c r="AX4" s="38">
        <f t="shared" si="21"/>
        <v>7.1530037277986458E-4</v>
      </c>
      <c r="AY4" s="38">
        <f t="shared" si="22"/>
        <v>2.2523578453133908E-2</v>
      </c>
      <c r="AZ4" s="38">
        <f t="shared" si="23"/>
        <v>0</v>
      </c>
      <c r="BA4" s="38">
        <f t="shared" si="24"/>
        <v>0</v>
      </c>
      <c r="BB4" s="38">
        <f t="shared" si="25"/>
        <v>0.88883329176620929</v>
      </c>
      <c r="BC4" s="38">
        <f t="shared" si="26"/>
        <v>9.9734292831345647E-2</v>
      </c>
      <c r="BD4" s="38">
        <f t="shared" si="27"/>
        <v>5.2218583433465691E-4</v>
      </c>
      <c r="BE4" s="38">
        <f t="shared" si="28"/>
        <v>0</v>
      </c>
      <c r="BF4" s="38">
        <f t="shared" si="29"/>
        <v>0</v>
      </c>
      <c r="BG4" s="38">
        <f t="shared" si="30"/>
        <v>0</v>
      </c>
      <c r="BH4" s="41">
        <f t="shared" si="31"/>
        <v>5.0000000000000009</v>
      </c>
      <c r="BI4" s="42">
        <f t="shared" si="32"/>
        <v>8.0000000000000036</v>
      </c>
      <c r="BJ4" s="38">
        <f t="shared" si="33"/>
        <v>3.9876713507421973</v>
      </c>
      <c r="BK4" s="38">
        <f t="shared" si="34"/>
        <v>0.9890897704318895</v>
      </c>
      <c r="BL4" s="16"/>
      <c r="BM4" s="16">
        <f t="shared" si="35"/>
        <v>0.89863763465888136</v>
      </c>
      <c r="BN4" s="16">
        <f t="shared" si="36"/>
        <v>0.10083441949641871</v>
      </c>
      <c r="BO4" s="16">
        <f t="shared" si="37"/>
        <v>5.2794584469986229E-4</v>
      </c>
      <c r="BP4" s="15"/>
      <c r="BQ4" s="38">
        <f t="shared" si="38"/>
        <v>0.76481358189081228</v>
      </c>
      <c r="BR4" s="38">
        <f t="shared" si="39"/>
        <v>0</v>
      </c>
      <c r="BS4" s="38">
        <f t="shared" si="40"/>
        <v>0.69438995684582194</v>
      </c>
      <c r="BT4" s="38">
        <f t="shared" si="41"/>
        <v>0</v>
      </c>
      <c r="BU4" s="38">
        <f t="shared" si="42"/>
        <v>8.5037735651745071E-3</v>
      </c>
      <c r="BV4" s="38">
        <f t="shared" si="43"/>
        <v>0</v>
      </c>
      <c r="BW4" s="38">
        <f t="shared" si="44"/>
        <v>0</v>
      </c>
      <c r="BX4" s="38">
        <f t="shared" si="45"/>
        <v>0.3252496433666191</v>
      </c>
      <c r="BY4" s="38">
        <f t="shared" si="46"/>
        <v>3.6495643756050342E-2</v>
      </c>
      <c r="BZ4" s="38">
        <f t="shared" si="47"/>
        <v>1.9108280254777067E-4</v>
      </c>
      <c r="CA4" s="38">
        <f t="shared" si="48"/>
        <v>0</v>
      </c>
      <c r="CB4" s="38">
        <f t="shared" si="49"/>
        <v>0</v>
      </c>
      <c r="CC4" s="38">
        <f t="shared" si="50"/>
        <v>0</v>
      </c>
      <c r="CD4" s="38">
        <f t="shared" si="51"/>
        <v>1.8296436822270259</v>
      </c>
      <c r="CE4" s="38">
        <f t="shared" si="52"/>
        <v>2.9233088792614494</v>
      </c>
      <c r="CF4" s="38">
        <f t="shared" si="53"/>
        <v>2.7327725330180384</v>
      </c>
      <c r="CG4" s="38">
        <f t="shared" si="54"/>
        <v>7.9887382107734339</v>
      </c>
      <c r="CH4" s="15"/>
      <c r="CI4" s="16"/>
      <c r="CJ4" s="13"/>
      <c r="CK4" s="104"/>
      <c r="CL4" s="13"/>
      <c r="CM4" s="13"/>
      <c r="CN4" s="13"/>
      <c r="CO4" s="16"/>
      <c r="CP4" s="16"/>
      <c r="CQ4" s="16"/>
      <c r="CR4" s="16"/>
      <c r="CS4" s="16"/>
      <c r="CT4" s="16"/>
      <c r="CU4" s="16"/>
      <c r="CV4" s="16"/>
      <c r="CW4" s="16"/>
      <c r="CX4" s="16"/>
      <c r="CY4" s="104"/>
      <c r="CZ4" s="104"/>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3"/>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row>
    <row r="5" spans="1:167" x14ac:dyDescent="0.25">
      <c r="A5" s="35" t="s">
        <v>82</v>
      </c>
      <c r="B5" s="15">
        <v>16</v>
      </c>
      <c r="C5" s="102" t="s">
        <v>95</v>
      </c>
      <c r="D5" s="102" t="s">
        <v>103</v>
      </c>
      <c r="E5" s="15">
        <v>47</v>
      </c>
      <c r="F5" s="16">
        <v>46.2</v>
      </c>
      <c r="G5" s="16"/>
      <c r="H5" s="16">
        <v>35.28</v>
      </c>
      <c r="I5" s="16"/>
      <c r="J5" s="16">
        <v>0.46972014757491232</v>
      </c>
      <c r="K5" s="16"/>
      <c r="L5" s="16"/>
      <c r="M5" s="16">
        <v>18.100000000000001</v>
      </c>
      <c r="N5" s="16">
        <v>1.36</v>
      </c>
      <c r="O5" s="16">
        <v>2.1999999999999999E-2</v>
      </c>
      <c r="P5" s="16">
        <v>0</v>
      </c>
      <c r="Q5" s="16"/>
      <c r="R5" s="16"/>
      <c r="S5" s="16">
        <f t="shared" si="0"/>
        <v>101.43172014757494</v>
      </c>
      <c r="T5" s="16"/>
      <c r="U5" s="15"/>
      <c r="V5" s="15"/>
      <c r="W5" s="15"/>
      <c r="X5" s="15" t="s">
        <v>185</v>
      </c>
      <c r="Y5" s="15"/>
      <c r="Z5" s="37">
        <v>8</v>
      </c>
      <c r="AA5" s="37">
        <v>5</v>
      </c>
      <c r="AB5" s="15"/>
      <c r="AC5" s="38">
        <f t="shared" si="1"/>
        <v>2.1014038846174889</v>
      </c>
      <c r="AD5" s="38">
        <f t="shared" si="2"/>
        <v>0</v>
      </c>
      <c r="AE5" s="38">
        <f t="shared" si="3"/>
        <v>1.8911510775307201</v>
      </c>
      <c r="AF5" s="38">
        <f t="shared" si="4"/>
        <v>0</v>
      </c>
      <c r="AG5" s="38">
        <f t="shared" si="5"/>
        <v>1.7865282803352648E-2</v>
      </c>
      <c r="AH5" s="38">
        <f t="shared" si="6"/>
        <v>0</v>
      </c>
      <c r="AI5" s="38">
        <f t="shared" si="7"/>
        <v>0</v>
      </c>
      <c r="AJ5" s="38">
        <f t="shared" si="8"/>
        <v>0.88199891138799813</v>
      </c>
      <c r="AK5" s="38">
        <f t="shared" si="9"/>
        <v>0.1199264039422251</v>
      </c>
      <c r="AL5" s="38">
        <f t="shared" si="10"/>
        <v>1.2764366129594451E-3</v>
      </c>
      <c r="AM5" s="38">
        <f t="shared" si="11"/>
        <v>0</v>
      </c>
      <c r="AN5" s="38">
        <f t="shared" si="12"/>
        <v>0</v>
      </c>
      <c r="AO5" s="38">
        <f t="shared" si="13"/>
        <v>0</v>
      </c>
      <c r="AP5" s="38">
        <f t="shared" si="14"/>
        <v>5.0136219968947451</v>
      </c>
      <c r="AQ5" s="38">
        <f t="shared" si="15"/>
        <v>3.9925549621482093</v>
      </c>
      <c r="AR5" s="38">
        <f t="shared" si="16"/>
        <v>1.0032017519431826</v>
      </c>
      <c r="AS5" s="40"/>
      <c r="AT5" s="38">
        <f t="shared" si="17"/>
        <v>2.0956943761606102</v>
      </c>
      <c r="AU5" s="38">
        <f t="shared" si="18"/>
        <v>0</v>
      </c>
      <c r="AV5" s="38">
        <f t="shared" si="19"/>
        <v>1.8860128253606181</v>
      </c>
      <c r="AW5" s="38">
        <f t="shared" si="20"/>
        <v>0</v>
      </c>
      <c r="AX5" s="38">
        <f t="shared" si="21"/>
        <v>0</v>
      </c>
      <c r="AY5" s="38">
        <f t="shared" si="22"/>
        <v>1.7816742880115168E-2</v>
      </c>
      <c r="AZ5" s="38">
        <f t="shared" si="23"/>
        <v>0</v>
      </c>
      <c r="BA5" s="38">
        <f t="shared" si="24"/>
        <v>0</v>
      </c>
      <c r="BB5" s="38">
        <f t="shared" si="25"/>
        <v>0.87960252282110241</v>
      </c>
      <c r="BC5" s="38">
        <f t="shared" si="26"/>
        <v>0.11960056423928964</v>
      </c>
      <c r="BD5" s="38">
        <f t="shared" si="27"/>
        <v>1.272968538264376E-3</v>
      </c>
      <c r="BE5" s="38">
        <f t="shared" si="28"/>
        <v>0</v>
      </c>
      <c r="BF5" s="38">
        <f t="shared" si="29"/>
        <v>0</v>
      </c>
      <c r="BG5" s="38">
        <f t="shared" si="30"/>
        <v>0</v>
      </c>
      <c r="BH5" s="41">
        <f t="shared" si="31"/>
        <v>4.9999999999999991</v>
      </c>
      <c r="BI5" s="42">
        <f t="shared" si="32"/>
        <v>7.987172393892199</v>
      </c>
      <c r="BJ5" s="38">
        <f t="shared" si="33"/>
        <v>3.9817072015212283</v>
      </c>
      <c r="BK5" s="38">
        <f t="shared" si="34"/>
        <v>1.0004760555986565</v>
      </c>
      <c r="BL5" s="16"/>
      <c r="BM5" s="16">
        <f t="shared" si="35"/>
        <v>0.87918398236404904</v>
      </c>
      <c r="BN5" s="16">
        <f t="shared" si="36"/>
        <v>0.11954365481313201</v>
      </c>
      <c r="BO5" s="16">
        <f t="shared" si="37"/>
        <v>1.2723628228190509E-3</v>
      </c>
      <c r="BP5" s="15"/>
      <c r="BQ5" s="38">
        <f t="shared" si="38"/>
        <v>0.76897470039946747</v>
      </c>
      <c r="BR5" s="38">
        <f t="shared" si="39"/>
        <v>0</v>
      </c>
      <c r="BS5" s="38">
        <f t="shared" si="40"/>
        <v>0.69203609258532761</v>
      </c>
      <c r="BT5" s="38">
        <f t="shared" si="41"/>
        <v>0</v>
      </c>
      <c r="BU5" s="38">
        <f t="shared" si="42"/>
        <v>6.5375107526083834E-3</v>
      </c>
      <c r="BV5" s="38">
        <f t="shared" si="43"/>
        <v>0</v>
      </c>
      <c r="BW5" s="38">
        <f t="shared" si="44"/>
        <v>0</v>
      </c>
      <c r="BX5" s="38">
        <f t="shared" si="45"/>
        <v>0.32275320970042798</v>
      </c>
      <c r="BY5" s="38">
        <f t="shared" si="46"/>
        <v>4.3885124233623757E-2</v>
      </c>
      <c r="BZ5" s="38">
        <f t="shared" si="47"/>
        <v>4.6709129511677281E-4</v>
      </c>
      <c r="CA5" s="38">
        <f t="shared" si="48"/>
        <v>0</v>
      </c>
      <c r="CB5" s="38">
        <f t="shared" si="49"/>
        <v>0</v>
      </c>
      <c r="CC5" s="38">
        <f t="shared" si="50"/>
        <v>0</v>
      </c>
      <c r="CD5" s="38">
        <f t="shared" si="51"/>
        <v>1.8346537289665721</v>
      </c>
      <c r="CE5" s="38">
        <f t="shared" si="52"/>
        <v>2.9274703678943328</v>
      </c>
      <c r="CF5" s="38">
        <f t="shared" si="53"/>
        <v>2.7253099160114598</v>
      </c>
      <c r="CG5" s="38">
        <f t="shared" si="54"/>
        <v>7.9782640224521417</v>
      </c>
      <c r="CH5" s="15"/>
      <c r="CI5" s="16"/>
      <c r="CJ5" s="13"/>
      <c r="CK5" s="104"/>
      <c r="CL5" s="13"/>
      <c r="CM5" s="13"/>
      <c r="CN5" s="13"/>
      <c r="CO5" s="16"/>
      <c r="CP5" s="16"/>
      <c r="CQ5" s="16"/>
      <c r="CR5" s="16"/>
      <c r="CS5" s="16"/>
      <c r="CT5" s="16"/>
      <c r="CU5" s="16"/>
      <c r="CV5" s="16"/>
      <c r="CW5" s="16"/>
      <c r="CX5" s="16"/>
      <c r="CY5" s="104"/>
      <c r="CZ5" s="104"/>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3"/>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row>
    <row r="6" spans="1:167" x14ac:dyDescent="0.25">
      <c r="A6" s="35" t="s">
        <v>82</v>
      </c>
      <c r="B6" s="15">
        <v>19</v>
      </c>
      <c r="C6" s="102" t="s">
        <v>95</v>
      </c>
      <c r="D6" s="102" t="s">
        <v>103</v>
      </c>
      <c r="E6" s="15">
        <v>50</v>
      </c>
      <c r="F6" s="16">
        <v>47.58</v>
      </c>
      <c r="G6" s="16">
        <v>5.2999999999999999E-2</v>
      </c>
      <c r="H6" s="16">
        <v>33.75</v>
      </c>
      <c r="I6" s="16"/>
      <c r="J6" s="16">
        <v>1.0389999999999999</v>
      </c>
      <c r="K6" s="16">
        <v>4.5999999999999999E-2</v>
      </c>
      <c r="L6" s="16">
        <v>0.151</v>
      </c>
      <c r="M6" s="16">
        <v>16.36</v>
      </c>
      <c r="N6" s="16">
        <v>2.12</v>
      </c>
      <c r="O6" s="16">
        <v>0</v>
      </c>
      <c r="P6" s="16">
        <v>0.127</v>
      </c>
      <c r="Q6" s="16"/>
      <c r="R6" s="16"/>
      <c r="S6" s="16">
        <f t="shared" si="0"/>
        <v>101.226</v>
      </c>
      <c r="T6" s="16"/>
      <c r="U6" s="15"/>
      <c r="V6" s="15"/>
      <c r="W6" s="15"/>
      <c r="X6" s="15" t="s">
        <v>252</v>
      </c>
      <c r="Y6" s="15" t="s">
        <v>266</v>
      </c>
      <c r="Z6" s="37">
        <v>8</v>
      </c>
      <c r="AA6" s="37">
        <v>5</v>
      </c>
      <c r="AB6" s="15"/>
      <c r="AC6" s="38">
        <f t="shared" si="1"/>
        <v>2.1641422786410436</v>
      </c>
      <c r="AD6" s="38">
        <f t="shared" si="2"/>
        <v>1.8131306905029561E-3</v>
      </c>
      <c r="AE6" s="38">
        <f t="shared" si="3"/>
        <v>1.8091111146292829</v>
      </c>
      <c r="AF6" s="38">
        <f t="shared" si="4"/>
        <v>0</v>
      </c>
      <c r="AG6" s="38">
        <f t="shared" si="5"/>
        <v>3.9516645490504015E-2</v>
      </c>
      <c r="AH6" s="38">
        <f t="shared" si="6"/>
        <v>1.7719764402655718E-3</v>
      </c>
      <c r="AI6" s="38">
        <f t="shared" si="7"/>
        <v>1.0239133298920266E-2</v>
      </c>
      <c r="AJ6" s="38">
        <f t="shared" si="8"/>
        <v>0.79719871529845276</v>
      </c>
      <c r="AK6" s="38">
        <f t="shared" si="9"/>
        <v>0.18694143860261525</v>
      </c>
      <c r="AL6" s="38">
        <f t="shared" si="10"/>
        <v>0</v>
      </c>
      <c r="AM6" s="38">
        <f t="shared" si="11"/>
        <v>4.890127825413015E-3</v>
      </c>
      <c r="AN6" s="38">
        <f t="shared" si="12"/>
        <v>0</v>
      </c>
      <c r="AO6" s="38">
        <f t="shared" si="13"/>
        <v>0</v>
      </c>
      <c r="AP6" s="38">
        <f t="shared" si="14"/>
        <v>5.0156245609170007</v>
      </c>
      <c r="AQ6" s="38">
        <f t="shared" si="15"/>
        <v>3.9732533932703262</v>
      </c>
      <c r="AR6" s="38">
        <f t="shared" si="16"/>
        <v>0.98414015390106802</v>
      </c>
      <c r="AS6" s="40"/>
      <c r="AT6" s="38">
        <f t="shared" si="17"/>
        <v>2.1574005912489751</v>
      </c>
      <c r="AU6" s="38">
        <f t="shared" si="18"/>
        <v>1.8074824665220393E-3</v>
      </c>
      <c r="AV6" s="38">
        <f t="shared" si="19"/>
        <v>1.8034754123407966</v>
      </c>
      <c r="AW6" s="38">
        <f t="shared" si="20"/>
        <v>0</v>
      </c>
      <c r="AX6" s="38">
        <f t="shared" si="21"/>
        <v>0</v>
      </c>
      <c r="AY6" s="38">
        <f t="shared" si="22"/>
        <v>3.9393544124521986E-2</v>
      </c>
      <c r="AZ6" s="38">
        <f t="shared" si="23"/>
        <v>1.766456419080143E-3</v>
      </c>
      <c r="BA6" s="38">
        <f t="shared" si="24"/>
        <v>1.0207236580969547E-2</v>
      </c>
      <c r="BB6" s="38">
        <f t="shared" si="25"/>
        <v>0.79471529977584876</v>
      </c>
      <c r="BC6" s="38">
        <f t="shared" si="26"/>
        <v>0.18635908283417943</v>
      </c>
      <c r="BD6" s="38">
        <f t="shared" si="27"/>
        <v>0</v>
      </c>
      <c r="BE6" s="38">
        <f t="shared" si="28"/>
        <v>4.8748942091061927E-3</v>
      </c>
      <c r="BF6" s="38">
        <f t="shared" si="29"/>
        <v>0</v>
      </c>
      <c r="BG6" s="38">
        <f t="shared" si="30"/>
        <v>0</v>
      </c>
      <c r="BH6" s="41">
        <f t="shared" si="31"/>
        <v>4.9999999999999991</v>
      </c>
      <c r="BI6" s="42">
        <f t="shared" si="32"/>
        <v>7.9947753518447255</v>
      </c>
      <c r="BJ6" s="38">
        <f t="shared" si="33"/>
        <v>3.9608760035897719</v>
      </c>
      <c r="BK6" s="38">
        <f t="shared" si="34"/>
        <v>0.98107438261002822</v>
      </c>
      <c r="BL6" s="16"/>
      <c r="BM6" s="16">
        <f t="shared" si="35"/>
        <v>0.81004591890535971</v>
      </c>
      <c r="BN6" s="16">
        <f t="shared" si="36"/>
        <v>0.18995408109464029</v>
      </c>
      <c r="BO6" s="16">
        <f t="shared" si="37"/>
        <v>0</v>
      </c>
      <c r="BP6" s="15"/>
      <c r="BQ6" s="38">
        <f t="shared" si="38"/>
        <v>0.79194407456724369</v>
      </c>
      <c r="BR6" s="38">
        <f t="shared" si="39"/>
        <v>6.6349524286429644E-4</v>
      </c>
      <c r="BS6" s="38">
        <f t="shared" si="40"/>
        <v>0.66202432326402516</v>
      </c>
      <c r="BT6" s="38">
        <f t="shared" si="41"/>
        <v>0</v>
      </c>
      <c r="BU6" s="38">
        <f t="shared" si="42"/>
        <v>1.4460681976339597E-2</v>
      </c>
      <c r="BV6" s="38">
        <f t="shared" si="43"/>
        <v>6.4843529743445168E-4</v>
      </c>
      <c r="BW6" s="38">
        <f t="shared" si="44"/>
        <v>3.7468982630272955E-3</v>
      </c>
      <c r="BX6" s="38">
        <f t="shared" si="45"/>
        <v>0.29172610556348072</v>
      </c>
      <c r="BY6" s="38">
        <f t="shared" si="46"/>
        <v>6.8409164246531151E-2</v>
      </c>
      <c r="BZ6" s="38">
        <f t="shared" si="47"/>
        <v>0</v>
      </c>
      <c r="CA6" s="38">
        <f t="shared" si="48"/>
        <v>1.7894885162744823E-3</v>
      </c>
      <c r="CB6" s="38">
        <f t="shared" si="49"/>
        <v>0</v>
      </c>
      <c r="CC6" s="38">
        <f t="shared" si="50"/>
        <v>0</v>
      </c>
      <c r="CD6" s="38">
        <f t="shared" si="51"/>
        <v>1.835412666937221</v>
      </c>
      <c r="CE6" s="38">
        <f t="shared" si="52"/>
        <v>2.9275120490304873</v>
      </c>
      <c r="CF6" s="38">
        <f t="shared" si="53"/>
        <v>2.7241830080335943</v>
      </c>
      <c r="CG6" s="38">
        <f t="shared" si="54"/>
        <v>7.9750785797824637</v>
      </c>
      <c r="CH6" s="15"/>
      <c r="CI6" s="16"/>
      <c r="CJ6" s="13"/>
      <c r="CK6" s="104"/>
      <c r="CL6" s="13"/>
      <c r="CM6" s="13"/>
      <c r="CN6" s="13"/>
      <c r="CO6" s="16"/>
      <c r="CP6" s="16"/>
      <c r="CQ6" s="16"/>
      <c r="CR6" s="16"/>
      <c r="CS6" s="16"/>
      <c r="CT6" s="16"/>
      <c r="CU6" s="16"/>
      <c r="CV6" s="16"/>
      <c r="CW6" s="16"/>
      <c r="CX6" s="16"/>
      <c r="CY6" s="104"/>
      <c r="CZ6" s="104"/>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3"/>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row>
    <row r="7" spans="1:167" x14ac:dyDescent="0.25">
      <c r="A7" s="35" t="s">
        <v>82</v>
      </c>
      <c r="B7" s="15">
        <v>31</v>
      </c>
      <c r="C7" s="102" t="s">
        <v>95</v>
      </c>
      <c r="D7" s="102" t="s">
        <v>103</v>
      </c>
      <c r="E7" s="15">
        <v>62</v>
      </c>
      <c r="F7" s="16">
        <v>45.77</v>
      </c>
      <c r="G7" s="16"/>
      <c r="H7" s="16">
        <v>35.630000000000003</v>
      </c>
      <c r="I7" s="16"/>
      <c r="J7" s="16">
        <v>0.46612075947088999</v>
      </c>
      <c r="K7" s="16"/>
      <c r="L7" s="16"/>
      <c r="M7" s="16">
        <v>17.96</v>
      </c>
      <c r="N7" s="16">
        <v>1.2729999999999999</v>
      </c>
      <c r="O7" s="16">
        <v>7.0000000000000001E-3</v>
      </c>
      <c r="P7" s="16">
        <v>0</v>
      </c>
      <c r="Q7" s="16"/>
      <c r="R7" s="16"/>
      <c r="S7" s="16">
        <f t="shared" si="0"/>
        <v>101.10612075947091</v>
      </c>
      <c r="T7" s="16"/>
      <c r="U7" s="15"/>
      <c r="V7" s="15"/>
      <c r="W7" s="15"/>
      <c r="X7" s="15" t="s">
        <v>185</v>
      </c>
      <c r="Y7" s="15"/>
      <c r="Z7" s="37">
        <v>8</v>
      </c>
      <c r="AA7" s="37">
        <v>5</v>
      </c>
      <c r="AB7" s="15"/>
      <c r="AC7" s="38">
        <f t="shared" si="1"/>
        <v>2.0876398514326531</v>
      </c>
      <c r="AD7" s="38">
        <f t="shared" si="2"/>
        <v>0</v>
      </c>
      <c r="AE7" s="38">
        <f t="shared" si="3"/>
        <v>1.915228436785926</v>
      </c>
      <c r="AF7" s="38">
        <f t="shared" si="4"/>
        <v>0</v>
      </c>
      <c r="AG7" s="38">
        <f t="shared" si="5"/>
        <v>1.777772824211012E-2</v>
      </c>
      <c r="AH7" s="38">
        <f t="shared" si="6"/>
        <v>0</v>
      </c>
      <c r="AI7" s="38">
        <f t="shared" si="7"/>
        <v>0</v>
      </c>
      <c r="AJ7" s="38">
        <f t="shared" si="8"/>
        <v>0.87761273683836805</v>
      </c>
      <c r="AK7" s="38">
        <f t="shared" si="9"/>
        <v>0.11256708440479253</v>
      </c>
      <c r="AL7" s="38">
        <f t="shared" si="10"/>
        <v>4.0726934586090077E-4</v>
      </c>
      <c r="AM7" s="38">
        <f t="shared" si="11"/>
        <v>0</v>
      </c>
      <c r="AN7" s="38">
        <f t="shared" si="12"/>
        <v>0</v>
      </c>
      <c r="AO7" s="38">
        <f t="shared" si="13"/>
        <v>0</v>
      </c>
      <c r="AP7" s="38">
        <f t="shared" si="14"/>
        <v>5.0112331070497111</v>
      </c>
      <c r="AQ7" s="38">
        <f t="shared" si="15"/>
        <v>4.0028682882185791</v>
      </c>
      <c r="AR7" s="38">
        <f t="shared" si="16"/>
        <v>0.9905870905890215</v>
      </c>
      <c r="AS7" s="40"/>
      <c r="AT7" s="38">
        <f t="shared" si="17"/>
        <v>2.0829602283874999</v>
      </c>
      <c r="AU7" s="38">
        <f t="shared" si="18"/>
        <v>0</v>
      </c>
      <c r="AV7" s="38">
        <f t="shared" si="19"/>
        <v>1.9109352886534234</v>
      </c>
      <c r="AW7" s="38">
        <f t="shared" si="20"/>
        <v>0</v>
      </c>
      <c r="AX7" s="38">
        <f t="shared" si="21"/>
        <v>0</v>
      </c>
      <c r="AY7" s="38">
        <f t="shared" si="22"/>
        <v>1.7737877945750258E-2</v>
      </c>
      <c r="AZ7" s="38">
        <f t="shared" si="23"/>
        <v>0</v>
      </c>
      <c r="BA7" s="38">
        <f t="shared" si="24"/>
        <v>0</v>
      </c>
      <c r="BB7" s="38">
        <f t="shared" si="25"/>
        <v>0.87564549292644034</v>
      </c>
      <c r="BC7" s="38">
        <f t="shared" si="26"/>
        <v>0.11231475567005178</v>
      </c>
      <c r="BD7" s="38">
        <f t="shared" si="27"/>
        <v>4.063564168347724E-4</v>
      </c>
      <c r="BE7" s="38">
        <f t="shared" si="28"/>
        <v>0</v>
      </c>
      <c r="BF7" s="38">
        <f t="shared" si="29"/>
        <v>0</v>
      </c>
      <c r="BG7" s="38">
        <f t="shared" si="30"/>
        <v>0</v>
      </c>
      <c r="BH7" s="41">
        <f t="shared" si="31"/>
        <v>5</v>
      </c>
      <c r="BI7" s="42">
        <f t="shared" si="32"/>
        <v>7.9909362556436445</v>
      </c>
      <c r="BJ7" s="38">
        <f t="shared" si="33"/>
        <v>3.9938955170409232</v>
      </c>
      <c r="BK7" s="38">
        <f t="shared" si="34"/>
        <v>0.98836660501332685</v>
      </c>
      <c r="BL7" s="16"/>
      <c r="BM7" s="16">
        <f t="shared" si="35"/>
        <v>0.88595212392332223</v>
      </c>
      <c r="BN7" s="16">
        <f t="shared" si="36"/>
        <v>0.1136367367132334</v>
      </c>
      <c r="BO7" s="16">
        <f t="shared" si="37"/>
        <v>4.1113936344428924E-4</v>
      </c>
      <c r="BP7" s="15"/>
      <c r="BQ7" s="38">
        <f t="shared" si="38"/>
        <v>0.7618175765645806</v>
      </c>
      <c r="BR7" s="38">
        <f t="shared" si="39"/>
        <v>0</v>
      </c>
      <c r="BS7" s="38">
        <f t="shared" si="40"/>
        <v>0.69890153001176947</v>
      </c>
      <c r="BT7" s="38">
        <f t="shared" si="41"/>
        <v>0</v>
      </c>
      <c r="BU7" s="38">
        <f t="shared" si="42"/>
        <v>6.4874148847723035E-3</v>
      </c>
      <c r="BV7" s="38">
        <f t="shared" si="43"/>
        <v>0</v>
      </c>
      <c r="BW7" s="38">
        <f t="shared" si="44"/>
        <v>0</v>
      </c>
      <c r="BX7" s="38">
        <f t="shared" si="45"/>
        <v>0.32025677603423686</v>
      </c>
      <c r="BY7" s="38">
        <f t="shared" si="46"/>
        <v>4.1077767021619874E-2</v>
      </c>
      <c r="BZ7" s="38">
        <f t="shared" si="47"/>
        <v>1.4861995753715499E-4</v>
      </c>
      <c r="CA7" s="38">
        <f t="shared" si="48"/>
        <v>0</v>
      </c>
      <c r="CB7" s="38">
        <f t="shared" si="49"/>
        <v>0</v>
      </c>
      <c r="CC7" s="38">
        <f t="shared" si="50"/>
        <v>0</v>
      </c>
      <c r="CD7" s="38">
        <f t="shared" si="51"/>
        <v>1.8286896844745162</v>
      </c>
      <c r="CE7" s="38">
        <f t="shared" si="52"/>
        <v>2.9193448325554034</v>
      </c>
      <c r="CF7" s="38">
        <f t="shared" si="53"/>
        <v>2.7341981761311116</v>
      </c>
      <c r="CG7" s="38">
        <f t="shared" si="54"/>
        <v>7.9820673166707694</v>
      </c>
      <c r="CH7" s="15"/>
      <c r="CI7" s="16"/>
      <c r="CJ7" s="13"/>
      <c r="CK7" s="104"/>
      <c r="CL7" s="13"/>
      <c r="CM7" s="13"/>
      <c r="CN7" s="13"/>
      <c r="CO7" s="16"/>
      <c r="CP7" s="16"/>
      <c r="CQ7" s="16"/>
      <c r="CR7" s="16"/>
      <c r="CS7" s="16"/>
      <c r="CT7" s="16"/>
      <c r="CU7" s="16"/>
      <c r="CV7" s="16"/>
      <c r="CW7" s="16"/>
      <c r="CX7" s="16"/>
      <c r="CY7" s="104"/>
      <c r="CZ7" s="104"/>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3"/>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row>
    <row r="8" spans="1:167" x14ac:dyDescent="0.25">
      <c r="A8" s="35" t="s">
        <v>82</v>
      </c>
      <c r="B8" s="15">
        <v>32</v>
      </c>
      <c r="C8" s="102" t="s">
        <v>95</v>
      </c>
      <c r="D8" s="102" t="s">
        <v>103</v>
      </c>
      <c r="E8" s="15">
        <v>63</v>
      </c>
      <c r="F8" s="16">
        <v>45.82</v>
      </c>
      <c r="G8" s="16"/>
      <c r="H8" s="16">
        <v>35.15</v>
      </c>
      <c r="I8" s="16"/>
      <c r="J8" s="16">
        <v>0.67218572842616753</v>
      </c>
      <c r="K8" s="16"/>
      <c r="L8" s="16"/>
      <c r="M8" s="16">
        <v>18.04</v>
      </c>
      <c r="N8" s="16">
        <v>1.2849999999999999</v>
      </c>
      <c r="O8" s="16">
        <v>2.1000000000000001E-2</v>
      </c>
      <c r="P8" s="16">
        <v>0</v>
      </c>
      <c r="Q8" s="16"/>
      <c r="R8" s="16"/>
      <c r="S8" s="16">
        <f t="shared" si="0"/>
        <v>100.98818572842616</v>
      </c>
      <c r="T8" s="16"/>
      <c r="U8" s="15"/>
      <c r="V8" s="15"/>
      <c r="W8" s="15"/>
      <c r="X8" s="15" t="s">
        <v>185</v>
      </c>
      <c r="Y8" s="15"/>
      <c r="Z8" s="37">
        <v>8</v>
      </c>
      <c r="AA8" s="37">
        <v>5</v>
      </c>
      <c r="AB8" s="15"/>
      <c r="AC8" s="38">
        <f t="shared" si="1"/>
        <v>2.0955351279818766</v>
      </c>
      <c r="AD8" s="38">
        <f t="shared" si="2"/>
        <v>0</v>
      </c>
      <c r="AE8" s="38">
        <f t="shared" si="3"/>
        <v>1.8945029365482646</v>
      </c>
      <c r="AF8" s="38">
        <f t="shared" si="4"/>
        <v>0</v>
      </c>
      <c r="AG8" s="38">
        <f t="shared" si="5"/>
        <v>2.5705869565918985E-2</v>
      </c>
      <c r="AH8" s="38">
        <f t="shared" si="6"/>
        <v>0</v>
      </c>
      <c r="AI8" s="38">
        <f t="shared" si="7"/>
        <v>0</v>
      </c>
      <c r="AJ8" s="38">
        <f t="shared" si="8"/>
        <v>0.88389018790589668</v>
      </c>
      <c r="AK8" s="38">
        <f t="shared" si="9"/>
        <v>0.11393347298396282</v>
      </c>
      <c r="AL8" s="38">
        <f t="shared" si="10"/>
        <v>1.2250905001071181E-3</v>
      </c>
      <c r="AM8" s="38">
        <f t="shared" si="11"/>
        <v>0</v>
      </c>
      <c r="AN8" s="38">
        <f t="shared" si="12"/>
        <v>0</v>
      </c>
      <c r="AO8" s="38">
        <f t="shared" si="13"/>
        <v>0</v>
      </c>
      <c r="AP8" s="38">
        <f t="shared" si="14"/>
        <v>5.014792685486027</v>
      </c>
      <c r="AQ8" s="38">
        <f t="shared" si="15"/>
        <v>3.9900380645301414</v>
      </c>
      <c r="AR8" s="38">
        <f t="shared" si="16"/>
        <v>0.99904875138996663</v>
      </c>
      <c r="AS8" s="40"/>
      <c r="AT8" s="38">
        <f t="shared" si="17"/>
        <v>2.089353697558467</v>
      </c>
      <c r="AU8" s="38">
        <f t="shared" si="18"/>
        <v>0</v>
      </c>
      <c r="AV8" s="38">
        <f t="shared" si="19"/>
        <v>1.888914512888435</v>
      </c>
      <c r="AW8" s="38">
        <f t="shared" si="20"/>
        <v>0</v>
      </c>
      <c r="AX8" s="38">
        <f t="shared" si="21"/>
        <v>0</v>
      </c>
      <c r="AY8" s="38">
        <f t="shared" si="22"/>
        <v>2.56300421354583E-2</v>
      </c>
      <c r="AZ8" s="38">
        <f t="shared" si="23"/>
        <v>0</v>
      </c>
      <c r="BA8" s="38">
        <f t="shared" si="24"/>
        <v>0</v>
      </c>
      <c r="BB8" s="38">
        <f t="shared" si="25"/>
        <v>0.88128287981283859</v>
      </c>
      <c r="BC8" s="38">
        <f t="shared" si="26"/>
        <v>0.11359739088887237</v>
      </c>
      <c r="BD8" s="38">
        <f t="shared" si="27"/>
        <v>1.2214767159296677E-3</v>
      </c>
      <c r="BE8" s="38">
        <f t="shared" si="28"/>
        <v>0</v>
      </c>
      <c r="BF8" s="38">
        <f t="shared" si="29"/>
        <v>0</v>
      </c>
      <c r="BG8" s="38">
        <f t="shared" si="30"/>
        <v>0</v>
      </c>
      <c r="BH8" s="41">
        <f t="shared" si="31"/>
        <v>5.0000000000000018</v>
      </c>
      <c r="BI8" s="42">
        <f t="shared" si="32"/>
        <v>7.9892165412680134</v>
      </c>
      <c r="BJ8" s="38">
        <f t="shared" si="33"/>
        <v>3.978268210446902</v>
      </c>
      <c r="BK8" s="38">
        <f t="shared" si="34"/>
        <v>0.99610174741764057</v>
      </c>
      <c r="BL8" s="16"/>
      <c r="BM8" s="16">
        <f t="shared" si="35"/>
        <v>0.88473178778928363</v>
      </c>
      <c r="BN8" s="16">
        <f t="shared" si="36"/>
        <v>0.11404195523536595</v>
      </c>
      <c r="BO8" s="16">
        <f t="shared" si="37"/>
        <v>1.226256975350464E-3</v>
      </c>
      <c r="BP8" s="15"/>
      <c r="BQ8" s="38">
        <f t="shared" si="38"/>
        <v>0.76264980026631157</v>
      </c>
      <c r="BR8" s="38">
        <f t="shared" si="39"/>
        <v>0</v>
      </c>
      <c r="BS8" s="38">
        <f t="shared" si="40"/>
        <v>0.68948607296979214</v>
      </c>
      <c r="BT8" s="38">
        <f t="shared" si="41"/>
        <v>0</v>
      </c>
      <c r="BU8" s="38">
        <f t="shared" si="42"/>
        <v>9.3554033183878577E-3</v>
      </c>
      <c r="BV8" s="38">
        <f t="shared" si="43"/>
        <v>0</v>
      </c>
      <c r="BW8" s="38">
        <f t="shared" si="44"/>
        <v>0</v>
      </c>
      <c r="BX8" s="38">
        <f t="shared" si="45"/>
        <v>0.32168330955777458</v>
      </c>
      <c r="BY8" s="38">
        <f t="shared" si="46"/>
        <v>4.1464988706034205E-2</v>
      </c>
      <c r="BZ8" s="38">
        <f t="shared" si="47"/>
        <v>4.4585987261146497E-4</v>
      </c>
      <c r="CA8" s="38">
        <f t="shared" si="48"/>
        <v>0</v>
      </c>
      <c r="CB8" s="38">
        <f t="shared" si="49"/>
        <v>0</v>
      </c>
      <c r="CC8" s="38">
        <f t="shared" si="50"/>
        <v>0</v>
      </c>
      <c r="CD8" s="38">
        <f t="shared" si="51"/>
        <v>1.8250854346909116</v>
      </c>
      <c r="CE8" s="38">
        <f t="shared" si="52"/>
        <v>2.9115228471527965</v>
      </c>
      <c r="CF8" s="38">
        <f t="shared" si="53"/>
        <v>2.7395977771565407</v>
      </c>
      <c r="CG8" s="38">
        <f t="shared" si="54"/>
        <v>7.9764015202002838</v>
      </c>
      <c r="CH8" s="15"/>
      <c r="CI8" s="16">
        <v>1.8961718830255427</v>
      </c>
      <c r="CJ8" s="13">
        <v>8584.3066603315456</v>
      </c>
      <c r="CK8" s="104">
        <v>511.30227359818167</v>
      </c>
      <c r="CL8" s="13">
        <v>179814.49559550625</v>
      </c>
      <c r="CM8" s="13">
        <v>227311.18964944288</v>
      </c>
      <c r="CN8" s="13">
        <v>118164.59627066301</v>
      </c>
      <c r="CO8" s="16">
        <v>0.21383880589232807</v>
      </c>
      <c r="CP8" s="16">
        <v>75.004754320961396</v>
      </c>
      <c r="CQ8" s="16">
        <v>1.5734700394829211</v>
      </c>
      <c r="CR8" s="16">
        <v>0</v>
      </c>
      <c r="CS8" s="16">
        <v>34.0303546137729</v>
      </c>
      <c r="CT8" s="16">
        <v>0.27256179079991139</v>
      </c>
      <c r="CU8" s="16">
        <v>0</v>
      </c>
      <c r="CV8" s="16">
        <v>2.2328511663132486</v>
      </c>
      <c r="CW8" s="16">
        <v>2.3025106674669717</v>
      </c>
      <c r="CX8" s="16">
        <v>0.41332908315789785</v>
      </c>
      <c r="CY8" s="104">
        <v>322.23788584080251</v>
      </c>
      <c r="CZ8" s="104">
        <v>328.32798433125811</v>
      </c>
      <c r="DA8" s="16">
        <v>0</v>
      </c>
      <c r="DB8" s="16">
        <v>0</v>
      </c>
      <c r="DC8" s="16">
        <v>0</v>
      </c>
      <c r="DD8" s="16">
        <v>0</v>
      </c>
      <c r="DE8" s="16">
        <v>11.632149045661192</v>
      </c>
      <c r="DF8" s="16">
        <v>0.19188418801770379</v>
      </c>
      <c r="DG8" s="16">
        <v>0.49461232767453439</v>
      </c>
      <c r="DH8" s="16">
        <v>4.5611128476893137E-2</v>
      </c>
      <c r="DI8" s="16">
        <v>9.6815825851084766E-2</v>
      </c>
      <c r="DJ8" s="16">
        <v>0</v>
      </c>
      <c r="DK8" s="16">
        <v>5.979903979801509E-2</v>
      </c>
      <c r="DL8" s="16">
        <v>0</v>
      </c>
      <c r="DM8" s="16">
        <v>0</v>
      </c>
      <c r="DN8" s="16">
        <v>0</v>
      </c>
      <c r="DO8" s="16">
        <v>6.5312807501441885E-3</v>
      </c>
      <c r="DP8" s="16">
        <v>0</v>
      </c>
      <c r="DQ8" s="16">
        <v>2.8410297460315641E-2</v>
      </c>
      <c r="DR8" s="16">
        <v>0</v>
      </c>
      <c r="DS8" s="16">
        <v>0</v>
      </c>
      <c r="DT8" s="16">
        <v>0</v>
      </c>
      <c r="DU8" s="16">
        <v>0</v>
      </c>
      <c r="DV8" s="16">
        <v>0.25207859274507166</v>
      </c>
      <c r="DW8" s="16">
        <v>0</v>
      </c>
      <c r="DX8" s="16">
        <v>0</v>
      </c>
      <c r="DY8" s="16" t="e">
        <f>(DK8/0.05883)/SQRT((DJ8/0.1536)*(DL8/0.2069))</f>
        <v>#DIV/0!</v>
      </c>
      <c r="DZ8" s="16"/>
      <c r="EA8" s="13">
        <f>1128+200*((BM8-0.4)/0.4) -273</f>
        <v>1097.3658938946419</v>
      </c>
      <c r="EB8" s="16"/>
      <c r="EC8" s="16">
        <f>(-18.482 -16.353 * BM8)/(0.008314 * (EA8+273))</f>
        <v>-2.8920720411411018</v>
      </c>
      <c r="ED8" s="16"/>
      <c r="EE8" s="16"/>
      <c r="EF8" s="16"/>
      <c r="EG8" s="16"/>
      <c r="EH8" s="16"/>
      <c r="EI8" s="16"/>
      <c r="EJ8" s="16"/>
      <c r="EK8" s="16"/>
      <c r="EL8" s="16">
        <f>(23.856 -20.71 * BM8)/(0.008314 * (EA8+273))</f>
        <v>0.48565758260165542</v>
      </c>
      <c r="EM8" s="16"/>
      <c r="EN8" s="16">
        <f>(-4.5269  -51.811 * BM8)/(0.008314 * (EA8+273)) +N("eqn50a")</f>
        <v>-4.4206755974902681</v>
      </c>
      <c r="EO8" s="16"/>
      <c r="EP8" s="16"/>
      <c r="EQ8" s="16"/>
      <c r="ER8" s="16">
        <f>(10.146 -35.204 * BM8)/(0.008314 * (EA8+273))</f>
        <v>-1.843209741740655</v>
      </c>
      <c r="ES8" s="16">
        <f>(2.1146 -37.009 * BM8)/(0.008314 * (EA8+273))</f>
        <v>-2.6883035037687177</v>
      </c>
      <c r="ET8" s="16">
        <f>(-3.6812 -33.822 * BM8)/(0.008314 * (EA8+273))</f>
        <v>-2.9495254637538748</v>
      </c>
      <c r="EU8" s="16">
        <f>(-6.8025 -26.094 * BM8)/(0.008314 * (EA8+273))</f>
        <v>-2.6233747714923337</v>
      </c>
      <c r="EV8" s="16">
        <f>(-5.6996 -30.85 * BM8)/(0.008314 * (EA8+273))</f>
        <v>-2.8958950797355656</v>
      </c>
      <c r="EW8" s="16">
        <f>(-8.6767 -33.32 * BM8)/(0.008314 * (EA8+273))</f>
        <v>-3.349005490195518</v>
      </c>
      <c r="EX8" s="16"/>
      <c r="EY8" s="16">
        <f>(-1.9714 -59.897 * BM8)/(0.008314 * (EA8+273))</f>
        <v>-4.8242876063826605</v>
      </c>
      <c r="EZ8" s="16">
        <f>(-4.3691 -44.528 * BM8)/(0.008314 * (EA8+273))</f>
        <v>-3.8412695623733395</v>
      </c>
      <c r="FA8" s="16">
        <f>(-2.2521 -58.215 * BM8)/(0.008314 * (EA8+273))</f>
        <v>-4.7183106612632306</v>
      </c>
      <c r="FB8" s="16"/>
      <c r="FC8" s="16">
        <f>(-8.5 - 57.253 * BM8)/(0.008314 * (EA8+273))</f>
        <v>-5.1919947517099665</v>
      </c>
      <c r="FD8" s="16"/>
      <c r="FE8" s="16">
        <f>(-9.2954 -52.923 * BM8)/(0.008314 * (EA8+273))</f>
        <v>-4.9255654106526094</v>
      </c>
      <c r="FF8" s="16">
        <f>(0.61501 -70.378 * BM8)/(0.008314 * (EA8+273))</f>
        <v>-5.4111684591620026</v>
      </c>
      <c r="FG8" s="16"/>
      <c r="FH8" s="16"/>
      <c r="FI8" s="16"/>
      <c r="FJ8" s="16"/>
      <c r="FK8" s="16"/>
    </row>
    <row r="9" spans="1:167" x14ac:dyDescent="0.25">
      <c r="A9" s="35" t="s">
        <v>82</v>
      </c>
      <c r="B9" s="15">
        <v>33</v>
      </c>
      <c r="C9" s="102" t="s">
        <v>95</v>
      </c>
      <c r="D9" s="102" t="s">
        <v>103</v>
      </c>
      <c r="E9" s="15">
        <v>64</v>
      </c>
      <c r="F9" s="16">
        <v>52.02</v>
      </c>
      <c r="G9" s="16"/>
      <c r="H9" s="16">
        <v>30.49</v>
      </c>
      <c r="I9" s="16"/>
      <c r="J9" s="16">
        <v>1.0330243858544048</v>
      </c>
      <c r="K9" s="16"/>
      <c r="L9" s="16"/>
      <c r="M9" s="16">
        <v>13.14</v>
      </c>
      <c r="N9" s="16">
        <v>4.09</v>
      </c>
      <c r="O9" s="16">
        <v>7.0000000000000007E-2</v>
      </c>
      <c r="P9" s="16">
        <v>0</v>
      </c>
      <c r="Q9" s="16"/>
      <c r="R9" s="16"/>
      <c r="S9" s="16">
        <f t="shared" si="0"/>
        <v>100.84302438585441</v>
      </c>
      <c r="T9" s="16"/>
      <c r="U9" s="15"/>
      <c r="V9" s="15"/>
      <c r="W9" s="15"/>
      <c r="X9" s="15" t="s">
        <v>186</v>
      </c>
      <c r="Y9" s="15"/>
      <c r="Z9" s="37">
        <v>8</v>
      </c>
      <c r="AA9" s="37">
        <v>5</v>
      </c>
      <c r="AB9" s="15"/>
      <c r="AC9" s="38">
        <f t="shared" si="1"/>
        <v>2.3526610387850377</v>
      </c>
      <c r="AD9" s="38">
        <f t="shared" si="2"/>
        <v>0</v>
      </c>
      <c r="AE9" s="38">
        <f t="shared" si="3"/>
        <v>1.6250866768202714</v>
      </c>
      <c r="AF9" s="38">
        <f t="shared" si="4"/>
        <v>0</v>
      </c>
      <c r="AG9" s="38">
        <f t="shared" si="5"/>
        <v>3.9066341108258282E-2</v>
      </c>
      <c r="AH9" s="38">
        <f t="shared" si="6"/>
        <v>0</v>
      </c>
      <c r="AI9" s="38">
        <f t="shared" si="7"/>
        <v>0</v>
      </c>
      <c r="AJ9" s="38">
        <f t="shared" si="8"/>
        <v>0.63665814101117102</v>
      </c>
      <c r="AK9" s="38">
        <f t="shared" si="9"/>
        <v>0.35860857349510167</v>
      </c>
      <c r="AL9" s="38">
        <f t="shared" si="10"/>
        <v>4.038276665072618E-3</v>
      </c>
      <c r="AM9" s="38">
        <f t="shared" si="11"/>
        <v>0</v>
      </c>
      <c r="AN9" s="38">
        <f t="shared" si="12"/>
        <v>0</v>
      </c>
      <c r="AO9" s="38">
        <f t="shared" si="13"/>
        <v>0</v>
      </c>
      <c r="AP9" s="38">
        <f t="shared" si="14"/>
        <v>5.0161190478849127</v>
      </c>
      <c r="AQ9" s="38">
        <f t="shared" si="15"/>
        <v>3.9777477156053092</v>
      </c>
      <c r="AR9" s="38">
        <f t="shared" si="16"/>
        <v>0.9993049911713453</v>
      </c>
      <c r="AS9" s="40"/>
      <c r="AT9" s="38">
        <f t="shared" si="17"/>
        <v>2.3451008801087525</v>
      </c>
      <c r="AU9" s="38">
        <f t="shared" si="18"/>
        <v>0</v>
      </c>
      <c r="AV9" s="38">
        <f t="shared" si="19"/>
        <v>1.6198645419963686</v>
      </c>
      <c r="AW9" s="38">
        <f t="shared" si="20"/>
        <v>0</v>
      </c>
      <c r="AX9" s="38">
        <f t="shared" si="21"/>
        <v>0</v>
      </c>
      <c r="AY9" s="38">
        <f t="shared" si="22"/>
        <v>3.8940803373407683E-2</v>
      </c>
      <c r="AZ9" s="38">
        <f t="shared" si="23"/>
        <v>0</v>
      </c>
      <c r="BA9" s="38">
        <f t="shared" si="24"/>
        <v>0</v>
      </c>
      <c r="BB9" s="38">
        <f t="shared" si="25"/>
        <v>0.63461227189137681</v>
      </c>
      <c r="BC9" s="38">
        <f t="shared" si="26"/>
        <v>0.35745620276527507</v>
      </c>
      <c r="BD9" s="38">
        <f t="shared" si="27"/>
        <v>4.0252998648181897E-3</v>
      </c>
      <c r="BE9" s="38">
        <f t="shared" si="28"/>
        <v>0</v>
      </c>
      <c r="BF9" s="38">
        <f t="shared" si="29"/>
        <v>0</v>
      </c>
      <c r="BG9" s="38">
        <f t="shared" si="30"/>
        <v>0</v>
      </c>
      <c r="BH9" s="41">
        <f t="shared" si="31"/>
        <v>4.9999999999999982</v>
      </c>
      <c r="BI9" s="42">
        <f t="shared" si="32"/>
        <v>7.9937628014785931</v>
      </c>
      <c r="BJ9" s="38">
        <f t="shared" si="33"/>
        <v>3.9649654221051209</v>
      </c>
      <c r="BK9" s="38">
        <f t="shared" si="34"/>
        <v>0.99609377452147008</v>
      </c>
      <c r="BL9" s="16"/>
      <c r="BM9" s="16">
        <f t="shared" si="35"/>
        <v>0.63710093178350469</v>
      </c>
      <c r="BN9" s="16">
        <f t="shared" si="36"/>
        <v>0.35885798296149313</v>
      </c>
      <c r="BO9" s="16">
        <f t="shared" si="37"/>
        <v>4.0410852550021911E-3</v>
      </c>
      <c r="BP9" s="15"/>
      <c r="BQ9" s="38">
        <f t="shared" si="38"/>
        <v>0.86584553928095875</v>
      </c>
      <c r="BR9" s="38">
        <f t="shared" si="39"/>
        <v>0</v>
      </c>
      <c r="BS9" s="38">
        <f t="shared" si="40"/>
        <v>0.59807767752059637</v>
      </c>
      <c r="BT9" s="38">
        <f t="shared" si="41"/>
        <v>0</v>
      </c>
      <c r="BU9" s="38">
        <f t="shared" si="42"/>
        <v>1.4377514068954836E-2</v>
      </c>
      <c r="BV9" s="38">
        <f t="shared" si="43"/>
        <v>0</v>
      </c>
      <c r="BW9" s="38">
        <f t="shared" si="44"/>
        <v>0</v>
      </c>
      <c r="BX9" s="38">
        <f t="shared" si="45"/>
        <v>0.23430813124108418</v>
      </c>
      <c r="BY9" s="38">
        <f t="shared" si="46"/>
        <v>0.13197805743788318</v>
      </c>
      <c r="BZ9" s="38">
        <f t="shared" si="47"/>
        <v>1.48619957537155E-3</v>
      </c>
      <c r="CA9" s="38">
        <f t="shared" si="48"/>
        <v>0</v>
      </c>
      <c r="CB9" s="38">
        <f t="shared" si="49"/>
        <v>0</v>
      </c>
      <c r="CC9" s="38">
        <f t="shared" si="50"/>
        <v>0</v>
      </c>
      <c r="CD9" s="38">
        <f t="shared" si="51"/>
        <v>1.8460731191248492</v>
      </c>
      <c r="CE9" s="38">
        <f t="shared" si="52"/>
        <v>2.9442253686594788</v>
      </c>
      <c r="CF9" s="38">
        <f t="shared" si="53"/>
        <v>2.7084517661848104</v>
      </c>
      <c r="CG9" s="38">
        <f t="shared" si="54"/>
        <v>7.9742923997918904</v>
      </c>
      <c r="CH9" s="15"/>
      <c r="CI9" s="16"/>
      <c r="CJ9" s="13"/>
      <c r="CK9" s="104"/>
      <c r="CL9" s="13"/>
      <c r="CM9" s="13"/>
      <c r="CN9" s="13"/>
      <c r="CO9" s="16"/>
      <c r="CP9" s="16"/>
      <c r="CQ9" s="16"/>
      <c r="CR9" s="16"/>
      <c r="CS9" s="16"/>
      <c r="CT9" s="16"/>
      <c r="CU9" s="16"/>
      <c r="CV9" s="16"/>
      <c r="CW9" s="16"/>
      <c r="CX9" s="16"/>
      <c r="CY9" s="104"/>
      <c r="CZ9" s="104"/>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3"/>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row>
    <row r="10" spans="1:167" x14ac:dyDescent="0.25">
      <c r="A10" s="35" t="s">
        <v>82</v>
      </c>
      <c r="B10" s="15">
        <v>34</v>
      </c>
      <c r="C10" s="102" t="s">
        <v>95</v>
      </c>
      <c r="D10" s="102" t="s">
        <v>103</v>
      </c>
      <c r="E10" s="15">
        <v>65</v>
      </c>
      <c r="F10" s="16">
        <v>46.44</v>
      </c>
      <c r="G10" s="16"/>
      <c r="H10" s="16">
        <v>35.21</v>
      </c>
      <c r="I10" s="16"/>
      <c r="J10" s="16">
        <v>0.44632412489876722</v>
      </c>
      <c r="K10" s="16"/>
      <c r="L10" s="16"/>
      <c r="M10" s="16">
        <v>18.04</v>
      </c>
      <c r="N10" s="16">
        <v>1.3320000000000001</v>
      </c>
      <c r="O10" s="16">
        <v>8.9999999999999993E-3</v>
      </c>
      <c r="P10" s="16">
        <v>0</v>
      </c>
      <c r="Q10" s="16"/>
      <c r="R10" s="16"/>
      <c r="S10" s="16">
        <f t="shared" si="0"/>
        <v>101.47732412489877</v>
      </c>
      <c r="T10" s="16"/>
      <c r="U10" s="15"/>
      <c r="V10" s="15"/>
      <c r="W10" s="15"/>
      <c r="X10" s="15" t="s">
        <v>185</v>
      </c>
      <c r="Y10" s="15"/>
      <c r="Z10" s="37">
        <v>8</v>
      </c>
      <c r="AA10" s="37">
        <v>5</v>
      </c>
      <c r="AB10" s="15"/>
      <c r="AC10" s="38">
        <f t="shared" si="1"/>
        <v>2.1094779890836275</v>
      </c>
      <c r="AD10" s="38">
        <f t="shared" si="2"/>
        <v>0</v>
      </c>
      <c r="AE10" s="38">
        <f t="shared" si="3"/>
        <v>1.8848591623717439</v>
      </c>
      <c r="AF10" s="38">
        <f t="shared" si="4"/>
        <v>0</v>
      </c>
      <c r="AG10" s="38">
        <f t="shared" si="5"/>
        <v>1.6952599450134279E-2</v>
      </c>
      <c r="AH10" s="38">
        <f t="shared" si="6"/>
        <v>0</v>
      </c>
      <c r="AI10" s="38">
        <f t="shared" si="7"/>
        <v>0</v>
      </c>
      <c r="AJ10" s="38">
        <f t="shared" si="8"/>
        <v>0.87789229902970356</v>
      </c>
      <c r="AK10" s="38">
        <f t="shared" si="9"/>
        <v>0.11729928360519749</v>
      </c>
      <c r="AL10" s="38">
        <f t="shared" si="10"/>
        <v>5.2147598538547502E-4</v>
      </c>
      <c r="AM10" s="38">
        <f t="shared" si="11"/>
        <v>0</v>
      </c>
      <c r="AN10" s="38">
        <f t="shared" si="12"/>
        <v>0</v>
      </c>
      <c r="AO10" s="38">
        <f t="shared" si="13"/>
        <v>0</v>
      </c>
      <c r="AP10" s="38">
        <f t="shared" si="14"/>
        <v>5.0070028095257921</v>
      </c>
      <c r="AQ10" s="38">
        <f t="shared" si="15"/>
        <v>3.9943371514553716</v>
      </c>
      <c r="AR10" s="38">
        <f t="shared" si="16"/>
        <v>0.99571305862028647</v>
      </c>
      <c r="AS10" s="40"/>
      <c r="AT10" s="38">
        <f t="shared" si="17"/>
        <v>2.1065276666815107</v>
      </c>
      <c r="AU10" s="38">
        <f t="shared" si="18"/>
        <v>0</v>
      </c>
      <c r="AV10" s="38">
        <f t="shared" si="19"/>
        <v>1.8822229925513629</v>
      </c>
      <c r="AW10" s="38">
        <f t="shared" si="20"/>
        <v>0</v>
      </c>
      <c r="AX10" s="38">
        <f t="shared" si="21"/>
        <v>0</v>
      </c>
      <c r="AY10" s="38">
        <f t="shared" si="22"/>
        <v>1.6928889492414563E-2</v>
      </c>
      <c r="AZ10" s="38">
        <f t="shared" si="23"/>
        <v>0</v>
      </c>
      <c r="BA10" s="38">
        <f t="shared" si="24"/>
        <v>0</v>
      </c>
      <c r="BB10" s="38">
        <f t="shared" si="25"/>
        <v>0.87666447616078702</v>
      </c>
      <c r="BC10" s="38">
        <f t="shared" si="26"/>
        <v>0.11713522846645533</v>
      </c>
      <c r="BD10" s="38">
        <f t="shared" si="27"/>
        <v>5.2074664746879125E-4</v>
      </c>
      <c r="BE10" s="38">
        <f t="shared" si="28"/>
        <v>0</v>
      </c>
      <c r="BF10" s="38">
        <f t="shared" si="29"/>
        <v>0</v>
      </c>
      <c r="BG10" s="38">
        <f t="shared" si="30"/>
        <v>0</v>
      </c>
      <c r="BH10" s="41">
        <f t="shared" si="31"/>
        <v>5</v>
      </c>
      <c r="BI10" s="42">
        <f t="shared" si="32"/>
        <v>7.9972756201464374</v>
      </c>
      <c r="BJ10" s="38">
        <f t="shared" si="33"/>
        <v>3.9887506592328736</v>
      </c>
      <c r="BK10" s="38">
        <f t="shared" si="34"/>
        <v>0.99432045127471114</v>
      </c>
      <c r="BL10" s="16"/>
      <c r="BM10" s="16">
        <f t="shared" si="35"/>
        <v>0.8816719751031068</v>
      </c>
      <c r="BN10" s="16">
        <f t="shared" si="36"/>
        <v>0.11780430374965022</v>
      </c>
      <c r="BO10" s="16">
        <f t="shared" si="37"/>
        <v>5.2372114724302213E-4</v>
      </c>
      <c r="BP10" s="15"/>
      <c r="BQ10" s="38">
        <f t="shared" si="38"/>
        <v>0.77296937416777634</v>
      </c>
      <c r="BR10" s="38">
        <f t="shared" si="39"/>
        <v>0</v>
      </c>
      <c r="BS10" s="38">
        <f t="shared" si="40"/>
        <v>0.69066300510003931</v>
      </c>
      <c r="BT10" s="38">
        <f t="shared" si="41"/>
        <v>0</v>
      </c>
      <c r="BU10" s="38">
        <f t="shared" si="42"/>
        <v>6.2118876116738653E-3</v>
      </c>
      <c r="BV10" s="38">
        <f t="shared" si="43"/>
        <v>0</v>
      </c>
      <c r="BW10" s="38">
        <f t="shared" si="44"/>
        <v>0</v>
      </c>
      <c r="BX10" s="38">
        <f t="shared" si="45"/>
        <v>0.32168330955777458</v>
      </c>
      <c r="BY10" s="38">
        <f t="shared" si="46"/>
        <v>4.2981606969990323E-2</v>
      </c>
      <c r="BZ10" s="38">
        <f t="shared" si="47"/>
        <v>1.9108280254777067E-4</v>
      </c>
      <c r="CA10" s="38">
        <f t="shared" si="48"/>
        <v>0</v>
      </c>
      <c r="CB10" s="38">
        <f t="shared" si="49"/>
        <v>0</v>
      </c>
      <c r="CC10" s="38">
        <f t="shared" si="50"/>
        <v>0</v>
      </c>
      <c r="CD10" s="38">
        <f t="shared" si="51"/>
        <v>1.8347002662098022</v>
      </c>
      <c r="CE10" s="38">
        <f t="shared" si="52"/>
        <v>2.9314147980413292</v>
      </c>
      <c r="CF10" s="38">
        <f t="shared" si="53"/>
        <v>2.7252407884200078</v>
      </c>
      <c r="CG10" s="38">
        <f t="shared" si="54"/>
        <v>7.9888111754002304</v>
      </c>
      <c r="CH10" s="15"/>
      <c r="CI10" s="16">
        <v>1.7138608514797442</v>
      </c>
      <c r="CJ10" s="13">
        <v>8342.7485553032511</v>
      </c>
      <c r="CK10" s="104">
        <v>557.27257645994132</v>
      </c>
      <c r="CL10" s="13">
        <v>173132.25155706168</v>
      </c>
      <c r="CM10" s="13">
        <v>226159.1068011919</v>
      </c>
      <c r="CN10" s="13">
        <v>115066.0654165882</v>
      </c>
      <c r="CO10" s="16">
        <v>0.51440906168716782</v>
      </c>
      <c r="CP10" s="16">
        <v>67.388342204094073</v>
      </c>
      <c r="CQ10" s="16">
        <v>1.2759869394664141</v>
      </c>
      <c r="CR10" s="16">
        <v>0</v>
      </c>
      <c r="CS10" s="16">
        <v>30.540839175405591</v>
      </c>
      <c r="CT10" s="16">
        <v>0.2217111594108471</v>
      </c>
      <c r="CU10" s="16">
        <v>0</v>
      </c>
      <c r="CV10" s="16">
        <v>2.4108786726905507</v>
      </c>
      <c r="CW10" s="16">
        <v>2.3636387101690164</v>
      </c>
      <c r="CX10" s="16">
        <v>0.33576243057830552</v>
      </c>
      <c r="CY10" s="104">
        <v>308.57274647604294</v>
      </c>
      <c r="CZ10" s="104">
        <v>306.02305317420371</v>
      </c>
      <c r="DA10" s="16">
        <v>0</v>
      </c>
      <c r="DB10" s="16">
        <v>0</v>
      </c>
      <c r="DC10" s="16">
        <v>0.18178652295435271</v>
      </c>
      <c r="DD10" s="16">
        <v>8.5785672497585772E-2</v>
      </c>
      <c r="DE10" s="16">
        <v>8.1669952643576771</v>
      </c>
      <c r="DF10" s="16">
        <v>0.12192943248287251</v>
      </c>
      <c r="DG10" s="16">
        <v>0.24908577676673402</v>
      </c>
      <c r="DH10" s="16">
        <v>6.253380284986762E-2</v>
      </c>
      <c r="DI10" s="16">
        <v>5.8915457628551965E-2</v>
      </c>
      <c r="DJ10" s="16">
        <v>0</v>
      </c>
      <c r="DK10" s="16">
        <v>9.4020300474912152E-2</v>
      </c>
      <c r="DL10" s="16">
        <v>0</v>
      </c>
      <c r="DM10" s="16">
        <v>1.3993564368133475E-2</v>
      </c>
      <c r="DN10" s="16">
        <v>3.0500824442337239E-2</v>
      </c>
      <c r="DO10" s="16">
        <v>0</v>
      </c>
      <c r="DP10" s="16">
        <v>0</v>
      </c>
      <c r="DQ10" s="16">
        <v>0</v>
      </c>
      <c r="DR10" s="16">
        <v>0</v>
      </c>
      <c r="DS10" s="16">
        <v>0</v>
      </c>
      <c r="DT10" s="16">
        <v>0</v>
      </c>
      <c r="DU10" s="16">
        <v>0</v>
      </c>
      <c r="DV10" s="16">
        <v>0.16878743255938716</v>
      </c>
      <c r="DW10" s="16">
        <v>0</v>
      </c>
      <c r="DX10" s="16">
        <v>2.6475233261255122E-3</v>
      </c>
      <c r="DY10" s="16" t="e">
        <f>(DK10/0.05883)/SQRT((DJ10/0.1536)*(DL10/0.2069))</f>
        <v>#DIV/0!</v>
      </c>
      <c r="DZ10" s="16"/>
      <c r="EA10" s="13">
        <f>1128+200*((BM10-0.4)/0.4) -273</f>
        <v>1095.8359875515534</v>
      </c>
      <c r="EB10" s="16"/>
      <c r="EC10" s="16">
        <f>(-18.482 -16.353 * BM10)/(0.008314 * (EA10+273))</f>
        <v>-2.89090768149262</v>
      </c>
      <c r="ED10" s="16"/>
      <c r="EE10" s="16"/>
      <c r="EF10" s="16"/>
      <c r="EG10" s="16"/>
      <c r="EH10" s="16"/>
      <c r="EI10" s="16"/>
      <c r="EJ10" s="16"/>
      <c r="EK10" s="16"/>
      <c r="EL10" s="16">
        <f>(23.856 -20.71 * BM10)/(0.008314 * (EA10+273))</f>
        <v>0.49176857037234106</v>
      </c>
      <c r="EM10" s="16"/>
      <c r="EN10" s="16">
        <f>(-4.5269  -51.811 * BM10)/(0.008314 * (EA10+273)) +N("eqn50a")</f>
        <v>-4.4116863153462598</v>
      </c>
      <c r="EO10" s="16"/>
      <c r="EP10" s="16"/>
      <c r="EQ10" s="16"/>
      <c r="ER10" s="16">
        <f>(10.146 -35.204 * BM10)/(0.008314 * (EA10+273))</f>
        <v>-1.8358047365822121</v>
      </c>
      <c r="ES10" s="16">
        <f>(2.1146 -37.009 * BM10)/(0.008314 * (EA10+273))</f>
        <v>-2.6813577338413901</v>
      </c>
      <c r="ET10" s="16">
        <f>(-3.6812 -33.822 * BM10)/(0.008314 * (EA10+273))</f>
        <v>-2.9437285247138805</v>
      </c>
      <c r="EU10" s="16">
        <f>(-6.8025 -26.094 * BM10)/(0.008314 * (EA10+273))</f>
        <v>-2.6192910883285214</v>
      </c>
      <c r="EV10" s="16">
        <f>(-5.6996 -30.85 * BM10)/(0.008314 * (EA10+273))</f>
        <v>-2.8908372648359508</v>
      </c>
      <c r="EW10" s="16">
        <f>(-8.6767 -33.32 * BM10)/(0.008314 * (EA10+273))</f>
        <v>-3.3437900077901248</v>
      </c>
      <c r="EX10" s="16"/>
      <c r="EY10" s="16">
        <f>(-1.9714 -59.897 * BM10)/(0.008314 * (EA10+273))</f>
        <v>-4.8135753910413124</v>
      </c>
      <c r="EZ10" s="16">
        <f>(-4.3691 -44.528 * BM10)/(0.008314 * (EA10+273))</f>
        <v>-3.8335908356260693</v>
      </c>
      <c r="FA10" s="16">
        <f>(-2.2521 -58.215 * BM10)/(0.008314 * (EA10+273))</f>
        <v>-4.7079322287438181</v>
      </c>
      <c r="FB10" s="16"/>
      <c r="FC10" s="16">
        <f>(-8.5 - 57.253 * BM10)/(0.008314 * (EA10+273))</f>
        <v>-5.1824043891039668</v>
      </c>
      <c r="FD10" s="16"/>
      <c r="FE10" s="16">
        <f>(-9.2954 -52.923 * BM10)/(0.008314 * (EA10+273))</f>
        <v>-4.9168414512091774</v>
      </c>
      <c r="FF10" s="16">
        <f>(0.61501 -70.378 * BM10)/(0.008314 * (EA10+273))</f>
        <v>-5.3982942142420516</v>
      </c>
      <c r="FG10" s="16"/>
      <c r="FH10" s="16"/>
      <c r="FI10" s="16"/>
      <c r="FJ10" s="16"/>
      <c r="FK10" s="16"/>
    </row>
    <row r="11" spans="1:167" x14ac:dyDescent="0.25">
      <c r="A11" s="35" t="s">
        <v>82</v>
      </c>
      <c r="B11" s="15">
        <v>35</v>
      </c>
      <c r="C11" s="102" t="s">
        <v>95</v>
      </c>
      <c r="D11" s="102" t="s">
        <v>103</v>
      </c>
      <c r="E11" s="15">
        <v>66</v>
      </c>
      <c r="F11" s="16">
        <v>46.31</v>
      </c>
      <c r="G11" s="16"/>
      <c r="H11" s="16">
        <v>35.22</v>
      </c>
      <c r="I11" s="16"/>
      <c r="J11" s="16">
        <v>0.49941509943309642</v>
      </c>
      <c r="K11" s="16"/>
      <c r="L11" s="16"/>
      <c r="M11" s="16">
        <v>18.239999999999998</v>
      </c>
      <c r="N11" s="16">
        <v>1.2869999999999999</v>
      </c>
      <c r="O11" s="16">
        <v>1.4E-2</v>
      </c>
      <c r="P11" s="16">
        <v>0</v>
      </c>
      <c r="Q11" s="16"/>
      <c r="R11" s="16"/>
      <c r="S11" s="16">
        <f t="shared" si="0"/>
        <v>101.57041509943309</v>
      </c>
      <c r="T11" s="16"/>
      <c r="U11" s="15"/>
      <c r="V11" s="15"/>
      <c r="W11" s="15"/>
      <c r="X11" s="15" t="s">
        <v>185</v>
      </c>
      <c r="Y11" s="15"/>
      <c r="Z11" s="37">
        <v>8</v>
      </c>
      <c r="AA11" s="37">
        <v>5</v>
      </c>
      <c r="AB11" s="15"/>
      <c r="AC11" s="38">
        <f t="shared" si="1"/>
        <v>2.1038607317381368</v>
      </c>
      <c r="AD11" s="38">
        <f t="shared" si="2"/>
        <v>0</v>
      </c>
      <c r="AE11" s="38">
        <f t="shared" si="3"/>
        <v>1.8856524562143955</v>
      </c>
      <c r="AF11" s="38">
        <f t="shared" si="4"/>
        <v>0</v>
      </c>
      <c r="AG11" s="38">
        <f t="shared" si="5"/>
        <v>1.8971734005030112E-2</v>
      </c>
      <c r="AH11" s="38">
        <f t="shared" si="6"/>
        <v>0</v>
      </c>
      <c r="AI11" s="38">
        <f t="shared" si="7"/>
        <v>0</v>
      </c>
      <c r="AJ11" s="38">
        <f t="shared" si="8"/>
        <v>0.88774648148708835</v>
      </c>
      <c r="AK11" s="38">
        <f t="shared" si="9"/>
        <v>0.11335197756115326</v>
      </c>
      <c r="AL11" s="38">
        <f t="shared" si="10"/>
        <v>8.1129585887755476E-4</v>
      </c>
      <c r="AM11" s="38">
        <f t="shared" si="11"/>
        <v>0</v>
      </c>
      <c r="AN11" s="38">
        <f t="shared" si="12"/>
        <v>0</v>
      </c>
      <c r="AO11" s="38">
        <f t="shared" si="13"/>
        <v>0</v>
      </c>
      <c r="AP11" s="38">
        <f t="shared" si="14"/>
        <v>5.0103946768646814</v>
      </c>
      <c r="AQ11" s="38">
        <f t="shared" si="15"/>
        <v>3.9895131879525323</v>
      </c>
      <c r="AR11" s="38">
        <f t="shared" si="16"/>
        <v>1.0019097549071192</v>
      </c>
      <c r="AS11" s="40"/>
      <c r="AT11" s="38">
        <f t="shared" si="17"/>
        <v>2.0994960152067845</v>
      </c>
      <c r="AU11" s="38">
        <f t="shared" si="18"/>
        <v>0</v>
      </c>
      <c r="AV11" s="38">
        <f t="shared" si="19"/>
        <v>1.8817404394521338</v>
      </c>
      <c r="AW11" s="38">
        <f t="shared" si="20"/>
        <v>0</v>
      </c>
      <c r="AX11" s="38">
        <f t="shared" si="21"/>
        <v>0</v>
      </c>
      <c r="AY11" s="38">
        <f t="shared" si="22"/>
        <v>1.8932374821320382E-2</v>
      </c>
      <c r="AZ11" s="38">
        <f t="shared" si="23"/>
        <v>0</v>
      </c>
      <c r="BA11" s="38">
        <f t="shared" si="24"/>
        <v>0</v>
      </c>
      <c r="BB11" s="38">
        <f t="shared" si="25"/>
        <v>0.88590474278027043</v>
      </c>
      <c r="BC11" s="38">
        <f t="shared" si="26"/>
        <v>0.11311681501314855</v>
      </c>
      <c r="BD11" s="38">
        <f t="shared" si="27"/>
        <v>8.0961272634238221E-4</v>
      </c>
      <c r="BE11" s="38">
        <f t="shared" si="28"/>
        <v>0</v>
      </c>
      <c r="BF11" s="38">
        <f t="shared" si="29"/>
        <v>0</v>
      </c>
      <c r="BG11" s="38">
        <f t="shared" si="30"/>
        <v>0</v>
      </c>
      <c r="BH11" s="41">
        <f t="shared" si="31"/>
        <v>4.9999999999999991</v>
      </c>
      <c r="BI11" s="42">
        <f t="shared" si="32"/>
        <v>7.992869208473766</v>
      </c>
      <c r="BJ11" s="38">
        <f t="shared" si="33"/>
        <v>3.9812364546589185</v>
      </c>
      <c r="BK11" s="38">
        <f t="shared" si="34"/>
        <v>0.99983117051976134</v>
      </c>
      <c r="BL11" s="16"/>
      <c r="BM11" s="16">
        <f t="shared" si="35"/>
        <v>0.88605433487309027</v>
      </c>
      <c r="BN11" s="16">
        <f t="shared" si="36"/>
        <v>0.11313591569099096</v>
      </c>
      <c r="BO11" s="16">
        <f t="shared" si="37"/>
        <v>8.0974943591877191E-4</v>
      </c>
      <c r="BP11" s="15"/>
      <c r="BQ11" s="38">
        <f t="shared" si="38"/>
        <v>0.77080559254327574</v>
      </c>
      <c r="BR11" s="38">
        <f t="shared" si="39"/>
        <v>0</v>
      </c>
      <c r="BS11" s="38">
        <f t="shared" si="40"/>
        <v>0.69085916045508045</v>
      </c>
      <c r="BT11" s="38">
        <f t="shared" si="41"/>
        <v>0</v>
      </c>
      <c r="BU11" s="38">
        <f t="shared" si="42"/>
        <v>6.9508016622560394E-3</v>
      </c>
      <c r="BV11" s="38">
        <f t="shared" si="43"/>
        <v>0</v>
      </c>
      <c r="BW11" s="38">
        <f t="shared" si="44"/>
        <v>0</v>
      </c>
      <c r="BX11" s="38">
        <f t="shared" si="45"/>
        <v>0.3252496433666191</v>
      </c>
      <c r="BY11" s="38">
        <f t="shared" si="46"/>
        <v>4.1529525653436594E-2</v>
      </c>
      <c r="BZ11" s="38">
        <f t="shared" si="47"/>
        <v>2.9723991507430998E-4</v>
      </c>
      <c r="CA11" s="38">
        <f t="shared" si="48"/>
        <v>0</v>
      </c>
      <c r="CB11" s="38">
        <f t="shared" si="49"/>
        <v>0</v>
      </c>
      <c r="CC11" s="38">
        <f t="shared" si="50"/>
        <v>0</v>
      </c>
      <c r="CD11" s="38">
        <f t="shared" si="51"/>
        <v>1.835691963595742</v>
      </c>
      <c r="CE11" s="38">
        <f t="shared" si="52"/>
        <v>2.9310137535823024</v>
      </c>
      <c r="CF11" s="38">
        <f t="shared" si="53"/>
        <v>2.723768529337586</v>
      </c>
      <c r="CG11" s="38">
        <f t="shared" si="54"/>
        <v>7.9834030210631051</v>
      </c>
      <c r="CH11" s="15"/>
      <c r="CI11" s="16"/>
      <c r="CJ11" s="13"/>
      <c r="CK11" s="104"/>
      <c r="CL11" s="13"/>
      <c r="CM11" s="13"/>
      <c r="CN11" s="13"/>
      <c r="CO11" s="16"/>
      <c r="CP11" s="16"/>
      <c r="CQ11" s="16"/>
      <c r="CR11" s="16"/>
      <c r="CS11" s="16"/>
      <c r="CT11" s="16"/>
      <c r="CU11" s="16"/>
      <c r="CV11" s="16"/>
      <c r="CW11" s="16"/>
      <c r="CX11" s="16"/>
      <c r="CY11" s="104"/>
      <c r="CZ11" s="104"/>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3"/>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row>
    <row r="12" spans="1:167" x14ac:dyDescent="0.25">
      <c r="A12" s="35" t="s">
        <v>82</v>
      </c>
      <c r="B12" s="15">
        <v>36</v>
      </c>
      <c r="C12" s="102" t="s">
        <v>95</v>
      </c>
      <c r="D12" s="102" t="s">
        <v>103</v>
      </c>
      <c r="E12" s="15">
        <v>67</v>
      </c>
      <c r="F12" s="16">
        <v>51.68</v>
      </c>
      <c r="G12" s="16"/>
      <c r="H12" s="16">
        <v>30.88</v>
      </c>
      <c r="I12" s="16"/>
      <c r="J12" s="16">
        <v>0.99973004589219838</v>
      </c>
      <c r="K12" s="16"/>
      <c r="L12" s="16"/>
      <c r="M12" s="16">
        <v>13.53</v>
      </c>
      <c r="N12" s="16">
        <v>3.92</v>
      </c>
      <c r="O12" s="16">
        <v>5.5E-2</v>
      </c>
      <c r="P12" s="16">
        <v>0</v>
      </c>
      <c r="Q12" s="16"/>
      <c r="R12" s="16"/>
      <c r="S12" s="16">
        <f t="shared" si="0"/>
        <v>101.0647300458922</v>
      </c>
      <c r="T12" s="16"/>
      <c r="U12" s="15"/>
      <c r="V12" s="15"/>
      <c r="W12" s="15"/>
      <c r="X12" s="15" t="s">
        <v>186</v>
      </c>
      <c r="Y12" s="15"/>
      <c r="Z12" s="37">
        <v>8</v>
      </c>
      <c r="AA12" s="37">
        <v>5</v>
      </c>
      <c r="AB12" s="15"/>
      <c r="AC12" s="38">
        <f t="shared" si="1"/>
        <v>2.334314366801614</v>
      </c>
      <c r="AD12" s="38">
        <f t="shared" si="2"/>
        <v>0</v>
      </c>
      <c r="AE12" s="38">
        <f t="shared" si="3"/>
        <v>1.6437820077190539</v>
      </c>
      <c r="AF12" s="38">
        <f t="shared" si="4"/>
        <v>0</v>
      </c>
      <c r="AG12" s="38">
        <f t="shared" si="5"/>
        <v>3.7759195628062771E-2</v>
      </c>
      <c r="AH12" s="38">
        <f t="shared" si="6"/>
        <v>0</v>
      </c>
      <c r="AI12" s="38">
        <f t="shared" si="7"/>
        <v>0</v>
      </c>
      <c r="AJ12" s="38">
        <f t="shared" si="8"/>
        <v>0.65472142600636318</v>
      </c>
      <c r="AK12" s="38">
        <f t="shared" si="9"/>
        <v>0.34326636629585933</v>
      </c>
      <c r="AL12" s="38">
        <f t="shared" si="10"/>
        <v>3.168900071672177E-3</v>
      </c>
      <c r="AM12" s="38">
        <f t="shared" si="11"/>
        <v>0</v>
      </c>
      <c r="AN12" s="38">
        <f t="shared" si="12"/>
        <v>0</v>
      </c>
      <c r="AO12" s="38">
        <f t="shared" si="13"/>
        <v>0</v>
      </c>
      <c r="AP12" s="38">
        <f t="shared" si="14"/>
        <v>5.0170122625226243</v>
      </c>
      <c r="AQ12" s="38">
        <f t="shared" si="15"/>
        <v>3.9780963745206677</v>
      </c>
      <c r="AR12" s="38">
        <f t="shared" si="16"/>
        <v>1.0011566923738946</v>
      </c>
      <c r="AS12" s="40"/>
      <c r="AT12" s="38">
        <f t="shared" si="17"/>
        <v>2.3263989050207017</v>
      </c>
      <c r="AU12" s="38">
        <f t="shared" si="18"/>
        <v>0</v>
      </c>
      <c r="AV12" s="38">
        <f t="shared" si="19"/>
        <v>1.638208082525731</v>
      </c>
      <c r="AW12" s="38">
        <f t="shared" si="20"/>
        <v>0</v>
      </c>
      <c r="AX12" s="38">
        <f t="shared" si="21"/>
        <v>0</v>
      </c>
      <c r="AY12" s="38">
        <f t="shared" si="22"/>
        <v>3.76311574023111E-2</v>
      </c>
      <c r="AZ12" s="38">
        <f t="shared" si="23"/>
        <v>0</v>
      </c>
      <c r="BA12" s="38">
        <f t="shared" si="24"/>
        <v>0</v>
      </c>
      <c r="BB12" s="38">
        <f t="shared" si="25"/>
        <v>0.6525013212516646</v>
      </c>
      <c r="BC12" s="38">
        <f t="shared" si="26"/>
        <v>0.34210237919894987</v>
      </c>
      <c r="BD12" s="38">
        <f t="shared" si="27"/>
        <v>3.1581546006415467E-3</v>
      </c>
      <c r="BE12" s="38">
        <f t="shared" si="28"/>
        <v>0</v>
      </c>
      <c r="BF12" s="38">
        <f t="shared" si="29"/>
        <v>0</v>
      </c>
      <c r="BG12" s="38">
        <f t="shared" si="30"/>
        <v>0</v>
      </c>
      <c r="BH12" s="41">
        <f t="shared" si="31"/>
        <v>5</v>
      </c>
      <c r="BI12" s="42">
        <f t="shared" si="32"/>
        <v>7.9916882580849267</v>
      </c>
      <c r="BJ12" s="38">
        <f t="shared" si="33"/>
        <v>3.9646069875464329</v>
      </c>
      <c r="BK12" s="38">
        <f t="shared" si="34"/>
        <v>0.99776185505125603</v>
      </c>
      <c r="BL12" s="16"/>
      <c r="BM12" s="16">
        <f t="shared" si="35"/>
        <v>0.65396498968999472</v>
      </c>
      <c r="BN12" s="16">
        <f t="shared" si="36"/>
        <v>0.34286977144598879</v>
      </c>
      <c r="BO12" s="16">
        <f t="shared" si="37"/>
        <v>3.1652388640166142E-3</v>
      </c>
      <c r="BP12" s="15"/>
      <c r="BQ12" s="38">
        <f t="shared" si="38"/>
        <v>0.86018641810918772</v>
      </c>
      <c r="BR12" s="38">
        <f t="shared" si="39"/>
        <v>0</v>
      </c>
      <c r="BS12" s="38">
        <f t="shared" si="40"/>
        <v>0.6057277363672029</v>
      </c>
      <c r="BT12" s="38">
        <f t="shared" si="41"/>
        <v>0</v>
      </c>
      <c r="BU12" s="38">
        <f t="shared" si="42"/>
        <v>1.3914127291471099E-2</v>
      </c>
      <c r="BV12" s="38">
        <f t="shared" si="43"/>
        <v>0</v>
      </c>
      <c r="BW12" s="38">
        <f t="shared" si="44"/>
        <v>0</v>
      </c>
      <c r="BX12" s="38">
        <f t="shared" si="45"/>
        <v>0.24126248216833096</v>
      </c>
      <c r="BY12" s="38">
        <f t="shared" si="46"/>
        <v>0.12649241690868021</v>
      </c>
      <c r="BZ12" s="38">
        <f t="shared" si="47"/>
        <v>1.167728237791932E-3</v>
      </c>
      <c r="CA12" s="38">
        <f t="shared" si="48"/>
        <v>0</v>
      </c>
      <c r="CB12" s="38">
        <f t="shared" si="49"/>
        <v>0</v>
      </c>
      <c r="CC12" s="38">
        <f t="shared" si="50"/>
        <v>0</v>
      </c>
      <c r="CD12" s="38">
        <f t="shared" si="51"/>
        <v>1.8487509090826648</v>
      </c>
      <c r="CE12" s="38">
        <f t="shared" si="52"/>
        <v>2.9479711228022176</v>
      </c>
      <c r="CF12" s="38">
        <f t="shared" si="53"/>
        <v>2.704528758003943</v>
      </c>
      <c r="CG12" s="38">
        <f t="shared" si="54"/>
        <v>7.9728726793837712</v>
      </c>
      <c r="CH12" s="15"/>
      <c r="CI12" s="16"/>
      <c r="CJ12" s="13"/>
      <c r="CK12" s="104"/>
      <c r="CL12" s="13"/>
      <c r="CM12" s="13"/>
      <c r="CN12" s="13"/>
      <c r="CO12" s="16"/>
      <c r="CP12" s="16"/>
      <c r="CQ12" s="16"/>
      <c r="CR12" s="16"/>
      <c r="CS12" s="16"/>
      <c r="CT12" s="16"/>
      <c r="CU12" s="16"/>
      <c r="CV12" s="16"/>
      <c r="CW12" s="16"/>
      <c r="CX12" s="16"/>
      <c r="CY12" s="104"/>
      <c r="CZ12" s="104"/>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3"/>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row>
    <row r="13" spans="1:167" x14ac:dyDescent="0.25">
      <c r="A13" s="35" t="s">
        <v>82</v>
      </c>
      <c r="B13" s="15">
        <v>37</v>
      </c>
      <c r="C13" s="102" t="s">
        <v>95</v>
      </c>
      <c r="D13" s="102" t="s">
        <v>103</v>
      </c>
      <c r="E13" s="15">
        <v>68</v>
      </c>
      <c r="F13" s="16">
        <v>46.09</v>
      </c>
      <c r="G13" s="16"/>
      <c r="H13" s="16">
        <v>35.5</v>
      </c>
      <c r="I13" s="16"/>
      <c r="J13" s="16">
        <v>0.47601907675695138</v>
      </c>
      <c r="K13" s="16"/>
      <c r="L13" s="16"/>
      <c r="M13" s="16">
        <v>18.14</v>
      </c>
      <c r="N13" s="16">
        <v>1.1679999999999999</v>
      </c>
      <c r="O13" s="16">
        <v>1.4999999999999999E-2</v>
      </c>
      <c r="P13" s="16">
        <v>0</v>
      </c>
      <c r="Q13" s="16"/>
      <c r="R13" s="16"/>
      <c r="S13" s="16">
        <f t="shared" si="0"/>
        <v>101.38901907675697</v>
      </c>
      <c r="T13" s="16"/>
      <c r="U13" s="15"/>
      <c r="V13" s="15"/>
      <c r="W13" s="15"/>
      <c r="X13" s="15" t="s">
        <v>185</v>
      </c>
      <c r="Y13" s="15"/>
      <c r="Z13" s="37">
        <v>8</v>
      </c>
      <c r="AA13" s="37">
        <v>5</v>
      </c>
      <c r="AB13" s="15"/>
      <c r="AC13" s="38">
        <f t="shared" si="1"/>
        <v>2.0960853609926717</v>
      </c>
      <c r="AD13" s="38">
        <f t="shared" si="2"/>
        <v>0</v>
      </c>
      <c r="AE13" s="38">
        <f t="shared" si="3"/>
        <v>1.9026578737115352</v>
      </c>
      <c r="AF13" s="38">
        <f t="shared" si="4"/>
        <v>0</v>
      </c>
      <c r="AG13" s="38">
        <f t="shared" si="5"/>
        <v>1.8102133606580768E-2</v>
      </c>
      <c r="AH13" s="38">
        <f t="shared" si="6"/>
        <v>0</v>
      </c>
      <c r="AI13" s="38">
        <f t="shared" si="7"/>
        <v>0</v>
      </c>
      <c r="AJ13" s="38">
        <f t="shared" si="8"/>
        <v>0.88381518404739057</v>
      </c>
      <c r="AK13" s="38">
        <f t="shared" si="9"/>
        <v>0.102980132740065</v>
      </c>
      <c r="AL13" s="38">
        <f t="shared" si="10"/>
        <v>8.7016684670148065E-4</v>
      </c>
      <c r="AM13" s="38">
        <f t="shared" si="11"/>
        <v>0</v>
      </c>
      <c r="AN13" s="38">
        <f t="shared" si="12"/>
        <v>0</v>
      </c>
      <c r="AO13" s="38">
        <f t="shared" si="13"/>
        <v>0</v>
      </c>
      <c r="AP13" s="38">
        <f t="shared" si="14"/>
        <v>5.0045108519449455</v>
      </c>
      <c r="AQ13" s="38">
        <f t="shared" si="15"/>
        <v>3.9987432347042069</v>
      </c>
      <c r="AR13" s="38">
        <f t="shared" si="16"/>
        <v>0.98766548363415707</v>
      </c>
      <c r="AS13" s="40"/>
      <c r="AT13" s="38">
        <f t="shared" si="17"/>
        <v>2.0941960393372434</v>
      </c>
      <c r="AU13" s="38">
        <f t="shared" si="18"/>
        <v>0</v>
      </c>
      <c r="AV13" s="38">
        <f t="shared" si="19"/>
        <v>1.9009428993166126</v>
      </c>
      <c r="AW13" s="38">
        <f t="shared" si="20"/>
        <v>0</v>
      </c>
      <c r="AX13" s="38">
        <f t="shared" si="21"/>
        <v>3.6641017386648995E-3</v>
      </c>
      <c r="AY13" s="38">
        <f t="shared" si="22"/>
        <v>1.442171537925141E-2</v>
      </c>
      <c r="AZ13" s="38">
        <f t="shared" si="23"/>
        <v>0</v>
      </c>
      <c r="BA13" s="38">
        <f t="shared" si="24"/>
        <v>0</v>
      </c>
      <c r="BB13" s="38">
        <f t="shared" si="25"/>
        <v>0.8830185508578785</v>
      </c>
      <c r="BC13" s="38">
        <f t="shared" si="26"/>
        <v>0.10288731085480907</v>
      </c>
      <c r="BD13" s="38">
        <f t="shared" si="27"/>
        <v>8.6938251553925628E-4</v>
      </c>
      <c r="BE13" s="38">
        <f t="shared" si="28"/>
        <v>0</v>
      </c>
      <c r="BF13" s="38">
        <f t="shared" si="29"/>
        <v>0</v>
      </c>
      <c r="BG13" s="38">
        <f t="shared" si="30"/>
        <v>0</v>
      </c>
      <c r="BH13" s="41">
        <f t="shared" si="31"/>
        <v>4.9999999999999982</v>
      </c>
      <c r="BI13" s="42">
        <f t="shared" si="32"/>
        <v>8</v>
      </c>
      <c r="BJ13" s="38">
        <f t="shared" si="33"/>
        <v>3.9951389386538558</v>
      </c>
      <c r="BK13" s="38">
        <f t="shared" si="34"/>
        <v>0.98677524422822682</v>
      </c>
      <c r="BL13" s="16"/>
      <c r="BM13" s="16">
        <f t="shared" si="35"/>
        <v>0.89485276006138748</v>
      </c>
      <c r="BN13" s="16">
        <f t="shared" si="36"/>
        <v>0.10426620596393146</v>
      </c>
      <c r="BO13" s="16">
        <f t="shared" si="37"/>
        <v>8.8103397468104771E-4</v>
      </c>
      <c r="BP13" s="15"/>
      <c r="BQ13" s="38">
        <f t="shared" si="38"/>
        <v>0.7671438082556592</v>
      </c>
      <c r="BR13" s="38">
        <f t="shared" si="39"/>
        <v>0</v>
      </c>
      <c r="BS13" s="38">
        <f t="shared" si="40"/>
        <v>0.69635151039623389</v>
      </c>
      <c r="BT13" s="38">
        <f t="shared" si="41"/>
        <v>0</v>
      </c>
      <c r="BU13" s="38">
        <f t="shared" si="42"/>
        <v>6.6251785213215231E-3</v>
      </c>
      <c r="BV13" s="38">
        <f t="shared" si="43"/>
        <v>0</v>
      </c>
      <c r="BW13" s="38">
        <f t="shared" si="44"/>
        <v>0</v>
      </c>
      <c r="BX13" s="38">
        <f t="shared" si="45"/>
        <v>0.32346647646219689</v>
      </c>
      <c r="BY13" s="38">
        <f t="shared" si="46"/>
        <v>3.7689577282994512E-2</v>
      </c>
      <c r="BZ13" s="38">
        <f t="shared" si="47"/>
        <v>3.1847133757961782E-4</v>
      </c>
      <c r="CA13" s="38">
        <f t="shared" si="48"/>
        <v>0</v>
      </c>
      <c r="CB13" s="38">
        <f t="shared" si="49"/>
        <v>0</v>
      </c>
      <c r="CC13" s="38">
        <f t="shared" si="50"/>
        <v>0</v>
      </c>
      <c r="CD13" s="38">
        <f t="shared" si="51"/>
        <v>1.8315950222559858</v>
      </c>
      <c r="CE13" s="38">
        <f t="shared" si="52"/>
        <v>2.9279105613994747</v>
      </c>
      <c r="CF13" s="38">
        <f t="shared" si="53"/>
        <v>2.7298610987932648</v>
      </c>
      <c r="CG13" s="38">
        <f t="shared" si="54"/>
        <v>7.9927891423103743</v>
      </c>
      <c r="CH13" s="15"/>
      <c r="CI13" s="16">
        <v>1.3473992789966449</v>
      </c>
      <c r="CJ13" s="13">
        <v>8900.5588903508724</v>
      </c>
      <c r="CK13" s="104">
        <v>462.10678996040008</v>
      </c>
      <c r="CL13" s="13">
        <v>170651.62020520496</v>
      </c>
      <c r="CM13" s="13">
        <v>226821.34055910594</v>
      </c>
      <c r="CN13" s="13">
        <v>112266.85840191587</v>
      </c>
      <c r="CO13" s="16">
        <v>0.50623214178552411</v>
      </c>
      <c r="CP13" s="16">
        <v>64.084612614773064</v>
      </c>
      <c r="CQ13" s="16">
        <v>1.7061315275114672</v>
      </c>
      <c r="CR13" s="16">
        <v>0</v>
      </c>
      <c r="CS13" s="16">
        <v>34.584743747644595</v>
      </c>
      <c r="CT13" s="16">
        <v>0</v>
      </c>
      <c r="CU13" s="16">
        <v>0</v>
      </c>
      <c r="CV13" s="16">
        <v>0</v>
      </c>
      <c r="CW13" s="16">
        <v>2.017653446070343</v>
      </c>
      <c r="CX13" s="16">
        <v>0</v>
      </c>
      <c r="CY13" s="104">
        <v>322.3877176899839</v>
      </c>
      <c r="CZ13" s="104">
        <v>311.35831859073039</v>
      </c>
      <c r="DA13" s="16">
        <v>0</v>
      </c>
      <c r="DB13" s="16">
        <v>0</v>
      </c>
      <c r="DC13" s="16">
        <v>9.7515146928615751E-2</v>
      </c>
      <c r="DD13" s="16">
        <v>0</v>
      </c>
      <c r="DE13" s="16">
        <v>9.6602739536027951</v>
      </c>
      <c r="DF13" s="16">
        <v>0.21300687363340279</v>
      </c>
      <c r="DG13" s="16">
        <v>0.38733666729252753</v>
      </c>
      <c r="DH13" s="16">
        <v>6.5692269630016828E-2</v>
      </c>
      <c r="DI13" s="16">
        <v>0.19797336520980999</v>
      </c>
      <c r="DJ13" s="16">
        <v>0</v>
      </c>
      <c r="DK13" s="16">
        <v>7.6423381441758254E-2</v>
      </c>
      <c r="DL13" s="16">
        <v>0</v>
      </c>
      <c r="DM13" s="16">
        <v>2.4770263334178883E-2</v>
      </c>
      <c r="DN13" s="16">
        <v>5.3554138381592821E-2</v>
      </c>
      <c r="DO13" s="16">
        <v>0</v>
      </c>
      <c r="DP13" s="16">
        <v>4.5341584328318793E-2</v>
      </c>
      <c r="DQ13" s="16">
        <v>0</v>
      </c>
      <c r="DR13" s="16">
        <v>0</v>
      </c>
      <c r="DS13" s="16">
        <v>0</v>
      </c>
      <c r="DT13" s="16">
        <v>3.5720047328328376E-2</v>
      </c>
      <c r="DU13" s="16">
        <v>0</v>
      </c>
      <c r="DV13" s="16">
        <v>0.19029456529460329</v>
      </c>
      <c r="DW13" s="16">
        <v>0</v>
      </c>
      <c r="DX13" s="16">
        <v>0</v>
      </c>
      <c r="DY13" s="16" t="e">
        <f t="shared" ref="DY13:DY14" si="55">(DK13/0.05883)/SQRT((DJ13/0.1536)*(DL13/0.2069))</f>
        <v>#DIV/0!</v>
      </c>
      <c r="DZ13" s="16"/>
      <c r="EA13" s="13">
        <f>1128+200*((BM13-0.4)/0.4) -273</f>
        <v>1102.4263800306937</v>
      </c>
      <c r="EB13" s="16"/>
      <c r="EC13" s="16">
        <f>(-18.482 -16.353 * BM13)/(0.008314 * (EA13+273))</f>
        <v>-2.8959049509962669</v>
      </c>
      <c r="ED13" s="16"/>
      <c r="EE13" s="16"/>
      <c r="EF13" s="16"/>
      <c r="EG13" s="16"/>
      <c r="EH13" s="16"/>
      <c r="EI13" s="16"/>
      <c r="EJ13" s="16"/>
      <c r="EK13" s="16"/>
      <c r="EL13" s="16">
        <f>(23.856 -20.71 * BM13)/(0.008314 * (EA13+273))</f>
        <v>0.46554106166107251</v>
      </c>
      <c r="EM13" s="16"/>
      <c r="EN13" s="16">
        <f>(-4.5269  -51.811 * BM13)/(0.008314 * (EA13+273)) +N("eqn50a")</f>
        <v>-4.4502670627781233</v>
      </c>
      <c r="EO13" s="16"/>
      <c r="EP13" s="16"/>
      <c r="EQ13" s="16"/>
      <c r="ER13" s="16">
        <f>(10.146 -35.204 * BM13)/(0.008314 * (EA13+273))</f>
        <v>-1.8675859877625363</v>
      </c>
      <c r="ES13" s="16">
        <f>(2.1146 -37.009 * BM13)/(0.008314 * (EA13+273))</f>
        <v>-2.7111680113466594</v>
      </c>
      <c r="ET13" s="16">
        <f>(-3.6812 -33.822 * BM13)/(0.008314 * (EA13+273))</f>
        <v>-2.9686081799963682</v>
      </c>
      <c r="EU13" s="16">
        <f>(-6.8025 -26.094 * BM13)/(0.008314 * (EA13+273))</f>
        <v>-2.6368176879179894</v>
      </c>
      <c r="EV13" s="16">
        <f>(-5.6996 -30.85 * BM13)/(0.008314 * (EA13+273))</f>
        <v>-2.9125447022122719</v>
      </c>
      <c r="EW13" s="16">
        <f>(-8.6767 -33.32 * BM13)/(0.008314 * (EA13+273))</f>
        <v>-3.3661741321500367</v>
      </c>
      <c r="EX13" s="16"/>
      <c r="EY13" s="16">
        <f>(-1.9714 -59.897 * BM13)/(0.008314 * (EA13+273))</f>
        <v>-4.8595507278812811</v>
      </c>
      <c r="EZ13" s="16">
        <f>(-4.3691 -44.528 * BM13)/(0.008314 * (EA13+273))</f>
        <v>-3.8665468617568308</v>
      </c>
      <c r="FA13" s="16">
        <f>(-2.2521 -58.215 * BM13)/(0.008314 * (EA13+273))</f>
        <v>-4.7524750161828511</v>
      </c>
      <c r="FB13" s="16"/>
      <c r="FC13" s="16">
        <f>(-8.5 - 57.253 * BM13)/(0.008314 * (EA13+273))</f>
        <v>-5.2235648901934386</v>
      </c>
      <c r="FD13" s="16"/>
      <c r="FE13" s="16">
        <f>(-9.2954 -52.923 * BM13)/(0.008314 * (EA13+273))</f>
        <v>-4.9542834705496439</v>
      </c>
      <c r="FF13" s="16">
        <f>(0.61501 -70.378 * BM13)/(0.008314 * (EA13+273))</f>
        <v>-5.4535486810254357</v>
      </c>
      <c r="FG13" s="16"/>
      <c r="FH13" s="16"/>
      <c r="FI13" s="16"/>
      <c r="FJ13" s="16"/>
      <c r="FK13" s="16"/>
    </row>
    <row r="14" spans="1:167" x14ac:dyDescent="0.25">
      <c r="A14" s="35" t="s">
        <v>82</v>
      </c>
      <c r="B14" s="15">
        <v>38</v>
      </c>
      <c r="C14" s="102" t="s">
        <v>95</v>
      </c>
      <c r="D14" s="102" t="s">
        <v>103</v>
      </c>
      <c r="E14" s="15">
        <v>69</v>
      </c>
      <c r="F14" s="16">
        <v>45.85</v>
      </c>
      <c r="G14" s="16"/>
      <c r="H14" s="16">
        <v>35.380000000000003</v>
      </c>
      <c r="I14" s="16"/>
      <c r="J14" s="16">
        <v>0.46882030054890672</v>
      </c>
      <c r="K14" s="16"/>
      <c r="L14" s="16"/>
      <c r="M14" s="16">
        <v>18.37</v>
      </c>
      <c r="N14" s="16">
        <v>1.1719999999999999</v>
      </c>
      <c r="O14" s="16">
        <v>2.8000000000000001E-2</v>
      </c>
      <c r="P14" s="16">
        <v>0</v>
      </c>
      <c r="Q14" s="16"/>
      <c r="R14" s="16"/>
      <c r="S14" s="16">
        <f t="shared" si="0"/>
        <v>101.26882030054892</v>
      </c>
      <c r="T14" s="16"/>
      <c r="U14" s="15"/>
      <c r="V14" s="15"/>
      <c r="W14" s="15"/>
      <c r="X14" s="15" t="s">
        <v>185</v>
      </c>
      <c r="Y14" s="15"/>
      <c r="Z14" s="37">
        <v>8</v>
      </c>
      <c r="AA14" s="37">
        <v>5</v>
      </c>
      <c r="AB14" s="15"/>
      <c r="AC14" s="38">
        <f t="shared" si="1"/>
        <v>2.0903942724271976</v>
      </c>
      <c r="AD14" s="38">
        <f t="shared" si="2"/>
        <v>0</v>
      </c>
      <c r="AE14" s="38">
        <f t="shared" si="3"/>
        <v>1.9009766754628403</v>
      </c>
      <c r="AF14" s="38">
        <f t="shared" si="4"/>
        <v>0</v>
      </c>
      <c r="AG14" s="38">
        <f t="shared" si="5"/>
        <v>1.7873039997021275E-2</v>
      </c>
      <c r="AH14" s="38">
        <f t="shared" si="6"/>
        <v>0</v>
      </c>
      <c r="AI14" s="38">
        <f t="shared" si="7"/>
        <v>0</v>
      </c>
      <c r="AJ14" s="38">
        <f t="shared" si="8"/>
        <v>0.89726337763780994</v>
      </c>
      <c r="AK14" s="38">
        <f t="shared" si="9"/>
        <v>0.10359166805070148</v>
      </c>
      <c r="AL14" s="38">
        <f t="shared" si="10"/>
        <v>1.6283805823234766E-3</v>
      </c>
      <c r="AM14" s="38">
        <f t="shared" si="11"/>
        <v>0</v>
      </c>
      <c r="AN14" s="38">
        <f t="shared" si="12"/>
        <v>0</v>
      </c>
      <c r="AO14" s="38">
        <f t="shared" si="13"/>
        <v>0</v>
      </c>
      <c r="AP14" s="38">
        <f t="shared" si="14"/>
        <v>5.0117274141578934</v>
      </c>
      <c r="AQ14" s="38">
        <f t="shared" si="15"/>
        <v>3.9913709478900379</v>
      </c>
      <c r="AR14" s="38">
        <f t="shared" si="16"/>
        <v>1.0024834262708349</v>
      </c>
      <c r="AS14" s="40"/>
      <c r="AT14" s="38">
        <f t="shared" si="17"/>
        <v>2.0855027615048773</v>
      </c>
      <c r="AU14" s="38">
        <f t="shared" si="18"/>
        <v>0</v>
      </c>
      <c r="AV14" s="38">
        <f t="shared" si="19"/>
        <v>1.8965284006594916</v>
      </c>
      <c r="AW14" s="38">
        <f t="shared" si="20"/>
        <v>0</v>
      </c>
      <c r="AX14" s="38">
        <f t="shared" si="21"/>
        <v>0</v>
      </c>
      <c r="AY14" s="38">
        <f t="shared" si="22"/>
        <v>1.7831217183251803E-2</v>
      </c>
      <c r="AZ14" s="38">
        <f t="shared" si="23"/>
        <v>0</v>
      </c>
      <c r="BA14" s="38">
        <f t="shared" si="24"/>
        <v>0</v>
      </c>
      <c r="BB14" s="38">
        <f t="shared" si="25"/>
        <v>0.89516378634548532</v>
      </c>
      <c r="BC14" s="38">
        <f t="shared" si="26"/>
        <v>0.10334926412603754</v>
      </c>
      <c r="BD14" s="38">
        <f t="shared" si="27"/>
        <v>1.6245701808555845E-3</v>
      </c>
      <c r="BE14" s="38">
        <f t="shared" si="28"/>
        <v>0</v>
      </c>
      <c r="BF14" s="38">
        <f t="shared" si="29"/>
        <v>0</v>
      </c>
      <c r="BG14" s="38">
        <f t="shared" si="30"/>
        <v>0</v>
      </c>
      <c r="BH14" s="41">
        <f t="shared" si="31"/>
        <v>5</v>
      </c>
      <c r="BI14" s="42">
        <f t="shared" si="32"/>
        <v>7.9901956532728011</v>
      </c>
      <c r="BJ14" s="38">
        <f t="shared" si="33"/>
        <v>3.9820311621643691</v>
      </c>
      <c r="BK14" s="38">
        <f t="shared" si="34"/>
        <v>1.0001376206523784</v>
      </c>
      <c r="BL14" s="16"/>
      <c r="BM14" s="16">
        <f t="shared" si="35"/>
        <v>0.89504061027279447</v>
      </c>
      <c r="BN14" s="16">
        <f t="shared" si="36"/>
        <v>0.10333504308999394</v>
      </c>
      <c r="BO14" s="16">
        <f t="shared" si="37"/>
        <v>1.6243466372116828E-3</v>
      </c>
      <c r="BP14" s="15"/>
      <c r="BQ14" s="38">
        <f t="shared" si="38"/>
        <v>0.76314913448735022</v>
      </c>
      <c r="BR14" s="38">
        <f t="shared" si="39"/>
        <v>0</v>
      </c>
      <c r="BS14" s="38">
        <f t="shared" si="40"/>
        <v>0.69399764613573955</v>
      </c>
      <c r="BT14" s="38">
        <f t="shared" si="41"/>
        <v>0</v>
      </c>
      <c r="BU14" s="38">
        <f t="shared" si="42"/>
        <v>6.5249867856493633E-3</v>
      </c>
      <c r="BV14" s="38">
        <f t="shared" si="43"/>
        <v>0</v>
      </c>
      <c r="BW14" s="38">
        <f t="shared" si="44"/>
        <v>0</v>
      </c>
      <c r="BX14" s="38">
        <f t="shared" si="45"/>
        <v>0.32756776034236806</v>
      </c>
      <c r="BY14" s="38">
        <f t="shared" si="46"/>
        <v>3.7818651177799291E-2</v>
      </c>
      <c r="BZ14" s="38">
        <f t="shared" si="47"/>
        <v>5.9447983014861996E-4</v>
      </c>
      <c r="CA14" s="38">
        <f t="shared" si="48"/>
        <v>0</v>
      </c>
      <c r="CB14" s="38">
        <f t="shared" si="49"/>
        <v>0</v>
      </c>
      <c r="CC14" s="38">
        <f t="shared" si="50"/>
        <v>0</v>
      </c>
      <c r="CD14" s="38">
        <f t="shared" si="51"/>
        <v>1.8296526587590554</v>
      </c>
      <c r="CE14" s="38">
        <f t="shared" si="52"/>
        <v>2.9205940508103012</v>
      </c>
      <c r="CF14" s="38">
        <f t="shared" si="53"/>
        <v>2.7327591256535011</v>
      </c>
      <c r="CG14" s="38">
        <f t="shared" si="54"/>
        <v>7.981280044681176</v>
      </c>
      <c r="CH14" s="15"/>
      <c r="CI14" s="16">
        <v>3.4641942459102624</v>
      </c>
      <c r="CJ14" s="13">
        <v>11312.726724504055</v>
      </c>
      <c r="CK14" s="104">
        <v>563.93092230125728</v>
      </c>
      <c r="CL14" s="13">
        <v>176250.93419275997</v>
      </c>
      <c r="CM14" s="13">
        <v>232909.0867381508</v>
      </c>
      <c r="CN14" s="13">
        <v>114180.16127054581</v>
      </c>
      <c r="CO14" s="16">
        <v>0.76976336994231209</v>
      </c>
      <c r="CP14" s="16">
        <v>89.603355912698234</v>
      </c>
      <c r="CQ14" s="16">
        <v>1.5953709317980558</v>
      </c>
      <c r="CR14" s="16">
        <v>0</v>
      </c>
      <c r="CS14" s="16">
        <v>35.961733295347663</v>
      </c>
      <c r="CT14" s="16">
        <v>0.40318565356349945</v>
      </c>
      <c r="CU14" s="16">
        <v>31.598451656134277</v>
      </c>
      <c r="CV14" s="16">
        <v>2.4856320777825194</v>
      </c>
      <c r="CW14" s="16">
        <v>1.9368417308354544</v>
      </c>
      <c r="CX14" s="16">
        <v>0</v>
      </c>
      <c r="CY14" s="104">
        <v>308.12442819522886</v>
      </c>
      <c r="CZ14" s="104">
        <v>319.90610004240904</v>
      </c>
      <c r="DA14" s="16">
        <v>0</v>
      </c>
      <c r="DB14" s="16">
        <v>0</v>
      </c>
      <c r="DC14" s="16">
        <v>0</v>
      </c>
      <c r="DD14" s="16">
        <v>0</v>
      </c>
      <c r="DE14" s="16">
        <v>9.5165890182788644</v>
      </c>
      <c r="DF14" s="16">
        <v>0.29272880083216207</v>
      </c>
      <c r="DG14" s="16">
        <v>0.42421820737536203</v>
      </c>
      <c r="DH14" s="16">
        <v>6.797888224491333E-2</v>
      </c>
      <c r="DI14" s="16">
        <v>0.34924460064042995</v>
      </c>
      <c r="DJ14" s="16">
        <v>5.3930856260205925E-2</v>
      </c>
      <c r="DK14" s="16">
        <v>7.9595197690129335E-2</v>
      </c>
      <c r="DL14" s="16">
        <v>0</v>
      </c>
      <c r="DM14" s="16">
        <v>0</v>
      </c>
      <c r="DN14" s="16">
        <v>0</v>
      </c>
      <c r="DO14" s="16">
        <v>0</v>
      </c>
      <c r="DP14" s="16">
        <v>0</v>
      </c>
      <c r="DQ14" s="16">
        <v>3.5899310659654522E-2</v>
      </c>
      <c r="DR14" s="16">
        <v>0</v>
      </c>
      <c r="DS14" s="16">
        <v>0</v>
      </c>
      <c r="DT14" s="16">
        <v>0</v>
      </c>
      <c r="DU14" s="16">
        <v>0</v>
      </c>
      <c r="DV14" s="16">
        <v>0.15705061122571384</v>
      </c>
      <c r="DW14" s="16">
        <v>0</v>
      </c>
      <c r="DX14" s="16">
        <v>0</v>
      </c>
      <c r="DY14" s="16" t="e">
        <f t="shared" si="55"/>
        <v>#DIV/0!</v>
      </c>
      <c r="DZ14" s="16"/>
      <c r="EA14" s="13">
        <f>1128+200*((BM14-0.4)/0.4) -273</f>
        <v>1102.5203051363972</v>
      </c>
      <c r="EB14" s="16"/>
      <c r="EC14" s="16">
        <f>(-18.482 -16.353 * BM14)/(0.008314 * (EA14+273))</f>
        <v>-2.8959758251022976</v>
      </c>
      <c r="ED14" s="16"/>
      <c r="EE14" s="16"/>
      <c r="EF14" s="16"/>
      <c r="EG14" s="16"/>
      <c r="EH14" s="16"/>
      <c r="EI14" s="16"/>
      <c r="EJ14" s="16"/>
      <c r="EK14" s="16"/>
      <c r="EL14" s="16">
        <f>(23.856 -20.71 * BM14)/(0.008314 * (EA14+273))</f>
        <v>0.46516908828002046</v>
      </c>
      <c r="EM14" s="16"/>
      <c r="EN14" s="16">
        <f>(-4.5269  -51.811 * BM14)/(0.008314 * (EA14+273)) +N("eqn50a")</f>
        <v>-4.4508142367862895</v>
      </c>
      <c r="EO14" s="16"/>
      <c r="EP14" s="16"/>
      <c r="EQ14" s="16"/>
      <c r="ER14" s="16">
        <f>(10.146 -35.204 * BM14)/(0.008314 * (EA14+273))</f>
        <v>-1.8680367274643415</v>
      </c>
      <c r="ES14" s="16">
        <f>(2.1146 -37.009 * BM14)/(0.008314 * (EA14+273))</f>
        <v>-2.7115907975836522</v>
      </c>
      <c r="ET14" s="16">
        <f>(-3.6812 -33.822 * BM14)/(0.008314 * (EA14+273))</f>
        <v>-2.9689610373568112</v>
      </c>
      <c r="EU14" s="16">
        <f>(-6.8025 -26.094 * BM14)/(0.008314 * (EA14+273))</f>
        <v>-2.6370662600785937</v>
      </c>
      <c r="EV14" s="16">
        <f>(-5.6996 -30.85 * BM14)/(0.008314 * (EA14+273))</f>
        <v>-2.912852569381958</v>
      </c>
      <c r="EW14" s="16">
        <f>(-8.6767 -33.32 * BM14)/(0.008314 * (EA14+273))</f>
        <v>-3.3664915964777284</v>
      </c>
      <c r="EX14" s="16"/>
      <c r="EY14" s="16">
        <f>(-1.9714 -59.897 * BM14)/(0.008314 * (EA14+273))</f>
        <v>-4.8602027761439528</v>
      </c>
      <c r="EZ14" s="16">
        <f>(-4.3691 -44.528 * BM14)/(0.008314 * (EA14+273))</f>
        <v>-3.867014262782253</v>
      </c>
      <c r="FA14" s="16">
        <f>(-2.2521 -58.215 * BM14)/(0.008314 * (EA14+273))</f>
        <v>-4.7531067472186734</v>
      </c>
      <c r="FB14" s="16"/>
      <c r="FC14" s="16">
        <f>(-8.5 - 57.253 * BM14)/(0.008314 * (EA14+273))</f>
        <v>-5.2241486517288784</v>
      </c>
      <c r="FD14" s="16"/>
      <c r="FE14" s="16">
        <f>(-9.2954 -52.923 * BM14)/(0.008314 * (EA14+273))</f>
        <v>-4.9548144944711616</v>
      </c>
      <c r="FF14" s="16">
        <f>(0.61501 -70.378 * BM14)/(0.008314 * (EA14+273))</f>
        <v>-5.4543323311636902</v>
      </c>
      <c r="FG14" s="16"/>
      <c r="FH14" s="16"/>
      <c r="FI14" s="16"/>
      <c r="FJ14" s="16"/>
      <c r="FK14" s="16"/>
    </row>
    <row r="15" spans="1:167" x14ac:dyDescent="0.25">
      <c r="A15" s="35" t="s">
        <v>82</v>
      </c>
      <c r="B15" s="15">
        <v>39</v>
      </c>
      <c r="C15" s="102" t="s">
        <v>95</v>
      </c>
      <c r="D15" s="102" t="s">
        <v>103</v>
      </c>
      <c r="E15" s="15">
        <v>70</v>
      </c>
      <c r="F15" s="16">
        <v>52.91</v>
      </c>
      <c r="G15" s="16"/>
      <c r="H15" s="16">
        <v>29.46</v>
      </c>
      <c r="I15" s="16"/>
      <c r="J15" s="16">
        <v>0.94034014217583006</v>
      </c>
      <c r="K15" s="16"/>
      <c r="L15" s="16"/>
      <c r="M15" s="16">
        <v>12.89</v>
      </c>
      <c r="N15" s="16">
        <v>4.26</v>
      </c>
      <c r="O15" s="16">
        <v>0.114</v>
      </c>
      <c r="P15" s="16">
        <v>0</v>
      </c>
      <c r="Q15" s="16"/>
      <c r="R15" s="16"/>
      <c r="S15" s="16">
        <f t="shared" si="0"/>
        <v>100.57434014217584</v>
      </c>
      <c r="T15" s="16"/>
      <c r="U15" s="15"/>
      <c r="V15" s="15"/>
      <c r="W15" s="15"/>
      <c r="X15" s="15" t="s">
        <v>186</v>
      </c>
      <c r="Y15" s="15"/>
      <c r="Z15" s="37">
        <v>8</v>
      </c>
      <c r="AA15" s="37">
        <v>5</v>
      </c>
      <c r="AB15" s="15"/>
      <c r="AC15" s="38">
        <f t="shared" si="1"/>
        <v>2.3955295728419945</v>
      </c>
      <c r="AD15" s="38">
        <f t="shared" si="2"/>
        <v>0</v>
      </c>
      <c r="AE15" s="38">
        <f t="shared" si="3"/>
        <v>1.571906140330966</v>
      </c>
      <c r="AF15" s="38">
        <f t="shared" si="4"/>
        <v>0</v>
      </c>
      <c r="AG15" s="38">
        <f t="shared" si="5"/>
        <v>3.5600156133960448E-2</v>
      </c>
      <c r="AH15" s="38">
        <f t="shared" si="6"/>
        <v>0</v>
      </c>
      <c r="AI15" s="38">
        <f t="shared" si="7"/>
        <v>0</v>
      </c>
      <c r="AJ15" s="38">
        <f t="shared" si="8"/>
        <v>0.62522827695305594</v>
      </c>
      <c r="AK15" s="38">
        <f t="shared" si="9"/>
        <v>0.37392260609783179</v>
      </c>
      <c r="AL15" s="38">
        <f t="shared" si="10"/>
        <v>6.5838153672576885E-3</v>
      </c>
      <c r="AM15" s="38">
        <f t="shared" si="11"/>
        <v>0</v>
      </c>
      <c r="AN15" s="38">
        <f t="shared" si="12"/>
        <v>0</v>
      </c>
      <c r="AO15" s="38">
        <f t="shared" si="13"/>
        <v>0</v>
      </c>
      <c r="AP15" s="38">
        <f t="shared" si="14"/>
        <v>5.0087705677250662</v>
      </c>
      <c r="AQ15" s="38">
        <f t="shared" si="15"/>
        <v>3.9674357131729607</v>
      </c>
      <c r="AR15" s="38">
        <f t="shared" si="16"/>
        <v>1.0057346984181454</v>
      </c>
      <c r="AS15" s="40"/>
      <c r="AT15" s="38">
        <f t="shared" si="17"/>
        <v>2.391334899903411</v>
      </c>
      <c r="AU15" s="38">
        <f t="shared" si="18"/>
        <v>0</v>
      </c>
      <c r="AV15" s="38">
        <f t="shared" si="19"/>
        <v>1.5691536666301231</v>
      </c>
      <c r="AW15" s="38">
        <f t="shared" si="20"/>
        <v>0</v>
      </c>
      <c r="AX15" s="38">
        <f t="shared" si="21"/>
        <v>7.5211464688531363E-3</v>
      </c>
      <c r="AY15" s="38">
        <f t="shared" si="22"/>
        <v>2.8016672295851919E-2</v>
      </c>
      <c r="AZ15" s="38">
        <f t="shared" si="23"/>
        <v>0</v>
      </c>
      <c r="BA15" s="38">
        <f t="shared" si="24"/>
        <v>0</v>
      </c>
      <c r="BB15" s="38">
        <f t="shared" si="25"/>
        <v>0.62413347596896263</v>
      </c>
      <c r="BC15" s="38">
        <f t="shared" si="26"/>
        <v>0.37326785190289097</v>
      </c>
      <c r="BD15" s="38">
        <f t="shared" si="27"/>
        <v>6.5722868299076358E-3</v>
      </c>
      <c r="BE15" s="38">
        <f t="shared" si="28"/>
        <v>0</v>
      </c>
      <c r="BF15" s="38">
        <f t="shared" si="29"/>
        <v>0</v>
      </c>
      <c r="BG15" s="38">
        <f t="shared" si="30"/>
        <v>0</v>
      </c>
      <c r="BH15" s="41">
        <f t="shared" si="31"/>
        <v>5</v>
      </c>
      <c r="BI15" s="42">
        <f t="shared" si="32"/>
        <v>7.9999999999999991</v>
      </c>
      <c r="BJ15" s="38">
        <f t="shared" si="33"/>
        <v>3.9604885665335341</v>
      </c>
      <c r="BK15" s="38">
        <f t="shared" si="34"/>
        <v>1.0039736147017613</v>
      </c>
      <c r="BL15" s="16"/>
      <c r="BM15" s="16">
        <f t="shared" si="35"/>
        <v>0.62166322583523936</v>
      </c>
      <c r="BN15" s="16">
        <f t="shared" si="36"/>
        <v>0.37179049970727895</v>
      </c>
      <c r="BO15" s="16">
        <f t="shared" si="37"/>
        <v>6.5462744574816224E-3</v>
      </c>
      <c r="BP15" s="15"/>
      <c r="BQ15" s="38">
        <f t="shared" si="38"/>
        <v>0.88065912117177092</v>
      </c>
      <c r="BR15" s="38">
        <f t="shared" si="39"/>
        <v>0</v>
      </c>
      <c r="BS15" s="38">
        <f t="shared" si="40"/>
        <v>0.57787367595135353</v>
      </c>
      <c r="BT15" s="38">
        <f t="shared" si="41"/>
        <v>0</v>
      </c>
      <c r="BU15" s="38">
        <f t="shared" si="42"/>
        <v>1.3087545472175785E-2</v>
      </c>
      <c r="BV15" s="38">
        <f t="shared" si="43"/>
        <v>0</v>
      </c>
      <c r="BW15" s="38">
        <f t="shared" si="44"/>
        <v>0</v>
      </c>
      <c r="BX15" s="38">
        <f t="shared" si="45"/>
        <v>0.22985021398002856</v>
      </c>
      <c r="BY15" s="38">
        <f t="shared" si="46"/>
        <v>0.13746369796708616</v>
      </c>
      <c r="BZ15" s="38">
        <f t="shared" si="47"/>
        <v>2.4203821656050956E-3</v>
      </c>
      <c r="CA15" s="38">
        <f t="shared" si="48"/>
        <v>0</v>
      </c>
      <c r="CB15" s="38">
        <f t="shared" si="49"/>
        <v>0</v>
      </c>
      <c r="CC15" s="38">
        <f t="shared" si="50"/>
        <v>0</v>
      </c>
      <c r="CD15" s="38">
        <f t="shared" si="51"/>
        <v>1.8413546367080198</v>
      </c>
      <c r="CE15" s="38">
        <f t="shared" si="52"/>
        <v>2.9410085557891223</v>
      </c>
      <c r="CF15" s="38">
        <f t="shared" si="53"/>
        <v>2.7153921902513125</v>
      </c>
      <c r="CG15" s="38">
        <f t="shared" si="54"/>
        <v>7.985991663852074</v>
      </c>
      <c r="CH15" s="15"/>
      <c r="CI15" s="16"/>
      <c r="CJ15" s="13"/>
      <c r="CK15" s="104"/>
      <c r="CL15" s="13"/>
      <c r="CM15" s="13"/>
      <c r="CN15" s="13"/>
      <c r="CO15" s="16"/>
      <c r="CP15" s="16"/>
      <c r="CQ15" s="16"/>
      <c r="CR15" s="16"/>
      <c r="CS15" s="16"/>
      <c r="CT15" s="16"/>
      <c r="CU15" s="16"/>
      <c r="CV15" s="16"/>
      <c r="CW15" s="16"/>
      <c r="CX15" s="16"/>
      <c r="CY15" s="104"/>
      <c r="CZ15" s="104"/>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3"/>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row>
    <row r="16" spans="1:167" x14ac:dyDescent="0.25">
      <c r="A16" s="35" t="s">
        <v>83</v>
      </c>
      <c r="B16" s="15">
        <v>77</v>
      </c>
      <c r="C16" s="102" t="s">
        <v>96</v>
      </c>
      <c r="D16" s="102" t="s">
        <v>103</v>
      </c>
      <c r="E16" s="15">
        <v>108</v>
      </c>
      <c r="F16" s="16">
        <v>46.97</v>
      </c>
      <c r="G16" s="16"/>
      <c r="H16" s="16">
        <v>34.53</v>
      </c>
      <c r="I16" s="16"/>
      <c r="J16" s="16">
        <v>0.65688832898407268</v>
      </c>
      <c r="K16" s="16"/>
      <c r="L16" s="16"/>
      <c r="M16" s="16">
        <v>17.36</v>
      </c>
      <c r="N16" s="16">
        <v>1.59</v>
      </c>
      <c r="O16" s="16">
        <v>2.3E-2</v>
      </c>
      <c r="P16" s="16">
        <v>0</v>
      </c>
      <c r="Q16" s="16"/>
      <c r="R16" s="16"/>
      <c r="S16" s="16">
        <f t="shared" si="0"/>
        <v>101.12988832898407</v>
      </c>
      <c r="T16" s="16"/>
      <c r="U16" s="15"/>
      <c r="V16" s="15"/>
      <c r="W16" s="15"/>
      <c r="X16" s="15" t="s">
        <v>185</v>
      </c>
      <c r="Y16" s="15"/>
      <c r="Z16" s="37">
        <v>8</v>
      </c>
      <c r="AA16" s="37">
        <v>5</v>
      </c>
      <c r="AB16" s="15"/>
      <c r="AC16" s="38">
        <f t="shared" si="1"/>
        <v>2.1388411818843354</v>
      </c>
      <c r="AD16" s="38">
        <f t="shared" si="2"/>
        <v>0</v>
      </c>
      <c r="AE16" s="38">
        <f t="shared" si="3"/>
        <v>1.8530393787863073</v>
      </c>
      <c r="AF16" s="38">
        <f t="shared" si="4"/>
        <v>0</v>
      </c>
      <c r="AG16" s="38">
        <f t="shared" si="5"/>
        <v>2.5012245036138834E-2</v>
      </c>
      <c r="AH16" s="38">
        <f t="shared" si="6"/>
        <v>0</v>
      </c>
      <c r="AI16" s="38">
        <f t="shared" si="7"/>
        <v>0</v>
      </c>
      <c r="AJ16" s="38">
        <f t="shared" si="8"/>
        <v>0.84689509439058464</v>
      </c>
      <c r="AK16" s="38">
        <f t="shared" si="9"/>
        <v>0.14036649302016582</v>
      </c>
      <c r="AL16" s="38">
        <f t="shared" si="10"/>
        <v>1.3359642301270359E-3</v>
      </c>
      <c r="AM16" s="38">
        <f t="shared" si="11"/>
        <v>0</v>
      </c>
      <c r="AN16" s="38">
        <f t="shared" si="12"/>
        <v>0</v>
      </c>
      <c r="AO16" s="38">
        <f t="shared" si="13"/>
        <v>0</v>
      </c>
      <c r="AP16" s="38">
        <f t="shared" si="14"/>
        <v>5.005490357347659</v>
      </c>
      <c r="AQ16" s="38">
        <f t="shared" si="15"/>
        <v>3.9918805606706425</v>
      </c>
      <c r="AR16" s="38">
        <f t="shared" si="16"/>
        <v>0.98859755164087748</v>
      </c>
      <c r="AS16" s="40"/>
      <c r="AT16" s="38">
        <f t="shared" si="17"/>
        <v>2.1364951575070839</v>
      </c>
      <c r="AU16" s="38">
        <f t="shared" si="18"/>
        <v>0</v>
      </c>
      <c r="AV16" s="38">
        <f t="shared" si="19"/>
        <v>1.8510068409843143</v>
      </c>
      <c r="AW16" s="38">
        <f t="shared" si="20"/>
        <v>0</v>
      </c>
      <c r="AX16" s="38">
        <f t="shared" si="21"/>
        <v>7.4349374309584416E-3</v>
      </c>
      <c r="AY16" s="38">
        <f t="shared" si="22"/>
        <v>1.7549872498225483E-2</v>
      </c>
      <c r="AZ16" s="38">
        <f t="shared" si="23"/>
        <v>0</v>
      </c>
      <c r="BA16" s="38">
        <f t="shared" si="24"/>
        <v>0</v>
      </c>
      <c r="BB16" s="38">
        <f t="shared" si="25"/>
        <v>0.84596616308271422</v>
      </c>
      <c r="BC16" s="38">
        <f t="shared" si="26"/>
        <v>0.14021252964169542</v>
      </c>
      <c r="BD16" s="38">
        <f t="shared" si="27"/>
        <v>1.3344988550082286E-3</v>
      </c>
      <c r="BE16" s="38">
        <f t="shared" si="28"/>
        <v>0</v>
      </c>
      <c r="BF16" s="38">
        <f t="shared" si="29"/>
        <v>0</v>
      </c>
      <c r="BG16" s="38">
        <f t="shared" si="30"/>
        <v>0</v>
      </c>
      <c r="BH16" s="41">
        <f t="shared" si="31"/>
        <v>5</v>
      </c>
      <c r="BI16" s="42">
        <f t="shared" si="32"/>
        <v>8.0000000000000018</v>
      </c>
      <c r="BJ16" s="38">
        <f t="shared" si="33"/>
        <v>3.987501998491398</v>
      </c>
      <c r="BK16" s="38">
        <f t="shared" si="34"/>
        <v>0.98751319157941786</v>
      </c>
      <c r="BL16" s="16"/>
      <c r="BM16" s="16">
        <f t="shared" si="35"/>
        <v>0.85666315173945695</v>
      </c>
      <c r="BN16" s="16">
        <f t="shared" si="36"/>
        <v>0.14198547506736695</v>
      </c>
      <c r="BO16" s="16">
        <f t="shared" si="37"/>
        <v>1.3513731931761293E-3</v>
      </c>
      <c r="BP16" s="15"/>
      <c r="BQ16" s="38">
        <f t="shared" si="38"/>
        <v>0.78179094540612515</v>
      </c>
      <c r="BR16" s="38">
        <f t="shared" si="39"/>
        <v>0</v>
      </c>
      <c r="BS16" s="38">
        <f t="shared" si="40"/>
        <v>0.67732444095723821</v>
      </c>
      <c r="BT16" s="38">
        <f t="shared" si="41"/>
        <v>0</v>
      </c>
      <c r="BU16" s="38">
        <f t="shared" si="42"/>
        <v>9.1424958800845196E-3</v>
      </c>
      <c r="BV16" s="38">
        <f t="shared" si="43"/>
        <v>0</v>
      </c>
      <c r="BW16" s="38">
        <f t="shared" si="44"/>
        <v>0</v>
      </c>
      <c r="BX16" s="38">
        <f t="shared" si="45"/>
        <v>0.30955777460770328</v>
      </c>
      <c r="BY16" s="38">
        <f t="shared" si="46"/>
        <v>5.1306873184898356E-2</v>
      </c>
      <c r="BZ16" s="38">
        <f t="shared" si="47"/>
        <v>4.883227176220807E-4</v>
      </c>
      <c r="CA16" s="38">
        <f t="shared" si="48"/>
        <v>0</v>
      </c>
      <c r="CB16" s="38">
        <f t="shared" si="49"/>
        <v>0</v>
      </c>
      <c r="CC16" s="38">
        <f t="shared" si="50"/>
        <v>0</v>
      </c>
      <c r="CD16" s="38">
        <f t="shared" si="51"/>
        <v>1.8296108527536716</v>
      </c>
      <c r="CE16" s="38">
        <f t="shared" si="52"/>
        <v>2.9241664206871554</v>
      </c>
      <c r="CF16" s="38">
        <f t="shared" si="53"/>
        <v>2.7328215682994594</v>
      </c>
      <c r="CG16" s="38">
        <f t="shared" si="54"/>
        <v>7.991225063750889</v>
      </c>
      <c r="CH16" s="15"/>
      <c r="CI16" s="16"/>
      <c r="CJ16" s="13"/>
      <c r="CK16" s="104"/>
      <c r="CL16" s="13"/>
      <c r="CM16" s="13"/>
      <c r="CN16" s="13"/>
      <c r="CO16" s="16"/>
      <c r="CP16" s="16"/>
      <c r="CQ16" s="16"/>
      <c r="CR16" s="16"/>
      <c r="CS16" s="16"/>
      <c r="CT16" s="16"/>
      <c r="CU16" s="16"/>
      <c r="CV16" s="16"/>
      <c r="CW16" s="16"/>
      <c r="CX16" s="16"/>
      <c r="CY16" s="104"/>
      <c r="CZ16" s="104"/>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3"/>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row>
    <row r="17" spans="1:167" x14ac:dyDescent="0.25">
      <c r="A17" s="35" t="s">
        <v>83</v>
      </c>
      <c r="B17" s="15">
        <v>78</v>
      </c>
      <c r="C17" s="102" t="s">
        <v>96</v>
      </c>
      <c r="D17" s="102" t="s">
        <v>103</v>
      </c>
      <c r="E17" s="15">
        <v>109</v>
      </c>
      <c r="F17" s="16">
        <v>46.13</v>
      </c>
      <c r="G17" s="16"/>
      <c r="H17" s="16">
        <v>34.97</v>
      </c>
      <c r="I17" s="16"/>
      <c r="J17" s="16">
        <v>0.61909475389183832</v>
      </c>
      <c r="K17" s="16"/>
      <c r="L17" s="16"/>
      <c r="M17" s="16">
        <v>17.93</v>
      </c>
      <c r="N17" s="16">
        <v>1.36</v>
      </c>
      <c r="O17" s="16">
        <v>1.2E-2</v>
      </c>
      <c r="P17" s="16">
        <v>0</v>
      </c>
      <c r="Q17" s="16"/>
      <c r="R17" s="16"/>
      <c r="S17" s="16">
        <f t="shared" si="0"/>
        <v>101.02109475389183</v>
      </c>
      <c r="T17" s="16"/>
      <c r="U17" s="15"/>
      <c r="V17" s="15"/>
      <c r="W17" s="15"/>
      <c r="X17" s="15" t="s">
        <v>185</v>
      </c>
      <c r="Y17" s="15"/>
      <c r="Z17" s="37">
        <v>8</v>
      </c>
      <c r="AA17" s="37">
        <v>5</v>
      </c>
      <c r="AB17" s="15"/>
      <c r="AC17" s="38">
        <f t="shared" si="1"/>
        <v>2.1072247815686138</v>
      </c>
      <c r="AD17" s="38">
        <f t="shared" si="2"/>
        <v>0</v>
      </c>
      <c r="AE17" s="38">
        <f t="shared" si="3"/>
        <v>1.8825786782557143</v>
      </c>
      <c r="AF17" s="38">
        <f t="shared" si="4"/>
        <v>0</v>
      </c>
      <c r="AG17" s="38">
        <f t="shared" si="5"/>
        <v>2.3647633498626218E-2</v>
      </c>
      <c r="AH17" s="38">
        <f t="shared" si="6"/>
        <v>0</v>
      </c>
      <c r="AI17" s="38">
        <f t="shared" si="7"/>
        <v>0</v>
      </c>
      <c r="AJ17" s="38">
        <f t="shared" si="8"/>
        <v>0.87746462937426617</v>
      </c>
      <c r="AK17" s="38">
        <f t="shared" si="9"/>
        <v>0.12044108704410889</v>
      </c>
      <c r="AL17" s="38">
        <f t="shared" si="10"/>
        <v>6.9922616850823032E-4</v>
      </c>
      <c r="AM17" s="38">
        <f t="shared" si="11"/>
        <v>0</v>
      </c>
      <c r="AN17" s="38">
        <f t="shared" si="12"/>
        <v>0</v>
      </c>
      <c r="AO17" s="38">
        <f t="shared" si="13"/>
        <v>0</v>
      </c>
      <c r="AP17" s="38">
        <f t="shared" si="14"/>
        <v>5.0120560359098381</v>
      </c>
      <c r="AQ17" s="38">
        <f t="shared" si="15"/>
        <v>3.9898034598243282</v>
      </c>
      <c r="AR17" s="38">
        <f t="shared" si="16"/>
        <v>0.99860494258688337</v>
      </c>
      <c r="AS17" s="40"/>
      <c r="AT17" s="38">
        <f t="shared" si="17"/>
        <v>2.1021560478085211</v>
      </c>
      <c r="AU17" s="38">
        <f t="shared" si="18"/>
        <v>0</v>
      </c>
      <c r="AV17" s="38">
        <f t="shared" si="19"/>
        <v>1.8780503098604819</v>
      </c>
      <c r="AW17" s="38">
        <f t="shared" si="20"/>
        <v>0</v>
      </c>
      <c r="AX17" s="38">
        <f t="shared" si="21"/>
        <v>0</v>
      </c>
      <c r="AY17" s="38">
        <f t="shared" si="22"/>
        <v>2.35907513096404E-2</v>
      </c>
      <c r="AZ17" s="38">
        <f t="shared" si="23"/>
        <v>0</v>
      </c>
      <c r="BA17" s="38">
        <f t="shared" si="24"/>
        <v>0</v>
      </c>
      <c r="BB17" s="38">
        <f t="shared" si="25"/>
        <v>0.8753539695960123</v>
      </c>
      <c r="BC17" s="38">
        <f t="shared" si="26"/>
        <v>0.12015137718052789</v>
      </c>
      <c r="BD17" s="38">
        <f t="shared" si="27"/>
        <v>6.9754424481539119E-4</v>
      </c>
      <c r="BE17" s="38">
        <f t="shared" si="28"/>
        <v>0</v>
      </c>
      <c r="BF17" s="38">
        <f t="shared" si="29"/>
        <v>0</v>
      </c>
      <c r="BG17" s="38">
        <f t="shared" si="30"/>
        <v>0</v>
      </c>
      <c r="BH17" s="41">
        <f t="shared" si="31"/>
        <v>4.9999999999999982</v>
      </c>
      <c r="BI17" s="42">
        <f t="shared" si="32"/>
        <v>7.9925521176809093</v>
      </c>
      <c r="BJ17" s="38">
        <f t="shared" si="33"/>
        <v>3.9802063576690028</v>
      </c>
      <c r="BK17" s="38">
        <f t="shared" si="34"/>
        <v>0.99620289102135562</v>
      </c>
      <c r="BL17" s="16"/>
      <c r="BM17" s="16">
        <f t="shared" si="35"/>
        <v>0.87869045300456494</v>
      </c>
      <c r="BN17" s="16">
        <f t="shared" si="36"/>
        <v>0.12060934400355218</v>
      </c>
      <c r="BO17" s="16">
        <f t="shared" si="37"/>
        <v>7.0020299188274274E-4</v>
      </c>
      <c r="BP17" s="15"/>
      <c r="BQ17" s="38">
        <f t="shared" si="38"/>
        <v>0.76780958721704395</v>
      </c>
      <c r="BR17" s="38">
        <f t="shared" si="39"/>
        <v>0</v>
      </c>
      <c r="BS17" s="38">
        <f t="shared" si="40"/>
        <v>0.68595527657905064</v>
      </c>
      <c r="BT17" s="38">
        <f t="shared" si="41"/>
        <v>0</v>
      </c>
      <c r="BU17" s="38">
        <f t="shared" si="42"/>
        <v>8.6164892678056836E-3</v>
      </c>
      <c r="BV17" s="38">
        <f t="shared" si="43"/>
        <v>0</v>
      </c>
      <c r="BW17" s="38">
        <f t="shared" si="44"/>
        <v>0</v>
      </c>
      <c r="BX17" s="38">
        <f t="shared" si="45"/>
        <v>0.31972182596291016</v>
      </c>
      <c r="BY17" s="38">
        <f t="shared" si="46"/>
        <v>4.3885124233623757E-2</v>
      </c>
      <c r="BZ17" s="38">
        <f t="shared" si="47"/>
        <v>2.5477707006369424E-4</v>
      </c>
      <c r="CA17" s="38">
        <f t="shared" si="48"/>
        <v>0</v>
      </c>
      <c r="CB17" s="38">
        <f t="shared" si="49"/>
        <v>0</v>
      </c>
      <c r="CC17" s="38">
        <f t="shared" si="50"/>
        <v>0</v>
      </c>
      <c r="CD17" s="38">
        <f t="shared" si="51"/>
        <v>1.8262430803304981</v>
      </c>
      <c r="CE17" s="38">
        <f t="shared" si="52"/>
        <v>2.9149603551852232</v>
      </c>
      <c r="CF17" s="38">
        <f t="shared" si="53"/>
        <v>2.7378611609004109</v>
      </c>
      <c r="CG17" s="38">
        <f t="shared" si="54"/>
        <v>7.980756742026089</v>
      </c>
      <c r="CH17" s="15"/>
      <c r="CI17" s="16">
        <v>0.49467073531794065</v>
      </c>
      <c r="CJ17" s="13">
        <v>10445.760886142572</v>
      </c>
      <c r="CK17" s="104">
        <v>498.59610010714169</v>
      </c>
      <c r="CL17" s="13">
        <v>179117.5810669724</v>
      </c>
      <c r="CM17" s="13">
        <v>226521.87460221851</v>
      </c>
      <c r="CN17" s="13">
        <v>111509.72402153665</v>
      </c>
      <c r="CO17" s="16">
        <v>0.42342155651644664</v>
      </c>
      <c r="CP17" s="16">
        <v>90.311035780958633</v>
      </c>
      <c r="CQ17" s="16">
        <v>2.1570865675103388</v>
      </c>
      <c r="CR17" s="16">
        <v>0</v>
      </c>
      <c r="CS17" s="16">
        <v>39.919386796248844</v>
      </c>
      <c r="CT17" s="16">
        <v>0.65998661654041679</v>
      </c>
      <c r="CU17" s="16">
        <v>0</v>
      </c>
      <c r="CV17" s="16">
        <v>2.1176399114906101</v>
      </c>
      <c r="CW17" s="16">
        <v>2.3342304778965324</v>
      </c>
      <c r="CX17" s="16">
        <v>0</v>
      </c>
      <c r="CY17" s="104">
        <v>329.09803492559871</v>
      </c>
      <c r="CZ17" s="104">
        <v>329.98669790482404</v>
      </c>
      <c r="DA17" s="16">
        <v>0.1638756357338868</v>
      </c>
      <c r="DB17" s="16">
        <v>0</v>
      </c>
      <c r="DC17" s="16">
        <v>0</v>
      </c>
      <c r="DD17" s="16">
        <v>0</v>
      </c>
      <c r="DE17" s="16">
        <v>13.243400294872833</v>
      </c>
      <c r="DF17" s="16">
        <v>0.52100906006038439</v>
      </c>
      <c r="DG17" s="16">
        <v>0.83369541655951751</v>
      </c>
      <c r="DH17" s="16">
        <v>2.634905559058202E-2</v>
      </c>
      <c r="DI17" s="16">
        <v>0.33794118243700477</v>
      </c>
      <c r="DJ17" s="16">
        <v>0.14761578047052584</v>
      </c>
      <c r="DK17" s="16">
        <v>0.32088395539214726</v>
      </c>
      <c r="DL17" s="16">
        <v>0</v>
      </c>
      <c r="DM17" s="16">
        <v>0.11007387446119106</v>
      </c>
      <c r="DN17" s="16">
        <v>0.11436982368819774</v>
      </c>
      <c r="DO17" s="16">
        <v>2.6319418903097962E-2</v>
      </c>
      <c r="DP17" s="16">
        <v>0.24674165423234459</v>
      </c>
      <c r="DQ17" s="16">
        <v>7.1862875361772341E-2</v>
      </c>
      <c r="DR17" s="16">
        <v>0.10740621183161095</v>
      </c>
      <c r="DS17" s="16">
        <v>5.3102629056150416E-2</v>
      </c>
      <c r="DT17" s="16">
        <v>0</v>
      </c>
      <c r="DU17" s="16">
        <v>0</v>
      </c>
      <c r="DV17" s="16">
        <v>0.46641915490500641</v>
      </c>
      <c r="DW17" s="16">
        <v>5.5495760873557343E-2</v>
      </c>
      <c r="DX17" s="16">
        <v>4.8333127824703455E-2</v>
      </c>
      <c r="DY17" s="16" t="e">
        <f t="shared" ref="DY17:DY18" si="56">(DK17/0.05883)/SQRT((DJ17/0.1536)*(DL17/0.2069))</f>
        <v>#DIV/0!</v>
      </c>
      <c r="DZ17" s="16"/>
      <c r="EA17" s="13">
        <f>1128+200*((BM17-0.4)/0.4) -273</f>
        <v>1094.3452265022825</v>
      </c>
      <c r="EB17" s="16"/>
      <c r="EC17" s="16">
        <f>(-18.482 -16.353 * BM17)/(0.008314 * (EA17+273))</f>
        <v>-2.8897706075679443</v>
      </c>
      <c r="ED17" s="16"/>
      <c r="EE17" s="16"/>
      <c r="EF17" s="16"/>
      <c r="EG17" s="16"/>
      <c r="EH17" s="16"/>
      <c r="EI17" s="16"/>
      <c r="EJ17" s="16"/>
      <c r="EK17" s="16"/>
      <c r="EL17" s="16">
        <f>(23.856 -20.71 * BM17)/(0.008314 * (EA17+273))</f>
        <v>0.4977363526268353</v>
      </c>
      <c r="EM17" s="16"/>
      <c r="EN17" s="16">
        <f>(-4.5269  -51.811 * BM17)/(0.008314 * (EA17+273)) +N("eqn50a")</f>
        <v>-4.4029076889649428</v>
      </c>
      <c r="EO17" s="16"/>
      <c r="EP17" s="16"/>
      <c r="EQ17" s="16"/>
      <c r="ER17" s="16">
        <f>(10.146 -35.204 * BM17)/(0.008314 * (EA17+273))</f>
        <v>-1.8285732610765699</v>
      </c>
      <c r="ES17" s="16">
        <f>(2.1146 -37.009 * BM17)/(0.008314 * (EA17+273))</f>
        <v>-2.6745747318012065</v>
      </c>
      <c r="ET17" s="16">
        <f>(-3.6812 -33.822 * BM17)/(0.008314 * (EA17+273))</f>
        <v>-2.9380674317398086</v>
      </c>
      <c r="EU17" s="16">
        <f>(-6.8025 -26.094 * BM17)/(0.008314 * (EA17+273))</f>
        <v>-2.6153031026161506</v>
      </c>
      <c r="EV17" s="16">
        <f>(-5.6996 -30.85 * BM17)/(0.008314 * (EA17+273))</f>
        <v>-2.8858979752911038</v>
      </c>
      <c r="EW17" s="16">
        <f>(-8.6767 -33.32 * BM17)/(0.008314 * (EA17+273))</f>
        <v>-3.3386967455360521</v>
      </c>
      <c r="EX17" s="16"/>
      <c r="EY17" s="16">
        <f>(-1.9714 -59.897 * BM17)/(0.008314 * (EA17+273))</f>
        <v>-4.8031142068564776</v>
      </c>
      <c r="EZ17" s="16">
        <f>(-4.3691 -44.528 * BM17)/(0.008314 * (EA17+273))</f>
        <v>-3.8260920529514766</v>
      </c>
      <c r="FA17" s="16">
        <f>(-2.2521 -58.215 * BM17)/(0.008314 * (EA17+273))</f>
        <v>-4.6977970054799272</v>
      </c>
      <c r="FB17" s="16"/>
      <c r="FC17" s="16">
        <f>(-8.5 - 57.253 * BM17)/(0.008314 * (EA17+273))</f>
        <v>-5.1730387680420522</v>
      </c>
      <c r="FD17" s="16"/>
      <c r="FE17" s="16">
        <f>(-9.2954 -52.923 * BM17)/(0.008314 * (EA17+273))</f>
        <v>-4.9083219299289711</v>
      </c>
      <c r="FF17" s="16">
        <f>(0.61501 -70.378 * BM17)/(0.008314 * (EA17+273))</f>
        <v>-5.3857216657022162</v>
      </c>
      <c r="FG17" s="16"/>
      <c r="FH17" s="16"/>
      <c r="FI17" s="16"/>
      <c r="FJ17" s="16"/>
      <c r="FK17" s="16"/>
    </row>
    <row r="18" spans="1:167" x14ac:dyDescent="0.25">
      <c r="A18" s="35" t="s">
        <v>83</v>
      </c>
      <c r="B18" s="15">
        <v>79</v>
      </c>
      <c r="C18" s="102" t="s">
        <v>96</v>
      </c>
      <c r="D18" s="102" t="s">
        <v>103</v>
      </c>
      <c r="E18" s="15">
        <v>110</v>
      </c>
      <c r="F18" s="16">
        <v>46.89</v>
      </c>
      <c r="G18" s="16"/>
      <c r="H18" s="16">
        <v>34.21</v>
      </c>
      <c r="I18" s="16"/>
      <c r="J18" s="16">
        <v>0.72707639701250792</v>
      </c>
      <c r="K18" s="16"/>
      <c r="L18" s="16"/>
      <c r="M18" s="16">
        <v>17.36</v>
      </c>
      <c r="N18" s="16">
        <v>1.59</v>
      </c>
      <c r="O18" s="16">
        <v>3.6999999999999998E-2</v>
      </c>
      <c r="P18" s="16">
        <v>0</v>
      </c>
      <c r="Q18" s="16"/>
      <c r="R18" s="16"/>
      <c r="S18" s="16">
        <f t="shared" si="0"/>
        <v>100.81407639701251</v>
      </c>
      <c r="T18" s="16"/>
      <c r="U18" s="15"/>
      <c r="V18" s="15"/>
      <c r="W18" s="15"/>
      <c r="X18" s="15" t="s">
        <v>185</v>
      </c>
      <c r="Y18" s="15"/>
      <c r="Z18" s="37">
        <v>8</v>
      </c>
      <c r="AA18" s="37">
        <v>5</v>
      </c>
      <c r="AB18" s="15"/>
      <c r="AC18" s="38">
        <f t="shared" si="1"/>
        <v>2.1432261826422865</v>
      </c>
      <c r="AD18" s="38">
        <f t="shared" si="2"/>
        <v>0</v>
      </c>
      <c r="AE18" s="38">
        <f t="shared" si="3"/>
        <v>1.8427691814578904</v>
      </c>
      <c r="AF18" s="38">
        <f t="shared" si="4"/>
        <v>0</v>
      </c>
      <c r="AG18" s="38">
        <f t="shared" si="5"/>
        <v>2.7788875394024446E-2</v>
      </c>
      <c r="AH18" s="38">
        <f t="shared" si="6"/>
        <v>0</v>
      </c>
      <c r="AI18" s="38">
        <f t="shared" si="7"/>
        <v>0</v>
      </c>
      <c r="AJ18" s="38">
        <f t="shared" si="8"/>
        <v>0.85007924591573758</v>
      </c>
      <c r="AK18" s="38">
        <f t="shared" si="9"/>
        <v>0.1408942421897984</v>
      </c>
      <c r="AL18" s="38">
        <f t="shared" si="10"/>
        <v>2.1572402478613481E-3</v>
      </c>
      <c r="AM18" s="38">
        <f t="shared" si="11"/>
        <v>0</v>
      </c>
      <c r="AN18" s="38">
        <f t="shared" si="12"/>
        <v>0</v>
      </c>
      <c r="AO18" s="38">
        <f t="shared" si="13"/>
        <v>0</v>
      </c>
      <c r="AP18" s="38">
        <f t="shared" si="14"/>
        <v>5.0069149678475977</v>
      </c>
      <c r="AQ18" s="38">
        <f t="shared" si="15"/>
        <v>3.9859953641001766</v>
      </c>
      <c r="AR18" s="38">
        <f t="shared" si="16"/>
        <v>0.99313072835339733</v>
      </c>
      <c r="AS18" s="40"/>
      <c r="AT18" s="38">
        <f t="shared" si="17"/>
        <v>2.1402662082392312</v>
      </c>
      <c r="AU18" s="38">
        <f t="shared" si="18"/>
        <v>0</v>
      </c>
      <c r="AV18" s="38">
        <f t="shared" si="19"/>
        <v>1.840224163273608</v>
      </c>
      <c r="AW18" s="38">
        <f t="shared" si="20"/>
        <v>0</v>
      </c>
      <c r="AX18" s="38">
        <f t="shared" si="21"/>
        <v>5.6531599977865353E-3</v>
      </c>
      <c r="AY18" s="38">
        <f t="shared" si="22"/>
        <v>2.2097336637839859E-2</v>
      </c>
      <c r="AZ18" s="38">
        <f t="shared" si="23"/>
        <v>0</v>
      </c>
      <c r="BA18" s="38">
        <f t="shared" si="24"/>
        <v>0</v>
      </c>
      <c r="BB18" s="38">
        <f t="shared" si="25"/>
        <v>0.84890521546162234</v>
      </c>
      <c r="BC18" s="38">
        <f t="shared" si="26"/>
        <v>0.14069965547104829</v>
      </c>
      <c r="BD18" s="38">
        <f t="shared" si="27"/>
        <v>2.1542609188634925E-3</v>
      </c>
      <c r="BE18" s="38">
        <f t="shared" si="28"/>
        <v>0</v>
      </c>
      <c r="BF18" s="38">
        <f t="shared" si="29"/>
        <v>0</v>
      </c>
      <c r="BG18" s="38">
        <f t="shared" si="30"/>
        <v>0</v>
      </c>
      <c r="BH18" s="41">
        <f t="shared" si="31"/>
        <v>5</v>
      </c>
      <c r="BI18" s="42">
        <f t="shared" si="32"/>
        <v>7.9999999999999991</v>
      </c>
      <c r="BJ18" s="38">
        <f t="shared" si="33"/>
        <v>3.9804903715128392</v>
      </c>
      <c r="BK18" s="38">
        <f t="shared" si="34"/>
        <v>0.99175913185153408</v>
      </c>
      <c r="BL18" s="16"/>
      <c r="BM18" s="16">
        <f t="shared" si="35"/>
        <v>0.85595906122566767</v>
      </c>
      <c r="BN18" s="16">
        <f t="shared" si="36"/>
        <v>0.14186877735965325</v>
      </c>
      <c r="BO18" s="16">
        <f t="shared" si="37"/>
        <v>2.1721614146790473E-3</v>
      </c>
      <c r="BP18" s="15"/>
      <c r="BQ18" s="38">
        <f t="shared" si="38"/>
        <v>0.78045938748335553</v>
      </c>
      <c r="BR18" s="38">
        <f t="shared" si="39"/>
        <v>0</v>
      </c>
      <c r="BS18" s="38">
        <f t="shared" si="40"/>
        <v>0.67104746959591999</v>
      </c>
      <c r="BT18" s="38">
        <f t="shared" si="41"/>
        <v>0</v>
      </c>
      <c r="BU18" s="38">
        <f t="shared" si="42"/>
        <v>1.0119365302888072E-2</v>
      </c>
      <c r="BV18" s="38">
        <f t="shared" si="43"/>
        <v>0</v>
      </c>
      <c r="BW18" s="38">
        <f t="shared" si="44"/>
        <v>0</v>
      </c>
      <c r="BX18" s="38">
        <f t="shared" si="45"/>
        <v>0.30955777460770328</v>
      </c>
      <c r="BY18" s="38">
        <f t="shared" si="46"/>
        <v>5.1306873184898356E-2</v>
      </c>
      <c r="BZ18" s="38">
        <f t="shared" si="47"/>
        <v>7.8556263269639057E-4</v>
      </c>
      <c r="CA18" s="38">
        <f t="shared" si="48"/>
        <v>0</v>
      </c>
      <c r="CB18" s="38">
        <f t="shared" si="49"/>
        <v>0</v>
      </c>
      <c r="CC18" s="38">
        <f t="shared" si="50"/>
        <v>0</v>
      </c>
      <c r="CD18" s="38">
        <f t="shared" si="51"/>
        <v>1.8232764328074618</v>
      </c>
      <c r="CE18" s="38">
        <f t="shared" si="52"/>
        <v>2.9132133371799793</v>
      </c>
      <c r="CF18" s="38">
        <f t="shared" si="53"/>
        <v>2.7423159264451487</v>
      </c>
      <c r="CG18" s="38">
        <f t="shared" si="54"/>
        <v>7.9889513316810783</v>
      </c>
      <c r="CH18" s="15"/>
      <c r="CI18" s="16">
        <v>1.288918670653489</v>
      </c>
      <c r="CJ18" s="13">
        <v>11228.585144080218</v>
      </c>
      <c r="CK18" s="104">
        <v>593.40208555979495</v>
      </c>
      <c r="CL18" s="13">
        <v>175398.97746185903</v>
      </c>
      <c r="CM18" s="13">
        <v>227619.06753983381</v>
      </c>
      <c r="CN18" s="13">
        <v>111190.17346968807</v>
      </c>
      <c r="CO18" s="16">
        <v>0.28118126054559922</v>
      </c>
      <c r="CP18" s="16">
        <v>120.77326844129074</v>
      </c>
      <c r="CQ18" s="16">
        <v>2.5704202800376912</v>
      </c>
      <c r="CR18" s="16">
        <v>0</v>
      </c>
      <c r="CS18" s="16">
        <v>43.757569652917802</v>
      </c>
      <c r="CT18" s="16">
        <v>0.67718249233306893</v>
      </c>
      <c r="CU18" s="16">
        <v>0</v>
      </c>
      <c r="CV18" s="16">
        <v>2.0056232251374673</v>
      </c>
      <c r="CW18" s="16">
        <v>2.7654896483805729</v>
      </c>
      <c r="CX18" s="16">
        <v>0.48079618153538101</v>
      </c>
      <c r="CY18" s="104">
        <v>345.03794695509163</v>
      </c>
      <c r="CZ18" s="104">
        <v>342.43928916088885</v>
      </c>
      <c r="DA18" s="16">
        <v>0.27357558341929711</v>
      </c>
      <c r="DB18" s="16">
        <v>0.37608535292527312</v>
      </c>
      <c r="DC18" s="16">
        <v>0</v>
      </c>
      <c r="DD18" s="16">
        <v>8.7809981128517262E-2</v>
      </c>
      <c r="DE18" s="16">
        <v>17.893047802941833</v>
      </c>
      <c r="DF18" s="16">
        <v>0.52512017195751126</v>
      </c>
      <c r="DG18" s="16">
        <v>0.96308257753608828</v>
      </c>
      <c r="DH18" s="16">
        <v>0.1363037144156326</v>
      </c>
      <c r="DI18" s="16">
        <v>0.24283196909959709</v>
      </c>
      <c r="DJ18" s="16">
        <v>8.1343736720204257E-2</v>
      </c>
      <c r="DK18" s="16">
        <v>0.1126361905728584</v>
      </c>
      <c r="DL18" s="16">
        <v>0</v>
      </c>
      <c r="DM18" s="16">
        <v>3.5686293012114699E-2</v>
      </c>
      <c r="DN18" s="16">
        <v>5.5325238964433109E-2</v>
      </c>
      <c r="DO18" s="16">
        <v>0</v>
      </c>
      <c r="DP18" s="16">
        <v>2.5604625627283616E-2</v>
      </c>
      <c r="DQ18" s="16">
        <v>0</v>
      </c>
      <c r="DR18" s="16">
        <v>0</v>
      </c>
      <c r="DS18" s="16">
        <v>0</v>
      </c>
      <c r="DT18" s="16">
        <v>0</v>
      </c>
      <c r="DU18" s="16">
        <v>5.0112351006342135E-2</v>
      </c>
      <c r="DV18" s="16">
        <v>0.50279879112870096</v>
      </c>
      <c r="DW18" s="16">
        <v>7.3285451937891051E-3</v>
      </c>
      <c r="DX18" s="16">
        <v>3.4237683818001559E-3</v>
      </c>
      <c r="DY18" s="16" t="e">
        <f t="shared" si="56"/>
        <v>#DIV/0!</v>
      </c>
      <c r="DZ18" s="16"/>
      <c r="EA18" s="13">
        <f>1128+200*((BM18-0.4)/0.4) -273</f>
        <v>1082.9795306128337</v>
      </c>
      <c r="EB18" s="16"/>
      <c r="EC18" s="16">
        <f>(-18.482 -16.353 * BM18)/(0.008314 * (EA18+273))</f>
        <v>-2.8810192591271848</v>
      </c>
      <c r="ED18" s="16"/>
      <c r="EE18" s="16"/>
      <c r="EF18" s="16"/>
      <c r="EG18" s="16"/>
      <c r="EH18" s="16"/>
      <c r="EI18" s="16"/>
      <c r="EJ18" s="16"/>
      <c r="EK18" s="16"/>
      <c r="EL18" s="16">
        <f>(23.856 -20.71 * BM18)/(0.008314 * (EA18+273))</f>
        <v>0.54366664862105252</v>
      </c>
      <c r="EM18" s="16"/>
      <c r="EN18" s="16">
        <f>(-4.5269  -51.811 * BM18)/(0.008314 * (EA18+273)) +N("eqn50a")</f>
        <v>-4.3353440797509917</v>
      </c>
      <c r="EO18" s="16"/>
      <c r="EP18" s="16"/>
      <c r="EQ18" s="16"/>
      <c r="ER18" s="16">
        <f>(10.146 -35.204 * BM18)/(0.008314 * (EA18+273))</f>
        <v>-1.772917106698793</v>
      </c>
      <c r="ES18" s="16">
        <f>(2.1146 -37.009 * BM18)/(0.008314 * (EA18+273))</f>
        <v>-2.6223701978304117</v>
      </c>
      <c r="ET18" s="16">
        <f>(-3.6812 -33.822 * BM18)/(0.008314 * (EA18+273))</f>
        <v>-2.8944975317565977</v>
      </c>
      <c r="EU18" s="16">
        <f>(-6.8025 -26.094 * BM18)/(0.008314 * (EA18+273))</f>
        <v>-2.5846100651729675</v>
      </c>
      <c r="EV18" s="16">
        <f>(-5.6996 -30.85 * BM18)/(0.008314 * (EA18+273))</f>
        <v>-2.8478833458824786</v>
      </c>
      <c r="EW18" s="16">
        <f>(-8.6767 -33.32 * BM18)/(0.008314 * (EA18+273))</f>
        <v>-3.2994970842666462</v>
      </c>
      <c r="EX18" s="16"/>
      <c r="EY18" s="16">
        <f>(-1.9714 -59.897 * BM18)/(0.008314 * (EA18+273))</f>
        <v>-4.7226010001794618</v>
      </c>
      <c r="EZ18" s="16">
        <f>(-4.3691 -44.528 * BM18)/(0.008314 * (EA18+273))</f>
        <v>-3.7683786020994439</v>
      </c>
      <c r="FA18" s="16">
        <f>(-2.2521 -58.215 * BM18)/(0.008314 * (EA18+273))</f>
        <v>-4.6197925166051119</v>
      </c>
      <c r="FB18" s="16"/>
      <c r="FC18" s="16">
        <f>(-8.5 - 57.253 * BM18)/(0.008314 * (EA18+273))</f>
        <v>-5.1009574270682725</v>
      </c>
      <c r="FD18" s="16"/>
      <c r="FE18" s="16">
        <f>(-9.2954 -52.923 * BM18)/(0.008314 * (EA18+273))</f>
        <v>-4.8427524909913728</v>
      </c>
      <c r="FF18" s="16">
        <f>(0.61501 -70.378 * BM18)/(0.008314 * (EA18+273))</f>
        <v>-5.2889586051194515</v>
      </c>
      <c r="FG18" s="16"/>
      <c r="FH18" s="16"/>
      <c r="FI18" s="16"/>
      <c r="FJ18" s="16"/>
      <c r="FK18" s="16"/>
    </row>
    <row r="19" spans="1:167" x14ac:dyDescent="0.25">
      <c r="A19" s="35" t="s">
        <v>83</v>
      </c>
      <c r="B19" s="15">
        <v>80</v>
      </c>
      <c r="C19" s="102" t="s">
        <v>96</v>
      </c>
      <c r="D19" s="102" t="s">
        <v>103</v>
      </c>
      <c r="E19" s="15">
        <v>111</v>
      </c>
      <c r="F19" s="16">
        <v>47.48</v>
      </c>
      <c r="G19" s="16"/>
      <c r="H19" s="16">
        <v>34.159999999999997</v>
      </c>
      <c r="I19" s="16"/>
      <c r="J19" s="16">
        <v>0.74237379645460266</v>
      </c>
      <c r="K19" s="16"/>
      <c r="L19" s="16"/>
      <c r="M19" s="16">
        <v>17.260000000000002</v>
      </c>
      <c r="N19" s="16">
        <v>1.79</v>
      </c>
      <c r="O19" s="16">
        <v>3.9E-2</v>
      </c>
      <c r="P19" s="16">
        <v>0</v>
      </c>
      <c r="Q19" s="16"/>
      <c r="R19" s="16"/>
      <c r="S19" s="16">
        <f t="shared" si="0"/>
        <v>101.4713737964546</v>
      </c>
      <c r="T19" s="16"/>
      <c r="U19" s="15"/>
      <c r="V19" s="15"/>
      <c r="W19" s="15"/>
      <c r="X19" s="15" t="s">
        <v>185</v>
      </c>
      <c r="Y19" s="15"/>
      <c r="Z19" s="37">
        <v>8</v>
      </c>
      <c r="AA19" s="37">
        <v>5</v>
      </c>
      <c r="AB19" s="15"/>
      <c r="AC19" s="38">
        <f t="shared" si="1"/>
        <v>2.1555085824028835</v>
      </c>
      <c r="AD19" s="38">
        <f t="shared" si="2"/>
        <v>0</v>
      </c>
      <c r="AE19" s="38">
        <f t="shared" si="3"/>
        <v>1.8276246248949981</v>
      </c>
      <c r="AF19" s="38">
        <f t="shared" si="4"/>
        <v>0</v>
      </c>
      <c r="AG19" s="38">
        <f t="shared" si="5"/>
        <v>2.8181547143375653E-2</v>
      </c>
      <c r="AH19" s="38">
        <f t="shared" si="6"/>
        <v>0</v>
      </c>
      <c r="AI19" s="38">
        <f t="shared" si="7"/>
        <v>0</v>
      </c>
      <c r="AJ19" s="38">
        <f t="shared" si="8"/>
        <v>0.83946338175387913</v>
      </c>
      <c r="AK19" s="38">
        <f t="shared" si="9"/>
        <v>0.15754347652099487</v>
      </c>
      <c r="AL19" s="38">
        <f t="shared" si="10"/>
        <v>2.2584613879661672E-3</v>
      </c>
      <c r="AM19" s="38">
        <f t="shared" si="11"/>
        <v>0</v>
      </c>
      <c r="AN19" s="38">
        <f t="shared" si="12"/>
        <v>0</v>
      </c>
      <c r="AO19" s="38">
        <f t="shared" si="13"/>
        <v>0</v>
      </c>
      <c r="AP19" s="38">
        <f t="shared" si="14"/>
        <v>5.010580074104098</v>
      </c>
      <c r="AQ19" s="38">
        <f t="shared" si="15"/>
        <v>3.9831332072978816</v>
      </c>
      <c r="AR19" s="38">
        <f t="shared" si="16"/>
        <v>0.99926531966284016</v>
      </c>
      <c r="AS19" s="40"/>
      <c r="AT19" s="38">
        <f t="shared" si="17"/>
        <v>2.1509571252469137</v>
      </c>
      <c r="AU19" s="38">
        <f t="shared" si="18"/>
        <v>0</v>
      </c>
      <c r="AV19" s="38">
        <f t="shared" si="19"/>
        <v>1.8237655100460413</v>
      </c>
      <c r="AW19" s="38">
        <f t="shared" si="20"/>
        <v>0</v>
      </c>
      <c r="AX19" s="38">
        <f t="shared" si="21"/>
        <v>0</v>
      </c>
      <c r="AY19" s="38">
        <f t="shared" si="22"/>
        <v>2.8122040488909435E-2</v>
      </c>
      <c r="AZ19" s="38">
        <f t="shared" si="23"/>
        <v>0</v>
      </c>
      <c r="BA19" s="38">
        <f t="shared" si="24"/>
        <v>0</v>
      </c>
      <c r="BB19" s="38">
        <f t="shared" si="25"/>
        <v>0.83769081557286262</v>
      </c>
      <c r="BC19" s="38">
        <f t="shared" si="26"/>
        <v>0.15721081610412543</v>
      </c>
      <c r="BD19" s="38">
        <f t="shared" si="27"/>
        <v>2.253692541147529E-3</v>
      </c>
      <c r="BE19" s="38">
        <f t="shared" si="28"/>
        <v>0</v>
      </c>
      <c r="BF19" s="38">
        <f t="shared" si="29"/>
        <v>0</v>
      </c>
      <c r="BG19" s="38">
        <f t="shared" si="30"/>
        <v>0</v>
      </c>
      <c r="BH19" s="41">
        <f t="shared" si="31"/>
        <v>5.0000000000000009</v>
      </c>
      <c r="BI19" s="42">
        <f t="shared" si="32"/>
        <v>7.9971686461917537</v>
      </c>
      <c r="BJ19" s="38">
        <f t="shared" si="33"/>
        <v>3.974722635292955</v>
      </c>
      <c r="BK19" s="38">
        <f t="shared" si="34"/>
        <v>0.99715532421813557</v>
      </c>
      <c r="BL19" s="16"/>
      <c r="BM19" s="16">
        <f t="shared" si="35"/>
        <v>0.84008057243207501</v>
      </c>
      <c r="BN19" s="16">
        <f t="shared" si="36"/>
        <v>0.1576593057128724</v>
      </c>
      <c r="BO19" s="16">
        <f t="shared" si="37"/>
        <v>2.2601218550526597E-3</v>
      </c>
      <c r="BP19" s="15"/>
      <c r="BQ19" s="38">
        <f t="shared" si="38"/>
        <v>0.79027962716378164</v>
      </c>
      <c r="BR19" s="38">
        <f t="shared" si="39"/>
        <v>0</v>
      </c>
      <c r="BS19" s="38">
        <f t="shared" si="40"/>
        <v>0.67006669282071396</v>
      </c>
      <c r="BT19" s="38">
        <f t="shared" si="41"/>
        <v>0</v>
      </c>
      <c r="BU19" s="38">
        <f t="shared" si="42"/>
        <v>1.0332272741191409E-2</v>
      </c>
      <c r="BV19" s="38">
        <f t="shared" si="43"/>
        <v>0</v>
      </c>
      <c r="BW19" s="38">
        <f t="shared" si="44"/>
        <v>0</v>
      </c>
      <c r="BX19" s="38">
        <f t="shared" si="45"/>
        <v>0.30777460770328108</v>
      </c>
      <c r="BY19" s="38">
        <f t="shared" si="46"/>
        <v>5.7760567925137146E-2</v>
      </c>
      <c r="BZ19" s="38">
        <f t="shared" si="47"/>
        <v>8.2802547770700636E-4</v>
      </c>
      <c r="CA19" s="38">
        <f t="shared" si="48"/>
        <v>0</v>
      </c>
      <c r="CB19" s="38">
        <f t="shared" si="49"/>
        <v>0</v>
      </c>
      <c r="CC19" s="38">
        <f t="shared" si="50"/>
        <v>0</v>
      </c>
      <c r="CD19" s="38">
        <f t="shared" si="51"/>
        <v>1.8370417938318124</v>
      </c>
      <c r="CE19" s="38">
        <f t="shared" si="52"/>
        <v>2.9330604707045289</v>
      </c>
      <c r="CF19" s="38">
        <f t="shared" si="53"/>
        <v>2.7217671458474002</v>
      </c>
      <c r="CG19" s="38">
        <f t="shared" si="54"/>
        <v>7.9831076259472979</v>
      </c>
      <c r="CH19" s="15"/>
      <c r="CI19" s="16"/>
      <c r="CJ19" s="13"/>
      <c r="CK19" s="104"/>
      <c r="CL19" s="13"/>
      <c r="CM19" s="13"/>
      <c r="CN19" s="13"/>
      <c r="CO19" s="16"/>
      <c r="CP19" s="16"/>
      <c r="CQ19" s="16"/>
      <c r="CR19" s="16"/>
      <c r="CS19" s="16"/>
      <c r="CT19" s="16"/>
      <c r="CU19" s="16"/>
      <c r="CV19" s="16"/>
      <c r="CW19" s="16"/>
      <c r="CX19" s="16"/>
      <c r="CY19" s="104"/>
      <c r="CZ19" s="104"/>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3"/>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row>
    <row r="20" spans="1:167" x14ac:dyDescent="0.25">
      <c r="A20" s="35" t="s">
        <v>83</v>
      </c>
      <c r="B20" s="15">
        <v>81</v>
      </c>
      <c r="C20" s="102" t="s">
        <v>96</v>
      </c>
      <c r="D20" s="102" t="s">
        <v>103</v>
      </c>
      <c r="E20" s="15">
        <v>112</v>
      </c>
      <c r="F20" s="16">
        <v>46.79</v>
      </c>
      <c r="G20" s="16"/>
      <c r="H20" s="16">
        <v>34.39</v>
      </c>
      <c r="I20" s="16"/>
      <c r="J20" s="16">
        <v>0.7081796094663908</v>
      </c>
      <c r="K20" s="16"/>
      <c r="L20" s="16"/>
      <c r="M20" s="16">
        <v>17.190000000000001</v>
      </c>
      <c r="N20" s="16">
        <v>1.69</v>
      </c>
      <c r="O20" s="16">
        <v>4.2999999999999997E-2</v>
      </c>
      <c r="P20" s="16">
        <v>0</v>
      </c>
      <c r="Q20" s="16"/>
      <c r="R20" s="16"/>
      <c r="S20" s="16">
        <f t="shared" si="0"/>
        <v>100.81117960946639</v>
      </c>
      <c r="T20" s="16"/>
      <c r="U20" s="15"/>
      <c r="V20" s="15"/>
      <c r="W20" s="15"/>
      <c r="X20" s="15" t="s">
        <v>185</v>
      </c>
      <c r="Y20" s="15"/>
      <c r="Z20" s="37">
        <v>8</v>
      </c>
      <c r="AA20" s="37">
        <v>5</v>
      </c>
      <c r="AB20" s="15"/>
      <c r="AC20" s="38">
        <f t="shared" si="1"/>
        <v>2.1383984948980288</v>
      </c>
      <c r="AD20" s="38">
        <f t="shared" si="2"/>
        <v>0</v>
      </c>
      <c r="AE20" s="38">
        <f t="shared" si="3"/>
        <v>1.8522425794507822</v>
      </c>
      <c r="AF20" s="38">
        <f t="shared" si="4"/>
        <v>0</v>
      </c>
      <c r="AG20" s="38">
        <f t="shared" si="5"/>
        <v>2.7063388029787749E-2</v>
      </c>
      <c r="AH20" s="38">
        <f t="shared" si="6"/>
        <v>0</v>
      </c>
      <c r="AI20" s="38">
        <f t="shared" si="7"/>
        <v>0</v>
      </c>
      <c r="AJ20" s="38">
        <f t="shared" si="8"/>
        <v>0.8416536101481179</v>
      </c>
      <c r="AK20" s="38">
        <f t="shared" si="9"/>
        <v>0.14973752390337386</v>
      </c>
      <c r="AL20" s="38">
        <f t="shared" si="10"/>
        <v>2.5067617963532066E-3</v>
      </c>
      <c r="AM20" s="38">
        <f t="shared" si="11"/>
        <v>0</v>
      </c>
      <c r="AN20" s="38">
        <f t="shared" si="12"/>
        <v>0</v>
      </c>
      <c r="AO20" s="38">
        <f t="shared" si="13"/>
        <v>0</v>
      </c>
      <c r="AP20" s="38">
        <f t="shared" si="14"/>
        <v>5.011602358226444</v>
      </c>
      <c r="AQ20" s="38">
        <f t="shared" si="15"/>
        <v>3.9906410743488108</v>
      </c>
      <c r="AR20" s="38">
        <f t="shared" si="16"/>
        <v>0.99389789584784505</v>
      </c>
      <c r="AS20" s="40"/>
      <c r="AT20" s="38">
        <f t="shared" si="17"/>
        <v>2.1334478895635955</v>
      </c>
      <c r="AU20" s="38">
        <f t="shared" si="18"/>
        <v>0</v>
      </c>
      <c r="AV20" s="38">
        <f t="shared" si="19"/>
        <v>1.8479544535395585</v>
      </c>
      <c r="AW20" s="38">
        <f t="shared" si="20"/>
        <v>0</v>
      </c>
      <c r="AX20" s="38">
        <f t="shared" si="21"/>
        <v>0</v>
      </c>
      <c r="AY20" s="38">
        <f t="shared" si="22"/>
        <v>2.7000733593083005E-2</v>
      </c>
      <c r="AZ20" s="38">
        <f t="shared" si="23"/>
        <v>0</v>
      </c>
      <c r="BA20" s="38">
        <f t="shared" si="24"/>
        <v>0</v>
      </c>
      <c r="BB20" s="38">
        <f t="shared" si="25"/>
        <v>0.83970509827716144</v>
      </c>
      <c r="BC20" s="38">
        <f t="shared" si="26"/>
        <v>0.14939086663328621</v>
      </c>
      <c r="BD20" s="38">
        <f t="shared" si="27"/>
        <v>2.5009583933154711E-3</v>
      </c>
      <c r="BE20" s="38">
        <f t="shared" si="28"/>
        <v>0</v>
      </c>
      <c r="BF20" s="38">
        <f t="shared" si="29"/>
        <v>0</v>
      </c>
      <c r="BG20" s="38">
        <f t="shared" si="30"/>
        <v>0</v>
      </c>
      <c r="BH20" s="41">
        <f t="shared" si="31"/>
        <v>5.0000000000000009</v>
      </c>
      <c r="BI20" s="42">
        <f t="shared" si="32"/>
        <v>7.9949795706166151</v>
      </c>
      <c r="BJ20" s="38">
        <f t="shared" si="33"/>
        <v>3.981402343103154</v>
      </c>
      <c r="BK20" s="38">
        <f t="shared" si="34"/>
        <v>0.99159692330376303</v>
      </c>
      <c r="BL20" s="16"/>
      <c r="BM20" s="16">
        <f t="shared" si="35"/>
        <v>0.84682100008889238</v>
      </c>
      <c r="BN20" s="16">
        <f t="shared" si="36"/>
        <v>0.15065684767914736</v>
      </c>
      <c r="BO20" s="16">
        <f t="shared" si="37"/>
        <v>2.5221522319602181E-3</v>
      </c>
      <c r="BP20" s="15"/>
      <c r="BQ20" s="38">
        <f t="shared" si="38"/>
        <v>0.77879494007989347</v>
      </c>
      <c r="BR20" s="38">
        <f t="shared" si="39"/>
        <v>0</v>
      </c>
      <c r="BS20" s="38">
        <f t="shared" si="40"/>
        <v>0.67457826598666148</v>
      </c>
      <c r="BT20" s="38">
        <f t="shared" si="41"/>
        <v>0</v>
      </c>
      <c r="BU20" s="38">
        <f t="shared" si="42"/>
        <v>9.8563619967486551E-3</v>
      </c>
      <c r="BV20" s="38">
        <f t="shared" si="43"/>
        <v>0</v>
      </c>
      <c r="BW20" s="38">
        <f t="shared" si="44"/>
        <v>0</v>
      </c>
      <c r="BX20" s="38">
        <f t="shared" si="45"/>
        <v>0.30652639087018546</v>
      </c>
      <c r="BY20" s="38">
        <f t="shared" si="46"/>
        <v>5.4533720555017748E-2</v>
      </c>
      <c r="BZ20" s="38">
        <f t="shared" si="47"/>
        <v>9.1295116772823772E-4</v>
      </c>
      <c r="CA20" s="38">
        <f t="shared" si="48"/>
        <v>0</v>
      </c>
      <c r="CB20" s="38">
        <f t="shared" si="49"/>
        <v>0</v>
      </c>
      <c r="CC20" s="38">
        <f t="shared" si="50"/>
        <v>0</v>
      </c>
      <c r="CD20" s="38">
        <f t="shared" si="51"/>
        <v>1.825202630656235</v>
      </c>
      <c r="CE20" s="38">
        <f t="shared" si="52"/>
        <v>2.9135633678680861</v>
      </c>
      <c r="CF20" s="38">
        <f t="shared" si="53"/>
        <v>2.7394218680269464</v>
      </c>
      <c r="CG20" s="38">
        <f t="shared" si="54"/>
        <v>7.9814792038200739</v>
      </c>
      <c r="CH20" s="15"/>
      <c r="CI20" s="16"/>
      <c r="CJ20" s="13"/>
      <c r="CK20" s="104"/>
      <c r="CL20" s="13"/>
      <c r="CM20" s="13"/>
      <c r="CN20" s="13"/>
      <c r="CO20" s="16"/>
      <c r="CP20" s="16"/>
      <c r="CQ20" s="16"/>
      <c r="CR20" s="16"/>
      <c r="CS20" s="16"/>
      <c r="CT20" s="16"/>
      <c r="CU20" s="16"/>
      <c r="CV20" s="16"/>
      <c r="CW20" s="16"/>
      <c r="CX20" s="16"/>
      <c r="CY20" s="104"/>
      <c r="CZ20" s="104"/>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3"/>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row>
    <row r="21" spans="1:167" x14ac:dyDescent="0.25">
      <c r="A21" s="35" t="s">
        <v>83</v>
      </c>
      <c r="B21" s="15">
        <v>82</v>
      </c>
      <c r="C21" s="102" t="s">
        <v>96</v>
      </c>
      <c r="D21" s="102" t="s">
        <v>103</v>
      </c>
      <c r="E21" s="15">
        <v>113</v>
      </c>
      <c r="F21" s="16">
        <v>45.71</v>
      </c>
      <c r="G21" s="16"/>
      <c r="H21" s="16">
        <v>35.22</v>
      </c>
      <c r="I21" s="16"/>
      <c r="J21" s="16">
        <v>0.66588679924412852</v>
      </c>
      <c r="K21" s="16"/>
      <c r="L21" s="16"/>
      <c r="M21" s="16">
        <v>18.57</v>
      </c>
      <c r="N21" s="16">
        <v>1.0900000000000001</v>
      </c>
      <c r="O21" s="16">
        <v>1.6E-2</v>
      </c>
      <c r="P21" s="16">
        <v>0</v>
      </c>
      <c r="Q21" s="16"/>
      <c r="R21" s="16"/>
      <c r="S21" s="16">
        <f t="shared" si="0"/>
        <v>101.27188679924414</v>
      </c>
      <c r="T21" s="16"/>
      <c r="U21" s="15"/>
      <c r="V21" s="15"/>
      <c r="W21" s="15"/>
      <c r="X21" s="15" t="s">
        <v>185</v>
      </c>
      <c r="Y21" s="15"/>
      <c r="Z21" s="37">
        <v>8</v>
      </c>
      <c r="AA21" s="37">
        <v>5</v>
      </c>
      <c r="AB21" s="15"/>
      <c r="AC21" s="38">
        <f t="shared" si="1"/>
        <v>2.0872341482999448</v>
      </c>
      <c r="AD21" s="38">
        <f t="shared" si="2"/>
        <v>0</v>
      </c>
      <c r="AE21" s="38">
        <f t="shared" si="3"/>
        <v>1.895306249585865</v>
      </c>
      <c r="AF21" s="38">
        <f t="shared" si="4"/>
        <v>0</v>
      </c>
      <c r="AG21" s="38">
        <f t="shared" si="5"/>
        <v>2.5425149020586339E-2</v>
      </c>
      <c r="AH21" s="38">
        <f t="shared" si="6"/>
        <v>0</v>
      </c>
      <c r="AI21" s="38">
        <f t="shared" si="7"/>
        <v>0</v>
      </c>
      <c r="AJ21" s="38">
        <f t="shared" si="8"/>
        <v>0.9084348214798752</v>
      </c>
      <c r="AK21" s="38">
        <f t="shared" si="9"/>
        <v>9.6492774902051423E-2</v>
      </c>
      <c r="AL21" s="38">
        <f t="shared" si="10"/>
        <v>9.3194213964886685E-4</v>
      </c>
      <c r="AM21" s="38">
        <f t="shared" si="11"/>
        <v>0</v>
      </c>
      <c r="AN21" s="38">
        <f t="shared" si="12"/>
        <v>0</v>
      </c>
      <c r="AO21" s="38">
        <f t="shared" si="13"/>
        <v>0</v>
      </c>
      <c r="AP21" s="38">
        <f t="shared" si="14"/>
        <v>5.0138250854279711</v>
      </c>
      <c r="AQ21" s="38">
        <f t="shared" si="15"/>
        <v>3.9825403978858098</v>
      </c>
      <c r="AR21" s="38">
        <f t="shared" si="16"/>
        <v>1.0058595385215754</v>
      </c>
      <c r="AS21" s="40"/>
      <c r="AT21" s="38">
        <f t="shared" si="17"/>
        <v>2.0814788237888657</v>
      </c>
      <c r="AU21" s="38">
        <f t="shared" si="18"/>
        <v>0</v>
      </c>
      <c r="AV21" s="38">
        <f t="shared" si="19"/>
        <v>1.8900801456898897</v>
      </c>
      <c r="AW21" s="38">
        <f t="shared" si="20"/>
        <v>0</v>
      </c>
      <c r="AX21" s="38">
        <f t="shared" si="21"/>
        <v>0</v>
      </c>
      <c r="AY21" s="38">
        <f t="shared" si="22"/>
        <v>2.5355041896536454E-2</v>
      </c>
      <c r="AZ21" s="38">
        <f t="shared" si="23"/>
        <v>0</v>
      </c>
      <c r="BA21" s="38">
        <f t="shared" si="24"/>
        <v>0</v>
      </c>
      <c r="BB21" s="38">
        <f t="shared" si="25"/>
        <v>0.90592990980092469</v>
      </c>
      <c r="BC21" s="38">
        <f t="shared" si="26"/>
        <v>9.6226706414724236E-2</v>
      </c>
      <c r="BD21" s="38">
        <f t="shared" si="27"/>
        <v>9.2937240905893877E-4</v>
      </c>
      <c r="BE21" s="38">
        <f t="shared" si="28"/>
        <v>0</v>
      </c>
      <c r="BF21" s="38">
        <f t="shared" si="29"/>
        <v>0</v>
      </c>
      <c r="BG21" s="38">
        <f t="shared" si="30"/>
        <v>0</v>
      </c>
      <c r="BH21" s="41">
        <f t="shared" si="31"/>
        <v>5</v>
      </c>
      <c r="BI21" s="42">
        <f t="shared" si="32"/>
        <v>7.9906183781701872</v>
      </c>
      <c r="BJ21" s="38">
        <f t="shared" si="33"/>
        <v>3.9715589694787554</v>
      </c>
      <c r="BK21" s="38">
        <f t="shared" si="34"/>
        <v>1.0030859886247079</v>
      </c>
      <c r="BL21" s="16"/>
      <c r="BM21" s="16">
        <f t="shared" si="35"/>
        <v>0.90314282132782053</v>
      </c>
      <c r="BN21" s="16">
        <f t="shared" si="36"/>
        <v>9.5930665472316032E-2</v>
      </c>
      <c r="BO21" s="16">
        <f t="shared" si="37"/>
        <v>9.2651319986351854E-4</v>
      </c>
      <c r="BP21" s="15"/>
      <c r="BQ21" s="38">
        <f t="shared" si="38"/>
        <v>0.76081890812250341</v>
      </c>
      <c r="BR21" s="38">
        <f t="shared" si="39"/>
        <v>0</v>
      </c>
      <c r="BS21" s="38">
        <f t="shared" si="40"/>
        <v>0.69085916045508045</v>
      </c>
      <c r="BT21" s="38">
        <f t="shared" si="41"/>
        <v>0</v>
      </c>
      <c r="BU21" s="38">
        <f t="shared" si="42"/>
        <v>9.2677355496747198E-3</v>
      </c>
      <c r="BV21" s="38">
        <f t="shared" si="43"/>
        <v>0</v>
      </c>
      <c r="BW21" s="38">
        <f t="shared" si="44"/>
        <v>0</v>
      </c>
      <c r="BX21" s="38">
        <f t="shared" si="45"/>
        <v>0.33113409415121259</v>
      </c>
      <c r="BY21" s="38">
        <f t="shared" si="46"/>
        <v>3.5172636334301392E-2</v>
      </c>
      <c r="BZ21" s="38">
        <f t="shared" si="47"/>
        <v>3.3970276008492571E-4</v>
      </c>
      <c r="CA21" s="38">
        <f t="shared" si="48"/>
        <v>0</v>
      </c>
      <c r="CB21" s="38">
        <f t="shared" si="49"/>
        <v>0</v>
      </c>
      <c r="CC21" s="38">
        <f t="shared" si="50"/>
        <v>0</v>
      </c>
      <c r="CD21" s="38">
        <f t="shared" si="51"/>
        <v>1.8275922373728575</v>
      </c>
      <c r="CE21" s="38">
        <f t="shared" si="52"/>
        <v>2.9160845561757083</v>
      </c>
      <c r="CF21" s="38">
        <f t="shared" si="53"/>
        <v>2.7358400291672509</v>
      </c>
      <c r="CG21" s="38">
        <f t="shared" si="54"/>
        <v>7.9779408572219195</v>
      </c>
      <c r="CH21" s="15"/>
      <c r="CI21" s="16"/>
      <c r="CJ21" s="13"/>
      <c r="CK21" s="104"/>
      <c r="CL21" s="13"/>
      <c r="CM21" s="13"/>
      <c r="CN21" s="13"/>
      <c r="CO21" s="16"/>
      <c r="CP21" s="16"/>
      <c r="CQ21" s="16"/>
      <c r="CR21" s="16"/>
      <c r="CS21" s="16"/>
      <c r="CT21" s="16"/>
      <c r="CU21" s="16"/>
      <c r="CV21" s="16"/>
      <c r="CW21" s="16"/>
      <c r="CX21" s="16"/>
      <c r="CY21" s="104"/>
      <c r="CZ21" s="104"/>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3"/>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row>
    <row r="22" spans="1:167" x14ac:dyDescent="0.25">
      <c r="A22" s="35" t="s">
        <v>83</v>
      </c>
      <c r="B22" s="15">
        <v>83</v>
      </c>
      <c r="C22" s="102" t="s">
        <v>96</v>
      </c>
      <c r="D22" s="102" t="s">
        <v>103</v>
      </c>
      <c r="E22" s="15">
        <v>114</v>
      </c>
      <c r="F22" s="16">
        <v>46.59</v>
      </c>
      <c r="G22" s="16"/>
      <c r="H22" s="16">
        <v>34.520000000000003</v>
      </c>
      <c r="I22" s="16"/>
      <c r="J22" s="16">
        <v>0.58220102582560973</v>
      </c>
      <c r="K22" s="16"/>
      <c r="L22" s="16"/>
      <c r="M22" s="16">
        <v>17.73</v>
      </c>
      <c r="N22" s="16">
        <v>1.63</v>
      </c>
      <c r="O22" s="16">
        <v>1.4E-2</v>
      </c>
      <c r="P22" s="16">
        <v>0</v>
      </c>
      <c r="Q22" s="16"/>
      <c r="R22" s="16"/>
      <c r="S22" s="16">
        <f t="shared" si="0"/>
        <v>101.06620102582562</v>
      </c>
      <c r="T22" s="16"/>
      <c r="U22" s="15"/>
      <c r="V22" s="15"/>
      <c r="W22" s="15"/>
      <c r="X22" s="15" t="s">
        <v>185</v>
      </c>
      <c r="Y22" s="15"/>
      <c r="Z22" s="37">
        <v>8</v>
      </c>
      <c r="AA22" s="37">
        <v>5</v>
      </c>
      <c r="AB22" s="15"/>
      <c r="AC22" s="38">
        <f t="shared" si="1"/>
        <v>2.1265086289675779</v>
      </c>
      <c r="AD22" s="38">
        <f t="shared" si="2"/>
        <v>0</v>
      </c>
      <c r="AE22" s="38">
        <f t="shared" si="3"/>
        <v>1.856843573008065</v>
      </c>
      <c r="AF22" s="38">
        <f t="shared" si="4"/>
        <v>0</v>
      </c>
      <c r="AG22" s="38">
        <f t="shared" si="5"/>
        <v>2.2220332673924051E-2</v>
      </c>
      <c r="AH22" s="38">
        <f t="shared" si="6"/>
        <v>0</v>
      </c>
      <c r="AI22" s="38">
        <f t="shared" si="7"/>
        <v>0</v>
      </c>
      <c r="AJ22" s="38">
        <f t="shared" si="8"/>
        <v>0.86697204379136295</v>
      </c>
      <c r="AK22" s="38">
        <f t="shared" si="9"/>
        <v>0.14423491105200864</v>
      </c>
      <c r="AL22" s="38">
        <f t="shared" si="10"/>
        <v>8.151011229081119E-4</v>
      </c>
      <c r="AM22" s="38">
        <f t="shared" si="11"/>
        <v>0</v>
      </c>
      <c r="AN22" s="38">
        <f t="shared" si="12"/>
        <v>0</v>
      </c>
      <c r="AO22" s="38">
        <f t="shared" si="13"/>
        <v>0</v>
      </c>
      <c r="AP22" s="38">
        <f t="shared" si="14"/>
        <v>5.0175945906158477</v>
      </c>
      <c r="AQ22" s="38">
        <f t="shared" si="15"/>
        <v>3.9833522019756429</v>
      </c>
      <c r="AR22" s="38">
        <f t="shared" si="16"/>
        <v>1.0120220559662796</v>
      </c>
      <c r="AS22" s="40"/>
      <c r="AT22" s="38">
        <f t="shared" si="17"/>
        <v>2.1190518589770879</v>
      </c>
      <c r="AU22" s="38">
        <f t="shared" si="18"/>
        <v>0</v>
      </c>
      <c r="AV22" s="38">
        <f t="shared" si="19"/>
        <v>1.8503324047750147</v>
      </c>
      <c r="AW22" s="38">
        <f t="shared" si="20"/>
        <v>0</v>
      </c>
      <c r="AX22" s="38">
        <f t="shared" si="21"/>
        <v>0</v>
      </c>
      <c r="AY22" s="38">
        <f t="shared" si="22"/>
        <v>2.214241532733794E-2</v>
      </c>
      <c r="AZ22" s="38">
        <f t="shared" si="23"/>
        <v>0</v>
      </c>
      <c r="BA22" s="38">
        <f t="shared" si="24"/>
        <v>0</v>
      </c>
      <c r="BB22" s="38">
        <f t="shared" si="25"/>
        <v>0.8639319380374183</v>
      </c>
      <c r="BC22" s="38">
        <f t="shared" si="26"/>
        <v>0.14372913997651773</v>
      </c>
      <c r="BD22" s="38">
        <f t="shared" si="27"/>
        <v>8.1224290662357853E-4</v>
      </c>
      <c r="BE22" s="38">
        <f t="shared" si="28"/>
        <v>0</v>
      </c>
      <c r="BF22" s="38">
        <f t="shared" si="29"/>
        <v>0</v>
      </c>
      <c r="BG22" s="38">
        <f t="shared" si="30"/>
        <v>0</v>
      </c>
      <c r="BH22" s="41">
        <f t="shared" si="31"/>
        <v>5</v>
      </c>
      <c r="BI22" s="42">
        <f t="shared" si="32"/>
        <v>7.9830185775866935</v>
      </c>
      <c r="BJ22" s="38">
        <f t="shared" si="33"/>
        <v>3.9693842637521026</v>
      </c>
      <c r="BK22" s="38">
        <f t="shared" si="34"/>
        <v>1.0084733209205596</v>
      </c>
      <c r="BL22" s="16"/>
      <c r="BM22" s="16">
        <f t="shared" si="35"/>
        <v>0.85667307217289568</v>
      </c>
      <c r="BN22" s="16">
        <f t="shared" si="36"/>
        <v>0.14252150948853878</v>
      </c>
      <c r="BO22" s="16">
        <f t="shared" si="37"/>
        <v>8.0541833856560819E-4</v>
      </c>
      <c r="BP22" s="15"/>
      <c r="BQ22" s="38">
        <f t="shared" si="38"/>
        <v>0.77546604527296947</v>
      </c>
      <c r="BR22" s="38">
        <f t="shared" si="39"/>
        <v>0</v>
      </c>
      <c r="BS22" s="38">
        <f t="shared" si="40"/>
        <v>0.67712828560219707</v>
      </c>
      <c r="BT22" s="38">
        <f t="shared" si="41"/>
        <v>0</v>
      </c>
      <c r="BU22" s="38">
        <f t="shared" si="42"/>
        <v>8.1030066224858695E-3</v>
      </c>
      <c r="BV22" s="38">
        <f t="shared" si="43"/>
        <v>0</v>
      </c>
      <c r="BW22" s="38">
        <f t="shared" si="44"/>
        <v>0</v>
      </c>
      <c r="BX22" s="38">
        <f t="shared" si="45"/>
        <v>0.31615549215406563</v>
      </c>
      <c r="BY22" s="38">
        <f t="shared" si="46"/>
        <v>5.2597612132946107E-2</v>
      </c>
      <c r="BZ22" s="38">
        <f t="shared" si="47"/>
        <v>2.9723991507430998E-4</v>
      </c>
      <c r="CA22" s="38">
        <f t="shared" si="48"/>
        <v>0</v>
      </c>
      <c r="CB22" s="38">
        <f t="shared" si="49"/>
        <v>0</v>
      </c>
      <c r="CC22" s="38">
        <f t="shared" si="50"/>
        <v>0</v>
      </c>
      <c r="CD22" s="38">
        <f t="shared" si="51"/>
        <v>1.8297476816997384</v>
      </c>
      <c r="CE22" s="38">
        <f t="shared" si="52"/>
        <v>2.9173304437497967</v>
      </c>
      <c r="CF22" s="38">
        <f t="shared" si="53"/>
        <v>2.7326172072836106</v>
      </c>
      <c r="CG22" s="38">
        <f t="shared" si="54"/>
        <v>7.9719473699230257</v>
      </c>
      <c r="CH22" s="15"/>
      <c r="CI22" s="16"/>
      <c r="CJ22" s="13"/>
      <c r="CK22" s="104"/>
      <c r="CL22" s="13"/>
      <c r="CM22" s="13"/>
      <c r="CN22" s="13"/>
      <c r="CO22" s="16"/>
      <c r="CP22" s="16"/>
      <c r="CQ22" s="16"/>
      <c r="CR22" s="16"/>
      <c r="CS22" s="16"/>
      <c r="CT22" s="16"/>
      <c r="CU22" s="16"/>
      <c r="CV22" s="16"/>
      <c r="CW22" s="16"/>
      <c r="CX22" s="16"/>
      <c r="CY22" s="104"/>
      <c r="CZ22" s="104"/>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3"/>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row>
    <row r="23" spans="1:167" x14ac:dyDescent="0.25">
      <c r="A23" s="35" t="s">
        <v>83</v>
      </c>
      <c r="B23" s="15">
        <v>84</v>
      </c>
      <c r="C23" s="102" t="s">
        <v>96</v>
      </c>
      <c r="D23" s="102" t="s">
        <v>103</v>
      </c>
      <c r="E23" s="15">
        <v>115</v>
      </c>
      <c r="F23" s="16">
        <v>47.02</v>
      </c>
      <c r="G23" s="16"/>
      <c r="H23" s="16">
        <v>34.200000000000003</v>
      </c>
      <c r="I23" s="16"/>
      <c r="J23" s="16">
        <v>0.75587150184468643</v>
      </c>
      <c r="K23" s="16"/>
      <c r="L23" s="16"/>
      <c r="M23" s="16">
        <v>17.350000000000001</v>
      </c>
      <c r="N23" s="16">
        <v>1.71</v>
      </c>
      <c r="O23" s="16">
        <v>4.7E-2</v>
      </c>
      <c r="P23" s="16">
        <v>0</v>
      </c>
      <c r="Q23" s="16"/>
      <c r="R23" s="16"/>
      <c r="S23" s="16">
        <f t="shared" si="0"/>
        <v>101.08287150184468</v>
      </c>
      <c r="T23" s="16"/>
      <c r="U23" s="15"/>
      <c r="V23" s="15"/>
      <c r="W23" s="15"/>
      <c r="X23" s="15" t="s">
        <v>185</v>
      </c>
      <c r="Y23" s="15"/>
      <c r="Z23" s="37">
        <v>8</v>
      </c>
      <c r="AA23" s="37">
        <v>5</v>
      </c>
      <c r="AB23" s="15"/>
      <c r="AC23" s="38">
        <f t="shared" si="1"/>
        <v>2.1445319202818927</v>
      </c>
      <c r="AD23" s="38">
        <f t="shared" si="2"/>
        <v>0</v>
      </c>
      <c r="AE23" s="38">
        <f t="shared" si="3"/>
        <v>1.8382564099049257</v>
      </c>
      <c r="AF23" s="38">
        <f t="shared" si="4"/>
        <v>0</v>
      </c>
      <c r="AG23" s="38">
        <f t="shared" si="5"/>
        <v>2.8827103894641912E-2</v>
      </c>
      <c r="AH23" s="38">
        <f t="shared" si="6"/>
        <v>0</v>
      </c>
      <c r="AI23" s="38">
        <f t="shared" si="7"/>
        <v>0</v>
      </c>
      <c r="AJ23" s="38">
        <f t="shared" si="8"/>
        <v>0.84775681218254229</v>
      </c>
      <c r="AK23" s="38">
        <f t="shared" si="9"/>
        <v>0.15120089025000502</v>
      </c>
      <c r="AL23" s="38">
        <f t="shared" si="10"/>
        <v>2.7343667532789481E-3</v>
      </c>
      <c r="AM23" s="38">
        <f t="shared" si="11"/>
        <v>0</v>
      </c>
      <c r="AN23" s="38">
        <f t="shared" si="12"/>
        <v>0</v>
      </c>
      <c r="AO23" s="38">
        <f t="shared" si="13"/>
        <v>0</v>
      </c>
      <c r="AP23" s="38">
        <f t="shared" si="14"/>
        <v>5.0133075032672858</v>
      </c>
      <c r="AQ23" s="38">
        <f t="shared" si="15"/>
        <v>3.9827883301868185</v>
      </c>
      <c r="AR23" s="38">
        <f t="shared" si="16"/>
        <v>1.0016920691858262</v>
      </c>
      <c r="AS23" s="40"/>
      <c r="AT23" s="38">
        <f t="shared" si="17"/>
        <v>2.1388393978269358</v>
      </c>
      <c r="AU23" s="38">
        <f t="shared" si="18"/>
        <v>0</v>
      </c>
      <c r="AV23" s="38">
        <f t="shared" si="19"/>
        <v>1.8333768761510161</v>
      </c>
      <c r="AW23" s="38">
        <f t="shared" si="20"/>
        <v>0</v>
      </c>
      <c r="AX23" s="38">
        <f t="shared" si="21"/>
        <v>0</v>
      </c>
      <c r="AY23" s="38">
        <f t="shared" si="22"/>
        <v>2.8750584196016931E-2</v>
      </c>
      <c r="AZ23" s="38">
        <f t="shared" si="23"/>
        <v>0</v>
      </c>
      <c r="BA23" s="38">
        <f t="shared" si="24"/>
        <v>0</v>
      </c>
      <c r="BB23" s="38">
        <f t="shared" si="25"/>
        <v>0.84550649609069439</v>
      </c>
      <c r="BC23" s="38">
        <f t="shared" si="26"/>
        <v>0.15079953718325073</v>
      </c>
      <c r="BD23" s="38">
        <f t="shared" si="27"/>
        <v>2.7271085520855234E-3</v>
      </c>
      <c r="BE23" s="38">
        <f t="shared" si="28"/>
        <v>0</v>
      </c>
      <c r="BF23" s="38">
        <f t="shared" si="29"/>
        <v>0</v>
      </c>
      <c r="BG23" s="38">
        <f t="shared" si="30"/>
        <v>0</v>
      </c>
      <c r="BH23" s="41">
        <f t="shared" si="31"/>
        <v>4.9999999999999991</v>
      </c>
      <c r="BI23" s="42">
        <f t="shared" si="32"/>
        <v>7.9931398051327838</v>
      </c>
      <c r="BJ23" s="38">
        <f t="shared" si="33"/>
        <v>3.9722162739779519</v>
      </c>
      <c r="BK23" s="38">
        <f t="shared" si="34"/>
        <v>0.99903314182603065</v>
      </c>
      <c r="BL23" s="16"/>
      <c r="BM23" s="16">
        <f t="shared" si="35"/>
        <v>0.84632477211444601</v>
      </c>
      <c r="BN23" s="16">
        <f t="shared" si="36"/>
        <v>0.15094548005446512</v>
      </c>
      <c r="BO23" s="16">
        <f t="shared" si="37"/>
        <v>2.7297478310888868E-3</v>
      </c>
      <c r="BP23" s="15"/>
      <c r="BQ23" s="38">
        <f t="shared" si="38"/>
        <v>0.78262316910785623</v>
      </c>
      <c r="BR23" s="38">
        <f t="shared" si="39"/>
        <v>0</v>
      </c>
      <c r="BS23" s="38">
        <f t="shared" si="40"/>
        <v>0.67085131424087885</v>
      </c>
      <c r="BT23" s="38">
        <f t="shared" si="41"/>
        <v>0</v>
      </c>
      <c r="BU23" s="38">
        <f t="shared" si="42"/>
        <v>1.0520132245576708E-2</v>
      </c>
      <c r="BV23" s="38">
        <f t="shared" si="43"/>
        <v>0</v>
      </c>
      <c r="BW23" s="38">
        <f t="shared" si="44"/>
        <v>0</v>
      </c>
      <c r="BX23" s="38">
        <f t="shared" si="45"/>
        <v>0.30937945791726107</v>
      </c>
      <c r="BY23" s="38">
        <f t="shared" si="46"/>
        <v>5.517909002904163E-2</v>
      </c>
      <c r="BZ23" s="38">
        <f t="shared" si="47"/>
        <v>9.9787685774946908E-4</v>
      </c>
      <c r="CA23" s="38">
        <f t="shared" si="48"/>
        <v>0</v>
      </c>
      <c r="CB23" s="38">
        <f t="shared" si="49"/>
        <v>0</v>
      </c>
      <c r="CC23" s="38">
        <f t="shared" si="50"/>
        <v>0</v>
      </c>
      <c r="CD23" s="38">
        <f t="shared" si="51"/>
        <v>1.8295510403983641</v>
      </c>
      <c r="CE23" s="38">
        <f t="shared" si="52"/>
        <v>2.9195113831832642</v>
      </c>
      <c r="CF23" s="38">
        <f t="shared" si="53"/>
        <v>2.7329109107069822</v>
      </c>
      <c r="CG23" s="38">
        <f t="shared" si="54"/>
        <v>7.9787645130347755</v>
      </c>
      <c r="CH23" s="15"/>
      <c r="CI23" s="16"/>
      <c r="CJ23" s="13"/>
      <c r="CK23" s="104"/>
      <c r="CL23" s="13"/>
      <c r="CM23" s="13"/>
      <c r="CN23" s="13"/>
      <c r="CO23" s="16"/>
      <c r="CP23" s="16"/>
      <c r="CQ23" s="16"/>
      <c r="CR23" s="16"/>
      <c r="CS23" s="16"/>
      <c r="CT23" s="16"/>
      <c r="CU23" s="16"/>
      <c r="CV23" s="16"/>
      <c r="CW23" s="16"/>
      <c r="CX23" s="16"/>
      <c r="CY23" s="104"/>
      <c r="CZ23" s="104"/>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3"/>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row>
    <row r="24" spans="1:167" x14ac:dyDescent="0.25">
      <c r="A24" s="35" t="s">
        <v>83</v>
      </c>
      <c r="B24" s="15">
        <v>85</v>
      </c>
      <c r="C24" s="102" t="s">
        <v>96</v>
      </c>
      <c r="D24" s="102" t="s">
        <v>103</v>
      </c>
      <c r="E24" s="15">
        <v>116</v>
      </c>
      <c r="F24" s="16">
        <v>46</v>
      </c>
      <c r="G24" s="16"/>
      <c r="H24" s="16">
        <v>34.94</v>
      </c>
      <c r="I24" s="16"/>
      <c r="J24" s="16">
        <v>0.66678664627013406</v>
      </c>
      <c r="K24" s="16"/>
      <c r="L24" s="16"/>
      <c r="M24" s="16">
        <v>17.91</v>
      </c>
      <c r="N24" s="16">
        <v>1.41</v>
      </c>
      <c r="O24" s="16">
        <v>1.7999999999999999E-2</v>
      </c>
      <c r="P24" s="16">
        <v>0</v>
      </c>
      <c r="Q24" s="16"/>
      <c r="R24" s="16"/>
      <c r="S24" s="16">
        <f t="shared" si="0"/>
        <v>100.94478664627013</v>
      </c>
      <c r="T24" s="16"/>
      <c r="U24" s="15"/>
      <c r="V24" s="15"/>
      <c r="W24" s="15"/>
      <c r="X24" s="15" t="s">
        <v>185</v>
      </c>
      <c r="Y24" s="15"/>
      <c r="Z24" s="37">
        <v>8</v>
      </c>
      <c r="AA24" s="37">
        <v>5</v>
      </c>
      <c r="AB24" s="15"/>
      <c r="AC24" s="38">
        <f t="shared" si="1"/>
        <v>2.104197428124047</v>
      </c>
      <c r="AD24" s="38">
        <f t="shared" si="2"/>
        <v>0</v>
      </c>
      <c r="AE24" s="38">
        <f t="shared" si="3"/>
        <v>1.8835694905804254</v>
      </c>
      <c r="AF24" s="38">
        <f t="shared" si="4"/>
        <v>0</v>
      </c>
      <c r="AG24" s="38">
        <f t="shared" si="5"/>
        <v>2.5504610701957465E-2</v>
      </c>
      <c r="AH24" s="38">
        <f t="shared" si="6"/>
        <v>0</v>
      </c>
      <c r="AI24" s="38">
        <f t="shared" si="7"/>
        <v>0</v>
      </c>
      <c r="AJ24" s="38">
        <f t="shared" si="8"/>
        <v>0.87770012185120516</v>
      </c>
      <c r="AK24" s="38">
        <f t="shared" si="9"/>
        <v>0.1250420583702925</v>
      </c>
      <c r="AL24" s="38">
        <f t="shared" si="10"/>
        <v>1.0502922859182446E-3</v>
      </c>
      <c r="AM24" s="38">
        <f t="shared" si="11"/>
        <v>0</v>
      </c>
      <c r="AN24" s="38">
        <f t="shared" si="12"/>
        <v>0</v>
      </c>
      <c r="AO24" s="38">
        <f t="shared" si="13"/>
        <v>0</v>
      </c>
      <c r="AP24" s="38">
        <f t="shared" si="14"/>
        <v>5.0170640019138455</v>
      </c>
      <c r="AQ24" s="38">
        <f t="shared" si="15"/>
        <v>3.9877669187044722</v>
      </c>
      <c r="AR24" s="38">
        <f t="shared" si="16"/>
        <v>1.0037924725074161</v>
      </c>
      <c r="AS24" s="40"/>
      <c r="AT24" s="38">
        <f t="shared" si="17"/>
        <v>2.0970406470012786</v>
      </c>
      <c r="AU24" s="38">
        <f t="shared" si="18"/>
        <v>0</v>
      </c>
      <c r="AV24" s="38">
        <f t="shared" si="19"/>
        <v>1.87716310760826</v>
      </c>
      <c r="AW24" s="38">
        <f t="shared" si="20"/>
        <v>0</v>
      </c>
      <c r="AX24" s="38">
        <f t="shared" si="21"/>
        <v>0</v>
      </c>
      <c r="AY24" s="38">
        <f t="shared" si="22"/>
        <v>2.5417864603908075E-2</v>
      </c>
      <c r="AZ24" s="38">
        <f t="shared" si="23"/>
        <v>0</v>
      </c>
      <c r="BA24" s="38">
        <f t="shared" si="24"/>
        <v>0</v>
      </c>
      <c r="BB24" s="38">
        <f t="shared" si="25"/>
        <v>0.87471489452435858</v>
      </c>
      <c r="BC24" s="38">
        <f t="shared" si="26"/>
        <v>0.12461676622282779</v>
      </c>
      <c r="BD24" s="38">
        <f t="shared" si="27"/>
        <v>1.0467200393672401E-3</v>
      </c>
      <c r="BE24" s="38">
        <f t="shared" si="28"/>
        <v>0</v>
      </c>
      <c r="BF24" s="38">
        <f t="shared" si="29"/>
        <v>0</v>
      </c>
      <c r="BG24" s="38">
        <f t="shared" si="30"/>
        <v>0</v>
      </c>
      <c r="BH24" s="41">
        <f t="shared" si="31"/>
        <v>5.0000000000000009</v>
      </c>
      <c r="BI24" s="42">
        <f t="shared" si="32"/>
        <v>7.9854993899762645</v>
      </c>
      <c r="BJ24" s="38">
        <f t="shared" si="33"/>
        <v>3.9742037546095386</v>
      </c>
      <c r="BK24" s="38">
        <f t="shared" si="34"/>
        <v>1.0003783807865536</v>
      </c>
      <c r="BL24" s="16"/>
      <c r="BM24" s="16">
        <f t="shared" si="35"/>
        <v>0.87438404440188766</v>
      </c>
      <c r="BN24" s="16">
        <f t="shared" si="36"/>
        <v>0.12456963146769233</v>
      </c>
      <c r="BO24" s="16">
        <f t="shared" si="37"/>
        <v>1.0463241304197815E-3</v>
      </c>
      <c r="BP24" s="15"/>
      <c r="BQ24" s="38">
        <f t="shared" si="38"/>
        <v>0.76564580559254325</v>
      </c>
      <c r="BR24" s="38">
        <f t="shared" si="39"/>
        <v>0</v>
      </c>
      <c r="BS24" s="38">
        <f t="shared" si="40"/>
        <v>0.68536681051392701</v>
      </c>
      <c r="BT24" s="38">
        <f t="shared" si="41"/>
        <v>0</v>
      </c>
      <c r="BU24" s="38">
        <f t="shared" si="42"/>
        <v>9.2802595166337383E-3</v>
      </c>
      <c r="BV24" s="38">
        <f t="shared" si="43"/>
        <v>0</v>
      </c>
      <c r="BW24" s="38">
        <f t="shared" si="44"/>
        <v>0</v>
      </c>
      <c r="BX24" s="38">
        <f t="shared" si="45"/>
        <v>0.31936519258202567</v>
      </c>
      <c r="BY24" s="38">
        <f t="shared" si="46"/>
        <v>4.5498547918683449E-2</v>
      </c>
      <c r="BZ24" s="38">
        <f t="shared" si="47"/>
        <v>3.8216560509554134E-4</v>
      </c>
      <c r="CA24" s="38">
        <f t="shared" si="48"/>
        <v>0</v>
      </c>
      <c r="CB24" s="38">
        <f t="shared" si="49"/>
        <v>0</v>
      </c>
      <c r="CC24" s="38">
        <f t="shared" si="50"/>
        <v>0</v>
      </c>
      <c r="CD24" s="38">
        <f t="shared" si="51"/>
        <v>1.8255387817289084</v>
      </c>
      <c r="CE24" s="38">
        <f t="shared" si="52"/>
        <v>2.9109276358165261</v>
      </c>
      <c r="CF24" s="38">
        <f t="shared" si="53"/>
        <v>2.7389174363442788</v>
      </c>
      <c r="CG24" s="38">
        <f t="shared" si="54"/>
        <v>7.9727904576743125</v>
      </c>
      <c r="CH24" s="15"/>
      <c r="CI24" s="16"/>
      <c r="CJ24" s="13"/>
      <c r="CK24" s="104"/>
      <c r="CL24" s="13"/>
      <c r="CM24" s="13"/>
      <c r="CN24" s="13"/>
      <c r="CO24" s="16"/>
      <c r="CP24" s="16"/>
      <c r="CQ24" s="16"/>
      <c r="CR24" s="16"/>
      <c r="CS24" s="16"/>
      <c r="CT24" s="16"/>
      <c r="CU24" s="16"/>
      <c r="CV24" s="16"/>
      <c r="CW24" s="16"/>
      <c r="CX24" s="16"/>
      <c r="CY24" s="104"/>
      <c r="CZ24" s="104"/>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3"/>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row>
    <row r="25" spans="1:167" x14ac:dyDescent="0.25">
      <c r="A25" s="35" t="s">
        <v>83</v>
      </c>
      <c r="B25" s="15">
        <v>86</v>
      </c>
      <c r="C25" s="102" t="s">
        <v>96</v>
      </c>
      <c r="D25" s="102" t="s">
        <v>103</v>
      </c>
      <c r="E25" s="15">
        <v>117</v>
      </c>
      <c r="F25" s="16">
        <v>45.38</v>
      </c>
      <c r="G25" s="16"/>
      <c r="H25" s="16">
        <v>35.69</v>
      </c>
      <c r="I25" s="16"/>
      <c r="J25" s="16">
        <v>0.51291280482318002</v>
      </c>
      <c r="K25" s="16"/>
      <c r="L25" s="16"/>
      <c r="M25" s="16">
        <v>18.39</v>
      </c>
      <c r="N25" s="16">
        <v>1.032</v>
      </c>
      <c r="O25" s="16">
        <v>8.9999999999999993E-3</v>
      </c>
      <c r="P25" s="16">
        <v>0</v>
      </c>
      <c r="Q25" s="16"/>
      <c r="R25" s="16"/>
      <c r="S25" s="16">
        <f t="shared" si="0"/>
        <v>101.01391280482316</v>
      </c>
      <c r="T25" s="16"/>
      <c r="U25" s="15"/>
      <c r="V25" s="15"/>
      <c r="W25" s="15"/>
      <c r="X25" s="15" t="s">
        <v>185</v>
      </c>
      <c r="Y25" s="15"/>
      <c r="Z25" s="37">
        <v>8</v>
      </c>
      <c r="AA25" s="37">
        <v>5</v>
      </c>
      <c r="AB25" s="15"/>
      <c r="AC25" s="38">
        <f t="shared" si="1"/>
        <v>2.0746593522767203</v>
      </c>
      <c r="AD25" s="38">
        <f t="shared" si="2"/>
        <v>0</v>
      </c>
      <c r="AE25" s="38">
        <f t="shared" si="3"/>
        <v>1.9229099531716864</v>
      </c>
      <c r="AF25" s="38">
        <f t="shared" si="4"/>
        <v>0</v>
      </c>
      <c r="AG25" s="38">
        <f t="shared" si="5"/>
        <v>1.960780591314663E-2</v>
      </c>
      <c r="AH25" s="38">
        <f t="shared" si="6"/>
        <v>0</v>
      </c>
      <c r="AI25" s="38">
        <f t="shared" si="7"/>
        <v>0</v>
      </c>
      <c r="AJ25" s="38">
        <f t="shared" si="8"/>
        <v>0.90071201254912647</v>
      </c>
      <c r="AK25" s="38">
        <f t="shared" si="9"/>
        <v>9.1468246107552054E-2</v>
      </c>
      <c r="AL25" s="38">
        <f t="shared" si="10"/>
        <v>5.2484834596227181E-4</v>
      </c>
      <c r="AM25" s="38">
        <f t="shared" si="11"/>
        <v>0</v>
      </c>
      <c r="AN25" s="38">
        <f t="shared" si="12"/>
        <v>0</v>
      </c>
      <c r="AO25" s="38">
        <f t="shared" si="13"/>
        <v>0</v>
      </c>
      <c r="AP25" s="38">
        <f t="shared" si="14"/>
        <v>5.0098822183641936</v>
      </c>
      <c r="AQ25" s="38">
        <f t="shared" si="15"/>
        <v>3.9975693054484065</v>
      </c>
      <c r="AR25" s="38">
        <f t="shared" si="16"/>
        <v>0.99270510700264081</v>
      </c>
      <c r="AS25" s="40"/>
      <c r="AT25" s="38">
        <f t="shared" si="17"/>
        <v>2.0705669932437347</v>
      </c>
      <c r="AU25" s="38">
        <f t="shared" si="18"/>
        <v>0</v>
      </c>
      <c r="AV25" s="38">
        <f t="shared" si="19"/>
        <v>1.9191169266645423</v>
      </c>
      <c r="AW25" s="38">
        <f t="shared" si="20"/>
        <v>0</v>
      </c>
      <c r="AX25" s="38">
        <f t="shared" si="21"/>
        <v>0</v>
      </c>
      <c r="AY25" s="38">
        <f t="shared" si="22"/>
        <v>1.9569128632677603E-2</v>
      </c>
      <c r="AZ25" s="38">
        <f t="shared" si="23"/>
        <v>0</v>
      </c>
      <c r="BA25" s="38">
        <f t="shared" si="24"/>
        <v>0</v>
      </c>
      <c r="BB25" s="38">
        <f t="shared" si="25"/>
        <v>0.89893531752850586</v>
      </c>
      <c r="BC25" s="38">
        <f t="shared" si="26"/>
        <v>9.1287820871583172E-2</v>
      </c>
      <c r="BD25" s="38">
        <f t="shared" si="27"/>
        <v>5.2381305895614762E-4</v>
      </c>
      <c r="BE25" s="38">
        <f t="shared" si="28"/>
        <v>0</v>
      </c>
      <c r="BF25" s="38">
        <f t="shared" si="29"/>
        <v>0</v>
      </c>
      <c r="BG25" s="38">
        <f t="shared" si="30"/>
        <v>0</v>
      </c>
      <c r="BH25" s="41">
        <f t="shared" si="31"/>
        <v>5</v>
      </c>
      <c r="BI25" s="42">
        <f t="shared" si="32"/>
        <v>7.9940042039270747</v>
      </c>
      <c r="BJ25" s="38">
        <f t="shared" si="33"/>
        <v>3.989683919908277</v>
      </c>
      <c r="BK25" s="38">
        <f t="shared" si="34"/>
        <v>0.99074695145904512</v>
      </c>
      <c r="BL25" s="16"/>
      <c r="BM25" s="16">
        <f t="shared" si="35"/>
        <v>0.90733089433650949</v>
      </c>
      <c r="BN25" s="16">
        <f t="shared" si="36"/>
        <v>9.2140400469712433E-2</v>
      </c>
      <c r="BO25" s="16">
        <f t="shared" si="37"/>
        <v>5.287051937780306E-4</v>
      </c>
      <c r="BP25" s="15"/>
      <c r="BQ25" s="38">
        <f t="shared" si="38"/>
        <v>0.7553262316910786</v>
      </c>
      <c r="BR25" s="38">
        <f t="shared" si="39"/>
        <v>0</v>
      </c>
      <c r="BS25" s="38">
        <f t="shared" si="40"/>
        <v>0.70007846214201652</v>
      </c>
      <c r="BT25" s="38">
        <f t="shared" si="41"/>
        <v>0</v>
      </c>
      <c r="BU25" s="38">
        <f t="shared" si="42"/>
        <v>7.1386611666413372E-3</v>
      </c>
      <c r="BV25" s="38">
        <f t="shared" si="43"/>
        <v>0</v>
      </c>
      <c r="BW25" s="38">
        <f t="shared" si="44"/>
        <v>0</v>
      </c>
      <c r="BX25" s="38">
        <f t="shared" si="45"/>
        <v>0.32792439372325249</v>
      </c>
      <c r="BY25" s="38">
        <f t="shared" si="46"/>
        <v>3.3301064859632142E-2</v>
      </c>
      <c r="BZ25" s="38">
        <f t="shared" si="47"/>
        <v>1.9108280254777067E-4</v>
      </c>
      <c r="CA25" s="38">
        <f t="shared" si="48"/>
        <v>0</v>
      </c>
      <c r="CB25" s="38">
        <f t="shared" si="49"/>
        <v>0</v>
      </c>
      <c r="CC25" s="38">
        <f t="shared" si="50"/>
        <v>0</v>
      </c>
      <c r="CD25" s="38">
        <f t="shared" si="51"/>
        <v>1.8239598963851689</v>
      </c>
      <c r="CE25" s="38">
        <f t="shared" si="52"/>
        <v>2.9125792853161658</v>
      </c>
      <c r="CF25" s="38">
        <f t="shared" si="53"/>
        <v>2.7412883418705061</v>
      </c>
      <c r="CG25" s="38">
        <f t="shared" si="54"/>
        <v>7.9842196396107354</v>
      </c>
      <c r="CH25" s="15"/>
      <c r="CI25" s="16"/>
      <c r="CJ25" s="13"/>
      <c r="CK25" s="104"/>
      <c r="CL25" s="13"/>
      <c r="CM25" s="13"/>
      <c r="CN25" s="13"/>
      <c r="CO25" s="16"/>
      <c r="CP25" s="16"/>
      <c r="CQ25" s="16"/>
      <c r="CR25" s="16"/>
      <c r="CS25" s="16"/>
      <c r="CT25" s="16"/>
      <c r="CU25" s="16"/>
      <c r="CV25" s="16"/>
      <c r="CW25" s="16"/>
      <c r="CX25" s="16"/>
      <c r="CY25" s="104"/>
      <c r="CZ25" s="104"/>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3"/>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row>
    <row r="26" spans="1:167" x14ac:dyDescent="0.25">
      <c r="A26" s="35" t="s">
        <v>83</v>
      </c>
      <c r="B26" s="15">
        <v>97</v>
      </c>
      <c r="C26" s="102" t="s">
        <v>96</v>
      </c>
      <c r="D26" s="102" t="s">
        <v>103</v>
      </c>
      <c r="E26" s="15">
        <v>128</v>
      </c>
      <c r="F26" s="16">
        <v>45.19</v>
      </c>
      <c r="G26" s="16">
        <v>9.5000000000000001E-2</v>
      </c>
      <c r="H26" s="16">
        <v>35</v>
      </c>
      <c r="I26" s="16"/>
      <c r="J26" s="16">
        <v>0.76200000000000001</v>
      </c>
      <c r="K26" s="16">
        <v>1.2E-2</v>
      </c>
      <c r="L26" s="16">
        <v>9.0999999999999998E-2</v>
      </c>
      <c r="M26" s="16">
        <v>18.079999999999998</v>
      </c>
      <c r="N26" s="16">
        <v>1.105</v>
      </c>
      <c r="O26" s="16">
        <v>0</v>
      </c>
      <c r="P26" s="16">
        <v>0.14499999999999999</v>
      </c>
      <c r="Q26" s="16"/>
      <c r="R26" s="16"/>
      <c r="S26" s="16">
        <f t="shared" si="0"/>
        <v>100.47999999999999</v>
      </c>
      <c r="T26" s="16"/>
      <c r="U26" s="15"/>
      <c r="V26" s="15"/>
      <c r="W26" s="15"/>
      <c r="X26" s="15" t="s">
        <v>185</v>
      </c>
      <c r="Y26" s="15"/>
      <c r="Z26" s="37">
        <v>8</v>
      </c>
      <c r="AA26" s="37">
        <v>5</v>
      </c>
      <c r="AB26" s="15"/>
      <c r="AC26" s="38">
        <f t="shared" si="1"/>
        <v>2.078599287724566</v>
      </c>
      <c r="AD26" s="38">
        <f t="shared" si="2"/>
        <v>3.2865777130557348E-3</v>
      </c>
      <c r="AE26" s="38">
        <f t="shared" si="3"/>
        <v>1.8972587743720395</v>
      </c>
      <c r="AF26" s="38">
        <f t="shared" si="4"/>
        <v>0</v>
      </c>
      <c r="AG26" s="38">
        <f t="shared" si="5"/>
        <v>2.930802515793807E-2</v>
      </c>
      <c r="AH26" s="38">
        <f t="shared" si="6"/>
        <v>4.6746426670821975E-4</v>
      </c>
      <c r="AI26" s="38">
        <f t="shared" si="7"/>
        <v>6.2401453108055852E-3</v>
      </c>
      <c r="AJ26" s="38">
        <f t="shared" si="8"/>
        <v>0.89094065717350568</v>
      </c>
      <c r="AK26" s="38">
        <f t="shared" si="9"/>
        <v>9.8536937086454293E-2</v>
      </c>
      <c r="AL26" s="38">
        <f t="shared" si="10"/>
        <v>0</v>
      </c>
      <c r="AM26" s="38">
        <f t="shared" si="11"/>
        <v>5.6461388458042844E-3</v>
      </c>
      <c r="AN26" s="38">
        <f t="shared" si="12"/>
        <v>0</v>
      </c>
      <c r="AO26" s="38">
        <f t="shared" si="13"/>
        <v>0</v>
      </c>
      <c r="AP26" s="38">
        <f t="shared" si="14"/>
        <v>5.0102840076508768</v>
      </c>
      <c r="AQ26" s="38">
        <f t="shared" si="15"/>
        <v>3.9758580620966057</v>
      </c>
      <c r="AR26" s="38">
        <f t="shared" si="16"/>
        <v>0.98947759425995996</v>
      </c>
      <c r="AS26" s="40"/>
      <c r="AT26" s="38">
        <f t="shared" si="17"/>
        <v>2.0743327968539038</v>
      </c>
      <c r="AU26" s="38">
        <f t="shared" si="18"/>
        <v>3.279831750093424E-3</v>
      </c>
      <c r="AV26" s="38">
        <f t="shared" si="19"/>
        <v>1.8933644993725498</v>
      </c>
      <c r="AW26" s="38">
        <f t="shared" si="20"/>
        <v>0</v>
      </c>
      <c r="AX26" s="38">
        <f t="shared" si="21"/>
        <v>0</v>
      </c>
      <c r="AY26" s="38">
        <f t="shared" si="22"/>
        <v>2.9247868098079565E-2</v>
      </c>
      <c r="AZ26" s="38">
        <f t="shared" si="23"/>
        <v>4.6650475900606185E-4</v>
      </c>
      <c r="BA26" s="38">
        <f t="shared" si="24"/>
        <v>6.2273369147104896E-3</v>
      </c>
      <c r="BB26" s="38">
        <f t="shared" si="25"/>
        <v>0.8891119303945727</v>
      </c>
      <c r="BC26" s="38">
        <f t="shared" si="26"/>
        <v>9.8334682161714745E-2</v>
      </c>
      <c r="BD26" s="38">
        <f t="shared" si="27"/>
        <v>0</v>
      </c>
      <c r="BE26" s="38">
        <f t="shared" si="28"/>
        <v>5.6345496953689985E-3</v>
      </c>
      <c r="BF26" s="38">
        <f t="shared" si="29"/>
        <v>0</v>
      </c>
      <c r="BG26" s="38">
        <f t="shared" si="30"/>
        <v>0</v>
      </c>
      <c r="BH26" s="41">
        <f t="shared" si="31"/>
        <v>5</v>
      </c>
      <c r="BI26" s="42">
        <f t="shared" si="32"/>
        <v>7.9982032958015079</v>
      </c>
      <c r="BJ26" s="38">
        <f t="shared" si="33"/>
        <v>3.9676972962264534</v>
      </c>
      <c r="BK26" s="38">
        <f t="shared" si="34"/>
        <v>0.98744661255628741</v>
      </c>
      <c r="BL26" s="16"/>
      <c r="BM26" s="16">
        <f t="shared" si="35"/>
        <v>0.90041519114927404</v>
      </c>
      <c r="BN26" s="16">
        <f t="shared" si="36"/>
        <v>9.9584808850725959E-2</v>
      </c>
      <c r="BO26" s="16">
        <f t="shared" si="37"/>
        <v>0</v>
      </c>
      <c r="BP26" s="15"/>
      <c r="BQ26" s="38">
        <f t="shared" si="38"/>
        <v>0.7521637816245007</v>
      </c>
      <c r="BR26" s="38">
        <f t="shared" si="39"/>
        <v>1.1892839258888332E-3</v>
      </c>
      <c r="BS26" s="38">
        <f t="shared" si="40"/>
        <v>0.68654374264417428</v>
      </c>
      <c r="BT26" s="38">
        <f t="shared" si="41"/>
        <v>0</v>
      </c>
      <c r="BU26" s="38">
        <f t="shared" si="42"/>
        <v>1.0605427974947809E-2</v>
      </c>
      <c r="BV26" s="38">
        <f t="shared" si="43"/>
        <v>1.6915703411333522E-4</v>
      </c>
      <c r="BW26" s="38">
        <f t="shared" si="44"/>
        <v>2.2580645161290325E-3</v>
      </c>
      <c r="BX26" s="38">
        <f t="shared" si="45"/>
        <v>0.32239657631954349</v>
      </c>
      <c r="BY26" s="38">
        <f t="shared" si="46"/>
        <v>3.5656663439819297E-2</v>
      </c>
      <c r="BZ26" s="38">
        <f t="shared" si="47"/>
        <v>0</v>
      </c>
      <c r="CA26" s="38">
        <f t="shared" si="48"/>
        <v>2.0431168099196845E-3</v>
      </c>
      <c r="CB26" s="38">
        <f t="shared" si="49"/>
        <v>0</v>
      </c>
      <c r="CC26" s="38">
        <f t="shared" si="50"/>
        <v>0</v>
      </c>
      <c r="CD26" s="38">
        <f t="shared" si="51"/>
        <v>1.8130258142890365</v>
      </c>
      <c r="CE26" s="38">
        <f t="shared" si="52"/>
        <v>2.8948870946564833</v>
      </c>
      <c r="CF26" s="38">
        <f t="shared" si="53"/>
        <v>2.7578206336575022</v>
      </c>
      <c r="CG26" s="38">
        <f t="shared" si="54"/>
        <v>7.9835793617524686</v>
      </c>
      <c r="CH26" s="15"/>
      <c r="CI26" s="16"/>
      <c r="CJ26" s="13"/>
      <c r="CK26" s="104"/>
      <c r="CL26" s="13"/>
      <c r="CM26" s="13"/>
      <c r="CN26" s="13"/>
      <c r="CO26" s="16"/>
      <c r="CP26" s="16"/>
      <c r="CQ26" s="16"/>
      <c r="CR26" s="16"/>
      <c r="CS26" s="16"/>
      <c r="CT26" s="16"/>
      <c r="CU26" s="16"/>
      <c r="CV26" s="16"/>
      <c r="CW26" s="16"/>
      <c r="CX26" s="16"/>
      <c r="CY26" s="104"/>
      <c r="CZ26" s="104"/>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3"/>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row>
    <row r="27" spans="1:167" x14ac:dyDescent="0.25">
      <c r="A27" s="35" t="s">
        <v>249</v>
      </c>
      <c r="B27" s="15">
        <v>124.39999999999998</v>
      </c>
      <c r="C27" s="102" t="s">
        <v>95</v>
      </c>
      <c r="D27" s="102" t="s">
        <v>104</v>
      </c>
      <c r="E27" s="15">
        <v>155.39999999999998</v>
      </c>
      <c r="F27" s="16">
        <v>50.33</v>
      </c>
      <c r="G27" s="16">
        <v>3.6999999999999998E-2</v>
      </c>
      <c r="H27" s="16">
        <v>29.85</v>
      </c>
      <c r="I27" s="16">
        <v>1.4E-2</v>
      </c>
      <c r="J27" s="16">
        <v>1.0900000000000001</v>
      </c>
      <c r="K27" s="16">
        <v>0.02</v>
      </c>
      <c r="L27" s="16">
        <v>0.48799999999999999</v>
      </c>
      <c r="M27" s="16">
        <v>14.43</v>
      </c>
      <c r="N27" s="16">
        <v>3.17</v>
      </c>
      <c r="O27" s="16">
        <v>0.105</v>
      </c>
      <c r="P27" s="16">
        <v>0.11</v>
      </c>
      <c r="Q27" s="16"/>
      <c r="R27" s="16"/>
      <c r="S27" s="16">
        <f t="shared" si="0"/>
        <v>99.643999999999991</v>
      </c>
      <c r="T27" s="16"/>
      <c r="U27" s="15"/>
      <c r="V27" s="15"/>
      <c r="W27" s="15"/>
      <c r="X27" s="15" t="s">
        <v>252</v>
      </c>
      <c r="Y27" s="15" t="s">
        <v>260</v>
      </c>
      <c r="Z27" s="37">
        <v>8</v>
      </c>
      <c r="AA27" s="37">
        <v>5</v>
      </c>
      <c r="AB27" s="15"/>
      <c r="AC27" s="38">
        <f t="shared" si="1"/>
        <v>2.31419059534799</v>
      </c>
      <c r="AD27" s="38">
        <f t="shared" si="2"/>
        <v>1.2795751161599263E-3</v>
      </c>
      <c r="AE27" s="38">
        <f t="shared" si="3"/>
        <v>1.6175086887936021</v>
      </c>
      <c r="AF27" s="38">
        <f t="shared" si="4"/>
        <v>5.0891486243012738E-4</v>
      </c>
      <c r="AG27" s="38">
        <f t="shared" si="5"/>
        <v>4.1908473623333851E-2</v>
      </c>
      <c r="AH27" s="38">
        <f t="shared" si="6"/>
        <v>7.7882687523415234E-4</v>
      </c>
      <c r="AI27" s="38">
        <f t="shared" si="7"/>
        <v>3.3451599903481455E-2</v>
      </c>
      <c r="AJ27" s="38">
        <f t="shared" si="8"/>
        <v>0.71082131791643055</v>
      </c>
      <c r="AK27" s="38">
        <f t="shared" si="9"/>
        <v>0.28257894794656524</v>
      </c>
      <c r="AL27" s="38">
        <f t="shared" si="10"/>
        <v>6.1584370971938755E-3</v>
      </c>
      <c r="AM27" s="38">
        <f t="shared" si="11"/>
        <v>4.2817370989165736E-3</v>
      </c>
      <c r="AN27" s="38">
        <f t="shared" si="12"/>
        <v>0</v>
      </c>
      <c r="AO27" s="38">
        <f t="shared" si="13"/>
        <v>0</v>
      </c>
      <c r="AP27" s="38">
        <f t="shared" si="14"/>
        <v>5.0134671145813368</v>
      </c>
      <c r="AQ27" s="38">
        <f t="shared" si="15"/>
        <v>3.9316992841415921</v>
      </c>
      <c r="AR27" s="38">
        <f t="shared" si="16"/>
        <v>0.99955870296018967</v>
      </c>
      <c r="AS27" s="40"/>
      <c r="AT27" s="38">
        <f t="shared" si="17"/>
        <v>2.3079742446273555</v>
      </c>
      <c r="AU27" s="38">
        <f t="shared" si="18"/>
        <v>1.2761379369961028E-3</v>
      </c>
      <c r="AV27" s="38">
        <f t="shared" si="19"/>
        <v>1.6131637565639805</v>
      </c>
      <c r="AW27" s="38">
        <f t="shared" si="20"/>
        <v>5.0754782149660686E-4</v>
      </c>
      <c r="AX27" s="38">
        <f t="shared" si="21"/>
        <v>0</v>
      </c>
      <c r="AY27" s="38">
        <f t="shared" si="22"/>
        <v>4.1795899589573283E-2</v>
      </c>
      <c r="AZ27" s="38">
        <f t="shared" si="23"/>
        <v>7.7673479992417416E-4</v>
      </c>
      <c r="BA27" s="38">
        <f t="shared" si="24"/>
        <v>3.3361742621378421E-2</v>
      </c>
      <c r="BB27" s="38">
        <f t="shared" si="25"/>
        <v>0.70891191831003908</v>
      </c>
      <c r="BC27" s="38">
        <f t="shared" si="26"/>
        <v>0.28181988780249806</v>
      </c>
      <c r="BD27" s="38">
        <f t="shared" si="27"/>
        <v>6.1418943781265346E-3</v>
      </c>
      <c r="BE27" s="38">
        <f t="shared" si="28"/>
        <v>4.2702355486320277E-3</v>
      </c>
      <c r="BF27" s="38">
        <f t="shared" si="29"/>
        <v>0</v>
      </c>
      <c r="BG27" s="38">
        <f t="shared" si="30"/>
        <v>0</v>
      </c>
      <c r="BH27" s="41">
        <f t="shared" si="31"/>
        <v>5</v>
      </c>
      <c r="BI27" s="42">
        <f t="shared" si="32"/>
        <v>7.9994084467845141</v>
      </c>
      <c r="BJ27" s="38">
        <f t="shared" si="33"/>
        <v>3.9211380011913359</v>
      </c>
      <c r="BK27" s="38">
        <f t="shared" si="34"/>
        <v>0.99687370049066371</v>
      </c>
      <c r="BL27" s="16"/>
      <c r="BM27" s="16">
        <f t="shared" si="35"/>
        <v>0.71113513974850662</v>
      </c>
      <c r="BN27" s="16">
        <f t="shared" si="36"/>
        <v>0.28270370425439612</v>
      </c>
      <c r="BO27" s="16">
        <f t="shared" si="37"/>
        <v>6.161155997097204E-3</v>
      </c>
      <c r="BP27" s="15"/>
      <c r="BQ27" s="38">
        <f t="shared" si="38"/>
        <v>0.83771637816245004</v>
      </c>
      <c r="BR27" s="38">
        <f t="shared" si="39"/>
        <v>4.6319479218828242E-4</v>
      </c>
      <c r="BS27" s="38">
        <f t="shared" si="40"/>
        <v>0.58552373479796005</v>
      </c>
      <c r="BT27" s="38">
        <f t="shared" si="41"/>
        <v>1.8422264622672542E-4</v>
      </c>
      <c r="BU27" s="38">
        <f t="shared" si="42"/>
        <v>1.5170494084899098E-2</v>
      </c>
      <c r="BV27" s="38">
        <f t="shared" si="43"/>
        <v>2.8192839018889202E-4</v>
      </c>
      <c r="BW27" s="38">
        <f t="shared" si="44"/>
        <v>1.2109181141439206E-2</v>
      </c>
      <c r="BX27" s="38">
        <f t="shared" si="45"/>
        <v>0.25731098430813126</v>
      </c>
      <c r="BY27" s="38">
        <f t="shared" si="46"/>
        <v>0.10229106163278477</v>
      </c>
      <c r="BZ27" s="38">
        <f t="shared" si="47"/>
        <v>2.2292993630573248E-3</v>
      </c>
      <c r="CA27" s="38">
        <f t="shared" si="48"/>
        <v>1.5499506833873467E-3</v>
      </c>
      <c r="CB27" s="38">
        <f t="shared" si="49"/>
        <v>0</v>
      </c>
      <c r="CC27" s="38">
        <f t="shared" si="50"/>
        <v>0</v>
      </c>
      <c r="CD27" s="38">
        <f t="shared" si="51"/>
        <v>1.8148304300027127</v>
      </c>
      <c r="CE27" s="38">
        <f t="shared" si="52"/>
        <v>2.8959287272066048</v>
      </c>
      <c r="CF27" s="38">
        <f t="shared" si="53"/>
        <v>2.7550783353310457</v>
      </c>
      <c r="CG27" s="38">
        <f t="shared" si="54"/>
        <v>7.9785104969897267</v>
      </c>
      <c r="CH27" s="15"/>
      <c r="CI27" s="16"/>
      <c r="CJ27" s="13"/>
      <c r="CK27" s="104"/>
      <c r="CL27" s="13"/>
      <c r="CM27" s="13"/>
      <c r="CN27" s="13"/>
      <c r="CO27" s="16"/>
      <c r="CP27" s="16"/>
      <c r="CQ27" s="16"/>
      <c r="CR27" s="16"/>
      <c r="CS27" s="16"/>
      <c r="CT27" s="16"/>
      <c r="CU27" s="16"/>
      <c r="CV27" s="16"/>
      <c r="CW27" s="16"/>
      <c r="CX27" s="16"/>
      <c r="CY27" s="104"/>
      <c r="CZ27" s="104"/>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3"/>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row>
    <row r="28" spans="1:167" x14ac:dyDescent="0.25">
      <c r="A28" s="35" t="s">
        <v>249</v>
      </c>
      <c r="B28" s="15">
        <v>126</v>
      </c>
      <c r="C28" s="102" t="s">
        <v>95</v>
      </c>
      <c r="D28" s="102" t="s">
        <v>104</v>
      </c>
      <c r="E28" s="15">
        <v>157</v>
      </c>
      <c r="F28" s="16">
        <v>48.81</v>
      </c>
      <c r="G28" s="16"/>
      <c r="H28" s="16">
        <v>32.71</v>
      </c>
      <c r="I28" s="16"/>
      <c r="J28" s="16">
        <v>0.58220102582560973</v>
      </c>
      <c r="K28" s="16"/>
      <c r="L28" s="16"/>
      <c r="M28" s="16">
        <v>15.38</v>
      </c>
      <c r="N28" s="16">
        <v>2.72</v>
      </c>
      <c r="O28" s="16">
        <v>0.113</v>
      </c>
      <c r="P28" s="16">
        <v>0</v>
      </c>
      <c r="Q28" s="16"/>
      <c r="R28" s="16"/>
      <c r="S28" s="16">
        <f t="shared" si="0"/>
        <v>100.31520102582562</v>
      </c>
      <c r="T28" s="16"/>
      <c r="U28" s="15"/>
      <c r="V28" s="15"/>
      <c r="W28" s="15"/>
      <c r="X28" s="15" t="s">
        <v>185</v>
      </c>
      <c r="Y28" s="15"/>
      <c r="Z28" s="37">
        <v>8</v>
      </c>
      <c r="AA28" s="37">
        <v>5</v>
      </c>
      <c r="AB28" s="15"/>
      <c r="AC28" s="38">
        <f t="shared" si="1"/>
        <v>2.2298401506192085</v>
      </c>
      <c r="AD28" s="38">
        <f t="shared" si="2"/>
        <v>0</v>
      </c>
      <c r="AE28" s="38">
        <f t="shared" si="3"/>
        <v>1.7610657080297663</v>
      </c>
      <c r="AF28" s="38">
        <f t="shared" si="4"/>
        <v>0</v>
      </c>
      <c r="AG28" s="38">
        <f t="shared" si="5"/>
        <v>2.2240320491984104E-2</v>
      </c>
      <c r="AH28" s="38">
        <f t="shared" si="6"/>
        <v>0</v>
      </c>
      <c r="AI28" s="38">
        <f t="shared" si="7"/>
        <v>0</v>
      </c>
      <c r="AJ28" s="38">
        <f t="shared" si="8"/>
        <v>0.75273685114890143</v>
      </c>
      <c r="AK28" s="38">
        <f t="shared" si="9"/>
        <v>0.24090298163594587</v>
      </c>
      <c r="AL28" s="38">
        <f t="shared" si="10"/>
        <v>6.5849485161535966E-3</v>
      </c>
      <c r="AM28" s="38">
        <f t="shared" si="11"/>
        <v>0</v>
      </c>
      <c r="AN28" s="38">
        <f t="shared" si="12"/>
        <v>0</v>
      </c>
      <c r="AO28" s="38">
        <f t="shared" si="13"/>
        <v>0</v>
      </c>
      <c r="AP28" s="38">
        <f t="shared" si="14"/>
        <v>5.0133709604419598</v>
      </c>
      <c r="AQ28" s="38">
        <f t="shared" si="15"/>
        <v>3.9909058586489747</v>
      </c>
      <c r="AR28" s="38">
        <f t="shared" si="16"/>
        <v>1.0002247813010008</v>
      </c>
      <c r="AS28" s="40"/>
      <c r="AT28" s="38">
        <f t="shared" si="17"/>
        <v>2.2238930334636899</v>
      </c>
      <c r="AU28" s="38">
        <f t="shared" si="18"/>
        <v>0</v>
      </c>
      <c r="AV28" s="38">
        <f t="shared" si="19"/>
        <v>1.7563688403725439</v>
      </c>
      <c r="AW28" s="38">
        <f t="shared" si="20"/>
        <v>0</v>
      </c>
      <c r="AX28" s="38">
        <f t="shared" si="21"/>
        <v>0</v>
      </c>
      <c r="AY28" s="38">
        <f t="shared" si="22"/>
        <v>2.2181004225970427E-2</v>
      </c>
      <c r="AZ28" s="38">
        <f t="shared" si="23"/>
        <v>0</v>
      </c>
      <c r="BA28" s="38">
        <f t="shared" si="24"/>
        <v>0</v>
      </c>
      <c r="BB28" s="38">
        <f t="shared" si="25"/>
        <v>0.75072925690954961</v>
      </c>
      <c r="BC28" s="38">
        <f t="shared" si="26"/>
        <v>0.24026047896394723</v>
      </c>
      <c r="BD28" s="38">
        <f t="shared" si="27"/>
        <v>6.5673860642990328E-3</v>
      </c>
      <c r="BE28" s="38">
        <f t="shared" si="28"/>
        <v>0</v>
      </c>
      <c r="BF28" s="38">
        <f t="shared" si="29"/>
        <v>0</v>
      </c>
      <c r="BG28" s="38">
        <f t="shared" si="30"/>
        <v>0</v>
      </c>
      <c r="BH28" s="41">
        <f t="shared" si="31"/>
        <v>5</v>
      </c>
      <c r="BI28" s="42">
        <f t="shared" si="32"/>
        <v>7.9897540232488238</v>
      </c>
      <c r="BJ28" s="38">
        <f t="shared" si="33"/>
        <v>3.9802618738362341</v>
      </c>
      <c r="BK28" s="38">
        <f t="shared" si="34"/>
        <v>0.99755712193779589</v>
      </c>
      <c r="BL28" s="16"/>
      <c r="BM28" s="16">
        <f t="shared" si="35"/>
        <v>0.75256768800490048</v>
      </c>
      <c r="BN28" s="16">
        <f t="shared" si="36"/>
        <v>0.24084884331959996</v>
      </c>
      <c r="BO28" s="16">
        <f t="shared" si="37"/>
        <v>6.5834686754996201E-3</v>
      </c>
      <c r="BP28" s="15"/>
      <c r="BQ28" s="38">
        <f t="shared" si="38"/>
        <v>0.812416777629827</v>
      </c>
      <c r="BR28" s="38">
        <f t="shared" si="39"/>
        <v>0</v>
      </c>
      <c r="BS28" s="38">
        <f t="shared" si="40"/>
        <v>0.64162416633974118</v>
      </c>
      <c r="BT28" s="38">
        <f t="shared" si="41"/>
        <v>0</v>
      </c>
      <c r="BU28" s="38">
        <f t="shared" si="42"/>
        <v>8.1030066224858695E-3</v>
      </c>
      <c r="BV28" s="38">
        <f t="shared" si="43"/>
        <v>0</v>
      </c>
      <c r="BW28" s="38">
        <f t="shared" si="44"/>
        <v>0</v>
      </c>
      <c r="BX28" s="38">
        <f t="shared" si="45"/>
        <v>0.2742510699001427</v>
      </c>
      <c r="BY28" s="38">
        <f t="shared" si="46"/>
        <v>8.7770248467247514E-2</v>
      </c>
      <c r="BZ28" s="38">
        <f t="shared" si="47"/>
        <v>2.3991507430997875E-3</v>
      </c>
      <c r="CA28" s="38">
        <f t="shared" si="48"/>
        <v>0</v>
      </c>
      <c r="CB28" s="38">
        <f t="shared" si="49"/>
        <v>0</v>
      </c>
      <c r="CC28" s="38">
        <f t="shared" si="50"/>
        <v>0</v>
      </c>
      <c r="CD28" s="38">
        <f t="shared" si="51"/>
        <v>1.8265644197025441</v>
      </c>
      <c r="CE28" s="38">
        <f t="shared" si="52"/>
        <v>2.9147085808970674</v>
      </c>
      <c r="CF28" s="38">
        <f t="shared" si="53"/>
        <v>2.7373795011370308</v>
      </c>
      <c r="CG28" s="38">
        <f t="shared" si="54"/>
        <v>7.9786635211358377</v>
      </c>
      <c r="CH28" s="15"/>
      <c r="CI28" s="16"/>
      <c r="CJ28" s="13"/>
      <c r="CK28" s="104"/>
      <c r="CL28" s="13"/>
      <c r="CM28" s="13"/>
      <c r="CN28" s="13"/>
      <c r="CO28" s="16"/>
      <c r="CP28" s="16"/>
      <c r="CQ28" s="16"/>
      <c r="CR28" s="16"/>
      <c r="CS28" s="16"/>
      <c r="CT28" s="16"/>
      <c r="CU28" s="16"/>
      <c r="CV28" s="16"/>
      <c r="CW28" s="16"/>
      <c r="CX28" s="16"/>
      <c r="CY28" s="104"/>
      <c r="CZ28" s="104"/>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3"/>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row>
    <row r="29" spans="1:167" x14ac:dyDescent="0.25">
      <c r="A29" s="35" t="s">
        <v>249</v>
      </c>
      <c r="B29" s="15">
        <v>127</v>
      </c>
      <c r="C29" s="102" t="s">
        <v>95</v>
      </c>
      <c r="D29" s="102" t="s">
        <v>104</v>
      </c>
      <c r="E29" s="15">
        <v>158</v>
      </c>
      <c r="F29" s="16">
        <v>53.56</v>
      </c>
      <c r="G29" s="16"/>
      <c r="H29" s="16">
        <v>29.88</v>
      </c>
      <c r="I29" s="16"/>
      <c r="J29" s="16">
        <v>0.716278232700441</v>
      </c>
      <c r="K29" s="16"/>
      <c r="L29" s="16"/>
      <c r="M29" s="16">
        <v>11.93</v>
      </c>
      <c r="N29" s="16">
        <v>4.91</v>
      </c>
      <c r="O29" s="16">
        <v>0.19900000000000001</v>
      </c>
      <c r="P29" s="16">
        <v>0</v>
      </c>
      <c r="Q29" s="16"/>
      <c r="R29" s="16"/>
      <c r="S29" s="16">
        <f t="shared" si="0"/>
        <v>101.19527823270043</v>
      </c>
      <c r="T29" s="16"/>
      <c r="U29" s="15"/>
      <c r="V29" s="15"/>
      <c r="W29" s="15"/>
      <c r="X29" s="15" t="s">
        <v>185</v>
      </c>
      <c r="Y29" s="15"/>
      <c r="Z29" s="37">
        <v>8</v>
      </c>
      <c r="AA29" s="37">
        <v>5</v>
      </c>
      <c r="AB29" s="15"/>
      <c r="AC29" s="38">
        <f t="shared" si="1"/>
        <v>2.4043988655602249</v>
      </c>
      <c r="AD29" s="38">
        <f t="shared" si="2"/>
        <v>0</v>
      </c>
      <c r="AE29" s="38">
        <f t="shared" si="3"/>
        <v>1.580798925534727</v>
      </c>
      <c r="AF29" s="38">
        <f t="shared" si="4"/>
        <v>0</v>
      </c>
      <c r="AG29" s="38">
        <f t="shared" si="5"/>
        <v>2.6887526471118785E-2</v>
      </c>
      <c r="AH29" s="38">
        <f t="shared" si="6"/>
        <v>0</v>
      </c>
      <c r="AI29" s="38">
        <f t="shared" si="7"/>
        <v>0</v>
      </c>
      <c r="AJ29" s="38">
        <f t="shared" si="8"/>
        <v>0.5737574117436588</v>
      </c>
      <c r="AK29" s="38">
        <f t="shared" si="9"/>
        <v>0.42732252500230405</v>
      </c>
      <c r="AL29" s="38">
        <f t="shared" si="10"/>
        <v>1.1395359723059483E-2</v>
      </c>
      <c r="AM29" s="38">
        <f t="shared" si="11"/>
        <v>0</v>
      </c>
      <c r="AN29" s="38">
        <f t="shared" si="12"/>
        <v>0</v>
      </c>
      <c r="AO29" s="38">
        <f t="shared" si="13"/>
        <v>0</v>
      </c>
      <c r="AP29" s="38">
        <f t="shared" si="14"/>
        <v>5.0245606140350922</v>
      </c>
      <c r="AQ29" s="38">
        <f t="shared" si="15"/>
        <v>3.9851977910949516</v>
      </c>
      <c r="AR29" s="38">
        <f t="shared" si="16"/>
        <v>1.0124752964690222</v>
      </c>
      <c r="AS29" s="40"/>
      <c r="AT29" s="38">
        <f t="shared" si="17"/>
        <v>2.3926458950898346</v>
      </c>
      <c r="AU29" s="38">
        <f t="shared" si="18"/>
        <v>0</v>
      </c>
      <c r="AV29" s="38">
        <f t="shared" si="19"/>
        <v>1.5730718036509355</v>
      </c>
      <c r="AW29" s="38">
        <f t="shared" si="20"/>
        <v>0</v>
      </c>
      <c r="AX29" s="38">
        <f t="shared" si="21"/>
        <v>0</v>
      </c>
      <c r="AY29" s="38">
        <f t="shared" si="22"/>
        <v>2.6756097235660688E-2</v>
      </c>
      <c r="AZ29" s="38">
        <f t="shared" si="23"/>
        <v>0</v>
      </c>
      <c r="BA29" s="38">
        <f t="shared" si="24"/>
        <v>0</v>
      </c>
      <c r="BB29" s="38">
        <f t="shared" si="25"/>
        <v>0.57095282136808501</v>
      </c>
      <c r="BC29" s="38">
        <f t="shared" si="26"/>
        <v>0.42523372472477006</v>
      </c>
      <c r="BD29" s="38">
        <f t="shared" si="27"/>
        <v>1.1339657930714231E-2</v>
      </c>
      <c r="BE29" s="38">
        <f t="shared" si="28"/>
        <v>0</v>
      </c>
      <c r="BF29" s="38">
        <f t="shared" si="29"/>
        <v>0</v>
      </c>
      <c r="BG29" s="38">
        <f t="shared" si="30"/>
        <v>0</v>
      </c>
      <c r="BH29" s="41">
        <f t="shared" si="31"/>
        <v>5</v>
      </c>
      <c r="BI29" s="42">
        <f t="shared" si="32"/>
        <v>7.97427315420539</v>
      </c>
      <c r="BJ29" s="38">
        <f t="shared" si="33"/>
        <v>3.9657176987407698</v>
      </c>
      <c r="BK29" s="38">
        <f t="shared" si="34"/>
        <v>1.0075262040235693</v>
      </c>
      <c r="BL29" s="16"/>
      <c r="BM29" s="16">
        <f t="shared" si="35"/>
        <v>0.56668781326776152</v>
      </c>
      <c r="BN29" s="16">
        <f t="shared" si="36"/>
        <v>0.42205723585807847</v>
      </c>
      <c r="BO29" s="16">
        <f t="shared" si="37"/>
        <v>1.1254950874160055E-2</v>
      </c>
      <c r="BP29" s="15"/>
      <c r="BQ29" s="38">
        <f t="shared" si="38"/>
        <v>0.89147802929427433</v>
      </c>
      <c r="BR29" s="38">
        <f t="shared" si="39"/>
        <v>0</v>
      </c>
      <c r="BS29" s="38">
        <f t="shared" si="40"/>
        <v>0.58611220086308358</v>
      </c>
      <c r="BT29" s="38">
        <f t="shared" si="41"/>
        <v>0</v>
      </c>
      <c r="BU29" s="38">
        <f t="shared" si="42"/>
        <v>9.9690776993798334E-3</v>
      </c>
      <c r="BV29" s="38">
        <f t="shared" si="43"/>
        <v>0</v>
      </c>
      <c r="BW29" s="38">
        <f t="shared" si="44"/>
        <v>0</v>
      </c>
      <c r="BX29" s="38">
        <f t="shared" si="45"/>
        <v>0.21273181169757491</v>
      </c>
      <c r="BY29" s="38">
        <f t="shared" si="46"/>
        <v>0.15843820587286223</v>
      </c>
      <c r="BZ29" s="38">
        <f t="shared" si="47"/>
        <v>4.2250530785562634E-3</v>
      </c>
      <c r="CA29" s="38">
        <f t="shared" si="48"/>
        <v>0</v>
      </c>
      <c r="CB29" s="38">
        <f t="shared" si="49"/>
        <v>0</v>
      </c>
      <c r="CC29" s="38">
        <f t="shared" si="50"/>
        <v>0</v>
      </c>
      <c r="CD29" s="38">
        <f t="shared" si="51"/>
        <v>1.8629543785057312</v>
      </c>
      <c r="CE29" s="38">
        <f t="shared" si="52"/>
        <v>2.9661568787558381</v>
      </c>
      <c r="CF29" s="38">
        <f t="shared" si="53"/>
        <v>2.683908987621308</v>
      </c>
      <c r="CG29" s="38">
        <f t="shared" si="54"/>
        <v>7.9608951055875607</v>
      </c>
      <c r="CH29" s="15"/>
      <c r="CI29" s="16"/>
      <c r="CJ29" s="13"/>
      <c r="CK29" s="104"/>
      <c r="CL29" s="13"/>
      <c r="CM29" s="13"/>
      <c r="CN29" s="13"/>
      <c r="CO29" s="16"/>
      <c r="CP29" s="16"/>
      <c r="CQ29" s="16"/>
      <c r="CR29" s="16"/>
      <c r="CS29" s="16"/>
      <c r="CT29" s="16"/>
      <c r="CU29" s="16"/>
      <c r="CV29" s="16"/>
      <c r="CW29" s="16"/>
      <c r="CX29" s="16"/>
      <c r="CY29" s="104"/>
      <c r="CZ29" s="104"/>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3"/>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row>
    <row r="30" spans="1:167" x14ac:dyDescent="0.25">
      <c r="A30" s="35" t="s">
        <v>249</v>
      </c>
      <c r="B30" s="15">
        <v>128</v>
      </c>
      <c r="C30" s="102" t="s">
        <v>95</v>
      </c>
      <c r="D30" s="102" t="s">
        <v>104</v>
      </c>
      <c r="E30" s="15">
        <v>159</v>
      </c>
      <c r="F30" s="16">
        <v>53.56</v>
      </c>
      <c r="G30" s="16">
        <v>2.3E-2</v>
      </c>
      <c r="H30" s="16">
        <v>29.45</v>
      </c>
      <c r="I30" s="16"/>
      <c r="J30" s="16">
        <v>0.75900000000000001</v>
      </c>
      <c r="K30" s="16">
        <v>6.2E-2</v>
      </c>
      <c r="L30" s="16">
        <v>8.1000000000000003E-2</v>
      </c>
      <c r="M30" s="16">
        <v>11.93</v>
      </c>
      <c r="N30" s="16">
        <v>4.5999999999999996</v>
      </c>
      <c r="O30" s="16">
        <v>0.20899999999999999</v>
      </c>
      <c r="P30" s="16">
        <v>9.2999999999999999E-2</v>
      </c>
      <c r="Q30" s="16"/>
      <c r="R30" s="16"/>
      <c r="S30" s="16">
        <f t="shared" si="0"/>
        <v>100.76700000000001</v>
      </c>
      <c r="T30" s="16"/>
      <c r="U30" s="15"/>
      <c r="V30" s="15"/>
      <c r="W30" s="15"/>
      <c r="X30" s="15" t="s">
        <v>185</v>
      </c>
      <c r="Y30" s="15"/>
      <c r="Z30" s="37">
        <v>8</v>
      </c>
      <c r="AA30" s="37">
        <v>5</v>
      </c>
      <c r="AB30" s="15"/>
      <c r="AC30" s="38">
        <f t="shared" si="1"/>
        <v>2.4127095683078705</v>
      </c>
      <c r="AD30" s="38">
        <f t="shared" si="2"/>
        <v>7.7926322593266026E-4</v>
      </c>
      <c r="AE30" s="38">
        <f t="shared" si="3"/>
        <v>1.5634351442653567</v>
      </c>
      <c r="AF30" s="38">
        <f t="shared" si="4"/>
        <v>0</v>
      </c>
      <c r="AG30" s="38">
        <f t="shared" si="5"/>
        <v>2.8589687322025461E-2</v>
      </c>
      <c r="AH30" s="38">
        <f t="shared" si="6"/>
        <v>2.3653472513361293E-3</v>
      </c>
      <c r="AI30" s="38">
        <f t="shared" si="7"/>
        <v>5.4396928098905733E-3</v>
      </c>
      <c r="AJ30" s="38">
        <f t="shared" si="8"/>
        <v>0.57574057991369909</v>
      </c>
      <c r="AK30" s="38">
        <f t="shared" si="9"/>
        <v>0.40172666335915386</v>
      </c>
      <c r="AL30" s="38">
        <f t="shared" si="10"/>
        <v>1.2009357717979957E-2</v>
      </c>
      <c r="AM30" s="38">
        <f t="shared" si="11"/>
        <v>3.5465210795361073E-3</v>
      </c>
      <c r="AN30" s="38">
        <f t="shared" si="12"/>
        <v>0</v>
      </c>
      <c r="AO30" s="38">
        <f t="shared" si="13"/>
        <v>0</v>
      </c>
      <c r="AP30" s="38">
        <f t="shared" si="14"/>
        <v>5.0063418252527807</v>
      </c>
      <c r="AQ30" s="38">
        <f t="shared" si="15"/>
        <v>3.9761447125732272</v>
      </c>
      <c r="AR30" s="38">
        <f t="shared" si="16"/>
        <v>0.9894766009908329</v>
      </c>
      <c r="AS30" s="40"/>
      <c r="AT30" s="38">
        <f t="shared" si="17"/>
        <v>2.4096532483437119</v>
      </c>
      <c r="AU30" s="38">
        <f t="shared" si="18"/>
        <v>7.7827608774328296E-4</v>
      </c>
      <c r="AV30" s="38">
        <f t="shared" si="19"/>
        <v>1.5614546497595729</v>
      </c>
      <c r="AW30" s="38">
        <f t="shared" si="20"/>
        <v>0</v>
      </c>
      <c r="AX30" s="38">
        <f t="shared" si="21"/>
        <v>8.2853376803808214E-3</v>
      </c>
      <c r="AY30" s="38">
        <f t="shared" si="22"/>
        <v>2.0268133416832868E-2</v>
      </c>
      <c r="AZ30" s="38">
        <f t="shared" si="23"/>
        <v>2.3623509279819279E-3</v>
      </c>
      <c r="BA30" s="38">
        <f t="shared" si="24"/>
        <v>5.4328020336644831E-3</v>
      </c>
      <c r="BB30" s="38">
        <f t="shared" si="25"/>
        <v>0.57501125573325063</v>
      </c>
      <c r="BC30" s="38">
        <f t="shared" si="26"/>
        <v>0.40121777275852494</v>
      </c>
      <c r="BD30" s="38">
        <f t="shared" si="27"/>
        <v>1.1994144763950049E-2</v>
      </c>
      <c r="BE30" s="38">
        <f t="shared" si="28"/>
        <v>3.5420284943857541E-3</v>
      </c>
      <c r="BF30" s="38">
        <f t="shared" si="29"/>
        <v>0</v>
      </c>
      <c r="BG30" s="38">
        <f t="shared" si="30"/>
        <v>0</v>
      </c>
      <c r="BH30" s="41">
        <f t="shared" si="31"/>
        <v>4.9999999999999991</v>
      </c>
      <c r="BI30" s="42">
        <f t="shared" si="32"/>
        <v>7.9999999999999973</v>
      </c>
      <c r="BJ30" s="38">
        <f t="shared" si="33"/>
        <v>3.971107898103285</v>
      </c>
      <c r="BK30" s="38">
        <f t="shared" si="34"/>
        <v>0.98822317325572562</v>
      </c>
      <c r="BL30" s="16"/>
      <c r="BM30" s="16">
        <f t="shared" si="35"/>
        <v>0.58186376447625876</v>
      </c>
      <c r="BN30" s="16">
        <f t="shared" si="36"/>
        <v>0.40599915445890944</v>
      </c>
      <c r="BO30" s="16">
        <f t="shared" si="37"/>
        <v>1.2137081064831788E-2</v>
      </c>
      <c r="BP30" s="15"/>
      <c r="BQ30" s="38">
        <f t="shared" si="38"/>
        <v>0.89147802929427433</v>
      </c>
      <c r="BR30" s="38">
        <f t="shared" si="39"/>
        <v>2.8793189784677019E-4</v>
      </c>
      <c r="BS30" s="38">
        <f t="shared" si="40"/>
        <v>0.57767752059631228</v>
      </c>
      <c r="BT30" s="38">
        <f t="shared" si="41"/>
        <v>0</v>
      </c>
      <c r="BU30" s="38">
        <f t="shared" si="42"/>
        <v>1.0563674321503132E-2</v>
      </c>
      <c r="BV30" s="38">
        <f t="shared" si="43"/>
        <v>8.7397800958556528E-4</v>
      </c>
      <c r="BW30" s="38">
        <f t="shared" si="44"/>
        <v>2.0099255583126553E-3</v>
      </c>
      <c r="BX30" s="38">
        <f t="shared" si="45"/>
        <v>0.21273181169757491</v>
      </c>
      <c r="BY30" s="38">
        <f t="shared" si="46"/>
        <v>0.1484349790254921</v>
      </c>
      <c r="BZ30" s="38">
        <f t="shared" si="47"/>
        <v>4.4373673036093419E-3</v>
      </c>
      <c r="CA30" s="38">
        <f t="shared" si="48"/>
        <v>1.3104128505002114E-3</v>
      </c>
      <c r="CB30" s="38">
        <f t="shared" si="49"/>
        <v>0</v>
      </c>
      <c r="CC30" s="38">
        <f t="shared" si="50"/>
        <v>0</v>
      </c>
      <c r="CD30" s="38">
        <f t="shared" si="51"/>
        <v>1.8498056305550115</v>
      </c>
      <c r="CE30" s="38">
        <f t="shared" si="52"/>
        <v>2.9559397981564883</v>
      </c>
      <c r="CF30" s="38">
        <f t="shared" si="53"/>
        <v>2.702986690823193</v>
      </c>
      <c r="CG30" s="38">
        <f t="shared" si="54"/>
        <v>7.9898659332915836</v>
      </c>
      <c r="CH30" s="15"/>
      <c r="CI30" s="16"/>
      <c r="CJ30" s="13"/>
      <c r="CK30" s="104"/>
      <c r="CL30" s="13"/>
      <c r="CM30" s="13"/>
      <c r="CN30" s="13"/>
      <c r="CO30" s="16"/>
      <c r="CP30" s="16"/>
      <c r="CQ30" s="16"/>
      <c r="CR30" s="16"/>
      <c r="CS30" s="16"/>
      <c r="CT30" s="16"/>
      <c r="CU30" s="16"/>
      <c r="CV30" s="16"/>
      <c r="CW30" s="16"/>
      <c r="CX30" s="16"/>
      <c r="CY30" s="104"/>
      <c r="CZ30" s="104"/>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3"/>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row>
    <row r="31" spans="1:167" x14ac:dyDescent="0.25">
      <c r="A31" s="35" t="s">
        <v>249</v>
      </c>
      <c r="B31" s="15">
        <v>129</v>
      </c>
      <c r="C31" s="102" t="s">
        <v>95</v>
      </c>
      <c r="D31" s="102" t="s">
        <v>104</v>
      </c>
      <c r="E31" s="15">
        <v>160</v>
      </c>
      <c r="F31" s="16">
        <v>48.64</v>
      </c>
      <c r="G31" s="16">
        <v>8.5999999999999993E-2</v>
      </c>
      <c r="H31" s="16">
        <v>32.729999999999997</v>
      </c>
      <c r="I31" s="16"/>
      <c r="J31" s="16">
        <v>0.70899999999999996</v>
      </c>
      <c r="K31" s="16">
        <v>0</v>
      </c>
      <c r="L31" s="16">
        <v>8.4000000000000005E-2</v>
      </c>
      <c r="M31" s="16">
        <v>15.55</v>
      </c>
      <c r="N31" s="16">
        <v>2.66</v>
      </c>
      <c r="O31" s="16">
        <v>8.7999999999999995E-2</v>
      </c>
      <c r="P31" s="16">
        <v>0.1</v>
      </c>
      <c r="Q31" s="16"/>
      <c r="R31" s="16"/>
      <c r="S31" s="16">
        <f t="shared" si="0"/>
        <v>100.64699999999998</v>
      </c>
      <c r="T31" s="16"/>
      <c r="U31" s="15"/>
      <c r="V31" s="15"/>
      <c r="W31" s="15"/>
      <c r="X31" s="15" t="s">
        <v>185</v>
      </c>
      <c r="Y31" s="15"/>
      <c r="Z31" s="37">
        <v>8</v>
      </c>
      <c r="AA31" s="37">
        <v>5</v>
      </c>
      <c r="AB31" s="15"/>
      <c r="AC31" s="38">
        <f t="shared" si="1"/>
        <v>2.2173175447189268</v>
      </c>
      <c r="AD31" s="38">
        <f t="shared" si="2"/>
        <v>2.9486596453730065E-3</v>
      </c>
      <c r="AE31" s="38">
        <f t="shared" si="3"/>
        <v>1.7583706469070206</v>
      </c>
      <c r="AF31" s="38">
        <f t="shared" si="4"/>
        <v>0</v>
      </c>
      <c r="AG31" s="38">
        <f t="shared" si="5"/>
        <v>2.7026120814184682E-2</v>
      </c>
      <c r="AH31" s="38">
        <f t="shared" si="6"/>
        <v>0</v>
      </c>
      <c r="AI31" s="38">
        <f t="shared" si="7"/>
        <v>5.7087166967745529E-3</v>
      </c>
      <c r="AJ31" s="38">
        <f t="shared" si="8"/>
        <v>0.75942805957140846</v>
      </c>
      <c r="AK31" s="38">
        <f t="shared" si="9"/>
        <v>0.23508467111542836</v>
      </c>
      <c r="AL31" s="38">
        <f t="shared" si="10"/>
        <v>5.1171248846024848E-3</v>
      </c>
      <c r="AM31" s="38">
        <f t="shared" si="11"/>
        <v>3.8591303313944602E-3</v>
      </c>
      <c r="AN31" s="38">
        <f t="shared" si="12"/>
        <v>0</v>
      </c>
      <c r="AO31" s="38">
        <f t="shared" si="13"/>
        <v>0</v>
      </c>
      <c r="AP31" s="38">
        <f t="shared" si="14"/>
        <v>5.0148606746851145</v>
      </c>
      <c r="AQ31" s="38">
        <f t="shared" si="15"/>
        <v>3.9756881916259474</v>
      </c>
      <c r="AR31" s="38">
        <f t="shared" si="16"/>
        <v>0.99962985557143935</v>
      </c>
      <c r="AS31" s="40"/>
      <c r="AT31" s="38">
        <f t="shared" si="17"/>
        <v>2.2107469066009036</v>
      </c>
      <c r="AU31" s="38">
        <f t="shared" si="18"/>
        <v>2.9399218010759138E-3</v>
      </c>
      <c r="AV31" s="38">
        <f t="shared" si="19"/>
        <v>1.7531600187650576</v>
      </c>
      <c r="AW31" s="38">
        <f t="shared" si="20"/>
        <v>0</v>
      </c>
      <c r="AX31" s="38">
        <f t="shared" si="21"/>
        <v>0</v>
      </c>
      <c r="AY31" s="38">
        <f t="shared" si="22"/>
        <v>2.6946033566407773E-2</v>
      </c>
      <c r="AZ31" s="38">
        <f t="shared" si="23"/>
        <v>0</v>
      </c>
      <c r="BA31" s="38">
        <f t="shared" si="24"/>
        <v>5.6917998994388879E-3</v>
      </c>
      <c r="BB31" s="38">
        <f t="shared" si="25"/>
        <v>0.75717762549713641</v>
      </c>
      <c r="BC31" s="38">
        <f t="shared" si="26"/>
        <v>0.23438803823816048</v>
      </c>
      <c r="BD31" s="38">
        <f t="shared" si="27"/>
        <v>5.1019611675690198E-3</v>
      </c>
      <c r="BE31" s="38">
        <f t="shared" si="28"/>
        <v>3.8476944642502728E-3</v>
      </c>
      <c r="BF31" s="38">
        <f t="shared" si="29"/>
        <v>0</v>
      </c>
      <c r="BG31" s="38">
        <f t="shared" si="30"/>
        <v>0</v>
      </c>
      <c r="BH31" s="41">
        <f t="shared" si="31"/>
        <v>5</v>
      </c>
      <c r="BI31" s="42">
        <f t="shared" si="32"/>
        <v>7.9897663965612225</v>
      </c>
      <c r="BJ31" s="38">
        <f t="shared" si="33"/>
        <v>3.9639069253659613</v>
      </c>
      <c r="BK31" s="38">
        <f t="shared" si="34"/>
        <v>0.99666762490286587</v>
      </c>
      <c r="BL31" s="16"/>
      <c r="BM31" s="16">
        <f t="shared" si="35"/>
        <v>0.75970926172196074</v>
      </c>
      <c r="BN31" s="16">
        <f t="shared" si="36"/>
        <v>0.23517171861682939</v>
      </c>
      <c r="BO31" s="16">
        <f t="shared" si="37"/>
        <v>5.1190196612097743E-3</v>
      </c>
      <c r="BP31" s="15"/>
      <c r="BQ31" s="38">
        <f t="shared" si="38"/>
        <v>0.80958721704394143</v>
      </c>
      <c r="BR31" s="38">
        <f t="shared" si="39"/>
        <v>1.0766149223835754E-3</v>
      </c>
      <c r="BS31" s="38">
        <f t="shared" si="40"/>
        <v>0.64201647704982345</v>
      </c>
      <c r="BT31" s="38">
        <f t="shared" si="41"/>
        <v>0</v>
      </c>
      <c r="BU31" s="38">
        <f t="shared" si="42"/>
        <v>9.8677800974251908E-3</v>
      </c>
      <c r="BV31" s="38">
        <f t="shared" si="43"/>
        <v>0</v>
      </c>
      <c r="BW31" s="38">
        <f t="shared" si="44"/>
        <v>2.0843672456575687E-3</v>
      </c>
      <c r="BX31" s="38">
        <f t="shared" si="45"/>
        <v>0.27728245363766052</v>
      </c>
      <c r="BY31" s="38">
        <f t="shared" si="46"/>
        <v>8.5834140045175866E-2</v>
      </c>
      <c r="BZ31" s="38">
        <f t="shared" si="47"/>
        <v>1.8683651804670912E-3</v>
      </c>
      <c r="CA31" s="38">
        <f t="shared" si="48"/>
        <v>1.409046075806679E-3</v>
      </c>
      <c r="CB31" s="38">
        <f t="shared" si="49"/>
        <v>0</v>
      </c>
      <c r="CC31" s="38">
        <f t="shared" si="50"/>
        <v>0</v>
      </c>
      <c r="CD31" s="38">
        <f t="shared" si="51"/>
        <v>1.8310264612983416</v>
      </c>
      <c r="CE31" s="38">
        <f t="shared" si="52"/>
        <v>2.9209608482904663</v>
      </c>
      <c r="CF31" s="38">
        <f t="shared" si="53"/>
        <v>2.7307087612784184</v>
      </c>
      <c r="CG31" s="38">
        <f t="shared" si="54"/>
        <v>7.976293379778018</v>
      </c>
      <c r="CH31" s="15"/>
      <c r="CI31" s="16"/>
      <c r="CJ31" s="13"/>
      <c r="CK31" s="104"/>
      <c r="CL31" s="13"/>
      <c r="CM31" s="13"/>
      <c r="CN31" s="13"/>
      <c r="CO31" s="16"/>
      <c r="CP31" s="16"/>
      <c r="CQ31" s="16"/>
      <c r="CR31" s="16"/>
      <c r="CS31" s="16"/>
      <c r="CT31" s="16"/>
      <c r="CU31" s="16"/>
      <c r="CV31" s="16"/>
      <c r="CW31" s="16"/>
      <c r="CX31" s="16"/>
      <c r="CY31" s="104"/>
      <c r="CZ31" s="104"/>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3"/>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row>
    <row r="32" spans="1:167" x14ac:dyDescent="0.25">
      <c r="A32" s="35" t="s">
        <v>249</v>
      </c>
      <c r="B32" s="15">
        <v>130</v>
      </c>
      <c r="C32" s="102" t="s">
        <v>95</v>
      </c>
      <c r="D32" s="102" t="s">
        <v>104</v>
      </c>
      <c r="E32" s="15">
        <v>161</v>
      </c>
      <c r="F32" s="16">
        <v>53.55</v>
      </c>
      <c r="G32" s="16">
        <v>0</v>
      </c>
      <c r="H32" s="16">
        <v>29.91</v>
      </c>
      <c r="I32" s="16"/>
      <c r="J32" s="16">
        <v>0.59799999999999998</v>
      </c>
      <c r="K32" s="16">
        <v>1.4999999999999999E-2</v>
      </c>
      <c r="L32" s="16">
        <v>8.8999999999999996E-2</v>
      </c>
      <c r="M32" s="16">
        <v>11.87</v>
      </c>
      <c r="N32" s="16">
        <v>4.68</v>
      </c>
      <c r="O32" s="16">
        <v>0.193</v>
      </c>
      <c r="P32" s="16">
        <v>0.10100000000000001</v>
      </c>
      <c r="Q32" s="16"/>
      <c r="R32" s="16"/>
      <c r="S32" s="16">
        <f t="shared" si="0"/>
        <v>101.00599999999999</v>
      </c>
      <c r="T32" s="16"/>
      <c r="U32" s="15"/>
      <c r="V32" s="15"/>
      <c r="W32" s="15"/>
      <c r="X32" s="15" t="s">
        <v>185</v>
      </c>
      <c r="Y32" s="15"/>
      <c r="Z32" s="37">
        <v>8</v>
      </c>
      <c r="AA32" s="37">
        <v>5</v>
      </c>
      <c r="AB32" s="15"/>
      <c r="AC32" s="38">
        <f t="shared" si="1"/>
        <v>2.4039200574234503</v>
      </c>
      <c r="AD32" s="38">
        <f t="shared" si="2"/>
        <v>0</v>
      </c>
      <c r="AE32" s="38">
        <f t="shared" si="3"/>
        <v>1.5823663973113078</v>
      </c>
      <c r="AF32" s="38">
        <f t="shared" si="4"/>
        <v>0</v>
      </c>
      <c r="AG32" s="38">
        <f t="shared" si="5"/>
        <v>2.2447339831179188E-2</v>
      </c>
      <c r="AH32" s="38">
        <f t="shared" si="6"/>
        <v>5.70283156595035E-4</v>
      </c>
      <c r="AI32" s="38">
        <f t="shared" si="7"/>
        <v>5.9562844573495602E-3</v>
      </c>
      <c r="AJ32" s="38">
        <f t="shared" si="8"/>
        <v>0.5708646935561944</v>
      </c>
      <c r="AK32" s="38">
        <f t="shared" si="9"/>
        <v>0.40730031572125708</v>
      </c>
      <c r="AL32" s="38">
        <f t="shared" si="10"/>
        <v>1.1051643617648118E-2</v>
      </c>
      <c r="AM32" s="38">
        <f t="shared" si="11"/>
        <v>3.838283406147227E-3</v>
      </c>
      <c r="AN32" s="38">
        <f t="shared" si="12"/>
        <v>0</v>
      </c>
      <c r="AO32" s="38">
        <f t="shared" si="13"/>
        <v>0</v>
      </c>
      <c r="AP32" s="38">
        <f t="shared" si="14"/>
        <v>5.0083152984811283</v>
      </c>
      <c r="AQ32" s="38">
        <f t="shared" si="15"/>
        <v>3.9862864547347581</v>
      </c>
      <c r="AR32" s="38">
        <f t="shared" si="16"/>
        <v>0.98921665289509952</v>
      </c>
      <c r="AS32" s="40"/>
      <c r="AT32" s="38">
        <f t="shared" si="17"/>
        <v>2.3999288325082957</v>
      </c>
      <c r="AU32" s="38">
        <f t="shared" si="18"/>
        <v>0</v>
      </c>
      <c r="AV32" s="38">
        <f t="shared" si="19"/>
        <v>1.5797391967226906</v>
      </c>
      <c r="AW32" s="38">
        <f t="shared" si="20"/>
        <v>0</v>
      </c>
      <c r="AX32" s="38">
        <f t="shared" si="21"/>
        <v>0</v>
      </c>
      <c r="AY32" s="38">
        <f t="shared" si="22"/>
        <v>2.2410070546064458E-2</v>
      </c>
      <c r="AZ32" s="38">
        <f t="shared" si="23"/>
        <v>5.693363163137761E-4</v>
      </c>
      <c r="BA32" s="38">
        <f t="shared" si="24"/>
        <v>5.9463952470763205E-3</v>
      </c>
      <c r="BB32" s="38">
        <f t="shared" si="25"/>
        <v>0.56991688774997906</v>
      </c>
      <c r="BC32" s="38">
        <f t="shared" si="26"/>
        <v>0.40662407560959579</v>
      </c>
      <c r="BD32" s="38">
        <f t="shared" si="27"/>
        <v>1.1033294590098741E-2</v>
      </c>
      <c r="BE32" s="38">
        <f t="shared" si="28"/>
        <v>3.8319107098860805E-3</v>
      </c>
      <c r="BF32" s="38">
        <f t="shared" si="29"/>
        <v>0</v>
      </c>
      <c r="BG32" s="38">
        <f t="shared" si="30"/>
        <v>0</v>
      </c>
      <c r="BH32" s="41">
        <f t="shared" si="31"/>
        <v>5.0000000000000009</v>
      </c>
      <c r="BI32" s="42">
        <f t="shared" si="32"/>
        <v>7.9979226471076563</v>
      </c>
      <c r="BJ32" s="38">
        <f t="shared" si="33"/>
        <v>3.9796680292309863</v>
      </c>
      <c r="BK32" s="38">
        <f t="shared" si="34"/>
        <v>0.98757425794967357</v>
      </c>
      <c r="BL32" s="16"/>
      <c r="BM32" s="16">
        <f t="shared" si="35"/>
        <v>0.57708762977803529</v>
      </c>
      <c r="BN32" s="16">
        <f t="shared" si="36"/>
        <v>0.41174025379498824</v>
      </c>
      <c r="BO32" s="16">
        <f t="shared" si="37"/>
        <v>1.1172116426976566E-2</v>
      </c>
      <c r="BP32" s="15"/>
      <c r="BQ32" s="38">
        <f t="shared" si="38"/>
        <v>0.89131158455392812</v>
      </c>
      <c r="BR32" s="38">
        <f t="shared" si="39"/>
        <v>0</v>
      </c>
      <c r="BS32" s="38">
        <f t="shared" si="40"/>
        <v>0.58670066692820722</v>
      </c>
      <c r="BT32" s="38">
        <f t="shared" si="41"/>
        <v>0</v>
      </c>
      <c r="BU32" s="38">
        <f t="shared" si="42"/>
        <v>8.3228949199721652E-3</v>
      </c>
      <c r="BV32" s="38">
        <f t="shared" si="43"/>
        <v>2.1144629264166902E-4</v>
      </c>
      <c r="BW32" s="38">
        <f t="shared" si="44"/>
        <v>2.208436724565757E-3</v>
      </c>
      <c r="BX32" s="38">
        <f t="shared" si="45"/>
        <v>0.21166191155492153</v>
      </c>
      <c r="BY32" s="38">
        <f t="shared" si="46"/>
        <v>0.15101645692158761</v>
      </c>
      <c r="BZ32" s="38">
        <f t="shared" si="47"/>
        <v>4.0976645435244164E-3</v>
      </c>
      <c r="CA32" s="38">
        <f t="shared" si="48"/>
        <v>1.4231365365647457E-3</v>
      </c>
      <c r="CB32" s="38">
        <f t="shared" si="49"/>
        <v>0</v>
      </c>
      <c r="CC32" s="38">
        <f t="shared" si="50"/>
        <v>0</v>
      </c>
      <c r="CD32" s="38">
        <f t="shared" si="51"/>
        <v>1.8569541989759131</v>
      </c>
      <c r="CE32" s="38">
        <f t="shared" si="52"/>
        <v>2.9661937610662359</v>
      </c>
      <c r="CF32" s="38">
        <f t="shared" si="53"/>
        <v>2.6925812186199516</v>
      </c>
      <c r="CG32" s="38">
        <f t="shared" si="54"/>
        <v>7.9867176118346226</v>
      </c>
      <c r="CH32" s="15"/>
      <c r="CI32" s="16"/>
      <c r="CJ32" s="13"/>
      <c r="CK32" s="104"/>
      <c r="CL32" s="13"/>
      <c r="CM32" s="13"/>
      <c r="CN32" s="13"/>
      <c r="CO32" s="16"/>
      <c r="CP32" s="16"/>
      <c r="CQ32" s="16"/>
      <c r="CR32" s="16"/>
      <c r="CS32" s="16"/>
      <c r="CT32" s="16"/>
      <c r="CU32" s="16"/>
      <c r="CV32" s="16"/>
      <c r="CW32" s="16"/>
      <c r="CX32" s="16"/>
      <c r="CY32" s="104"/>
      <c r="CZ32" s="104"/>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3"/>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row>
    <row r="33" spans="1:167" x14ac:dyDescent="0.25">
      <c r="A33" s="35" t="s">
        <v>249</v>
      </c>
      <c r="B33" s="15">
        <v>131</v>
      </c>
      <c r="C33" s="102" t="s">
        <v>95</v>
      </c>
      <c r="D33" s="102" t="s">
        <v>104</v>
      </c>
      <c r="E33" s="15">
        <v>162</v>
      </c>
      <c r="F33" s="16">
        <v>50</v>
      </c>
      <c r="G33" s="16">
        <v>1.9E-2</v>
      </c>
      <c r="H33" s="16">
        <v>32.549999999999997</v>
      </c>
      <c r="I33" s="16"/>
      <c r="J33" s="16">
        <v>0.64800000000000002</v>
      </c>
      <c r="K33" s="16">
        <v>2.8000000000000001E-2</v>
      </c>
      <c r="L33" s="16">
        <v>7.5999999999999998E-2</v>
      </c>
      <c r="M33" s="16">
        <v>14.97</v>
      </c>
      <c r="N33" s="16">
        <v>2.96</v>
      </c>
      <c r="O33" s="16">
        <v>8.3000000000000004E-2</v>
      </c>
      <c r="P33" s="16">
        <v>0.122</v>
      </c>
      <c r="Q33" s="16"/>
      <c r="R33" s="16"/>
      <c r="S33" s="16">
        <f t="shared" si="0"/>
        <v>101.45599999999997</v>
      </c>
      <c r="T33" s="16"/>
      <c r="U33" s="15"/>
      <c r="V33" s="15"/>
      <c r="W33" s="15"/>
      <c r="X33" s="15" t="s">
        <v>185</v>
      </c>
      <c r="Y33" s="15"/>
      <c r="Z33" s="37">
        <v>8</v>
      </c>
      <c r="AA33" s="37">
        <v>5</v>
      </c>
      <c r="AB33" s="15"/>
      <c r="AC33" s="38">
        <f t="shared" si="1"/>
        <v>2.2539537281392179</v>
      </c>
      <c r="AD33" s="38">
        <f t="shared" si="2"/>
        <v>6.4419961435790681E-4</v>
      </c>
      <c r="AE33" s="38">
        <f t="shared" si="3"/>
        <v>1.7292432038305086</v>
      </c>
      <c r="AF33" s="38">
        <f t="shared" si="4"/>
        <v>0</v>
      </c>
      <c r="AG33" s="38">
        <f t="shared" si="5"/>
        <v>2.4426044790903143E-2</v>
      </c>
      <c r="AH33" s="38">
        <f t="shared" si="6"/>
        <v>1.0689853734493708E-3</v>
      </c>
      <c r="AI33" s="38">
        <f t="shared" si="7"/>
        <v>5.1075598208346991E-3</v>
      </c>
      <c r="AJ33" s="38">
        <f t="shared" si="8"/>
        <v>0.72296739429367507</v>
      </c>
      <c r="AK33" s="38">
        <f t="shared" si="9"/>
        <v>0.25868726580209644</v>
      </c>
      <c r="AL33" s="38">
        <f t="shared" si="10"/>
        <v>4.7726776301011244E-3</v>
      </c>
      <c r="AM33" s="38">
        <f t="shared" si="11"/>
        <v>4.6557531008498557E-3</v>
      </c>
      <c r="AN33" s="38">
        <f t="shared" si="12"/>
        <v>0</v>
      </c>
      <c r="AO33" s="38">
        <f t="shared" si="13"/>
        <v>0</v>
      </c>
      <c r="AP33" s="38">
        <f t="shared" si="14"/>
        <v>5.0055268123959937</v>
      </c>
      <c r="AQ33" s="38">
        <f t="shared" si="15"/>
        <v>3.9831969319697267</v>
      </c>
      <c r="AR33" s="38">
        <f t="shared" si="16"/>
        <v>0.98642733772587265</v>
      </c>
      <c r="AS33" s="40"/>
      <c r="AT33" s="38">
        <f t="shared" si="17"/>
        <v>2.251465043157284</v>
      </c>
      <c r="AU33" s="38">
        <f t="shared" si="18"/>
        <v>6.4348832650598469E-4</v>
      </c>
      <c r="AV33" s="38">
        <f t="shared" si="19"/>
        <v>1.727333873777386</v>
      </c>
      <c r="AW33" s="38">
        <f t="shared" si="20"/>
        <v>0</v>
      </c>
      <c r="AX33" s="38">
        <f t="shared" si="21"/>
        <v>6.7328029359774375E-3</v>
      </c>
      <c r="AY33" s="38">
        <f t="shared" si="22"/>
        <v>1.7666272032927921E-2</v>
      </c>
      <c r="AZ33" s="38">
        <f t="shared" si="23"/>
        <v>1.0678050617989596E-3</v>
      </c>
      <c r="BA33" s="38">
        <f t="shared" si="24"/>
        <v>5.1019203495084918E-3</v>
      </c>
      <c r="BB33" s="38">
        <f t="shared" si="25"/>
        <v>0.72216913562751706</v>
      </c>
      <c r="BC33" s="38">
        <f t="shared" si="26"/>
        <v>0.25840163832652685</v>
      </c>
      <c r="BD33" s="38">
        <f t="shared" si="27"/>
        <v>4.7674079162674477E-3</v>
      </c>
      <c r="BE33" s="38">
        <f t="shared" si="28"/>
        <v>4.6506124882999961E-3</v>
      </c>
      <c r="BF33" s="38">
        <f t="shared" si="29"/>
        <v>0</v>
      </c>
      <c r="BG33" s="38">
        <f t="shared" si="30"/>
        <v>0</v>
      </c>
      <c r="BH33" s="41">
        <f t="shared" si="31"/>
        <v>5</v>
      </c>
      <c r="BI33" s="42">
        <f t="shared" si="32"/>
        <v>8</v>
      </c>
      <c r="BJ33" s="38">
        <f t="shared" si="33"/>
        <v>3.9787989169346698</v>
      </c>
      <c r="BK33" s="38">
        <f t="shared" si="34"/>
        <v>0.9853381818703113</v>
      </c>
      <c r="BL33" s="16"/>
      <c r="BM33" s="16">
        <f t="shared" si="35"/>
        <v>0.73291500209272087</v>
      </c>
      <c r="BN33" s="16">
        <f t="shared" si="36"/>
        <v>0.26224665102903444</v>
      </c>
      <c r="BO33" s="16">
        <f t="shared" si="37"/>
        <v>4.8383468782446171E-3</v>
      </c>
      <c r="BP33" s="15"/>
      <c r="BQ33" s="38">
        <f t="shared" si="38"/>
        <v>0.83222370173102533</v>
      </c>
      <c r="BR33" s="38">
        <f t="shared" si="39"/>
        <v>2.3785678517776666E-4</v>
      </c>
      <c r="BS33" s="38">
        <f t="shared" si="40"/>
        <v>0.63848568065908196</v>
      </c>
      <c r="BT33" s="38">
        <f t="shared" si="41"/>
        <v>0</v>
      </c>
      <c r="BU33" s="38">
        <f t="shared" si="42"/>
        <v>9.0187891440501062E-3</v>
      </c>
      <c r="BV33" s="38">
        <f t="shared" si="43"/>
        <v>3.9469974626444887E-4</v>
      </c>
      <c r="BW33" s="38">
        <f t="shared" si="44"/>
        <v>1.8858560794044665E-3</v>
      </c>
      <c r="BX33" s="38">
        <f t="shared" si="45"/>
        <v>0.26694008559201143</v>
      </c>
      <c r="BY33" s="38">
        <f t="shared" si="46"/>
        <v>9.5514682155534048E-2</v>
      </c>
      <c r="BZ33" s="38">
        <f t="shared" si="47"/>
        <v>1.762208067940552E-3</v>
      </c>
      <c r="CA33" s="38">
        <f t="shared" si="48"/>
        <v>1.7190362124841483E-3</v>
      </c>
      <c r="CB33" s="38">
        <f t="shared" si="49"/>
        <v>0</v>
      </c>
      <c r="CC33" s="38">
        <f t="shared" si="50"/>
        <v>0</v>
      </c>
      <c r="CD33" s="38">
        <f t="shared" si="51"/>
        <v>1.8481825961729741</v>
      </c>
      <c r="CE33" s="38">
        <f t="shared" si="52"/>
        <v>2.9538271042257072</v>
      </c>
      <c r="CF33" s="38">
        <f t="shared" si="53"/>
        <v>2.7053603958577925</v>
      </c>
      <c r="CG33" s="38">
        <f t="shared" si="54"/>
        <v>7.991166863983536</v>
      </c>
      <c r="CH33" s="15"/>
      <c r="CI33" s="16"/>
      <c r="CJ33" s="13"/>
      <c r="CK33" s="104"/>
      <c r="CL33" s="13"/>
      <c r="CM33" s="13"/>
      <c r="CN33" s="13"/>
      <c r="CO33" s="16"/>
      <c r="CP33" s="16"/>
      <c r="CQ33" s="16"/>
      <c r="CR33" s="16"/>
      <c r="CS33" s="16"/>
      <c r="CT33" s="16"/>
      <c r="CU33" s="16"/>
      <c r="CV33" s="16"/>
      <c r="CW33" s="16"/>
      <c r="CX33" s="16"/>
      <c r="CY33" s="104"/>
      <c r="CZ33" s="104"/>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3"/>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row>
    <row r="34" spans="1:167" x14ac:dyDescent="0.25">
      <c r="A34" s="35" t="s">
        <v>249</v>
      </c>
      <c r="B34" s="15">
        <v>132</v>
      </c>
      <c r="C34" s="102" t="s">
        <v>95</v>
      </c>
      <c r="D34" s="102" t="s">
        <v>104</v>
      </c>
      <c r="E34" s="15">
        <v>163</v>
      </c>
      <c r="F34" s="16">
        <v>49.55</v>
      </c>
      <c r="G34" s="16"/>
      <c r="H34" s="16">
        <v>32.909999999999997</v>
      </c>
      <c r="I34" s="16"/>
      <c r="J34" s="16">
        <v>0.61099613065778824</v>
      </c>
      <c r="K34" s="16"/>
      <c r="L34" s="16"/>
      <c r="M34" s="16">
        <v>15.31</v>
      </c>
      <c r="N34" s="16">
        <v>2.7</v>
      </c>
      <c r="O34" s="16">
        <v>6.9000000000000006E-2</v>
      </c>
      <c r="P34" s="16">
        <v>0</v>
      </c>
      <c r="Q34" s="16"/>
      <c r="R34" s="16"/>
      <c r="S34" s="16">
        <f t="shared" si="0"/>
        <v>101.14999613065778</v>
      </c>
      <c r="T34" s="16"/>
      <c r="U34" s="15"/>
      <c r="V34" s="15"/>
      <c r="W34" s="15"/>
      <c r="X34" s="15" t="s">
        <v>185</v>
      </c>
      <c r="Y34" s="15"/>
      <c r="Z34" s="37">
        <v>8</v>
      </c>
      <c r="AA34" s="37">
        <v>5</v>
      </c>
      <c r="AB34" s="15"/>
      <c r="AC34" s="38">
        <f t="shared" si="1"/>
        <v>2.2414364338226891</v>
      </c>
      <c r="AD34" s="38">
        <f t="shared" si="2"/>
        <v>0</v>
      </c>
      <c r="AE34" s="38">
        <f t="shared" si="3"/>
        <v>1.7544489800393621</v>
      </c>
      <c r="AF34" s="38">
        <f t="shared" si="4"/>
        <v>0</v>
      </c>
      <c r="AG34" s="38">
        <f t="shared" si="5"/>
        <v>2.3111300243574998E-2</v>
      </c>
      <c r="AH34" s="38">
        <f t="shared" si="6"/>
        <v>0</v>
      </c>
      <c r="AI34" s="38">
        <f t="shared" si="7"/>
        <v>0</v>
      </c>
      <c r="AJ34" s="38">
        <f t="shared" si="8"/>
        <v>0.74195894989774891</v>
      </c>
      <c r="AK34" s="38">
        <f t="shared" si="9"/>
        <v>0.23678537788725923</v>
      </c>
      <c r="AL34" s="38">
        <f t="shared" si="10"/>
        <v>3.9814464212479771E-3</v>
      </c>
      <c r="AM34" s="38">
        <f t="shared" si="11"/>
        <v>0</v>
      </c>
      <c r="AN34" s="38">
        <f t="shared" si="12"/>
        <v>0</v>
      </c>
      <c r="AO34" s="38">
        <f t="shared" si="13"/>
        <v>0</v>
      </c>
      <c r="AP34" s="38">
        <f t="shared" si="14"/>
        <v>5.0017224883118834</v>
      </c>
      <c r="AQ34" s="38">
        <f t="shared" si="15"/>
        <v>3.9958854138620512</v>
      </c>
      <c r="AR34" s="38">
        <f t="shared" si="16"/>
        <v>0.98272577420625606</v>
      </c>
      <c r="AS34" s="40"/>
      <c r="AT34" s="38">
        <f t="shared" si="17"/>
        <v>2.2406645301298891</v>
      </c>
      <c r="AU34" s="38">
        <f t="shared" si="18"/>
        <v>0</v>
      </c>
      <c r="AV34" s="38">
        <f t="shared" si="19"/>
        <v>1.7538447846108922</v>
      </c>
      <c r="AW34" s="38">
        <f t="shared" si="20"/>
        <v>0</v>
      </c>
      <c r="AX34" s="38">
        <f t="shared" si="21"/>
        <v>1.7593276802816332E-2</v>
      </c>
      <c r="AY34" s="38">
        <f t="shared" si="22"/>
        <v>5.5100643937233684E-3</v>
      </c>
      <c r="AZ34" s="38">
        <f t="shared" si="23"/>
        <v>0</v>
      </c>
      <c r="BA34" s="38">
        <f t="shared" si="24"/>
        <v>0</v>
      </c>
      <c r="BB34" s="38">
        <f t="shared" si="25"/>
        <v>0.74170343479828427</v>
      </c>
      <c r="BC34" s="38">
        <f t="shared" si="26"/>
        <v>0.23670383396978106</v>
      </c>
      <c r="BD34" s="38">
        <f t="shared" si="27"/>
        <v>3.9800752946129005E-3</v>
      </c>
      <c r="BE34" s="38">
        <f t="shared" si="28"/>
        <v>0</v>
      </c>
      <c r="BF34" s="38">
        <f t="shared" si="29"/>
        <v>0</v>
      </c>
      <c r="BG34" s="38">
        <f t="shared" si="30"/>
        <v>0</v>
      </c>
      <c r="BH34" s="41">
        <f t="shared" si="31"/>
        <v>4.9999999999999991</v>
      </c>
      <c r="BI34" s="42">
        <f t="shared" si="32"/>
        <v>7.9999999999999982</v>
      </c>
      <c r="BJ34" s="38">
        <f t="shared" si="33"/>
        <v>3.9945093147407813</v>
      </c>
      <c r="BK34" s="38">
        <f t="shared" si="34"/>
        <v>0.98238734406267825</v>
      </c>
      <c r="BL34" s="16"/>
      <c r="BM34" s="16">
        <f t="shared" si="35"/>
        <v>0.75500100778065615</v>
      </c>
      <c r="BN34" s="16">
        <f t="shared" si="36"/>
        <v>0.24094756045094054</v>
      </c>
      <c r="BO34" s="16">
        <f t="shared" si="37"/>
        <v>4.051431768403323E-3</v>
      </c>
      <c r="BP34" s="15"/>
      <c r="BQ34" s="38">
        <f t="shared" si="38"/>
        <v>0.82473368841544603</v>
      </c>
      <c r="BR34" s="38">
        <f t="shared" si="39"/>
        <v>0</v>
      </c>
      <c r="BS34" s="38">
        <f t="shared" si="40"/>
        <v>0.64554727344056495</v>
      </c>
      <c r="BT34" s="38">
        <f t="shared" si="41"/>
        <v>0</v>
      </c>
      <c r="BU34" s="38">
        <f t="shared" si="42"/>
        <v>8.5037735651745071E-3</v>
      </c>
      <c r="BV34" s="38">
        <f t="shared" si="43"/>
        <v>0</v>
      </c>
      <c r="BW34" s="38">
        <f t="shared" si="44"/>
        <v>0</v>
      </c>
      <c r="BX34" s="38">
        <f t="shared" si="45"/>
        <v>0.27300285306704708</v>
      </c>
      <c r="BY34" s="38">
        <f t="shared" si="46"/>
        <v>8.7124878993223631E-2</v>
      </c>
      <c r="BZ34" s="38">
        <f t="shared" si="47"/>
        <v>1.4649681528662421E-3</v>
      </c>
      <c r="CA34" s="38">
        <f t="shared" si="48"/>
        <v>0</v>
      </c>
      <c r="CB34" s="38">
        <f t="shared" si="49"/>
        <v>0</v>
      </c>
      <c r="CC34" s="38">
        <f t="shared" si="50"/>
        <v>0</v>
      </c>
      <c r="CD34" s="38">
        <f t="shared" si="51"/>
        <v>1.8403774356343225</v>
      </c>
      <c r="CE34" s="38">
        <f t="shared" si="52"/>
        <v>2.9435898371970062</v>
      </c>
      <c r="CF34" s="38">
        <f t="shared" si="53"/>
        <v>2.7168340054531535</v>
      </c>
      <c r="CG34" s="38">
        <f t="shared" si="54"/>
        <v>7.9972449678031383</v>
      </c>
      <c r="CH34" s="15"/>
      <c r="CI34" s="16"/>
      <c r="CJ34" s="13"/>
      <c r="CK34" s="104"/>
      <c r="CL34" s="13"/>
      <c r="CM34" s="13"/>
      <c r="CN34" s="13"/>
      <c r="CO34" s="16"/>
      <c r="CP34" s="16"/>
      <c r="CQ34" s="16"/>
      <c r="CR34" s="16"/>
      <c r="CS34" s="16"/>
      <c r="CT34" s="16"/>
      <c r="CU34" s="16"/>
      <c r="CV34" s="16"/>
      <c r="CW34" s="16"/>
      <c r="CX34" s="16"/>
      <c r="CY34" s="104"/>
      <c r="CZ34" s="104"/>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3"/>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row>
    <row r="35" spans="1:167" x14ac:dyDescent="0.25">
      <c r="A35" s="35" t="s">
        <v>249</v>
      </c>
      <c r="B35" s="15">
        <v>133</v>
      </c>
      <c r="C35" s="102" t="s">
        <v>95</v>
      </c>
      <c r="D35" s="102" t="s">
        <v>104</v>
      </c>
      <c r="E35" s="15">
        <v>164</v>
      </c>
      <c r="F35" s="16">
        <v>53.3</v>
      </c>
      <c r="G35" s="16"/>
      <c r="H35" s="16">
        <v>30.21</v>
      </c>
      <c r="I35" s="16"/>
      <c r="J35" s="16">
        <v>0.60919643660577705</v>
      </c>
      <c r="K35" s="16"/>
      <c r="L35" s="16"/>
      <c r="M35" s="16">
        <v>12.14</v>
      </c>
      <c r="N35" s="16">
        <v>4.57</v>
      </c>
      <c r="O35" s="16">
        <v>0.188</v>
      </c>
      <c r="P35" s="16">
        <v>0</v>
      </c>
      <c r="Q35" s="16"/>
      <c r="R35" s="16"/>
      <c r="S35" s="16">
        <f t="shared" si="0"/>
        <v>101.01719643660577</v>
      </c>
      <c r="T35" s="16"/>
      <c r="U35" s="15"/>
      <c r="V35" s="15"/>
      <c r="W35" s="15"/>
      <c r="X35" s="15" t="s">
        <v>185</v>
      </c>
      <c r="Y35" s="15"/>
      <c r="Z35" s="37">
        <v>8</v>
      </c>
      <c r="AA35" s="37">
        <v>5</v>
      </c>
      <c r="AB35" s="15"/>
      <c r="AC35" s="38">
        <f t="shared" si="1"/>
        <v>2.394578610533574</v>
      </c>
      <c r="AD35" s="38">
        <f t="shared" si="2"/>
        <v>0</v>
      </c>
      <c r="AE35" s="38">
        <f t="shared" si="3"/>
        <v>1.5994943413188167</v>
      </c>
      <c r="AF35" s="38">
        <f t="shared" si="4"/>
        <v>0</v>
      </c>
      <c r="AG35" s="38">
        <f t="shared" si="5"/>
        <v>2.288560488695433E-2</v>
      </c>
      <c r="AH35" s="38">
        <f t="shared" si="6"/>
        <v>0</v>
      </c>
      <c r="AI35" s="38">
        <f t="shared" si="7"/>
        <v>0</v>
      </c>
      <c r="AJ35" s="38">
        <f t="shared" si="8"/>
        <v>0.58430889223489546</v>
      </c>
      <c r="AK35" s="38">
        <f t="shared" si="9"/>
        <v>0.39803974346764226</v>
      </c>
      <c r="AL35" s="38">
        <f t="shared" si="10"/>
        <v>1.0773796197910772E-2</v>
      </c>
      <c r="AM35" s="38">
        <f t="shared" si="11"/>
        <v>0</v>
      </c>
      <c r="AN35" s="38">
        <f t="shared" si="12"/>
        <v>0</v>
      </c>
      <c r="AO35" s="38">
        <f t="shared" si="13"/>
        <v>0</v>
      </c>
      <c r="AP35" s="38">
        <f t="shared" si="14"/>
        <v>5.0100809886397935</v>
      </c>
      <c r="AQ35" s="38">
        <f t="shared" si="15"/>
        <v>3.9940729518523908</v>
      </c>
      <c r="AR35" s="38">
        <f t="shared" si="16"/>
        <v>0.99312243190044847</v>
      </c>
      <c r="AS35" s="40"/>
      <c r="AT35" s="38">
        <f t="shared" si="17"/>
        <v>2.3897603810828691</v>
      </c>
      <c r="AU35" s="38">
        <f t="shared" si="18"/>
        <v>0</v>
      </c>
      <c r="AV35" s="38">
        <f t="shared" si="19"/>
        <v>1.5962759334086831</v>
      </c>
      <c r="AW35" s="38">
        <f t="shared" si="20"/>
        <v>0</v>
      </c>
      <c r="AX35" s="38">
        <f t="shared" si="21"/>
        <v>0</v>
      </c>
      <c r="AY35" s="38">
        <f t="shared" si="22"/>
        <v>2.2839555826389579E-2</v>
      </c>
      <c r="AZ35" s="38">
        <f t="shared" si="23"/>
        <v>0</v>
      </c>
      <c r="BA35" s="38">
        <f t="shared" si="24"/>
        <v>0</v>
      </c>
      <c r="BB35" s="38">
        <f t="shared" si="25"/>
        <v>0.58313318044139228</v>
      </c>
      <c r="BC35" s="38">
        <f t="shared" si="26"/>
        <v>0.39723883143823957</v>
      </c>
      <c r="BD35" s="38">
        <f t="shared" si="27"/>
        <v>1.0752117802426775E-2</v>
      </c>
      <c r="BE35" s="38">
        <f t="shared" si="28"/>
        <v>0</v>
      </c>
      <c r="BF35" s="38">
        <f t="shared" si="29"/>
        <v>0</v>
      </c>
      <c r="BG35" s="38">
        <f t="shared" si="30"/>
        <v>0</v>
      </c>
      <c r="BH35" s="41">
        <f t="shared" si="31"/>
        <v>5.0000000000000009</v>
      </c>
      <c r="BI35" s="42">
        <f t="shared" si="32"/>
        <v>7.9953226510800732</v>
      </c>
      <c r="BJ35" s="38">
        <f t="shared" si="33"/>
        <v>3.9860363144915523</v>
      </c>
      <c r="BK35" s="38">
        <f t="shared" si="34"/>
        <v>0.99112412968205865</v>
      </c>
      <c r="BL35" s="16"/>
      <c r="BM35" s="16">
        <f t="shared" si="35"/>
        <v>0.58835534619508745</v>
      </c>
      <c r="BN35" s="16">
        <f t="shared" si="36"/>
        <v>0.40079624695008614</v>
      </c>
      <c r="BO35" s="16">
        <f t="shared" si="37"/>
        <v>1.0848406854826482E-2</v>
      </c>
      <c r="BP35" s="15"/>
      <c r="BQ35" s="38">
        <f t="shared" si="38"/>
        <v>0.88715046604527292</v>
      </c>
      <c r="BR35" s="38">
        <f t="shared" si="39"/>
        <v>0</v>
      </c>
      <c r="BS35" s="38">
        <f t="shared" si="40"/>
        <v>0.59258532757944293</v>
      </c>
      <c r="BT35" s="38">
        <f t="shared" si="41"/>
        <v>0</v>
      </c>
      <c r="BU35" s="38">
        <f t="shared" si="42"/>
        <v>8.4787256312564667E-3</v>
      </c>
      <c r="BV35" s="38">
        <f t="shared" si="43"/>
        <v>0</v>
      </c>
      <c r="BW35" s="38">
        <f t="shared" si="44"/>
        <v>0</v>
      </c>
      <c r="BX35" s="38">
        <f t="shared" si="45"/>
        <v>0.21647646219686165</v>
      </c>
      <c r="BY35" s="38">
        <f t="shared" si="46"/>
        <v>0.14746692481445628</v>
      </c>
      <c r="BZ35" s="38">
        <f t="shared" si="47"/>
        <v>3.9915074309978763E-3</v>
      </c>
      <c r="CA35" s="38">
        <f t="shared" si="48"/>
        <v>0</v>
      </c>
      <c r="CB35" s="38">
        <f t="shared" si="49"/>
        <v>0</v>
      </c>
      <c r="CC35" s="38">
        <f t="shared" si="50"/>
        <v>0</v>
      </c>
      <c r="CD35" s="38">
        <f t="shared" si="51"/>
        <v>1.8561494136982881</v>
      </c>
      <c r="CE35" s="38">
        <f t="shared" si="52"/>
        <v>2.9638633274105559</v>
      </c>
      <c r="CF35" s="38">
        <f t="shared" si="53"/>
        <v>2.6937486622037294</v>
      </c>
      <c r="CG35" s="38">
        <f t="shared" si="54"/>
        <v>7.9839028731668789</v>
      </c>
      <c r="CH35" s="15"/>
      <c r="CI35" s="16"/>
      <c r="CJ35" s="13"/>
      <c r="CK35" s="104"/>
      <c r="CL35" s="13"/>
      <c r="CM35" s="13"/>
      <c r="CN35" s="13"/>
      <c r="CO35" s="16"/>
      <c r="CP35" s="16"/>
      <c r="CQ35" s="16"/>
      <c r="CR35" s="16"/>
      <c r="CS35" s="16"/>
      <c r="CT35" s="16"/>
      <c r="CU35" s="16"/>
      <c r="CV35" s="16"/>
      <c r="CW35" s="16"/>
      <c r="CX35" s="16"/>
      <c r="CY35" s="104"/>
      <c r="CZ35" s="104"/>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3"/>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row>
    <row r="36" spans="1:167" x14ac:dyDescent="0.25">
      <c r="A36" s="35" t="s">
        <v>249</v>
      </c>
      <c r="B36" s="15">
        <v>134</v>
      </c>
      <c r="C36" s="102" t="s">
        <v>95</v>
      </c>
      <c r="D36" s="102" t="s">
        <v>104</v>
      </c>
      <c r="E36" s="15">
        <v>165</v>
      </c>
      <c r="F36" s="16">
        <v>50.87</v>
      </c>
      <c r="G36" s="16"/>
      <c r="H36" s="16">
        <v>31.95</v>
      </c>
      <c r="I36" s="16"/>
      <c r="J36" s="16">
        <v>0.86385314496535592</v>
      </c>
      <c r="K36" s="16"/>
      <c r="L36" s="16"/>
      <c r="M36" s="16">
        <v>14.55</v>
      </c>
      <c r="N36" s="16">
        <v>3.33</v>
      </c>
      <c r="O36" s="16">
        <v>8.4000000000000005E-2</v>
      </c>
      <c r="P36" s="16">
        <v>0</v>
      </c>
      <c r="Q36" s="16"/>
      <c r="R36" s="16"/>
      <c r="S36" s="16">
        <f t="shared" si="0"/>
        <v>101.64785314496535</v>
      </c>
      <c r="T36" s="16"/>
      <c r="U36" s="15"/>
      <c r="V36" s="15"/>
      <c r="W36" s="15"/>
      <c r="X36" s="15" t="s">
        <v>185</v>
      </c>
      <c r="Y36" s="15"/>
      <c r="Z36" s="37">
        <v>8</v>
      </c>
      <c r="AA36" s="37">
        <v>5</v>
      </c>
      <c r="AB36" s="15"/>
      <c r="AC36" s="38">
        <f t="shared" si="1"/>
        <v>2.2887182148824428</v>
      </c>
      <c r="AD36" s="38">
        <f t="shared" si="2"/>
        <v>0</v>
      </c>
      <c r="AE36" s="38">
        <f t="shared" si="3"/>
        <v>1.6940707490708677</v>
      </c>
      <c r="AF36" s="38">
        <f t="shared" si="4"/>
        <v>0</v>
      </c>
      <c r="AG36" s="38">
        <f t="shared" si="5"/>
        <v>3.2499273937912028E-2</v>
      </c>
      <c r="AH36" s="38">
        <f t="shared" si="6"/>
        <v>0</v>
      </c>
      <c r="AI36" s="38">
        <f t="shared" si="7"/>
        <v>0</v>
      </c>
      <c r="AJ36" s="38">
        <f t="shared" si="8"/>
        <v>0.70131883178293131</v>
      </c>
      <c r="AK36" s="38">
        <f t="shared" si="9"/>
        <v>0.29045788429183561</v>
      </c>
      <c r="AL36" s="38">
        <f t="shared" si="10"/>
        <v>4.8207975241045808E-3</v>
      </c>
      <c r="AM36" s="38">
        <f t="shared" si="11"/>
        <v>0</v>
      </c>
      <c r="AN36" s="38">
        <f t="shared" si="12"/>
        <v>0</v>
      </c>
      <c r="AO36" s="38">
        <f t="shared" si="13"/>
        <v>0</v>
      </c>
      <c r="AP36" s="38">
        <f t="shared" si="14"/>
        <v>5.0118857514900927</v>
      </c>
      <c r="AQ36" s="38">
        <f t="shared" si="15"/>
        <v>3.9827889639533103</v>
      </c>
      <c r="AR36" s="38">
        <f t="shared" si="16"/>
        <v>0.9965975135988715</v>
      </c>
      <c r="AS36" s="40"/>
      <c r="AT36" s="38">
        <f t="shared" si="17"/>
        <v>2.2832904902131688</v>
      </c>
      <c r="AU36" s="38">
        <f t="shared" si="18"/>
        <v>0</v>
      </c>
      <c r="AV36" s="38">
        <f t="shared" si="19"/>
        <v>1.6900532385112728</v>
      </c>
      <c r="AW36" s="38">
        <f t="shared" si="20"/>
        <v>0</v>
      </c>
      <c r="AX36" s="38">
        <f t="shared" si="21"/>
        <v>0</v>
      </c>
      <c r="AY36" s="38">
        <f t="shared" si="22"/>
        <v>3.242220149197296E-2</v>
      </c>
      <c r="AZ36" s="38">
        <f t="shared" si="23"/>
        <v>0</v>
      </c>
      <c r="BA36" s="38">
        <f t="shared" si="24"/>
        <v>0</v>
      </c>
      <c r="BB36" s="38">
        <f t="shared" si="25"/>
        <v>0.69965564515753442</v>
      </c>
      <c r="BC36" s="38">
        <f t="shared" si="26"/>
        <v>0.28976905968524819</v>
      </c>
      <c r="BD36" s="38">
        <f t="shared" si="27"/>
        <v>4.8093649408022712E-3</v>
      </c>
      <c r="BE36" s="38">
        <f t="shared" si="28"/>
        <v>0</v>
      </c>
      <c r="BF36" s="38">
        <f t="shared" si="29"/>
        <v>0</v>
      </c>
      <c r="BG36" s="38">
        <f t="shared" si="30"/>
        <v>0</v>
      </c>
      <c r="BH36" s="41">
        <f t="shared" si="31"/>
        <v>4.9999999999999991</v>
      </c>
      <c r="BI36" s="42">
        <f t="shared" si="32"/>
        <v>7.9972389979017668</v>
      </c>
      <c r="BJ36" s="38">
        <f t="shared" si="33"/>
        <v>3.9733437287244415</v>
      </c>
      <c r="BK36" s="38">
        <f t="shared" si="34"/>
        <v>0.99423406978358497</v>
      </c>
      <c r="BL36" s="16"/>
      <c r="BM36" s="16">
        <f t="shared" si="35"/>
        <v>0.70371320639799506</v>
      </c>
      <c r="BN36" s="16">
        <f t="shared" si="36"/>
        <v>0.29144953737938417</v>
      </c>
      <c r="BO36" s="16">
        <f t="shared" si="37"/>
        <v>4.8372562226208227E-3</v>
      </c>
      <c r="BP36" s="15"/>
      <c r="BQ36" s="38">
        <f t="shared" si="38"/>
        <v>0.84670439414114507</v>
      </c>
      <c r="BR36" s="38">
        <f t="shared" si="39"/>
        <v>0</v>
      </c>
      <c r="BS36" s="38">
        <f t="shared" si="40"/>
        <v>0.62671635935661041</v>
      </c>
      <c r="BT36" s="38">
        <f t="shared" si="41"/>
        <v>0</v>
      </c>
      <c r="BU36" s="38">
        <f t="shared" si="42"/>
        <v>1.2023008280659095E-2</v>
      </c>
      <c r="BV36" s="38">
        <f t="shared" si="43"/>
        <v>0</v>
      </c>
      <c r="BW36" s="38">
        <f t="shared" si="44"/>
        <v>0</v>
      </c>
      <c r="BX36" s="38">
        <f t="shared" si="45"/>
        <v>0.25945078459343796</v>
      </c>
      <c r="BY36" s="38">
        <f t="shared" si="46"/>
        <v>0.1074540174249758</v>
      </c>
      <c r="BZ36" s="38">
        <f t="shared" si="47"/>
        <v>1.7834394904458599E-3</v>
      </c>
      <c r="CA36" s="38">
        <f t="shared" si="48"/>
        <v>0</v>
      </c>
      <c r="CB36" s="38">
        <f t="shared" si="49"/>
        <v>0</v>
      </c>
      <c r="CC36" s="38">
        <f t="shared" si="50"/>
        <v>0</v>
      </c>
      <c r="CD36" s="38">
        <f t="shared" si="51"/>
        <v>1.8541320032872743</v>
      </c>
      <c r="CE36" s="38">
        <f t="shared" si="52"/>
        <v>2.9595758486490134</v>
      </c>
      <c r="CF36" s="38">
        <f t="shared" si="53"/>
        <v>2.6966796275212737</v>
      </c>
      <c r="CG36" s="38">
        <f t="shared" si="54"/>
        <v>7.9810278971557791</v>
      </c>
      <c r="CH36" s="15"/>
      <c r="CI36" s="16"/>
      <c r="CJ36" s="13"/>
      <c r="CK36" s="104"/>
      <c r="CL36" s="13"/>
      <c r="CM36" s="13"/>
      <c r="CN36" s="13"/>
      <c r="CO36" s="16"/>
      <c r="CP36" s="16"/>
      <c r="CQ36" s="16"/>
      <c r="CR36" s="16"/>
      <c r="CS36" s="16"/>
      <c r="CT36" s="16"/>
      <c r="CU36" s="16"/>
      <c r="CV36" s="16"/>
      <c r="CW36" s="16"/>
      <c r="CX36" s="16"/>
      <c r="CY36" s="104"/>
      <c r="CZ36" s="104"/>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3"/>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row>
    <row r="37" spans="1:167" x14ac:dyDescent="0.25">
      <c r="A37" s="35" t="s">
        <v>249</v>
      </c>
      <c r="B37" s="15">
        <v>152</v>
      </c>
      <c r="C37" s="102" t="s">
        <v>95</v>
      </c>
      <c r="D37" s="102" t="s">
        <v>104</v>
      </c>
      <c r="E37" s="15">
        <v>183</v>
      </c>
      <c r="F37" s="16">
        <v>55.92</v>
      </c>
      <c r="G37" s="16">
        <v>0.13300000000000001</v>
      </c>
      <c r="H37" s="16">
        <v>28.78</v>
      </c>
      <c r="I37" s="16"/>
      <c r="J37" s="16">
        <v>0.71</v>
      </c>
      <c r="K37" s="16">
        <v>3.7999999999999999E-2</v>
      </c>
      <c r="L37" s="16">
        <v>8.2000000000000003E-2</v>
      </c>
      <c r="M37" s="16">
        <v>10.55</v>
      </c>
      <c r="N37" s="16">
        <v>5.59</v>
      </c>
      <c r="O37" s="16">
        <v>0.2</v>
      </c>
      <c r="P37" s="16">
        <v>8.2000000000000003E-2</v>
      </c>
      <c r="Q37" s="16"/>
      <c r="R37" s="16"/>
      <c r="S37" s="16">
        <f t="shared" si="0"/>
        <v>102.08499999999998</v>
      </c>
      <c r="T37" s="16"/>
      <c r="U37" s="15"/>
      <c r="V37" s="15"/>
      <c r="W37" s="15"/>
      <c r="X37" s="15" t="s">
        <v>252</v>
      </c>
      <c r="Y37" s="15" t="s">
        <v>260</v>
      </c>
      <c r="Z37" s="37">
        <v>8</v>
      </c>
      <c r="AA37" s="37">
        <v>5</v>
      </c>
      <c r="AB37" s="15"/>
      <c r="AC37" s="38">
        <f t="shared" si="1"/>
        <v>2.4758928985857547</v>
      </c>
      <c r="AD37" s="38">
        <f t="shared" si="2"/>
        <v>4.4290256985879562E-3</v>
      </c>
      <c r="AE37" s="38">
        <f t="shared" si="3"/>
        <v>1.5017082749945085</v>
      </c>
      <c r="AF37" s="38">
        <f t="shared" si="4"/>
        <v>0</v>
      </c>
      <c r="AG37" s="38">
        <f t="shared" si="5"/>
        <v>2.6286102175090774E-2</v>
      </c>
      <c r="AH37" s="38">
        <f t="shared" si="6"/>
        <v>1.4249086664916263E-3</v>
      </c>
      <c r="AI37" s="38">
        <f t="shared" si="7"/>
        <v>5.4125686990173115E-3</v>
      </c>
      <c r="AJ37" s="38">
        <f t="shared" si="8"/>
        <v>0.500425083269044</v>
      </c>
      <c r="AK37" s="38">
        <f t="shared" si="9"/>
        <v>0.47982718217856379</v>
      </c>
      <c r="AL37" s="38">
        <f t="shared" si="10"/>
        <v>1.1295454330195102E-2</v>
      </c>
      <c r="AM37" s="38">
        <f t="shared" si="11"/>
        <v>3.0735031502099144E-3</v>
      </c>
      <c r="AN37" s="38">
        <f t="shared" si="12"/>
        <v>0</v>
      </c>
      <c r="AO37" s="38">
        <f t="shared" si="13"/>
        <v>0</v>
      </c>
      <c r="AP37" s="38">
        <f t="shared" si="14"/>
        <v>5.0097750017474638</v>
      </c>
      <c r="AQ37" s="38">
        <f t="shared" si="15"/>
        <v>3.977601173580263</v>
      </c>
      <c r="AR37" s="38">
        <f t="shared" si="16"/>
        <v>0.99154771977780287</v>
      </c>
      <c r="AS37" s="40"/>
      <c r="AT37" s="38">
        <f t="shared" si="17"/>
        <v>2.4710619715677216</v>
      </c>
      <c r="AU37" s="38">
        <f t="shared" si="18"/>
        <v>4.4203838466229158E-3</v>
      </c>
      <c r="AV37" s="38">
        <f t="shared" si="19"/>
        <v>1.4987781631617154</v>
      </c>
      <c r="AW37" s="38">
        <f t="shared" si="20"/>
        <v>0</v>
      </c>
      <c r="AX37" s="38">
        <f t="shared" si="21"/>
        <v>0</v>
      </c>
      <c r="AY37" s="38">
        <f t="shared" si="22"/>
        <v>2.6234813106299083E-2</v>
      </c>
      <c r="AZ37" s="38">
        <f t="shared" si="23"/>
        <v>1.4221284049629002E-3</v>
      </c>
      <c r="BA37" s="38">
        <f t="shared" si="24"/>
        <v>5.4020077719352157E-3</v>
      </c>
      <c r="BB37" s="38">
        <f t="shared" si="25"/>
        <v>0.49944866096230905</v>
      </c>
      <c r="BC37" s="38">
        <f t="shared" si="26"/>
        <v>0.47889095020354694</v>
      </c>
      <c r="BD37" s="38">
        <f t="shared" si="27"/>
        <v>1.1273414800320498E-2</v>
      </c>
      <c r="BE37" s="38">
        <f t="shared" si="28"/>
        <v>3.0675061745665659E-3</v>
      </c>
      <c r="BF37" s="38">
        <f t="shared" si="29"/>
        <v>0</v>
      </c>
      <c r="BG37" s="38">
        <f t="shared" si="30"/>
        <v>0</v>
      </c>
      <c r="BH37" s="41">
        <f t="shared" si="31"/>
        <v>5</v>
      </c>
      <c r="BI37" s="42">
        <f t="shared" si="32"/>
        <v>7.9975079203082684</v>
      </c>
      <c r="BJ37" s="38">
        <f t="shared" si="33"/>
        <v>3.969840134729437</v>
      </c>
      <c r="BK37" s="38">
        <f t="shared" si="34"/>
        <v>0.98961302596617651</v>
      </c>
      <c r="BL37" s="16"/>
      <c r="BM37" s="16">
        <f t="shared" si="35"/>
        <v>0.50469087194430229</v>
      </c>
      <c r="BN37" s="16">
        <f t="shared" si="36"/>
        <v>0.48391738754246627</v>
      </c>
      <c r="BO37" s="16">
        <f t="shared" si="37"/>
        <v>1.1391740513231491E-2</v>
      </c>
      <c r="BP37" s="15"/>
      <c r="BQ37" s="38">
        <f t="shared" si="38"/>
        <v>0.93075898801597878</v>
      </c>
      <c r="BR37" s="38">
        <f t="shared" si="39"/>
        <v>1.6649974962443667E-3</v>
      </c>
      <c r="BS37" s="38">
        <f t="shared" si="40"/>
        <v>0.56453511180855243</v>
      </c>
      <c r="BT37" s="38">
        <f t="shared" si="41"/>
        <v>0</v>
      </c>
      <c r="BU37" s="38">
        <f t="shared" si="42"/>
        <v>9.8816979819067504E-3</v>
      </c>
      <c r="BV37" s="38">
        <f t="shared" si="43"/>
        <v>5.3566394135889483E-4</v>
      </c>
      <c r="BW37" s="38">
        <f t="shared" si="44"/>
        <v>2.0347394540942932E-3</v>
      </c>
      <c r="BX37" s="38">
        <f t="shared" si="45"/>
        <v>0.18812410841654781</v>
      </c>
      <c r="BY37" s="38">
        <f t="shared" si="46"/>
        <v>0.18038076798967409</v>
      </c>
      <c r="BZ37" s="38">
        <f t="shared" si="47"/>
        <v>4.246284501061571E-3</v>
      </c>
      <c r="CA37" s="38">
        <f t="shared" si="48"/>
        <v>1.1554177821614768E-3</v>
      </c>
      <c r="CB37" s="38">
        <f t="shared" si="49"/>
        <v>0</v>
      </c>
      <c r="CC37" s="38">
        <f t="shared" si="50"/>
        <v>0</v>
      </c>
      <c r="CD37" s="38">
        <f t="shared" si="51"/>
        <v>1.8833177773875804</v>
      </c>
      <c r="CE37" s="38">
        <f t="shared" si="52"/>
        <v>3.0074289192319554</v>
      </c>
      <c r="CF37" s="38">
        <f t="shared" si="53"/>
        <v>2.6548891854754775</v>
      </c>
      <c r="CG37" s="38">
        <f t="shared" si="54"/>
        <v>7.9843905137551214</v>
      </c>
      <c r="CH37" s="15"/>
      <c r="CI37" s="16"/>
      <c r="CJ37" s="13"/>
      <c r="CK37" s="104"/>
      <c r="CL37" s="13"/>
      <c r="CM37" s="13"/>
      <c r="CN37" s="13"/>
      <c r="CO37" s="16"/>
      <c r="CP37" s="16"/>
      <c r="CQ37" s="16"/>
      <c r="CR37" s="16"/>
      <c r="CS37" s="16"/>
      <c r="CT37" s="16"/>
      <c r="CU37" s="16"/>
      <c r="CV37" s="16"/>
      <c r="CW37" s="16"/>
      <c r="CX37" s="16"/>
      <c r="CY37" s="104"/>
      <c r="CZ37" s="104"/>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3"/>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row>
    <row r="38" spans="1:167" x14ac:dyDescent="0.25">
      <c r="A38" s="35" t="s">
        <v>249</v>
      </c>
      <c r="B38" s="15">
        <v>153</v>
      </c>
      <c r="C38" s="102" t="s">
        <v>95</v>
      </c>
      <c r="D38" s="102" t="s">
        <v>104</v>
      </c>
      <c r="E38" s="15">
        <v>184</v>
      </c>
      <c r="F38" s="16">
        <v>54.5</v>
      </c>
      <c r="G38" s="16">
        <v>5.2999999999999999E-2</v>
      </c>
      <c r="H38" s="16">
        <v>29.14</v>
      </c>
      <c r="I38" s="16"/>
      <c r="J38" s="16">
        <v>0.96599999999999997</v>
      </c>
      <c r="K38" s="16">
        <v>0</v>
      </c>
      <c r="L38" s="16">
        <v>0.109</v>
      </c>
      <c r="M38" s="16">
        <v>11.43</v>
      </c>
      <c r="N38" s="16">
        <v>4.9800000000000004</v>
      </c>
      <c r="O38" s="16">
        <v>0.20699999999999999</v>
      </c>
      <c r="P38" s="16">
        <v>7.6999999999999999E-2</v>
      </c>
      <c r="Q38" s="16"/>
      <c r="R38" s="16"/>
      <c r="S38" s="16">
        <f t="shared" si="0"/>
        <v>101.46199999999997</v>
      </c>
      <c r="T38" s="16"/>
      <c r="U38" s="15"/>
      <c r="V38" s="15"/>
      <c r="W38" s="15"/>
      <c r="X38" s="15" t="s">
        <v>252</v>
      </c>
      <c r="Y38" s="15" t="s">
        <v>260</v>
      </c>
      <c r="Z38" s="37">
        <v>8</v>
      </c>
      <c r="AA38" s="37">
        <v>5</v>
      </c>
      <c r="AB38" s="15"/>
      <c r="AC38" s="38">
        <f t="shared" si="1"/>
        <v>2.436708964328584</v>
      </c>
      <c r="AD38" s="38">
        <f t="shared" si="2"/>
        <v>1.7822757421852157E-3</v>
      </c>
      <c r="AE38" s="38">
        <f t="shared" si="3"/>
        <v>1.5354186060263744</v>
      </c>
      <c r="AF38" s="38">
        <f t="shared" si="4"/>
        <v>0</v>
      </c>
      <c r="AG38" s="38">
        <f t="shared" si="5"/>
        <v>3.611498482216341E-2</v>
      </c>
      <c r="AH38" s="38">
        <f t="shared" si="6"/>
        <v>0</v>
      </c>
      <c r="AI38" s="38">
        <f t="shared" si="7"/>
        <v>7.265383353690388E-3</v>
      </c>
      <c r="AJ38" s="38">
        <f t="shared" si="8"/>
        <v>0.54748888691565289</v>
      </c>
      <c r="AK38" s="38">
        <f t="shared" si="9"/>
        <v>0.43166302441022375</v>
      </c>
      <c r="AL38" s="38">
        <f t="shared" si="10"/>
        <v>1.1805558050375071E-2</v>
      </c>
      <c r="AM38" s="38">
        <f t="shared" si="11"/>
        <v>2.9144257988369094E-3</v>
      </c>
      <c r="AN38" s="38">
        <f t="shared" si="12"/>
        <v>0</v>
      </c>
      <c r="AO38" s="38">
        <f t="shared" si="13"/>
        <v>0</v>
      </c>
      <c r="AP38" s="38">
        <f t="shared" si="14"/>
        <v>5.0111621094480849</v>
      </c>
      <c r="AQ38" s="38">
        <f t="shared" si="15"/>
        <v>3.9721275703549583</v>
      </c>
      <c r="AR38" s="38">
        <f t="shared" si="16"/>
        <v>0.99095746937625173</v>
      </c>
      <c r="AS38" s="40"/>
      <c r="AT38" s="38">
        <f t="shared" si="17"/>
        <v>2.4312813186929167</v>
      </c>
      <c r="AU38" s="38">
        <f t="shared" si="18"/>
        <v>1.7783058133610352E-3</v>
      </c>
      <c r="AV38" s="38">
        <f t="shared" si="19"/>
        <v>1.5319985389531539</v>
      </c>
      <c r="AW38" s="38">
        <f t="shared" si="20"/>
        <v>0</v>
      </c>
      <c r="AX38" s="38">
        <f t="shared" si="21"/>
        <v>3.9535199584268127E-4</v>
      </c>
      <c r="AY38" s="38">
        <f t="shared" si="22"/>
        <v>3.5639188529270172E-2</v>
      </c>
      <c r="AZ38" s="38">
        <f t="shared" si="23"/>
        <v>0</v>
      </c>
      <c r="BA38" s="38">
        <f t="shared" si="24"/>
        <v>7.2492000807479126E-3</v>
      </c>
      <c r="BB38" s="38">
        <f t="shared" si="25"/>
        <v>0.54626938318699858</v>
      </c>
      <c r="BC38" s="38">
        <f t="shared" si="26"/>
        <v>0.43070151691596925</v>
      </c>
      <c r="BD38" s="38">
        <f t="shared" si="27"/>
        <v>1.177926176855941E-2</v>
      </c>
      <c r="BE38" s="38">
        <f t="shared" si="28"/>
        <v>2.9079340631807016E-3</v>
      </c>
      <c r="BF38" s="38">
        <f t="shared" si="29"/>
        <v>0</v>
      </c>
      <c r="BG38" s="38">
        <f t="shared" si="30"/>
        <v>0</v>
      </c>
      <c r="BH38" s="41">
        <f t="shared" si="31"/>
        <v>5.0000000000000018</v>
      </c>
      <c r="BI38" s="42">
        <f t="shared" si="32"/>
        <v>7.9999999999999964</v>
      </c>
      <c r="BJ38" s="38">
        <f t="shared" si="33"/>
        <v>3.9632798576460706</v>
      </c>
      <c r="BK38" s="38">
        <f t="shared" si="34"/>
        <v>0.9887501618715272</v>
      </c>
      <c r="BL38" s="16"/>
      <c r="BM38" s="16">
        <f t="shared" si="35"/>
        <v>0.55248474716101015</v>
      </c>
      <c r="BN38" s="16">
        <f t="shared" si="36"/>
        <v>0.43560196855060768</v>
      </c>
      <c r="BO38" s="16">
        <f t="shared" si="37"/>
        <v>1.1913284288382186E-2</v>
      </c>
      <c r="BP38" s="15"/>
      <c r="BQ38" s="38">
        <f t="shared" si="38"/>
        <v>0.90712383488681758</v>
      </c>
      <c r="BR38" s="38">
        <f t="shared" si="39"/>
        <v>6.6349524286429644E-4</v>
      </c>
      <c r="BS38" s="38">
        <f t="shared" si="40"/>
        <v>0.57159670459003531</v>
      </c>
      <c r="BT38" s="38">
        <f t="shared" si="41"/>
        <v>0</v>
      </c>
      <c r="BU38" s="38">
        <f t="shared" si="42"/>
        <v>1.3444676409185804E-2</v>
      </c>
      <c r="BV38" s="38">
        <f t="shared" si="43"/>
        <v>0</v>
      </c>
      <c r="BW38" s="38">
        <f t="shared" si="44"/>
        <v>2.7047146401985114E-3</v>
      </c>
      <c r="BX38" s="38">
        <f t="shared" si="45"/>
        <v>0.20381597717546363</v>
      </c>
      <c r="BY38" s="38">
        <f t="shared" si="46"/>
        <v>0.16069699903194581</v>
      </c>
      <c r="BZ38" s="38">
        <f t="shared" si="47"/>
        <v>4.3949044585987257E-3</v>
      </c>
      <c r="CA38" s="38">
        <f t="shared" si="48"/>
        <v>1.0849654783711428E-3</v>
      </c>
      <c r="CB38" s="38">
        <f t="shared" si="49"/>
        <v>0</v>
      </c>
      <c r="CC38" s="38">
        <f t="shared" si="50"/>
        <v>0</v>
      </c>
      <c r="CD38" s="38">
        <f t="shared" si="51"/>
        <v>1.8655262719134806</v>
      </c>
      <c r="CE38" s="38">
        <f t="shared" si="52"/>
        <v>2.9781934508104655</v>
      </c>
      <c r="CF38" s="38">
        <f t="shared" si="53"/>
        <v>2.6802088371939528</v>
      </c>
      <c r="CG38" s="38">
        <f t="shared" si="54"/>
        <v>7.9821804057353631</v>
      </c>
      <c r="CH38" s="15"/>
      <c r="CI38" s="16"/>
      <c r="CJ38" s="13"/>
      <c r="CK38" s="104"/>
      <c r="CL38" s="13"/>
      <c r="CM38" s="13"/>
      <c r="CN38" s="13"/>
      <c r="CO38" s="16"/>
      <c r="CP38" s="16"/>
      <c r="CQ38" s="16"/>
      <c r="CR38" s="16"/>
      <c r="CS38" s="16"/>
      <c r="CT38" s="16"/>
      <c r="CU38" s="16"/>
      <c r="CV38" s="16"/>
      <c r="CW38" s="16"/>
      <c r="CX38" s="16"/>
      <c r="CY38" s="104"/>
      <c r="CZ38" s="104"/>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3"/>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row>
    <row r="39" spans="1:167" x14ac:dyDescent="0.25">
      <c r="A39" s="35" t="s">
        <v>249</v>
      </c>
      <c r="B39" s="15">
        <v>156</v>
      </c>
      <c r="C39" s="102" t="s">
        <v>95</v>
      </c>
      <c r="D39" s="102" t="s">
        <v>104</v>
      </c>
      <c r="E39" s="15">
        <v>187</v>
      </c>
      <c r="F39" s="16">
        <v>54.29</v>
      </c>
      <c r="G39" s="16"/>
      <c r="H39" s="16">
        <v>29.32</v>
      </c>
      <c r="I39" s="16"/>
      <c r="J39" s="16">
        <v>0.716278232700441</v>
      </c>
      <c r="K39" s="16"/>
      <c r="L39" s="16"/>
      <c r="M39" s="16">
        <v>11.61</v>
      </c>
      <c r="N39" s="16">
        <v>4.93</v>
      </c>
      <c r="O39" s="16">
        <v>0.23</v>
      </c>
      <c r="P39" s="16">
        <v>0</v>
      </c>
      <c r="Q39" s="16"/>
      <c r="R39" s="16"/>
      <c r="S39" s="16">
        <f t="shared" si="0"/>
        <v>101.09627823270044</v>
      </c>
      <c r="T39" s="16"/>
      <c r="U39" s="15">
        <v>6</v>
      </c>
      <c r="V39" s="15"/>
      <c r="W39" s="15"/>
      <c r="X39" s="15" t="s">
        <v>185</v>
      </c>
      <c r="Y39" s="15"/>
      <c r="Z39" s="37">
        <v>8</v>
      </c>
      <c r="AA39" s="37">
        <v>5</v>
      </c>
      <c r="AB39" s="15"/>
      <c r="AC39" s="38">
        <f t="shared" si="1"/>
        <v>2.4348963200455738</v>
      </c>
      <c r="AD39" s="38">
        <f t="shared" si="2"/>
        <v>0</v>
      </c>
      <c r="AE39" s="38">
        <f t="shared" si="3"/>
        <v>1.5497251834327066</v>
      </c>
      <c r="AF39" s="38">
        <f t="shared" si="4"/>
        <v>0</v>
      </c>
      <c r="AG39" s="38">
        <f t="shared" si="5"/>
        <v>2.6862444831763834E-2</v>
      </c>
      <c r="AH39" s="38">
        <f t="shared" si="6"/>
        <v>0</v>
      </c>
      <c r="AI39" s="38">
        <f t="shared" si="7"/>
        <v>0</v>
      </c>
      <c r="AJ39" s="38">
        <f t="shared" si="8"/>
        <v>0.55784657428504658</v>
      </c>
      <c r="AK39" s="38">
        <f t="shared" si="9"/>
        <v>0.42866290094833093</v>
      </c>
      <c r="AL39" s="38">
        <f t="shared" si="10"/>
        <v>1.31582303376331E-2</v>
      </c>
      <c r="AM39" s="38">
        <f t="shared" si="11"/>
        <v>0</v>
      </c>
      <c r="AN39" s="38">
        <f t="shared" si="12"/>
        <v>0</v>
      </c>
      <c r="AO39" s="38">
        <f t="shared" si="13"/>
        <v>0</v>
      </c>
      <c r="AP39" s="38">
        <f t="shared" si="14"/>
        <v>5.011151653881055</v>
      </c>
      <c r="AQ39" s="38">
        <f t="shared" si="15"/>
        <v>3.9846215034782801</v>
      </c>
      <c r="AR39" s="38">
        <f t="shared" si="16"/>
        <v>0.99966770557101059</v>
      </c>
      <c r="AS39" s="40"/>
      <c r="AT39" s="38">
        <f t="shared" si="17"/>
        <v>2.4294777809805321</v>
      </c>
      <c r="AU39" s="38">
        <f t="shared" si="18"/>
        <v>0</v>
      </c>
      <c r="AV39" s="38">
        <f t="shared" si="19"/>
        <v>1.5462764754210441</v>
      </c>
      <c r="AW39" s="38">
        <f t="shared" si="20"/>
        <v>0</v>
      </c>
      <c r="AX39" s="38">
        <f t="shared" si="21"/>
        <v>0</v>
      </c>
      <c r="AY39" s="38">
        <f t="shared" si="22"/>
        <v>2.680266602085302E-2</v>
      </c>
      <c r="AZ39" s="38">
        <f t="shared" si="23"/>
        <v>0</v>
      </c>
      <c r="BA39" s="38">
        <f t="shared" si="24"/>
        <v>0</v>
      </c>
      <c r="BB39" s="38">
        <f t="shared" si="25"/>
        <v>0.55660516066501753</v>
      </c>
      <c r="BC39" s="38">
        <f t="shared" si="26"/>
        <v>0.42770896847268486</v>
      </c>
      <c r="BD39" s="38">
        <f t="shared" si="27"/>
        <v>1.3128948439868374E-2</v>
      </c>
      <c r="BE39" s="38">
        <f t="shared" si="28"/>
        <v>0</v>
      </c>
      <c r="BF39" s="38">
        <f t="shared" si="29"/>
        <v>0</v>
      </c>
      <c r="BG39" s="38">
        <f t="shared" si="30"/>
        <v>0</v>
      </c>
      <c r="BH39" s="41">
        <f t="shared" si="31"/>
        <v>5</v>
      </c>
      <c r="BI39" s="42">
        <f t="shared" si="32"/>
        <v>7.9955983932452037</v>
      </c>
      <c r="BJ39" s="38">
        <f t="shared" si="33"/>
        <v>3.9757542564015762</v>
      </c>
      <c r="BK39" s="38">
        <f t="shared" si="34"/>
        <v>0.99744307757757078</v>
      </c>
      <c r="BL39" s="16"/>
      <c r="BM39" s="16">
        <f t="shared" si="35"/>
        <v>0.55803200521157614</v>
      </c>
      <c r="BN39" s="16">
        <f t="shared" si="36"/>
        <v>0.42880539059074485</v>
      </c>
      <c r="BO39" s="16">
        <f t="shared" si="37"/>
        <v>1.3162604197678982E-2</v>
      </c>
      <c r="BP39" s="15"/>
      <c r="BQ39" s="38">
        <f t="shared" si="38"/>
        <v>0.90362849533954726</v>
      </c>
      <c r="BR39" s="38">
        <f t="shared" si="39"/>
        <v>0</v>
      </c>
      <c r="BS39" s="38">
        <f t="shared" si="40"/>
        <v>0.57512750098077681</v>
      </c>
      <c r="BT39" s="38">
        <f t="shared" si="41"/>
        <v>0</v>
      </c>
      <c r="BU39" s="38">
        <f t="shared" si="42"/>
        <v>9.9690776993798334E-3</v>
      </c>
      <c r="BV39" s="38">
        <f t="shared" si="43"/>
        <v>0</v>
      </c>
      <c r="BW39" s="38">
        <f t="shared" si="44"/>
        <v>0</v>
      </c>
      <c r="BX39" s="38">
        <f t="shared" si="45"/>
        <v>0.20702567760342366</v>
      </c>
      <c r="BY39" s="38">
        <f t="shared" si="46"/>
        <v>0.15908357534688608</v>
      </c>
      <c r="BZ39" s="38">
        <f t="shared" si="47"/>
        <v>4.8832271762208066E-3</v>
      </c>
      <c r="CA39" s="38">
        <f t="shared" si="48"/>
        <v>0</v>
      </c>
      <c r="CB39" s="38">
        <f t="shared" si="49"/>
        <v>0</v>
      </c>
      <c r="CC39" s="38">
        <f t="shared" si="50"/>
        <v>0</v>
      </c>
      <c r="CD39" s="38">
        <f t="shared" si="51"/>
        <v>1.8597175541462345</v>
      </c>
      <c r="CE39" s="38">
        <f t="shared" si="52"/>
        <v>2.9689263987146166</v>
      </c>
      <c r="CF39" s="38">
        <f t="shared" si="53"/>
        <v>2.6885803109469584</v>
      </c>
      <c r="CG39" s="38">
        <f t="shared" si="54"/>
        <v>7.9821970602347774</v>
      </c>
      <c r="CH39" s="15"/>
      <c r="CI39" s="16"/>
      <c r="CJ39" s="13"/>
      <c r="CK39" s="104"/>
      <c r="CL39" s="13"/>
      <c r="CM39" s="13"/>
      <c r="CN39" s="13"/>
      <c r="CO39" s="16"/>
      <c r="CP39" s="16"/>
      <c r="CQ39" s="16"/>
      <c r="CR39" s="16"/>
      <c r="CS39" s="16"/>
      <c r="CT39" s="16"/>
      <c r="CU39" s="16"/>
      <c r="CV39" s="16"/>
      <c r="CW39" s="16"/>
      <c r="CX39" s="16"/>
      <c r="CY39" s="104"/>
      <c r="CZ39" s="104"/>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3"/>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row>
    <row r="40" spans="1:167" x14ac:dyDescent="0.25">
      <c r="A40" s="35" t="s">
        <v>249</v>
      </c>
      <c r="B40" s="15">
        <v>157</v>
      </c>
      <c r="C40" s="102" t="s">
        <v>95</v>
      </c>
      <c r="D40" s="102" t="s">
        <v>104</v>
      </c>
      <c r="E40" s="15">
        <v>188</v>
      </c>
      <c r="F40" s="16">
        <v>53.06</v>
      </c>
      <c r="G40" s="16"/>
      <c r="H40" s="16">
        <v>30.74</v>
      </c>
      <c r="I40" s="16"/>
      <c r="J40" s="16">
        <v>0.62539368307387744</v>
      </c>
      <c r="K40" s="16"/>
      <c r="L40" s="16"/>
      <c r="M40" s="16">
        <v>12.62</v>
      </c>
      <c r="N40" s="16">
        <v>4.5</v>
      </c>
      <c r="O40" s="16">
        <v>0.15</v>
      </c>
      <c r="P40" s="16">
        <v>0</v>
      </c>
      <c r="Q40" s="16"/>
      <c r="R40" s="16"/>
      <c r="S40" s="16">
        <f t="shared" si="0"/>
        <v>101.69539368307389</v>
      </c>
      <c r="T40" s="16"/>
      <c r="U40" s="15">
        <v>6</v>
      </c>
      <c r="V40" s="15"/>
      <c r="W40" s="15"/>
      <c r="X40" s="15" t="s">
        <v>185</v>
      </c>
      <c r="Y40" s="15"/>
      <c r="Z40" s="37">
        <v>8</v>
      </c>
      <c r="AA40" s="37">
        <v>5</v>
      </c>
      <c r="AB40" s="15"/>
      <c r="AC40" s="38">
        <f t="shared" si="1"/>
        <v>2.3719067035790147</v>
      </c>
      <c r="AD40" s="38">
        <f t="shared" si="2"/>
        <v>0</v>
      </c>
      <c r="AE40" s="38">
        <f t="shared" si="3"/>
        <v>1.6194379520784175</v>
      </c>
      <c r="AF40" s="38">
        <f t="shared" si="4"/>
        <v>0</v>
      </c>
      <c r="AG40" s="38">
        <f t="shared" si="5"/>
        <v>2.3376904284005292E-2</v>
      </c>
      <c r="AH40" s="38">
        <f t="shared" si="6"/>
        <v>0</v>
      </c>
      <c r="AI40" s="38">
        <f t="shared" si="7"/>
        <v>0</v>
      </c>
      <c r="AJ40" s="38">
        <f t="shared" si="8"/>
        <v>0.60438215214532631</v>
      </c>
      <c r="AK40" s="38">
        <f t="shared" si="9"/>
        <v>0.3899879770924381</v>
      </c>
      <c r="AL40" s="38">
        <f t="shared" si="10"/>
        <v>8.553239497589989E-3</v>
      </c>
      <c r="AM40" s="38">
        <f t="shared" si="11"/>
        <v>0</v>
      </c>
      <c r="AN40" s="38">
        <f t="shared" si="12"/>
        <v>0</v>
      </c>
      <c r="AO40" s="38">
        <f t="shared" si="13"/>
        <v>0</v>
      </c>
      <c r="AP40" s="38">
        <f t="shared" si="14"/>
        <v>5.0176449286767912</v>
      </c>
      <c r="AQ40" s="38">
        <f t="shared" si="15"/>
        <v>3.9913446556574321</v>
      </c>
      <c r="AR40" s="38">
        <f t="shared" si="16"/>
        <v>1.0029233687353545</v>
      </c>
      <c r="AS40" s="40"/>
      <c r="AT40" s="38">
        <f t="shared" si="17"/>
        <v>2.3635657138901145</v>
      </c>
      <c r="AU40" s="38">
        <f t="shared" si="18"/>
        <v>0</v>
      </c>
      <c r="AV40" s="38">
        <f t="shared" si="19"/>
        <v>1.6137430757834443</v>
      </c>
      <c r="AW40" s="38">
        <f t="shared" si="20"/>
        <v>0</v>
      </c>
      <c r="AX40" s="38">
        <f t="shared" si="21"/>
        <v>0</v>
      </c>
      <c r="AY40" s="38">
        <f t="shared" si="22"/>
        <v>2.3294697628365304E-2</v>
      </c>
      <c r="AZ40" s="38">
        <f t="shared" si="23"/>
        <v>0</v>
      </c>
      <c r="BA40" s="38">
        <f t="shared" si="24"/>
        <v>0</v>
      </c>
      <c r="BB40" s="38">
        <f t="shared" si="25"/>
        <v>0.60225679650145014</v>
      </c>
      <c r="BC40" s="38">
        <f t="shared" si="26"/>
        <v>0.3886165548139755</v>
      </c>
      <c r="BD40" s="38">
        <f t="shared" si="27"/>
        <v>8.5231613826504578E-3</v>
      </c>
      <c r="BE40" s="38">
        <f t="shared" si="28"/>
        <v>0</v>
      </c>
      <c r="BF40" s="38">
        <f t="shared" si="29"/>
        <v>0</v>
      </c>
      <c r="BG40" s="38">
        <f t="shared" si="30"/>
        <v>0</v>
      </c>
      <c r="BH40" s="41">
        <f t="shared" si="31"/>
        <v>5.0000000000000009</v>
      </c>
      <c r="BI40" s="42">
        <f t="shared" si="32"/>
        <v>7.9835147424977073</v>
      </c>
      <c r="BJ40" s="38">
        <f t="shared" si="33"/>
        <v>3.9773087896735588</v>
      </c>
      <c r="BK40" s="38">
        <f t="shared" si="34"/>
        <v>0.99939651269807606</v>
      </c>
      <c r="BL40" s="16"/>
      <c r="BM40" s="16">
        <f t="shared" si="35"/>
        <v>0.60262047030315746</v>
      </c>
      <c r="BN40" s="16">
        <f t="shared" si="36"/>
        <v>0.38885122158854174</v>
      </c>
      <c r="BO40" s="16">
        <f t="shared" si="37"/>
        <v>8.5283081083007122E-3</v>
      </c>
      <c r="BP40" s="15"/>
      <c r="BQ40" s="38">
        <f t="shared" si="38"/>
        <v>0.88315579227696406</v>
      </c>
      <c r="BR40" s="38">
        <f t="shared" si="39"/>
        <v>0</v>
      </c>
      <c r="BS40" s="38">
        <f t="shared" si="40"/>
        <v>0.60298156139662618</v>
      </c>
      <c r="BT40" s="38">
        <f t="shared" si="41"/>
        <v>0</v>
      </c>
      <c r="BU40" s="38">
        <f t="shared" si="42"/>
        <v>8.7041570365188232E-3</v>
      </c>
      <c r="BV40" s="38">
        <f t="shared" si="43"/>
        <v>0</v>
      </c>
      <c r="BW40" s="38">
        <f t="shared" si="44"/>
        <v>0</v>
      </c>
      <c r="BX40" s="38">
        <f t="shared" si="45"/>
        <v>0.22503566333808844</v>
      </c>
      <c r="BY40" s="38">
        <f t="shared" si="46"/>
        <v>0.14520813165537272</v>
      </c>
      <c r="BZ40" s="38">
        <f t="shared" si="47"/>
        <v>3.1847133757961781E-3</v>
      </c>
      <c r="CA40" s="38">
        <f t="shared" si="48"/>
        <v>0</v>
      </c>
      <c r="CB40" s="38">
        <f t="shared" si="49"/>
        <v>0</v>
      </c>
      <c r="CC40" s="38">
        <f t="shared" si="50"/>
        <v>0</v>
      </c>
      <c r="CD40" s="38">
        <f t="shared" si="51"/>
        <v>1.8682700190793664</v>
      </c>
      <c r="CE40" s="38">
        <f t="shared" si="52"/>
        <v>2.9787201695390588</v>
      </c>
      <c r="CF40" s="38">
        <f t="shared" si="53"/>
        <v>2.6762726741522442</v>
      </c>
      <c r="CG40" s="38">
        <f t="shared" si="54"/>
        <v>7.9718673936835236</v>
      </c>
      <c r="CH40" s="15"/>
      <c r="CI40" s="16"/>
      <c r="CJ40" s="13"/>
      <c r="CK40" s="104"/>
      <c r="CL40" s="13"/>
      <c r="CM40" s="13"/>
      <c r="CN40" s="13"/>
      <c r="CO40" s="16"/>
      <c r="CP40" s="16"/>
      <c r="CQ40" s="16"/>
      <c r="CR40" s="16"/>
      <c r="CS40" s="16"/>
      <c r="CT40" s="16"/>
      <c r="CU40" s="16"/>
      <c r="CV40" s="16"/>
      <c r="CW40" s="16"/>
      <c r="CX40" s="16"/>
      <c r="CY40" s="104"/>
      <c r="CZ40" s="104"/>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3"/>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row>
    <row r="41" spans="1:167" x14ac:dyDescent="0.25">
      <c r="A41" s="35" t="s">
        <v>249</v>
      </c>
      <c r="B41" s="15">
        <v>158</v>
      </c>
      <c r="C41" s="102" t="s">
        <v>95</v>
      </c>
      <c r="D41" s="102" t="s">
        <v>104</v>
      </c>
      <c r="E41" s="15">
        <v>189</v>
      </c>
      <c r="F41" s="16">
        <v>49.04</v>
      </c>
      <c r="G41" s="16"/>
      <c r="H41" s="16">
        <v>32.880000000000003</v>
      </c>
      <c r="I41" s="16"/>
      <c r="J41" s="16">
        <v>0.57860163772158735</v>
      </c>
      <c r="K41" s="16"/>
      <c r="L41" s="16"/>
      <c r="M41" s="16">
        <v>15.45</v>
      </c>
      <c r="N41" s="16">
        <v>2.94</v>
      </c>
      <c r="O41" s="16">
        <v>0.11799999999999999</v>
      </c>
      <c r="P41" s="16">
        <v>0</v>
      </c>
      <c r="Q41" s="16"/>
      <c r="R41" s="16"/>
      <c r="S41" s="16">
        <f t="shared" si="0"/>
        <v>101.00660163772159</v>
      </c>
      <c r="T41" s="16"/>
      <c r="U41" s="15">
        <v>6</v>
      </c>
      <c r="V41" s="15"/>
      <c r="W41" s="15"/>
      <c r="X41" s="15" t="s">
        <v>185</v>
      </c>
      <c r="Y41" s="15"/>
      <c r="Z41" s="37">
        <v>8</v>
      </c>
      <c r="AA41" s="37">
        <v>5</v>
      </c>
      <c r="AB41" s="15"/>
      <c r="AC41" s="38">
        <f t="shared" si="1"/>
        <v>2.2270076782091914</v>
      </c>
      <c r="AD41" s="38">
        <f t="shared" si="2"/>
        <v>0</v>
      </c>
      <c r="AE41" s="38">
        <f t="shared" si="3"/>
        <v>1.7596777982568792</v>
      </c>
      <c r="AF41" s="38">
        <f t="shared" si="4"/>
        <v>0</v>
      </c>
      <c r="AG41" s="38">
        <f t="shared" si="5"/>
        <v>2.197121444695984E-2</v>
      </c>
      <c r="AH41" s="38">
        <f t="shared" si="6"/>
        <v>0</v>
      </c>
      <c r="AI41" s="38">
        <f t="shared" si="7"/>
        <v>0</v>
      </c>
      <c r="AJ41" s="38">
        <f t="shared" si="8"/>
        <v>0.75166037389715157</v>
      </c>
      <c r="AK41" s="38">
        <f t="shared" si="9"/>
        <v>0.25883734178447304</v>
      </c>
      <c r="AL41" s="38">
        <f t="shared" si="10"/>
        <v>6.8353739199004619E-3</v>
      </c>
      <c r="AM41" s="38">
        <f t="shared" si="11"/>
        <v>0</v>
      </c>
      <c r="AN41" s="38">
        <f t="shared" si="12"/>
        <v>0</v>
      </c>
      <c r="AO41" s="38">
        <f t="shared" si="13"/>
        <v>0</v>
      </c>
      <c r="AP41" s="38">
        <f t="shared" si="14"/>
        <v>5.0259897805145552</v>
      </c>
      <c r="AQ41" s="38">
        <f t="shared" si="15"/>
        <v>3.9866854764660706</v>
      </c>
      <c r="AR41" s="38">
        <f t="shared" si="16"/>
        <v>1.0173330896015251</v>
      </c>
      <c r="AS41" s="40"/>
      <c r="AT41" s="38">
        <f t="shared" si="17"/>
        <v>2.2154916498668173</v>
      </c>
      <c r="AU41" s="38">
        <f t="shared" si="18"/>
        <v>0</v>
      </c>
      <c r="AV41" s="38">
        <f t="shared" si="19"/>
        <v>1.7505783687414553</v>
      </c>
      <c r="AW41" s="38">
        <f t="shared" si="20"/>
        <v>0</v>
      </c>
      <c r="AX41" s="38">
        <f t="shared" si="21"/>
        <v>0</v>
      </c>
      <c r="AY41" s="38">
        <f t="shared" si="22"/>
        <v>2.1857599603704772E-2</v>
      </c>
      <c r="AZ41" s="38">
        <f t="shared" si="23"/>
        <v>0</v>
      </c>
      <c r="BA41" s="38">
        <f t="shared" si="24"/>
        <v>0</v>
      </c>
      <c r="BB41" s="38">
        <f t="shared" si="25"/>
        <v>0.74777348017229484</v>
      </c>
      <c r="BC41" s="38">
        <f t="shared" si="26"/>
        <v>0.25749887394117771</v>
      </c>
      <c r="BD41" s="38">
        <f t="shared" si="27"/>
        <v>6.8000276745495726E-3</v>
      </c>
      <c r="BE41" s="38">
        <f t="shared" si="28"/>
        <v>0</v>
      </c>
      <c r="BF41" s="38">
        <f t="shared" si="29"/>
        <v>0</v>
      </c>
      <c r="BG41" s="38">
        <f t="shared" si="30"/>
        <v>0</v>
      </c>
      <c r="BH41" s="41">
        <f t="shared" si="31"/>
        <v>5</v>
      </c>
      <c r="BI41" s="42">
        <f t="shared" si="32"/>
        <v>7.9695601832315344</v>
      </c>
      <c r="BJ41" s="38">
        <f t="shared" si="33"/>
        <v>3.9660700186082725</v>
      </c>
      <c r="BK41" s="38">
        <f t="shared" si="34"/>
        <v>1.0120723817880222</v>
      </c>
      <c r="BL41" s="16"/>
      <c r="BM41" s="16">
        <f t="shared" si="35"/>
        <v>0.73885375554978383</v>
      </c>
      <c r="BN41" s="16">
        <f t="shared" si="36"/>
        <v>0.25442733007520274</v>
      </c>
      <c r="BO41" s="16">
        <f t="shared" si="37"/>
        <v>6.71891437501338E-3</v>
      </c>
      <c r="BP41" s="15"/>
      <c r="BQ41" s="38">
        <f t="shared" si="38"/>
        <v>0.81624500665778965</v>
      </c>
      <c r="BR41" s="38">
        <f t="shared" si="39"/>
        <v>0</v>
      </c>
      <c r="BS41" s="38">
        <f t="shared" si="40"/>
        <v>0.64495880737544142</v>
      </c>
      <c r="BT41" s="38">
        <f t="shared" si="41"/>
        <v>0</v>
      </c>
      <c r="BU41" s="38">
        <f t="shared" si="42"/>
        <v>8.0529107546497905E-3</v>
      </c>
      <c r="BV41" s="38">
        <f t="shared" si="43"/>
        <v>0</v>
      </c>
      <c r="BW41" s="38">
        <f t="shared" si="44"/>
        <v>0</v>
      </c>
      <c r="BX41" s="38">
        <f t="shared" si="45"/>
        <v>0.2754992867332382</v>
      </c>
      <c r="BY41" s="38">
        <f t="shared" si="46"/>
        <v>9.4869312681510165E-2</v>
      </c>
      <c r="BZ41" s="38">
        <f t="shared" si="47"/>
        <v>2.5053078556263268E-3</v>
      </c>
      <c r="CA41" s="38">
        <f t="shared" si="48"/>
        <v>0</v>
      </c>
      <c r="CB41" s="38">
        <f t="shared" si="49"/>
        <v>0</v>
      </c>
      <c r="CC41" s="38">
        <f t="shared" si="50"/>
        <v>0</v>
      </c>
      <c r="CD41" s="38">
        <f t="shared" si="51"/>
        <v>1.8421306320582556</v>
      </c>
      <c r="CE41" s="38">
        <f t="shared" si="52"/>
        <v>2.9321677321351975</v>
      </c>
      <c r="CF41" s="38">
        <f t="shared" si="53"/>
        <v>2.7142483345024142</v>
      </c>
      <c r="CG41" s="38">
        <f t="shared" si="54"/>
        <v>7.9586313834296813</v>
      </c>
      <c r="CH41" s="15"/>
      <c r="CI41" s="16"/>
      <c r="CJ41" s="13"/>
      <c r="CK41" s="104"/>
      <c r="CL41" s="13"/>
      <c r="CM41" s="13"/>
      <c r="CN41" s="13"/>
      <c r="CO41" s="16"/>
      <c r="CP41" s="16"/>
      <c r="CQ41" s="16"/>
      <c r="CR41" s="16"/>
      <c r="CS41" s="16"/>
      <c r="CT41" s="16"/>
      <c r="CU41" s="16"/>
      <c r="CV41" s="16"/>
      <c r="CW41" s="16"/>
      <c r="CX41" s="16"/>
      <c r="CY41" s="104"/>
      <c r="CZ41" s="104"/>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3"/>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row>
    <row r="42" spans="1:167" x14ac:dyDescent="0.25">
      <c r="A42" s="35" t="s">
        <v>249</v>
      </c>
      <c r="B42" s="15">
        <v>159</v>
      </c>
      <c r="C42" s="102" t="s">
        <v>95</v>
      </c>
      <c r="D42" s="102" t="s">
        <v>104</v>
      </c>
      <c r="E42" s="15">
        <v>190</v>
      </c>
      <c r="F42" s="16">
        <v>52.41</v>
      </c>
      <c r="G42" s="16"/>
      <c r="H42" s="16">
        <v>29.93</v>
      </c>
      <c r="I42" s="16"/>
      <c r="J42" s="16">
        <v>0.71447853864842981</v>
      </c>
      <c r="K42" s="16"/>
      <c r="L42" s="16"/>
      <c r="M42" s="16">
        <v>12.77</v>
      </c>
      <c r="N42" s="16">
        <v>4.3600000000000003</v>
      </c>
      <c r="O42" s="16">
        <v>0.17599999999999999</v>
      </c>
      <c r="P42" s="16">
        <v>0</v>
      </c>
      <c r="Q42" s="16"/>
      <c r="R42" s="16"/>
      <c r="S42" s="16">
        <f t="shared" si="0"/>
        <v>100.36047853864844</v>
      </c>
      <c r="T42" s="16"/>
      <c r="U42" s="15">
        <v>6</v>
      </c>
      <c r="V42" s="15"/>
      <c r="W42" s="15"/>
      <c r="X42" s="15" t="s">
        <v>185</v>
      </c>
      <c r="Y42" s="15"/>
      <c r="Z42" s="37">
        <v>8</v>
      </c>
      <c r="AA42" s="37">
        <v>5</v>
      </c>
      <c r="AB42" s="15"/>
      <c r="AC42" s="38">
        <f t="shared" si="1"/>
        <v>2.3776027174247369</v>
      </c>
      <c r="AD42" s="38">
        <f t="shared" si="2"/>
        <v>0</v>
      </c>
      <c r="AE42" s="38">
        <f t="shared" si="3"/>
        <v>1.6001545783161186</v>
      </c>
      <c r="AF42" s="38">
        <f t="shared" si="4"/>
        <v>0</v>
      </c>
      <c r="AG42" s="38">
        <f t="shared" si="5"/>
        <v>2.7103006443928011E-2</v>
      </c>
      <c r="AH42" s="38">
        <f t="shared" si="6"/>
        <v>0</v>
      </c>
      <c r="AI42" s="38">
        <f t="shared" si="7"/>
        <v>0</v>
      </c>
      <c r="AJ42" s="38">
        <f t="shared" si="8"/>
        <v>0.62063740307307425</v>
      </c>
      <c r="AK42" s="38">
        <f t="shared" si="9"/>
        <v>0.38345990979613176</v>
      </c>
      <c r="AL42" s="38">
        <f t="shared" si="10"/>
        <v>1.018466652255816E-2</v>
      </c>
      <c r="AM42" s="38">
        <f t="shared" si="11"/>
        <v>0</v>
      </c>
      <c r="AN42" s="38">
        <f t="shared" si="12"/>
        <v>0</v>
      </c>
      <c r="AO42" s="38">
        <f t="shared" si="13"/>
        <v>0</v>
      </c>
      <c r="AP42" s="38">
        <f t="shared" si="14"/>
        <v>5.0191422815765474</v>
      </c>
      <c r="AQ42" s="38">
        <f t="shared" si="15"/>
        <v>3.9777572957408553</v>
      </c>
      <c r="AR42" s="38">
        <f t="shared" si="16"/>
        <v>1.0142819793917641</v>
      </c>
      <c r="AS42" s="40"/>
      <c r="AT42" s="38">
        <f t="shared" si="17"/>
        <v>2.3685348850858992</v>
      </c>
      <c r="AU42" s="38">
        <f t="shared" si="18"/>
        <v>0</v>
      </c>
      <c r="AV42" s="38">
        <f t="shared" si="19"/>
        <v>1.5940518205567773</v>
      </c>
      <c r="AW42" s="38">
        <f t="shared" si="20"/>
        <v>0</v>
      </c>
      <c r="AX42" s="38">
        <f t="shared" si="21"/>
        <v>0</v>
      </c>
      <c r="AY42" s="38">
        <f t="shared" si="22"/>
        <v>2.6999639503559526E-2</v>
      </c>
      <c r="AZ42" s="38">
        <f t="shared" si="23"/>
        <v>0</v>
      </c>
      <c r="BA42" s="38">
        <f t="shared" si="24"/>
        <v>0</v>
      </c>
      <c r="BB42" s="38">
        <f t="shared" si="25"/>
        <v>0.61827038192482531</v>
      </c>
      <c r="BC42" s="38">
        <f t="shared" si="26"/>
        <v>0.38199744924912182</v>
      </c>
      <c r="BD42" s="38">
        <f t="shared" si="27"/>
        <v>1.0145823679817147E-2</v>
      </c>
      <c r="BE42" s="38">
        <f t="shared" si="28"/>
        <v>0</v>
      </c>
      <c r="BF42" s="38">
        <f t="shared" si="29"/>
        <v>0</v>
      </c>
      <c r="BG42" s="38">
        <f t="shared" si="30"/>
        <v>0</v>
      </c>
      <c r="BH42" s="41">
        <f t="shared" si="31"/>
        <v>5</v>
      </c>
      <c r="BI42" s="42">
        <f t="shared" si="32"/>
        <v>7.9829889786515977</v>
      </c>
      <c r="BJ42" s="38">
        <f t="shared" si="33"/>
        <v>3.9625867056426767</v>
      </c>
      <c r="BK42" s="38">
        <f t="shared" si="34"/>
        <v>1.0104136548537641</v>
      </c>
      <c r="BL42" s="16"/>
      <c r="BM42" s="16">
        <f t="shared" si="35"/>
        <v>0.61189828438562299</v>
      </c>
      <c r="BN42" s="16">
        <f t="shared" si="36"/>
        <v>0.37806045812435879</v>
      </c>
      <c r="BO42" s="16">
        <f t="shared" si="37"/>
        <v>1.0041257490018321E-2</v>
      </c>
      <c r="BP42" s="15"/>
      <c r="BQ42" s="38">
        <f t="shared" si="38"/>
        <v>0.87233688415446065</v>
      </c>
      <c r="BR42" s="38">
        <f t="shared" si="39"/>
        <v>0</v>
      </c>
      <c r="BS42" s="38">
        <f t="shared" si="40"/>
        <v>0.5870929776382896</v>
      </c>
      <c r="BT42" s="38">
        <f t="shared" si="41"/>
        <v>0</v>
      </c>
      <c r="BU42" s="38">
        <f t="shared" si="42"/>
        <v>9.944029765461793E-3</v>
      </c>
      <c r="BV42" s="38">
        <f t="shared" si="43"/>
        <v>0</v>
      </c>
      <c r="BW42" s="38">
        <f t="shared" si="44"/>
        <v>0</v>
      </c>
      <c r="BX42" s="38">
        <f t="shared" si="45"/>
        <v>0.22771041369472184</v>
      </c>
      <c r="BY42" s="38">
        <f t="shared" si="46"/>
        <v>0.14069054533720557</v>
      </c>
      <c r="BZ42" s="38">
        <f t="shared" si="47"/>
        <v>3.7367303609341825E-3</v>
      </c>
      <c r="CA42" s="38">
        <f t="shared" si="48"/>
        <v>0</v>
      </c>
      <c r="CB42" s="38">
        <f t="shared" si="49"/>
        <v>0</v>
      </c>
      <c r="CC42" s="38">
        <f t="shared" si="50"/>
        <v>0</v>
      </c>
      <c r="CD42" s="38">
        <f t="shared" si="51"/>
        <v>1.8415115809510736</v>
      </c>
      <c r="CE42" s="38">
        <f t="shared" si="52"/>
        <v>2.9351813160756093</v>
      </c>
      <c r="CF42" s="38">
        <f t="shared" si="53"/>
        <v>2.7151607688601569</v>
      </c>
      <c r="CG42" s="38">
        <f t="shared" si="54"/>
        <v>7.9694891588998189</v>
      </c>
      <c r="CH42" s="15"/>
      <c r="CI42" s="16"/>
      <c r="CJ42" s="13"/>
      <c r="CK42" s="104"/>
      <c r="CL42" s="13"/>
      <c r="CM42" s="13"/>
      <c r="CN42" s="13"/>
      <c r="CO42" s="16"/>
      <c r="CP42" s="16"/>
      <c r="CQ42" s="16"/>
      <c r="CR42" s="16"/>
      <c r="CS42" s="16"/>
      <c r="CT42" s="16"/>
      <c r="CU42" s="16"/>
      <c r="CV42" s="16"/>
      <c r="CW42" s="16"/>
      <c r="CX42" s="16"/>
      <c r="CY42" s="104"/>
      <c r="CZ42" s="104"/>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3"/>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row>
    <row r="43" spans="1:167" x14ac:dyDescent="0.25">
      <c r="A43" s="35" t="s">
        <v>249</v>
      </c>
      <c r="B43" s="15">
        <v>160</v>
      </c>
      <c r="C43" s="102" t="s">
        <v>95</v>
      </c>
      <c r="D43" s="102" t="s">
        <v>104</v>
      </c>
      <c r="E43" s="15">
        <v>191</v>
      </c>
      <c r="F43" s="16">
        <v>54.43</v>
      </c>
      <c r="G43" s="16"/>
      <c r="H43" s="16">
        <v>29.52</v>
      </c>
      <c r="I43" s="16"/>
      <c r="J43" s="16">
        <v>0.78106721857284267</v>
      </c>
      <c r="K43" s="16"/>
      <c r="L43" s="16"/>
      <c r="M43" s="16">
        <v>11.66</v>
      </c>
      <c r="N43" s="16">
        <v>5.03</v>
      </c>
      <c r="O43" s="16">
        <v>0.21299999999999999</v>
      </c>
      <c r="P43" s="16">
        <v>0</v>
      </c>
      <c r="Q43" s="16"/>
      <c r="R43" s="16"/>
      <c r="S43" s="16">
        <f t="shared" si="0"/>
        <v>101.63406721857284</v>
      </c>
      <c r="T43" s="16"/>
      <c r="U43" s="15">
        <v>7</v>
      </c>
      <c r="V43" s="15">
        <v>1</v>
      </c>
      <c r="W43" s="15"/>
      <c r="X43" s="15" t="s">
        <v>185</v>
      </c>
      <c r="Y43" s="15"/>
      <c r="Z43" s="37">
        <v>8</v>
      </c>
      <c r="AA43" s="37">
        <v>5</v>
      </c>
      <c r="AB43" s="15"/>
      <c r="AC43" s="38">
        <f t="shared" si="1"/>
        <v>2.4299041718775438</v>
      </c>
      <c r="AD43" s="38">
        <f t="shared" si="2"/>
        <v>0</v>
      </c>
      <c r="AE43" s="38">
        <f t="shared" si="3"/>
        <v>1.5530922707589025</v>
      </c>
      <c r="AF43" s="38">
        <f t="shared" si="4"/>
        <v>0</v>
      </c>
      <c r="AG43" s="38">
        <f t="shared" si="5"/>
        <v>2.9156968973460911E-2</v>
      </c>
      <c r="AH43" s="38">
        <f t="shared" si="6"/>
        <v>0</v>
      </c>
      <c r="AI43" s="38">
        <f t="shared" si="7"/>
        <v>0</v>
      </c>
      <c r="AJ43" s="38">
        <f t="shared" si="8"/>
        <v>0.55766229513632048</v>
      </c>
      <c r="AK43" s="38">
        <f t="shared" si="9"/>
        <v>0.43533856880065219</v>
      </c>
      <c r="AL43" s="38">
        <f t="shared" si="10"/>
        <v>1.2129403192898493E-2</v>
      </c>
      <c r="AM43" s="38">
        <f t="shared" si="11"/>
        <v>0</v>
      </c>
      <c r="AN43" s="38">
        <f t="shared" si="12"/>
        <v>0</v>
      </c>
      <c r="AO43" s="38">
        <f t="shared" si="13"/>
        <v>0</v>
      </c>
      <c r="AP43" s="38">
        <f t="shared" si="14"/>
        <v>5.017283678739779</v>
      </c>
      <c r="AQ43" s="38">
        <f t="shared" si="15"/>
        <v>3.9829964426364466</v>
      </c>
      <c r="AR43" s="38">
        <f t="shared" si="16"/>
        <v>1.0051302671298712</v>
      </c>
      <c r="AS43" s="40"/>
      <c r="AT43" s="38">
        <f t="shared" si="17"/>
        <v>2.4215335702204883</v>
      </c>
      <c r="AU43" s="38">
        <f t="shared" si="18"/>
        <v>0</v>
      </c>
      <c r="AV43" s="38">
        <f t="shared" si="19"/>
        <v>1.5477421351915686</v>
      </c>
      <c r="AW43" s="38">
        <f t="shared" si="20"/>
        <v>0</v>
      </c>
      <c r="AX43" s="38">
        <f t="shared" si="21"/>
        <v>0</v>
      </c>
      <c r="AY43" s="38">
        <f t="shared" si="22"/>
        <v>2.9056528233604328E-2</v>
      </c>
      <c r="AZ43" s="38">
        <f t="shared" si="23"/>
        <v>0</v>
      </c>
      <c r="BA43" s="38">
        <f t="shared" si="24"/>
        <v>0</v>
      </c>
      <c r="BB43" s="38">
        <f t="shared" si="25"/>
        <v>0.55574124450981</v>
      </c>
      <c r="BC43" s="38">
        <f t="shared" si="26"/>
        <v>0.43383890235801742</v>
      </c>
      <c r="BD43" s="38">
        <f t="shared" si="27"/>
        <v>1.2087619486511783E-2</v>
      </c>
      <c r="BE43" s="38">
        <f t="shared" si="28"/>
        <v>0</v>
      </c>
      <c r="BF43" s="38">
        <f t="shared" si="29"/>
        <v>0</v>
      </c>
      <c r="BG43" s="38">
        <f t="shared" si="30"/>
        <v>0</v>
      </c>
      <c r="BH43" s="41">
        <f t="shared" si="31"/>
        <v>5.0000000000000009</v>
      </c>
      <c r="BI43" s="42">
        <f t="shared" si="32"/>
        <v>7.9869696410108109</v>
      </c>
      <c r="BJ43" s="38">
        <f t="shared" si="33"/>
        <v>3.9692757054120569</v>
      </c>
      <c r="BK43" s="38">
        <f t="shared" si="34"/>
        <v>1.0016677663543392</v>
      </c>
      <c r="BL43" s="16"/>
      <c r="BM43" s="16">
        <f t="shared" si="35"/>
        <v>0.55481594115030852</v>
      </c>
      <c r="BN43" s="16">
        <f t="shared" si="36"/>
        <v>0.43311656512319796</v>
      </c>
      <c r="BO43" s="16">
        <f t="shared" si="37"/>
        <v>1.2067493726493536E-2</v>
      </c>
      <c r="BP43" s="15"/>
      <c r="BQ43" s="38">
        <f t="shared" si="38"/>
        <v>0.90595872170439418</v>
      </c>
      <c r="BR43" s="38">
        <f t="shared" si="39"/>
        <v>0</v>
      </c>
      <c r="BS43" s="38">
        <f t="shared" si="40"/>
        <v>0.57905060808160069</v>
      </c>
      <c r="BT43" s="38">
        <f t="shared" si="41"/>
        <v>0</v>
      </c>
      <c r="BU43" s="38">
        <f t="shared" si="42"/>
        <v>1.0870803320429265E-2</v>
      </c>
      <c r="BV43" s="38">
        <f t="shared" si="43"/>
        <v>0</v>
      </c>
      <c r="BW43" s="38">
        <f t="shared" si="44"/>
        <v>0</v>
      </c>
      <c r="BX43" s="38">
        <f t="shared" si="45"/>
        <v>0.20791726105563482</v>
      </c>
      <c r="BY43" s="38">
        <f t="shared" si="46"/>
        <v>0.16231042271700549</v>
      </c>
      <c r="BZ43" s="38">
        <f t="shared" si="47"/>
        <v>4.5222929936305726E-3</v>
      </c>
      <c r="CA43" s="38">
        <f t="shared" si="48"/>
        <v>0</v>
      </c>
      <c r="CB43" s="38">
        <f t="shared" si="49"/>
        <v>0</v>
      </c>
      <c r="CC43" s="38">
        <f t="shared" si="50"/>
        <v>0</v>
      </c>
      <c r="CD43" s="38">
        <f t="shared" si="51"/>
        <v>1.870630109872695</v>
      </c>
      <c r="CE43" s="38">
        <f t="shared" si="52"/>
        <v>2.9826977777625721</v>
      </c>
      <c r="CF43" s="38">
        <f t="shared" si="53"/>
        <v>2.672896139975141</v>
      </c>
      <c r="CG43" s="38">
        <f t="shared" si="54"/>
        <v>7.9724413768940101</v>
      </c>
      <c r="CH43" s="15"/>
      <c r="CI43" s="16">
        <v>4.5937394524789861</v>
      </c>
      <c r="CJ43" s="13">
        <v>34279.981351597817</v>
      </c>
      <c r="CK43" s="104">
        <v>419.42360549173026</v>
      </c>
      <c r="CL43" s="13">
        <v>151296.02993970868</v>
      </c>
      <c r="CM43" s="13">
        <v>256105.47370484754</v>
      </c>
      <c r="CN43" s="13">
        <v>80788.429567317085</v>
      </c>
      <c r="CO43" s="16">
        <v>0.56763762579259014</v>
      </c>
      <c r="CP43" s="16">
        <v>183.42672861525958</v>
      </c>
      <c r="CQ43" s="16">
        <v>0.94528388496145865</v>
      </c>
      <c r="CR43" s="16">
        <v>2.6639959518164615</v>
      </c>
      <c r="CS43" s="16">
        <v>59.334788881463936</v>
      </c>
      <c r="CT43" s="16">
        <v>0.83790854581176222</v>
      </c>
      <c r="CU43" s="16">
        <v>0</v>
      </c>
      <c r="CV43" s="16">
        <v>0</v>
      </c>
      <c r="CW43" s="16">
        <v>8.8903514178451157</v>
      </c>
      <c r="CX43" s="16">
        <v>0</v>
      </c>
      <c r="CY43" s="104">
        <v>491.93887548026288</v>
      </c>
      <c r="CZ43" s="104">
        <v>490.13572699141253</v>
      </c>
      <c r="DA43" s="16">
        <v>0.60146419617018743</v>
      </c>
      <c r="DB43" s="16">
        <v>0</v>
      </c>
      <c r="DC43" s="16">
        <v>0.25749724685663661</v>
      </c>
      <c r="DD43" s="16">
        <v>0</v>
      </c>
      <c r="DE43" s="16">
        <v>92.360701422750864</v>
      </c>
      <c r="DF43" s="16">
        <v>3.1355965760288171</v>
      </c>
      <c r="DG43" s="16">
        <v>5.1353413179791643</v>
      </c>
      <c r="DH43" s="16">
        <v>0.55354161068164109</v>
      </c>
      <c r="DI43" s="16">
        <v>2.385555768212452</v>
      </c>
      <c r="DJ43" s="16">
        <v>0.33193259301642175</v>
      </c>
      <c r="DK43" s="16">
        <v>1.0007865312435551</v>
      </c>
      <c r="DL43" s="16">
        <v>0.23149791828039945</v>
      </c>
      <c r="DM43" s="16">
        <v>5.1156509739933805E-2</v>
      </c>
      <c r="DN43" s="16">
        <v>5.6294176954891369E-2</v>
      </c>
      <c r="DO43" s="16">
        <v>0</v>
      </c>
      <c r="DP43" s="16">
        <v>0.10920410643877337</v>
      </c>
      <c r="DQ43" s="16">
        <v>0</v>
      </c>
      <c r="DR43" s="16">
        <v>0.11040941862825934</v>
      </c>
      <c r="DS43" s="16">
        <v>0</v>
      </c>
      <c r="DT43" s="16">
        <v>0</v>
      </c>
      <c r="DU43" s="16">
        <v>0</v>
      </c>
      <c r="DV43" s="16">
        <v>2.152229471293873</v>
      </c>
      <c r="DW43" s="16">
        <v>3.0022885125536629E-2</v>
      </c>
      <c r="DX43" s="16">
        <v>1.6448305616550623E-2</v>
      </c>
      <c r="DY43" s="16">
        <f>(DK43/0.05883)/SQRT((DJ43/0.1536)*(DL43/0.2069))</f>
        <v>10.940066512518756</v>
      </c>
      <c r="DZ43" s="16"/>
      <c r="EA43" s="13">
        <f>1128+200*((BM43-0.4)/0.4) -273</f>
        <v>932.4079705751542</v>
      </c>
      <c r="EB43" s="16"/>
      <c r="EC43" s="16">
        <f>(-18.482 -16.353 * BM43)/(0.008314 * (EA43+273))</f>
        <v>-2.7495070677512174</v>
      </c>
      <c r="ED43" s="16"/>
      <c r="EE43" s="16"/>
      <c r="EF43" s="16"/>
      <c r="EG43" s="16"/>
      <c r="EH43" s="16"/>
      <c r="EI43" s="16"/>
      <c r="EJ43" s="16"/>
      <c r="EK43" s="16"/>
      <c r="EL43" s="16">
        <f>(23.856 -20.71 * BM43)/(0.008314 * (EA43+273))</f>
        <v>1.2338910086308332</v>
      </c>
      <c r="EM43" s="16"/>
      <c r="EN43" s="16">
        <f>(-4.5269  -51.811 * BM43)/(0.008314 * (EA43+273)) +N("eqn50a")</f>
        <v>-3.3200218851036629</v>
      </c>
      <c r="EO43" s="16" t="e">
        <f>(-187.27 + 2.26018 *#REF!)/(0.008314 * (EA43+273)) +N("fsp eqn35 from SiO2")</f>
        <v>#REF!</v>
      </c>
      <c r="EP43" s="16"/>
      <c r="EQ43" s="16"/>
      <c r="ER43" s="16">
        <f>(10.146 -35.204 * BM43)/(0.008314 * (EA43+273))</f>
        <v>-0.93653596208689394</v>
      </c>
      <c r="ES43" s="16">
        <f>(2.1146 -37.009 * BM43)/(0.008314 * (EA43+273))</f>
        <v>-1.8378587926755787</v>
      </c>
      <c r="ET43" s="16">
        <f>(-3.6812 -33.822 * BM43)/(0.008314 * (EA43+273))</f>
        <v>-2.2397443741590877</v>
      </c>
      <c r="EU43" s="16">
        <f>(-6.8025 -26.094 * BM43)/(0.008314 * (EA43+273))</f>
        <v>-2.1233658761818042</v>
      </c>
      <c r="EV43" s="16">
        <f>(-5.6996 -30.85 * BM43)/(0.008314 * (EA43+273))</f>
        <v>-2.2766128437746551</v>
      </c>
      <c r="EW43" s="16">
        <f>(-8.6767 -33.32 * BM43)/(0.008314 * (EA43+273))</f>
        <v>-2.7104183394729593</v>
      </c>
      <c r="EX43" s="16"/>
      <c r="EY43" s="16">
        <f>(-1.9714 -59.897 * BM43)/(0.008314 * (EA43+273))</f>
        <v>-3.5126768020428991</v>
      </c>
      <c r="EZ43" s="16">
        <f>(-4.3691 -44.528 * BM43)/(0.008314 * (EA43+273))</f>
        <v>-2.9010811284817004</v>
      </c>
      <c r="FA43" s="16">
        <f>(-2.2521 -58.215 * BM43)/(0.008314 * (EA43+273))</f>
        <v>-3.4475684486764275</v>
      </c>
      <c r="FB43" s="16"/>
      <c r="FC43" s="16">
        <f>(-8.5 - 57.253 * BM43)/(0.008314 * (EA43+273))</f>
        <v>-4.0177443459129103</v>
      </c>
      <c r="FD43" s="16"/>
      <c r="FE43" s="16">
        <f>(-9.2954 -52.923 * BM43)/(0.008314 * (EA43+273))</f>
        <v>-3.8573979870142581</v>
      </c>
      <c r="FF43" s="16">
        <f>(0.61501 -70.378 * BM43)/(0.008314 * (EA43+273))</f>
        <v>-3.8348373085413732</v>
      </c>
      <c r="FG43" s="16"/>
      <c r="FH43" s="16"/>
      <c r="FI43" s="16"/>
      <c r="FJ43" s="16"/>
      <c r="FK43" s="16"/>
    </row>
    <row r="44" spans="1:167" x14ac:dyDescent="0.25">
      <c r="A44" s="35" t="s">
        <v>249</v>
      </c>
      <c r="B44" s="15">
        <v>161</v>
      </c>
      <c r="C44" s="102" t="s">
        <v>95</v>
      </c>
      <c r="D44" s="102" t="s">
        <v>104</v>
      </c>
      <c r="E44" s="15">
        <v>192</v>
      </c>
      <c r="F44" s="16">
        <v>52.91</v>
      </c>
      <c r="G44" s="16"/>
      <c r="H44" s="16">
        <v>30.56</v>
      </c>
      <c r="I44" s="16"/>
      <c r="J44" s="16">
        <v>0.59929811931971566</v>
      </c>
      <c r="K44" s="16"/>
      <c r="L44" s="16"/>
      <c r="M44" s="16">
        <v>12.76</v>
      </c>
      <c r="N44" s="16">
        <v>4.3099999999999996</v>
      </c>
      <c r="O44" s="16">
        <v>0.154</v>
      </c>
      <c r="P44" s="16">
        <v>0</v>
      </c>
      <c r="Q44" s="16"/>
      <c r="R44" s="16"/>
      <c r="S44" s="16">
        <f t="shared" si="0"/>
        <v>101.29329811931972</v>
      </c>
      <c r="T44" s="16"/>
      <c r="U44" s="15">
        <v>7</v>
      </c>
      <c r="V44" s="15">
        <v>2</v>
      </c>
      <c r="W44" s="15"/>
      <c r="X44" s="15" t="s">
        <v>185</v>
      </c>
      <c r="Y44" s="15"/>
      <c r="Z44" s="37">
        <v>8</v>
      </c>
      <c r="AA44" s="37">
        <v>5</v>
      </c>
      <c r="AB44" s="15"/>
      <c r="AC44" s="38">
        <f t="shared" si="1"/>
        <v>2.3741115539255828</v>
      </c>
      <c r="AD44" s="38">
        <f t="shared" si="2"/>
        <v>0</v>
      </c>
      <c r="AE44" s="38">
        <f t="shared" si="3"/>
        <v>1.6160202659530678</v>
      </c>
      <c r="AF44" s="38">
        <f t="shared" si="4"/>
        <v>0</v>
      </c>
      <c r="AG44" s="38">
        <f t="shared" si="5"/>
        <v>2.2485856066692837E-2</v>
      </c>
      <c r="AH44" s="38">
        <f t="shared" si="6"/>
        <v>0</v>
      </c>
      <c r="AI44" s="38">
        <f t="shared" si="7"/>
        <v>0</v>
      </c>
      <c r="AJ44" s="38">
        <f t="shared" si="8"/>
        <v>0.61338895765710721</v>
      </c>
      <c r="AK44" s="38">
        <f t="shared" si="9"/>
        <v>0.37492895203508758</v>
      </c>
      <c r="AL44" s="38">
        <f t="shared" si="10"/>
        <v>8.8144069557754591E-3</v>
      </c>
      <c r="AM44" s="38">
        <f t="shared" si="11"/>
        <v>0</v>
      </c>
      <c r="AN44" s="38">
        <f t="shared" si="12"/>
        <v>0</v>
      </c>
      <c r="AO44" s="38">
        <f t="shared" si="13"/>
        <v>0</v>
      </c>
      <c r="AP44" s="38">
        <f t="shared" si="14"/>
        <v>5.0097499925933144</v>
      </c>
      <c r="AQ44" s="38">
        <f t="shared" si="15"/>
        <v>3.9901318198786506</v>
      </c>
      <c r="AR44" s="38">
        <f t="shared" si="16"/>
        <v>0.99713231664797031</v>
      </c>
      <c r="AS44" s="40"/>
      <c r="AT44" s="38">
        <f t="shared" si="17"/>
        <v>2.3694910498883162</v>
      </c>
      <c r="AU44" s="38">
        <f t="shared" si="18"/>
        <v>0</v>
      </c>
      <c r="AV44" s="38">
        <f t="shared" si="19"/>
        <v>1.6128751617768153</v>
      </c>
      <c r="AW44" s="38">
        <f t="shared" si="20"/>
        <v>0</v>
      </c>
      <c r="AX44" s="38">
        <f t="shared" si="21"/>
        <v>0</v>
      </c>
      <c r="AY44" s="38">
        <f t="shared" si="22"/>
        <v>2.2442094016604772E-2</v>
      </c>
      <c r="AZ44" s="38">
        <f t="shared" si="23"/>
        <v>0</v>
      </c>
      <c r="BA44" s="38">
        <f t="shared" si="24"/>
        <v>0</v>
      </c>
      <c r="BB44" s="38">
        <f t="shared" si="25"/>
        <v>0.61219517796693923</v>
      </c>
      <c r="BC44" s="38">
        <f t="shared" si="26"/>
        <v>0.374199264024555</v>
      </c>
      <c r="BD44" s="38">
        <f t="shared" si="27"/>
        <v>8.7972523267699568E-3</v>
      </c>
      <c r="BE44" s="38">
        <f t="shared" si="28"/>
        <v>0</v>
      </c>
      <c r="BF44" s="38">
        <f t="shared" si="29"/>
        <v>0</v>
      </c>
      <c r="BG44" s="38">
        <f t="shared" si="30"/>
        <v>0</v>
      </c>
      <c r="BH44" s="41">
        <f t="shared" si="31"/>
        <v>5</v>
      </c>
      <c r="BI44" s="42">
        <f t="shared" si="32"/>
        <v>7.9956514196093638</v>
      </c>
      <c r="BJ44" s="38">
        <f t="shared" si="33"/>
        <v>3.9823662116651315</v>
      </c>
      <c r="BK44" s="38">
        <f t="shared" si="34"/>
        <v>0.99519169431826426</v>
      </c>
      <c r="BL44" s="16"/>
      <c r="BM44" s="16">
        <f t="shared" si="35"/>
        <v>0.61515302173649167</v>
      </c>
      <c r="BN44" s="16">
        <f t="shared" si="36"/>
        <v>0.37600722168495648</v>
      </c>
      <c r="BO44" s="16">
        <f t="shared" si="37"/>
        <v>8.8397565785517662E-3</v>
      </c>
      <c r="BP44" s="15"/>
      <c r="BQ44" s="38">
        <f t="shared" si="38"/>
        <v>0.88065912117177092</v>
      </c>
      <c r="BR44" s="38">
        <f t="shared" si="39"/>
        <v>0</v>
      </c>
      <c r="BS44" s="38">
        <f t="shared" si="40"/>
        <v>0.59945076500588468</v>
      </c>
      <c r="BT44" s="38">
        <f t="shared" si="41"/>
        <v>0</v>
      </c>
      <c r="BU44" s="38">
        <f t="shared" si="42"/>
        <v>8.3409619947072463E-3</v>
      </c>
      <c r="BV44" s="38">
        <f t="shared" si="43"/>
        <v>0</v>
      </c>
      <c r="BW44" s="38">
        <f t="shared" si="44"/>
        <v>0</v>
      </c>
      <c r="BX44" s="38">
        <f t="shared" si="45"/>
        <v>0.22753209700427959</v>
      </c>
      <c r="BY44" s="38">
        <f t="shared" si="46"/>
        <v>0.13907712165214584</v>
      </c>
      <c r="BZ44" s="38">
        <f t="shared" si="47"/>
        <v>3.2696390658174096E-3</v>
      </c>
      <c r="CA44" s="38">
        <f t="shared" si="48"/>
        <v>0</v>
      </c>
      <c r="CB44" s="38">
        <f t="shared" si="49"/>
        <v>0</v>
      </c>
      <c r="CC44" s="38">
        <f t="shared" si="50"/>
        <v>0</v>
      </c>
      <c r="CD44" s="38">
        <f t="shared" si="51"/>
        <v>1.8583297058946056</v>
      </c>
      <c r="CE44" s="38">
        <f t="shared" si="52"/>
        <v>2.9675408292103378</v>
      </c>
      <c r="CF44" s="38">
        <f t="shared" si="53"/>
        <v>2.6905882116289934</v>
      </c>
      <c r="CG44" s="38">
        <f t="shared" si="54"/>
        <v>7.9844303726010626</v>
      </c>
      <c r="CH44" s="15"/>
      <c r="CI44" s="16"/>
      <c r="CJ44" s="13"/>
      <c r="CK44" s="104"/>
      <c r="CL44" s="13"/>
      <c r="CM44" s="13"/>
      <c r="CN44" s="13"/>
      <c r="CO44" s="16"/>
      <c r="CP44" s="16"/>
      <c r="CQ44" s="16"/>
      <c r="CR44" s="16"/>
      <c r="CS44" s="16"/>
      <c r="CT44" s="16"/>
      <c r="CU44" s="16"/>
      <c r="CV44" s="16"/>
      <c r="CW44" s="16"/>
      <c r="CX44" s="16"/>
      <c r="CY44" s="104"/>
      <c r="CZ44" s="104"/>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3"/>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row>
    <row r="45" spans="1:167" x14ac:dyDescent="0.25">
      <c r="A45" s="35" t="s">
        <v>249</v>
      </c>
      <c r="B45" s="15">
        <v>162</v>
      </c>
      <c r="C45" s="102" t="s">
        <v>95</v>
      </c>
      <c r="D45" s="102" t="s">
        <v>104</v>
      </c>
      <c r="E45" s="15">
        <v>193</v>
      </c>
      <c r="F45" s="16">
        <v>53.18</v>
      </c>
      <c r="G45" s="16"/>
      <c r="H45" s="16">
        <v>30.58</v>
      </c>
      <c r="I45" s="16"/>
      <c r="J45" s="16">
        <v>0.62539368307387744</v>
      </c>
      <c r="K45" s="16"/>
      <c r="L45" s="16"/>
      <c r="M45" s="16">
        <v>12.65</v>
      </c>
      <c r="N45" s="16">
        <v>4.4000000000000004</v>
      </c>
      <c r="O45" s="16">
        <v>0.17699999999999999</v>
      </c>
      <c r="P45" s="16">
        <v>0</v>
      </c>
      <c r="Q45" s="16"/>
      <c r="R45" s="16"/>
      <c r="S45" s="16">
        <f t="shared" si="0"/>
        <v>101.61239368307389</v>
      </c>
      <c r="T45" s="16"/>
      <c r="U45" s="15">
        <v>7</v>
      </c>
      <c r="V45" s="15">
        <v>3</v>
      </c>
      <c r="W45" s="15"/>
      <c r="X45" s="15" t="s">
        <v>185</v>
      </c>
      <c r="Y45" s="15"/>
      <c r="Z45" s="37">
        <v>8</v>
      </c>
      <c r="AA45" s="37">
        <v>5</v>
      </c>
      <c r="AB45" s="15"/>
      <c r="AC45" s="38">
        <f t="shared" si="1"/>
        <v>2.378472633685603</v>
      </c>
      <c r="AD45" s="38">
        <f t="shared" si="2"/>
        <v>0</v>
      </c>
      <c r="AE45" s="38">
        <f t="shared" si="3"/>
        <v>1.6118231897890449</v>
      </c>
      <c r="AF45" s="38">
        <f t="shared" si="4"/>
        <v>0</v>
      </c>
      <c r="AG45" s="38">
        <f t="shared" si="5"/>
        <v>2.3388720695460188E-2</v>
      </c>
      <c r="AH45" s="38">
        <f t="shared" si="6"/>
        <v>0</v>
      </c>
      <c r="AI45" s="38">
        <f t="shared" si="7"/>
        <v>0</v>
      </c>
      <c r="AJ45" s="38">
        <f t="shared" si="8"/>
        <v>0.60612510229324468</v>
      </c>
      <c r="AK45" s="38">
        <f t="shared" si="9"/>
        <v>0.381514325649005</v>
      </c>
      <c r="AL45" s="38">
        <f t="shared" si="10"/>
        <v>1.0097924264040201E-2</v>
      </c>
      <c r="AM45" s="38">
        <f t="shared" si="11"/>
        <v>0</v>
      </c>
      <c r="AN45" s="38">
        <f t="shared" si="12"/>
        <v>0</v>
      </c>
      <c r="AO45" s="38">
        <f t="shared" si="13"/>
        <v>0</v>
      </c>
      <c r="AP45" s="38">
        <f t="shared" si="14"/>
        <v>5.0114218963763983</v>
      </c>
      <c r="AQ45" s="38">
        <f t="shared" si="15"/>
        <v>3.9902958234746482</v>
      </c>
      <c r="AR45" s="38">
        <f t="shared" si="16"/>
        <v>0.9977373522062899</v>
      </c>
      <c r="AS45" s="40"/>
      <c r="AT45" s="38">
        <f t="shared" si="17"/>
        <v>2.3730516836004187</v>
      </c>
      <c r="AU45" s="38">
        <f t="shared" si="18"/>
        <v>0</v>
      </c>
      <c r="AV45" s="38">
        <f t="shared" si="19"/>
        <v>1.6081495662483574</v>
      </c>
      <c r="AW45" s="38">
        <f t="shared" si="20"/>
        <v>0</v>
      </c>
      <c r="AX45" s="38">
        <f t="shared" si="21"/>
        <v>0</v>
      </c>
      <c r="AY45" s="38">
        <f t="shared" si="22"/>
        <v>2.3335413759887028E-2</v>
      </c>
      <c r="AZ45" s="38">
        <f t="shared" si="23"/>
        <v>0</v>
      </c>
      <c r="BA45" s="38">
        <f t="shared" si="24"/>
        <v>0</v>
      </c>
      <c r="BB45" s="38">
        <f t="shared" si="25"/>
        <v>0.6047436384586925</v>
      </c>
      <c r="BC45" s="38">
        <f t="shared" si="26"/>
        <v>0.38064478858272349</v>
      </c>
      <c r="BD45" s="38">
        <f t="shared" si="27"/>
        <v>1.0074909349920922E-2</v>
      </c>
      <c r="BE45" s="38">
        <f t="shared" si="28"/>
        <v>0</v>
      </c>
      <c r="BF45" s="38">
        <f t="shared" si="29"/>
        <v>0</v>
      </c>
      <c r="BG45" s="38">
        <f t="shared" si="30"/>
        <v>0</v>
      </c>
      <c r="BH45" s="41">
        <f t="shared" si="31"/>
        <v>5</v>
      </c>
      <c r="BI45" s="42">
        <f t="shared" si="32"/>
        <v>7.9934343246382182</v>
      </c>
      <c r="BJ45" s="38">
        <f t="shared" si="33"/>
        <v>3.9812012498487759</v>
      </c>
      <c r="BK45" s="38">
        <f t="shared" si="34"/>
        <v>0.99546333639133688</v>
      </c>
      <c r="BL45" s="16"/>
      <c r="BM45" s="16">
        <f t="shared" si="35"/>
        <v>0.60749966005875622</v>
      </c>
      <c r="BN45" s="16">
        <f t="shared" si="36"/>
        <v>0.38237951581682789</v>
      </c>
      <c r="BO45" s="16">
        <f t="shared" si="37"/>
        <v>1.0120824124415837E-2</v>
      </c>
      <c r="BP45" s="15"/>
      <c r="BQ45" s="38">
        <f t="shared" si="38"/>
        <v>0.88515312916111855</v>
      </c>
      <c r="BR45" s="38">
        <f t="shared" si="39"/>
        <v>0</v>
      </c>
      <c r="BS45" s="38">
        <f t="shared" si="40"/>
        <v>0.59984307571596707</v>
      </c>
      <c r="BT45" s="38">
        <f t="shared" si="41"/>
        <v>0</v>
      </c>
      <c r="BU45" s="38">
        <f t="shared" si="42"/>
        <v>8.7041570365188232E-3</v>
      </c>
      <c r="BV45" s="38">
        <f t="shared" si="43"/>
        <v>0</v>
      </c>
      <c r="BW45" s="38">
        <f t="shared" si="44"/>
        <v>0</v>
      </c>
      <c r="BX45" s="38">
        <f t="shared" si="45"/>
        <v>0.22557061340941514</v>
      </c>
      <c r="BY45" s="38">
        <f t="shared" si="46"/>
        <v>0.14198128428525333</v>
      </c>
      <c r="BZ45" s="38">
        <f t="shared" si="47"/>
        <v>3.7579617834394901E-3</v>
      </c>
      <c r="CA45" s="38">
        <f t="shared" si="48"/>
        <v>0</v>
      </c>
      <c r="CB45" s="38">
        <f t="shared" si="49"/>
        <v>0</v>
      </c>
      <c r="CC45" s="38">
        <f t="shared" si="50"/>
        <v>0</v>
      </c>
      <c r="CD45" s="38">
        <f t="shared" si="51"/>
        <v>1.8650102213917124</v>
      </c>
      <c r="CE45" s="38">
        <f t="shared" si="52"/>
        <v>2.9772152653764676</v>
      </c>
      <c r="CF45" s="38">
        <f t="shared" si="53"/>
        <v>2.6809504541314997</v>
      </c>
      <c r="CG45" s="38">
        <f t="shared" si="54"/>
        <v>7.9817666177582742</v>
      </c>
      <c r="CH45" s="15"/>
      <c r="CI45" s="16">
        <v>2.6810613849049885</v>
      </c>
      <c r="CJ45" s="13">
        <v>27690.586712175704</v>
      </c>
      <c r="CK45" s="104">
        <v>395.79077689229774</v>
      </c>
      <c r="CL45" s="13">
        <v>156257.60477484472</v>
      </c>
      <c r="CM45" s="13">
        <v>249456.32278392112</v>
      </c>
      <c r="CN45" s="13">
        <v>89095.936464147948</v>
      </c>
      <c r="CO45" s="16">
        <v>0.86513953952102474</v>
      </c>
      <c r="CP45" s="16">
        <v>166.48510637252289</v>
      </c>
      <c r="CQ45" s="16">
        <v>0.88798755216660397</v>
      </c>
      <c r="CR45" s="16">
        <v>0</v>
      </c>
      <c r="CS45" s="16">
        <v>64.270585914021936</v>
      </c>
      <c r="CT45" s="16">
        <v>0.49139324413104979</v>
      </c>
      <c r="CU45" s="16">
        <v>0</v>
      </c>
      <c r="CV45" s="16">
        <v>0</v>
      </c>
      <c r="CW45" s="16">
        <v>7.2456712688638225</v>
      </c>
      <c r="CX45" s="16">
        <v>1.2167604256388218</v>
      </c>
      <c r="CY45" s="104">
        <v>491.11259867124397</v>
      </c>
      <c r="CZ45" s="104">
        <v>489.10002639808283</v>
      </c>
      <c r="DA45" s="16">
        <v>0</v>
      </c>
      <c r="DB45" s="16">
        <v>0</v>
      </c>
      <c r="DC45" s="16">
        <v>0</v>
      </c>
      <c r="DD45" s="16">
        <v>0</v>
      </c>
      <c r="DE45" s="16">
        <v>66.869562958799833</v>
      </c>
      <c r="DF45" s="16">
        <v>2.5526087859438196</v>
      </c>
      <c r="DG45" s="16">
        <v>4.7485516896191706</v>
      </c>
      <c r="DH45" s="16">
        <v>0.4719171243019234</v>
      </c>
      <c r="DI45" s="16">
        <v>2.3826073241844692</v>
      </c>
      <c r="DJ45" s="16">
        <v>0.3411571377492591</v>
      </c>
      <c r="DK45" s="16">
        <v>0.75071748722092924</v>
      </c>
      <c r="DL45" s="16">
        <v>0.45147839697569758</v>
      </c>
      <c r="DM45" s="16">
        <v>0</v>
      </c>
      <c r="DN45" s="16">
        <v>0.200893545170721</v>
      </c>
      <c r="DO45" s="16">
        <v>0</v>
      </c>
      <c r="DP45" s="16">
        <v>8.435275877720308E-2</v>
      </c>
      <c r="DQ45" s="16">
        <v>0</v>
      </c>
      <c r="DR45" s="16">
        <v>0</v>
      </c>
      <c r="DS45" s="16">
        <v>0</v>
      </c>
      <c r="DT45" s="16">
        <v>0</v>
      </c>
      <c r="DU45" s="16">
        <v>0</v>
      </c>
      <c r="DV45" s="16">
        <v>2.23634840186996</v>
      </c>
      <c r="DW45" s="16">
        <v>6.5045113778541552E-3</v>
      </c>
      <c r="DX45" s="16">
        <v>0</v>
      </c>
      <c r="DY45" s="16">
        <f>(DK45/0.05883)/SQRT((DJ45/0.1536)*(DL45/0.2069))</f>
        <v>5.7963929426463094</v>
      </c>
      <c r="DZ45" s="16"/>
      <c r="EA45" s="13">
        <f>1128+200*((BM45-0.4)/0.4) -273</f>
        <v>958.74983002937802</v>
      </c>
      <c r="EB45" s="16"/>
      <c r="EC45" s="16">
        <f>(-18.482 -16.353 * BM45)/(0.008314 * (EA45+273))</f>
        <v>-2.7748350221298721</v>
      </c>
      <c r="ED45" s="16"/>
      <c r="EE45" s="16"/>
      <c r="EF45" s="16"/>
      <c r="EG45" s="16"/>
      <c r="EH45" s="16"/>
      <c r="EI45" s="16"/>
      <c r="EJ45" s="16"/>
      <c r="EK45" s="16"/>
      <c r="EL45" s="16">
        <f>(23.856 -20.71 * BM45)/(0.008314 * (EA45+273))</f>
        <v>1.1009605866033725</v>
      </c>
      <c r="EM45" s="16"/>
      <c r="EN45" s="16">
        <f>(-4.5269  -51.811 * BM45)/(0.008314 * (EA45+273)) +N("eqn50a")</f>
        <v>-3.5155629521074476</v>
      </c>
      <c r="EO45" s="16" t="e">
        <f>(-187.27 + 2.26018 *#REF!)/(0.008314 * (EA45+273)) +N("fsp eqn35 from SiO2")</f>
        <v>#REF!</v>
      </c>
      <c r="EP45" s="16"/>
      <c r="EQ45" s="16"/>
      <c r="ER45" s="16">
        <f>(10.146 -35.204 * BM45)/(0.008314 * (EA45+273))</f>
        <v>-1.0976147430900667</v>
      </c>
      <c r="ES45" s="16">
        <f>(2.1146 -37.009 * BM45)/(0.008314 * (EA45+273))</f>
        <v>-1.9889479720999479</v>
      </c>
      <c r="ET45" s="16">
        <f>(-3.6812 -33.822 * BM45)/(0.008314 * (EA45+273))</f>
        <v>-2.3658433915307961</v>
      </c>
      <c r="EU45" s="16">
        <f>(-6.8025 -26.094 * BM45)/(0.008314 * (EA45+273))</f>
        <v>-2.2121969697401953</v>
      </c>
      <c r="EV45" s="16">
        <f>(-5.6996 -30.85 * BM45)/(0.008314 * (EA45+273))</f>
        <v>-2.3866339229147138</v>
      </c>
      <c r="EW45" s="16">
        <f>(-8.6767 -33.32 * BM45)/(0.008314 * (EA45+273))</f>
        <v>-2.8238691109753185</v>
      </c>
      <c r="EX45" s="16"/>
      <c r="EY45" s="16">
        <f>(-1.9714 -59.897 * BM45)/(0.008314 * (EA45+273))</f>
        <v>-3.745696300626304</v>
      </c>
      <c r="EZ45" s="16">
        <f>(-4.3691 -44.528 * BM45)/(0.008314 * (EA45+273))</f>
        <v>-3.0681140903286619</v>
      </c>
      <c r="FA45" s="16">
        <f>(-2.2521 -58.215 * BM45)/(0.008314 * (EA45+273))</f>
        <v>-3.6733272730365227</v>
      </c>
      <c r="FB45" s="16"/>
      <c r="FC45" s="16">
        <f>(-8.5 - 57.253 * BM45)/(0.008314 * (EA45+273))</f>
        <v>-4.2263605298181091</v>
      </c>
      <c r="FD45" s="16"/>
      <c r="FE45" s="16">
        <f>(-9.2954 -52.923 * BM45)/(0.008314 * (EA45+273))</f>
        <v>-4.0471675715859776</v>
      </c>
      <c r="FF45" s="16">
        <f>(0.61501 -70.378 * BM45)/(0.008314 * (EA45+273))</f>
        <v>-4.1148867661271691</v>
      </c>
      <c r="FG45" s="16"/>
      <c r="FH45" s="16"/>
      <c r="FI45" s="16"/>
      <c r="FJ45" s="16"/>
      <c r="FK45" s="16"/>
    </row>
    <row r="46" spans="1:167" x14ac:dyDescent="0.25">
      <c r="A46" s="35" t="s">
        <v>249</v>
      </c>
      <c r="B46" s="15">
        <v>175</v>
      </c>
      <c r="C46" s="102" t="s">
        <v>95</v>
      </c>
      <c r="D46" s="102" t="s">
        <v>104</v>
      </c>
      <c r="E46" s="15">
        <v>206</v>
      </c>
      <c r="F46" s="16">
        <v>51.5</v>
      </c>
      <c r="G46" s="16"/>
      <c r="H46" s="16">
        <v>31.33</v>
      </c>
      <c r="I46" s="16"/>
      <c r="J46" s="16">
        <v>0.71177899757041307</v>
      </c>
      <c r="K46" s="16"/>
      <c r="L46" s="16"/>
      <c r="M46" s="16">
        <v>13.83</v>
      </c>
      <c r="N46" s="16">
        <v>3.77</v>
      </c>
      <c r="O46" s="16">
        <v>0.13100000000000001</v>
      </c>
      <c r="P46" s="16">
        <v>0</v>
      </c>
      <c r="Q46" s="16"/>
      <c r="R46" s="16"/>
      <c r="S46" s="16">
        <f t="shared" si="0"/>
        <v>101.27277899757041</v>
      </c>
      <c r="T46" s="16"/>
      <c r="U46" s="15"/>
      <c r="V46" s="15"/>
      <c r="W46" s="15"/>
      <c r="X46" s="15" t="s">
        <v>185</v>
      </c>
      <c r="Y46" s="15"/>
      <c r="Z46" s="37">
        <v>8</v>
      </c>
      <c r="AA46" s="37">
        <v>5</v>
      </c>
      <c r="AB46" s="15"/>
      <c r="AC46" s="38">
        <f t="shared" si="1"/>
        <v>2.3206916321529665</v>
      </c>
      <c r="AD46" s="38">
        <f t="shared" si="2"/>
        <v>0</v>
      </c>
      <c r="AE46" s="38">
        <f t="shared" si="3"/>
        <v>1.6637983719592968</v>
      </c>
      <c r="AF46" s="38">
        <f t="shared" si="4"/>
        <v>0</v>
      </c>
      <c r="AG46" s="38">
        <f t="shared" si="5"/>
        <v>2.6819984833916774E-2</v>
      </c>
      <c r="AH46" s="38">
        <f t="shared" si="6"/>
        <v>0</v>
      </c>
      <c r="AI46" s="38">
        <f t="shared" si="7"/>
        <v>0</v>
      </c>
      <c r="AJ46" s="38">
        <f t="shared" si="8"/>
        <v>0.66765838316356174</v>
      </c>
      <c r="AK46" s="38">
        <f t="shared" si="9"/>
        <v>0.32935169678239984</v>
      </c>
      <c r="AL46" s="38">
        <f t="shared" si="10"/>
        <v>7.5299227328869713E-3</v>
      </c>
      <c r="AM46" s="38">
        <f t="shared" si="11"/>
        <v>0</v>
      </c>
      <c r="AN46" s="38">
        <f t="shared" si="12"/>
        <v>0</v>
      </c>
      <c r="AO46" s="38">
        <f t="shared" si="13"/>
        <v>0</v>
      </c>
      <c r="AP46" s="38">
        <f t="shared" si="14"/>
        <v>5.0158499916250285</v>
      </c>
      <c r="AQ46" s="38">
        <f t="shared" si="15"/>
        <v>3.9844900041122635</v>
      </c>
      <c r="AR46" s="38">
        <f t="shared" si="16"/>
        <v>1.0045400026788485</v>
      </c>
      <c r="AS46" s="40"/>
      <c r="AT46" s="38">
        <f t="shared" si="17"/>
        <v>2.3133582902477432</v>
      </c>
      <c r="AU46" s="38">
        <f t="shared" si="18"/>
        <v>0</v>
      </c>
      <c r="AV46" s="38">
        <f t="shared" si="19"/>
        <v>1.6585408004000748</v>
      </c>
      <c r="AW46" s="38">
        <f t="shared" si="20"/>
        <v>0</v>
      </c>
      <c r="AX46" s="38">
        <f t="shared" si="21"/>
        <v>0</v>
      </c>
      <c r="AY46" s="38">
        <f t="shared" si="22"/>
        <v>2.6735234186327478E-2</v>
      </c>
      <c r="AZ46" s="38">
        <f t="shared" si="23"/>
        <v>0</v>
      </c>
      <c r="BA46" s="38">
        <f t="shared" si="24"/>
        <v>0</v>
      </c>
      <c r="BB46" s="38">
        <f t="shared" si="25"/>
        <v>0.66554859523146803</v>
      </c>
      <c r="BC46" s="38">
        <f t="shared" si="26"/>
        <v>0.32831095161569701</v>
      </c>
      <c r="BD46" s="38">
        <f t="shared" si="27"/>
        <v>7.5061283186894472E-3</v>
      </c>
      <c r="BE46" s="38">
        <f t="shared" si="28"/>
        <v>0</v>
      </c>
      <c r="BF46" s="38">
        <f t="shared" si="29"/>
        <v>0</v>
      </c>
      <c r="BG46" s="38">
        <f t="shared" si="30"/>
        <v>0</v>
      </c>
      <c r="BH46" s="41">
        <f t="shared" si="31"/>
        <v>4.9999999999999991</v>
      </c>
      <c r="BI46" s="42">
        <f t="shared" si="32"/>
        <v>7.9880877675737514</v>
      </c>
      <c r="BJ46" s="38">
        <f t="shared" si="33"/>
        <v>3.9718990906478178</v>
      </c>
      <c r="BK46" s="38">
        <f t="shared" si="34"/>
        <v>1.0013656751658544</v>
      </c>
      <c r="BL46" s="16"/>
      <c r="BM46" s="16">
        <f t="shared" si="35"/>
        <v>0.66464091164422467</v>
      </c>
      <c r="BN46" s="16">
        <f t="shared" si="36"/>
        <v>0.32786319698977046</v>
      </c>
      <c r="BO46" s="16">
        <f t="shared" si="37"/>
        <v>7.4958913660049514E-3</v>
      </c>
      <c r="BP46" s="15"/>
      <c r="BQ46" s="38">
        <f t="shared" si="38"/>
        <v>0.85719041278295605</v>
      </c>
      <c r="BR46" s="38">
        <f t="shared" si="39"/>
        <v>0</v>
      </c>
      <c r="BS46" s="38">
        <f t="shared" si="40"/>
        <v>0.61455472734405647</v>
      </c>
      <c r="BT46" s="38">
        <f t="shared" si="41"/>
        <v>0</v>
      </c>
      <c r="BU46" s="38">
        <f t="shared" si="42"/>
        <v>9.9064578645847341E-3</v>
      </c>
      <c r="BV46" s="38">
        <f t="shared" si="43"/>
        <v>0</v>
      </c>
      <c r="BW46" s="38">
        <f t="shared" si="44"/>
        <v>0</v>
      </c>
      <c r="BX46" s="38">
        <f t="shared" si="45"/>
        <v>0.24661198288159772</v>
      </c>
      <c r="BY46" s="38">
        <f t="shared" si="46"/>
        <v>0.12165214585350113</v>
      </c>
      <c r="BZ46" s="38">
        <f t="shared" si="47"/>
        <v>2.7813163481953292E-3</v>
      </c>
      <c r="CA46" s="38">
        <f t="shared" si="48"/>
        <v>0</v>
      </c>
      <c r="CB46" s="38">
        <f t="shared" si="49"/>
        <v>0</v>
      </c>
      <c r="CC46" s="38">
        <f t="shared" si="50"/>
        <v>0</v>
      </c>
      <c r="CD46" s="38">
        <f t="shared" si="51"/>
        <v>1.8526970430748915</v>
      </c>
      <c r="CE46" s="38">
        <f t="shared" si="52"/>
        <v>2.9549480884290271</v>
      </c>
      <c r="CF46" s="38">
        <f t="shared" si="53"/>
        <v>2.6987682733608622</v>
      </c>
      <c r="CG46" s="38">
        <f t="shared" si="54"/>
        <v>7.9747201504805858</v>
      </c>
      <c r="CH46" s="15"/>
      <c r="CI46" s="16"/>
      <c r="CJ46" s="13"/>
      <c r="CK46" s="104"/>
      <c r="CL46" s="13"/>
      <c r="CM46" s="13"/>
      <c r="CN46" s="13"/>
      <c r="CO46" s="16"/>
      <c r="CP46" s="16"/>
      <c r="CQ46" s="16"/>
      <c r="CR46" s="16"/>
      <c r="CS46" s="16"/>
      <c r="CT46" s="16"/>
      <c r="CU46" s="16"/>
      <c r="CV46" s="16"/>
      <c r="CW46" s="16"/>
      <c r="CX46" s="16"/>
      <c r="CY46" s="104"/>
      <c r="CZ46" s="104"/>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3"/>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row>
    <row r="47" spans="1:167" x14ac:dyDescent="0.25">
      <c r="A47" s="35" t="s">
        <v>249</v>
      </c>
      <c r="B47" s="15">
        <v>176</v>
      </c>
      <c r="C47" s="102" t="s">
        <v>95</v>
      </c>
      <c r="D47" s="102" t="s">
        <v>104</v>
      </c>
      <c r="E47" s="15">
        <v>207</v>
      </c>
      <c r="F47" s="16">
        <v>53.96</v>
      </c>
      <c r="G47" s="16"/>
      <c r="H47" s="16">
        <v>30.04</v>
      </c>
      <c r="I47" s="16"/>
      <c r="J47" s="16">
        <v>0.6550886349320616</v>
      </c>
      <c r="K47" s="16"/>
      <c r="L47" s="16"/>
      <c r="M47" s="16">
        <v>12.3</v>
      </c>
      <c r="N47" s="16">
        <v>4.72</v>
      </c>
      <c r="O47" s="16">
        <v>0.19900000000000001</v>
      </c>
      <c r="P47" s="16">
        <v>0</v>
      </c>
      <c r="Q47" s="16"/>
      <c r="R47" s="16"/>
      <c r="S47" s="16">
        <f t="shared" si="0"/>
        <v>101.87408863493205</v>
      </c>
      <c r="T47" s="16"/>
      <c r="U47" s="15"/>
      <c r="V47" s="15"/>
      <c r="W47" s="15"/>
      <c r="X47" s="15" t="s">
        <v>185</v>
      </c>
      <c r="Y47" s="15"/>
      <c r="Z47" s="37">
        <v>8</v>
      </c>
      <c r="AA47" s="37">
        <v>5</v>
      </c>
      <c r="AB47" s="15"/>
      <c r="AC47" s="38">
        <f t="shared" si="1"/>
        <v>2.4055646065344911</v>
      </c>
      <c r="AD47" s="38">
        <f t="shared" si="2"/>
        <v>0</v>
      </c>
      <c r="AE47" s="38">
        <f t="shared" si="3"/>
        <v>1.578247483380665</v>
      </c>
      <c r="AF47" s="38">
        <f t="shared" si="4"/>
        <v>0</v>
      </c>
      <c r="AG47" s="38">
        <f t="shared" si="5"/>
        <v>2.4420148511482911E-2</v>
      </c>
      <c r="AH47" s="38">
        <f t="shared" si="6"/>
        <v>0</v>
      </c>
      <c r="AI47" s="38">
        <f t="shared" si="7"/>
        <v>0</v>
      </c>
      <c r="AJ47" s="38">
        <f t="shared" si="8"/>
        <v>0.58745163215794272</v>
      </c>
      <c r="AK47" s="38">
        <f t="shared" si="9"/>
        <v>0.40793919136855122</v>
      </c>
      <c r="AL47" s="38">
        <f t="shared" si="10"/>
        <v>1.1316371012638856E-2</v>
      </c>
      <c r="AM47" s="38">
        <f t="shared" si="11"/>
        <v>0</v>
      </c>
      <c r="AN47" s="38">
        <f t="shared" si="12"/>
        <v>0</v>
      </c>
      <c r="AO47" s="38">
        <f t="shared" si="13"/>
        <v>0</v>
      </c>
      <c r="AP47" s="38">
        <f t="shared" si="14"/>
        <v>5.0149394329657717</v>
      </c>
      <c r="AQ47" s="38">
        <f t="shared" si="15"/>
        <v>3.9838120899151561</v>
      </c>
      <c r="AR47" s="38">
        <f t="shared" si="16"/>
        <v>1.0067071945391328</v>
      </c>
      <c r="AS47" s="40"/>
      <c r="AT47" s="38">
        <f t="shared" si="17"/>
        <v>2.3983984639191052</v>
      </c>
      <c r="AU47" s="38">
        <f t="shared" si="18"/>
        <v>0</v>
      </c>
      <c r="AV47" s="38">
        <f t="shared" si="19"/>
        <v>1.5735459066624353</v>
      </c>
      <c r="AW47" s="38">
        <f t="shared" si="20"/>
        <v>0</v>
      </c>
      <c r="AX47" s="38">
        <f t="shared" si="21"/>
        <v>0</v>
      </c>
      <c r="AY47" s="38">
        <f t="shared" si="22"/>
        <v>2.4347401237746497E-2</v>
      </c>
      <c r="AZ47" s="38">
        <f t="shared" si="23"/>
        <v>0</v>
      </c>
      <c r="BA47" s="38">
        <f t="shared" si="24"/>
        <v>0</v>
      </c>
      <c r="BB47" s="38">
        <f t="shared" si="25"/>
        <v>0.58570162213358101</v>
      </c>
      <c r="BC47" s="38">
        <f t="shared" si="26"/>
        <v>0.40672394634216064</v>
      </c>
      <c r="BD47" s="38">
        <f t="shared" si="27"/>
        <v>1.1282659704971248E-2</v>
      </c>
      <c r="BE47" s="38">
        <f t="shared" si="28"/>
        <v>0</v>
      </c>
      <c r="BF47" s="38">
        <f t="shared" si="29"/>
        <v>0</v>
      </c>
      <c r="BG47" s="38">
        <f t="shared" si="30"/>
        <v>0</v>
      </c>
      <c r="BH47" s="41">
        <f t="shared" si="31"/>
        <v>5</v>
      </c>
      <c r="BI47" s="42">
        <f t="shared" si="32"/>
        <v>7.9883418148456302</v>
      </c>
      <c r="BJ47" s="38">
        <f t="shared" si="33"/>
        <v>3.9719443705815403</v>
      </c>
      <c r="BK47" s="38">
        <f t="shared" si="34"/>
        <v>1.003708228180713</v>
      </c>
      <c r="BL47" s="16"/>
      <c r="BM47" s="16">
        <f t="shared" si="35"/>
        <v>0.58353773107470053</v>
      </c>
      <c r="BN47" s="16">
        <f t="shared" si="36"/>
        <v>0.40522129332283596</v>
      </c>
      <c r="BO47" s="16">
        <f t="shared" si="37"/>
        <v>1.1240975602463487E-2</v>
      </c>
      <c r="BP47" s="15"/>
      <c r="BQ47" s="38">
        <f t="shared" si="38"/>
        <v>0.89813581890812255</v>
      </c>
      <c r="BR47" s="38">
        <f t="shared" si="39"/>
        <v>0</v>
      </c>
      <c r="BS47" s="38">
        <f t="shared" si="40"/>
        <v>0.58925068654374269</v>
      </c>
      <c r="BT47" s="38">
        <f t="shared" si="41"/>
        <v>0</v>
      </c>
      <c r="BU47" s="38">
        <f t="shared" si="42"/>
        <v>9.117447946166481E-3</v>
      </c>
      <c r="BV47" s="38">
        <f t="shared" si="43"/>
        <v>0</v>
      </c>
      <c r="BW47" s="38">
        <f t="shared" si="44"/>
        <v>0</v>
      </c>
      <c r="BX47" s="38">
        <f t="shared" si="45"/>
        <v>0.21932952924393725</v>
      </c>
      <c r="BY47" s="38">
        <f t="shared" si="46"/>
        <v>0.15230719586963537</v>
      </c>
      <c r="BZ47" s="38">
        <f t="shared" si="47"/>
        <v>4.2250530785562634E-3</v>
      </c>
      <c r="CA47" s="38">
        <f t="shared" si="48"/>
        <v>0</v>
      </c>
      <c r="CB47" s="38">
        <f t="shared" si="49"/>
        <v>0</v>
      </c>
      <c r="CC47" s="38">
        <f t="shared" si="50"/>
        <v>0</v>
      </c>
      <c r="CD47" s="38">
        <f t="shared" si="51"/>
        <v>1.8723657315901605</v>
      </c>
      <c r="CE47" s="38">
        <f t="shared" si="52"/>
        <v>2.9868607692960585</v>
      </c>
      <c r="CF47" s="38">
        <f t="shared" si="53"/>
        <v>2.6704184527846522</v>
      </c>
      <c r="CG47" s="38">
        <f t="shared" si="54"/>
        <v>7.9761681142267564</v>
      </c>
      <c r="CH47" s="15"/>
      <c r="CI47" s="16"/>
      <c r="CJ47" s="13"/>
      <c r="CK47" s="104"/>
      <c r="CL47" s="13"/>
      <c r="CM47" s="13"/>
      <c r="CN47" s="13"/>
      <c r="CO47" s="16"/>
      <c r="CP47" s="16"/>
      <c r="CQ47" s="16"/>
      <c r="CR47" s="16"/>
      <c r="CS47" s="16"/>
      <c r="CT47" s="16"/>
      <c r="CU47" s="16"/>
      <c r="CV47" s="16"/>
      <c r="CW47" s="16"/>
      <c r="CX47" s="16"/>
      <c r="CY47" s="104"/>
      <c r="CZ47" s="104"/>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3"/>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row>
    <row r="48" spans="1:167" x14ac:dyDescent="0.25">
      <c r="A48" s="35" t="s">
        <v>249</v>
      </c>
      <c r="B48" s="15">
        <v>177</v>
      </c>
      <c r="C48" s="102" t="s">
        <v>95</v>
      </c>
      <c r="D48" s="102" t="s">
        <v>104</v>
      </c>
      <c r="E48" s="15">
        <v>208</v>
      </c>
      <c r="F48" s="16">
        <v>54.57</v>
      </c>
      <c r="G48" s="16"/>
      <c r="H48" s="16">
        <v>29.56</v>
      </c>
      <c r="I48" s="16"/>
      <c r="J48" s="16">
        <v>0.56510393233150369</v>
      </c>
      <c r="K48" s="16"/>
      <c r="L48" s="16"/>
      <c r="M48" s="16">
        <v>11.65</v>
      </c>
      <c r="N48" s="16">
        <v>4.9400000000000004</v>
      </c>
      <c r="O48" s="16">
        <v>0.19500000000000001</v>
      </c>
      <c r="P48" s="16">
        <v>0</v>
      </c>
      <c r="Q48" s="16"/>
      <c r="R48" s="16"/>
      <c r="S48" s="16">
        <f t="shared" si="0"/>
        <v>101.4801039323315</v>
      </c>
      <c r="T48" s="16"/>
      <c r="U48" s="15"/>
      <c r="V48" s="15"/>
      <c r="W48" s="15"/>
      <c r="X48" s="15" t="s">
        <v>185</v>
      </c>
      <c r="Y48" s="15"/>
      <c r="Z48" s="37">
        <v>8</v>
      </c>
      <c r="AA48" s="37">
        <v>5</v>
      </c>
      <c r="AB48" s="15"/>
      <c r="AC48" s="38">
        <f t="shared" si="1"/>
        <v>2.4353293806409146</v>
      </c>
      <c r="AD48" s="38">
        <f t="shared" si="2"/>
        <v>0</v>
      </c>
      <c r="AE48" s="38">
        <f t="shared" si="3"/>
        <v>1.5546702107715944</v>
      </c>
      <c r="AF48" s="38">
        <f t="shared" si="4"/>
        <v>0</v>
      </c>
      <c r="AG48" s="38">
        <f t="shared" si="5"/>
        <v>2.1087992351697664E-2</v>
      </c>
      <c r="AH48" s="38">
        <f t="shared" si="6"/>
        <v>0</v>
      </c>
      <c r="AI48" s="38">
        <f t="shared" si="7"/>
        <v>0</v>
      </c>
      <c r="AJ48" s="38">
        <f t="shared" si="8"/>
        <v>0.55699538763661682</v>
      </c>
      <c r="AK48" s="38">
        <f t="shared" si="9"/>
        <v>0.42740446139482258</v>
      </c>
      <c r="AL48" s="38">
        <f t="shared" si="10"/>
        <v>1.1100623750105221E-2</v>
      </c>
      <c r="AM48" s="38">
        <f t="shared" si="11"/>
        <v>0</v>
      </c>
      <c r="AN48" s="38">
        <f t="shared" si="12"/>
        <v>0</v>
      </c>
      <c r="AO48" s="38">
        <f t="shared" si="13"/>
        <v>0</v>
      </c>
      <c r="AP48" s="38">
        <f t="shared" si="14"/>
        <v>5.006588056545751</v>
      </c>
      <c r="AQ48" s="38">
        <f t="shared" si="15"/>
        <v>3.9899995914125093</v>
      </c>
      <c r="AR48" s="38">
        <f t="shared" si="16"/>
        <v>0.99550047278154463</v>
      </c>
      <c r="AS48" s="40"/>
      <c r="AT48" s="38">
        <f t="shared" si="17"/>
        <v>2.4321247855182508</v>
      </c>
      <c r="AU48" s="38">
        <f t="shared" si="18"/>
        <v>0</v>
      </c>
      <c r="AV48" s="38">
        <f t="shared" si="19"/>
        <v>1.5526244552305193</v>
      </c>
      <c r="AW48" s="38">
        <f t="shared" si="20"/>
        <v>0</v>
      </c>
      <c r="AX48" s="38">
        <f t="shared" si="21"/>
        <v>6.203231845500895E-6</v>
      </c>
      <c r="AY48" s="38">
        <f t="shared" si="22"/>
        <v>2.1054039905321176E-2</v>
      </c>
      <c r="AZ48" s="38">
        <f t="shared" si="23"/>
        <v>0</v>
      </c>
      <c r="BA48" s="38">
        <f t="shared" si="24"/>
        <v>0</v>
      </c>
      <c r="BB48" s="38">
        <f t="shared" si="25"/>
        <v>0.55626244994171803</v>
      </c>
      <c r="BC48" s="38">
        <f t="shared" si="26"/>
        <v>0.42684204948320259</v>
      </c>
      <c r="BD48" s="38">
        <f t="shared" si="27"/>
        <v>1.1086016689142178E-2</v>
      </c>
      <c r="BE48" s="38">
        <f t="shared" si="28"/>
        <v>0</v>
      </c>
      <c r="BF48" s="38">
        <f t="shared" si="29"/>
        <v>0</v>
      </c>
      <c r="BG48" s="38">
        <f t="shared" si="30"/>
        <v>0</v>
      </c>
      <c r="BH48" s="41">
        <f t="shared" si="31"/>
        <v>4.9999999999999991</v>
      </c>
      <c r="BI48" s="42">
        <f t="shared" si="32"/>
        <v>7.9999999999999982</v>
      </c>
      <c r="BJ48" s="38">
        <f t="shared" si="33"/>
        <v>3.9847492407487701</v>
      </c>
      <c r="BK48" s="38">
        <f t="shared" si="34"/>
        <v>0.99419051611406284</v>
      </c>
      <c r="BL48" s="16"/>
      <c r="BM48" s="16">
        <f t="shared" si="35"/>
        <v>0.55951293130007929</v>
      </c>
      <c r="BN48" s="16">
        <f t="shared" si="36"/>
        <v>0.429336271634914</v>
      </c>
      <c r="BO48" s="16">
        <f t="shared" si="37"/>
        <v>1.1150797065006691E-2</v>
      </c>
      <c r="BP48" s="15"/>
      <c r="BQ48" s="38">
        <f t="shared" si="38"/>
        <v>0.9082889480692411</v>
      </c>
      <c r="BR48" s="38">
        <f t="shared" si="39"/>
        <v>0</v>
      </c>
      <c r="BS48" s="38">
        <f t="shared" si="40"/>
        <v>0.57983522950176536</v>
      </c>
      <c r="BT48" s="38">
        <f t="shared" si="41"/>
        <v>0</v>
      </c>
      <c r="BU48" s="38">
        <f t="shared" si="42"/>
        <v>7.8650512502644911E-3</v>
      </c>
      <c r="BV48" s="38">
        <f t="shared" si="43"/>
        <v>0</v>
      </c>
      <c r="BW48" s="38">
        <f t="shared" si="44"/>
        <v>0</v>
      </c>
      <c r="BX48" s="38">
        <f t="shared" si="45"/>
        <v>0.20773894436519261</v>
      </c>
      <c r="BY48" s="38">
        <f t="shared" si="46"/>
        <v>0.15940626008389805</v>
      </c>
      <c r="BZ48" s="38">
        <f t="shared" si="47"/>
        <v>4.1401273885350318E-3</v>
      </c>
      <c r="CA48" s="38">
        <f t="shared" si="48"/>
        <v>0</v>
      </c>
      <c r="CB48" s="38">
        <f t="shared" si="49"/>
        <v>0</v>
      </c>
      <c r="CC48" s="38">
        <f t="shared" si="50"/>
        <v>0</v>
      </c>
      <c r="CD48" s="38">
        <f t="shared" si="51"/>
        <v>1.8672745606588967</v>
      </c>
      <c r="CE48" s="38">
        <f t="shared" si="52"/>
        <v>2.9837079297428044</v>
      </c>
      <c r="CF48" s="38">
        <f t="shared" si="53"/>
        <v>2.6776994156851108</v>
      </c>
      <c r="CG48" s="38">
        <f t="shared" si="54"/>
        <v>7.9894729800473394</v>
      </c>
      <c r="CH48" s="15"/>
      <c r="CI48" s="16"/>
      <c r="CJ48" s="13"/>
      <c r="CK48" s="104"/>
      <c r="CL48" s="13"/>
      <c r="CM48" s="13"/>
      <c r="CN48" s="13"/>
      <c r="CO48" s="16"/>
      <c r="CP48" s="16"/>
      <c r="CQ48" s="16"/>
      <c r="CR48" s="16"/>
      <c r="CS48" s="16"/>
      <c r="CT48" s="16"/>
      <c r="CU48" s="16"/>
      <c r="CV48" s="16"/>
      <c r="CW48" s="16"/>
      <c r="CX48" s="16"/>
      <c r="CY48" s="104"/>
      <c r="CZ48" s="104"/>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3"/>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row>
    <row r="49" spans="1:167" x14ac:dyDescent="0.25">
      <c r="A49" s="35" t="s">
        <v>249</v>
      </c>
      <c r="B49" s="15">
        <v>178</v>
      </c>
      <c r="C49" s="102" t="s">
        <v>95</v>
      </c>
      <c r="D49" s="102" t="s">
        <v>104</v>
      </c>
      <c r="E49" s="15">
        <v>209</v>
      </c>
      <c r="F49" s="16">
        <v>53.07</v>
      </c>
      <c r="G49" s="16"/>
      <c r="H49" s="16">
        <v>30.51</v>
      </c>
      <c r="I49" s="16"/>
      <c r="J49" s="16">
        <v>0.71987762080446327</v>
      </c>
      <c r="K49" s="16"/>
      <c r="L49" s="16"/>
      <c r="M49" s="16">
        <v>12.76</v>
      </c>
      <c r="N49" s="16">
        <v>4.3600000000000003</v>
      </c>
      <c r="O49" s="16">
        <v>0.17499999999999999</v>
      </c>
      <c r="P49" s="16">
        <v>0</v>
      </c>
      <c r="Q49" s="16"/>
      <c r="R49" s="16"/>
      <c r="S49" s="16">
        <f t="shared" si="0"/>
        <v>101.59487762080447</v>
      </c>
      <c r="T49" s="16"/>
      <c r="U49" s="15"/>
      <c r="V49" s="15"/>
      <c r="W49" s="15"/>
      <c r="X49" s="15" t="s">
        <v>185</v>
      </c>
      <c r="Y49" s="15"/>
      <c r="Z49" s="37">
        <v>8</v>
      </c>
      <c r="AA49" s="37">
        <v>5</v>
      </c>
      <c r="AB49" s="15"/>
      <c r="AC49" s="38">
        <f t="shared" si="1"/>
        <v>2.3760361077856782</v>
      </c>
      <c r="AD49" s="38">
        <f t="shared" si="2"/>
        <v>0</v>
      </c>
      <c r="AE49" s="38">
        <f t="shared" si="3"/>
        <v>1.609816035271278</v>
      </c>
      <c r="AF49" s="38">
        <f t="shared" si="4"/>
        <v>0</v>
      </c>
      <c r="AG49" s="38">
        <f t="shared" si="5"/>
        <v>2.6950434584621836E-2</v>
      </c>
      <c r="AH49" s="38">
        <f t="shared" si="6"/>
        <v>0</v>
      </c>
      <c r="AI49" s="38">
        <f t="shared" si="7"/>
        <v>0</v>
      </c>
      <c r="AJ49" s="38">
        <f t="shared" si="8"/>
        <v>0.61203539943460894</v>
      </c>
      <c r="AK49" s="38">
        <f t="shared" si="9"/>
        <v>0.37844152647399898</v>
      </c>
      <c r="AL49" s="38">
        <f t="shared" si="10"/>
        <v>9.9942685309906427E-3</v>
      </c>
      <c r="AM49" s="38">
        <f t="shared" si="11"/>
        <v>0</v>
      </c>
      <c r="AN49" s="38">
        <f t="shared" si="12"/>
        <v>0</v>
      </c>
      <c r="AO49" s="38">
        <f t="shared" si="13"/>
        <v>0</v>
      </c>
      <c r="AP49" s="38">
        <f t="shared" si="14"/>
        <v>5.0132737720811766</v>
      </c>
      <c r="AQ49" s="38">
        <f t="shared" si="15"/>
        <v>3.985852143056956</v>
      </c>
      <c r="AR49" s="38">
        <f t="shared" si="16"/>
        <v>1.0004711944395985</v>
      </c>
      <c r="AS49" s="40"/>
      <c r="AT49" s="38">
        <f t="shared" si="17"/>
        <v>2.3697450167371432</v>
      </c>
      <c r="AU49" s="38">
        <f t="shared" si="18"/>
        <v>0</v>
      </c>
      <c r="AV49" s="38">
        <f t="shared" si="19"/>
        <v>1.6055536845367511</v>
      </c>
      <c r="AW49" s="38">
        <f t="shared" si="20"/>
        <v>0</v>
      </c>
      <c r="AX49" s="38">
        <f t="shared" si="21"/>
        <v>0</v>
      </c>
      <c r="AY49" s="38">
        <f t="shared" si="22"/>
        <v>2.6879077235626225E-2</v>
      </c>
      <c r="AZ49" s="38">
        <f t="shared" si="23"/>
        <v>0</v>
      </c>
      <c r="BA49" s="38">
        <f t="shared" si="24"/>
        <v>0</v>
      </c>
      <c r="BB49" s="38">
        <f t="shared" si="25"/>
        <v>0.61041489778896785</v>
      </c>
      <c r="BC49" s="38">
        <f t="shared" si="26"/>
        <v>0.37743951724872116</v>
      </c>
      <c r="BD49" s="38">
        <f t="shared" si="27"/>
        <v>9.9678064527899193E-3</v>
      </c>
      <c r="BE49" s="38">
        <f t="shared" si="28"/>
        <v>0</v>
      </c>
      <c r="BF49" s="38">
        <f t="shared" si="29"/>
        <v>0</v>
      </c>
      <c r="BG49" s="38">
        <f t="shared" si="30"/>
        <v>0</v>
      </c>
      <c r="BH49" s="41">
        <f t="shared" si="31"/>
        <v>4.9999999999999991</v>
      </c>
      <c r="BI49" s="42">
        <f t="shared" si="32"/>
        <v>7.9922577357725757</v>
      </c>
      <c r="BJ49" s="38">
        <f t="shared" si="33"/>
        <v>3.9752987012738945</v>
      </c>
      <c r="BK49" s="38">
        <f t="shared" si="34"/>
        <v>0.99782222149047894</v>
      </c>
      <c r="BL49" s="16"/>
      <c r="BM49" s="16">
        <f t="shared" si="35"/>
        <v>0.61174714758022886</v>
      </c>
      <c r="BN49" s="16">
        <f t="shared" si="36"/>
        <v>0.37826329091461575</v>
      </c>
      <c r="BO49" s="16">
        <f t="shared" si="37"/>
        <v>9.9895615051553855E-3</v>
      </c>
      <c r="BP49" s="15"/>
      <c r="BQ49" s="38">
        <f t="shared" si="38"/>
        <v>0.88332223701731027</v>
      </c>
      <c r="BR49" s="38">
        <f t="shared" si="39"/>
        <v>0</v>
      </c>
      <c r="BS49" s="38">
        <f t="shared" si="40"/>
        <v>0.59846998823067876</v>
      </c>
      <c r="BT49" s="38">
        <f t="shared" si="41"/>
        <v>0</v>
      </c>
      <c r="BU49" s="38">
        <f t="shared" si="42"/>
        <v>1.0019173567215912E-2</v>
      </c>
      <c r="BV49" s="38">
        <f t="shared" si="43"/>
        <v>0</v>
      </c>
      <c r="BW49" s="38">
        <f t="shared" si="44"/>
        <v>0</v>
      </c>
      <c r="BX49" s="38">
        <f t="shared" si="45"/>
        <v>0.22753209700427959</v>
      </c>
      <c r="BY49" s="38">
        <f t="shared" si="46"/>
        <v>0.14069054533720557</v>
      </c>
      <c r="BZ49" s="38">
        <f t="shared" si="47"/>
        <v>3.7154989384288743E-3</v>
      </c>
      <c r="CA49" s="38">
        <f t="shared" si="48"/>
        <v>0</v>
      </c>
      <c r="CB49" s="38">
        <f t="shared" si="49"/>
        <v>0</v>
      </c>
      <c r="CC49" s="38">
        <f t="shared" si="50"/>
        <v>0</v>
      </c>
      <c r="CD49" s="38">
        <f t="shared" si="51"/>
        <v>1.8637495400951192</v>
      </c>
      <c r="CE49" s="38">
        <f t="shared" si="52"/>
        <v>2.9741037490899518</v>
      </c>
      <c r="CF49" s="38">
        <f t="shared" si="53"/>
        <v>2.6827639081508869</v>
      </c>
      <c r="CG49" s="38">
        <f t="shared" si="54"/>
        <v>7.978818197154764</v>
      </c>
      <c r="CH49" s="15"/>
      <c r="CI49" s="16"/>
      <c r="CJ49" s="13"/>
      <c r="CK49" s="104"/>
      <c r="CL49" s="13"/>
      <c r="CM49" s="13"/>
      <c r="CN49" s="13"/>
      <c r="CO49" s="16"/>
      <c r="CP49" s="16"/>
      <c r="CQ49" s="16"/>
      <c r="CR49" s="16"/>
      <c r="CS49" s="16"/>
      <c r="CT49" s="16"/>
      <c r="CU49" s="16"/>
      <c r="CV49" s="16"/>
      <c r="CW49" s="16"/>
      <c r="CX49" s="16"/>
      <c r="CY49" s="104"/>
      <c r="CZ49" s="104"/>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3"/>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row>
    <row r="50" spans="1:167" x14ac:dyDescent="0.25">
      <c r="A50" s="35" t="s">
        <v>249</v>
      </c>
      <c r="B50" s="15">
        <v>179</v>
      </c>
      <c r="C50" s="102" t="s">
        <v>95</v>
      </c>
      <c r="D50" s="102" t="s">
        <v>104</v>
      </c>
      <c r="E50" s="15">
        <v>210</v>
      </c>
      <c r="F50" s="16">
        <v>50.17</v>
      </c>
      <c r="G50" s="16"/>
      <c r="H50" s="16">
        <v>32.409999999999997</v>
      </c>
      <c r="I50" s="16"/>
      <c r="J50" s="16">
        <v>0.61999460091784397</v>
      </c>
      <c r="K50" s="16"/>
      <c r="L50" s="16"/>
      <c r="M50" s="16">
        <v>14.72</v>
      </c>
      <c r="N50" s="16">
        <v>3.34</v>
      </c>
      <c r="O50" s="16">
        <v>9.4E-2</v>
      </c>
      <c r="P50" s="16">
        <v>0</v>
      </c>
      <c r="Q50" s="16"/>
      <c r="R50" s="16"/>
      <c r="S50" s="16">
        <f t="shared" si="0"/>
        <v>101.35399460091784</v>
      </c>
      <c r="T50" s="16"/>
      <c r="U50" s="15"/>
      <c r="V50" s="15"/>
      <c r="W50" s="15"/>
      <c r="X50" s="15" t="s">
        <v>185</v>
      </c>
      <c r="Y50" s="15"/>
      <c r="Z50" s="37">
        <v>8</v>
      </c>
      <c r="AA50" s="37">
        <v>5</v>
      </c>
      <c r="AB50" s="15"/>
      <c r="AC50" s="38">
        <f t="shared" si="1"/>
        <v>2.2647714073129883</v>
      </c>
      <c r="AD50" s="38">
        <f t="shared" si="2"/>
        <v>0</v>
      </c>
      <c r="AE50" s="38">
        <f t="shared" si="3"/>
        <v>1.7242069697300337</v>
      </c>
      <c r="AF50" s="38">
        <f t="shared" si="4"/>
        <v>0</v>
      </c>
      <c r="AG50" s="38">
        <f t="shared" si="5"/>
        <v>2.3402989161670745E-2</v>
      </c>
      <c r="AH50" s="38">
        <f t="shared" si="6"/>
        <v>0</v>
      </c>
      <c r="AI50" s="38">
        <f t="shared" si="7"/>
        <v>0</v>
      </c>
      <c r="AJ50" s="38">
        <f t="shared" si="8"/>
        <v>0.7118852612060802</v>
      </c>
      <c r="AK50" s="38">
        <f t="shared" si="9"/>
        <v>0.29230422111484838</v>
      </c>
      <c r="AL50" s="38">
        <f t="shared" si="10"/>
        <v>5.4127397075964005E-3</v>
      </c>
      <c r="AM50" s="38">
        <f t="shared" si="11"/>
        <v>0</v>
      </c>
      <c r="AN50" s="38">
        <f t="shared" si="12"/>
        <v>0</v>
      </c>
      <c r="AO50" s="38">
        <f t="shared" si="13"/>
        <v>0</v>
      </c>
      <c r="AP50" s="38">
        <f t="shared" si="14"/>
        <v>5.0219835882332182</v>
      </c>
      <c r="AQ50" s="38">
        <f t="shared" si="15"/>
        <v>3.988978377043022</v>
      </c>
      <c r="AR50" s="38">
        <f t="shared" si="16"/>
        <v>1.009602222028525</v>
      </c>
      <c r="AS50" s="40"/>
      <c r="AT50" s="38">
        <f t="shared" si="17"/>
        <v>2.2548574358341908</v>
      </c>
      <c r="AU50" s="38">
        <f t="shared" si="18"/>
        <v>0</v>
      </c>
      <c r="AV50" s="38">
        <f t="shared" si="19"/>
        <v>1.7166593034771609</v>
      </c>
      <c r="AW50" s="38">
        <f t="shared" si="20"/>
        <v>0</v>
      </c>
      <c r="AX50" s="38">
        <f t="shared" si="21"/>
        <v>0</v>
      </c>
      <c r="AY50" s="38">
        <f t="shared" si="22"/>
        <v>2.3300543251978393E-2</v>
      </c>
      <c r="AZ50" s="38">
        <f t="shared" si="23"/>
        <v>0</v>
      </c>
      <c r="BA50" s="38">
        <f t="shared" si="24"/>
        <v>0</v>
      </c>
      <c r="BB50" s="38">
        <f t="shared" si="25"/>
        <v>0.70876900401871723</v>
      </c>
      <c r="BC50" s="38">
        <f t="shared" si="26"/>
        <v>0.29102466782222586</v>
      </c>
      <c r="BD50" s="38">
        <f t="shared" si="27"/>
        <v>5.3890455957271008E-3</v>
      </c>
      <c r="BE50" s="38">
        <f t="shared" si="28"/>
        <v>0</v>
      </c>
      <c r="BF50" s="38">
        <f t="shared" si="29"/>
        <v>0</v>
      </c>
      <c r="BG50" s="38">
        <f t="shared" si="30"/>
        <v>0</v>
      </c>
      <c r="BH50" s="41">
        <f t="shared" si="31"/>
        <v>5.0000000000000009</v>
      </c>
      <c r="BI50" s="42">
        <f t="shared" si="32"/>
        <v>7.976630502489785</v>
      </c>
      <c r="BJ50" s="38">
        <f t="shared" si="33"/>
        <v>3.971516739311352</v>
      </c>
      <c r="BK50" s="38">
        <f t="shared" si="34"/>
        <v>1.0051827174366701</v>
      </c>
      <c r="BL50" s="16"/>
      <c r="BM50" s="16">
        <f t="shared" si="35"/>
        <v>0.70511459431590551</v>
      </c>
      <c r="BN50" s="16">
        <f t="shared" si="36"/>
        <v>0.28952414598250525</v>
      </c>
      <c r="BO50" s="16">
        <f t="shared" si="37"/>
        <v>5.3612597015891576E-3</v>
      </c>
      <c r="BP50" s="15"/>
      <c r="BQ50" s="38">
        <f t="shared" si="38"/>
        <v>0.83505326231691079</v>
      </c>
      <c r="BR50" s="38">
        <f t="shared" si="39"/>
        <v>0</v>
      </c>
      <c r="BS50" s="38">
        <f t="shared" si="40"/>
        <v>0.63573950568850524</v>
      </c>
      <c r="BT50" s="38">
        <f t="shared" si="41"/>
        <v>0</v>
      </c>
      <c r="BU50" s="38">
        <f t="shared" si="42"/>
        <v>8.6290132347647038E-3</v>
      </c>
      <c r="BV50" s="38">
        <f t="shared" si="43"/>
        <v>0</v>
      </c>
      <c r="BW50" s="38">
        <f t="shared" si="44"/>
        <v>0</v>
      </c>
      <c r="BX50" s="38">
        <f t="shared" si="45"/>
        <v>0.26248216833095578</v>
      </c>
      <c r="BY50" s="38">
        <f t="shared" si="46"/>
        <v>0.10777670216198774</v>
      </c>
      <c r="BZ50" s="38">
        <f t="shared" si="47"/>
        <v>1.9957537154989382E-3</v>
      </c>
      <c r="CA50" s="38">
        <f t="shared" si="48"/>
        <v>0</v>
      </c>
      <c r="CB50" s="38">
        <f t="shared" si="49"/>
        <v>0</v>
      </c>
      <c r="CC50" s="38">
        <f t="shared" si="50"/>
        <v>0</v>
      </c>
      <c r="CD50" s="38">
        <f t="shared" si="51"/>
        <v>1.851676405448623</v>
      </c>
      <c r="CE50" s="38">
        <f t="shared" si="52"/>
        <v>2.9497131926710431</v>
      </c>
      <c r="CF50" s="38">
        <f t="shared" si="53"/>
        <v>2.7002558250930475</v>
      </c>
      <c r="CG50" s="38">
        <f t="shared" si="54"/>
        <v>7.9649802308637954</v>
      </c>
      <c r="CH50" s="15"/>
      <c r="CI50" s="16"/>
      <c r="CJ50" s="13"/>
      <c r="CK50" s="104"/>
      <c r="CL50" s="13"/>
      <c r="CM50" s="13"/>
      <c r="CN50" s="13"/>
      <c r="CO50" s="16"/>
      <c r="CP50" s="16"/>
      <c r="CQ50" s="16"/>
      <c r="CR50" s="16"/>
      <c r="CS50" s="16"/>
      <c r="CT50" s="16"/>
      <c r="CU50" s="16"/>
      <c r="CV50" s="16"/>
      <c r="CW50" s="16"/>
      <c r="CX50" s="16"/>
      <c r="CY50" s="104"/>
      <c r="CZ50" s="104"/>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3"/>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row>
    <row r="51" spans="1:167" x14ac:dyDescent="0.25">
      <c r="A51" s="35" t="s">
        <v>84</v>
      </c>
      <c r="B51" s="15">
        <v>224</v>
      </c>
      <c r="C51" s="102" t="s">
        <v>97</v>
      </c>
      <c r="D51" s="102" t="s">
        <v>104</v>
      </c>
      <c r="E51" s="15">
        <v>56</v>
      </c>
      <c r="F51" s="16">
        <v>53.91</v>
      </c>
      <c r="G51" s="16">
        <v>0</v>
      </c>
      <c r="H51" s="16">
        <v>29.26</v>
      </c>
      <c r="I51" s="16">
        <v>0</v>
      </c>
      <c r="J51" s="16">
        <v>0.47061999460091786</v>
      </c>
      <c r="K51" s="16">
        <v>0</v>
      </c>
      <c r="L51" s="16">
        <v>0</v>
      </c>
      <c r="M51" s="16">
        <v>11.31</v>
      </c>
      <c r="N51" s="16">
        <v>5.55</v>
      </c>
      <c r="O51" s="16">
        <v>0.219</v>
      </c>
      <c r="P51" s="16">
        <v>0</v>
      </c>
      <c r="Q51" s="16"/>
      <c r="R51" s="16"/>
      <c r="S51" s="16">
        <f t="shared" si="0"/>
        <v>100.71961999460092</v>
      </c>
      <c r="T51" s="16"/>
      <c r="U51" s="15">
        <v>1</v>
      </c>
      <c r="V51" s="15">
        <v>1</v>
      </c>
      <c r="W51" s="15">
        <v>0</v>
      </c>
      <c r="X51" s="15" t="s">
        <v>185</v>
      </c>
      <c r="Y51" s="15"/>
      <c r="Z51" s="37">
        <v>8</v>
      </c>
      <c r="AA51" s="37">
        <v>5</v>
      </c>
      <c r="AB51" s="15"/>
      <c r="AC51" s="38">
        <f t="shared" si="1"/>
        <v>2.4287312423425473</v>
      </c>
      <c r="AD51" s="38">
        <f t="shared" si="2"/>
        <v>0</v>
      </c>
      <c r="AE51" s="38">
        <f t="shared" si="3"/>
        <v>1.5535117496179507</v>
      </c>
      <c r="AF51" s="38">
        <f t="shared" si="4"/>
        <v>0</v>
      </c>
      <c r="AG51" s="38">
        <f t="shared" si="5"/>
        <v>1.7728976064319286E-2</v>
      </c>
      <c r="AH51" s="38">
        <f t="shared" si="6"/>
        <v>0</v>
      </c>
      <c r="AI51" s="38">
        <f t="shared" si="7"/>
        <v>0</v>
      </c>
      <c r="AJ51" s="38">
        <f t="shared" si="8"/>
        <v>0.54587681835450785</v>
      </c>
      <c r="AK51" s="38">
        <f t="shared" si="9"/>
        <v>0.48474290201120301</v>
      </c>
      <c r="AL51" s="38">
        <f t="shared" si="10"/>
        <v>1.2585290927100297E-2</v>
      </c>
      <c r="AM51" s="38">
        <f t="shared" si="11"/>
        <v>0</v>
      </c>
      <c r="AN51" s="38">
        <f t="shared" si="12"/>
        <v>0</v>
      </c>
      <c r="AO51" s="38">
        <f t="shared" si="13"/>
        <v>0</v>
      </c>
      <c r="AP51" s="38">
        <f t="shared" si="14"/>
        <v>5.0431769793176286</v>
      </c>
      <c r="AQ51" s="38">
        <f t="shared" si="15"/>
        <v>3.982242991960498</v>
      </c>
      <c r="AR51" s="38">
        <f t="shared" si="16"/>
        <v>1.0432050112928111</v>
      </c>
      <c r="AS51" s="40"/>
      <c r="AT51" s="38">
        <f t="shared" si="17"/>
        <v>2.4079377466851941</v>
      </c>
      <c r="AU51" s="38">
        <f t="shared" si="18"/>
        <v>0</v>
      </c>
      <c r="AV51" s="38">
        <f t="shared" si="19"/>
        <v>1.5402114143415899</v>
      </c>
      <c r="AW51" s="38">
        <f t="shared" si="20"/>
        <v>0</v>
      </c>
      <c r="AX51" s="38">
        <f t="shared" si="21"/>
        <v>0</v>
      </c>
      <c r="AY51" s="38">
        <f t="shared" si="22"/>
        <v>1.7577190069897289E-2</v>
      </c>
      <c r="AZ51" s="38">
        <f t="shared" si="23"/>
        <v>0</v>
      </c>
      <c r="BA51" s="38">
        <f t="shared" si="24"/>
        <v>0</v>
      </c>
      <c r="BB51" s="38">
        <f t="shared" si="25"/>
        <v>0.54120331349978534</v>
      </c>
      <c r="BC51" s="38">
        <f t="shared" si="26"/>
        <v>0.48059279299453761</v>
      </c>
      <c r="BD51" s="38">
        <f t="shared" si="27"/>
        <v>1.2477542408994695E-2</v>
      </c>
      <c r="BE51" s="38">
        <f t="shared" si="28"/>
        <v>0</v>
      </c>
      <c r="BF51" s="38">
        <f t="shared" si="29"/>
        <v>0</v>
      </c>
      <c r="BG51" s="38">
        <f t="shared" si="30"/>
        <v>0</v>
      </c>
      <c r="BH51" s="41">
        <f t="shared" si="31"/>
        <v>4.9999999999999982</v>
      </c>
      <c r="BI51" s="42">
        <f t="shared" si="32"/>
        <v>7.9402968811891705</v>
      </c>
      <c r="BJ51" s="38">
        <f t="shared" si="33"/>
        <v>3.9481491610267838</v>
      </c>
      <c r="BK51" s="38">
        <f t="shared" si="34"/>
        <v>1.0342736489033175</v>
      </c>
      <c r="BL51" s="16"/>
      <c r="BM51" s="16">
        <f t="shared" si="35"/>
        <v>0.52326897632328273</v>
      </c>
      <c r="BN51" s="16">
        <f t="shared" si="36"/>
        <v>0.46466696072565489</v>
      </c>
      <c r="BO51" s="16">
        <f t="shared" si="37"/>
        <v>1.206406295106246E-2</v>
      </c>
      <c r="BP51" s="15"/>
      <c r="BQ51" s="38">
        <f t="shared" si="38"/>
        <v>0.89730359520639147</v>
      </c>
      <c r="BR51" s="38">
        <f t="shared" si="39"/>
        <v>0</v>
      </c>
      <c r="BS51" s="38">
        <f t="shared" si="40"/>
        <v>0.57395056885052964</v>
      </c>
      <c r="BT51" s="38">
        <f t="shared" si="41"/>
        <v>0</v>
      </c>
      <c r="BU51" s="38">
        <f t="shared" si="42"/>
        <v>6.5500347195674028E-3</v>
      </c>
      <c r="BV51" s="38">
        <f t="shared" si="43"/>
        <v>0</v>
      </c>
      <c r="BW51" s="38">
        <f t="shared" si="44"/>
        <v>0</v>
      </c>
      <c r="BX51" s="38">
        <f t="shared" si="45"/>
        <v>0.20167617689015693</v>
      </c>
      <c r="BY51" s="38">
        <f t="shared" si="46"/>
        <v>0.17909002904162633</v>
      </c>
      <c r="BZ51" s="38">
        <f t="shared" si="47"/>
        <v>4.6496815286624204E-3</v>
      </c>
      <c r="CA51" s="38">
        <f t="shared" si="48"/>
        <v>0</v>
      </c>
      <c r="CB51" s="38">
        <f t="shared" si="49"/>
        <v>0</v>
      </c>
      <c r="CC51" s="38">
        <f t="shared" si="50"/>
        <v>0</v>
      </c>
      <c r="CD51" s="38">
        <f t="shared" si="51"/>
        <v>1.8632200862369344</v>
      </c>
      <c r="CE51" s="38">
        <f t="shared" si="52"/>
        <v>2.955629110583446</v>
      </c>
      <c r="CF51" s="38">
        <f t="shared" si="53"/>
        <v>2.6835262441262562</v>
      </c>
      <c r="CG51" s="38">
        <f t="shared" si="54"/>
        <v>7.9315082861542221</v>
      </c>
      <c r="CH51" s="15"/>
      <c r="CI51" s="16"/>
      <c r="CJ51" s="13"/>
      <c r="CK51" s="104"/>
      <c r="CL51" s="13"/>
      <c r="CM51" s="13"/>
      <c r="CN51" s="13"/>
      <c r="CO51" s="16"/>
      <c r="CP51" s="16"/>
      <c r="CQ51" s="16"/>
      <c r="CR51" s="16"/>
      <c r="CS51" s="16"/>
      <c r="CT51" s="16"/>
      <c r="CU51" s="16"/>
      <c r="CV51" s="16"/>
      <c r="CW51" s="16"/>
      <c r="CX51" s="16"/>
      <c r="CY51" s="104"/>
      <c r="CZ51" s="104"/>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3"/>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row>
    <row r="52" spans="1:167" x14ac:dyDescent="0.25">
      <c r="A52" s="35" t="s">
        <v>84</v>
      </c>
      <c r="B52" s="15">
        <v>225</v>
      </c>
      <c r="C52" s="102" t="s">
        <v>97</v>
      </c>
      <c r="D52" s="102" t="s">
        <v>104</v>
      </c>
      <c r="E52" s="15">
        <v>57</v>
      </c>
      <c r="F52" s="16">
        <v>54.41</v>
      </c>
      <c r="G52" s="16">
        <v>0</v>
      </c>
      <c r="H52" s="16">
        <v>29.07</v>
      </c>
      <c r="I52" s="16">
        <v>0</v>
      </c>
      <c r="J52" s="16">
        <v>0.45532259515882301</v>
      </c>
      <c r="K52" s="16">
        <v>0</v>
      </c>
      <c r="L52" s="16">
        <v>0</v>
      </c>
      <c r="M52" s="16">
        <v>10.96</v>
      </c>
      <c r="N52" s="16">
        <v>5.73</v>
      </c>
      <c r="O52" s="16">
        <v>0.27100000000000002</v>
      </c>
      <c r="P52" s="16">
        <v>0</v>
      </c>
      <c r="Q52" s="16"/>
      <c r="R52" s="16"/>
      <c r="S52" s="16">
        <f t="shared" si="0"/>
        <v>100.89632259515881</v>
      </c>
      <c r="T52" s="16"/>
      <c r="U52" s="15">
        <v>1</v>
      </c>
      <c r="V52" s="15">
        <v>2</v>
      </c>
      <c r="W52" s="15">
        <v>12.5</v>
      </c>
      <c r="X52" s="15" t="s">
        <v>185</v>
      </c>
      <c r="Y52" s="15"/>
      <c r="Z52" s="37">
        <v>8</v>
      </c>
      <c r="AA52" s="37">
        <v>5</v>
      </c>
      <c r="AB52" s="15"/>
      <c r="AC52" s="38">
        <f t="shared" si="1"/>
        <v>2.4445937454118427</v>
      </c>
      <c r="AD52" s="38">
        <f t="shared" si="2"/>
        <v>0</v>
      </c>
      <c r="AE52" s="38">
        <f t="shared" si="3"/>
        <v>1.5392284962075309</v>
      </c>
      <c r="AF52" s="38">
        <f t="shared" si="4"/>
        <v>0</v>
      </c>
      <c r="AG52" s="38">
        <f t="shared" si="5"/>
        <v>1.710607313134839E-2</v>
      </c>
      <c r="AH52" s="38">
        <f t="shared" si="6"/>
        <v>0</v>
      </c>
      <c r="AI52" s="38">
        <f t="shared" si="7"/>
        <v>0</v>
      </c>
      <c r="AJ52" s="38">
        <f t="shared" si="8"/>
        <v>0.52754613252984262</v>
      </c>
      <c r="AK52" s="38">
        <f t="shared" si="9"/>
        <v>0.4991038731393444</v>
      </c>
      <c r="AL52" s="38">
        <f t="shared" si="10"/>
        <v>1.5531245268310432E-2</v>
      </c>
      <c r="AM52" s="38">
        <f t="shared" si="11"/>
        <v>0</v>
      </c>
      <c r="AN52" s="38">
        <f t="shared" si="12"/>
        <v>0</v>
      </c>
      <c r="AO52" s="38">
        <f t="shared" si="13"/>
        <v>0</v>
      </c>
      <c r="AP52" s="38">
        <f t="shared" si="14"/>
        <v>5.0431095656882192</v>
      </c>
      <c r="AQ52" s="38">
        <f t="shared" si="15"/>
        <v>3.9838222416193734</v>
      </c>
      <c r="AR52" s="38">
        <f t="shared" si="16"/>
        <v>1.0421812509374975</v>
      </c>
      <c r="AS52" s="40"/>
      <c r="AT52" s="38">
        <f t="shared" si="17"/>
        <v>2.423696841770119</v>
      </c>
      <c r="AU52" s="38">
        <f t="shared" si="18"/>
        <v>0</v>
      </c>
      <c r="AV52" s="38">
        <f t="shared" si="19"/>
        <v>1.5260708459320143</v>
      </c>
      <c r="AW52" s="38">
        <f t="shared" si="20"/>
        <v>0</v>
      </c>
      <c r="AX52" s="38">
        <f t="shared" si="21"/>
        <v>0</v>
      </c>
      <c r="AY52" s="38">
        <f t="shared" si="22"/>
        <v>1.6959846805364786E-2</v>
      </c>
      <c r="AZ52" s="38">
        <f t="shared" si="23"/>
        <v>0</v>
      </c>
      <c r="BA52" s="38">
        <f t="shared" si="24"/>
        <v>0</v>
      </c>
      <c r="BB52" s="38">
        <f t="shared" si="25"/>
        <v>0.52303655676956307</v>
      </c>
      <c r="BC52" s="38">
        <f t="shared" si="26"/>
        <v>0.49483742781943013</v>
      </c>
      <c r="BD52" s="38">
        <f t="shared" si="27"/>
        <v>1.539848090350871E-2</v>
      </c>
      <c r="BE52" s="38">
        <f t="shared" si="28"/>
        <v>0</v>
      </c>
      <c r="BF52" s="38">
        <f t="shared" si="29"/>
        <v>0</v>
      </c>
      <c r="BG52" s="38">
        <f t="shared" si="30"/>
        <v>0</v>
      </c>
      <c r="BH52" s="41">
        <f t="shared" si="31"/>
        <v>4.9999999999999991</v>
      </c>
      <c r="BI52" s="42">
        <f t="shared" si="32"/>
        <v>7.940094233777339</v>
      </c>
      <c r="BJ52" s="38">
        <f t="shared" si="33"/>
        <v>3.949767687702133</v>
      </c>
      <c r="BK52" s="38">
        <f t="shared" si="34"/>
        <v>1.0332724654925021</v>
      </c>
      <c r="BL52" s="16"/>
      <c r="BM52" s="16">
        <f t="shared" si="35"/>
        <v>0.5061942268250238</v>
      </c>
      <c r="BN52" s="16">
        <f t="shared" si="36"/>
        <v>0.47890313963178088</v>
      </c>
      <c r="BO52" s="16">
        <f t="shared" si="37"/>
        <v>1.4902633543195341E-2</v>
      </c>
      <c r="BP52" s="15"/>
      <c r="BQ52" s="38">
        <f t="shared" si="38"/>
        <v>0.90562583222370174</v>
      </c>
      <c r="BR52" s="38">
        <f t="shared" si="39"/>
        <v>0</v>
      </c>
      <c r="BS52" s="38">
        <f t="shared" si="40"/>
        <v>0.570223617104747</v>
      </c>
      <c r="BT52" s="38">
        <f t="shared" si="41"/>
        <v>0</v>
      </c>
      <c r="BU52" s="38">
        <f t="shared" si="42"/>
        <v>6.3371272812640647E-3</v>
      </c>
      <c r="BV52" s="38">
        <f t="shared" si="43"/>
        <v>0</v>
      </c>
      <c r="BW52" s="38">
        <f t="shared" si="44"/>
        <v>0</v>
      </c>
      <c r="BX52" s="38">
        <f t="shared" si="45"/>
        <v>0.19543509272467904</v>
      </c>
      <c r="BY52" s="38">
        <f t="shared" si="46"/>
        <v>0.18489835430784127</v>
      </c>
      <c r="BZ52" s="38">
        <f t="shared" si="47"/>
        <v>5.7537154989384292E-3</v>
      </c>
      <c r="CA52" s="38">
        <f t="shared" si="48"/>
        <v>0</v>
      </c>
      <c r="CB52" s="38">
        <f t="shared" si="49"/>
        <v>0</v>
      </c>
      <c r="CC52" s="38">
        <f t="shared" si="50"/>
        <v>0</v>
      </c>
      <c r="CD52" s="38">
        <f t="shared" si="51"/>
        <v>1.8682737391411717</v>
      </c>
      <c r="CE52" s="38">
        <f t="shared" si="52"/>
        <v>2.9636853450138569</v>
      </c>
      <c r="CF52" s="38">
        <f t="shared" si="53"/>
        <v>2.6762673452223624</v>
      </c>
      <c r="CG52" s="38">
        <f t="shared" si="54"/>
        <v>7.9316143103746564</v>
      </c>
      <c r="CH52" s="15"/>
      <c r="CI52" s="16"/>
      <c r="CJ52" s="13"/>
      <c r="CK52" s="104"/>
      <c r="CL52" s="13"/>
      <c r="CM52" s="13"/>
      <c r="CN52" s="13"/>
      <c r="CO52" s="16"/>
      <c r="CP52" s="16"/>
      <c r="CQ52" s="16"/>
      <c r="CR52" s="16"/>
      <c r="CS52" s="16"/>
      <c r="CT52" s="16"/>
      <c r="CU52" s="16"/>
      <c r="CV52" s="16"/>
      <c r="CW52" s="16"/>
      <c r="CX52" s="16"/>
      <c r="CY52" s="104"/>
      <c r="CZ52" s="104"/>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3"/>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row>
    <row r="53" spans="1:167" x14ac:dyDescent="0.25">
      <c r="A53" s="35" t="s">
        <v>84</v>
      </c>
      <c r="B53" s="15">
        <v>226</v>
      </c>
      <c r="C53" s="102" t="s">
        <v>97</v>
      </c>
      <c r="D53" s="102" t="s">
        <v>104</v>
      </c>
      <c r="E53" s="15">
        <v>58</v>
      </c>
      <c r="F53" s="16">
        <v>56.01</v>
      </c>
      <c r="G53" s="16">
        <v>0</v>
      </c>
      <c r="H53" s="16">
        <v>27.78</v>
      </c>
      <c r="I53" s="16">
        <v>0</v>
      </c>
      <c r="J53" s="16">
        <v>0.51651219292720241</v>
      </c>
      <c r="K53" s="16">
        <v>0</v>
      </c>
      <c r="L53" s="16">
        <v>0</v>
      </c>
      <c r="M53" s="16">
        <v>9.57</v>
      </c>
      <c r="N53" s="16">
        <v>6.67</v>
      </c>
      <c r="O53" s="16">
        <v>0.28699999999999998</v>
      </c>
      <c r="P53" s="16">
        <v>0</v>
      </c>
      <c r="Q53" s="16"/>
      <c r="R53" s="16"/>
      <c r="S53" s="16">
        <f t="shared" si="0"/>
        <v>100.83351219292722</v>
      </c>
      <c r="T53" s="16"/>
      <c r="U53" s="15">
        <v>1</v>
      </c>
      <c r="V53" s="15">
        <v>3</v>
      </c>
      <c r="W53" s="15">
        <v>25</v>
      </c>
      <c r="X53" s="15" t="s">
        <v>185</v>
      </c>
      <c r="Y53" s="15"/>
      <c r="Z53" s="37">
        <v>8</v>
      </c>
      <c r="AA53" s="37">
        <v>5</v>
      </c>
      <c r="AB53" s="15"/>
      <c r="AC53" s="38">
        <f t="shared" si="1"/>
        <v>2.5107974976640106</v>
      </c>
      <c r="AD53" s="38">
        <f t="shared" si="2"/>
        <v>0</v>
      </c>
      <c r="AE53" s="38">
        <f t="shared" si="3"/>
        <v>1.467602519790882</v>
      </c>
      <c r="AF53" s="38">
        <f t="shared" si="4"/>
        <v>0</v>
      </c>
      <c r="AG53" s="38">
        <f t="shared" si="5"/>
        <v>1.936109179544199E-2</v>
      </c>
      <c r="AH53" s="38">
        <f t="shared" si="6"/>
        <v>0</v>
      </c>
      <c r="AI53" s="38">
        <f t="shared" si="7"/>
        <v>0</v>
      </c>
      <c r="AJ53" s="38">
        <f t="shared" si="8"/>
        <v>0.45959994843839236</v>
      </c>
      <c r="AK53" s="38">
        <f t="shared" si="9"/>
        <v>0.57966929458552219</v>
      </c>
      <c r="AL53" s="38">
        <f t="shared" si="10"/>
        <v>1.6411074918120334E-2</v>
      </c>
      <c r="AM53" s="38">
        <f t="shared" si="11"/>
        <v>0</v>
      </c>
      <c r="AN53" s="38">
        <f t="shared" si="12"/>
        <v>0</v>
      </c>
      <c r="AO53" s="38">
        <f t="shared" si="13"/>
        <v>0</v>
      </c>
      <c r="AP53" s="38">
        <f t="shared" si="14"/>
        <v>5.0534414271923689</v>
      </c>
      <c r="AQ53" s="38">
        <f t="shared" si="15"/>
        <v>3.9784000174548924</v>
      </c>
      <c r="AR53" s="38">
        <f t="shared" si="16"/>
        <v>1.0556803179420349</v>
      </c>
      <c r="AS53" s="40"/>
      <c r="AT53" s="38">
        <f t="shared" si="17"/>
        <v>2.484245176122462</v>
      </c>
      <c r="AU53" s="38">
        <f t="shared" si="18"/>
        <v>0</v>
      </c>
      <c r="AV53" s="38">
        <f t="shared" si="19"/>
        <v>1.452082250220385</v>
      </c>
      <c r="AW53" s="38">
        <f t="shared" si="20"/>
        <v>0</v>
      </c>
      <c r="AX53" s="38">
        <f t="shared" si="21"/>
        <v>0</v>
      </c>
      <c r="AY53" s="38">
        <f t="shared" si="22"/>
        <v>1.9156343329973822E-2</v>
      </c>
      <c r="AZ53" s="38">
        <f t="shared" si="23"/>
        <v>0</v>
      </c>
      <c r="BA53" s="38">
        <f t="shared" si="24"/>
        <v>0</v>
      </c>
      <c r="BB53" s="38">
        <f t="shared" si="25"/>
        <v>0.4547395621974592</v>
      </c>
      <c r="BC53" s="38">
        <f t="shared" si="26"/>
        <v>0.57353914449897891</v>
      </c>
      <c r="BD53" s="38">
        <f t="shared" si="27"/>
        <v>1.6237523630741008E-2</v>
      </c>
      <c r="BE53" s="38">
        <f t="shared" si="28"/>
        <v>0</v>
      </c>
      <c r="BF53" s="38">
        <f t="shared" si="29"/>
        <v>0</v>
      </c>
      <c r="BG53" s="38">
        <f t="shared" si="30"/>
        <v>0</v>
      </c>
      <c r="BH53" s="41">
        <f t="shared" si="31"/>
        <v>5</v>
      </c>
      <c r="BI53" s="42">
        <f t="shared" si="32"/>
        <v>7.9249761388327808</v>
      </c>
      <c r="BJ53" s="38">
        <f t="shared" si="33"/>
        <v>3.9363274263428467</v>
      </c>
      <c r="BK53" s="38">
        <f t="shared" si="34"/>
        <v>1.0445162303271791</v>
      </c>
      <c r="BL53" s="16"/>
      <c r="BM53" s="16">
        <f t="shared" si="35"/>
        <v>0.43535901979715413</v>
      </c>
      <c r="BN53" s="16">
        <f t="shared" si="36"/>
        <v>0.54909548348456616</v>
      </c>
      <c r="BO53" s="16">
        <f t="shared" si="37"/>
        <v>1.5545496718279664E-2</v>
      </c>
      <c r="BP53" s="15"/>
      <c r="BQ53" s="38">
        <f t="shared" si="38"/>
        <v>0.93225699067909451</v>
      </c>
      <c r="BR53" s="38">
        <f t="shared" si="39"/>
        <v>0</v>
      </c>
      <c r="BS53" s="38">
        <f t="shared" si="40"/>
        <v>0.54491957630443322</v>
      </c>
      <c r="BT53" s="38">
        <f t="shared" si="41"/>
        <v>0</v>
      </c>
      <c r="BU53" s="38">
        <f t="shared" si="42"/>
        <v>7.1887570344774179E-3</v>
      </c>
      <c r="BV53" s="38">
        <f t="shared" si="43"/>
        <v>0</v>
      </c>
      <c r="BW53" s="38">
        <f t="shared" si="44"/>
        <v>0</v>
      </c>
      <c r="BX53" s="38">
        <f t="shared" si="45"/>
        <v>0.1706490727532097</v>
      </c>
      <c r="BY53" s="38">
        <f t="shared" si="46"/>
        <v>0.21523071958696355</v>
      </c>
      <c r="BZ53" s="38">
        <f t="shared" si="47"/>
        <v>6.0934182590233537E-3</v>
      </c>
      <c r="CA53" s="38">
        <f t="shared" si="48"/>
        <v>0</v>
      </c>
      <c r="CB53" s="38">
        <f t="shared" si="49"/>
        <v>0</v>
      </c>
      <c r="CC53" s="38">
        <f t="shared" si="50"/>
        <v>0</v>
      </c>
      <c r="CD53" s="38">
        <f t="shared" si="51"/>
        <v>1.8763385346172019</v>
      </c>
      <c r="CE53" s="38">
        <f t="shared" si="52"/>
        <v>2.9703932445255194</v>
      </c>
      <c r="CF53" s="38">
        <f t="shared" si="53"/>
        <v>2.6647643310379845</v>
      </c>
      <c r="CG53" s="38">
        <f t="shared" si="54"/>
        <v>7.9153979671677943</v>
      </c>
      <c r="CH53" s="15"/>
      <c r="CI53" s="16"/>
      <c r="CJ53" s="13"/>
      <c r="CK53" s="104"/>
      <c r="CL53" s="13"/>
      <c r="CM53" s="13"/>
      <c r="CN53" s="13"/>
      <c r="CO53" s="16"/>
      <c r="CP53" s="16"/>
      <c r="CQ53" s="16"/>
      <c r="CR53" s="16"/>
      <c r="CS53" s="16"/>
      <c r="CT53" s="16"/>
      <c r="CU53" s="16"/>
      <c r="CV53" s="16"/>
      <c r="CW53" s="16"/>
      <c r="CX53" s="16"/>
      <c r="CY53" s="104"/>
      <c r="CZ53" s="104"/>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3"/>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row>
    <row r="54" spans="1:167" x14ac:dyDescent="0.25">
      <c r="A54" s="35" t="s">
        <v>84</v>
      </c>
      <c r="B54" s="15">
        <v>227</v>
      </c>
      <c r="C54" s="102" t="s">
        <v>97</v>
      </c>
      <c r="D54" s="102" t="s">
        <v>104</v>
      </c>
      <c r="E54" s="15">
        <v>59</v>
      </c>
      <c r="F54" s="16">
        <v>47.95</v>
      </c>
      <c r="G54" s="16">
        <v>0</v>
      </c>
      <c r="H54" s="16">
        <v>33.43</v>
      </c>
      <c r="I54" s="16">
        <v>0</v>
      </c>
      <c r="J54" s="16">
        <v>0.56870332043552596</v>
      </c>
      <c r="K54" s="16">
        <v>0</v>
      </c>
      <c r="L54" s="16">
        <v>0</v>
      </c>
      <c r="M54" s="16">
        <v>16.05</v>
      </c>
      <c r="N54" s="16">
        <v>2.46</v>
      </c>
      <c r="O54" s="16">
        <v>5.6000000000000001E-2</v>
      </c>
      <c r="P54" s="16">
        <v>0</v>
      </c>
      <c r="Q54" s="16"/>
      <c r="R54" s="16"/>
      <c r="S54" s="16">
        <f t="shared" si="0"/>
        <v>100.51470332043552</v>
      </c>
      <c r="T54" s="16"/>
      <c r="U54" s="15">
        <v>1</v>
      </c>
      <c r="V54" s="15">
        <v>4</v>
      </c>
      <c r="W54" s="15">
        <v>37.5</v>
      </c>
      <c r="X54" s="15" t="s">
        <v>258</v>
      </c>
      <c r="Y54" s="15"/>
      <c r="Z54" s="37">
        <v>8</v>
      </c>
      <c r="AA54" s="37">
        <v>5</v>
      </c>
      <c r="AB54" s="15"/>
      <c r="AC54" s="38">
        <f t="shared" si="1"/>
        <v>2.1909159163993426</v>
      </c>
      <c r="AD54" s="38">
        <f t="shared" si="2"/>
        <v>0</v>
      </c>
      <c r="AE54" s="38">
        <f t="shared" si="3"/>
        <v>1.8001287509917685</v>
      </c>
      <c r="AF54" s="38">
        <f t="shared" si="4"/>
        <v>0</v>
      </c>
      <c r="AG54" s="38">
        <f t="shared" si="5"/>
        <v>2.1728313281448811E-2</v>
      </c>
      <c r="AH54" s="38">
        <f t="shared" si="6"/>
        <v>0</v>
      </c>
      <c r="AI54" s="38">
        <f t="shared" si="7"/>
        <v>0</v>
      </c>
      <c r="AJ54" s="38">
        <f t="shared" si="8"/>
        <v>0.78565893633600425</v>
      </c>
      <c r="AK54" s="38">
        <f t="shared" si="9"/>
        <v>0.21791170249536604</v>
      </c>
      <c r="AL54" s="38">
        <f t="shared" si="10"/>
        <v>3.2638796970514044E-3</v>
      </c>
      <c r="AM54" s="38">
        <f t="shared" si="11"/>
        <v>0</v>
      </c>
      <c r="AN54" s="38">
        <f t="shared" si="12"/>
        <v>0</v>
      </c>
      <c r="AO54" s="38">
        <f t="shared" si="13"/>
        <v>0</v>
      </c>
      <c r="AP54" s="38">
        <f t="shared" si="14"/>
        <v>5.0196074992009816</v>
      </c>
      <c r="AQ54" s="38">
        <f t="shared" si="15"/>
        <v>3.9910446673911109</v>
      </c>
      <c r="AR54" s="38">
        <f t="shared" si="16"/>
        <v>1.0068345185284218</v>
      </c>
      <c r="AS54" s="40"/>
      <c r="AT54" s="38">
        <f t="shared" si="17"/>
        <v>2.1823578006329094</v>
      </c>
      <c r="AU54" s="38">
        <f t="shared" si="18"/>
        <v>0</v>
      </c>
      <c r="AV54" s="38">
        <f t="shared" si="19"/>
        <v>1.7930971209186297</v>
      </c>
      <c r="AW54" s="38">
        <f t="shared" si="20"/>
        <v>0</v>
      </c>
      <c r="AX54" s="38">
        <f t="shared" si="21"/>
        <v>0</v>
      </c>
      <c r="AY54" s="38">
        <f t="shared" si="22"/>
        <v>2.1643438540670273E-2</v>
      </c>
      <c r="AZ54" s="38">
        <f t="shared" si="23"/>
        <v>0</v>
      </c>
      <c r="BA54" s="38">
        <f t="shared" si="24"/>
        <v>0</v>
      </c>
      <c r="BB54" s="38">
        <f t="shared" si="25"/>
        <v>0.78259000973787796</v>
      </c>
      <c r="BC54" s="38">
        <f t="shared" si="26"/>
        <v>0.2170604997801652</v>
      </c>
      <c r="BD54" s="38">
        <f t="shared" si="27"/>
        <v>3.251130389747552E-3</v>
      </c>
      <c r="BE54" s="38">
        <f t="shared" si="28"/>
        <v>0</v>
      </c>
      <c r="BF54" s="38">
        <f t="shared" si="29"/>
        <v>0</v>
      </c>
      <c r="BG54" s="38">
        <f t="shared" si="30"/>
        <v>0</v>
      </c>
      <c r="BH54" s="41">
        <f t="shared" si="31"/>
        <v>4.9999999999999991</v>
      </c>
      <c r="BI54" s="42">
        <f t="shared" si="32"/>
        <v>7.9795722652776035</v>
      </c>
      <c r="BJ54" s="38">
        <f t="shared" si="33"/>
        <v>3.9754549215515391</v>
      </c>
      <c r="BK54" s="38">
        <f t="shared" si="34"/>
        <v>1.0029016399077906</v>
      </c>
      <c r="BL54" s="16"/>
      <c r="BM54" s="16">
        <f t="shared" si="35"/>
        <v>0.78032578529817864</v>
      </c>
      <c r="BN54" s="16">
        <f t="shared" si="36"/>
        <v>0.21643249062801639</v>
      </c>
      <c r="BO54" s="16">
        <f t="shared" si="37"/>
        <v>3.2417240738049535E-3</v>
      </c>
      <c r="BP54" s="15"/>
      <c r="BQ54" s="38">
        <f t="shared" si="38"/>
        <v>0.79810252996005338</v>
      </c>
      <c r="BR54" s="38">
        <f t="shared" si="39"/>
        <v>0</v>
      </c>
      <c r="BS54" s="38">
        <f t="shared" si="40"/>
        <v>0.65574735190270694</v>
      </c>
      <c r="BT54" s="38">
        <f t="shared" si="41"/>
        <v>0</v>
      </c>
      <c r="BU54" s="38">
        <f t="shared" si="42"/>
        <v>7.9151471181005701E-3</v>
      </c>
      <c r="BV54" s="38">
        <f t="shared" si="43"/>
        <v>0</v>
      </c>
      <c r="BW54" s="38">
        <f t="shared" si="44"/>
        <v>0</v>
      </c>
      <c r="BX54" s="38">
        <f t="shared" si="45"/>
        <v>0.28619828815977177</v>
      </c>
      <c r="BY54" s="38">
        <f t="shared" si="46"/>
        <v>7.9380445304937083E-2</v>
      </c>
      <c r="BZ54" s="38">
        <f t="shared" si="47"/>
        <v>1.1889596602972399E-3</v>
      </c>
      <c r="CA54" s="38">
        <f t="shared" si="48"/>
        <v>0</v>
      </c>
      <c r="CB54" s="38">
        <f t="shared" si="49"/>
        <v>0</v>
      </c>
      <c r="CC54" s="38">
        <f t="shared" si="50"/>
        <v>0</v>
      </c>
      <c r="CD54" s="38">
        <f t="shared" si="51"/>
        <v>1.8285327221058669</v>
      </c>
      <c r="CE54" s="38">
        <f t="shared" si="52"/>
        <v>2.9142242255346567</v>
      </c>
      <c r="CF54" s="38">
        <f t="shared" si="53"/>
        <v>2.7344328813769589</v>
      </c>
      <c r="CG54" s="38">
        <f t="shared" si="54"/>
        <v>7.9687505460072678</v>
      </c>
      <c r="CH54" s="15"/>
      <c r="CI54" s="16"/>
      <c r="CJ54" s="13"/>
      <c r="CK54" s="104"/>
      <c r="CL54" s="13"/>
      <c r="CM54" s="13"/>
      <c r="CN54" s="13"/>
      <c r="CO54" s="16"/>
      <c r="CP54" s="16"/>
      <c r="CQ54" s="16"/>
      <c r="CR54" s="16"/>
      <c r="CS54" s="16"/>
      <c r="CT54" s="16"/>
      <c r="CU54" s="16"/>
      <c r="CV54" s="16"/>
      <c r="CW54" s="16"/>
      <c r="CX54" s="16"/>
      <c r="CY54" s="104"/>
      <c r="CZ54" s="104"/>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3"/>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row>
    <row r="55" spans="1:167" x14ac:dyDescent="0.25">
      <c r="A55" s="35" t="s">
        <v>84</v>
      </c>
      <c r="B55" s="15">
        <v>228</v>
      </c>
      <c r="C55" s="102" t="s">
        <v>97</v>
      </c>
      <c r="D55" s="102" t="s">
        <v>104</v>
      </c>
      <c r="E55" s="15">
        <v>60</v>
      </c>
      <c r="F55" s="16">
        <v>49.03</v>
      </c>
      <c r="G55" s="16">
        <v>0</v>
      </c>
      <c r="H55" s="16">
        <v>32.729999999999997</v>
      </c>
      <c r="I55" s="16">
        <v>0</v>
      </c>
      <c r="J55" s="16">
        <v>0.58849995500764873</v>
      </c>
      <c r="K55" s="16">
        <v>0</v>
      </c>
      <c r="L55" s="16">
        <v>0</v>
      </c>
      <c r="M55" s="16">
        <v>14.94</v>
      </c>
      <c r="N55" s="16">
        <v>3.23</v>
      </c>
      <c r="O55" s="16">
        <v>7.6999999999999999E-2</v>
      </c>
      <c r="P55" s="16">
        <v>0</v>
      </c>
      <c r="Q55" s="16"/>
      <c r="R55" s="16"/>
      <c r="S55" s="16">
        <f t="shared" si="0"/>
        <v>100.59549995500764</v>
      </c>
      <c r="T55" s="16"/>
      <c r="U55" s="15">
        <v>1</v>
      </c>
      <c r="V55" s="15">
        <v>5</v>
      </c>
      <c r="W55" s="15">
        <v>50</v>
      </c>
      <c r="X55" s="15" t="s">
        <v>258</v>
      </c>
      <c r="Y55" s="15"/>
      <c r="Z55" s="37">
        <v>8</v>
      </c>
      <c r="AA55" s="37">
        <v>5</v>
      </c>
      <c r="AB55" s="15"/>
      <c r="AC55" s="38">
        <f t="shared" si="1"/>
        <v>2.2337596012125105</v>
      </c>
      <c r="AD55" s="38">
        <f t="shared" si="2"/>
        <v>0</v>
      </c>
      <c r="AE55" s="38">
        <f t="shared" si="3"/>
        <v>1.7573191316006569</v>
      </c>
      <c r="AF55" s="38">
        <f t="shared" si="4"/>
        <v>0</v>
      </c>
      <c r="AG55" s="38">
        <f t="shared" si="5"/>
        <v>2.2419407169278257E-2</v>
      </c>
      <c r="AH55" s="38">
        <f t="shared" si="6"/>
        <v>0</v>
      </c>
      <c r="AI55" s="38">
        <f t="shared" si="7"/>
        <v>0</v>
      </c>
      <c r="AJ55" s="38">
        <f t="shared" si="8"/>
        <v>0.72920066406774431</v>
      </c>
      <c r="AK55" s="38">
        <f t="shared" si="9"/>
        <v>0.28528925116010712</v>
      </c>
      <c r="AL55" s="38">
        <f t="shared" si="10"/>
        <v>4.4748067138344902E-3</v>
      </c>
      <c r="AM55" s="38">
        <f t="shared" si="11"/>
        <v>0</v>
      </c>
      <c r="AN55" s="38">
        <f t="shared" si="12"/>
        <v>0</v>
      </c>
      <c r="AO55" s="38">
        <f t="shared" si="13"/>
        <v>0</v>
      </c>
      <c r="AP55" s="38">
        <f t="shared" si="14"/>
        <v>5.0324628619241318</v>
      </c>
      <c r="AQ55" s="38">
        <f t="shared" si="15"/>
        <v>3.9910787328131674</v>
      </c>
      <c r="AR55" s="38">
        <f t="shared" si="16"/>
        <v>1.018964721941686</v>
      </c>
      <c r="AS55" s="40"/>
      <c r="AT55" s="38">
        <f t="shared" si="17"/>
        <v>2.2193503086860793</v>
      </c>
      <c r="AU55" s="38">
        <f t="shared" si="18"/>
        <v>0</v>
      </c>
      <c r="AV55" s="38">
        <f t="shared" si="19"/>
        <v>1.7459832092320264</v>
      </c>
      <c r="AW55" s="38">
        <f t="shared" si="20"/>
        <v>0</v>
      </c>
      <c r="AX55" s="38">
        <f t="shared" si="21"/>
        <v>0</v>
      </c>
      <c r="AY55" s="38">
        <f t="shared" si="22"/>
        <v>2.2274786505534518E-2</v>
      </c>
      <c r="AZ55" s="38">
        <f t="shared" si="23"/>
        <v>0</v>
      </c>
      <c r="BA55" s="38">
        <f t="shared" si="24"/>
        <v>0</v>
      </c>
      <c r="BB55" s="38">
        <f t="shared" si="25"/>
        <v>0.72449681604698302</v>
      </c>
      <c r="BC55" s="38">
        <f t="shared" si="26"/>
        <v>0.28344893841007751</v>
      </c>
      <c r="BD55" s="38">
        <f t="shared" si="27"/>
        <v>4.4459411192987663E-3</v>
      </c>
      <c r="BE55" s="38">
        <f t="shared" si="28"/>
        <v>0</v>
      </c>
      <c r="BF55" s="38">
        <f t="shared" si="29"/>
        <v>0</v>
      </c>
      <c r="BG55" s="38">
        <f t="shared" si="30"/>
        <v>0</v>
      </c>
      <c r="BH55" s="41">
        <f t="shared" si="31"/>
        <v>4.9999999999999991</v>
      </c>
      <c r="BI55" s="42">
        <f t="shared" si="32"/>
        <v>7.9595318667901713</v>
      </c>
      <c r="BJ55" s="38">
        <f t="shared" si="33"/>
        <v>3.965333517918106</v>
      </c>
      <c r="BK55" s="38">
        <f t="shared" si="34"/>
        <v>1.0123916955763592</v>
      </c>
      <c r="BL55" s="16"/>
      <c r="BM55" s="16">
        <f t="shared" si="35"/>
        <v>0.71562895983112895</v>
      </c>
      <c r="BN55" s="16">
        <f t="shared" si="36"/>
        <v>0.2799795174620715</v>
      </c>
      <c r="BO55" s="16">
        <f t="shared" si="37"/>
        <v>4.3915227067994386E-3</v>
      </c>
      <c r="BP55" s="15"/>
      <c r="BQ55" s="38">
        <f t="shared" si="38"/>
        <v>0.81607856191744343</v>
      </c>
      <c r="BR55" s="38">
        <f t="shared" si="39"/>
        <v>0</v>
      </c>
      <c r="BS55" s="38">
        <f t="shared" si="40"/>
        <v>0.64201647704982345</v>
      </c>
      <c r="BT55" s="38">
        <f t="shared" si="41"/>
        <v>0</v>
      </c>
      <c r="BU55" s="38">
        <f t="shared" si="42"/>
        <v>8.1906743911990092E-3</v>
      </c>
      <c r="BV55" s="38">
        <f t="shared" si="43"/>
        <v>0</v>
      </c>
      <c r="BW55" s="38">
        <f t="shared" si="44"/>
        <v>0</v>
      </c>
      <c r="BX55" s="38">
        <f t="shared" si="45"/>
        <v>0.26640513552068473</v>
      </c>
      <c r="BY55" s="38">
        <f t="shared" si="46"/>
        <v>0.10422717005485641</v>
      </c>
      <c r="BZ55" s="38">
        <f t="shared" si="47"/>
        <v>1.6348195329087048E-3</v>
      </c>
      <c r="CA55" s="38">
        <f t="shared" si="48"/>
        <v>0</v>
      </c>
      <c r="CB55" s="38">
        <f t="shared" si="49"/>
        <v>0</v>
      </c>
      <c r="CC55" s="38">
        <f t="shared" si="50"/>
        <v>0</v>
      </c>
      <c r="CD55" s="38">
        <f t="shared" si="51"/>
        <v>1.8385528384669159</v>
      </c>
      <c r="CE55" s="38">
        <f t="shared" si="52"/>
        <v>2.9227086441153882</v>
      </c>
      <c r="CF55" s="38">
        <f t="shared" si="53"/>
        <v>2.7195302171295053</v>
      </c>
      <c r="CG55" s="38">
        <f t="shared" si="54"/>
        <v>7.9483944735374035</v>
      </c>
      <c r="CH55" s="15"/>
      <c r="CI55" s="16">
        <v>2.4103774223295122</v>
      </c>
      <c r="CJ55" s="13">
        <v>21244.252898785428</v>
      </c>
      <c r="CK55" s="104">
        <v>205.07484911716497</v>
      </c>
      <c r="CL55" s="13">
        <v>165988.54541951275</v>
      </c>
      <c r="CM55" s="13">
        <v>239888.67750750497</v>
      </c>
      <c r="CN55" s="13">
        <v>99900.043650618391</v>
      </c>
      <c r="CO55" s="16">
        <v>0.29424987012156745</v>
      </c>
      <c r="CP55" s="16">
        <v>128.05098786566401</v>
      </c>
      <c r="CQ55" s="16">
        <v>1.4008967330240463</v>
      </c>
      <c r="CR55" s="16">
        <v>1.3326359887172901</v>
      </c>
      <c r="CS55" s="16">
        <v>38.530529398814529</v>
      </c>
      <c r="CT55" s="16">
        <v>0.38820819920531607</v>
      </c>
      <c r="CU55" s="16">
        <v>24.019852818404271</v>
      </c>
      <c r="CV55" s="16"/>
      <c r="CW55" s="16">
        <v>8.1348353696137625</v>
      </c>
      <c r="CX55" s="16"/>
      <c r="CY55" s="104">
        <v>512.20446083250545</v>
      </c>
      <c r="CZ55" s="104">
        <v>525.92189848763167</v>
      </c>
      <c r="DA55" s="16">
        <v>0.7654948819246189</v>
      </c>
      <c r="DB55" s="16">
        <v>0.65723777400650296</v>
      </c>
      <c r="DC55" s="16">
        <v>0.14336711018587311</v>
      </c>
      <c r="DD55" s="16"/>
      <c r="DE55" s="16">
        <v>70.65052723824823</v>
      </c>
      <c r="DF55" s="16">
        <v>3.2374582628593904</v>
      </c>
      <c r="DG55" s="16">
        <v>5.0638581289115603</v>
      </c>
      <c r="DH55" s="16">
        <v>0.4242008338777617</v>
      </c>
      <c r="DI55" s="16">
        <v>1.9730991082413423</v>
      </c>
      <c r="DJ55" s="16">
        <v>0.27362856597422286</v>
      </c>
      <c r="DK55" s="16">
        <v>0.54168714865949841</v>
      </c>
      <c r="DL55" s="16">
        <v>0.24282946016985657</v>
      </c>
      <c r="DM55" s="16">
        <v>2.4014846791850689E-2</v>
      </c>
      <c r="DN55" s="16">
        <v>0.17862657287449385</v>
      </c>
      <c r="DO55" s="16"/>
      <c r="DP55" s="16">
        <v>4.8578616924857675E-2</v>
      </c>
      <c r="DQ55" s="16"/>
      <c r="DR55" s="16">
        <v>8.3919016632562446E-2</v>
      </c>
      <c r="DS55" s="16"/>
      <c r="DT55" s="16"/>
      <c r="DU55" s="16"/>
      <c r="DV55" s="16">
        <v>2.2376506362791315</v>
      </c>
      <c r="DW55" s="16">
        <v>9.2703468217536666E-2</v>
      </c>
      <c r="DX55" s="16">
        <v>1.3046470391423388E-2</v>
      </c>
      <c r="DY55" s="16">
        <f>(DK55/0.05883)/SQRT((DJ55/0.1536)*(DL55/0.2069))</f>
        <v>6.3678691776443701</v>
      </c>
      <c r="DZ55" s="16"/>
      <c r="EA55" s="13">
        <f>1128+200*((BM55-0.4)/0.4) -273</f>
        <v>1012.8144799155643</v>
      </c>
      <c r="EB55" s="16"/>
      <c r="EC55" s="16">
        <f>(-18.482 -16.353 * BM55)/(0.008314 * (EA55+273))</f>
        <v>-2.8235679863622396</v>
      </c>
      <c r="ED55" s="16"/>
      <c r="EE55" s="16"/>
      <c r="EF55" s="16"/>
      <c r="EG55" s="16"/>
      <c r="EH55" s="16"/>
      <c r="EI55" s="16"/>
      <c r="EJ55" s="16"/>
      <c r="EK55" s="16"/>
      <c r="EL55" s="16">
        <f>(23.856 -20.71 * BM55)/(0.008314 * (EA55+273))</f>
        <v>0.84519206281301806</v>
      </c>
      <c r="EM55" s="16"/>
      <c r="EN55" s="16">
        <f>(-4.5269  -51.811 * BM55)/(0.008314 * (EA55+273)) +N("eqn50a")</f>
        <v>-3.8917992514070705</v>
      </c>
      <c r="EO55" s="16" t="e">
        <f>(-187.27 + 2.26018 *#REF!)/(0.008314 * (EA55+273)) +N("fsp eqn35 from SiO2")</f>
        <v>#REF!</v>
      </c>
      <c r="EP55" s="16"/>
      <c r="EQ55" s="16"/>
      <c r="ER55" s="16">
        <f>(10.146 -35.204 * BM55)/(0.008314 * (EA55+273))</f>
        <v>-1.4075429100421009</v>
      </c>
      <c r="ES55" s="16">
        <f>(2.1146 -37.009 * BM55)/(0.008314 * (EA55+273))</f>
        <v>-2.2796553646792321</v>
      </c>
      <c r="ET55" s="16">
        <f>(-3.6812 -33.822 * BM55)/(0.008314 * (EA55+273))</f>
        <v>-2.6084677587197715</v>
      </c>
      <c r="EU55" s="16">
        <f>(-6.8025 -26.094 * BM55)/(0.008314 * (EA55+273))</f>
        <v>-2.3831149380997552</v>
      </c>
      <c r="EV55" s="16">
        <f>(-5.6996 -30.85 * BM55)/(0.008314 * (EA55+273))</f>
        <v>-2.5983230800563457</v>
      </c>
      <c r="EW55" s="16">
        <f>(-8.6767 -33.32 * BM55)/(0.008314 * (EA55+273))</f>
        <v>-3.0421572643375403</v>
      </c>
      <c r="EX55" s="16"/>
      <c r="EY55" s="16">
        <f>(-1.9714 -59.897 * BM55)/(0.008314 * (EA55+273))</f>
        <v>-4.1940440321541104</v>
      </c>
      <c r="EZ55" s="16">
        <f>(-4.3691 -44.528 * BM55)/(0.008314 * (EA55+273))</f>
        <v>-3.3894985666910595</v>
      </c>
      <c r="FA55" s="16">
        <f>(-2.2521 -58.215 * BM55)/(0.008314 * (EA55+273))</f>
        <v>-4.1077048997569054</v>
      </c>
      <c r="FB55" s="16"/>
      <c r="FC55" s="16">
        <f>(-8.5 - 57.253 * BM55)/(0.008314 * (EA55+273))</f>
        <v>-4.6277543761807358</v>
      </c>
      <c r="FD55" s="16"/>
      <c r="FE55" s="16">
        <f>(-9.2954 -52.923 * BM55)/(0.008314 * (EA55+273))</f>
        <v>-4.4122990875018067</v>
      </c>
      <c r="FF55" s="16">
        <f>(0.61501 -70.378 * BM55)/(0.008314 * (EA55+273))</f>
        <v>-4.6537238153333451</v>
      </c>
      <c r="FG55" s="16"/>
      <c r="FH55" s="16"/>
      <c r="FI55" s="16"/>
      <c r="FJ55" s="16"/>
      <c r="FK55" s="16"/>
    </row>
    <row r="56" spans="1:167" x14ac:dyDescent="0.25">
      <c r="A56" s="35" t="s">
        <v>84</v>
      </c>
      <c r="B56" s="15">
        <v>229</v>
      </c>
      <c r="C56" s="102" t="s">
        <v>97</v>
      </c>
      <c r="D56" s="102" t="s">
        <v>104</v>
      </c>
      <c r="E56" s="15">
        <v>61</v>
      </c>
      <c r="F56" s="16">
        <v>54.76</v>
      </c>
      <c r="G56" s="16">
        <v>0</v>
      </c>
      <c r="H56" s="16">
        <v>28.6</v>
      </c>
      <c r="I56" s="16">
        <v>0</v>
      </c>
      <c r="J56" s="16">
        <v>0.54170790965535864</v>
      </c>
      <c r="K56" s="16">
        <v>0</v>
      </c>
      <c r="L56" s="16">
        <v>0</v>
      </c>
      <c r="M56" s="16">
        <v>10.64</v>
      </c>
      <c r="N56" s="16">
        <v>5.86</v>
      </c>
      <c r="O56" s="16">
        <v>0.20300000000000001</v>
      </c>
      <c r="P56" s="16">
        <v>0</v>
      </c>
      <c r="Q56" s="16"/>
      <c r="R56" s="16"/>
      <c r="S56" s="16">
        <f t="shared" si="0"/>
        <v>100.60470790965536</v>
      </c>
      <c r="T56" s="16"/>
      <c r="U56" s="15">
        <v>1</v>
      </c>
      <c r="V56" s="15">
        <v>6</v>
      </c>
      <c r="W56" s="15">
        <v>62.5</v>
      </c>
      <c r="X56" s="15" t="s">
        <v>258</v>
      </c>
      <c r="Y56" s="15"/>
      <c r="Z56" s="37">
        <v>8</v>
      </c>
      <c r="AA56" s="37">
        <v>5</v>
      </c>
      <c r="AB56" s="15"/>
      <c r="AC56" s="38">
        <f t="shared" si="1"/>
        <v>2.4647317030927298</v>
      </c>
      <c r="AD56" s="38">
        <f t="shared" si="2"/>
        <v>0</v>
      </c>
      <c r="AE56" s="38">
        <f t="shared" si="3"/>
        <v>1.5170585339055751</v>
      </c>
      <c r="AF56" s="38">
        <f t="shared" si="4"/>
        <v>0</v>
      </c>
      <c r="AG56" s="38">
        <f t="shared" si="5"/>
        <v>2.0387996027282404E-2</v>
      </c>
      <c r="AH56" s="38">
        <f t="shared" si="6"/>
        <v>0</v>
      </c>
      <c r="AI56" s="38">
        <f t="shared" si="7"/>
        <v>0</v>
      </c>
      <c r="AJ56" s="38">
        <f t="shared" si="8"/>
        <v>0.51306189259007251</v>
      </c>
      <c r="AK56" s="38">
        <f t="shared" si="9"/>
        <v>0.51134283581535045</v>
      </c>
      <c r="AL56" s="38">
        <f t="shared" si="10"/>
        <v>1.1654972862290294E-2</v>
      </c>
      <c r="AM56" s="38">
        <f t="shared" si="11"/>
        <v>0</v>
      </c>
      <c r="AN56" s="38">
        <f t="shared" si="12"/>
        <v>0</v>
      </c>
      <c r="AO56" s="38">
        <f t="shared" si="13"/>
        <v>0</v>
      </c>
      <c r="AP56" s="38">
        <f t="shared" si="14"/>
        <v>5.0382379342933001</v>
      </c>
      <c r="AQ56" s="38">
        <f t="shared" si="15"/>
        <v>3.9817902369983047</v>
      </c>
      <c r="AR56" s="38">
        <f t="shared" si="16"/>
        <v>1.0360597012677133</v>
      </c>
      <c r="AS56" s="40"/>
      <c r="AT56" s="38">
        <f t="shared" si="17"/>
        <v>2.4460255105423587</v>
      </c>
      <c r="AU56" s="38">
        <f t="shared" si="18"/>
        <v>0</v>
      </c>
      <c r="AV56" s="38">
        <f t="shared" si="19"/>
        <v>1.5055447496629284</v>
      </c>
      <c r="AW56" s="38">
        <f t="shared" si="20"/>
        <v>0</v>
      </c>
      <c r="AX56" s="38">
        <f t="shared" si="21"/>
        <v>0</v>
      </c>
      <c r="AY56" s="38">
        <f t="shared" si="22"/>
        <v>2.0233260410856494E-2</v>
      </c>
      <c r="AZ56" s="38">
        <f t="shared" si="23"/>
        <v>0</v>
      </c>
      <c r="BA56" s="38">
        <f t="shared" si="24"/>
        <v>0</v>
      </c>
      <c r="BB56" s="38">
        <f t="shared" si="25"/>
        <v>0.50916798619003523</v>
      </c>
      <c r="BC56" s="38">
        <f t="shared" si="26"/>
        <v>0.50746197627432532</v>
      </c>
      <c r="BD56" s="38">
        <f t="shared" si="27"/>
        <v>1.1566516919496285E-2</v>
      </c>
      <c r="BE56" s="38">
        <f t="shared" si="28"/>
        <v>0</v>
      </c>
      <c r="BF56" s="38">
        <f t="shared" si="29"/>
        <v>0</v>
      </c>
      <c r="BG56" s="38">
        <f t="shared" si="30"/>
        <v>0</v>
      </c>
      <c r="BH56" s="41">
        <f t="shared" si="31"/>
        <v>5.0000000000000009</v>
      </c>
      <c r="BI56" s="42">
        <f t="shared" si="32"/>
        <v>7.9494002689823411</v>
      </c>
      <c r="BJ56" s="38">
        <f t="shared" si="33"/>
        <v>3.9515702602052869</v>
      </c>
      <c r="BK56" s="38">
        <f t="shared" si="34"/>
        <v>1.0281964793838569</v>
      </c>
      <c r="BL56" s="16"/>
      <c r="BM56" s="16">
        <f t="shared" si="35"/>
        <v>0.49520495002584758</v>
      </c>
      <c r="BN56" s="16">
        <f t="shared" si="36"/>
        <v>0.49354572443043193</v>
      </c>
      <c r="BO56" s="16">
        <f t="shared" si="37"/>
        <v>1.1249325543720478E-2</v>
      </c>
      <c r="BP56" s="15"/>
      <c r="BQ56" s="38">
        <f t="shared" si="38"/>
        <v>0.91145139813581888</v>
      </c>
      <c r="BR56" s="38">
        <f t="shared" si="39"/>
        <v>0</v>
      </c>
      <c r="BS56" s="38">
        <f t="shared" si="40"/>
        <v>0.56100431541781093</v>
      </c>
      <c r="BT56" s="38">
        <f t="shared" si="41"/>
        <v>0</v>
      </c>
      <c r="BU56" s="38">
        <f t="shared" si="42"/>
        <v>7.5394281093299747E-3</v>
      </c>
      <c r="BV56" s="38">
        <f t="shared" si="43"/>
        <v>0</v>
      </c>
      <c r="BW56" s="38">
        <f t="shared" si="44"/>
        <v>0</v>
      </c>
      <c r="BX56" s="38">
        <f t="shared" si="45"/>
        <v>0.18972895863052783</v>
      </c>
      <c r="BY56" s="38">
        <f t="shared" si="46"/>
        <v>0.18909325588899648</v>
      </c>
      <c r="BZ56" s="38">
        <f t="shared" si="47"/>
        <v>4.3099787685774949E-3</v>
      </c>
      <c r="CA56" s="38">
        <f t="shared" si="48"/>
        <v>0</v>
      </c>
      <c r="CB56" s="38">
        <f t="shared" si="49"/>
        <v>0</v>
      </c>
      <c r="CC56" s="38">
        <f t="shared" si="50"/>
        <v>0</v>
      </c>
      <c r="CD56" s="38">
        <f t="shared" si="51"/>
        <v>1.8631273349510613</v>
      </c>
      <c r="CE56" s="38">
        <f t="shared" si="52"/>
        <v>2.9583792734669996</v>
      </c>
      <c r="CF56" s="38">
        <f t="shared" si="53"/>
        <v>2.6836598369865765</v>
      </c>
      <c r="CG56" s="38">
        <f t="shared" si="54"/>
        <v>7.9392836387769146</v>
      </c>
      <c r="CH56" s="15"/>
      <c r="CI56" s="16"/>
      <c r="CJ56" s="13"/>
      <c r="CK56" s="104"/>
      <c r="CL56" s="13"/>
      <c r="CM56" s="13"/>
      <c r="CN56" s="13"/>
      <c r="CO56" s="16"/>
      <c r="CP56" s="16"/>
      <c r="CQ56" s="16"/>
      <c r="CR56" s="16"/>
      <c r="CS56" s="16"/>
      <c r="CT56" s="16"/>
      <c r="CU56" s="16"/>
      <c r="CV56" s="16"/>
      <c r="CW56" s="16"/>
      <c r="CX56" s="16"/>
      <c r="CY56" s="104"/>
      <c r="CZ56" s="104"/>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3"/>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row>
    <row r="57" spans="1:167" x14ac:dyDescent="0.25">
      <c r="A57" s="35" t="s">
        <v>84</v>
      </c>
      <c r="B57" s="15">
        <v>230</v>
      </c>
      <c r="C57" s="102" t="s">
        <v>97</v>
      </c>
      <c r="D57" s="102" t="s">
        <v>104</v>
      </c>
      <c r="E57" s="15">
        <v>62</v>
      </c>
      <c r="F57" s="16">
        <v>49.22</v>
      </c>
      <c r="G57" s="16">
        <v>0</v>
      </c>
      <c r="H57" s="16">
        <v>32.549999999999997</v>
      </c>
      <c r="I57" s="16">
        <v>0</v>
      </c>
      <c r="J57" s="16">
        <v>0.52011158103122468</v>
      </c>
      <c r="K57" s="16">
        <v>0</v>
      </c>
      <c r="L57" s="16">
        <v>0</v>
      </c>
      <c r="M57" s="16">
        <v>14.88</v>
      </c>
      <c r="N57" s="16">
        <v>3.09</v>
      </c>
      <c r="O57" s="16">
        <v>8.2000000000000003E-2</v>
      </c>
      <c r="P57" s="16">
        <v>0</v>
      </c>
      <c r="Q57" s="16"/>
      <c r="R57" s="16"/>
      <c r="S57" s="16">
        <f t="shared" si="0"/>
        <v>100.34211158103122</v>
      </c>
      <c r="T57" s="16"/>
      <c r="U57" s="15">
        <v>1</v>
      </c>
      <c r="V57" s="15">
        <v>7</v>
      </c>
      <c r="W57" s="15">
        <v>75</v>
      </c>
      <c r="X57" s="15" t="s">
        <v>258</v>
      </c>
      <c r="Y57" s="15"/>
      <c r="Z57" s="37">
        <v>8</v>
      </c>
      <c r="AA57" s="37">
        <v>5</v>
      </c>
      <c r="AB57" s="15"/>
      <c r="AC57" s="38">
        <f t="shared" si="1"/>
        <v>2.2448726978894151</v>
      </c>
      <c r="AD57" s="38">
        <f t="shared" si="2"/>
        <v>0</v>
      </c>
      <c r="AE57" s="38">
        <f t="shared" si="3"/>
        <v>1.7495694814322464</v>
      </c>
      <c r="AF57" s="38">
        <f t="shared" si="4"/>
        <v>0</v>
      </c>
      <c r="AG57" s="38">
        <f t="shared" si="5"/>
        <v>1.9835802903820046E-2</v>
      </c>
      <c r="AH57" s="38">
        <f t="shared" si="6"/>
        <v>0</v>
      </c>
      <c r="AI57" s="38">
        <f t="shared" si="7"/>
        <v>0</v>
      </c>
      <c r="AJ57" s="38">
        <f t="shared" si="8"/>
        <v>0.72706787987296462</v>
      </c>
      <c r="AK57" s="38">
        <f t="shared" si="9"/>
        <v>0.27322279887616019</v>
      </c>
      <c r="AL57" s="38">
        <f t="shared" si="10"/>
        <v>4.7705997158708022E-3</v>
      </c>
      <c r="AM57" s="38">
        <f t="shared" si="11"/>
        <v>0</v>
      </c>
      <c r="AN57" s="38">
        <f t="shared" si="12"/>
        <v>0</v>
      </c>
      <c r="AO57" s="38">
        <f t="shared" si="13"/>
        <v>0</v>
      </c>
      <c r="AP57" s="38">
        <f t="shared" si="14"/>
        <v>5.0193392606904776</v>
      </c>
      <c r="AQ57" s="38">
        <f t="shared" si="15"/>
        <v>3.9944421793216618</v>
      </c>
      <c r="AR57" s="38">
        <f t="shared" si="16"/>
        <v>1.0050612784649957</v>
      </c>
      <c r="AS57" s="40"/>
      <c r="AT57" s="38">
        <f t="shared" si="17"/>
        <v>2.2362233167524552</v>
      </c>
      <c r="AU57" s="38">
        <f t="shared" si="18"/>
        <v>0</v>
      </c>
      <c r="AV57" s="38">
        <f t="shared" si="19"/>
        <v>1.7428284785750561</v>
      </c>
      <c r="AW57" s="38">
        <f t="shared" si="20"/>
        <v>0</v>
      </c>
      <c r="AX57" s="38">
        <f t="shared" si="21"/>
        <v>0</v>
      </c>
      <c r="AY57" s="38">
        <f t="shared" si="22"/>
        <v>1.9759376556956785E-2</v>
      </c>
      <c r="AZ57" s="38">
        <f t="shared" si="23"/>
        <v>0</v>
      </c>
      <c r="BA57" s="38">
        <f t="shared" si="24"/>
        <v>0</v>
      </c>
      <c r="BB57" s="38">
        <f t="shared" si="25"/>
        <v>0.7242665240493692</v>
      </c>
      <c r="BC57" s="38">
        <f t="shared" si="26"/>
        <v>0.27217008523007735</v>
      </c>
      <c r="BD57" s="38">
        <f t="shared" si="27"/>
        <v>4.7522188360849529E-3</v>
      </c>
      <c r="BE57" s="38">
        <f t="shared" si="28"/>
        <v>0</v>
      </c>
      <c r="BF57" s="38">
        <f t="shared" si="29"/>
        <v>0</v>
      </c>
      <c r="BG57" s="38">
        <f t="shared" si="30"/>
        <v>0</v>
      </c>
      <c r="BH57" s="41">
        <f t="shared" si="31"/>
        <v>5</v>
      </c>
      <c r="BI57" s="42">
        <f t="shared" si="32"/>
        <v>7.9790560922853793</v>
      </c>
      <c r="BJ57" s="38">
        <f t="shared" si="33"/>
        <v>3.9790517953275115</v>
      </c>
      <c r="BK57" s="38">
        <f t="shared" si="34"/>
        <v>1.0011888281155314</v>
      </c>
      <c r="BL57" s="16"/>
      <c r="BM57" s="16">
        <f t="shared" si="35"/>
        <v>0.72340651804176237</v>
      </c>
      <c r="BN57" s="16">
        <f t="shared" si="36"/>
        <v>0.27184690598512196</v>
      </c>
      <c r="BO57" s="16">
        <f t="shared" si="37"/>
        <v>4.7465759731156057E-3</v>
      </c>
      <c r="BP57" s="15"/>
      <c r="BQ57" s="38">
        <f t="shared" si="38"/>
        <v>0.81924101198402133</v>
      </c>
      <c r="BR57" s="38">
        <f t="shared" si="39"/>
        <v>0</v>
      </c>
      <c r="BS57" s="38">
        <f t="shared" si="40"/>
        <v>0.63848568065908196</v>
      </c>
      <c r="BT57" s="38">
        <f t="shared" si="41"/>
        <v>0</v>
      </c>
      <c r="BU57" s="38">
        <f t="shared" si="42"/>
        <v>7.2388529023134961E-3</v>
      </c>
      <c r="BV57" s="38">
        <f t="shared" si="43"/>
        <v>0</v>
      </c>
      <c r="BW57" s="38">
        <f t="shared" si="44"/>
        <v>0</v>
      </c>
      <c r="BX57" s="38">
        <f t="shared" si="45"/>
        <v>0.26533523537803139</v>
      </c>
      <c r="BY57" s="38">
        <f t="shared" si="46"/>
        <v>9.9709583736689256E-2</v>
      </c>
      <c r="BZ57" s="38">
        <f t="shared" si="47"/>
        <v>1.7409766454352441E-3</v>
      </c>
      <c r="CA57" s="38">
        <f t="shared" si="48"/>
        <v>0</v>
      </c>
      <c r="CB57" s="38">
        <f t="shared" si="49"/>
        <v>0</v>
      </c>
      <c r="CC57" s="38">
        <f t="shared" si="50"/>
        <v>0</v>
      </c>
      <c r="CD57" s="38">
        <f t="shared" si="51"/>
        <v>1.8317513413055728</v>
      </c>
      <c r="CE57" s="38">
        <f t="shared" si="52"/>
        <v>2.9195099134280724</v>
      </c>
      <c r="CF57" s="38">
        <f t="shared" si="53"/>
        <v>2.7296281363366011</v>
      </c>
      <c r="CG57" s="38">
        <f t="shared" si="54"/>
        <v>7.9691764040069009</v>
      </c>
      <c r="CH57" s="15"/>
      <c r="CI57" s="16">
        <v>0.57450174647351138</v>
      </c>
      <c r="CJ57" s="13">
        <v>20190.615439085992</v>
      </c>
      <c r="CK57" s="104">
        <v>187.29607297257743</v>
      </c>
      <c r="CL57" s="13">
        <v>168541.70925868955</v>
      </c>
      <c r="CM57" s="13">
        <v>236391.13129254596</v>
      </c>
      <c r="CN57" s="13">
        <v>96706.755245129811</v>
      </c>
      <c r="CO57" s="16">
        <v>0.38440869983120796</v>
      </c>
      <c r="CP57" s="16">
        <v>135.96062327929985</v>
      </c>
      <c r="CQ57" s="16">
        <v>1.1087548287706661</v>
      </c>
      <c r="CR57" s="16"/>
      <c r="CS57" s="16">
        <v>34.147351399895506</v>
      </c>
      <c r="CT57" s="16">
        <v>0.16429640390050426</v>
      </c>
      <c r="CU57" s="16">
        <v>21.873676311742098</v>
      </c>
      <c r="CV57" s="16"/>
      <c r="CW57" s="16">
        <v>10.688476139587467</v>
      </c>
      <c r="CX57" s="16">
        <v>0.28602745045408784</v>
      </c>
      <c r="CY57" s="104">
        <v>530.58559214530294</v>
      </c>
      <c r="CZ57" s="104">
        <v>537.08231152391852</v>
      </c>
      <c r="DA57" s="16">
        <v>0.40688444615755254</v>
      </c>
      <c r="DB57" s="16">
        <v>0.25165394947986941</v>
      </c>
      <c r="DC57" s="16">
        <v>9.9489163529562344E-2</v>
      </c>
      <c r="DD57" s="16"/>
      <c r="DE57" s="16">
        <v>59.003470624718744</v>
      </c>
      <c r="DF57" s="16">
        <v>2.5467972726650872</v>
      </c>
      <c r="DG57" s="16">
        <v>4.130534342935352</v>
      </c>
      <c r="DH57" s="16">
        <v>0.33040054202825475</v>
      </c>
      <c r="DI57" s="16">
        <v>0.95808591187571146</v>
      </c>
      <c r="DJ57" s="16">
        <v>0.32849917456694616</v>
      </c>
      <c r="DK57" s="16">
        <v>0.3483881538158512</v>
      </c>
      <c r="DL57" s="16">
        <v>0.33153862447981192</v>
      </c>
      <c r="DM57" s="16">
        <v>2.3385142229806397E-2</v>
      </c>
      <c r="DN57" s="16">
        <v>9.5366629447859216E-2</v>
      </c>
      <c r="DO57" s="16">
        <v>2.751564725474373E-2</v>
      </c>
      <c r="DP57" s="16">
        <v>2.6655287881334037E-2</v>
      </c>
      <c r="DQ57" s="16"/>
      <c r="DR57" s="16"/>
      <c r="DS57" s="16"/>
      <c r="DT57" s="16"/>
      <c r="DU57" s="16">
        <v>9.3248059904990424E-2</v>
      </c>
      <c r="DV57" s="16">
        <v>1.8794471220701485</v>
      </c>
      <c r="DW57" s="16">
        <v>7.9356994786115628E-3</v>
      </c>
      <c r="DX57" s="16">
        <v>1.5627874249656292E-2</v>
      </c>
      <c r="DY57" s="16">
        <f>(DK57/0.05883)/SQRT((DJ57/0.1536)*(DL57/0.2069))</f>
        <v>3.1989406094057062</v>
      </c>
      <c r="DZ57" s="16"/>
      <c r="EA57" s="13">
        <f>1128+200*((BM57-0.4)/0.4) -273</f>
        <v>1016.7032590208812</v>
      </c>
      <c r="EB57" s="16"/>
      <c r="EC57" s="16">
        <f>(-18.482 -16.353 * BM57)/(0.008314 * (EA57+273))</f>
        <v>-2.8269157548879034</v>
      </c>
      <c r="ED57" s="16"/>
      <c r="EE57" s="16"/>
      <c r="EF57" s="16"/>
      <c r="EG57" s="16"/>
      <c r="EH57" s="16"/>
      <c r="EI57" s="16"/>
      <c r="EJ57" s="16"/>
      <c r="EK57" s="16"/>
      <c r="EL57" s="16">
        <f>(23.856 -20.71 * BM57)/(0.008314 * (EA57+273))</f>
        <v>0.82762174203962602</v>
      </c>
      <c r="EM57" s="16"/>
      <c r="EN57" s="16">
        <f>(-4.5269  -51.811 * BM57)/(0.008314 * (EA57+273)) +N("eqn50a")</f>
        <v>-3.917645248276906</v>
      </c>
      <c r="EO57" s="16" t="e">
        <f>(-187.27 + 2.26018 *#REF!)/(0.008314 * (EA57+273)) +N("fsp eqn35 from SiO2")</f>
        <v>#REF!</v>
      </c>
      <c r="EP57" s="16"/>
      <c r="EQ57" s="16"/>
      <c r="ER57" s="16">
        <f>(10.146 -35.204 * BM57)/(0.008314 * (EA57+273))</f>
        <v>-1.4288337914584552</v>
      </c>
      <c r="ES57" s="16">
        <f>(2.1146 -37.009 * BM57)/(0.008314 * (EA57+273))</f>
        <v>-2.299625852302646</v>
      </c>
      <c r="ET57" s="16">
        <f>(-3.6812 -33.822 * BM57)/(0.008314 * (EA57+273))</f>
        <v>-2.6251351261337756</v>
      </c>
      <c r="EU57" s="16">
        <f>(-6.8025 -26.094 * BM57)/(0.008314 * (EA57+273))</f>
        <v>-2.3948563497696105</v>
      </c>
      <c r="EV57" s="16">
        <f>(-5.6996 -30.85 * BM57)/(0.008314 * (EA57+273))</f>
        <v>-2.6128653166854154</v>
      </c>
      <c r="EW57" s="16">
        <f>(-8.6767 -33.32 * BM57)/(0.008314 * (EA57+273))</f>
        <v>-3.0571528268045975</v>
      </c>
      <c r="EX57" s="16"/>
      <c r="EY57" s="16">
        <f>(-1.9714 -59.897 * BM57)/(0.008314 * (EA57+273))</f>
        <v>-4.2248438090157183</v>
      </c>
      <c r="EZ57" s="16">
        <f>(-4.3691 -44.528 * BM57)/(0.008314 * (EA57+273))</f>
        <v>-3.4115764528108707</v>
      </c>
      <c r="FA57" s="16">
        <f>(-2.2521 -58.215 * BM57)/(0.008314 * (EA57+273))</f>
        <v>-4.1375449837717682</v>
      </c>
      <c r="FB57" s="16"/>
      <c r="FC57" s="16">
        <f>(-8.5 - 57.253 * BM57)/(0.008314 * (EA57+273))</f>
        <v>-4.6553286004540775</v>
      </c>
      <c r="FD57" s="16"/>
      <c r="FE57" s="16">
        <f>(-9.2954 -52.923 * BM57)/(0.008314 * (EA57+273))</f>
        <v>-4.4373822281636892</v>
      </c>
      <c r="FF57" s="16">
        <f>(0.61501 -70.378 * BM57)/(0.008314 * (EA57+273))</f>
        <v>-4.6907398627297807</v>
      </c>
      <c r="FG57" s="16"/>
      <c r="FH57" s="16"/>
      <c r="FI57" s="16"/>
      <c r="FJ57" s="16"/>
      <c r="FK57" s="16"/>
    </row>
    <row r="58" spans="1:167" x14ac:dyDescent="0.25">
      <c r="A58" s="35" t="s">
        <v>84</v>
      </c>
      <c r="B58" s="15">
        <v>231</v>
      </c>
      <c r="C58" s="102" t="s">
        <v>97</v>
      </c>
      <c r="D58" s="102" t="s">
        <v>104</v>
      </c>
      <c r="E58" s="15">
        <v>63</v>
      </c>
      <c r="F58" s="16">
        <v>49.17</v>
      </c>
      <c r="G58" s="16">
        <v>0</v>
      </c>
      <c r="H58" s="16">
        <v>32.54</v>
      </c>
      <c r="I58" s="16">
        <v>0</v>
      </c>
      <c r="J58" s="16">
        <v>0.55880500314946457</v>
      </c>
      <c r="K58" s="16">
        <v>0</v>
      </c>
      <c r="L58" s="16">
        <v>0</v>
      </c>
      <c r="M58" s="16">
        <v>14.88</v>
      </c>
      <c r="N58" s="16">
        <v>3.04</v>
      </c>
      <c r="O58" s="16">
        <v>7.1999999999999995E-2</v>
      </c>
      <c r="P58" s="16">
        <v>0</v>
      </c>
      <c r="Q58" s="16"/>
      <c r="R58" s="16"/>
      <c r="S58" s="16">
        <f t="shared" si="0"/>
        <v>100.26080500314947</v>
      </c>
      <c r="T58" s="16"/>
      <c r="U58" s="15">
        <v>1</v>
      </c>
      <c r="V58" s="15">
        <v>8</v>
      </c>
      <c r="W58" s="15">
        <v>87.5</v>
      </c>
      <c r="X58" s="15" t="s">
        <v>258</v>
      </c>
      <c r="Y58" s="15"/>
      <c r="Z58" s="37">
        <v>8</v>
      </c>
      <c r="AA58" s="37">
        <v>5</v>
      </c>
      <c r="AB58" s="15"/>
      <c r="AC58" s="38">
        <f t="shared" si="1"/>
        <v>2.2443857684261719</v>
      </c>
      <c r="AD58" s="38">
        <f t="shared" si="2"/>
        <v>0</v>
      </c>
      <c r="AE58" s="38">
        <f t="shared" si="3"/>
        <v>1.7504307715641934</v>
      </c>
      <c r="AF58" s="38">
        <f t="shared" si="4"/>
        <v>0</v>
      </c>
      <c r="AG58" s="38">
        <f t="shared" si="5"/>
        <v>2.1328520724004991E-2</v>
      </c>
      <c r="AH58" s="38">
        <f t="shared" si="6"/>
        <v>0</v>
      </c>
      <c r="AI58" s="38">
        <f t="shared" si="7"/>
        <v>0</v>
      </c>
      <c r="AJ58" s="38">
        <f t="shared" si="8"/>
        <v>0.72764935405245634</v>
      </c>
      <c r="AK58" s="38">
        <f t="shared" si="9"/>
        <v>0.26901669276942386</v>
      </c>
      <c r="AL58" s="38">
        <f t="shared" si="10"/>
        <v>4.1921692803843997E-3</v>
      </c>
      <c r="AM58" s="38">
        <f t="shared" si="11"/>
        <v>0</v>
      </c>
      <c r="AN58" s="38">
        <f t="shared" si="12"/>
        <v>0</v>
      </c>
      <c r="AO58" s="38">
        <f t="shared" si="13"/>
        <v>0</v>
      </c>
      <c r="AP58" s="38">
        <f t="shared" si="14"/>
        <v>5.0170032768166344</v>
      </c>
      <c r="AQ58" s="38">
        <f t="shared" si="15"/>
        <v>3.9948165399903655</v>
      </c>
      <c r="AR58" s="38">
        <f t="shared" si="16"/>
        <v>1.0008582161022646</v>
      </c>
      <c r="AS58" s="40"/>
      <c r="AT58" s="38">
        <f t="shared" si="17"/>
        <v>2.2367792530626662</v>
      </c>
      <c r="AU58" s="38">
        <f t="shared" si="18"/>
        <v>0</v>
      </c>
      <c r="AV58" s="38">
        <f t="shared" si="19"/>
        <v>1.7444983339485365</v>
      </c>
      <c r="AW58" s="38">
        <f t="shared" si="20"/>
        <v>0</v>
      </c>
      <c r="AX58" s="38">
        <f t="shared" si="21"/>
        <v>0</v>
      </c>
      <c r="AY58" s="38">
        <f t="shared" si="22"/>
        <v>2.1256235592433448E-2</v>
      </c>
      <c r="AZ58" s="38">
        <f t="shared" si="23"/>
        <v>0</v>
      </c>
      <c r="BA58" s="38">
        <f t="shared" si="24"/>
        <v>0</v>
      </c>
      <c r="BB58" s="38">
        <f t="shared" si="25"/>
        <v>0.72518325572448217</v>
      </c>
      <c r="BC58" s="38">
        <f t="shared" si="26"/>
        <v>0.26810496019858998</v>
      </c>
      <c r="BD58" s="38">
        <f t="shared" si="27"/>
        <v>4.1779614732924747E-3</v>
      </c>
      <c r="BE58" s="38">
        <f t="shared" si="28"/>
        <v>0</v>
      </c>
      <c r="BF58" s="38">
        <f t="shared" si="29"/>
        <v>0</v>
      </c>
      <c r="BG58" s="38">
        <f t="shared" si="30"/>
        <v>0</v>
      </c>
      <c r="BH58" s="41">
        <f t="shared" si="31"/>
        <v>5.0000000000000009</v>
      </c>
      <c r="BI58" s="42">
        <f t="shared" si="32"/>
        <v>7.983515076997211</v>
      </c>
      <c r="BJ58" s="38">
        <f t="shared" si="33"/>
        <v>3.9812775870112027</v>
      </c>
      <c r="BK58" s="38">
        <f t="shared" si="34"/>
        <v>0.99746617739636467</v>
      </c>
      <c r="BL58" s="16"/>
      <c r="BM58" s="16">
        <f t="shared" si="35"/>
        <v>0.72702540913957725</v>
      </c>
      <c r="BN58" s="16">
        <f t="shared" si="36"/>
        <v>0.26878601628218696</v>
      </c>
      <c r="BO58" s="16">
        <f t="shared" si="37"/>
        <v>4.1885745782358217E-3</v>
      </c>
      <c r="BP58" s="15"/>
      <c r="BQ58" s="38">
        <f t="shared" si="38"/>
        <v>0.81840878828229036</v>
      </c>
      <c r="BR58" s="38">
        <f t="shared" si="39"/>
        <v>0</v>
      </c>
      <c r="BS58" s="38">
        <f t="shared" si="40"/>
        <v>0.63828952530404082</v>
      </c>
      <c r="BT58" s="38">
        <f t="shared" si="41"/>
        <v>0</v>
      </c>
      <c r="BU58" s="38">
        <f t="shared" si="42"/>
        <v>7.7773834815513514E-3</v>
      </c>
      <c r="BV58" s="38">
        <f t="shared" si="43"/>
        <v>0</v>
      </c>
      <c r="BW58" s="38">
        <f t="shared" si="44"/>
        <v>0</v>
      </c>
      <c r="BX58" s="38">
        <f t="shared" si="45"/>
        <v>0.26533523537803139</v>
      </c>
      <c r="BY58" s="38">
        <f t="shared" si="46"/>
        <v>9.8096160051629563E-2</v>
      </c>
      <c r="BZ58" s="38">
        <f t="shared" si="47"/>
        <v>1.5286624203821654E-3</v>
      </c>
      <c r="CA58" s="38">
        <f t="shared" si="48"/>
        <v>0</v>
      </c>
      <c r="CB58" s="38">
        <f t="shared" si="49"/>
        <v>0</v>
      </c>
      <c r="CC58" s="38">
        <f t="shared" si="50"/>
        <v>0</v>
      </c>
      <c r="CD58" s="38">
        <f t="shared" si="51"/>
        <v>1.8294357549179254</v>
      </c>
      <c r="CE58" s="38">
        <f t="shared" si="52"/>
        <v>2.9171768946162309</v>
      </c>
      <c r="CF58" s="38">
        <f t="shared" si="53"/>
        <v>2.7330831304454946</v>
      </c>
      <c r="CG58" s="38">
        <f t="shared" si="54"/>
        <v>7.972886959200995</v>
      </c>
      <c r="CH58" s="15"/>
      <c r="CI58" s="16"/>
      <c r="CJ58" s="13"/>
      <c r="CK58" s="104"/>
      <c r="CL58" s="13"/>
      <c r="CM58" s="13"/>
      <c r="CN58" s="13"/>
      <c r="CO58" s="16"/>
      <c r="CP58" s="16"/>
      <c r="CQ58" s="16"/>
      <c r="CR58" s="16"/>
      <c r="CS58" s="16"/>
      <c r="CT58" s="16"/>
      <c r="CU58" s="16"/>
      <c r="CV58" s="16"/>
      <c r="CW58" s="16"/>
      <c r="CX58" s="16"/>
      <c r="CY58" s="104"/>
      <c r="CZ58" s="104"/>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3"/>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row>
    <row r="59" spans="1:167" x14ac:dyDescent="0.25">
      <c r="A59" s="35" t="s">
        <v>84</v>
      </c>
      <c r="B59" s="15">
        <v>232</v>
      </c>
      <c r="C59" s="102" t="s">
        <v>97</v>
      </c>
      <c r="D59" s="102" t="s">
        <v>104</v>
      </c>
      <c r="E59" s="15">
        <v>64</v>
      </c>
      <c r="F59" s="16">
        <v>48.38</v>
      </c>
      <c r="G59" s="16">
        <v>0</v>
      </c>
      <c r="H59" s="16">
        <v>32.729999999999997</v>
      </c>
      <c r="I59" s="16">
        <v>0</v>
      </c>
      <c r="J59" s="16">
        <v>0.46162152434086207</v>
      </c>
      <c r="K59" s="16">
        <v>0</v>
      </c>
      <c r="L59" s="16">
        <v>0</v>
      </c>
      <c r="M59" s="16">
        <v>15.09</v>
      </c>
      <c r="N59" s="16">
        <v>2.93</v>
      </c>
      <c r="O59" s="16">
        <v>8.3000000000000004E-2</v>
      </c>
      <c r="P59" s="16">
        <v>0</v>
      </c>
      <c r="Q59" s="16"/>
      <c r="R59" s="16"/>
      <c r="S59" s="16">
        <f t="shared" si="0"/>
        <v>99.674621524340864</v>
      </c>
      <c r="T59" s="16"/>
      <c r="U59" s="15">
        <v>1</v>
      </c>
      <c r="V59" s="15">
        <v>9</v>
      </c>
      <c r="W59" s="15">
        <v>100</v>
      </c>
      <c r="X59" s="15" t="s">
        <v>258</v>
      </c>
      <c r="Y59" s="15"/>
      <c r="Z59" s="37">
        <v>8</v>
      </c>
      <c r="AA59" s="37">
        <v>5</v>
      </c>
      <c r="AB59" s="15"/>
      <c r="AC59" s="38">
        <f t="shared" si="1"/>
        <v>2.2235504239323833</v>
      </c>
      <c r="AD59" s="38">
        <f t="shared" si="2"/>
        <v>0</v>
      </c>
      <c r="AE59" s="38">
        <f t="shared" si="3"/>
        <v>1.7727896871376572</v>
      </c>
      <c r="AF59" s="38">
        <f t="shared" si="4"/>
        <v>0</v>
      </c>
      <c r="AG59" s="38">
        <f t="shared" si="5"/>
        <v>1.7740682387017235E-2</v>
      </c>
      <c r="AH59" s="38">
        <f t="shared" si="6"/>
        <v>0</v>
      </c>
      <c r="AI59" s="38">
        <f t="shared" si="7"/>
        <v>0</v>
      </c>
      <c r="AJ59" s="38">
        <f t="shared" si="8"/>
        <v>0.74300592547326194</v>
      </c>
      <c r="AK59" s="38">
        <f t="shared" si="9"/>
        <v>0.26107007057490222</v>
      </c>
      <c r="AL59" s="38">
        <f t="shared" si="10"/>
        <v>4.8659565620359424E-3</v>
      </c>
      <c r="AM59" s="38">
        <f t="shared" si="11"/>
        <v>0</v>
      </c>
      <c r="AN59" s="38">
        <f t="shared" si="12"/>
        <v>0</v>
      </c>
      <c r="AO59" s="38">
        <f t="shared" si="13"/>
        <v>0</v>
      </c>
      <c r="AP59" s="38">
        <f t="shared" si="14"/>
        <v>5.0230227460672578</v>
      </c>
      <c r="AQ59" s="38">
        <f t="shared" si="15"/>
        <v>3.9963401110700403</v>
      </c>
      <c r="AR59" s="38">
        <f t="shared" si="16"/>
        <v>1.0089419526102001</v>
      </c>
      <c r="AS59" s="40"/>
      <c r="AT59" s="38">
        <f t="shared" si="17"/>
        <v>2.213358903932197</v>
      </c>
      <c r="AU59" s="38">
        <f t="shared" si="18"/>
        <v>0</v>
      </c>
      <c r="AV59" s="38">
        <f t="shared" si="19"/>
        <v>1.7646642039652833</v>
      </c>
      <c r="AW59" s="38">
        <f t="shared" si="20"/>
        <v>0</v>
      </c>
      <c r="AX59" s="38">
        <f t="shared" si="21"/>
        <v>0</v>
      </c>
      <c r="AY59" s="38">
        <f t="shared" si="22"/>
        <v>1.7659368953591926E-2</v>
      </c>
      <c r="AZ59" s="38">
        <f t="shared" si="23"/>
        <v>0</v>
      </c>
      <c r="BA59" s="38">
        <f t="shared" si="24"/>
        <v>0</v>
      </c>
      <c r="BB59" s="38">
        <f t="shared" si="25"/>
        <v>0.73960039903760511</v>
      </c>
      <c r="BC59" s="38">
        <f t="shared" si="26"/>
        <v>0.2598734703912155</v>
      </c>
      <c r="BD59" s="38">
        <f t="shared" si="27"/>
        <v>4.8436537201087849E-3</v>
      </c>
      <c r="BE59" s="38">
        <f t="shared" si="28"/>
        <v>0</v>
      </c>
      <c r="BF59" s="38">
        <f t="shared" si="29"/>
        <v>0</v>
      </c>
      <c r="BG59" s="38">
        <f t="shared" si="30"/>
        <v>0</v>
      </c>
      <c r="BH59" s="41">
        <f t="shared" si="31"/>
        <v>5.0000000000000018</v>
      </c>
      <c r="BI59" s="42">
        <f t="shared" si="32"/>
        <v>7.9721621283359747</v>
      </c>
      <c r="BJ59" s="38">
        <f t="shared" si="33"/>
        <v>3.9780231078974806</v>
      </c>
      <c r="BK59" s="38">
        <f t="shared" si="34"/>
        <v>1.0043175231489294</v>
      </c>
      <c r="BL59" s="16"/>
      <c r="BM59" s="16">
        <f t="shared" si="35"/>
        <v>0.73642088482003953</v>
      </c>
      <c r="BN59" s="16">
        <f t="shared" si="36"/>
        <v>0.2587562841444907</v>
      </c>
      <c r="BO59" s="16">
        <f t="shared" si="37"/>
        <v>4.8228310354697691E-3</v>
      </c>
      <c r="BP59" s="15"/>
      <c r="BQ59" s="38">
        <f t="shared" si="38"/>
        <v>0.80525965379494013</v>
      </c>
      <c r="BR59" s="38">
        <f t="shared" si="39"/>
        <v>0</v>
      </c>
      <c r="BS59" s="38">
        <f t="shared" si="40"/>
        <v>0.64201647704982345</v>
      </c>
      <c r="BT59" s="38">
        <f t="shared" si="41"/>
        <v>0</v>
      </c>
      <c r="BU59" s="38">
        <f t="shared" si="42"/>
        <v>6.4247950499772043E-3</v>
      </c>
      <c r="BV59" s="38">
        <f t="shared" si="43"/>
        <v>0</v>
      </c>
      <c r="BW59" s="38">
        <f t="shared" si="44"/>
        <v>0</v>
      </c>
      <c r="BX59" s="38">
        <f t="shared" si="45"/>
        <v>0.26907988587731813</v>
      </c>
      <c r="BY59" s="38">
        <f t="shared" si="46"/>
        <v>9.4546627944498238E-2</v>
      </c>
      <c r="BZ59" s="38">
        <f t="shared" si="47"/>
        <v>1.762208067940552E-3</v>
      </c>
      <c r="CA59" s="38">
        <f t="shared" si="48"/>
        <v>0</v>
      </c>
      <c r="CB59" s="38">
        <f t="shared" si="49"/>
        <v>0</v>
      </c>
      <c r="CC59" s="38">
        <f t="shared" si="50"/>
        <v>0</v>
      </c>
      <c r="CD59" s="38">
        <f t="shared" si="51"/>
        <v>1.8190896477844973</v>
      </c>
      <c r="CE59" s="38">
        <f t="shared" si="52"/>
        <v>2.89720312209813</v>
      </c>
      <c r="CF59" s="38">
        <f t="shared" si="53"/>
        <v>2.7486275929773951</v>
      </c>
      <c r="CG59" s="38">
        <f t="shared" si="54"/>
        <v>7.9633324438591773</v>
      </c>
      <c r="CH59" s="15"/>
      <c r="CI59" s="16"/>
      <c r="CJ59" s="13"/>
      <c r="CK59" s="104"/>
      <c r="CL59" s="13"/>
      <c r="CM59" s="13"/>
      <c r="CN59" s="13"/>
      <c r="CO59" s="16"/>
      <c r="CP59" s="16"/>
      <c r="CQ59" s="16"/>
      <c r="CR59" s="16"/>
      <c r="CS59" s="16"/>
      <c r="CT59" s="16"/>
      <c r="CU59" s="16"/>
      <c r="CV59" s="16"/>
      <c r="CW59" s="16"/>
      <c r="CX59" s="16"/>
      <c r="CY59" s="104"/>
      <c r="CZ59" s="104"/>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3"/>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row>
    <row r="60" spans="1:167" x14ac:dyDescent="0.25">
      <c r="A60" s="35" t="s">
        <v>84</v>
      </c>
      <c r="B60" s="15">
        <v>233</v>
      </c>
      <c r="C60" s="102" t="s">
        <v>97</v>
      </c>
      <c r="D60" s="102" t="s">
        <v>104</v>
      </c>
      <c r="E60" s="15">
        <v>65</v>
      </c>
      <c r="F60" s="16">
        <v>48.75</v>
      </c>
      <c r="G60" s="16">
        <v>0</v>
      </c>
      <c r="H60" s="16">
        <v>32.75</v>
      </c>
      <c r="I60" s="16">
        <v>0</v>
      </c>
      <c r="J60" s="16">
        <v>0.54530729775938092</v>
      </c>
      <c r="K60" s="16">
        <v>0</v>
      </c>
      <c r="L60" s="16">
        <v>0</v>
      </c>
      <c r="M60" s="16">
        <v>15.19</v>
      </c>
      <c r="N60" s="16">
        <v>3.05</v>
      </c>
      <c r="O60" s="16">
        <v>5.8000000000000003E-2</v>
      </c>
      <c r="P60" s="16">
        <v>0</v>
      </c>
      <c r="Q60" s="16"/>
      <c r="R60" s="16"/>
      <c r="S60" s="16">
        <f t="shared" si="0"/>
        <v>100.34330729775938</v>
      </c>
      <c r="T60" s="16"/>
      <c r="U60" s="15">
        <v>1</v>
      </c>
      <c r="V60" s="15">
        <v>10</v>
      </c>
      <c r="W60" s="15">
        <v>112.5</v>
      </c>
      <c r="X60" s="15" t="s">
        <v>258</v>
      </c>
      <c r="Y60" s="15"/>
      <c r="Z60" s="37">
        <v>8</v>
      </c>
      <c r="AA60" s="37">
        <v>5</v>
      </c>
      <c r="AB60" s="15"/>
      <c r="AC60" s="38">
        <f t="shared" si="1"/>
        <v>2.2270849474357348</v>
      </c>
      <c r="AD60" s="38">
        <f t="shared" si="2"/>
        <v>0</v>
      </c>
      <c r="AE60" s="38">
        <f t="shared" si="3"/>
        <v>1.7632080491187094</v>
      </c>
      <c r="AF60" s="38">
        <f t="shared" si="4"/>
        <v>0</v>
      </c>
      <c r="AG60" s="38">
        <f t="shared" si="5"/>
        <v>2.0830832361714183E-2</v>
      </c>
      <c r="AH60" s="38">
        <f t="shared" si="6"/>
        <v>0</v>
      </c>
      <c r="AI60" s="38">
        <f t="shared" si="7"/>
        <v>0</v>
      </c>
      <c r="AJ60" s="38">
        <f t="shared" si="8"/>
        <v>0.74343303512237202</v>
      </c>
      <c r="AK60" s="38">
        <f t="shared" si="9"/>
        <v>0.27012846434030086</v>
      </c>
      <c r="AL60" s="38">
        <f t="shared" si="10"/>
        <v>3.3798635924579276E-3</v>
      </c>
      <c r="AM60" s="38">
        <f t="shared" si="11"/>
        <v>0</v>
      </c>
      <c r="AN60" s="38">
        <f t="shared" si="12"/>
        <v>0</v>
      </c>
      <c r="AO60" s="38">
        <f t="shared" si="13"/>
        <v>0</v>
      </c>
      <c r="AP60" s="38">
        <f t="shared" si="14"/>
        <v>5.0280651919712893</v>
      </c>
      <c r="AQ60" s="38">
        <f t="shared" si="15"/>
        <v>3.9902929965544445</v>
      </c>
      <c r="AR60" s="38">
        <f t="shared" si="16"/>
        <v>1.0169413630551309</v>
      </c>
      <c r="AS60" s="40"/>
      <c r="AT60" s="38">
        <f t="shared" si="17"/>
        <v>2.2146540094506912</v>
      </c>
      <c r="AU60" s="38">
        <f t="shared" si="18"/>
        <v>0</v>
      </c>
      <c r="AV60" s="38">
        <f t="shared" si="19"/>
        <v>1.7533663365524412</v>
      </c>
      <c r="AW60" s="38">
        <f t="shared" si="20"/>
        <v>0</v>
      </c>
      <c r="AX60" s="38">
        <f t="shared" si="21"/>
        <v>0</v>
      </c>
      <c r="AY60" s="38">
        <f t="shared" si="22"/>
        <v>2.0714560736977344E-2</v>
      </c>
      <c r="AZ60" s="38">
        <f t="shared" si="23"/>
        <v>0</v>
      </c>
      <c r="BA60" s="38">
        <f t="shared" si="24"/>
        <v>0</v>
      </c>
      <c r="BB60" s="38">
        <f t="shared" si="25"/>
        <v>0.73928340896362132</v>
      </c>
      <c r="BC60" s="38">
        <f t="shared" si="26"/>
        <v>0.26862068611564188</v>
      </c>
      <c r="BD60" s="38">
        <f t="shared" si="27"/>
        <v>3.3609981806270372E-3</v>
      </c>
      <c r="BE60" s="38">
        <f t="shared" si="28"/>
        <v>0</v>
      </c>
      <c r="BF60" s="38">
        <f t="shared" si="29"/>
        <v>0</v>
      </c>
      <c r="BG60" s="38">
        <f t="shared" si="30"/>
        <v>0</v>
      </c>
      <c r="BH60" s="41">
        <f t="shared" si="31"/>
        <v>5</v>
      </c>
      <c r="BI60" s="42">
        <f t="shared" si="32"/>
        <v>7.9657036159472669</v>
      </c>
      <c r="BJ60" s="38">
        <f t="shared" si="33"/>
        <v>3.9680203460031325</v>
      </c>
      <c r="BK60" s="38">
        <f t="shared" si="34"/>
        <v>1.0112650932598903</v>
      </c>
      <c r="BL60" s="16"/>
      <c r="BM60" s="16">
        <f t="shared" si="35"/>
        <v>0.73104808411856159</v>
      </c>
      <c r="BN60" s="16">
        <f t="shared" si="36"/>
        <v>0.26562835789152234</v>
      </c>
      <c r="BO60" s="16">
        <f t="shared" si="37"/>
        <v>3.3235579899159799E-3</v>
      </c>
      <c r="BP60" s="15"/>
      <c r="BQ60" s="38">
        <f t="shared" si="38"/>
        <v>0.8114181091877497</v>
      </c>
      <c r="BR60" s="38">
        <f t="shared" si="39"/>
        <v>0</v>
      </c>
      <c r="BS60" s="38">
        <f t="shared" si="40"/>
        <v>0.64240878775990584</v>
      </c>
      <c r="BT60" s="38">
        <f t="shared" si="41"/>
        <v>0</v>
      </c>
      <c r="BU60" s="38">
        <f t="shared" si="42"/>
        <v>7.5895239771660537E-3</v>
      </c>
      <c r="BV60" s="38">
        <f t="shared" si="43"/>
        <v>0</v>
      </c>
      <c r="BW60" s="38">
        <f t="shared" si="44"/>
        <v>0</v>
      </c>
      <c r="BX60" s="38">
        <f t="shared" si="45"/>
        <v>0.27086305278174039</v>
      </c>
      <c r="BY60" s="38">
        <f t="shared" si="46"/>
        <v>9.8418844788641491E-2</v>
      </c>
      <c r="BZ60" s="38">
        <f t="shared" si="47"/>
        <v>1.2314225053078557E-3</v>
      </c>
      <c r="CA60" s="38">
        <f t="shared" si="48"/>
        <v>0</v>
      </c>
      <c r="CB60" s="38">
        <f t="shared" si="49"/>
        <v>0</v>
      </c>
      <c r="CC60" s="38">
        <f t="shared" si="50"/>
        <v>0</v>
      </c>
      <c r="CD60" s="38">
        <f t="shared" si="51"/>
        <v>1.8319297410005113</v>
      </c>
      <c r="CE60" s="38">
        <f t="shared" si="52"/>
        <v>2.9147271104212393</v>
      </c>
      <c r="CF60" s="38">
        <f t="shared" si="53"/>
        <v>2.7293623156471285</v>
      </c>
      <c r="CG60" s="38">
        <f t="shared" si="54"/>
        <v>7.9553463355787777</v>
      </c>
      <c r="CH60" s="15"/>
      <c r="CI60" s="16"/>
      <c r="CJ60" s="13"/>
      <c r="CK60" s="104"/>
      <c r="CL60" s="13"/>
      <c r="CM60" s="13"/>
      <c r="CN60" s="13"/>
      <c r="CO60" s="16"/>
      <c r="CP60" s="16"/>
      <c r="CQ60" s="16"/>
      <c r="CR60" s="16"/>
      <c r="CS60" s="16"/>
      <c r="CT60" s="16"/>
      <c r="CU60" s="16"/>
      <c r="CV60" s="16"/>
      <c r="CW60" s="16"/>
      <c r="CX60" s="16"/>
      <c r="CY60" s="104"/>
      <c r="CZ60" s="104"/>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3"/>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row>
    <row r="61" spans="1:167" x14ac:dyDescent="0.25">
      <c r="A61" s="35" t="s">
        <v>84</v>
      </c>
      <c r="B61" s="15">
        <v>234</v>
      </c>
      <c r="C61" s="102" t="s">
        <v>97</v>
      </c>
      <c r="D61" s="102" t="s">
        <v>104</v>
      </c>
      <c r="E61" s="15">
        <v>66</v>
      </c>
      <c r="F61" s="16">
        <v>48.96</v>
      </c>
      <c r="G61" s="16">
        <v>0</v>
      </c>
      <c r="H61" s="16">
        <v>32.950000000000003</v>
      </c>
      <c r="I61" s="16">
        <v>0</v>
      </c>
      <c r="J61" s="16">
        <v>0.59029964905965993</v>
      </c>
      <c r="K61" s="16">
        <v>0</v>
      </c>
      <c r="L61" s="16">
        <v>0</v>
      </c>
      <c r="M61" s="16">
        <v>15.34</v>
      </c>
      <c r="N61" s="16">
        <v>2.95</v>
      </c>
      <c r="O61" s="16">
        <v>4.5999999999999999E-2</v>
      </c>
      <c r="P61" s="16">
        <v>0</v>
      </c>
      <c r="Q61" s="16"/>
      <c r="R61" s="16"/>
      <c r="S61" s="16">
        <f t="shared" si="0"/>
        <v>100.83629964905967</v>
      </c>
      <c r="T61" s="16"/>
      <c r="U61" s="15">
        <v>1</v>
      </c>
      <c r="V61" s="15">
        <v>11</v>
      </c>
      <c r="W61" s="15">
        <v>125</v>
      </c>
      <c r="X61" s="15" t="s">
        <v>258</v>
      </c>
      <c r="Y61" s="15"/>
      <c r="Z61" s="37">
        <v>8</v>
      </c>
      <c r="AA61" s="37">
        <v>5</v>
      </c>
      <c r="AB61" s="15"/>
      <c r="AC61" s="38">
        <f t="shared" si="1"/>
        <v>2.2256557623633824</v>
      </c>
      <c r="AD61" s="38">
        <f t="shared" si="2"/>
        <v>0</v>
      </c>
      <c r="AE61" s="38">
        <f t="shared" si="3"/>
        <v>1.7652332384856477</v>
      </c>
      <c r="AF61" s="38">
        <f t="shared" si="4"/>
        <v>0</v>
      </c>
      <c r="AG61" s="38">
        <f t="shared" si="5"/>
        <v>2.2438419396879999E-2</v>
      </c>
      <c r="AH61" s="38">
        <f t="shared" si="6"/>
        <v>0</v>
      </c>
      <c r="AI61" s="38">
        <f t="shared" si="7"/>
        <v>0</v>
      </c>
      <c r="AJ61" s="38">
        <f t="shared" si="8"/>
        <v>0.74707441474205183</v>
      </c>
      <c r="AK61" s="38">
        <f t="shared" si="9"/>
        <v>0.25998419576249326</v>
      </c>
      <c r="AL61" s="38">
        <f t="shared" si="10"/>
        <v>2.6673710491724395E-3</v>
      </c>
      <c r="AM61" s="38">
        <f t="shared" si="11"/>
        <v>0</v>
      </c>
      <c r="AN61" s="38">
        <f t="shared" si="12"/>
        <v>0</v>
      </c>
      <c r="AO61" s="38">
        <f t="shared" si="13"/>
        <v>0</v>
      </c>
      <c r="AP61" s="38">
        <f t="shared" si="14"/>
        <v>5.0230534017996282</v>
      </c>
      <c r="AQ61" s="38">
        <f t="shared" si="15"/>
        <v>3.9908890008490303</v>
      </c>
      <c r="AR61" s="38">
        <f t="shared" si="16"/>
        <v>1.0097259815537176</v>
      </c>
      <c r="AS61" s="40"/>
      <c r="AT61" s="38">
        <f t="shared" si="17"/>
        <v>2.2154410717254058</v>
      </c>
      <c r="AU61" s="38">
        <f t="shared" si="18"/>
        <v>0</v>
      </c>
      <c r="AV61" s="38">
        <f t="shared" si="19"/>
        <v>1.7571316660233107</v>
      </c>
      <c r="AW61" s="38">
        <f t="shared" si="20"/>
        <v>0</v>
      </c>
      <c r="AX61" s="38">
        <f t="shared" si="21"/>
        <v>0</v>
      </c>
      <c r="AY61" s="38">
        <f t="shared" si="22"/>
        <v>2.2335437832336109E-2</v>
      </c>
      <c r="AZ61" s="38">
        <f t="shared" si="23"/>
        <v>0</v>
      </c>
      <c r="BA61" s="38">
        <f t="shared" si="24"/>
        <v>0</v>
      </c>
      <c r="BB61" s="38">
        <f t="shared" si="25"/>
        <v>0.7436457021085966</v>
      </c>
      <c r="BC61" s="38">
        <f t="shared" si="26"/>
        <v>0.25879099321276156</v>
      </c>
      <c r="BD61" s="38">
        <f t="shared" si="27"/>
        <v>2.6551290975891186E-3</v>
      </c>
      <c r="BE61" s="38">
        <f t="shared" si="28"/>
        <v>0</v>
      </c>
      <c r="BF61" s="38">
        <f t="shared" si="29"/>
        <v>0</v>
      </c>
      <c r="BG61" s="38">
        <f t="shared" si="30"/>
        <v>0</v>
      </c>
      <c r="BH61" s="41">
        <f t="shared" si="31"/>
        <v>5</v>
      </c>
      <c r="BI61" s="42">
        <f t="shared" si="32"/>
        <v>7.9744515624980545</v>
      </c>
      <c r="BJ61" s="38">
        <f t="shared" si="33"/>
        <v>3.9725727377487168</v>
      </c>
      <c r="BK61" s="38">
        <f t="shared" si="34"/>
        <v>1.0050918244189473</v>
      </c>
      <c r="BL61" s="16"/>
      <c r="BM61" s="16">
        <f t="shared" si="35"/>
        <v>0.7398783713503041</v>
      </c>
      <c r="BN61" s="16">
        <f t="shared" si="36"/>
        <v>0.25747995051334832</v>
      </c>
      <c r="BO61" s="16">
        <f t="shared" si="37"/>
        <v>2.6416781363474647E-3</v>
      </c>
      <c r="BP61" s="15"/>
      <c r="BQ61" s="38">
        <f t="shared" si="38"/>
        <v>0.81491344873502003</v>
      </c>
      <c r="BR61" s="38">
        <f t="shared" si="39"/>
        <v>0</v>
      </c>
      <c r="BS61" s="38">
        <f t="shared" si="40"/>
        <v>0.64633189486072984</v>
      </c>
      <c r="BT61" s="38">
        <f t="shared" si="41"/>
        <v>0</v>
      </c>
      <c r="BU61" s="38">
        <f t="shared" si="42"/>
        <v>8.2157223251170496E-3</v>
      </c>
      <c r="BV61" s="38">
        <f t="shared" si="43"/>
        <v>0</v>
      </c>
      <c r="BW61" s="38">
        <f t="shared" si="44"/>
        <v>0</v>
      </c>
      <c r="BX61" s="38">
        <f t="shared" si="45"/>
        <v>0.27353780313837378</v>
      </c>
      <c r="BY61" s="38">
        <f t="shared" si="46"/>
        <v>9.519199741852212E-2</v>
      </c>
      <c r="BZ61" s="38">
        <f t="shared" si="47"/>
        <v>9.766454352441614E-4</v>
      </c>
      <c r="CA61" s="38">
        <f t="shared" si="48"/>
        <v>0</v>
      </c>
      <c r="CB61" s="38">
        <f t="shared" si="49"/>
        <v>0</v>
      </c>
      <c r="CC61" s="38">
        <f t="shared" si="50"/>
        <v>0</v>
      </c>
      <c r="CD61" s="38">
        <f t="shared" si="51"/>
        <v>1.8391675119130071</v>
      </c>
      <c r="CE61" s="38">
        <f t="shared" si="52"/>
        <v>2.9291625866515085</v>
      </c>
      <c r="CF61" s="38">
        <f t="shared" si="53"/>
        <v>2.7186213151401626</v>
      </c>
      <c r="CG61" s="38">
        <f t="shared" si="54"/>
        <v>7.9632838435818849</v>
      </c>
      <c r="CH61" s="15"/>
      <c r="CI61" s="16"/>
      <c r="CJ61" s="13"/>
      <c r="CK61" s="104"/>
      <c r="CL61" s="13"/>
      <c r="CM61" s="13"/>
      <c r="CN61" s="13"/>
      <c r="CO61" s="16"/>
      <c r="CP61" s="16"/>
      <c r="CQ61" s="16"/>
      <c r="CR61" s="16"/>
      <c r="CS61" s="16"/>
      <c r="CT61" s="16"/>
      <c r="CU61" s="16"/>
      <c r="CV61" s="16"/>
      <c r="CW61" s="16"/>
      <c r="CX61" s="16"/>
      <c r="CY61" s="104"/>
      <c r="CZ61" s="104"/>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3"/>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row>
    <row r="62" spans="1:167" x14ac:dyDescent="0.25">
      <c r="A62" s="35" t="s">
        <v>84</v>
      </c>
      <c r="B62" s="15">
        <v>235</v>
      </c>
      <c r="C62" s="102" t="s">
        <v>97</v>
      </c>
      <c r="D62" s="102" t="s">
        <v>104</v>
      </c>
      <c r="E62" s="15">
        <v>67</v>
      </c>
      <c r="F62" s="16">
        <v>48.49</v>
      </c>
      <c r="G62" s="16">
        <v>0</v>
      </c>
      <c r="H62" s="16">
        <v>32.93</v>
      </c>
      <c r="I62" s="16">
        <v>0</v>
      </c>
      <c r="J62" s="16">
        <v>0.3878340682084046</v>
      </c>
      <c r="K62" s="16">
        <v>0</v>
      </c>
      <c r="L62" s="16">
        <v>0</v>
      </c>
      <c r="M62" s="16">
        <v>15.29</v>
      </c>
      <c r="N62" s="16">
        <v>2.9</v>
      </c>
      <c r="O62" s="16">
        <v>4.2999999999999997E-2</v>
      </c>
      <c r="P62" s="16">
        <v>0</v>
      </c>
      <c r="Q62" s="16"/>
      <c r="R62" s="16"/>
      <c r="S62" s="16">
        <f t="shared" si="0"/>
        <v>100.04083406820843</v>
      </c>
      <c r="T62" s="16"/>
      <c r="U62" s="15">
        <v>1</v>
      </c>
      <c r="V62" s="15">
        <v>12</v>
      </c>
      <c r="W62" s="15">
        <v>137.5</v>
      </c>
      <c r="X62" s="15" t="s">
        <v>258</v>
      </c>
      <c r="Y62" s="15"/>
      <c r="Z62" s="37">
        <v>8</v>
      </c>
      <c r="AA62" s="37">
        <v>5</v>
      </c>
      <c r="AB62" s="15"/>
      <c r="AC62" s="38">
        <f t="shared" si="1"/>
        <v>2.2200413102481069</v>
      </c>
      <c r="AD62" s="38">
        <f t="shared" si="2"/>
        <v>0</v>
      </c>
      <c r="AE62" s="38">
        <f t="shared" si="3"/>
        <v>1.7767678830520588</v>
      </c>
      <c r="AF62" s="38">
        <f t="shared" si="4"/>
        <v>0</v>
      </c>
      <c r="AG62" s="38">
        <f t="shared" si="5"/>
        <v>1.4847658805714042E-2</v>
      </c>
      <c r="AH62" s="38">
        <f t="shared" si="6"/>
        <v>0</v>
      </c>
      <c r="AI62" s="38">
        <f t="shared" si="7"/>
        <v>0</v>
      </c>
      <c r="AJ62" s="38">
        <f t="shared" si="8"/>
        <v>0.74996030350254894</v>
      </c>
      <c r="AK62" s="38">
        <f t="shared" si="9"/>
        <v>0.25740395608369743</v>
      </c>
      <c r="AL62" s="38">
        <f t="shared" si="10"/>
        <v>2.5112291511710421E-3</v>
      </c>
      <c r="AM62" s="38">
        <f t="shared" si="11"/>
        <v>0</v>
      </c>
      <c r="AN62" s="38">
        <f t="shared" si="12"/>
        <v>0</v>
      </c>
      <c r="AO62" s="38">
        <f t="shared" si="13"/>
        <v>0</v>
      </c>
      <c r="AP62" s="38">
        <f t="shared" si="14"/>
        <v>5.0215323408432981</v>
      </c>
      <c r="AQ62" s="38">
        <f t="shared" si="15"/>
        <v>3.9968091933001659</v>
      </c>
      <c r="AR62" s="38">
        <f t="shared" si="16"/>
        <v>1.0098754887374175</v>
      </c>
      <c r="AS62" s="40"/>
      <c r="AT62" s="38">
        <f t="shared" si="17"/>
        <v>2.2105217686154361</v>
      </c>
      <c r="AU62" s="38">
        <f t="shared" si="18"/>
        <v>0</v>
      </c>
      <c r="AV62" s="38">
        <f t="shared" si="19"/>
        <v>1.7691490987725824</v>
      </c>
      <c r="AW62" s="38">
        <f t="shared" si="20"/>
        <v>0</v>
      </c>
      <c r="AX62" s="38">
        <f t="shared" si="21"/>
        <v>0</v>
      </c>
      <c r="AY62" s="38">
        <f t="shared" si="22"/>
        <v>1.4783992014697035E-2</v>
      </c>
      <c r="AZ62" s="38">
        <f t="shared" si="23"/>
        <v>0</v>
      </c>
      <c r="BA62" s="38">
        <f t="shared" si="24"/>
        <v>0</v>
      </c>
      <c r="BB62" s="38">
        <f t="shared" si="25"/>
        <v>0.74674447220288487</v>
      </c>
      <c r="BC62" s="38">
        <f t="shared" si="26"/>
        <v>0.25630020739891324</v>
      </c>
      <c r="BD62" s="38">
        <f t="shared" si="27"/>
        <v>2.5004609954870031E-3</v>
      </c>
      <c r="BE62" s="38">
        <f t="shared" si="28"/>
        <v>0</v>
      </c>
      <c r="BF62" s="38">
        <f t="shared" si="29"/>
        <v>0</v>
      </c>
      <c r="BG62" s="38">
        <f t="shared" si="30"/>
        <v>0</v>
      </c>
      <c r="BH62" s="41">
        <f t="shared" si="31"/>
        <v>5.0000000000000009</v>
      </c>
      <c r="BI62" s="42">
        <f t="shared" si="32"/>
        <v>7.9730879798118757</v>
      </c>
      <c r="BJ62" s="38">
        <f t="shared" si="33"/>
        <v>3.9796708673880188</v>
      </c>
      <c r="BK62" s="38">
        <f t="shared" si="34"/>
        <v>1.0055451405972851</v>
      </c>
      <c r="BL62" s="16"/>
      <c r="BM62" s="16">
        <f t="shared" si="35"/>
        <v>0.74262650382788886</v>
      </c>
      <c r="BN62" s="16">
        <f t="shared" si="36"/>
        <v>0.25488682412275704</v>
      </c>
      <c r="BO62" s="16">
        <f t="shared" si="37"/>
        <v>2.4866720493539958E-3</v>
      </c>
      <c r="BP62" s="15"/>
      <c r="BQ62" s="38">
        <f t="shared" si="38"/>
        <v>0.8070905459387484</v>
      </c>
      <c r="BR62" s="38">
        <f t="shared" si="39"/>
        <v>0</v>
      </c>
      <c r="BS62" s="38">
        <f t="shared" si="40"/>
        <v>0.64593958415064734</v>
      </c>
      <c r="BT62" s="38">
        <f t="shared" si="41"/>
        <v>0</v>
      </c>
      <c r="BU62" s="38">
        <f t="shared" si="42"/>
        <v>5.3978297593375735E-3</v>
      </c>
      <c r="BV62" s="38">
        <f t="shared" si="43"/>
        <v>0</v>
      </c>
      <c r="BW62" s="38">
        <f t="shared" si="44"/>
        <v>0</v>
      </c>
      <c r="BX62" s="38">
        <f t="shared" si="45"/>
        <v>0.27264621968616259</v>
      </c>
      <c r="BY62" s="38">
        <f t="shared" si="46"/>
        <v>9.3578573733462414E-2</v>
      </c>
      <c r="BZ62" s="38">
        <f t="shared" si="47"/>
        <v>9.1295116772823772E-4</v>
      </c>
      <c r="CA62" s="38">
        <f t="shared" si="48"/>
        <v>0</v>
      </c>
      <c r="CB62" s="38">
        <f t="shared" si="49"/>
        <v>0</v>
      </c>
      <c r="CC62" s="38">
        <f t="shared" si="50"/>
        <v>0</v>
      </c>
      <c r="CD62" s="38">
        <f t="shared" si="51"/>
        <v>1.8255657044360865</v>
      </c>
      <c r="CE62" s="38">
        <f t="shared" si="52"/>
        <v>2.9083802799995633</v>
      </c>
      <c r="CF62" s="38">
        <f t="shared" si="53"/>
        <v>2.7388770438939036</v>
      </c>
      <c r="CG62" s="38">
        <f t="shared" si="54"/>
        <v>7.9656959838045278</v>
      </c>
      <c r="CH62" s="15"/>
      <c r="CI62" s="16"/>
      <c r="CJ62" s="13"/>
      <c r="CK62" s="104"/>
      <c r="CL62" s="13"/>
      <c r="CM62" s="13"/>
      <c r="CN62" s="13"/>
      <c r="CO62" s="16"/>
      <c r="CP62" s="16"/>
      <c r="CQ62" s="16"/>
      <c r="CR62" s="16"/>
      <c r="CS62" s="16"/>
      <c r="CT62" s="16"/>
      <c r="CU62" s="16"/>
      <c r="CV62" s="16"/>
      <c r="CW62" s="16"/>
      <c r="CX62" s="16"/>
      <c r="CY62" s="104"/>
      <c r="CZ62" s="104"/>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3"/>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row>
    <row r="63" spans="1:167" x14ac:dyDescent="0.25">
      <c r="A63" s="35" t="s">
        <v>84</v>
      </c>
      <c r="B63" s="15">
        <v>236</v>
      </c>
      <c r="C63" s="102" t="s">
        <v>97</v>
      </c>
      <c r="D63" s="102" t="s">
        <v>104</v>
      </c>
      <c r="E63" s="15">
        <v>68</v>
      </c>
      <c r="F63" s="16">
        <v>48.67</v>
      </c>
      <c r="G63" s="16">
        <v>0</v>
      </c>
      <c r="H63" s="16">
        <v>32.99</v>
      </c>
      <c r="I63" s="16">
        <v>0</v>
      </c>
      <c r="J63" s="16">
        <v>0.58400071987762081</v>
      </c>
      <c r="K63" s="16">
        <v>0</v>
      </c>
      <c r="L63" s="16">
        <v>0</v>
      </c>
      <c r="M63" s="16">
        <v>15.53</v>
      </c>
      <c r="N63" s="16">
        <v>2.77</v>
      </c>
      <c r="O63" s="16">
        <v>4.9000000000000002E-2</v>
      </c>
      <c r="P63" s="16">
        <v>0</v>
      </c>
      <c r="Q63" s="16"/>
      <c r="R63" s="16"/>
      <c r="S63" s="16">
        <f t="shared" si="0"/>
        <v>100.59300071987762</v>
      </c>
      <c r="T63" s="16"/>
      <c r="U63" s="15">
        <v>1</v>
      </c>
      <c r="V63" s="15">
        <v>13</v>
      </c>
      <c r="W63" s="15">
        <v>150</v>
      </c>
      <c r="X63" s="15" t="s">
        <v>258</v>
      </c>
      <c r="Y63" s="15"/>
      <c r="Z63" s="37">
        <v>8</v>
      </c>
      <c r="AA63" s="37">
        <v>5</v>
      </c>
      <c r="AB63" s="15"/>
      <c r="AC63" s="38">
        <f t="shared" si="1"/>
        <v>2.2185689937800515</v>
      </c>
      <c r="AD63" s="38">
        <f t="shared" si="2"/>
        <v>0</v>
      </c>
      <c r="AE63" s="38">
        <f t="shared" si="3"/>
        <v>1.7722459854961183</v>
      </c>
      <c r="AF63" s="38">
        <f t="shared" si="4"/>
        <v>0</v>
      </c>
      <c r="AG63" s="38">
        <f t="shared" si="5"/>
        <v>2.2260152067000414E-2</v>
      </c>
      <c r="AH63" s="38">
        <f t="shared" si="6"/>
        <v>0</v>
      </c>
      <c r="AI63" s="38">
        <f t="shared" si="7"/>
        <v>0</v>
      </c>
      <c r="AJ63" s="38">
        <f t="shared" si="8"/>
        <v>0.75841160113004646</v>
      </c>
      <c r="AK63" s="38">
        <f t="shared" si="9"/>
        <v>0.24479340297360996</v>
      </c>
      <c r="AL63" s="38">
        <f t="shared" si="10"/>
        <v>2.849159023733637E-3</v>
      </c>
      <c r="AM63" s="38">
        <f t="shared" si="11"/>
        <v>0</v>
      </c>
      <c r="AN63" s="38">
        <f t="shared" si="12"/>
        <v>0</v>
      </c>
      <c r="AO63" s="38">
        <f t="shared" si="13"/>
        <v>0</v>
      </c>
      <c r="AP63" s="38">
        <f t="shared" si="14"/>
        <v>5.0191292944705603</v>
      </c>
      <c r="AQ63" s="38">
        <f t="shared" si="15"/>
        <v>3.9908149792761698</v>
      </c>
      <c r="AR63" s="38">
        <f t="shared" si="16"/>
        <v>1.00605416312739</v>
      </c>
      <c r="AS63" s="40"/>
      <c r="AT63" s="38">
        <f t="shared" si="17"/>
        <v>2.2101134117268</v>
      </c>
      <c r="AU63" s="38">
        <f t="shared" si="18"/>
        <v>0</v>
      </c>
      <c r="AV63" s="38">
        <f t="shared" si="19"/>
        <v>1.7654914642750428</v>
      </c>
      <c r="AW63" s="38">
        <f t="shared" si="20"/>
        <v>0</v>
      </c>
      <c r="AX63" s="38">
        <f t="shared" si="21"/>
        <v>0</v>
      </c>
      <c r="AY63" s="38">
        <f t="shared" si="22"/>
        <v>2.2175312450631448E-2</v>
      </c>
      <c r="AZ63" s="38">
        <f t="shared" si="23"/>
        <v>0</v>
      </c>
      <c r="BA63" s="38">
        <f t="shared" si="24"/>
        <v>0</v>
      </c>
      <c r="BB63" s="38">
        <f t="shared" si="25"/>
        <v>0.75552108407086471</v>
      </c>
      <c r="BC63" s="38">
        <f t="shared" si="26"/>
        <v>0.24386042738856345</v>
      </c>
      <c r="BD63" s="38">
        <f t="shared" si="27"/>
        <v>2.8383000880974302E-3</v>
      </c>
      <c r="BE63" s="38">
        <f t="shared" si="28"/>
        <v>0</v>
      </c>
      <c r="BF63" s="38">
        <f t="shared" si="29"/>
        <v>0</v>
      </c>
      <c r="BG63" s="38">
        <f t="shared" si="30"/>
        <v>0</v>
      </c>
      <c r="BH63" s="41">
        <f t="shared" si="31"/>
        <v>4.9999999999999991</v>
      </c>
      <c r="BI63" s="42">
        <f t="shared" si="32"/>
        <v>7.9805974363513066</v>
      </c>
      <c r="BJ63" s="38">
        <f t="shared" si="33"/>
        <v>3.9756048760018428</v>
      </c>
      <c r="BK63" s="38">
        <f t="shared" si="34"/>
        <v>1.0022198115475256</v>
      </c>
      <c r="BL63" s="16"/>
      <c r="BM63" s="16">
        <f t="shared" si="35"/>
        <v>0.75384768427623294</v>
      </c>
      <c r="BN63" s="16">
        <f t="shared" si="36"/>
        <v>0.2433203021720545</v>
      </c>
      <c r="BO63" s="16">
        <f t="shared" si="37"/>
        <v>2.8320135517125897E-3</v>
      </c>
      <c r="BP63" s="15"/>
      <c r="BQ63" s="38">
        <f t="shared" si="38"/>
        <v>0.81008655126498008</v>
      </c>
      <c r="BR63" s="38">
        <f t="shared" si="39"/>
        <v>0</v>
      </c>
      <c r="BS63" s="38">
        <f t="shared" si="40"/>
        <v>0.6471165162808945</v>
      </c>
      <c r="BT63" s="38">
        <f t="shared" si="41"/>
        <v>0</v>
      </c>
      <c r="BU63" s="38">
        <f t="shared" si="42"/>
        <v>8.1280545564039082E-3</v>
      </c>
      <c r="BV63" s="38">
        <f t="shared" si="43"/>
        <v>0</v>
      </c>
      <c r="BW63" s="38">
        <f t="shared" si="44"/>
        <v>0</v>
      </c>
      <c r="BX63" s="38">
        <f t="shared" si="45"/>
        <v>0.27692582025677603</v>
      </c>
      <c r="BY63" s="38">
        <f t="shared" si="46"/>
        <v>8.9383672152307206E-2</v>
      </c>
      <c r="BZ63" s="38">
        <f t="shared" si="47"/>
        <v>1.0403397027600849E-3</v>
      </c>
      <c r="CA63" s="38">
        <f t="shared" si="48"/>
        <v>0</v>
      </c>
      <c r="CB63" s="38">
        <f t="shared" si="49"/>
        <v>0</v>
      </c>
      <c r="CC63" s="38">
        <f t="shared" si="50"/>
        <v>0</v>
      </c>
      <c r="CD63" s="38">
        <f t="shared" si="51"/>
        <v>1.8326809542141218</v>
      </c>
      <c r="CE63" s="38">
        <f t="shared" si="52"/>
        <v>2.9211137576920159</v>
      </c>
      <c r="CF63" s="38">
        <f t="shared" si="53"/>
        <v>2.7282435540691625</v>
      </c>
      <c r="CG63" s="38">
        <f t="shared" si="54"/>
        <v>7.9695097801259918</v>
      </c>
      <c r="CH63" s="15"/>
      <c r="CI63" s="16"/>
      <c r="CJ63" s="13"/>
      <c r="CK63" s="104"/>
      <c r="CL63" s="13"/>
      <c r="CM63" s="13"/>
      <c r="CN63" s="13"/>
      <c r="CO63" s="16"/>
      <c r="CP63" s="16"/>
      <c r="CQ63" s="16"/>
      <c r="CR63" s="16"/>
      <c r="CS63" s="16"/>
      <c r="CT63" s="16"/>
      <c r="CU63" s="16"/>
      <c r="CV63" s="16"/>
      <c r="CW63" s="16"/>
      <c r="CX63" s="16"/>
      <c r="CY63" s="104"/>
      <c r="CZ63" s="104"/>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3"/>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row>
    <row r="64" spans="1:167" x14ac:dyDescent="0.25">
      <c r="A64" s="35" t="s">
        <v>84</v>
      </c>
      <c r="B64" s="15">
        <v>237</v>
      </c>
      <c r="C64" s="102" t="s">
        <v>97</v>
      </c>
      <c r="D64" s="102" t="s">
        <v>104</v>
      </c>
      <c r="E64" s="15">
        <v>69</v>
      </c>
      <c r="F64" s="16">
        <v>52.42</v>
      </c>
      <c r="G64" s="16">
        <v>0</v>
      </c>
      <c r="H64" s="16">
        <v>29.85</v>
      </c>
      <c r="I64" s="16">
        <v>0</v>
      </c>
      <c r="J64" s="16">
        <v>0.47151984162692345</v>
      </c>
      <c r="K64" s="16">
        <v>0</v>
      </c>
      <c r="L64" s="16">
        <v>0</v>
      </c>
      <c r="M64" s="16">
        <v>11.94</v>
      </c>
      <c r="N64" s="16">
        <v>5.0999999999999996</v>
      </c>
      <c r="O64" s="16">
        <v>0.13300000000000001</v>
      </c>
      <c r="P64" s="16">
        <v>0</v>
      </c>
      <c r="Q64" s="16"/>
      <c r="R64" s="16"/>
      <c r="S64" s="16">
        <f t="shared" si="0"/>
        <v>99.914519841626927</v>
      </c>
      <c r="T64" s="16"/>
      <c r="U64" s="15">
        <v>1</v>
      </c>
      <c r="V64" s="15">
        <v>14</v>
      </c>
      <c r="W64" s="15">
        <v>162.5</v>
      </c>
      <c r="X64" s="15" t="s">
        <v>258</v>
      </c>
      <c r="Y64" s="15"/>
      <c r="Z64" s="37">
        <v>8</v>
      </c>
      <c r="AA64" s="37">
        <v>5</v>
      </c>
      <c r="AB64" s="15"/>
      <c r="AC64" s="38">
        <f t="shared" si="1"/>
        <v>2.3851421805157802</v>
      </c>
      <c r="AD64" s="38">
        <f t="shared" si="2"/>
        <v>0</v>
      </c>
      <c r="AE64" s="38">
        <f t="shared" si="3"/>
        <v>1.6006326982485648</v>
      </c>
      <c r="AF64" s="38">
        <f t="shared" si="4"/>
        <v>0</v>
      </c>
      <c r="AG64" s="38">
        <f t="shared" si="5"/>
        <v>1.7939914974503854E-2</v>
      </c>
      <c r="AH64" s="38">
        <f t="shared" si="6"/>
        <v>0</v>
      </c>
      <c r="AI64" s="38">
        <f t="shared" si="7"/>
        <v>0</v>
      </c>
      <c r="AJ64" s="38">
        <f t="shared" si="8"/>
        <v>0.58202749612490601</v>
      </c>
      <c r="AK64" s="38">
        <f t="shared" si="9"/>
        <v>0.44987906108928022</v>
      </c>
      <c r="AL64" s="38">
        <f t="shared" si="10"/>
        <v>7.7192999030841923E-3</v>
      </c>
      <c r="AM64" s="38">
        <f t="shared" si="11"/>
        <v>0</v>
      </c>
      <c r="AN64" s="38">
        <f t="shared" si="12"/>
        <v>0</v>
      </c>
      <c r="AO64" s="38">
        <f t="shared" si="13"/>
        <v>0</v>
      </c>
      <c r="AP64" s="38">
        <f t="shared" si="14"/>
        <v>5.0433406508561189</v>
      </c>
      <c r="AQ64" s="38">
        <f t="shared" si="15"/>
        <v>3.985774878764345</v>
      </c>
      <c r="AR64" s="38">
        <f t="shared" si="16"/>
        <v>1.0396258571172703</v>
      </c>
      <c r="AS64" s="40"/>
      <c r="AT64" s="38">
        <f t="shared" si="17"/>
        <v>2.3646451287311878</v>
      </c>
      <c r="AU64" s="38">
        <f t="shared" si="18"/>
        <v>0</v>
      </c>
      <c r="AV64" s="38">
        <f t="shared" si="19"/>
        <v>1.5868774380497712</v>
      </c>
      <c r="AW64" s="38">
        <f t="shared" si="20"/>
        <v>0</v>
      </c>
      <c r="AX64" s="38">
        <f t="shared" si="21"/>
        <v>0</v>
      </c>
      <c r="AY64" s="38">
        <f t="shared" si="22"/>
        <v>1.7785745814590682E-2</v>
      </c>
      <c r="AZ64" s="38">
        <f t="shared" si="23"/>
        <v>0</v>
      </c>
      <c r="BA64" s="38">
        <f t="shared" si="24"/>
        <v>0</v>
      </c>
      <c r="BB64" s="38">
        <f t="shared" si="25"/>
        <v>0.57702576171025199</v>
      </c>
      <c r="BC64" s="38">
        <f t="shared" si="26"/>
        <v>0.44601296267079654</v>
      </c>
      <c r="BD64" s="38">
        <f t="shared" si="27"/>
        <v>7.6529630234017827E-3</v>
      </c>
      <c r="BE64" s="38">
        <f t="shared" si="28"/>
        <v>0</v>
      </c>
      <c r="BF64" s="38">
        <f t="shared" si="29"/>
        <v>0</v>
      </c>
      <c r="BG64" s="38">
        <f t="shared" si="30"/>
        <v>0</v>
      </c>
      <c r="BH64" s="41">
        <f t="shared" si="31"/>
        <v>5</v>
      </c>
      <c r="BI64" s="42">
        <f t="shared" si="32"/>
        <v>7.9401437578162692</v>
      </c>
      <c r="BJ64" s="38">
        <f t="shared" si="33"/>
        <v>3.9515225667809588</v>
      </c>
      <c r="BK64" s="38">
        <f t="shared" si="34"/>
        <v>1.0306916874044503</v>
      </c>
      <c r="BL64" s="16"/>
      <c r="BM64" s="16">
        <f t="shared" si="35"/>
        <v>0.55984322835022848</v>
      </c>
      <c r="BN64" s="16">
        <f t="shared" si="36"/>
        <v>0.43273169670551359</v>
      </c>
      <c r="BO64" s="16">
        <f t="shared" si="37"/>
        <v>7.425074944258001E-3</v>
      </c>
      <c r="BP64" s="15"/>
      <c r="BQ64" s="38">
        <f t="shared" si="38"/>
        <v>0.87250332889480697</v>
      </c>
      <c r="BR64" s="38">
        <f t="shared" si="39"/>
        <v>0</v>
      </c>
      <c r="BS64" s="38">
        <f t="shared" si="40"/>
        <v>0.58552373479796005</v>
      </c>
      <c r="BT64" s="38">
        <f t="shared" si="41"/>
        <v>0</v>
      </c>
      <c r="BU64" s="38">
        <f t="shared" si="42"/>
        <v>6.562558686526423E-3</v>
      </c>
      <c r="BV64" s="38">
        <f t="shared" si="43"/>
        <v>0</v>
      </c>
      <c r="BW64" s="38">
        <f t="shared" si="44"/>
        <v>0</v>
      </c>
      <c r="BX64" s="38">
        <f t="shared" si="45"/>
        <v>0.21291012838801712</v>
      </c>
      <c r="BY64" s="38">
        <f t="shared" si="46"/>
        <v>0.16456921587608905</v>
      </c>
      <c r="BZ64" s="38">
        <f t="shared" si="47"/>
        <v>2.823779193205945E-3</v>
      </c>
      <c r="CA64" s="38">
        <f t="shared" si="48"/>
        <v>0</v>
      </c>
      <c r="CB64" s="38">
        <f t="shared" si="49"/>
        <v>0</v>
      </c>
      <c r="CC64" s="38">
        <f t="shared" si="50"/>
        <v>0</v>
      </c>
      <c r="CD64" s="38">
        <f t="shared" si="51"/>
        <v>1.8448927458366053</v>
      </c>
      <c r="CE64" s="38">
        <f t="shared" si="52"/>
        <v>2.9264614445957453</v>
      </c>
      <c r="CF64" s="38">
        <f t="shared" si="53"/>
        <v>2.7101846496407815</v>
      </c>
      <c r="CG64" s="38">
        <f t="shared" si="54"/>
        <v>7.9312508849089758</v>
      </c>
      <c r="CH64" s="15"/>
      <c r="CI64" s="16"/>
      <c r="CJ64" s="13"/>
      <c r="CK64" s="104"/>
      <c r="CL64" s="13"/>
      <c r="CM64" s="13"/>
      <c r="CN64" s="13"/>
      <c r="CO64" s="16"/>
      <c r="CP64" s="16"/>
      <c r="CQ64" s="16"/>
      <c r="CR64" s="16"/>
      <c r="CS64" s="16"/>
      <c r="CT64" s="16"/>
      <c r="CU64" s="16"/>
      <c r="CV64" s="16"/>
      <c r="CW64" s="16"/>
      <c r="CX64" s="16"/>
      <c r="CY64" s="104"/>
      <c r="CZ64" s="104"/>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3"/>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row>
    <row r="65" spans="1:167" x14ac:dyDescent="0.25">
      <c r="A65" s="35" t="s">
        <v>84</v>
      </c>
      <c r="B65" s="15">
        <v>238</v>
      </c>
      <c r="C65" s="102" t="s">
        <v>97</v>
      </c>
      <c r="D65" s="102" t="s">
        <v>104</v>
      </c>
      <c r="E65" s="15">
        <v>70</v>
      </c>
      <c r="F65" s="16">
        <v>53.46</v>
      </c>
      <c r="G65" s="16">
        <v>0</v>
      </c>
      <c r="H65" s="16">
        <v>29.68</v>
      </c>
      <c r="I65" s="16">
        <v>0</v>
      </c>
      <c r="J65" s="16">
        <v>0.49491586430306855</v>
      </c>
      <c r="K65" s="16">
        <v>0</v>
      </c>
      <c r="L65" s="16">
        <v>0</v>
      </c>
      <c r="M65" s="16">
        <v>11.76</v>
      </c>
      <c r="N65" s="16">
        <v>5.22</v>
      </c>
      <c r="O65" s="16">
        <v>0.126</v>
      </c>
      <c r="P65" s="16">
        <v>0</v>
      </c>
      <c r="Q65" s="16"/>
      <c r="R65" s="16"/>
      <c r="S65" s="16">
        <f t="shared" si="0"/>
        <v>100.74091586430308</v>
      </c>
      <c r="T65" s="16"/>
      <c r="U65" s="15">
        <v>1</v>
      </c>
      <c r="V65" s="15">
        <v>15</v>
      </c>
      <c r="W65" s="15">
        <v>175</v>
      </c>
      <c r="X65" s="15" t="s">
        <v>186</v>
      </c>
      <c r="Y65" s="15"/>
      <c r="Z65" s="37">
        <v>8</v>
      </c>
      <c r="AA65" s="37">
        <v>5</v>
      </c>
      <c r="AB65" s="15"/>
      <c r="AC65" s="38">
        <f t="shared" si="1"/>
        <v>2.4089237345783139</v>
      </c>
      <c r="AD65" s="38">
        <f t="shared" si="2"/>
        <v>0</v>
      </c>
      <c r="AE65" s="38">
        <f t="shared" si="3"/>
        <v>1.5761156657065269</v>
      </c>
      <c r="AF65" s="38">
        <f t="shared" si="4"/>
        <v>0</v>
      </c>
      <c r="AG65" s="38">
        <f t="shared" si="5"/>
        <v>1.8647843806791659E-2</v>
      </c>
      <c r="AH65" s="38">
        <f t="shared" si="6"/>
        <v>0</v>
      </c>
      <c r="AI65" s="38">
        <f t="shared" si="7"/>
        <v>0</v>
      </c>
      <c r="AJ65" s="38">
        <f t="shared" si="8"/>
        <v>0.56770580753643496</v>
      </c>
      <c r="AK65" s="38">
        <f t="shared" si="9"/>
        <v>0.45600850944971794</v>
      </c>
      <c r="AL65" s="38">
        <f t="shared" si="10"/>
        <v>7.2422524309925561E-3</v>
      </c>
      <c r="AM65" s="38">
        <f t="shared" si="11"/>
        <v>0</v>
      </c>
      <c r="AN65" s="38">
        <f t="shared" si="12"/>
        <v>0</v>
      </c>
      <c r="AO65" s="38">
        <f t="shared" si="13"/>
        <v>0</v>
      </c>
      <c r="AP65" s="38">
        <f t="shared" si="14"/>
        <v>5.0346438135087777</v>
      </c>
      <c r="AQ65" s="38">
        <f t="shared" si="15"/>
        <v>3.9850394002848408</v>
      </c>
      <c r="AR65" s="38">
        <f t="shared" si="16"/>
        <v>1.0309565694171454</v>
      </c>
      <c r="AS65" s="40"/>
      <c r="AT65" s="38">
        <f t="shared" si="17"/>
        <v>2.3923477248924492</v>
      </c>
      <c r="AU65" s="38">
        <f t="shared" si="18"/>
        <v>0</v>
      </c>
      <c r="AV65" s="38">
        <f t="shared" si="19"/>
        <v>1.5652702793766156</v>
      </c>
      <c r="AW65" s="38">
        <f t="shared" si="20"/>
        <v>0</v>
      </c>
      <c r="AX65" s="38">
        <f t="shared" si="21"/>
        <v>0</v>
      </c>
      <c r="AY65" s="38">
        <f t="shared" si="22"/>
        <v>1.8519526402996398E-2</v>
      </c>
      <c r="AZ65" s="38">
        <f t="shared" si="23"/>
        <v>0</v>
      </c>
      <c r="BA65" s="38">
        <f t="shared" si="24"/>
        <v>0</v>
      </c>
      <c r="BB65" s="38">
        <f t="shared" si="25"/>
        <v>0.56379937545252634</v>
      </c>
      <c r="BC65" s="38">
        <f t="shared" si="26"/>
        <v>0.45287067600112246</v>
      </c>
      <c r="BD65" s="38">
        <f t="shared" si="27"/>
        <v>7.1924178742897365E-3</v>
      </c>
      <c r="BE65" s="38">
        <f t="shared" si="28"/>
        <v>0</v>
      </c>
      <c r="BF65" s="38">
        <f t="shared" si="29"/>
        <v>0</v>
      </c>
      <c r="BG65" s="38">
        <f t="shared" si="30"/>
        <v>0</v>
      </c>
      <c r="BH65" s="41">
        <f t="shared" si="31"/>
        <v>5</v>
      </c>
      <c r="BI65" s="42">
        <f t="shared" si="32"/>
        <v>7.9542110808445488</v>
      </c>
      <c r="BJ65" s="38">
        <f t="shared" si="33"/>
        <v>3.9576180042690647</v>
      </c>
      <c r="BK65" s="38">
        <f t="shared" si="34"/>
        <v>1.0238624693279386</v>
      </c>
      <c r="BL65" s="16"/>
      <c r="BM65" s="16">
        <f t="shared" si="35"/>
        <v>0.55065928515047846</v>
      </c>
      <c r="BN65" s="16">
        <f t="shared" si="36"/>
        <v>0.44231592578873019</v>
      </c>
      <c r="BO65" s="16">
        <f t="shared" si="37"/>
        <v>7.0247890607913642E-3</v>
      </c>
      <c r="BP65" s="15"/>
      <c r="BQ65" s="38">
        <f t="shared" si="38"/>
        <v>0.88981358189081228</v>
      </c>
      <c r="BR65" s="38">
        <f t="shared" si="39"/>
        <v>0</v>
      </c>
      <c r="BS65" s="38">
        <f t="shared" si="40"/>
        <v>0.58218909376225969</v>
      </c>
      <c r="BT65" s="38">
        <f t="shared" si="41"/>
        <v>0</v>
      </c>
      <c r="BU65" s="38">
        <f t="shared" si="42"/>
        <v>6.8881818274609411E-3</v>
      </c>
      <c r="BV65" s="38">
        <f t="shared" si="43"/>
        <v>0</v>
      </c>
      <c r="BW65" s="38">
        <f t="shared" si="44"/>
        <v>0</v>
      </c>
      <c r="BX65" s="38">
        <f t="shared" si="45"/>
        <v>0.20970042796005706</v>
      </c>
      <c r="BY65" s="38">
        <f t="shared" si="46"/>
        <v>0.16844143272023232</v>
      </c>
      <c r="BZ65" s="38">
        <f t="shared" si="47"/>
        <v>2.6751592356687899E-3</v>
      </c>
      <c r="CA65" s="38">
        <f t="shared" si="48"/>
        <v>0</v>
      </c>
      <c r="CB65" s="38">
        <f t="shared" si="49"/>
        <v>0</v>
      </c>
      <c r="CC65" s="38">
        <f t="shared" si="50"/>
        <v>0</v>
      </c>
      <c r="CD65" s="38">
        <f t="shared" si="51"/>
        <v>1.8597078773964912</v>
      </c>
      <c r="CE65" s="38">
        <f t="shared" si="52"/>
        <v>2.9550577101904825</v>
      </c>
      <c r="CF65" s="38">
        <f t="shared" si="53"/>
        <v>2.6885943006273538</v>
      </c>
      <c r="CG65" s="38">
        <f t="shared" si="54"/>
        <v>7.9449513176430502</v>
      </c>
      <c r="CH65" s="15"/>
      <c r="CI65" s="16"/>
      <c r="CJ65" s="13"/>
      <c r="CK65" s="104"/>
      <c r="CL65" s="13"/>
      <c r="CM65" s="13"/>
      <c r="CN65" s="13"/>
      <c r="CO65" s="16"/>
      <c r="CP65" s="16"/>
      <c r="CQ65" s="16"/>
      <c r="CR65" s="16"/>
      <c r="CS65" s="16"/>
      <c r="CT65" s="16"/>
      <c r="CU65" s="16"/>
      <c r="CV65" s="16"/>
      <c r="CW65" s="16"/>
      <c r="CX65" s="16"/>
      <c r="CY65" s="104"/>
      <c r="CZ65" s="104"/>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3"/>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row>
    <row r="66" spans="1:167" x14ac:dyDescent="0.25">
      <c r="A66" s="35" t="s">
        <v>84</v>
      </c>
      <c r="B66" s="15">
        <v>239</v>
      </c>
      <c r="C66" s="102" t="s">
        <v>97</v>
      </c>
      <c r="D66" s="102" t="s">
        <v>104</v>
      </c>
      <c r="E66" s="15">
        <v>71</v>
      </c>
      <c r="F66" s="16">
        <v>55.03</v>
      </c>
      <c r="G66" s="16">
        <v>0</v>
      </c>
      <c r="H66" s="16">
        <v>28.66</v>
      </c>
      <c r="I66" s="16">
        <v>0</v>
      </c>
      <c r="J66" s="16">
        <v>0.34284171690812565</v>
      </c>
      <c r="K66" s="16">
        <v>0</v>
      </c>
      <c r="L66" s="16">
        <v>0</v>
      </c>
      <c r="M66" s="16">
        <v>10.55</v>
      </c>
      <c r="N66" s="16">
        <v>6.15</v>
      </c>
      <c r="O66" s="16">
        <v>0.14199999999999999</v>
      </c>
      <c r="P66" s="16">
        <v>0</v>
      </c>
      <c r="Q66" s="16"/>
      <c r="R66" s="16"/>
      <c r="S66" s="16">
        <f t="shared" ref="S66:S129" si="57">SUM(F66:R66)</f>
        <v>100.87484171690812</v>
      </c>
      <c r="T66" s="16"/>
      <c r="U66" s="15">
        <v>1</v>
      </c>
      <c r="V66" s="15">
        <v>16</v>
      </c>
      <c r="W66" s="15">
        <v>187.5</v>
      </c>
      <c r="X66" s="15" t="s">
        <v>186</v>
      </c>
      <c r="Y66" s="15"/>
      <c r="Z66" s="37">
        <v>8</v>
      </c>
      <c r="AA66" s="37">
        <v>5</v>
      </c>
      <c r="AB66" s="15"/>
      <c r="AC66" s="38">
        <f t="shared" ref="AC66:AC129" si="58">BQ66*($Z66/$CE66)</f>
        <v>2.4681974024104854</v>
      </c>
      <c r="AD66" s="38">
        <f t="shared" ref="AD66:AD129" si="59">BR66*($Z66/$CE66)</f>
        <v>0</v>
      </c>
      <c r="AE66" s="38">
        <f t="shared" ref="AE66:AE129" si="60">BS66*($Z66/$CE66)</f>
        <v>1.5149093882702296</v>
      </c>
      <c r="AF66" s="38">
        <f t="shared" ref="AF66:AF129" si="61">BT66*($Z66/$CE66)</f>
        <v>0</v>
      </c>
      <c r="AG66" s="38">
        <f t="shared" ref="AG66:AG129" si="62">BU66*($Z66/$CE66)</f>
        <v>1.2858111603690086E-2</v>
      </c>
      <c r="AH66" s="38">
        <f t="shared" ref="AH66:AH129" si="63">BV66*($Z66/$CE66)</f>
        <v>0</v>
      </c>
      <c r="AI66" s="38">
        <f t="shared" ref="AI66:AI129" si="64">BW66*($Z66/$CE66)</f>
        <v>0</v>
      </c>
      <c r="AJ66" s="38">
        <f t="shared" ref="AJ66:AJ129" si="65">BX66*($Z66/$CE66)</f>
        <v>0.50693789457257254</v>
      </c>
      <c r="AK66" s="38">
        <f t="shared" ref="AK66:AK129" si="66">BY66*($Z66/$CE66)</f>
        <v>0.53476606682456407</v>
      </c>
      <c r="AL66" s="38">
        <f t="shared" ref="AL66:AL129" si="67">BZ66*($Z66/$CE66)</f>
        <v>8.1241463702789087E-3</v>
      </c>
      <c r="AM66" s="38">
        <f t="shared" ref="AM66:AM129" si="68">CA66*($Z66/$CE66)</f>
        <v>0</v>
      </c>
      <c r="AN66" s="38">
        <f t="shared" ref="AN66:AN129" si="69">CB66*($Z66/$CE66)</f>
        <v>0</v>
      </c>
      <c r="AO66" s="38">
        <f t="shared" ref="AO66:AO129" si="70">CC66*($Z66/$CE66)</f>
        <v>0</v>
      </c>
      <c r="AP66" s="38">
        <f t="shared" ref="AP66:AP129" si="71">SUM(AC66:AN66)</f>
        <v>5.0457930100518205</v>
      </c>
      <c r="AQ66" s="38">
        <f t="shared" ref="AQ66:AQ129" si="72">AC66+AE66</f>
        <v>3.9831067906807149</v>
      </c>
      <c r="AR66" s="38">
        <f t="shared" ref="AR66:AR129" si="73">SUM(AJ66:AL66)</f>
        <v>1.0498281077674154</v>
      </c>
      <c r="AS66" s="40"/>
      <c r="AT66" s="38">
        <f t="shared" ref="AT66:AT129" si="74">IF($AA66&gt;0,BQ66*$CF66,"")</f>
        <v>2.4457973181753019</v>
      </c>
      <c r="AU66" s="38">
        <f t="shared" ref="AU66:AU129" si="75">IF($AA66&gt;0,BR66*$CF66,"")</f>
        <v>0</v>
      </c>
      <c r="AV66" s="38">
        <f t="shared" ref="AV66:AV129" si="76">IF($AA66&gt;0,BS66*$CF66,"")</f>
        <v>1.5011608534598522</v>
      </c>
      <c r="AW66" s="38">
        <f t="shared" ref="AW66:AW129" si="77">IF($AA66&gt;0,BT66*$CF66,"")</f>
        <v>0</v>
      </c>
      <c r="AX66" s="38">
        <f t="shared" ref="AX66:AX129" si="78">IF($AA66&gt;0 +N("so a blank cell if no ideal cations set"),                         BU66*CF66-AY66,"")</f>
        <v>0</v>
      </c>
      <c r="AY66" s="38">
        <f t="shared" ref="AY66:AY129" si="79">IF($AA66&gt;0 +N("so a blank cell if no ideal cations set"),                                                                     IF(AP66&gt;AA66,                          IF(  2*Z66*(1-(AA66/AP66))   &lt;   BU66*CF66,    2*Z66*(1-(AA66/AP66)),    BU66*CF66),0),"")</f>
        <v>1.274141802693372E-2</v>
      </c>
      <c r="AZ66" s="38">
        <f t="shared" ref="AZ66:AZ129" si="80">IF($AA66&gt;0,BV66*$CF66,"")</f>
        <v>0</v>
      </c>
      <c r="BA66" s="38">
        <f t="shared" ref="BA66:BA129" si="81">IF($AA66&gt;0,BW66*$CF66,"")</f>
        <v>0</v>
      </c>
      <c r="BB66" s="38">
        <f t="shared" ref="BB66:BB129" si="82">IF($AA66&gt;0,BX66*$CF66,"")</f>
        <v>0.50233718819092643</v>
      </c>
      <c r="BC66" s="38">
        <f t="shared" ref="BC66:BC129" si="83">IF($AA66&gt;0,BY66*$CF66,"")</f>
        <v>0.52991280633118165</v>
      </c>
      <c r="BD66" s="38">
        <f t="shared" ref="BD66:BD129" si="84">IF($AA66&gt;0,BZ66*$CF66,"")</f>
        <v>8.0504158158040181E-3</v>
      </c>
      <c r="BE66" s="38">
        <f t="shared" ref="BE66:BE129" si="85">IF($AA66&gt;0,CA66*$CF66,"")</f>
        <v>0</v>
      </c>
      <c r="BF66" s="38">
        <f t="shared" ref="BF66:BF129" si="86">IF($AA66&gt;0,CB66*$CF66,"")</f>
        <v>0</v>
      </c>
      <c r="BG66" s="38">
        <f t="shared" ref="BG66:BG129" si="87">IF($AA66&gt;0,CC66*$CF66,"")</f>
        <v>0</v>
      </c>
      <c r="BH66" s="41">
        <f t="shared" ref="BH66:BH129" si="88">IF(AA66&gt;0,SUM(AT66:BF66),"")</f>
        <v>5</v>
      </c>
      <c r="BI66" s="42">
        <f t="shared" ref="BI66:BI129" si="89">(AT66+AU66)*2+(AV66+AW66+AY66)*1.5+AX66+AZ66+BA66+BB66+(BC66+BD66)*0.5+BE66*2.5+BF66*3  -(0.5*(BG66))</f>
        <v>7.9337668428452019</v>
      </c>
      <c r="BJ66" s="38">
        <f t="shared" ref="BJ66:BJ129" si="90">IF(AA66&gt;0,AT66+AV66,"")</f>
        <v>3.9469581716351541</v>
      </c>
      <c r="BK66" s="38">
        <f t="shared" ref="BK66:BK129" si="91">IF(AA66&gt;0,SUM(BB66:BD66),"")</f>
        <v>1.0403004103379121</v>
      </c>
      <c r="BL66" s="16"/>
      <c r="BM66" s="16">
        <f t="shared" ref="BM66:BM129" si="92">AJ66/(AJ66+AK66+AL66)</f>
        <v>0.48287704512945112</v>
      </c>
      <c r="BN66" s="16">
        <f t="shared" ref="BN66:BN129" si="93">AK66/(AK66+AJ66+AL66)</f>
        <v>0.50938440575934651</v>
      </c>
      <c r="BO66" s="16">
        <f t="shared" ref="BO66:BO129" si="94">AL66/(AJ66+AK66+AL66)</f>
        <v>7.7385491112024751E-3</v>
      </c>
      <c r="BP66" s="15"/>
      <c r="BQ66" s="38">
        <f t="shared" ref="BQ66:BQ129" si="95">F66/60.08</f>
        <v>0.91594540612516651</v>
      </c>
      <c r="BR66" s="38">
        <f t="shared" ref="BR66:BR129" si="96">G66/79.88</f>
        <v>0</v>
      </c>
      <c r="BS66" s="38">
        <f t="shared" ref="BS66:BS129" si="97">H66/101.96*2</f>
        <v>0.56218124754805809</v>
      </c>
      <c r="BT66" s="38">
        <f t="shared" ref="BT66:BT129" si="98">I66/151.99*2</f>
        <v>0</v>
      </c>
      <c r="BU66" s="38">
        <f t="shared" ref="BU66:BU129" si="99">J66/71.85</f>
        <v>4.7716314113865786E-3</v>
      </c>
      <c r="BV66" s="38">
        <f t="shared" ref="BV66:BV129" si="100">K66/70.94</f>
        <v>0</v>
      </c>
      <c r="BW66" s="38">
        <f t="shared" ref="BW66:BW129" si="101">L66/40.3</f>
        <v>0</v>
      </c>
      <c r="BX66" s="38">
        <f t="shared" ref="BX66:BX129" si="102">M66/56.08</f>
        <v>0.18812410841654781</v>
      </c>
      <c r="BY66" s="38">
        <f t="shared" ref="BY66:BY129" si="103">N66/61.98*2</f>
        <v>0.19845111326234272</v>
      </c>
      <c r="BZ66" s="38">
        <f t="shared" ref="BZ66:BZ129" si="104">O66/94.2*2</f>
        <v>3.0148619957537153E-3</v>
      </c>
      <c r="CA66" s="38">
        <f t="shared" ref="CA66:CA129" si="105">P66/141.94*2</f>
        <v>0</v>
      </c>
      <c r="CB66" s="38">
        <f t="shared" ref="CB66:CB129" si="106">Q66/80.06</f>
        <v>0</v>
      </c>
      <c r="CC66" s="38">
        <f t="shared" ref="CC66:CC129" si="107">R66/35.45</f>
        <v>0</v>
      </c>
      <c r="CD66" s="38">
        <f t="shared" ref="CD66:CD129" si="108">SUM(BQ66:CB66)</f>
        <v>1.8724883687592555</v>
      </c>
      <c r="CE66" s="38">
        <f t="shared" ref="CE66:CE129" si="109">(BQ66+BR66)*2+(BS66+BT66)*1.5+BU66+BV66+BW66+BX66+(BY66+BZ66)*0.5+CA66*2.5+CB66*3+     -(0.5*(CC66))</f>
        <v>2.9687914110294029</v>
      </c>
      <c r="CF66" s="38">
        <f t="shared" ref="CF66:CF129" si="110">AA66/CD66</f>
        <v>2.6702435558054174</v>
      </c>
      <c r="CG66" s="38">
        <f t="shared" ref="CG66:CG129" si="111">CE66*CF66</f>
        <v>7.9273961338317349</v>
      </c>
      <c r="CH66" s="15"/>
      <c r="CI66" s="16"/>
      <c r="CJ66" s="13"/>
      <c r="CK66" s="104"/>
      <c r="CL66" s="13"/>
      <c r="CM66" s="13"/>
      <c r="CN66" s="13"/>
      <c r="CO66" s="16"/>
      <c r="CP66" s="16"/>
      <c r="CQ66" s="16"/>
      <c r="CR66" s="16"/>
      <c r="CS66" s="16"/>
      <c r="CT66" s="16"/>
      <c r="CU66" s="16"/>
      <c r="CV66" s="16"/>
      <c r="CW66" s="16"/>
      <c r="CX66" s="16"/>
      <c r="CY66" s="104"/>
      <c r="CZ66" s="104"/>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3"/>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row>
    <row r="67" spans="1:167" x14ac:dyDescent="0.25">
      <c r="A67" s="35" t="s">
        <v>84</v>
      </c>
      <c r="B67" s="15">
        <v>240</v>
      </c>
      <c r="C67" s="102" t="s">
        <v>97</v>
      </c>
      <c r="D67" s="102" t="s">
        <v>104</v>
      </c>
      <c r="E67" s="15">
        <v>72</v>
      </c>
      <c r="F67" s="16">
        <v>56.73</v>
      </c>
      <c r="G67" s="16">
        <v>0</v>
      </c>
      <c r="H67" s="16">
        <v>27.7</v>
      </c>
      <c r="I67" s="16">
        <v>0</v>
      </c>
      <c r="J67" s="16">
        <v>0.41033024385854405</v>
      </c>
      <c r="K67" s="16">
        <v>0</v>
      </c>
      <c r="L67" s="16">
        <v>0</v>
      </c>
      <c r="M67" s="16">
        <v>9.18</v>
      </c>
      <c r="N67" s="16">
        <v>6.79</v>
      </c>
      <c r="O67" s="16">
        <v>0.14000000000000001</v>
      </c>
      <c r="P67" s="16">
        <v>0</v>
      </c>
      <c r="Q67" s="16"/>
      <c r="R67" s="16"/>
      <c r="S67" s="16">
        <f t="shared" si="57"/>
        <v>100.95033024385853</v>
      </c>
      <c r="T67" s="16"/>
      <c r="U67" s="15">
        <v>1</v>
      </c>
      <c r="V67" s="15">
        <v>17</v>
      </c>
      <c r="W67" s="15">
        <v>200</v>
      </c>
      <c r="X67" s="15" t="s">
        <v>186</v>
      </c>
      <c r="Y67" s="15"/>
      <c r="Z67" s="37">
        <v>8</v>
      </c>
      <c r="AA67" s="37">
        <v>5</v>
      </c>
      <c r="AB67" s="15"/>
      <c r="AC67" s="38">
        <f t="shared" si="58"/>
        <v>2.5315189472091366</v>
      </c>
      <c r="AD67" s="38">
        <f t="shared" si="59"/>
        <v>0</v>
      </c>
      <c r="AE67" s="38">
        <f t="shared" si="60"/>
        <v>1.4567273044480482</v>
      </c>
      <c r="AF67" s="38">
        <f t="shared" si="61"/>
        <v>0</v>
      </c>
      <c r="AG67" s="38">
        <f t="shared" si="62"/>
        <v>1.5311053658291586E-2</v>
      </c>
      <c r="AH67" s="38">
        <f t="shared" si="63"/>
        <v>0</v>
      </c>
      <c r="AI67" s="38">
        <f t="shared" si="64"/>
        <v>0</v>
      </c>
      <c r="AJ67" s="38">
        <f t="shared" si="65"/>
        <v>0.43886707376735562</v>
      </c>
      <c r="AK67" s="38">
        <f t="shared" si="66"/>
        <v>0.5874170131617753</v>
      </c>
      <c r="AL67" s="38">
        <f t="shared" si="67"/>
        <v>7.9690298062395932E-3</v>
      </c>
      <c r="AM67" s="38">
        <f t="shared" si="68"/>
        <v>0</v>
      </c>
      <c r="AN67" s="38">
        <f t="shared" si="69"/>
        <v>0</v>
      </c>
      <c r="AO67" s="38">
        <f t="shared" si="70"/>
        <v>0</v>
      </c>
      <c r="AP67" s="38">
        <f t="shared" si="71"/>
        <v>5.0378104220508471</v>
      </c>
      <c r="AQ67" s="38">
        <f t="shared" si="72"/>
        <v>3.988246251657185</v>
      </c>
      <c r="AR67" s="38">
        <f t="shared" si="73"/>
        <v>1.0342531167353706</v>
      </c>
      <c r="AS67" s="40"/>
      <c r="AT67" s="38">
        <f t="shared" si="74"/>
        <v>2.5125190659502605</v>
      </c>
      <c r="AU67" s="38">
        <f t="shared" si="75"/>
        <v>0</v>
      </c>
      <c r="AV67" s="38">
        <f t="shared" si="76"/>
        <v>1.4457940875185094</v>
      </c>
      <c r="AW67" s="38">
        <f t="shared" si="77"/>
        <v>0</v>
      </c>
      <c r="AX67" s="38">
        <f t="shared" si="78"/>
        <v>0</v>
      </c>
      <c r="AY67" s="38">
        <f t="shared" si="79"/>
        <v>1.5196139171170513E-2</v>
      </c>
      <c r="AZ67" s="38">
        <f t="shared" si="80"/>
        <v>0</v>
      </c>
      <c r="BA67" s="38">
        <f t="shared" si="81"/>
        <v>0</v>
      </c>
      <c r="BB67" s="38">
        <f t="shared" si="82"/>
        <v>0.43557323221850897</v>
      </c>
      <c r="BC67" s="38">
        <f t="shared" si="83"/>
        <v>0.58300825552169455</v>
      </c>
      <c r="BD67" s="38">
        <f t="shared" si="84"/>
        <v>7.9092196198556775E-3</v>
      </c>
      <c r="BE67" s="38">
        <f t="shared" si="85"/>
        <v>0</v>
      </c>
      <c r="BF67" s="38">
        <f t="shared" si="86"/>
        <v>0</v>
      </c>
      <c r="BG67" s="38">
        <f t="shared" si="87"/>
        <v>0</v>
      </c>
      <c r="BH67" s="41">
        <f t="shared" si="88"/>
        <v>4.9999999999999991</v>
      </c>
      <c r="BI67" s="42">
        <f t="shared" si="89"/>
        <v>7.947555441724325</v>
      </c>
      <c r="BJ67" s="38">
        <f t="shared" si="90"/>
        <v>3.9583131534687697</v>
      </c>
      <c r="BK67" s="38">
        <f t="shared" si="91"/>
        <v>1.0264907073600591</v>
      </c>
      <c r="BL67" s="16"/>
      <c r="BM67" s="16">
        <f t="shared" si="92"/>
        <v>0.42433236764385451</v>
      </c>
      <c r="BN67" s="16">
        <f t="shared" si="93"/>
        <v>0.56796252644223344</v>
      </c>
      <c r="BO67" s="16">
        <f t="shared" si="94"/>
        <v>7.7051059139119724E-3</v>
      </c>
      <c r="BP67" s="15"/>
      <c r="BQ67" s="38">
        <f t="shared" si="95"/>
        <v>0.94424101198402133</v>
      </c>
      <c r="BR67" s="38">
        <f t="shared" si="96"/>
        <v>0</v>
      </c>
      <c r="BS67" s="38">
        <f t="shared" si="97"/>
        <v>0.54335033346410355</v>
      </c>
      <c r="BT67" s="38">
        <f t="shared" si="98"/>
        <v>0</v>
      </c>
      <c r="BU67" s="38">
        <f t="shared" si="99"/>
        <v>5.7109289333130697E-3</v>
      </c>
      <c r="BV67" s="38">
        <f t="shared" si="100"/>
        <v>0</v>
      </c>
      <c r="BW67" s="38">
        <f t="shared" si="101"/>
        <v>0</v>
      </c>
      <c r="BX67" s="38">
        <f t="shared" si="102"/>
        <v>0.1636947218259629</v>
      </c>
      <c r="BY67" s="38">
        <f t="shared" si="103"/>
        <v>0.21910293643110682</v>
      </c>
      <c r="BZ67" s="38">
        <f t="shared" si="104"/>
        <v>2.9723991507431E-3</v>
      </c>
      <c r="CA67" s="38">
        <f t="shared" si="105"/>
        <v>0</v>
      </c>
      <c r="CB67" s="38">
        <f t="shared" si="106"/>
        <v>0</v>
      </c>
      <c r="CC67" s="38">
        <f t="shared" si="107"/>
        <v>0</v>
      </c>
      <c r="CD67" s="38">
        <f t="shared" si="108"/>
        <v>1.8790723317892508</v>
      </c>
      <c r="CE67" s="38">
        <f t="shared" si="109"/>
        <v>2.9839508427143988</v>
      </c>
      <c r="CF67" s="38">
        <f t="shared" si="110"/>
        <v>2.6608874578228741</v>
      </c>
      <c r="CG67" s="38">
        <f t="shared" si="111"/>
        <v>7.9399573721387391</v>
      </c>
      <c r="CH67" s="15"/>
      <c r="CI67" s="16"/>
      <c r="CJ67" s="13"/>
      <c r="CK67" s="104"/>
      <c r="CL67" s="13"/>
      <c r="CM67" s="13"/>
      <c r="CN67" s="13"/>
      <c r="CO67" s="16"/>
      <c r="CP67" s="16"/>
      <c r="CQ67" s="16"/>
      <c r="CR67" s="16"/>
      <c r="CS67" s="16"/>
      <c r="CT67" s="16"/>
      <c r="CU67" s="16"/>
      <c r="CV67" s="16"/>
      <c r="CW67" s="16"/>
      <c r="CX67" s="16"/>
      <c r="CY67" s="104"/>
      <c r="CZ67" s="104"/>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3"/>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row>
    <row r="68" spans="1:167" x14ac:dyDescent="0.25">
      <c r="A68" s="35" t="s">
        <v>84</v>
      </c>
      <c r="B68" s="15">
        <v>241</v>
      </c>
      <c r="C68" s="102" t="s">
        <v>97</v>
      </c>
      <c r="D68" s="102" t="s">
        <v>104</v>
      </c>
      <c r="E68" s="15">
        <v>73</v>
      </c>
      <c r="F68" s="16">
        <v>57.71</v>
      </c>
      <c r="G68" s="16">
        <v>0</v>
      </c>
      <c r="H68" s="16">
        <v>27.01</v>
      </c>
      <c r="I68" s="16">
        <v>0</v>
      </c>
      <c r="J68" s="16">
        <v>0.32034554125798614</v>
      </c>
      <c r="K68" s="16">
        <v>0</v>
      </c>
      <c r="L68" s="16">
        <v>0</v>
      </c>
      <c r="M68" s="16">
        <v>8.34</v>
      </c>
      <c r="N68" s="16">
        <v>7.27</v>
      </c>
      <c r="O68" s="16">
        <v>0.18</v>
      </c>
      <c r="P68" s="16">
        <v>0</v>
      </c>
      <c r="Q68" s="16"/>
      <c r="R68" s="16"/>
      <c r="S68" s="16">
        <f t="shared" si="57"/>
        <v>100.830345541258</v>
      </c>
      <c r="T68" s="16"/>
      <c r="U68" s="15">
        <v>1</v>
      </c>
      <c r="V68" s="15">
        <v>18</v>
      </c>
      <c r="W68" s="15">
        <v>212.5</v>
      </c>
      <c r="X68" s="15" t="s">
        <v>186</v>
      </c>
      <c r="Y68" s="15"/>
      <c r="Z68" s="37">
        <v>8</v>
      </c>
      <c r="AA68" s="37">
        <v>5</v>
      </c>
      <c r="AB68" s="15"/>
      <c r="AC68" s="38">
        <f t="shared" si="58"/>
        <v>2.5715799031983479</v>
      </c>
      <c r="AD68" s="38">
        <f t="shared" si="59"/>
        <v>0</v>
      </c>
      <c r="AE68" s="38">
        <f t="shared" si="60"/>
        <v>1.4184160140599895</v>
      </c>
      <c r="AF68" s="38">
        <f t="shared" si="61"/>
        <v>0</v>
      </c>
      <c r="AG68" s="38">
        <f t="shared" si="62"/>
        <v>1.1936329088914521E-2</v>
      </c>
      <c r="AH68" s="38">
        <f t="shared" si="63"/>
        <v>0</v>
      </c>
      <c r="AI68" s="38">
        <f t="shared" si="64"/>
        <v>0</v>
      </c>
      <c r="AJ68" s="38">
        <f t="shared" si="65"/>
        <v>0.39814101425763126</v>
      </c>
      <c r="AK68" s="38">
        <f t="shared" si="66"/>
        <v>0.62804636654068446</v>
      </c>
      <c r="AL68" s="38">
        <f t="shared" si="67"/>
        <v>1.023129179286439E-2</v>
      </c>
      <c r="AM68" s="38">
        <f t="shared" si="68"/>
        <v>0</v>
      </c>
      <c r="AN68" s="38">
        <f t="shared" si="69"/>
        <v>0</v>
      </c>
      <c r="AO68" s="38">
        <f t="shared" si="70"/>
        <v>0</v>
      </c>
      <c r="AP68" s="38">
        <f t="shared" si="71"/>
        <v>5.0383509189384323</v>
      </c>
      <c r="AQ68" s="38">
        <f t="shared" si="72"/>
        <v>3.9899959172583372</v>
      </c>
      <c r="AR68" s="38">
        <f t="shared" si="73"/>
        <v>1.0364186725911801</v>
      </c>
      <c r="AS68" s="40"/>
      <c r="AT68" s="38">
        <f t="shared" si="74"/>
        <v>2.5520055515904527</v>
      </c>
      <c r="AU68" s="38">
        <f t="shared" si="75"/>
        <v>0</v>
      </c>
      <c r="AV68" s="38">
        <f t="shared" si="76"/>
        <v>1.4076193152092373</v>
      </c>
      <c r="AW68" s="38">
        <f t="shared" si="77"/>
        <v>0</v>
      </c>
      <c r="AX68" s="38">
        <f t="shared" si="78"/>
        <v>0</v>
      </c>
      <c r="AY68" s="38">
        <f t="shared" si="79"/>
        <v>1.1845472140544624E-2</v>
      </c>
      <c r="AZ68" s="38">
        <f t="shared" si="80"/>
        <v>0</v>
      </c>
      <c r="BA68" s="38">
        <f t="shared" si="81"/>
        <v>0</v>
      </c>
      <c r="BB68" s="38">
        <f t="shared" si="82"/>
        <v>0.39511044453163907</v>
      </c>
      <c r="BC68" s="38">
        <f t="shared" si="83"/>
        <v>0.62326580328093972</v>
      </c>
      <c r="BD68" s="38">
        <f t="shared" si="84"/>
        <v>1.0153413247186143E-2</v>
      </c>
      <c r="BE68" s="38">
        <f t="shared" si="85"/>
        <v>0</v>
      </c>
      <c r="BF68" s="38">
        <f t="shared" si="86"/>
        <v>0</v>
      </c>
      <c r="BG68" s="38">
        <f t="shared" si="87"/>
        <v>0</v>
      </c>
      <c r="BH68" s="41">
        <f t="shared" si="88"/>
        <v>5</v>
      </c>
      <c r="BI68" s="42">
        <f t="shared" si="89"/>
        <v>7.94502833700128</v>
      </c>
      <c r="BJ68" s="38">
        <f t="shared" si="90"/>
        <v>3.9596248667996901</v>
      </c>
      <c r="BK68" s="38">
        <f t="shared" si="91"/>
        <v>1.028529661059765</v>
      </c>
      <c r="BL68" s="16"/>
      <c r="BM68" s="16">
        <f t="shared" si="92"/>
        <v>0.38415075373181712</v>
      </c>
      <c r="BN68" s="16">
        <f t="shared" si="93"/>
        <v>0.60597747141171021</v>
      </c>
      <c r="BO68" s="16">
        <f t="shared" si="94"/>
        <v>9.8717748564726687E-3</v>
      </c>
      <c r="BP68" s="15"/>
      <c r="BQ68" s="38">
        <f t="shared" si="95"/>
        <v>0.96055259653794944</v>
      </c>
      <c r="BR68" s="38">
        <f t="shared" si="96"/>
        <v>0</v>
      </c>
      <c r="BS68" s="38">
        <f t="shared" si="97"/>
        <v>0.52981561396626131</v>
      </c>
      <c r="BT68" s="38">
        <f t="shared" si="98"/>
        <v>0</v>
      </c>
      <c r="BU68" s="38">
        <f t="shared" si="99"/>
        <v>4.4585322374110807E-3</v>
      </c>
      <c r="BV68" s="38">
        <f t="shared" si="100"/>
        <v>0</v>
      </c>
      <c r="BW68" s="38">
        <f t="shared" si="101"/>
        <v>0</v>
      </c>
      <c r="BX68" s="38">
        <f t="shared" si="102"/>
        <v>0.14871611982881597</v>
      </c>
      <c r="BY68" s="38">
        <f t="shared" si="103"/>
        <v>0.23459180380767988</v>
      </c>
      <c r="BZ68" s="38">
        <f t="shared" si="104"/>
        <v>3.8216560509554136E-3</v>
      </c>
      <c r="CA68" s="38">
        <f t="shared" si="105"/>
        <v>0</v>
      </c>
      <c r="CB68" s="38">
        <f t="shared" si="106"/>
        <v>0</v>
      </c>
      <c r="CC68" s="38">
        <f t="shared" si="107"/>
        <v>0</v>
      </c>
      <c r="CD68" s="38">
        <f t="shared" si="108"/>
        <v>1.8819563224290732</v>
      </c>
      <c r="CE68" s="38">
        <f t="shared" si="109"/>
        <v>2.9882099960208355</v>
      </c>
      <c r="CF68" s="38">
        <f t="shared" si="110"/>
        <v>2.6568097996803743</v>
      </c>
      <c r="CG68" s="38">
        <f t="shared" si="111"/>
        <v>7.9391056009310077</v>
      </c>
      <c r="CH68" s="15"/>
      <c r="CI68" s="16">
        <v>1.8975154339616345</v>
      </c>
      <c r="CJ68" s="13">
        <v>43118.187370254404</v>
      </c>
      <c r="CK68" s="104">
        <v>188.81575688349287</v>
      </c>
      <c r="CL68" s="13">
        <v>146122.38458695478</v>
      </c>
      <c r="CM68" s="13">
        <v>265274.842259028</v>
      </c>
      <c r="CN68" s="13">
        <v>66483.746025934233</v>
      </c>
      <c r="CO68" s="16">
        <v>0.23763503525737334</v>
      </c>
      <c r="CP68" s="16">
        <v>188.35412086643194</v>
      </c>
      <c r="CQ68" s="16">
        <v>0.61987164210427104</v>
      </c>
      <c r="CR68" s="16"/>
      <c r="CS68" s="16">
        <v>27.440859611842594</v>
      </c>
      <c r="CT68" s="16"/>
      <c r="CU68" s="16"/>
      <c r="CV68" s="16"/>
      <c r="CW68" s="16">
        <v>7.4737262341356532</v>
      </c>
      <c r="CX68" s="16">
        <v>0.64993088118614695</v>
      </c>
      <c r="CY68" s="104">
        <v>526.01730803301859</v>
      </c>
      <c r="CZ68" s="104">
        <v>515.12562514419437</v>
      </c>
      <c r="DA68" s="16">
        <v>0.58079801171771173</v>
      </c>
      <c r="DB68" s="16"/>
      <c r="DC68" s="16"/>
      <c r="DD68" s="16"/>
      <c r="DE68" s="16">
        <v>180.29203905497883</v>
      </c>
      <c r="DF68" s="16">
        <v>5.1113840699332114</v>
      </c>
      <c r="DG68" s="16">
        <v>6.7004713084203571</v>
      </c>
      <c r="DH68" s="16">
        <v>0.7546580942590646</v>
      </c>
      <c r="DI68" s="16">
        <v>2.3670356037738225</v>
      </c>
      <c r="DJ68" s="16">
        <v>0.20662914353329495</v>
      </c>
      <c r="DK68" s="16">
        <v>1.5360555652839554</v>
      </c>
      <c r="DL68" s="16">
        <v>0.27249705905904148</v>
      </c>
      <c r="DM68" s="16">
        <v>3.4240195021585575E-2</v>
      </c>
      <c r="DN68" s="16">
        <v>0.10206939031700321</v>
      </c>
      <c r="DO68" s="16">
        <v>3.7947473101302864E-2</v>
      </c>
      <c r="DP68" s="16"/>
      <c r="DQ68" s="16"/>
      <c r="DR68" s="16"/>
      <c r="DS68" s="16">
        <v>3.7141713754163697E-2</v>
      </c>
      <c r="DT68" s="16"/>
      <c r="DU68" s="16"/>
      <c r="DV68" s="16">
        <v>3.2133225075617293</v>
      </c>
      <c r="DW68" s="16">
        <v>4.4798772219345872E-3</v>
      </c>
      <c r="DX68" s="16"/>
      <c r="DY68" s="16">
        <f>(DK68/0.05883)/SQRT((DJ68/0.1536)*(DL68/0.2069))</f>
        <v>19.615854587155763</v>
      </c>
      <c r="DZ68" s="16"/>
      <c r="EA68" s="13">
        <f>1128+200*((BM68-0.4)/0.4) -273</f>
        <v>847.07537686590854</v>
      </c>
      <c r="EB68" s="16"/>
      <c r="EC68" s="16">
        <f>(-18.482 -16.353 * BM68)/(0.008314 * (EA68+273))</f>
        <v>-2.6592785351758561</v>
      </c>
      <c r="ED68" s="16"/>
      <c r="EE68" s="16"/>
      <c r="EF68" s="16"/>
      <c r="EG68" s="16"/>
      <c r="EH68" s="16"/>
      <c r="EI68" s="16"/>
      <c r="EJ68" s="16"/>
      <c r="EK68" s="16"/>
      <c r="EL68" s="16">
        <f>(23.856 -20.71 * BM68)/(0.008314 * (EA68+273))</f>
        <v>1.707443540147928</v>
      </c>
      <c r="EM68" s="16"/>
      <c r="EN68" s="16">
        <f>(-4.5269  -51.811 * BM68)/(0.008314 * (EA68+273)) +N("eqn50a")</f>
        <v>-2.6234246285624381</v>
      </c>
      <c r="EO68" s="16" t="e">
        <f>(-187.27 + 2.26018 *#REF!)/(0.008314 * (EA68+273)) +N("fsp eqn35 from SiO2")</f>
        <v>#REF!</v>
      </c>
      <c r="EP68" s="16"/>
      <c r="EQ68" s="16"/>
      <c r="ER68" s="16">
        <f>(10.146 -35.204 * BM68)/(0.008314 * (EA68+273))</f>
        <v>-0.3627074632803346</v>
      </c>
      <c r="ES68" s="16">
        <f>(2.1146 -37.009 * BM68)/(0.008314 * (EA68+273))</f>
        <v>-1.2996173404181697</v>
      </c>
      <c r="ET68" s="16">
        <f>(-3.6812 -33.822 * BM68)/(0.008314 * (EA68+273))</f>
        <v>-1.7905281000555204</v>
      </c>
      <c r="EU68" s="16">
        <f>(-6.8025 -26.094 * BM68)/(0.008314 * (EA68+273))</f>
        <v>-1.8069131892015589</v>
      </c>
      <c r="EV68" s="16">
        <f>(-5.6996 -30.85 * BM68)/(0.008314 * (EA68+273))</f>
        <v>-1.8846727614942083</v>
      </c>
      <c r="EW68" s="16">
        <f>(-8.6767 -33.32 * BM68)/(0.008314 * (EA68+273))</f>
        <v>-2.3062602902612355</v>
      </c>
      <c r="EX68" s="16"/>
      <c r="EY68" s="16">
        <f>(-1.9714 -59.897 * BM68)/(0.008314 * (EA68+273))</f>
        <v>-2.682566043617562</v>
      </c>
      <c r="EZ68" s="16">
        <f>(-4.3691 -44.528 * BM68)/(0.008314 * (EA68+273))</f>
        <v>-2.3060414022624691</v>
      </c>
      <c r="FA68" s="16">
        <f>(-2.2521 -58.215 * BM68)/(0.008314 * (EA68+273))</f>
        <v>-2.6433231814345848</v>
      </c>
      <c r="FB68" s="16"/>
      <c r="FC68" s="16">
        <f>(-8.5 - 57.253 * BM68)/(0.008314 * (EA68+273))</f>
        <v>-3.2745681752742994</v>
      </c>
      <c r="FD68" s="16"/>
      <c r="FE68" s="16">
        <f>(-9.2954 -52.923 * BM68)/(0.008314 * (EA68+273))</f>
        <v>-3.1813611114198888</v>
      </c>
      <c r="FF68" s="16">
        <f>(0.61501 -70.378 * BM68)/(0.008314 * (EA68+273))</f>
        <v>-2.8371866009979407</v>
      </c>
      <c r="FG68" s="16"/>
      <c r="FH68" s="16"/>
      <c r="FI68" s="16"/>
      <c r="FJ68" s="16"/>
      <c r="FK68" s="16"/>
    </row>
    <row r="69" spans="1:167" x14ac:dyDescent="0.25">
      <c r="A69" s="35" t="s">
        <v>84</v>
      </c>
      <c r="B69" s="15">
        <v>242</v>
      </c>
      <c r="C69" s="102" t="s">
        <v>97</v>
      </c>
      <c r="D69" s="102" t="s">
        <v>104</v>
      </c>
      <c r="E69" s="15">
        <v>74</v>
      </c>
      <c r="F69" s="16">
        <v>60.55</v>
      </c>
      <c r="G69" s="16">
        <v>0</v>
      </c>
      <c r="H69" s="16">
        <v>25.17</v>
      </c>
      <c r="I69" s="16">
        <v>0</v>
      </c>
      <c r="J69" s="16">
        <v>0.33204355259605867</v>
      </c>
      <c r="K69" s="16">
        <v>0</v>
      </c>
      <c r="L69" s="16">
        <v>0</v>
      </c>
      <c r="M69" s="16">
        <v>6.28</v>
      </c>
      <c r="N69" s="16">
        <v>8.6300000000000008</v>
      </c>
      <c r="O69" s="16">
        <v>0.20100000000000001</v>
      </c>
      <c r="P69" s="16">
        <v>0</v>
      </c>
      <c r="Q69" s="16"/>
      <c r="R69" s="16"/>
      <c r="S69" s="16">
        <f t="shared" si="57"/>
        <v>101.16304355259605</v>
      </c>
      <c r="T69" s="16"/>
      <c r="U69" s="15">
        <v>1</v>
      </c>
      <c r="V69" s="15">
        <v>19</v>
      </c>
      <c r="W69" s="15">
        <v>225</v>
      </c>
      <c r="X69" s="15" t="s">
        <v>186</v>
      </c>
      <c r="Y69" s="15"/>
      <c r="Z69" s="37">
        <v>8</v>
      </c>
      <c r="AA69" s="37">
        <v>5</v>
      </c>
      <c r="AB69" s="15"/>
      <c r="AC69" s="38">
        <f t="shared" si="58"/>
        <v>2.6748606742025327</v>
      </c>
      <c r="AD69" s="38">
        <f t="shared" si="59"/>
        <v>0</v>
      </c>
      <c r="AE69" s="38">
        <f t="shared" si="60"/>
        <v>1.3103892654052383</v>
      </c>
      <c r="AF69" s="38">
        <f t="shared" si="61"/>
        <v>0</v>
      </c>
      <c r="AG69" s="38">
        <f t="shared" si="62"/>
        <v>1.2265499007182204E-2</v>
      </c>
      <c r="AH69" s="38">
        <f t="shared" si="63"/>
        <v>0</v>
      </c>
      <c r="AI69" s="38">
        <f t="shared" si="64"/>
        <v>0</v>
      </c>
      <c r="AJ69" s="38">
        <f t="shared" si="65"/>
        <v>0.29721353358662861</v>
      </c>
      <c r="AK69" s="38">
        <f t="shared" si="66"/>
        <v>0.7391050366326003</v>
      </c>
      <c r="AL69" s="38">
        <f t="shared" si="67"/>
        <v>1.1326405153931749E-2</v>
      </c>
      <c r="AM69" s="38">
        <f t="shared" si="68"/>
        <v>0</v>
      </c>
      <c r="AN69" s="38">
        <f t="shared" si="69"/>
        <v>0</v>
      </c>
      <c r="AO69" s="38">
        <f t="shared" si="70"/>
        <v>0</v>
      </c>
      <c r="AP69" s="38">
        <f t="shared" si="71"/>
        <v>5.0451604139881141</v>
      </c>
      <c r="AQ69" s="38">
        <f t="shared" si="72"/>
        <v>3.9852499396077707</v>
      </c>
      <c r="AR69" s="38">
        <f t="shared" si="73"/>
        <v>1.0476449753731605</v>
      </c>
      <c r="AS69" s="40"/>
      <c r="AT69" s="38">
        <f t="shared" si="74"/>
        <v>2.6509173690357462</v>
      </c>
      <c r="AU69" s="38">
        <f t="shared" si="75"/>
        <v>0</v>
      </c>
      <c r="AV69" s="38">
        <f t="shared" si="76"/>
        <v>1.2986596637959009</v>
      </c>
      <c r="AW69" s="38">
        <f t="shared" si="77"/>
        <v>0</v>
      </c>
      <c r="AX69" s="38">
        <f t="shared" si="78"/>
        <v>0</v>
      </c>
      <c r="AY69" s="38">
        <f t="shared" si="79"/>
        <v>1.2155707649230659E-2</v>
      </c>
      <c r="AZ69" s="38">
        <f t="shared" si="80"/>
        <v>0</v>
      </c>
      <c r="BA69" s="38">
        <f t="shared" si="81"/>
        <v>0</v>
      </c>
      <c r="BB69" s="38">
        <f t="shared" si="82"/>
        <v>0.29455310554901304</v>
      </c>
      <c r="BC69" s="38">
        <f t="shared" si="83"/>
        <v>0.73248913412482597</v>
      </c>
      <c r="BD69" s="38">
        <f t="shared" si="84"/>
        <v>1.1225019845284186E-2</v>
      </c>
      <c r="BE69" s="38">
        <f t="shared" si="85"/>
        <v>0</v>
      </c>
      <c r="BF69" s="38">
        <f t="shared" si="86"/>
        <v>0</v>
      </c>
      <c r="BG69" s="38">
        <f t="shared" si="87"/>
        <v>0</v>
      </c>
      <c r="BH69" s="41">
        <f t="shared" si="88"/>
        <v>5.0000000000000009</v>
      </c>
      <c r="BI69" s="42">
        <f t="shared" si="89"/>
        <v>7.9344679777732576</v>
      </c>
      <c r="BJ69" s="38">
        <f t="shared" si="90"/>
        <v>3.9495770328316473</v>
      </c>
      <c r="BK69" s="38">
        <f t="shared" si="91"/>
        <v>1.0382672595191231</v>
      </c>
      <c r="BL69" s="16"/>
      <c r="BM69" s="16">
        <f t="shared" si="92"/>
        <v>0.28369680623988502</v>
      </c>
      <c r="BN69" s="16">
        <f t="shared" si="93"/>
        <v>0.70549189277535418</v>
      </c>
      <c r="BO69" s="16">
        <f t="shared" si="94"/>
        <v>1.0811300984760986E-2</v>
      </c>
      <c r="BP69" s="15"/>
      <c r="BQ69" s="38">
        <f t="shared" si="95"/>
        <v>1.0078229027962715</v>
      </c>
      <c r="BR69" s="38">
        <f t="shared" si="96"/>
        <v>0</v>
      </c>
      <c r="BS69" s="38">
        <f t="shared" si="97"/>
        <v>0.49372302863868189</v>
      </c>
      <c r="BT69" s="38">
        <f t="shared" si="98"/>
        <v>0</v>
      </c>
      <c r="BU69" s="38">
        <f t="shared" si="99"/>
        <v>4.6213438078783397E-3</v>
      </c>
      <c r="BV69" s="38">
        <f t="shared" si="100"/>
        <v>0</v>
      </c>
      <c r="BW69" s="38">
        <f t="shared" si="101"/>
        <v>0</v>
      </c>
      <c r="BX69" s="38">
        <f t="shared" si="102"/>
        <v>0.11198288159771755</v>
      </c>
      <c r="BY69" s="38">
        <f t="shared" si="103"/>
        <v>0.2784769280413037</v>
      </c>
      <c r="BZ69" s="38">
        <f t="shared" si="104"/>
        <v>4.2675159235668787E-3</v>
      </c>
      <c r="CA69" s="38">
        <f t="shared" si="105"/>
        <v>0</v>
      </c>
      <c r="CB69" s="38">
        <f t="shared" si="106"/>
        <v>0</v>
      </c>
      <c r="CC69" s="38">
        <f t="shared" si="107"/>
        <v>0</v>
      </c>
      <c r="CD69" s="38">
        <f t="shared" si="108"/>
        <v>1.9008946008054197</v>
      </c>
      <c r="CE69" s="38">
        <f t="shared" si="109"/>
        <v>3.014206795938597</v>
      </c>
      <c r="CF69" s="38">
        <f t="shared" si="110"/>
        <v>2.6303404712083838</v>
      </c>
      <c r="CG69" s="38">
        <f t="shared" si="111"/>
        <v>7.9283901239486418</v>
      </c>
      <c r="CH69" s="15"/>
      <c r="CI69" s="16"/>
      <c r="CJ69" s="13"/>
      <c r="CK69" s="104"/>
      <c r="CL69" s="13"/>
      <c r="CM69" s="13"/>
      <c r="CN69" s="13"/>
      <c r="CO69" s="16"/>
      <c r="CP69" s="16"/>
      <c r="CQ69" s="16"/>
      <c r="CR69" s="16"/>
      <c r="CS69" s="16"/>
      <c r="CT69" s="16"/>
      <c r="CU69" s="16"/>
      <c r="CV69" s="16"/>
      <c r="CW69" s="16"/>
      <c r="CX69" s="16"/>
      <c r="CY69" s="104"/>
      <c r="CZ69" s="104"/>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3"/>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row>
    <row r="70" spans="1:167" x14ac:dyDescent="0.25">
      <c r="A70" s="35" t="s">
        <v>84</v>
      </c>
      <c r="B70" s="15">
        <v>243</v>
      </c>
      <c r="C70" s="102" t="s">
        <v>97</v>
      </c>
      <c r="D70" s="102" t="s">
        <v>104</v>
      </c>
      <c r="E70" s="15">
        <v>75</v>
      </c>
      <c r="F70" s="16">
        <v>61.48</v>
      </c>
      <c r="G70" s="16">
        <v>0</v>
      </c>
      <c r="H70" s="16">
        <v>24.25</v>
      </c>
      <c r="I70" s="16">
        <v>0</v>
      </c>
      <c r="J70" s="16">
        <v>0.37433636281832089</v>
      </c>
      <c r="K70" s="16">
        <v>0</v>
      </c>
      <c r="L70" s="16">
        <v>0</v>
      </c>
      <c r="M70" s="16">
        <v>5.46</v>
      </c>
      <c r="N70" s="16">
        <v>9.0500000000000007</v>
      </c>
      <c r="O70" s="16">
        <v>0.23</v>
      </c>
      <c r="P70" s="16">
        <v>0</v>
      </c>
      <c r="Q70" s="16"/>
      <c r="R70" s="16"/>
      <c r="S70" s="16">
        <f t="shared" si="57"/>
        <v>100.84433636281831</v>
      </c>
      <c r="T70" s="16"/>
      <c r="U70" s="15">
        <v>1</v>
      </c>
      <c r="V70" s="15">
        <v>20</v>
      </c>
      <c r="W70" s="15">
        <v>237.5</v>
      </c>
      <c r="X70" s="15" t="s">
        <v>186</v>
      </c>
      <c r="Y70" s="15"/>
      <c r="Z70" s="37">
        <v>8</v>
      </c>
      <c r="AA70" s="37">
        <v>5</v>
      </c>
      <c r="AB70" s="15"/>
      <c r="AC70" s="38">
        <f t="shared" si="58"/>
        <v>2.7187042633417486</v>
      </c>
      <c r="AD70" s="38">
        <f t="shared" si="59"/>
        <v>0</v>
      </c>
      <c r="AE70" s="38">
        <f t="shared" si="60"/>
        <v>1.2637755392591246</v>
      </c>
      <c r="AF70" s="38">
        <f t="shared" si="61"/>
        <v>0</v>
      </c>
      <c r="AG70" s="38">
        <f t="shared" si="62"/>
        <v>1.3841822545687514E-2</v>
      </c>
      <c r="AH70" s="38">
        <f t="shared" si="63"/>
        <v>0</v>
      </c>
      <c r="AI70" s="38">
        <f t="shared" si="64"/>
        <v>0</v>
      </c>
      <c r="AJ70" s="38">
        <f t="shared" si="65"/>
        <v>0.25866797974411276</v>
      </c>
      <c r="AK70" s="38">
        <f t="shared" si="66"/>
        <v>0.77586299108451084</v>
      </c>
      <c r="AL70" s="38">
        <f t="shared" si="67"/>
        <v>1.2973733191524011E-2</v>
      </c>
      <c r="AM70" s="38">
        <f t="shared" si="68"/>
        <v>0</v>
      </c>
      <c r="AN70" s="38">
        <f t="shared" si="69"/>
        <v>0</v>
      </c>
      <c r="AO70" s="38">
        <f t="shared" si="70"/>
        <v>0</v>
      </c>
      <c r="AP70" s="38">
        <f t="shared" si="71"/>
        <v>5.0438263291667083</v>
      </c>
      <c r="AQ70" s="38">
        <f t="shared" si="72"/>
        <v>3.9824798026008734</v>
      </c>
      <c r="AR70" s="38">
        <f t="shared" si="73"/>
        <v>1.0475047040201477</v>
      </c>
      <c r="AS70" s="40"/>
      <c r="AT70" s="38">
        <f t="shared" si="74"/>
        <v>2.6950811605272955</v>
      </c>
      <c r="AU70" s="38">
        <f t="shared" si="75"/>
        <v>0</v>
      </c>
      <c r="AV70" s="38">
        <f t="shared" si="76"/>
        <v>1.2527944627585077</v>
      </c>
      <c r="AW70" s="38">
        <f t="shared" si="77"/>
        <v>0</v>
      </c>
      <c r="AX70" s="38">
        <f t="shared" si="78"/>
        <v>0</v>
      </c>
      <c r="AY70" s="38">
        <f t="shared" si="79"/>
        <v>1.372154951652977E-2</v>
      </c>
      <c r="AZ70" s="38">
        <f t="shared" si="80"/>
        <v>0</v>
      </c>
      <c r="BA70" s="38">
        <f t="shared" si="81"/>
        <v>0</v>
      </c>
      <c r="BB70" s="38">
        <f t="shared" si="82"/>
        <v>0.25642038688795155</v>
      </c>
      <c r="BC70" s="38">
        <f t="shared" si="83"/>
        <v>0.76912143722907622</v>
      </c>
      <c r="BD70" s="38">
        <f t="shared" si="84"/>
        <v>1.2861003080638787E-2</v>
      </c>
      <c r="BE70" s="38">
        <f t="shared" si="85"/>
        <v>0</v>
      </c>
      <c r="BF70" s="38">
        <f t="shared" si="86"/>
        <v>0</v>
      </c>
      <c r="BG70" s="38">
        <f t="shared" si="87"/>
        <v>0</v>
      </c>
      <c r="BH70" s="41">
        <f t="shared" si="88"/>
        <v>5</v>
      </c>
      <c r="BI70" s="42">
        <f t="shared" si="89"/>
        <v>7.9373479465099557</v>
      </c>
      <c r="BJ70" s="38">
        <f t="shared" si="90"/>
        <v>3.9478756232858032</v>
      </c>
      <c r="BK70" s="38">
        <f t="shared" si="91"/>
        <v>1.0384028271976666</v>
      </c>
      <c r="BL70" s="16"/>
      <c r="BM70" s="16">
        <f t="shared" si="92"/>
        <v>0.24693729655951743</v>
      </c>
      <c r="BN70" s="16">
        <f t="shared" si="93"/>
        <v>0.74067733357843502</v>
      </c>
      <c r="BO70" s="16">
        <f t="shared" si="94"/>
        <v>1.2385369862047392E-2</v>
      </c>
      <c r="BP70" s="15"/>
      <c r="BQ70" s="38">
        <f t="shared" si="95"/>
        <v>1.0233022636484688</v>
      </c>
      <c r="BR70" s="38">
        <f t="shared" si="96"/>
        <v>0</v>
      </c>
      <c r="BS70" s="38">
        <f t="shared" si="97"/>
        <v>0.47567673597489213</v>
      </c>
      <c r="BT70" s="38">
        <f t="shared" si="98"/>
        <v>0</v>
      </c>
      <c r="BU70" s="38">
        <f t="shared" si="99"/>
        <v>5.2099702549522741E-3</v>
      </c>
      <c r="BV70" s="38">
        <f t="shared" si="100"/>
        <v>0</v>
      </c>
      <c r="BW70" s="38">
        <f t="shared" si="101"/>
        <v>0</v>
      </c>
      <c r="BX70" s="38">
        <f t="shared" si="102"/>
        <v>9.7360912981455064E-2</v>
      </c>
      <c r="BY70" s="38">
        <f t="shared" si="103"/>
        <v>0.29202968699580512</v>
      </c>
      <c r="BZ70" s="38">
        <f t="shared" si="104"/>
        <v>4.8832271762208066E-3</v>
      </c>
      <c r="CA70" s="38">
        <f t="shared" si="105"/>
        <v>0</v>
      </c>
      <c r="CB70" s="38">
        <f t="shared" si="106"/>
        <v>0</v>
      </c>
      <c r="CC70" s="38">
        <f t="shared" si="107"/>
        <v>0</v>
      </c>
      <c r="CD70" s="38">
        <f t="shared" si="108"/>
        <v>1.8984627970317942</v>
      </c>
      <c r="CE70" s="38">
        <f t="shared" si="109"/>
        <v>3.0111469715816956</v>
      </c>
      <c r="CF70" s="38">
        <f t="shared" si="110"/>
        <v>2.6337097612960298</v>
      </c>
      <c r="CG70" s="38">
        <f t="shared" si="111"/>
        <v>7.9304871717516905</v>
      </c>
      <c r="CH70" s="15"/>
      <c r="CI70" s="16"/>
      <c r="CJ70" s="13"/>
      <c r="CK70" s="104"/>
      <c r="CL70" s="13"/>
      <c r="CM70" s="13"/>
      <c r="CN70" s="13"/>
      <c r="CO70" s="16"/>
      <c r="CP70" s="16"/>
      <c r="CQ70" s="16"/>
      <c r="CR70" s="16"/>
      <c r="CS70" s="16"/>
      <c r="CT70" s="16"/>
      <c r="CU70" s="16"/>
      <c r="CV70" s="16"/>
      <c r="CW70" s="16"/>
      <c r="CX70" s="16"/>
      <c r="CY70" s="104"/>
      <c r="CZ70" s="104"/>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3"/>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row>
    <row r="71" spans="1:167" x14ac:dyDescent="0.25">
      <c r="A71" s="35" t="s">
        <v>84</v>
      </c>
      <c r="B71" s="15">
        <v>244</v>
      </c>
      <c r="C71" s="102" t="s">
        <v>97</v>
      </c>
      <c r="D71" s="102" t="s">
        <v>104</v>
      </c>
      <c r="E71" s="15">
        <v>76</v>
      </c>
      <c r="F71" s="16">
        <v>66.25</v>
      </c>
      <c r="G71" s="16">
        <v>0</v>
      </c>
      <c r="H71" s="16">
        <v>21.2</v>
      </c>
      <c r="I71" s="16">
        <v>0</v>
      </c>
      <c r="J71" s="16">
        <v>0.13947628903086476</v>
      </c>
      <c r="K71" s="16">
        <v>0</v>
      </c>
      <c r="L71" s="16">
        <v>0</v>
      </c>
      <c r="M71" s="16">
        <v>1.6</v>
      </c>
      <c r="N71" s="16">
        <v>11.52</v>
      </c>
      <c r="O71" s="16">
        <v>0.45300000000000001</v>
      </c>
      <c r="P71" s="16">
        <v>0</v>
      </c>
      <c r="Q71" s="16"/>
      <c r="R71" s="16"/>
      <c r="S71" s="16">
        <f t="shared" si="57"/>
        <v>101.16247628903086</v>
      </c>
      <c r="T71" s="16"/>
      <c r="U71" s="15">
        <v>1</v>
      </c>
      <c r="V71" s="15">
        <v>21</v>
      </c>
      <c r="W71" s="15">
        <v>250</v>
      </c>
      <c r="X71" s="15" t="s">
        <v>186</v>
      </c>
      <c r="Y71" s="15"/>
      <c r="Z71" s="37">
        <v>8</v>
      </c>
      <c r="AA71" s="37">
        <v>5</v>
      </c>
      <c r="AB71" s="15"/>
      <c r="AC71" s="38">
        <f t="shared" si="58"/>
        <v>2.8920206557953962</v>
      </c>
      <c r="AD71" s="38">
        <f t="shared" si="59"/>
        <v>0</v>
      </c>
      <c r="AE71" s="38">
        <f t="shared" si="60"/>
        <v>1.0906401004327182</v>
      </c>
      <c r="AF71" s="38">
        <f t="shared" si="61"/>
        <v>0</v>
      </c>
      <c r="AG71" s="38">
        <f t="shared" si="62"/>
        <v>5.0911869323074354E-3</v>
      </c>
      <c r="AH71" s="38">
        <f t="shared" si="63"/>
        <v>0</v>
      </c>
      <c r="AI71" s="38">
        <f t="shared" si="64"/>
        <v>0</v>
      </c>
      <c r="AJ71" s="38">
        <f t="shared" si="65"/>
        <v>7.4826840793556337E-2</v>
      </c>
      <c r="AK71" s="38">
        <f t="shared" si="66"/>
        <v>0.97493651075375942</v>
      </c>
      <c r="AL71" s="38">
        <f t="shared" si="67"/>
        <v>2.5224509314773033E-2</v>
      </c>
      <c r="AM71" s="38">
        <f t="shared" si="68"/>
        <v>0</v>
      </c>
      <c r="AN71" s="38">
        <f t="shared" si="69"/>
        <v>0</v>
      </c>
      <c r="AO71" s="38">
        <f t="shared" si="70"/>
        <v>0</v>
      </c>
      <c r="AP71" s="38">
        <f t="shared" si="71"/>
        <v>5.0627398040225113</v>
      </c>
      <c r="AQ71" s="38">
        <f t="shared" si="72"/>
        <v>3.9826607562281144</v>
      </c>
      <c r="AR71" s="38">
        <f t="shared" si="73"/>
        <v>1.0749878608620886</v>
      </c>
      <c r="AS71" s="40"/>
      <c r="AT71" s="38">
        <f t="shared" si="74"/>
        <v>2.8561814034938084</v>
      </c>
      <c r="AU71" s="38">
        <f t="shared" si="75"/>
        <v>0</v>
      </c>
      <c r="AV71" s="38">
        <f t="shared" si="76"/>
        <v>1.077124385857406</v>
      </c>
      <c r="AW71" s="38">
        <f t="shared" si="77"/>
        <v>0</v>
      </c>
      <c r="AX71" s="38">
        <f t="shared" si="78"/>
        <v>0</v>
      </c>
      <c r="AY71" s="38">
        <f t="shared" si="79"/>
        <v>5.0280945983658129E-3</v>
      </c>
      <c r="AZ71" s="38">
        <f t="shared" si="80"/>
        <v>0</v>
      </c>
      <c r="BA71" s="38">
        <f t="shared" si="81"/>
        <v>0</v>
      </c>
      <c r="BB71" s="38">
        <f t="shared" si="82"/>
        <v>7.3899552110207198E-2</v>
      </c>
      <c r="BC71" s="38">
        <f t="shared" si="83"/>
        <v>0.96285464836563484</v>
      </c>
      <c r="BD71" s="38">
        <f t="shared" si="84"/>
        <v>2.4911915574578159E-2</v>
      </c>
      <c r="BE71" s="38">
        <f t="shared" si="85"/>
        <v>0</v>
      </c>
      <c r="BF71" s="38">
        <f t="shared" si="86"/>
        <v>0</v>
      </c>
      <c r="BG71" s="38">
        <f t="shared" si="87"/>
        <v>0</v>
      </c>
      <c r="BH71" s="41">
        <f t="shared" si="88"/>
        <v>5.0000000000000009</v>
      </c>
      <c r="BI71" s="42">
        <f t="shared" si="89"/>
        <v>7.9033743617515881</v>
      </c>
      <c r="BJ71" s="38">
        <f t="shared" si="90"/>
        <v>3.9333057893512144</v>
      </c>
      <c r="BK71" s="38">
        <f t="shared" si="91"/>
        <v>1.0616661160504202</v>
      </c>
      <c r="BL71" s="16"/>
      <c r="BM71" s="16">
        <f t="shared" si="92"/>
        <v>6.9607149548227276E-2</v>
      </c>
      <c r="BN71" s="16">
        <f t="shared" si="93"/>
        <v>0.9069279256529531</v>
      </c>
      <c r="BO71" s="16">
        <f t="shared" si="94"/>
        <v>2.3464924798819762E-2</v>
      </c>
      <c r="BP71" s="15"/>
      <c r="BQ71" s="38">
        <f t="shared" si="95"/>
        <v>1.1026964047936085</v>
      </c>
      <c r="BR71" s="38">
        <f t="shared" si="96"/>
        <v>0</v>
      </c>
      <c r="BS71" s="38">
        <f t="shared" si="97"/>
        <v>0.41584935268732837</v>
      </c>
      <c r="BT71" s="38">
        <f t="shared" si="98"/>
        <v>0</v>
      </c>
      <c r="BU71" s="38">
        <f t="shared" si="99"/>
        <v>1.941214878648083E-3</v>
      </c>
      <c r="BV71" s="38">
        <f t="shared" si="100"/>
        <v>0</v>
      </c>
      <c r="BW71" s="38">
        <f t="shared" si="101"/>
        <v>0</v>
      </c>
      <c r="BX71" s="38">
        <f t="shared" si="102"/>
        <v>2.8530670470756064E-2</v>
      </c>
      <c r="BY71" s="38">
        <f t="shared" si="103"/>
        <v>0.37173281703775413</v>
      </c>
      <c r="BZ71" s="38">
        <f t="shared" si="104"/>
        <v>9.6178343949044585E-3</v>
      </c>
      <c r="CA71" s="38">
        <f t="shared" si="105"/>
        <v>0</v>
      </c>
      <c r="CB71" s="38">
        <f t="shared" si="106"/>
        <v>0</v>
      </c>
      <c r="CC71" s="38">
        <f t="shared" si="107"/>
        <v>0</v>
      </c>
      <c r="CD71" s="38">
        <f t="shared" si="108"/>
        <v>1.9303682942629996</v>
      </c>
      <c r="CE71" s="38">
        <f t="shared" si="109"/>
        <v>3.0503140496839429</v>
      </c>
      <c r="CF71" s="38">
        <f t="shared" si="110"/>
        <v>2.5901793014627623</v>
      </c>
      <c r="CG71" s="38">
        <f t="shared" si="111"/>
        <v>7.9008603144524052</v>
      </c>
      <c r="CH71" s="15"/>
      <c r="CI71" s="16"/>
      <c r="CJ71" s="13"/>
      <c r="CK71" s="104"/>
      <c r="CL71" s="13"/>
      <c r="CM71" s="13"/>
      <c r="CN71" s="13"/>
      <c r="CO71" s="16"/>
      <c r="CP71" s="16"/>
      <c r="CQ71" s="16"/>
      <c r="CR71" s="16"/>
      <c r="CS71" s="16"/>
      <c r="CT71" s="16"/>
      <c r="CU71" s="16"/>
      <c r="CV71" s="16"/>
      <c r="CW71" s="16"/>
      <c r="CX71" s="16"/>
      <c r="CY71" s="104"/>
      <c r="CZ71" s="104"/>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3"/>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row>
    <row r="72" spans="1:167" x14ac:dyDescent="0.25">
      <c r="A72" s="35" t="s">
        <v>84</v>
      </c>
      <c r="B72" s="15">
        <v>245</v>
      </c>
      <c r="C72" s="102" t="s">
        <v>97</v>
      </c>
      <c r="D72" s="102" t="s">
        <v>104</v>
      </c>
      <c r="E72" s="15">
        <v>77</v>
      </c>
      <c r="F72" s="16">
        <v>66.569999999999993</v>
      </c>
      <c r="G72" s="16">
        <v>0</v>
      </c>
      <c r="H72" s="16">
        <v>20.34</v>
      </c>
      <c r="I72" s="16">
        <v>0</v>
      </c>
      <c r="J72" s="16">
        <v>0.14577521821290382</v>
      </c>
      <c r="K72" s="16">
        <v>0</v>
      </c>
      <c r="L72" s="16">
        <v>0</v>
      </c>
      <c r="M72" s="16">
        <v>1.006</v>
      </c>
      <c r="N72" s="16">
        <v>11.83</v>
      </c>
      <c r="O72" s="16">
        <v>0.28199999999999997</v>
      </c>
      <c r="P72" s="16">
        <v>0</v>
      </c>
      <c r="Q72" s="16"/>
      <c r="R72" s="16"/>
      <c r="S72" s="16">
        <f t="shared" si="57"/>
        <v>100.1737752182129</v>
      </c>
      <c r="T72" s="16"/>
      <c r="U72" s="15">
        <v>1</v>
      </c>
      <c r="V72" s="15">
        <v>22</v>
      </c>
      <c r="W72" s="15">
        <v>262.5</v>
      </c>
      <c r="X72" s="15" t="s">
        <v>186</v>
      </c>
      <c r="Y72" s="15"/>
      <c r="Z72" s="37">
        <v>8</v>
      </c>
      <c r="AA72" s="37">
        <v>5</v>
      </c>
      <c r="AB72" s="15"/>
      <c r="AC72" s="38">
        <f t="shared" si="58"/>
        <v>2.9270716136692299</v>
      </c>
      <c r="AD72" s="38">
        <f t="shared" si="59"/>
        <v>0</v>
      </c>
      <c r="AE72" s="38">
        <f t="shared" si="60"/>
        <v>1.0539884033059266</v>
      </c>
      <c r="AF72" s="38">
        <f t="shared" si="61"/>
        <v>0</v>
      </c>
      <c r="AG72" s="38">
        <f t="shared" si="62"/>
        <v>5.3597143316477585E-3</v>
      </c>
      <c r="AH72" s="38">
        <f t="shared" si="63"/>
        <v>0</v>
      </c>
      <c r="AI72" s="38">
        <f t="shared" si="64"/>
        <v>0</v>
      </c>
      <c r="AJ72" s="38">
        <f t="shared" si="65"/>
        <v>4.7388688631828241E-2</v>
      </c>
      <c r="AK72" s="38">
        <f t="shared" si="66"/>
        <v>1.0084349373181607</v>
      </c>
      <c r="AL72" s="38">
        <f t="shared" si="67"/>
        <v>1.581659216018888E-2</v>
      </c>
      <c r="AM72" s="38">
        <f t="shared" si="68"/>
        <v>0</v>
      </c>
      <c r="AN72" s="38">
        <f t="shared" si="69"/>
        <v>0</v>
      </c>
      <c r="AO72" s="38">
        <f t="shared" si="70"/>
        <v>0</v>
      </c>
      <c r="AP72" s="38">
        <f t="shared" si="71"/>
        <v>5.0580599494169824</v>
      </c>
      <c r="AQ72" s="38">
        <f t="shared" si="72"/>
        <v>3.9810600169751567</v>
      </c>
      <c r="AR72" s="38">
        <f t="shared" si="73"/>
        <v>1.0716402181101778</v>
      </c>
      <c r="AS72" s="40"/>
      <c r="AT72" s="38">
        <f t="shared" si="74"/>
        <v>2.8934726386612115</v>
      </c>
      <c r="AU72" s="38">
        <f t="shared" si="75"/>
        <v>0</v>
      </c>
      <c r="AV72" s="38">
        <f t="shared" si="76"/>
        <v>1.0418899873136289</v>
      </c>
      <c r="AW72" s="38">
        <f t="shared" si="77"/>
        <v>0</v>
      </c>
      <c r="AX72" s="38">
        <f t="shared" si="78"/>
        <v>0</v>
      </c>
      <c r="AY72" s="38">
        <f t="shared" si="79"/>
        <v>5.2981917822717255E-3</v>
      </c>
      <c r="AZ72" s="38">
        <f t="shared" si="80"/>
        <v>0</v>
      </c>
      <c r="BA72" s="38">
        <f t="shared" si="81"/>
        <v>0</v>
      </c>
      <c r="BB72" s="38">
        <f t="shared" si="82"/>
        <v>4.6844728122776111E-2</v>
      </c>
      <c r="BC72" s="38">
        <f t="shared" si="83"/>
        <v>0.99685941586595683</v>
      </c>
      <c r="BD72" s="38">
        <f t="shared" si="84"/>
        <v>1.5635038254155114E-2</v>
      </c>
      <c r="BE72" s="38">
        <f t="shared" si="85"/>
        <v>0</v>
      </c>
      <c r="BF72" s="38">
        <f t="shared" si="86"/>
        <v>0</v>
      </c>
      <c r="BG72" s="38">
        <f t="shared" si="87"/>
        <v>0</v>
      </c>
      <c r="BH72" s="41">
        <f t="shared" si="88"/>
        <v>5</v>
      </c>
      <c r="BI72" s="42">
        <f t="shared" si="89"/>
        <v>7.9108195011491063</v>
      </c>
      <c r="BJ72" s="38">
        <f t="shared" si="90"/>
        <v>3.9353626259748404</v>
      </c>
      <c r="BK72" s="38">
        <f t="shared" si="91"/>
        <v>1.0593391822428879</v>
      </c>
      <c r="BL72" s="16"/>
      <c r="BM72" s="16">
        <f t="shared" si="92"/>
        <v>4.4220707501438791E-2</v>
      </c>
      <c r="BN72" s="16">
        <f t="shared" si="93"/>
        <v>0.94102005530972066</v>
      </c>
      <c r="BO72" s="16">
        <f t="shared" si="94"/>
        <v>1.4759237188840498E-2</v>
      </c>
      <c r="BP72" s="15"/>
      <c r="BQ72" s="38">
        <f t="shared" si="95"/>
        <v>1.108022636484687</v>
      </c>
      <c r="BR72" s="38">
        <f t="shared" si="96"/>
        <v>0</v>
      </c>
      <c r="BS72" s="38">
        <f t="shared" si="97"/>
        <v>0.39897999215378582</v>
      </c>
      <c r="BT72" s="38">
        <f t="shared" si="98"/>
        <v>0</v>
      </c>
      <c r="BU72" s="38">
        <f t="shared" si="99"/>
        <v>2.0288826473612224E-3</v>
      </c>
      <c r="BV72" s="38">
        <f t="shared" si="100"/>
        <v>0</v>
      </c>
      <c r="BW72" s="38">
        <f t="shared" si="101"/>
        <v>0</v>
      </c>
      <c r="BX72" s="38">
        <f t="shared" si="102"/>
        <v>1.7938659058487873E-2</v>
      </c>
      <c r="BY72" s="38">
        <f t="shared" si="103"/>
        <v>0.38173604388512428</v>
      </c>
      <c r="BZ72" s="38">
        <f t="shared" si="104"/>
        <v>5.9872611464968145E-3</v>
      </c>
      <c r="CA72" s="38">
        <f t="shared" si="105"/>
        <v>0</v>
      </c>
      <c r="CB72" s="38">
        <f t="shared" si="106"/>
        <v>0</v>
      </c>
      <c r="CC72" s="38">
        <f t="shared" si="107"/>
        <v>0</v>
      </c>
      <c r="CD72" s="38">
        <f t="shared" si="108"/>
        <v>1.9146934753759428</v>
      </c>
      <c r="CE72" s="38">
        <f t="shared" si="109"/>
        <v>3.0283444554217125</v>
      </c>
      <c r="CF72" s="38">
        <f t="shared" si="110"/>
        <v>2.6113840488322908</v>
      </c>
      <c r="CG72" s="38">
        <f t="shared" si="111"/>
        <v>7.9081704052579704</v>
      </c>
      <c r="CH72" s="15"/>
      <c r="CI72" s="16"/>
      <c r="CJ72" s="13"/>
      <c r="CK72" s="104"/>
      <c r="CL72" s="13"/>
      <c r="CM72" s="13"/>
      <c r="CN72" s="13"/>
      <c r="CO72" s="16"/>
      <c r="CP72" s="16"/>
      <c r="CQ72" s="16"/>
      <c r="CR72" s="16"/>
      <c r="CS72" s="16"/>
      <c r="CT72" s="16"/>
      <c r="CU72" s="16"/>
      <c r="CV72" s="16"/>
      <c r="CW72" s="16"/>
      <c r="CX72" s="16"/>
      <c r="CY72" s="104"/>
      <c r="CZ72" s="104"/>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3"/>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row>
    <row r="73" spans="1:167" x14ac:dyDescent="0.25">
      <c r="A73" s="35" t="s">
        <v>84</v>
      </c>
      <c r="B73" s="15">
        <v>248</v>
      </c>
      <c r="C73" s="102" t="s">
        <v>97</v>
      </c>
      <c r="D73" s="102" t="s">
        <v>104</v>
      </c>
      <c r="E73" s="15">
        <v>80</v>
      </c>
      <c r="F73" s="16">
        <v>67.12</v>
      </c>
      <c r="G73" s="16">
        <v>0</v>
      </c>
      <c r="H73" s="16">
        <v>20.81</v>
      </c>
      <c r="I73" s="16">
        <v>0</v>
      </c>
      <c r="J73" s="16">
        <v>0.28075227211374065</v>
      </c>
      <c r="K73" s="16">
        <v>0</v>
      </c>
      <c r="L73" s="16">
        <v>0</v>
      </c>
      <c r="M73" s="16">
        <v>1.1399999999999999</v>
      </c>
      <c r="N73" s="16">
        <v>11.86</v>
      </c>
      <c r="O73" s="16">
        <v>0.21</v>
      </c>
      <c r="P73" s="16">
        <v>0</v>
      </c>
      <c r="Q73" s="16"/>
      <c r="R73" s="16"/>
      <c r="S73" s="16">
        <f t="shared" si="57"/>
        <v>101.42075227211375</v>
      </c>
      <c r="T73" s="16"/>
      <c r="U73" s="15">
        <v>1</v>
      </c>
      <c r="V73" s="15">
        <v>25</v>
      </c>
      <c r="W73" s="15">
        <v>300</v>
      </c>
      <c r="X73" s="15" t="s">
        <v>187</v>
      </c>
      <c r="Y73" s="15"/>
      <c r="Z73" s="37">
        <v>8</v>
      </c>
      <c r="AA73" s="37">
        <v>5</v>
      </c>
      <c r="AB73" s="15"/>
      <c r="AC73" s="38">
        <f t="shared" si="58"/>
        <v>2.9164640512162472</v>
      </c>
      <c r="AD73" s="38">
        <f t="shared" si="59"/>
        <v>0</v>
      </c>
      <c r="AE73" s="38">
        <f t="shared" si="60"/>
        <v>1.0656310169606202</v>
      </c>
      <c r="AF73" s="38">
        <f t="shared" si="61"/>
        <v>0</v>
      </c>
      <c r="AG73" s="38">
        <f t="shared" si="62"/>
        <v>1.020072667608358E-2</v>
      </c>
      <c r="AH73" s="38">
        <f t="shared" si="63"/>
        <v>0</v>
      </c>
      <c r="AI73" s="38">
        <f t="shared" si="64"/>
        <v>0</v>
      </c>
      <c r="AJ73" s="38">
        <f t="shared" si="65"/>
        <v>5.3067844778366111E-2</v>
      </c>
      <c r="AK73" s="38">
        <f t="shared" si="66"/>
        <v>0.99907413707662784</v>
      </c>
      <c r="AL73" s="38">
        <f t="shared" si="67"/>
        <v>1.1639464267625098E-2</v>
      </c>
      <c r="AM73" s="38">
        <f t="shared" si="68"/>
        <v>0</v>
      </c>
      <c r="AN73" s="38">
        <f t="shared" si="69"/>
        <v>0</v>
      </c>
      <c r="AO73" s="38">
        <f t="shared" si="70"/>
        <v>0</v>
      </c>
      <c r="AP73" s="38">
        <f t="shared" si="71"/>
        <v>5.0560772409755694</v>
      </c>
      <c r="AQ73" s="38">
        <f t="shared" si="72"/>
        <v>3.9820950681768674</v>
      </c>
      <c r="AR73" s="38">
        <f t="shared" si="73"/>
        <v>1.0637814461226192</v>
      </c>
      <c r="AS73" s="40"/>
      <c r="AT73" s="38">
        <f t="shared" si="74"/>
        <v>2.884117382128359</v>
      </c>
      <c r="AU73" s="38">
        <f t="shared" si="75"/>
        <v>0</v>
      </c>
      <c r="AV73" s="38">
        <f t="shared" si="76"/>
        <v>1.0538120425895698</v>
      </c>
      <c r="AW73" s="38">
        <f t="shared" si="77"/>
        <v>0</v>
      </c>
      <c r="AX73" s="38">
        <f t="shared" si="78"/>
        <v>0</v>
      </c>
      <c r="AY73" s="38">
        <f t="shared" si="79"/>
        <v>1.0087589834876958E-2</v>
      </c>
      <c r="AZ73" s="38">
        <f t="shared" si="80"/>
        <v>0</v>
      </c>
      <c r="BA73" s="38">
        <f t="shared" si="81"/>
        <v>0</v>
      </c>
      <c r="BB73" s="38">
        <f t="shared" si="82"/>
        <v>5.2479266286017692E-2</v>
      </c>
      <c r="BC73" s="38">
        <f t="shared" si="83"/>
        <v>0.98799334885542278</v>
      </c>
      <c r="BD73" s="38">
        <f t="shared" si="84"/>
        <v>1.1510370305754334E-2</v>
      </c>
      <c r="BE73" s="38">
        <f t="shared" si="85"/>
        <v>0</v>
      </c>
      <c r="BF73" s="38">
        <f t="shared" si="86"/>
        <v>0</v>
      </c>
      <c r="BG73" s="38">
        <f t="shared" si="87"/>
        <v>0</v>
      </c>
      <c r="BH73" s="41">
        <f t="shared" si="88"/>
        <v>5.0000000000000009</v>
      </c>
      <c r="BI73" s="42">
        <f t="shared" si="89"/>
        <v>7.9163153387599952</v>
      </c>
      <c r="BJ73" s="38">
        <f t="shared" si="90"/>
        <v>3.9379294247179288</v>
      </c>
      <c r="BK73" s="38">
        <f t="shared" si="91"/>
        <v>1.0519829854471949</v>
      </c>
      <c r="BL73" s="16"/>
      <c r="BM73" s="16">
        <f t="shared" si="92"/>
        <v>4.9886040945528135E-2</v>
      </c>
      <c r="BN73" s="16">
        <f t="shared" si="93"/>
        <v>0.93917236544983629</v>
      </c>
      <c r="BO73" s="16">
        <f t="shared" si="94"/>
        <v>1.0941593604635447E-2</v>
      </c>
      <c r="BP73" s="15"/>
      <c r="BQ73" s="38">
        <f t="shared" si="95"/>
        <v>1.1171770972037285</v>
      </c>
      <c r="BR73" s="38">
        <f t="shared" si="96"/>
        <v>0</v>
      </c>
      <c r="BS73" s="38">
        <f t="shared" si="97"/>
        <v>0.40819929384072184</v>
      </c>
      <c r="BT73" s="38">
        <f t="shared" si="98"/>
        <v>0</v>
      </c>
      <c r="BU73" s="38">
        <f t="shared" si="99"/>
        <v>3.907477691214206E-3</v>
      </c>
      <c r="BV73" s="38">
        <f t="shared" si="100"/>
        <v>0</v>
      </c>
      <c r="BW73" s="38">
        <f t="shared" si="101"/>
        <v>0</v>
      </c>
      <c r="BX73" s="38">
        <f t="shared" si="102"/>
        <v>2.0328102710413694E-2</v>
      </c>
      <c r="BY73" s="38">
        <f t="shared" si="103"/>
        <v>0.38270409809616007</v>
      </c>
      <c r="BZ73" s="38">
        <f t="shared" si="104"/>
        <v>4.4585987261146496E-3</v>
      </c>
      <c r="CA73" s="38">
        <f t="shared" si="105"/>
        <v>0</v>
      </c>
      <c r="CB73" s="38">
        <f t="shared" si="106"/>
        <v>0</v>
      </c>
      <c r="CC73" s="38">
        <f t="shared" si="107"/>
        <v>0</v>
      </c>
      <c r="CD73" s="38">
        <f t="shared" si="108"/>
        <v>1.9367746682683529</v>
      </c>
      <c r="CE73" s="38">
        <f t="shared" si="109"/>
        <v>3.0644700639813047</v>
      </c>
      <c r="CF73" s="38">
        <f t="shared" si="110"/>
        <v>2.5816116257191863</v>
      </c>
      <c r="CG73" s="38">
        <f t="shared" si="111"/>
        <v>7.9112715438425552</v>
      </c>
      <c r="CH73" s="15"/>
      <c r="CI73" s="16"/>
      <c r="CJ73" s="13"/>
      <c r="CK73" s="104"/>
      <c r="CL73" s="13"/>
      <c r="CM73" s="13"/>
      <c r="CN73" s="13"/>
      <c r="CO73" s="16"/>
      <c r="CP73" s="16"/>
      <c r="CQ73" s="16"/>
      <c r="CR73" s="16"/>
      <c r="CS73" s="16"/>
      <c r="CT73" s="16"/>
      <c r="CU73" s="16"/>
      <c r="CV73" s="16"/>
      <c r="CW73" s="16"/>
      <c r="CX73" s="16"/>
      <c r="CY73" s="104"/>
      <c r="CZ73" s="104"/>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3"/>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row>
    <row r="74" spans="1:167" x14ac:dyDescent="0.25">
      <c r="A74" s="35" t="s">
        <v>84</v>
      </c>
      <c r="B74" s="15">
        <v>250</v>
      </c>
      <c r="C74" s="102" t="s">
        <v>97</v>
      </c>
      <c r="D74" s="102" t="s">
        <v>104</v>
      </c>
      <c r="E74" s="15">
        <v>82</v>
      </c>
      <c r="F74" s="16">
        <v>61.01</v>
      </c>
      <c r="G74" s="16">
        <v>0</v>
      </c>
      <c r="H74" s="16">
        <v>24.73</v>
      </c>
      <c r="I74" s="16">
        <v>0</v>
      </c>
      <c r="J74" s="16">
        <v>0.4643210654188788</v>
      </c>
      <c r="K74" s="16">
        <v>0</v>
      </c>
      <c r="L74" s="16">
        <v>0</v>
      </c>
      <c r="M74" s="16">
        <v>5.74</v>
      </c>
      <c r="N74" s="16">
        <v>9.11</v>
      </c>
      <c r="O74" s="16">
        <v>0.21299999999999999</v>
      </c>
      <c r="P74" s="16">
        <v>0</v>
      </c>
      <c r="Q74" s="16"/>
      <c r="R74" s="16"/>
      <c r="S74" s="16">
        <f t="shared" si="57"/>
        <v>101.26732106541886</v>
      </c>
      <c r="T74" s="16"/>
      <c r="U74" s="15"/>
      <c r="V74" s="15"/>
      <c r="W74" s="15"/>
      <c r="X74" s="15" t="s">
        <v>185</v>
      </c>
      <c r="Y74" s="15"/>
      <c r="Z74" s="37">
        <v>8</v>
      </c>
      <c r="AA74" s="37">
        <v>5</v>
      </c>
      <c r="AB74" s="15"/>
      <c r="AC74" s="38">
        <f t="shared" si="58"/>
        <v>2.6929923889085283</v>
      </c>
      <c r="AD74" s="38">
        <f t="shared" si="59"/>
        <v>0</v>
      </c>
      <c r="AE74" s="38">
        <f t="shared" si="60"/>
        <v>1.2864363709145981</v>
      </c>
      <c r="AF74" s="38">
        <f t="shared" si="61"/>
        <v>0</v>
      </c>
      <c r="AG74" s="38">
        <f t="shared" si="62"/>
        <v>1.713782247467811E-2</v>
      </c>
      <c r="AH74" s="38">
        <f t="shared" si="63"/>
        <v>0</v>
      </c>
      <c r="AI74" s="38">
        <f t="shared" si="64"/>
        <v>0</v>
      </c>
      <c r="AJ74" s="38">
        <f t="shared" si="65"/>
        <v>0.27143629106342682</v>
      </c>
      <c r="AK74" s="38">
        <f t="shared" si="66"/>
        <v>0.77958024572299278</v>
      </c>
      <c r="AL74" s="38">
        <f t="shared" si="67"/>
        <v>1.1992858822892487E-2</v>
      </c>
      <c r="AM74" s="38">
        <f t="shared" si="68"/>
        <v>0</v>
      </c>
      <c r="AN74" s="38">
        <f t="shared" si="69"/>
        <v>0</v>
      </c>
      <c r="AO74" s="38">
        <f t="shared" si="70"/>
        <v>0</v>
      </c>
      <c r="AP74" s="38">
        <f t="shared" si="71"/>
        <v>5.0595759779071168</v>
      </c>
      <c r="AQ74" s="38">
        <f t="shared" si="72"/>
        <v>3.9794287598231266</v>
      </c>
      <c r="AR74" s="38">
        <f t="shared" si="73"/>
        <v>1.0630093956093121</v>
      </c>
      <c r="AS74" s="40"/>
      <c r="AT74" s="38">
        <f t="shared" si="74"/>
        <v>2.6612826852167148</v>
      </c>
      <c r="AU74" s="38">
        <f t="shared" si="75"/>
        <v>0</v>
      </c>
      <c r="AV74" s="38">
        <f t="shared" si="76"/>
        <v>1.2712887172086007</v>
      </c>
      <c r="AW74" s="38">
        <f t="shared" si="77"/>
        <v>0</v>
      </c>
      <c r="AX74" s="38">
        <f t="shared" si="78"/>
        <v>0</v>
      </c>
      <c r="AY74" s="38">
        <f t="shared" si="79"/>
        <v>1.6936026407658702E-2</v>
      </c>
      <c r="AZ74" s="38">
        <f t="shared" si="80"/>
        <v>0</v>
      </c>
      <c r="BA74" s="38">
        <f t="shared" si="81"/>
        <v>0</v>
      </c>
      <c r="BB74" s="38">
        <f t="shared" si="82"/>
        <v>0.26824015712844956</v>
      </c>
      <c r="BC74" s="38">
        <f t="shared" si="83"/>
        <v>0.77040076987386641</v>
      </c>
      <c r="BD74" s="38">
        <f t="shared" si="84"/>
        <v>1.1851644164708549E-2</v>
      </c>
      <c r="BE74" s="38">
        <f t="shared" si="85"/>
        <v>0</v>
      </c>
      <c r="BF74" s="38">
        <f t="shared" si="86"/>
        <v>0</v>
      </c>
      <c r="BG74" s="38">
        <f t="shared" si="87"/>
        <v>0</v>
      </c>
      <c r="BH74" s="41">
        <f t="shared" si="88"/>
        <v>4.9999999999999982</v>
      </c>
      <c r="BI74" s="42">
        <f t="shared" si="89"/>
        <v>7.9142688500055565</v>
      </c>
      <c r="BJ74" s="38">
        <f t="shared" si="90"/>
        <v>3.9325714024253156</v>
      </c>
      <c r="BK74" s="38">
        <f t="shared" si="91"/>
        <v>1.0504925711670245</v>
      </c>
      <c r="BL74" s="16"/>
      <c r="BM74" s="16">
        <f t="shared" si="92"/>
        <v>0.25534702908984241</v>
      </c>
      <c r="BN74" s="16">
        <f t="shared" si="93"/>
        <v>0.73337098330738737</v>
      </c>
      <c r="BO74" s="16">
        <f t="shared" si="94"/>
        <v>1.1281987602770186E-2</v>
      </c>
      <c r="BP74" s="15"/>
      <c r="BQ74" s="38">
        <f t="shared" si="95"/>
        <v>1.015479360852197</v>
      </c>
      <c r="BR74" s="38">
        <f t="shared" si="96"/>
        <v>0</v>
      </c>
      <c r="BS74" s="38">
        <f t="shared" si="97"/>
        <v>0.4850921930168694</v>
      </c>
      <c r="BT74" s="38">
        <f t="shared" si="98"/>
        <v>0</v>
      </c>
      <c r="BU74" s="38">
        <f t="shared" si="99"/>
        <v>6.4623669508542632E-3</v>
      </c>
      <c r="BV74" s="38">
        <f t="shared" si="100"/>
        <v>0</v>
      </c>
      <c r="BW74" s="38">
        <f t="shared" si="101"/>
        <v>0</v>
      </c>
      <c r="BX74" s="38">
        <f t="shared" si="102"/>
        <v>0.10235378031383738</v>
      </c>
      <c r="BY74" s="38">
        <f t="shared" si="103"/>
        <v>0.29396579541787671</v>
      </c>
      <c r="BZ74" s="38">
        <f t="shared" si="104"/>
        <v>4.5222929936305726E-3</v>
      </c>
      <c r="CA74" s="38">
        <f t="shared" si="105"/>
        <v>0</v>
      </c>
      <c r="CB74" s="38">
        <f t="shared" si="106"/>
        <v>0</v>
      </c>
      <c r="CC74" s="38">
        <f t="shared" si="107"/>
        <v>0</v>
      </c>
      <c r="CD74" s="38">
        <f t="shared" si="108"/>
        <v>1.9078757895452656</v>
      </c>
      <c r="CE74" s="38">
        <f t="shared" si="109"/>
        <v>3.0166572027001433</v>
      </c>
      <c r="CF74" s="38">
        <f t="shared" si="110"/>
        <v>2.6207156814918906</v>
      </c>
      <c r="CG74" s="38">
        <f t="shared" si="111"/>
        <v>7.9058008368017267</v>
      </c>
      <c r="CH74" s="15"/>
      <c r="CI74" s="16"/>
      <c r="CJ74" s="13"/>
      <c r="CK74" s="104"/>
      <c r="CL74" s="13"/>
      <c r="CM74" s="13"/>
      <c r="CN74" s="13"/>
      <c r="CO74" s="16"/>
      <c r="CP74" s="16"/>
      <c r="CQ74" s="16"/>
      <c r="CR74" s="16"/>
      <c r="CS74" s="16"/>
      <c r="CT74" s="16"/>
      <c r="CU74" s="16"/>
      <c r="CV74" s="16"/>
      <c r="CW74" s="16"/>
      <c r="CX74" s="16"/>
      <c r="CY74" s="104"/>
      <c r="CZ74" s="104"/>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3"/>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row>
    <row r="75" spans="1:167" x14ac:dyDescent="0.25">
      <c r="A75" s="35" t="s">
        <v>250</v>
      </c>
      <c r="B75" s="15">
        <v>292</v>
      </c>
      <c r="C75" s="102" t="s">
        <v>251</v>
      </c>
      <c r="D75" s="102" t="s">
        <v>104</v>
      </c>
      <c r="E75" s="15">
        <v>124</v>
      </c>
      <c r="F75" s="16">
        <v>60.4</v>
      </c>
      <c r="G75" s="16">
        <v>0</v>
      </c>
      <c r="H75" s="16">
        <v>25.25</v>
      </c>
      <c r="I75" s="16">
        <v>0</v>
      </c>
      <c r="J75" s="16">
        <v>0.41299999999999998</v>
      </c>
      <c r="K75" s="16">
        <v>0</v>
      </c>
      <c r="L75" s="16">
        <v>0</v>
      </c>
      <c r="M75" s="16">
        <v>6.55</v>
      </c>
      <c r="N75" s="16">
        <v>7.95</v>
      </c>
      <c r="O75" s="16">
        <v>0.8</v>
      </c>
      <c r="P75" s="16">
        <v>0</v>
      </c>
      <c r="Q75" s="16"/>
      <c r="R75" s="16"/>
      <c r="S75" s="16">
        <f t="shared" si="57"/>
        <v>101.363</v>
      </c>
      <c r="T75" s="16"/>
      <c r="U75" s="15">
        <v>1</v>
      </c>
      <c r="V75" s="15">
        <v>4</v>
      </c>
      <c r="W75" s="15">
        <v>375</v>
      </c>
      <c r="X75" s="15" t="s">
        <v>186</v>
      </c>
      <c r="Y75" s="15"/>
      <c r="Z75" s="37">
        <v>8</v>
      </c>
      <c r="AA75" s="37">
        <v>5</v>
      </c>
      <c r="AB75" s="15"/>
      <c r="AC75" s="38">
        <f t="shared" si="58"/>
        <v>2.669394986381469</v>
      </c>
      <c r="AD75" s="38">
        <f t="shared" si="59"/>
        <v>0</v>
      </c>
      <c r="AE75" s="38">
        <f t="shared" si="60"/>
        <v>1.3151260402860285</v>
      </c>
      <c r="AF75" s="38">
        <f t="shared" si="61"/>
        <v>0</v>
      </c>
      <c r="AG75" s="38">
        <f t="shared" si="62"/>
        <v>1.5262620473319336E-2</v>
      </c>
      <c r="AH75" s="38">
        <f t="shared" si="63"/>
        <v>0</v>
      </c>
      <c r="AI75" s="38">
        <f t="shared" si="64"/>
        <v>0</v>
      </c>
      <c r="AJ75" s="38">
        <f t="shared" si="65"/>
        <v>0.31012667352598855</v>
      </c>
      <c r="AK75" s="38">
        <f t="shared" si="66"/>
        <v>0.68116351553016441</v>
      </c>
      <c r="AL75" s="38">
        <f t="shared" si="67"/>
        <v>4.5099830087259367E-2</v>
      </c>
      <c r="AM75" s="38">
        <f t="shared" si="68"/>
        <v>0</v>
      </c>
      <c r="AN75" s="38">
        <f t="shared" si="69"/>
        <v>0</v>
      </c>
      <c r="AO75" s="38">
        <f t="shared" si="70"/>
        <v>0</v>
      </c>
      <c r="AP75" s="38">
        <f t="shared" si="71"/>
        <v>5.0361736662842285</v>
      </c>
      <c r="AQ75" s="38">
        <f t="shared" si="72"/>
        <v>3.9845210266674975</v>
      </c>
      <c r="AR75" s="38">
        <f t="shared" si="73"/>
        <v>1.0363900191434123</v>
      </c>
      <c r="AS75" s="40"/>
      <c r="AT75" s="38">
        <f t="shared" si="74"/>
        <v>2.6502213419012137</v>
      </c>
      <c r="AU75" s="38">
        <f t="shared" si="75"/>
        <v>0</v>
      </c>
      <c r="AV75" s="38">
        <f t="shared" si="76"/>
        <v>1.3056797952485522</v>
      </c>
      <c r="AW75" s="38">
        <f t="shared" si="77"/>
        <v>0</v>
      </c>
      <c r="AX75" s="38">
        <f t="shared" si="78"/>
        <v>0</v>
      </c>
      <c r="AY75" s="38">
        <f t="shared" si="79"/>
        <v>1.5152992613716144E-2</v>
      </c>
      <c r="AZ75" s="38">
        <f t="shared" si="80"/>
        <v>0</v>
      </c>
      <c r="BA75" s="38">
        <f t="shared" si="81"/>
        <v>0</v>
      </c>
      <c r="BB75" s="38">
        <f t="shared" si="82"/>
        <v>0.3078991056267576</v>
      </c>
      <c r="BC75" s="38">
        <f t="shared" si="83"/>
        <v>0.67627087613197612</v>
      </c>
      <c r="BD75" s="38">
        <f t="shared" si="84"/>
        <v>4.4775888477784319E-2</v>
      </c>
      <c r="BE75" s="38">
        <f t="shared" si="85"/>
        <v>0</v>
      </c>
      <c r="BF75" s="38">
        <f t="shared" si="86"/>
        <v>0</v>
      </c>
      <c r="BG75" s="38">
        <f t="shared" si="87"/>
        <v>0</v>
      </c>
      <c r="BH75" s="41">
        <f t="shared" si="88"/>
        <v>5.0000000000000009</v>
      </c>
      <c r="BI75" s="42">
        <f t="shared" si="89"/>
        <v>7.9501143535274679</v>
      </c>
      <c r="BJ75" s="38">
        <f t="shared" si="90"/>
        <v>3.9559011371497661</v>
      </c>
      <c r="BK75" s="38">
        <f t="shared" si="91"/>
        <v>1.028945870236518</v>
      </c>
      <c r="BL75" s="16"/>
      <c r="BM75" s="16">
        <f t="shared" si="92"/>
        <v>0.29923741815104665</v>
      </c>
      <c r="BN75" s="16">
        <f t="shared" si="93"/>
        <v>0.65724630973690146</v>
      </c>
      <c r="BO75" s="16">
        <f t="shared" si="94"/>
        <v>4.3516272112051863E-2</v>
      </c>
      <c r="BP75" s="15"/>
      <c r="BQ75" s="38">
        <f t="shared" si="95"/>
        <v>1.0053262316910785</v>
      </c>
      <c r="BR75" s="38">
        <f t="shared" si="96"/>
        <v>0</v>
      </c>
      <c r="BS75" s="38">
        <f t="shared" si="97"/>
        <v>0.49529227147901139</v>
      </c>
      <c r="BT75" s="38">
        <f t="shared" si="98"/>
        <v>0</v>
      </c>
      <c r="BU75" s="38">
        <f t="shared" si="99"/>
        <v>5.7480862908837861E-3</v>
      </c>
      <c r="BV75" s="38">
        <f t="shared" si="100"/>
        <v>0</v>
      </c>
      <c r="BW75" s="38">
        <f t="shared" si="101"/>
        <v>0</v>
      </c>
      <c r="BX75" s="38">
        <f t="shared" si="102"/>
        <v>0.11679743223965763</v>
      </c>
      <c r="BY75" s="38">
        <f t="shared" si="103"/>
        <v>0.2565343659244918</v>
      </c>
      <c r="BZ75" s="38">
        <f t="shared" si="104"/>
        <v>1.6985138004246284E-2</v>
      </c>
      <c r="CA75" s="38">
        <f t="shared" si="105"/>
        <v>0</v>
      </c>
      <c r="CB75" s="38">
        <f t="shared" si="106"/>
        <v>0</v>
      </c>
      <c r="CC75" s="38">
        <f t="shared" si="107"/>
        <v>0</v>
      </c>
      <c r="CD75" s="38">
        <f t="shared" si="108"/>
        <v>1.8966835256293695</v>
      </c>
      <c r="CE75" s="38">
        <f t="shared" si="109"/>
        <v>3.0128961410955846</v>
      </c>
      <c r="CF75" s="38">
        <f t="shared" si="110"/>
        <v>2.6361804341295518</v>
      </c>
      <c r="CG75" s="38">
        <f t="shared" si="111"/>
        <v>7.9425378572206098</v>
      </c>
      <c r="CH75" s="15"/>
      <c r="CI75" s="16">
        <v>11.61358932225702</v>
      </c>
      <c r="CJ75" s="13">
        <v>38615.859130369499</v>
      </c>
      <c r="CK75" s="104">
        <v>112.28098350043327</v>
      </c>
      <c r="CL75" s="13">
        <v>139276.42137478304</v>
      </c>
      <c r="CM75" s="13">
        <v>260725.10540397582</v>
      </c>
      <c r="CN75" s="13">
        <v>64827.654745436528</v>
      </c>
      <c r="CO75" s="16">
        <v>0</v>
      </c>
      <c r="CP75" s="16">
        <v>235.5415798511124</v>
      </c>
      <c r="CQ75" s="16">
        <v>0.63642694870420868</v>
      </c>
      <c r="CR75" s="16">
        <v>1.5296587681495546</v>
      </c>
      <c r="CS75" s="16">
        <v>22.872628611218218</v>
      </c>
      <c r="CT75" s="16">
        <v>0</v>
      </c>
      <c r="CU75" s="16">
        <v>0</v>
      </c>
      <c r="CV75" s="16">
        <v>0</v>
      </c>
      <c r="CW75" s="16">
        <v>5.9174629329364334</v>
      </c>
      <c r="CX75" s="16">
        <v>1.6048020914434669</v>
      </c>
      <c r="CY75" s="104">
        <v>391.97990203583305</v>
      </c>
      <c r="CZ75" s="104">
        <v>396.61667948596903</v>
      </c>
      <c r="DA75" s="16">
        <v>0.58479599253129411</v>
      </c>
      <c r="DB75" s="16">
        <v>0</v>
      </c>
      <c r="DC75" s="16">
        <v>0</v>
      </c>
      <c r="DD75" s="16">
        <v>0</v>
      </c>
      <c r="DE75" s="16">
        <v>234.15053515526677</v>
      </c>
      <c r="DF75" s="16">
        <v>6.8325923567755131</v>
      </c>
      <c r="DG75" s="16">
        <v>10.09460621859869</v>
      </c>
      <c r="DH75" s="16">
        <v>0.91604156506776901</v>
      </c>
      <c r="DI75" s="16">
        <v>3.0824371943180302</v>
      </c>
      <c r="DJ75" s="16">
        <v>0.35465141680301543</v>
      </c>
      <c r="DK75" s="16">
        <v>1.4159196422260616</v>
      </c>
      <c r="DL75" s="16">
        <v>0.16960675424405541</v>
      </c>
      <c r="DM75" s="16">
        <v>4.2940491072007404E-2</v>
      </c>
      <c r="DN75" s="16">
        <v>0.15281358736707462</v>
      </c>
      <c r="DO75" s="16">
        <v>2.1404370145959611E-2</v>
      </c>
      <c r="DP75" s="16">
        <v>0.11392935892123439</v>
      </c>
      <c r="DQ75" s="16">
        <v>0</v>
      </c>
      <c r="DR75" s="16">
        <v>0</v>
      </c>
      <c r="DS75" s="16">
        <v>0</v>
      </c>
      <c r="DT75" s="16">
        <v>0</v>
      </c>
      <c r="DU75" s="16">
        <v>0</v>
      </c>
      <c r="DV75" s="16">
        <v>8.2902068014117098</v>
      </c>
      <c r="DW75" s="16">
        <v>6.5240852904623701E-3</v>
      </c>
      <c r="DX75" s="16">
        <v>0</v>
      </c>
      <c r="DY75" s="16">
        <f>(DK75/0.05883)/SQRT((DJ75/0.1536)*(DL75/0.2069))</f>
        <v>17.494163863853032</v>
      </c>
      <c r="DZ75" s="16"/>
      <c r="EA75" s="13">
        <f>1128+200*((BM75-0.4)/0.4) -273</f>
        <v>804.61870907552338</v>
      </c>
      <c r="EB75" s="16"/>
      <c r="EC75" s="16">
        <f>(-18.482 -16.353 * BM75)/(0.008314 * (EA75+273))</f>
        <v>-2.6090623416193686</v>
      </c>
      <c r="ED75" s="16"/>
      <c r="EE75" s="16"/>
      <c r="EF75" s="16"/>
      <c r="EG75" s="16"/>
      <c r="EH75" s="16"/>
      <c r="EI75" s="16"/>
      <c r="EJ75" s="16"/>
      <c r="EK75" s="16"/>
      <c r="EL75" s="16">
        <f>(23.856 -20.71 * BM75)/(0.008314 * (EA75+273))</f>
        <v>1.9709965970699799</v>
      </c>
      <c r="EM75" s="16"/>
      <c r="EN75" s="16">
        <f>(-4.5269  -51.811 * BM75)/(0.008314 * (EA75+273)) +N("eqn50a")</f>
        <v>-2.2357372566529361</v>
      </c>
      <c r="EO75" s="16" t="e">
        <f>(-187.27 + 2.26018 *#REF!)/(0.008314 * (EA75+273)) +N("fsp eqn35 from SiO2")</f>
        <v>#REF!</v>
      </c>
      <c r="EP75" s="16"/>
      <c r="EQ75" s="16"/>
      <c r="ER75" s="16">
        <f>(10.146 -35.204 * BM75)/(0.008314 * (EA75+273))</f>
        <v>-4.3346368271594292E-2</v>
      </c>
      <c r="ES75" s="16">
        <f>(2.1146 -37.009 * BM75)/(0.008314 * (EA75+273))</f>
        <v>-1.0000620204409949</v>
      </c>
      <c r="ET75" s="16">
        <f>(-3.6812 -33.822 * BM75)/(0.008314 * (EA75+273))</f>
        <v>-1.5405192533498719</v>
      </c>
      <c r="EU75" s="16">
        <f>(-6.8025 -26.094 * BM75)/(0.008314 * (EA75+273))</f>
        <v>-1.63079318672232</v>
      </c>
      <c r="EV75" s="16">
        <f>(-5.6996 -30.85 * BM75)/(0.008314 * (EA75+273))</f>
        <v>-1.6665406643341214</v>
      </c>
      <c r="EW75" s="16">
        <f>(-8.6767 -33.32 * BM75)/(0.008314 * (EA75+273))</f>
        <v>-2.0813283508031999</v>
      </c>
      <c r="EX75" s="16"/>
      <c r="EY75" s="16">
        <f>(-1.9714 -59.897 * BM75)/(0.008314 * (EA75+273))</f>
        <v>-2.2205724665459927</v>
      </c>
      <c r="EZ75" s="16">
        <f>(-4.3691 -44.528 * BM75)/(0.008314 * (EA75+273))</f>
        <v>-1.9748753152969356</v>
      </c>
      <c r="FA75" s="16">
        <f>(-2.2521 -58.215 * BM75)/(0.008314 * (EA75+273))</f>
        <v>-2.1957249012234521</v>
      </c>
      <c r="FB75" s="16"/>
      <c r="FC75" s="16">
        <f>(-8.5 - 57.253 * BM75)/(0.008314 * (EA75+273))</f>
        <v>-2.8609575649034853</v>
      </c>
      <c r="FD75" s="16"/>
      <c r="FE75" s="16">
        <f>(-9.2954 -52.923 * BM75)/(0.008314 * (EA75+273))</f>
        <v>-2.805116506446224</v>
      </c>
      <c r="FF75" s="16">
        <f>(0.61501 -70.378 * BM75)/(0.008314 * (EA75+273))</f>
        <v>-2.2819495866984467</v>
      </c>
      <c r="FG75" s="16"/>
      <c r="FH75" s="16"/>
      <c r="FI75" s="16"/>
      <c r="FJ75" s="16"/>
      <c r="FK75" s="16"/>
    </row>
    <row r="76" spans="1:167" x14ac:dyDescent="0.25">
      <c r="A76" s="35" t="s">
        <v>250</v>
      </c>
      <c r="B76" s="15">
        <v>293</v>
      </c>
      <c r="C76" s="102" t="s">
        <v>251</v>
      </c>
      <c r="D76" s="102" t="s">
        <v>104</v>
      </c>
      <c r="E76" s="15">
        <v>125</v>
      </c>
      <c r="F76" s="16">
        <v>51.93</v>
      </c>
      <c r="G76" s="16">
        <v>0</v>
      </c>
      <c r="H76" s="16">
        <v>30.9</v>
      </c>
      <c r="I76" s="16">
        <v>0</v>
      </c>
      <c r="J76" s="16">
        <v>0.42</v>
      </c>
      <c r="K76" s="16">
        <v>0</v>
      </c>
      <c r="L76" s="16">
        <v>0</v>
      </c>
      <c r="M76" s="16">
        <v>13.01</v>
      </c>
      <c r="N76" s="16">
        <v>4.2699999999999996</v>
      </c>
      <c r="O76" s="16">
        <v>0.29699999999999999</v>
      </c>
      <c r="P76" s="16">
        <v>0</v>
      </c>
      <c r="Q76" s="16"/>
      <c r="R76" s="16"/>
      <c r="S76" s="16">
        <f t="shared" si="57"/>
        <v>100.827</v>
      </c>
      <c r="T76" s="16"/>
      <c r="U76" s="15">
        <v>1</v>
      </c>
      <c r="V76" s="15">
        <v>3</v>
      </c>
      <c r="W76" s="15">
        <v>250</v>
      </c>
      <c r="X76" s="15" t="s">
        <v>185</v>
      </c>
      <c r="Y76" s="15"/>
      <c r="Z76" s="37">
        <v>8</v>
      </c>
      <c r="AA76" s="37">
        <v>5</v>
      </c>
      <c r="AB76" s="15"/>
      <c r="AC76" s="38">
        <f t="shared" si="58"/>
        <v>2.3457771223633701</v>
      </c>
      <c r="AD76" s="38">
        <f t="shared" si="59"/>
        <v>0</v>
      </c>
      <c r="AE76" s="38">
        <f t="shared" si="60"/>
        <v>1.6449662660036479</v>
      </c>
      <c r="AF76" s="38">
        <f t="shared" si="61"/>
        <v>0</v>
      </c>
      <c r="AG76" s="38">
        <f t="shared" si="62"/>
        <v>1.5864298239618997E-2</v>
      </c>
      <c r="AH76" s="38">
        <f t="shared" si="63"/>
        <v>0</v>
      </c>
      <c r="AI76" s="38">
        <f t="shared" si="64"/>
        <v>0</v>
      </c>
      <c r="AJ76" s="38">
        <f t="shared" si="65"/>
        <v>0.62960423328074233</v>
      </c>
      <c r="AK76" s="38">
        <f t="shared" si="66"/>
        <v>0.37394234451712449</v>
      </c>
      <c r="AL76" s="38">
        <f t="shared" si="67"/>
        <v>1.7113304977729126E-2</v>
      </c>
      <c r="AM76" s="38">
        <f t="shared" si="68"/>
        <v>0</v>
      </c>
      <c r="AN76" s="38">
        <f t="shared" si="69"/>
        <v>0</v>
      </c>
      <c r="AO76" s="38">
        <f t="shared" si="70"/>
        <v>0</v>
      </c>
      <c r="AP76" s="38">
        <f t="shared" si="71"/>
        <v>5.027267569382234</v>
      </c>
      <c r="AQ76" s="38">
        <f t="shared" si="72"/>
        <v>3.9907433883670178</v>
      </c>
      <c r="AR76" s="38">
        <f t="shared" si="73"/>
        <v>1.0206598827755962</v>
      </c>
      <c r="AS76" s="40"/>
      <c r="AT76" s="38">
        <f t="shared" si="74"/>
        <v>2.3330537811931373</v>
      </c>
      <c r="AU76" s="38">
        <f t="shared" si="75"/>
        <v>0</v>
      </c>
      <c r="AV76" s="38">
        <f t="shared" si="76"/>
        <v>1.6360440769276448</v>
      </c>
      <c r="AW76" s="38">
        <f t="shared" si="77"/>
        <v>0</v>
      </c>
      <c r="AX76" s="38">
        <f t="shared" si="78"/>
        <v>0</v>
      </c>
      <c r="AY76" s="38">
        <f t="shared" si="79"/>
        <v>1.5778251327060809E-2</v>
      </c>
      <c r="AZ76" s="38">
        <f t="shared" si="80"/>
        <v>0</v>
      </c>
      <c r="BA76" s="38">
        <f t="shared" si="81"/>
        <v>0</v>
      </c>
      <c r="BB76" s="38">
        <f t="shared" si="82"/>
        <v>0.62618930123716299</v>
      </c>
      <c r="BC76" s="38">
        <f t="shared" si="83"/>
        <v>0.37191410578040479</v>
      </c>
      <c r="BD76" s="38">
        <f t="shared" si="84"/>
        <v>1.702048353458941E-2</v>
      </c>
      <c r="BE76" s="38">
        <f t="shared" si="85"/>
        <v>0</v>
      </c>
      <c r="BF76" s="38">
        <f t="shared" si="86"/>
        <v>0</v>
      </c>
      <c r="BG76" s="38">
        <f t="shared" si="87"/>
        <v>0</v>
      </c>
      <c r="BH76" s="41">
        <f t="shared" si="88"/>
        <v>5.0000000000000009</v>
      </c>
      <c r="BI76" s="42">
        <f t="shared" si="89"/>
        <v>7.9644976506629934</v>
      </c>
      <c r="BJ76" s="38">
        <f t="shared" si="90"/>
        <v>3.9690978581207821</v>
      </c>
      <c r="BK76" s="38">
        <f t="shared" si="91"/>
        <v>1.0151238905521573</v>
      </c>
      <c r="BL76" s="16"/>
      <c r="BM76" s="16">
        <f t="shared" si="92"/>
        <v>0.61685997843727147</v>
      </c>
      <c r="BN76" s="16">
        <f t="shared" si="93"/>
        <v>0.36637311882996781</v>
      </c>
      <c r="BO76" s="16">
        <f t="shared" si="94"/>
        <v>1.6766902732760471E-2</v>
      </c>
      <c r="BP76" s="15"/>
      <c r="BQ76" s="38">
        <f t="shared" si="95"/>
        <v>0.86434753661784292</v>
      </c>
      <c r="BR76" s="38">
        <f t="shared" si="96"/>
        <v>0</v>
      </c>
      <c r="BS76" s="38">
        <f t="shared" si="97"/>
        <v>0.60612004707728517</v>
      </c>
      <c r="BT76" s="38">
        <f t="shared" si="98"/>
        <v>0</v>
      </c>
      <c r="BU76" s="38">
        <f t="shared" si="99"/>
        <v>5.8455114822546974E-3</v>
      </c>
      <c r="BV76" s="38">
        <f t="shared" si="100"/>
        <v>0</v>
      </c>
      <c r="BW76" s="38">
        <f t="shared" si="101"/>
        <v>0</v>
      </c>
      <c r="BX76" s="38">
        <f t="shared" si="102"/>
        <v>0.23199001426533525</v>
      </c>
      <c r="BY76" s="38">
        <f t="shared" si="103"/>
        <v>0.1377863827040981</v>
      </c>
      <c r="BZ76" s="38">
        <f t="shared" si="104"/>
        <v>6.3057324840764322E-3</v>
      </c>
      <c r="CA76" s="38">
        <f t="shared" si="105"/>
        <v>0</v>
      </c>
      <c r="CB76" s="38">
        <f t="shared" si="106"/>
        <v>0</v>
      </c>
      <c r="CC76" s="38">
        <f t="shared" si="107"/>
        <v>0</v>
      </c>
      <c r="CD76" s="38">
        <f t="shared" si="108"/>
        <v>1.8523952246308926</v>
      </c>
      <c r="CE76" s="38">
        <f t="shared" si="109"/>
        <v>2.9477567271932905</v>
      </c>
      <c r="CF76" s="38">
        <f t="shared" si="110"/>
        <v>2.6992079948793313</v>
      </c>
      <c r="CG76" s="38">
        <f t="shared" si="111"/>
        <v>7.9566085249994618</v>
      </c>
      <c r="CH76" s="15"/>
      <c r="CI76" s="16"/>
      <c r="CJ76" s="13"/>
      <c r="CK76" s="104"/>
      <c r="CL76" s="13"/>
      <c r="CM76" s="13"/>
      <c r="CN76" s="13"/>
      <c r="CO76" s="16"/>
      <c r="CP76" s="16"/>
      <c r="CQ76" s="16"/>
      <c r="CR76" s="16"/>
      <c r="CS76" s="16"/>
      <c r="CT76" s="16"/>
      <c r="CU76" s="16"/>
      <c r="CV76" s="16"/>
      <c r="CW76" s="16"/>
      <c r="CX76" s="16"/>
      <c r="CY76" s="104"/>
      <c r="CZ76" s="104"/>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3"/>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row>
    <row r="77" spans="1:167" x14ac:dyDescent="0.25">
      <c r="A77" s="35" t="s">
        <v>250</v>
      </c>
      <c r="B77" s="15">
        <v>294</v>
      </c>
      <c r="C77" s="102" t="s">
        <v>251</v>
      </c>
      <c r="D77" s="102" t="s">
        <v>104</v>
      </c>
      <c r="E77" s="15">
        <v>126</v>
      </c>
      <c r="F77" s="16">
        <v>52.28</v>
      </c>
      <c r="G77" s="16">
        <v>0</v>
      </c>
      <c r="H77" s="16">
        <v>30.05</v>
      </c>
      <c r="I77" s="16">
        <v>0</v>
      </c>
      <c r="J77" s="16">
        <v>0.29799999999999999</v>
      </c>
      <c r="K77" s="16">
        <v>0</v>
      </c>
      <c r="L77" s="16">
        <v>0</v>
      </c>
      <c r="M77" s="16">
        <v>12.2</v>
      </c>
      <c r="N77" s="16">
        <v>4.5199999999999996</v>
      </c>
      <c r="O77" s="16">
        <v>0.28599999999999998</v>
      </c>
      <c r="P77" s="16">
        <v>0</v>
      </c>
      <c r="Q77" s="16"/>
      <c r="R77" s="16"/>
      <c r="S77" s="16">
        <f t="shared" si="57"/>
        <v>99.634</v>
      </c>
      <c r="T77" s="16"/>
      <c r="U77" s="15">
        <v>1</v>
      </c>
      <c r="V77" s="15">
        <v>2</v>
      </c>
      <c r="W77" s="15">
        <v>125</v>
      </c>
      <c r="X77" s="15" t="s">
        <v>185</v>
      </c>
      <c r="Y77" s="15"/>
      <c r="Z77" s="37">
        <v>8</v>
      </c>
      <c r="AA77" s="37">
        <v>5</v>
      </c>
      <c r="AB77" s="15"/>
      <c r="AC77" s="38">
        <f t="shared" si="58"/>
        <v>2.3822629032299023</v>
      </c>
      <c r="AD77" s="38">
        <f t="shared" si="59"/>
        <v>0</v>
      </c>
      <c r="AE77" s="38">
        <f t="shared" si="60"/>
        <v>1.6137218454567748</v>
      </c>
      <c r="AF77" s="38">
        <f t="shared" si="61"/>
        <v>0</v>
      </c>
      <c r="AG77" s="38">
        <f t="shared" si="62"/>
        <v>1.1354644057655306E-2</v>
      </c>
      <c r="AH77" s="38">
        <f t="shared" si="63"/>
        <v>0</v>
      </c>
      <c r="AI77" s="38">
        <f t="shared" si="64"/>
        <v>0</v>
      </c>
      <c r="AJ77" s="38">
        <f t="shared" si="65"/>
        <v>0.595574176249827</v>
      </c>
      <c r="AK77" s="38">
        <f t="shared" si="66"/>
        <v>0.39930145397110689</v>
      </c>
      <c r="AL77" s="38">
        <f t="shared" si="67"/>
        <v>1.6623756123994683E-2</v>
      </c>
      <c r="AM77" s="38">
        <f t="shared" si="68"/>
        <v>0</v>
      </c>
      <c r="AN77" s="38">
        <f t="shared" si="69"/>
        <v>0</v>
      </c>
      <c r="AO77" s="38">
        <f t="shared" si="70"/>
        <v>0</v>
      </c>
      <c r="AP77" s="38">
        <f t="shared" si="71"/>
        <v>5.0188387790892612</v>
      </c>
      <c r="AQ77" s="38">
        <f t="shared" si="72"/>
        <v>3.9959847486866771</v>
      </c>
      <c r="AR77" s="38">
        <f t="shared" si="73"/>
        <v>1.0114993863449284</v>
      </c>
      <c r="AS77" s="40"/>
      <c r="AT77" s="38">
        <f t="shared" si="74"/>
        <v>2.3733208099406187</v>
      </c>
      <c r="AU77" s="38">
        <f t="shared" si="75"/>
        <v>0</v>
      </c>
      <c r="AV77" s="38">
        <f t="shared" si="76"/>
        <v>1.6076645579653459</v>
      </c>
      <c r="AW77" s="38">
        <f t="shared" si="77"/>
        <v>0</v>
      </c>
      <c r="AX77" s="38">
        <f t="shared" si="78"/>
        <v>0</v>
      </c>
      <c r="AY77" s="38">
        <f t="shared" si="79"/>
        <v>1.1312023116745508E-2</v>
      </c>
      <c r="AZ77" s="38">
        <f t="shared" si="80"/>
        <v>0</v>
      </c>
      <c r="BA77" s="38">
        <f t="shared" si="81"/>
        <v>0</v>
      </c>
      <c r="BB77" s="38">
        <f t="shared" si="82"/>
        <v>0.59333862120781489</v>
      </c>
      <c r="BC77" s="38">
        <f t="shared" si="83"/>
        <v>0.39780263079457373</v>
      </c>
      <c r="BD77" s="38">
        <f t="shared" si="84"/>
        <v>1.6561356974900972E-2</v>
      </c>
      <c r="BE77" s="38">
        <f t="shared" si="85"/>
        <v>0</v>
      </c>
      <c r="BF77" s="38">
        <f t="shared" si="86"/>
        <v>0</v>
      </c>
      <c r="BG77" s="38">
        <f t="shared" si="87"/>
        <v>0</v>
      </c>
      <c r="BH77" s="41">
        <f t="shared" si="88"/>
        <v>4.9999999999999991</v>
      </c>
      <c r="BI77" s="42">
        <f t="shared" si="89"/>
        <v>7.9756271065969271</v>
      </c>
      <c r="BJ77" s="38">
        <f t="shared" si="90"/>
        <v>3.9809853679059648</v>
      </c>
      <c r="BK77" s="38">
        <f t="shared" si="91"/>
        <v>1.0077026089772896</v>
      </c>
      <c r="BL77" s="16"/>
      <c r="BM77" s="16">
        <f t="shared" si="92"/>
        <v>0.58880329962625599</v>
      </c>
      <c r="BN77" s="16">
        <f t="shared" si="93"/>
        <v>0.39476193397802251</v>
      </c>
      <c r="BO77" s="16">
        <f t="shared" si="94"/>
        <v>1.6434766395721633E-2</v>
      </c>
      <c r="BP77" s="15"/>
      <c r="BQ77" s="38">
        <f t="shared" si="95"/>
        <v>0.87017310252996005</v>
      </c>
      <c r="BR77" s="38">
        <f t="shared" si="96"/>
        <v>0</v>
      </c>
      <c r="BS77" s="38">
        <f t="shared" si="97"/>
        <v>0.58944684189878394</v>
      </c>
      <c r="BT77" s="38">
        <f t="shared" si="98"/>
        <v>0</v>
      </c>
      <c r="BU77" s="38">
        <f t="shared" si="99"/>
        <v>4.1475295755045239E-3</v>
      </c>
      <c r="BV77" s="38">
        <f t="shared" si="100"/>
        <v>0</v>
      </c>
      <c r="BW77" s="38">
        <f t="shared" si="101"/>
        <v>0</v>
      </c>
      <c r="BX77" s="38">
        <f t="shared" si="102"/>
        <v>0.21754636233951496</v>
      </c>
      <c r="BY77" s="38">
        <f t="shared" si="103"/>
        <v>0.14585350112939657</v>
      </c>
      <c r="BZ77" s="38">
        <f t="shared" si="104"/>
        <v>6.0721868365180461E-3</v>
      </c>
      <c r="CA77" s="38">
        <f t="shared" si="105"/>
        <v>0</v>
      </c>
      <c r="CB77" s="38">
        <f t="shared" si="106"/>
        <v>0</v>
      </c>
      <c r="CC77" s="38">
        <f t="shared" si="107"/>
        <v>0</v>
      </c>
      <c r="CD77" s="38">
        <f t="shared" si="108"/>
        <v>1.8332395243096782</v>
      </c>
      <c r="CE77" s="38">
        <f t="shared" si="109"/>
        <v>2.9221732038060728</v>
      </c>
      <c r="CF77" s="38">
        <f t="shared" si="110"/>
        <v>2.7274122850273983</v>
      </c>
      <c r="CG77" s="38">
        <f t="shared" si="111"/>
        <v>7.9699710950385541</v>
      </c>
      <c r="CH77" s="15"/>
      <c r="CI77" s="16">
        <v>20.150301684000926</v>
      </c>
      <c r="CJ77" s="13">
        <v>32734.990562011786</v>
      </c>
      <c r="CK77" s="104">
        <v>133.40984935032077</v>
      </c>
      <c r="CL77" s="13">
        <v>153048.11620389423</v>
      </c>
      <c r="CM77" s="13">
        <v>259120.81057856174</v>
      </c>
      <c r="CN77" s="13">
        <v>75142.054038265123</v>
      </c>
      <c r="CO77" s="16">
        <v>1.061239942404256</v>
      </c>
      <c r="CP77" s="16">
        <v>326.79020188771125</v>
      </c>
      <c r="CQ77" s="16">
        <v>2.4203974784752629</v>
      </c>
      <c r="CR77" s="16">
        <v>0</v>
      </c>
      <c r="CS77" s="16">
        <v>30.502546649941092</v>
      </c>
      <c r="CT77" s="16">
        <v>0.53905717054501301</v>
      </c>
      <c r="CU77" s="16">
        <v>0</v>
      </c>
      <c r="CV77" s="16">
        <v>2.1993787152790083</v>
      </c>
      <c r="CW77" s="16">
        <v>5.9753116459993318</v>
      </c>
      <c r="CX77" s="16">
        <v>1.6714650746213415</v>
      </c>
      <c r="CY77" s="104">
        <v>410.94467111770439</v>
      </c>
      <c r="CZ77" s="104">
        <v>396.05885401019651</v>
      </c>
      <c r="DA77" s="16">
        <v>0.86629305719571503</v>
      </c>
      <c r="DB77" s="16">
        <v>0</v>
      </c>
      <c r="DC77" s="16">
        <v>0</v>
      </c>
      <c r="DD77" s="16">
        <v>0</v>
      </c>
      <c r="DE77" s="16">
        <v>148.08752822522169</v>
      </c>
      <c r="DF77" s="16">
        <v>4.4609944062112801</v>
      </c>
      <c r="DG77" s="16">
        <v>7.7968741243380286</v>
      </c>
      <c r="DH77" s="16">
        <v>0.75616115502697301</v>
      </c>
      <c r="DI77" s="16">
        <v>2.4036783790020642</v>
      </c>
      <c r="DJ77" s="16">
        <v>0.69864452058653825</v>
      </c>
      <c r="DK77" s="16">
        <v>0.79077064262965424</v>
      </c>
      <c r="DL77" s="16">
        <v>0.39558333322946748</v>
      </c>
      <c r="DM77" s="16">
        <v>3.0618701092323595E-2</v>
      </c>
      <c r="DN77" s="16">
        <v>7.6294000784090932E-2</v>
      </c>
      <c r="DO77" s="16">
        <v>0</v>
      </c>
      <c r="DP77" s="16">
        <v>8.4570337974137599E-2</v>
      </c>
      <c r="DQ77" s="16">
        <v>0</v>
      </c>
      <c r="DR77" s="16">
        <v>0</v>
      </c>
      <c r="DS77" s="16">
        <v>2.4024591486844018E-2</v>
      </c>
      <c r="DT77" s="16">
        <v>0</v>
      </c>
      <c r="DU77" s="16">
        <v>0</v>
      </c>
      <c r="DV77" s="16">
        <v>4.5647328385459369</v>
      </c>
      <c r="DW77" s="16">
        <v>8.4962079201514416E-3</v>
      </c>
      <c r="DX77" s="16">
        <v>0</v>
      </c>
      <c r="DY77" s="16">
        <f>(DK77/0.05883)/SQRT((DJ77/0.1536)*(DL77/0.2069))</f>
        <v>4.5580640241076589</v>
      </c>
      <c r="DZ77" s="16"/>
      <c r="EA77" s="13">
        <f>1128+200*((BM77-0.4)/0.4) -273</f>
        <v>949.40164981312796</v>
      </c>
      <c r="EB77" s="16"/>
      <c r="EC77" s="16">
        <f>(-18.482 -16.353 * BM77)/(0.008314 * (EA77+273))</f>
        <v>-2.7659716109971706</v>
      </c>
      <c r="ED77" s="16"/>
      <c r="EE77" s="16"/>
      <c r="EF77" s="16"/>
      <c r="EG77" s="16"/>
      <c r="EH77" s="16"/>
      <c r="EI77" s="16"/>
      <c r="EJ77" s="16"/>
      <c r="EK77" s="16"/>
      <c r="EL77" s="16">
        <f>(23.856 -20.71 * BM77)/(0.008314 * (EA77+273))</f>
        <v>1.1474790288296361</v>
      </c>
      <c r="EM77" s="16"/>
      <c r="EN77" s="16">
        <f>(-4.5269  -51.811 * BM77)/(0.008314 * (EA77+273)) +N("eqn50a")</f>
        <v>-3.447134177944688</v>
      </c>
      <c r="EO77" s="16" t="e">
        <f>(-187.27 + 2.26018 *#REF!)/(0.008314 * (EA77+273)) +N("fsp eqn35 from SiO2")</f>
        <v>#REF!</v>
      </c>
      <c r="EP77" s="16"/>
      <c r="EQ77" s="16"/>
      <c r="ER77" s="16">
        <f>(10.146 -35.204 * BM77)/(0.008314 * (EA77+273))</f>
        <v>-1.0412459010019466</v>
      </c>
      <c r="ES77" s="16">
        <f>(2.1146 -37.009 * BM77)/(0.008314 * (EA77+273))</f>
        <v>-1.9360749490788205</v>
      </c>
      <c r="ET77" s="16">
        <f>(-3.6812 -33.822 * BM77)/(0.008314 * (EA77+273))</f>
        <v>-2.3217155706382795</v>
      </c>
      <c r="EU77" s="16">
        <f>(-6.8025 -26.094 * BM77)/(0.008314 * (EA77+273))</f>
        <v>-2.1811109020773829</v>
      </c>
      <c r="EV77" s="16">
        <f>(-5.6996 -30.85 * BM77)/(0.008314 * (EA77+273))</f>
        <v>-2.3481325088998641</v>
      </c>
      <c r="EW77" s="16">
        <f>(-8.6767 -33.32 * BM77)/(0.008314 * (EA77+273))</f>
        <v>-2.784167490539875</v>
      </c>
      <c r="EX77" s="16"/>
      <c r="EY77" s="16">
        <f>(-1.9714 -59.897 * BM77)/(0.008314 * (EA77+273))</f>
        <v>-3.6641521069261902</v>
      </c>
      <c r="EZ77" s="16">
        <f>(-4.3691 -44.528 * BM77)/(0.008314 * (EA77+273))</f>
        <v>-3.0096616076911324</v>
      </c>
      <c r="FA77" s="16">
        <f>(-2.2521 -58.215 * BM77)/(0.008314 * (EA77+273))</f>
        <v>-3.5943239217502776</v>
      </c>
      <c r="FB77" s="16"/>
      <c r="FC77" s="16">
        <f>(-8.5 - 57.253 * BM77)/(0.008314 * (EA77+273))</f>
        <v>-4.1533561734755642</v>
      </c>
      <c r="FD77" s="16"/>
      <c r="FE77" s="16">
        <f>(-9.2954 -52.923 * BM77)/(0.008314 * (EA77+273))</f>
        <v>-3.9807585034316766</v>
      </c>
      <c r="FF77" s="16">
        <f>(0.61501 -70.378 * BM77)/(0.008314 * (EA77+273))</f>
        <v>-4.0168846360315458</v>
      </c>
      <c r="FG77" s="16"/>
      <c r="FH77" s="16"/>
      <c r="FI77" s="16"/>
      <c r="FJ77" s="16"/>
      <c r="FK77" s="16"/>
    </row>
    <row r="78" spans="1:167" x14ac:dyDescent="0.25">
      <c r="A78" s="35" t="s">
        <v>250</v>
      </c>
      <c r="B78" s="15">
        <v>295</v>
      </c>
      <c r="C78" s="102" t="s">
        <v>251</v>
      </c>
      <c r="D78" s="102" t="s">
        <v>104</v>
      </c>
      <c r="E78" s="15">
        <v>127</v>
      </c>
      <c r="F78" s="16">
        <v>53.69</v>
      </c>
      <c r="G78" s="16">
        <v>0</v>
      </c>
      <c r="H78" s="16">
        <v>29.68</v>
      </c>
      <c r="I78" s="16">
        <v>0</v>
      </c>
      <c r="J78" s="16">
        <v>0.313</v>
      </c>
      <c r="K78" s="16">
        <v>0</v>
      </c>
      <c r="L78" s="16">
        <v>0</v>
      </c>
      <c r="M78" s="16">
        <v>11.52</v>
      </c>
      <c r="N78" s="16">
        <v>5.0999999999999996</v>
      </c>
      <c r="O78" s="16">
        <v>0.39300000000000002</v>
      </c>
      <c r="P78" s="16">
        <v>0</v>
      </c>
      <c r="Q78" s="16"/>
      <c r="R78" s="16"/>
      <c r="S78" s="16">
        <f t="shared" si="57"/>
        <v>100.696</v>
      </c>
      <c r="T78" s="16"/>
      <c r="U78" s="15">
        <v>1</v>
      </c>
      <c r="V78" s="15">
        <v>1</v>
      </c>
      <c r="W78" s="15">
        <v>0</v>
      </c>
      <c r="X78" s="15" t="s">
        <v>185</v>
      </c>
      <c r="Y78" s="15"/>
      <c r="Z78" s="37">
        <v>8</v>
      </c>
      <c r="AA78" s="37">
        <v>5</v>
      </c>
      <c r="AB78" s="15"/>
      <c r="AC78" s="38">
        <f t="shared" si="58"/>
        <v>2.4178612491901426</v>
      </c>
      <c r="AD78" s="38">
        <f t="shared" si="59"/>
        <v>0</v>
      </c>
      <c r="AE78" s="38">
        <f t="shared" si="60"/>
        <v>1.575186425153555</v>
      </c>
      <c r="AF78" s="38">
        <f t="shared" si="61"/>
        <v>0</v>
      </c>
      <c r="AG78" s="38">
        <f t="shared" si="62"/>
        <v>1.1786516269906018E-2</v>
      </c>
      <c r="AH78" s="38">
        <f t="shared" si="63"/>
        <v>0</v>
      </c>
      <c r="AI78" s="38">
        <f t="shared" si="64"/>
        <v>0</v>
      </c>
      <c r="AJ78" s="38">
        <f t="shared" si="65"/>
        <v>0.55579209953355357</v>
      </c>
      <c r="AK78" s="38">
        <f t="shared" si="66"/>
        <v>0.44526288386988805</v>
      </c>
      <c r="AL78" s="38">
        <f t="shared" si="67"/>
        <v>2.257561230195761E-2</v>
      </c>
      <c r="AM78" s="38">
        <f t="shared" si="68"/>
        <v>0</v>
      </c>
      <c r="AN78" s="38">
        <f t="shared" si="69"/>
        <v>0</v>
      </c>
      <c r="AO78" s="38">
        <f t="shared" si="70"/>
        <v>0</v>
      </c>
      <c r="AP78" s="38">
        <f t="shared" si="71"/>
        <v>5.0284647863190024</v>
      </c>
      <c r="AQ78" s="38">
        <f t="shared" si="72"/>
        <v>3.9930476743436976</v>
      </c>
      <c r="AR78" s="38">
        <f t="shared" si="73"/>
        <v>1.0236305957053993</v>
      </c>
      <c r="AS78" s="40"/>
      <c r="AT78" s="38">
        <f t="shared" si="74"/>
        <v>2.4041743871493773</v>
      </c>
      <c r="AU78" s="38">
        <f t="shared" si="75"/>
        <v>0</v>
      </c>
      <c r="AV78" s="38">
        <f t="shared" si="76"/>
        <v>1.5662697185820822</v>
      </c>
      <c r="AW78" s="38">
        <f t="shared" si="77"/>
        <v>0</v>
      </c>
      <c r="AX78" s="38">
        <f t="shared" si="78"/>
        <v>0</v>
      </c>
      <c r="AY78" s="38">
        <f t="shared" si="79"/>
        <v>1.1719795972295279E-2</v>
      </c>
      <c r="AZ78" s="38">
        <f t="shared" si="80"/>
        <v>0</v>
      </c>
      <c r="BA78" s="38">
        <f t="shared" si="81"/>
        <v>0</v>
      </c>
      <c r="BB78" s="38">
        <f t="shared" si="82"/>
        <v>0.55264590998598917</v>
      </c>
      <c r="BC78" s="38">
        <f t="shared" si="83"/>
        <v>0.44274237047589499</v>
      </c>
      <c r="BD78" s="38">
        <f t="shared" si="84"/>
        <v>2.2447817834361013E-2</v>
      </c>
      <c r="BE78" s="38">
        <f t="shared" si="85"/>
        <v>0</v>
      </c>
      <c r="BF78" s="38">
        <f t="shared" si="86"/>
        <v>0</v>
      </c>
      <c r="BG78" s="38">
        <f t="shared" si="87"/>
        <v>0</v>
      </c>
      <c r="BH78" s="41">
        <f t="shared" si="88"/>
        <v>5</v>
      </c>
      <c r="BI78" s="42">
        <f t="shared" si="89"/>
        <v>7.9605740502714379</v>
      </c>
      <c r="BJ78" s="38">
        <f t="shared" si="90"/>
        <v>3.9704441057314597</v>
      </c>
      <c r="BK78" s="38">
        <f t="shared" si="91"/>
        <v>1.0178360982962451</v>
      </c>
      <c r="BL78" s="16"/>
      <c r="BM78" s="16">
        <f t="shared" si="92"/>
        <v>0.54296159363090246</v>
      </c>
      <c r="BN78" s="16">
        <f t="shared" si="93"/>
        <v>0.43498395391655004</v>
      </c>
      <c r="BO78" s="16">
        <f t="shared" si="94"/>
        <v>2.2054452452547509E-2</v>
      </c>
      <c r="BP78" s="15"/>
      <c r="BQ78" s="38">
        <f t="shared" si="95"/>
        <v>0.89364181091877493</v>
      </c>
      <c r="BR78" s="38">
        <f t="shared" si="96"/>
        <v>0</v>
      </c>
      <c r="BS78" s="38">
        <f t="shared" si="97"/>
        <v>0.58218909376225969</v>
      </c>
      <c r="BT78" s="38">
        <f t="shared" si="98"/>
        <v>0</v>
      </c>
      <c r="BU78" s="38">
        <f t="shared" si="99"/>
        <v>4.356297842727906E-3</v>
      </c>
      <c r="BV78" s="38">
        <f t="shared" si="100"/>
        <v>0</v>
      </c>
      <c r="BW78" s="38">
        <f t="shared" si="101"/>
        <v>0</v>
      </c>
      <c r="BX78" s="38">
        <f t="shared" si="102"/>
        <v>0.20542082738944364</v>
      </c>
      <c r="BY78" s="38">
        <f t="shared" si="103"/>
        <v>0.16456921587608905</v>
      </c>
      <c r="BZ78" s="38">
        <f t="shared" si="104"/>
        <v>8.3439490445859875E-3</v>
      </c>
      <c r="CA78" s="38">
        <f t="shared" si="105"/>
        <v>0</v>
      </c>
      <c r="CB78" s="38">
        <f t="shared" si="106"/>
        <v>0</v>
      </c>
      <c r="CC78" s="38">
        <f t="shared" si="107"/>
        <v>0</v>
      </c>
      <c r="CD78" s="38">
        <f t="shared" si="108"/>
        <v>1.8585211948338811</v>
      </c>
      <c r="CE78" s="38">
        <f t="shared" si="109"/>
        <v>2.9568009701734486</v>
      </c>
      <c r="CF78" s="38">
        <f t="shared" si="110"/>
        <v>2.6903109923623503</v>
      </c>
      <c r="CG78" s="38">
        <f t="shared" si="111"/>
        <v>7.9547141522852902</v>
      </c>
      <c r="CH78" s="15"/>
      <c r="CI78" s="16"/>
      <c r="CJ78" s="13"/>
      <c r="CK78" s="104"/>
      <c r="CL78" s="13"/>
      <c r="CM78" s="13"/>
      <c r="CN78" s="13"/>
      <c r="CO78" s="16"/>
      <c r="CP78" s="16"/>
      <c r="CQ78" s="16"/>
      <c r="CR78" s="16"/>
      <c r="CS78" s="16"/>
      <c r="CT78" s="16"/>
      <c r="CU78" s="16"/>
      <c r="CV78" s="16"/>
      <c r="CW78" s="16"/>
      <c r="CX78" s="16"/>
      <c r="CY78" s="104"/>
      <c r="CZ78" s="104"/>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3"/>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row>
    <row r="79" spans="1:167" x14ac:dyDescent="0.25">
      <c r="A79" s="35" t="s">
        <v>250</v>
      </c>
      <c r="B79" s="15">
        <v>296</v>
      </c>
      <c r="C79" s="102" t="s">
        <v>251</v>
      </c>
      <c r="D79" s="102" t="s">
        <v>104</v>
      </c>
      <c r="E79" s="15">
        <v>128</v>
      </c>
      <c r="F79" s="16">
        <v>63.05</v>
      </c>
      <c r="G79" s="16">
        <v>0</v>
      </c>
      <c r="H79" s="16">
        <v>23.31</v>
      </c>
      <c r="I79" s="16">
        <v>0</v>
      </c>
      <c r="J79" s="16">
        <v>2.5000000000000001E-2</v>
      </c>
      <c r="K79" s="16">
        <v>0</v>
      </c>
      <c r="L79" s="16">
        <v>0</v>
      </c>
      <c r="M79" s="16">
        <v>4.13</v>
      </c>
      <c r="N79" s="16">
        <v>10</v>
      </c>
      <c r="O79" s="16">
        <v>0.16900000000000001</v>
      </c>
      <c r="P79" s="16">
        <v>0</v>
      </c>
      <c r="Q79" s="16"/>
      <c r="R79" s="16"/>
      <c r="S79" s="16">
        <f t="shared" si="57"/>
        <v>100.684</v>
      </c>
      <c r="T79" s="16"/>
      <c r="U79" s="15">
        <v>2</v>
      </c>
      <c r="V79" s="15"/>
      <c r="W79" s="15"/>
      <c r="X79" s="15" t="s">
        <v>187</v>
      </c>
      <c r="Y79" s="15"/>
      <c r="Z79" s="37">
        <v>8</v>
      </c>
      <c r="AA79" s="37">
        <v>5</v>
      </c>
      <c r="AB79" s="15"/>
      <c r="AC79" s="38">
        <f t="shared" si="58"/>
        <v>2.7782517641773499</v>
      </c>
      <c r="AD79" s="38">
        <f t="shared" si="59"/>
        <v>0</v>
      </c>
      <c r="AE79" s="38">
        <f t="shared" si="60"/>
        <v>1.2104835007892196</v>
      </c>
      <c r="AF79" s="38">
        <f t="shared" si="61"/>
        <v>0</v>
      </c>
      <c r="AG79" s="38">
        <f t="shared" si="62"/>
        <v>9.2114853998398081E-4</v>
      </c>
      <c r="AH79" s="38">
        <f t="shared" si="63"/>
        <v>0</v>
      </c>
      <c r="AI79" s="38">
        <f t="shared" si="64"/>
        <v>0</v>
      </c>
      <c r="AJ79" s="38">
        <f t="shared" si="65"/>
        <v>0.19496581906499028</v>
      </c>
      <c r="AK79" s="38">
        <f t="shared" si="66"/>
        <v>0.85426941074990648</v>
      </c>
      <c r="AL79" s="38">
        <f t="shared" si="67"/>
        <v>9.4990949630883083E-3</v>
      </c>
      <c r="AM79" s="38">
        <f t="shared" si="68"/>
        <v>0</v>
      </c>
      <c r="AN79" s="38">
        <f t="shared" si="69"/>
        <v>0</v>
      </c>
      <c r="AO79" s="38">
        <f t="shared" si="70"/>
        <v>0</v>
      </c>
      <c r="AP79" s="38">
        <f t="shared" si="71"/>
        <v>5.0483907382845379</v>
      </c>
      <c r="AQ79" s="38">
        <f t="shared" si="72"/>
        <v>3.9887352649665697</v>
      </c>
      <c r="AR79" s="38">
        <f t="shared" si="73"/>
        <v>1.058734324777985</v>
      </c>
      <c r="AS79" s="40"/>
      <c r="AT79" s="38">
        <f t="shared" si="74"/>
        <v>2.7516211682154879</v>
      </c>
      <c r="AU79" s="38">
        <f t="shared" si="75"/>
        <v>0</v>
      </c>
      <c r="AV79" s="38">
        <f t="shared" si="76"/>
        <v>1.1988805577285273</v>
      </c>
      <c r="AW79" s="38">
        <f t="shared" si="77"/>
        <v>0</v>
      </c>
      <c r="AX79" s="38">
        <f t="shared" si="78"/>
        <v>0</v>
      </c>
      <c r="AY79" s="38">
        <f t="shared" si="79"/>
        <v>9.1231898216439416E-4</v>
      </c>
      <c r="AZ79" s="38">
        <f t="shared" si="80"/>
        <v>0</v>
      </c>
      <c r="BA79" s="38">
        <f t="shared" si="81"/>
        <v>0</v>
      </c>
      <c r="BB79" s="38">
        <f t="shared" si="82"/>
        <v>0.19309699780809797</v>
      </c>
      <c r="BC79" s="38">
        <f t="shared" si="83"/>
        <v>0.84608091472748248</v>
      </c>
      <c r="BD79" s="38">
        <f t="shared" si="84"/>
        <v>9.4080425382407473E-3</v>
      </c>
      <c r="BE79" s="38">
        <f t="shared" si="85"/>
        <v>0</v>
      </c>
      <c r="BF79" s="38">
        <f t="shared" si="86"/>
        <v>0</v>
      </c>
      <c r="BG79" s="38">
        <f t="shared" si="87"/>
        <v>0</v>
      </c>
      <c r="BH79" s="41">
        <f t="shared" si="88"/>
        <v>5.0000000000000009</v>
      </c>
      <c r="BI79" s="42">
        <f t="shared" si="89"/>
        <v>7.9237731279379737</v>
      </c>
      <c r="BJ79" s="38">
        <f t="shared" si="90"/>
        <v>3.9505017259440152</v>
      </c>
      <c r="BK79" s="38">
        <f t="shared" si="91"/>
        <v>1.0485859550738212</v>
      </c>
      <c r="BL79" s="16"/>
      <c r="BM79" s="16">
        <f t="shared" si="92"/>
        <v>0.18414989908433763</v>
      </c>
      <c r="BN79" s="16">
        <f t="shared" si="93"/>
        <v>0.80687797755971069</v>
      </c>
      <c r="BO79" s="16">
        <f t="shared" si="94"/>
        <v>8.9721233559516972E-3</v>
      </c>
      <c r="BP79" s="15"/>
      <c r="BQ79" s="38">
        <f t="shared" si="95"/>
        <v>1.0494340878828228</v>
      </c>
      <c r="BR79" s="38">
        <f t="shared" si="96"/>
        <v>0</v>
      </c>
      <c r="BS79" s="38">
        <f t="shared" si="97"/>
        <v>0.45723813260102003</v>
      </c>
      <c r="BT79" s="38">
        <f t="shared" si="98"/>
        <v>0</v>
      </c>
      <c r="BU79" s="38">
        <f t="shared" si="99"/>
        <v>3.4794711203897015E-4</v>
      </c>
      <c r="BV79" s="38">
        <f t="shared" si="100"/>
        <v>0</v>
      </c>
      <c r="BW79" s="38">
        <f t="shared" si="101"/>
        <v>0</v>
      </c>
      <c r="BX79" s="38">
        <f t="shared" si="102"/>
        <v>7.3644793152639082E-2</v>
      </c>
      <c r="BY79" s="38">
        <f t="shared" si="103"/>
        <v>0.32268473701193934</v>
      </c>
      <c r="BZ79" s="38">
        <f t="shared" si="104"/>
        <v>3.5881104033970278E-3</v>
      </c>
      <c r="CA79" s="38">
        <f t="shared" si="105"/>
        <v>0</v>
      </c>
      <c r="CB79" s="38">
        <f t="shared" si="106"/>
        <v>0</v>
      </c>
      <c r="CC79" s="38">
        <f t="shared" si="107"/>
        <v>0</v>
      </c>
      <c r="CD79" s="38">
        <f t="shared" si="108"/>
        <v>1.9069378081638571</v>
      </c>
      <c r="CE79" s="38">
        <f t="shared" si="109"/>
        <v>3.0218545386395217</v>
      </c>
      <c r="CF79" s="38">
        <f t="shared" si="110"/>
        <v>2.6220047547404683</v>
      </c>
      <c r="CG79" s="38">
        <f t="shared" si="111"/>
        <v>7.9233169684468905</v>
      </c>
      <c r="CH79" s="15"/>
      <c r="CI79" s="16"/>
      <c r="CJ79" s="13"/>
      <c r="CK79" s="104"/>
      <c r="CL79" s="13"/>
      <c r="CM79" s="13"/>
      <c r="CN79" s="13"/>
      <c r="CO79" s="16"/>
      <c r="CP79" s="16"/>
      <c r="CQ79" s="16"/>
      <c r="CR79" s="16"/>
      <c r="CS79" s="16"/>
      <c r="CT79" s="16"/>
      <c r="CU79" s="16"/>
      <c r="CV79" s="16"/>
      <c r="CW79" s="16"/>
      <c r="CX79" s="16"/>
      <c r="CY79" s="104"/>
      <c r="CZ79" s="104"/>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3"/>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row>
    <row r="80" spans="1:167" x14ac:dyDescent="0.25">
      <c r="A80" s="35" t="s">
        <v>250</v>
      </c>
      <c r="B80" s="15">
        <v>297</v>
      </c>
      <c r="C80" s="102" t="s">
        <v>251</v>
      </c>
      <c r="D80" s="102" t="s">
        <v>104</v>
      </c>
      <c r="E80" s="15">
        <v>129</v>
      </c>
      <c r="F80" s="16">
        <v>59.62</v>
      </c>
      <c r="G80" s="16">
        <v>0</v>
      </c>
      <c r="H80" s="16">
        <v>25.5</v>
      </c>
      <c r="I80" s="16">
        <v>0</v>
      </c>
      <c r="J80" s="16">
        <v>0.55000000000000004</v>
      </c>
      <c r="K80" s="16">
        <v>0</v>
      </c>
      <c r="L80" s="16">
        <v>0</v>
      </c>
      <c r="M80" s="16">
        <v>6.76</v>
      </c>
      <c r="N80" s="16">
        <v>7.96</v>
      </c>
      <c r="O80" s="16">
        <v>0.748</v>
      </c>
      <c r="P80" s="16">
        <v>0</v>
      </c>
      <c r="Q80" s="16"/>
      <c r="R80" s="16"/>
      <c r="S80" s="16">
        <f t="shared" si="57"/>
        <v>101.13800000000001</v>
      </c>
      <c r="T80" s="16"/>
      <c r="U80" s="15">
        <v>3</v>
      </c>
      <c r="V80" s="15"/>
      <c r="W80" s="15"/>
      <c r="X80" s="15" t="s">
        <v>187</v>
      </c>
      <c r="Y80" s="15"/>
      <c r="Z80" s="37">
        <v>8</v>
      </c>
      <c r="AA80" s="37">
        <v>5</v>
      </c>
      <c r="AB80" s="15"/>
      <c r="AC80" s="38">
        <f t="shared" si="58"/>
        <v>2.6466488126045826</v>
      </c>
      <c r="AD80" s="38">
        <f t="shared" si="59"/>
        <v>0</v>
      </c>
      <c r="AE80" s="38">
        <f t="shared" si="60"/>
        <v>1.3340577175987758</v>
      </c>
      <c r="AF80" s="38">
        <f t="shared" si="61"/>
        <v>0</v>
      </c>
      <c r="AG80" s="38">
        <f t="shared" si="62"/>
        <v>2.0415977919004503E-2</v>
      </c>
      <c r="AH80" s="38">
        <f t="shared" si="63"/>
        <v>0</v>
      </c>
      <c r="AI80" s="38">
        <f t="shared" si="64"/>
        <v>0</v>
      </c>
      <c r="AJ80" s="38">
        <f t="shared" si="65"/>
        <v>0.32149406598132535</v>
      </c>
      <c r="AK80" s="38">
        <f t="shared" si="66"/>
        <v>0.68505550689692085</v>
      </c>
      <c r="AL80" s="38">
        <f t="shared" si="67"/>
        <v>4.2356002087758887E-2</v>
      </c>
      <c r="AM80" s="38">
        <f t="shared" si="68"/>
        <v>0</v>
      </c>
      <c r="AN80" s="38">
        <f t="shared" si="69"/>
        <v>0</v>
      </c>
      <c r="AO80" s="38">
        <f t="shared" si="70"/>
        <v>0</v>
      </c>
      <c r="AP80" s="38">
        <f t="shared" si="71"/>
        <v>5.0500280830883684</v>
      </c>
      <c r="AQ80" s="38">
        <f t="shared" si="72"/>
        <v>3.9807065302033582</v>
      </c>
      <c r="AR80" s="38">
        <f t="shared" si="73"/>
        <v>1.0489055749660052</v>
      </c>
      <c r="AS80" s="40"/>
      <c r="AT80" s="38">
        <f t="shared" si="74"/>
        <v>2.6204297966854195</v>
      </c>
      <c r="AU80" s="38">
        <f t="shared" si="75"/>
        <v>0</v>
      </c>
      <c r="AV80" s="38">
        <f t="shared" si="76"/>
        <v>1.3208418801335917</v>
      </c>
      <c r="AW80" s="38">
        <f t="shared" si="77"/>
        <v>0</v>
      </c>
      <c r="AX80" s="38">
        <f t="shared" si="78"/>
        <v>0</v>
      </c>
      <c r="AY80" s="38">
        <f t="shared" si="79"/>
        <v>2.0213727115076768E-2</v>
      </c>
      <c r="AZ80" s="38">
        <f t="shared" si="80"/>
        <v>0</v>
      </c>
      <c r="BA80" s="38">
        <f t="shared" si="81"/>
        <v>0</v>
      </c>
      <c r="BB80" s="38">
        <f t="shared" si="82"/>
        <v>0.31830918629735039</v>
      </c>
      <c r="BC80" s="38">
        <f t="shared" si="83"/>
        <v>0.67826900724675965</v>
      </c>
      <c r="BD80" s="38">
        <f t="shared" si="84"/>
        <v>4.1936402521801301E-2</v>
      </c>
      <c r="BE80" s="38">
        <f t="shared" si="85"/>
        <v>0</v>
      </c>
      <c r="BF80" s="38">
        <f t="shared" si="86"/>
        <v>0</v>
      </c>
      <c r="BG80" s="38">
        <f t="shared" si="87"/>
        <v>0</v>
      </c>
      <c r="BH80" s="41">
        <f t="shared" si="88"/>
        <v>4.9999999999999991</v>
      </c>
      <c r="BI80" s="42">
        <f t="shared" si="89"/>
        <v>7.9308548954254725</v>
      </c>
      <c r="BJ80" s="38">
        <f t="shared" si="90"/>
        <v>3.941271676819011</v>
      </c>
      <c r="BK80" s="38">
        <f t="shared" si="91"/>
        <v>1.0385145960659112</v>
      </c>
      <c r="BL80" s="16"/>
      <c r="BM80" s="16">
        <f t="shared" si="92"/>
        <v>0.30650429710200072</v>
      </c>
      <c r="BN80" s="16">
        <f t="shared" si="93"/>
        <v>0.65311456364327491</v>
      </c>
      <c r="BO80" s="16">
        <f t="shared" si="94"/>
        <v>4.0381139254724273E-2</v>
      </c>
      <c r="BP80" s="15"/>
      <c r="BQ80" s="38">
        <f t="shared" si="95"/>
        <v>0.99234354194407459</v>
      </c>
      <c r="BR80" s="38">
        <f t="shared" si="96"/>
        <v>0</v>
      </c>
      <c r="BS80" s="38">
        <f t="shared" si="97"/>
        <v>0.50019615535504125</v>
      </c>
      <c r="BT80" s="38">
        <f t="shared" si="98"/>
        <v>0</v>
      </c>
      <c r="BU80" s="38">
        <f t="shared" si="99"/>
        <v>7.6548364648573427E-3</v>
      </c>
      <c r="BV80" s="38">
        <f t="shared" si="100"/>
        <v>0</v>
      </c>
      <c r="BW80" s="38">
        <f t="shared" si="101"/>
        <v>0</v>
      </c>
      <c r="BX80" s="38">
        <f t="shared" si="102"/>
        <v>0.12054208273894436</v>
      </c>
      <c r="BY80" s="38">
        <f t="shared" si="103"/>
        <v>0.25685705066150372</v>
      </c>
      <c r="BZ80" s="38">
        <f t="shared" si="104"/>
        <v>1.5881104033970275E-2</v>
      </c>
      <c r="CA80" s="38">
        <f t="shared" si="105"/>
        <v>0</v>
      </c>
      <c r="CB80" s="38">
        <f t="shared" si="106"/>
        <v>0</v>
      </c>
      <c r="CC80" s="38">
        <f t="shared" si="107"/>
        <v>0</v>
      </c>
      <c r="CD80" s="38">
        <f t="shared" si="108"/>
        <v>1.8934747711983917</v>
      </c>
      <c r="CE80" s="38">
        <f t="shared" si="109"/>
        <v>2.9995473134722501</v>
      </c>
      <c r="CF80" s="38">
        <f t="shared" si="110"/>
        <v>2.6406478058513922</v>
      </c>
      <c r="CG80" s="38">
        <f t="shared" si="111"/>
        <v>7.9207480318679355</v>
      </c>
      <c r="CH80" s="15"/>
      <c r="CI80" s="16"/>
      <c r="CJ80" s="13"/>
      <c r="CK80" s="104"/>
      <c r="CL80" s="13"/>
      <c r="CM80" s="13"/>
      <c r="CN80" s="13"/>
      <c r="CO80" s="16"/>
      <c r="CP80" s="16"/>
      <c r="CQ80" s="16"/>
      <c r="CR80" s="16"/>
      <c r="CS80" s="16"/>
      <c r="CT80" s="16"/>
      <c r="CU80" s="16"/>
      <c r="CV80" s="16"/>
      <c r="CW80" s="16"/>
      <c r="CX80" s="16"/>
      <c r="CY80" s="104"/>
      <c r="CZ80" s="104"/>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3"/>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row>
    <row r="81" spans="1:167" x14ac:dyDescent="0.25">
      <c r="A81" s="35" t="s">
        <v>250</v>
      </c>
      <c r="B81" s="15">
        <v>298</v>
      </c>
      <c r="C81" s="102" t="s">
        <v>251</v>
      </c>
      <c r="D81" s="102" t="s">
        <v>104</v>
      </c>
      <c r="E81" s="15">
        <v>130</v>
      </c>
      <c r="F81" s="16">
        <v>57.54</v>
      </c>
      <c r="G81" s="16">
        <v>0</v>
      </c>
      <c r="H81" s="16">
        <v>27.06</v>
      </c>
      <c r="I81" s="16">
        <v>0</v>
      </c>
      <c r="J81" s="16">
        <v>0.35499999999999998</v>
      </c>
      <c r="K81" s="16">
        <v>0</v>
      </c>
      <c r="L81" s="16">
        <v>0</v>
      </c>
      <c r="M81" s="16">
        <v>8.7100000000000009</v>
      </c>
      <c r="N81" s="16">
        <v>6.55</v>
      </c>
      <c r="O81" s="16">
        <v>0.55400000000000005</v>
      </c>
      <c r="P81" s="16">
        <v>0</v>
      </c>
      <c r="Q81" s="16"/>
      <c r="R81" s="16"/>
      <c r="S81" s="16">
        <f t="shared" si="57"/>
        <v>100.76899999999999</v>
      </c>
      <c r="T81" s="16"/>
      <c r="U81" s="15">
        <v>4</v>
      </c>
      <c r="V81" s="15"/>
      <c r="W81" s="15"/>
      <c r="X81" s="15" t="s">
        <v>187</v>
      </c>
      <c r="Y81" s="15"/>
      <c r="Z81" s="37">
        <v>8</v>
      </c>
      <c r="AA81" s="37">
        <v>5</v>
      </c>
      <c r="AB81" s="15"/>
      <c r="AC81" s="38">
        <f t="shared" si="58"/>
        <v>2.5680905160285619</v>
      </c>
      <c r="AD81" s="38">
        <f t="shared" si="59"/>
        <v>0</v>
      </c>
      <c r="AE81" s="38">
        <f t="shared" si="60"/>
        <v>1.4233062439082655</v>
      </c>
      <c r="AF81" s="38">
        <f t="shared" si="61"/>
        <v>0</v>
      </c>
      <c r="AG81" s="38">
        <f t="shared" si="62"/>
        <v>1.324866058190099E-2</v>
      </c>
      <c r="AH81" s="38">
        <f t="shared" si="63"/>
        <v>0</v>
      </c>
      <c r="AI81" s="38">
        <f t="shared" si="64"/>
        <v>0</v>
      </c>
      <c r="AJ81" s="38">
        <f t="shared" si="65"/>
        <v>0.416466951089565</v>
      </c>
      <c r="AK81" s="38">
        <f t="shared" si="66"/>
        <v>0.56674815787035249</v>
      </c>
      <c r="AL81" s="38">
        <f t="shared" si="67"/>
        <v>3.1539822947669667E-2</v>
      </c>
      <c r="AM81" s="38">
        <f t="shared" si="68"/>
        <v>0</v>
      </c>
      <c r="AN81" s="38">
        <f t="shared" si="69"/>
        <v>0</v>
      </c>
      <c r="AO81" s="38">
        <f t="shared" si="70"/>
        <v>0</v>
      </c>
      <c r="AP81" s="38">
        <f t="shared" si="71"/>
        <v>5.0194003524263158</v>
      </c>
      <c r="AQ81" s="38">
        <f t="shared" si="72"/>
        <v>3.9913967599368272</v>
      </c>
      <c r="AR81" s="38">
        <f t="shared" si="73"/>
        <v>1.0147549319075873</v>
      </c>
      <c r="AS81" s="40"/>
      <c r="AT81" s="38">
        <f t="shared" si="74"/>
        <v>2.5581646568470862</v>
      </c>
      <c r="AU81" s="38">
        <f t="shared" si="75"/>
        <v>0</v>
      </c>
      <c r="AV81" s="38">
        <f t="shared" si="76"/>
        <v>1.4178050603397845</v>
      </c>
      <c r="AW81" s="38">
        <f t="shared" si="77"/>
        <v>0</v>
      </c>
      <c r="AX81" s="38">
        <f t="shared" si="78"/>
        <v>0</v>
      </c>
      <c r="AY81" s="38">
        <f t="shared" si="79"/>
        <v>1.3197453531970958E-2</v>
      </c>
      <c r="AZ81" s="38">
        <f t="shared" si="80"/>
        <v>0</v>
      </c>
      <c r="BA81" s="38">
        <f t="shared" si="81"/>
        <v>0</v>
      </c>
      <c r="BB81" s="38">
        <f t="shared" si="82"/>
        <v>0.41485727561883967</v>
      </c>
      <c r="BC81" s="38">
        <f t="shared" si="83"/>
        <v>0.56455763445567109</v>
      </c>
      <c r="BD81" s="38">
        <f t="shared" si="84"/>
        <v>3.1417919206647577E-2</v>
      </c>
      <c r="BE81" s="38">
        <f t="shared" si="85"/>
        <v>0</v>
      </c>
      <c r="BF81" s="38">
        <f t="shared" si="86"/>
        <v>0</v>
      </c>
      <c r="BG81" s="38">
        <f t="shared" si="87"/>
        <v>0</v>
      </c>
      <c r="BH81" s="41">
        <f t="shared" si="88"/>
        <v>5</v>
      </c>
      <c r="BI81" s="42">
        <f t="shared" si="89"/>
        <v>7.9756781369518039</v>
      </c>
      <c r="BJ81" s="38">
        <f t="shared" si="90"/>
        <v>3.9759697171868709</v>
      </c>
      <c r="BK81" s="38">
        <f t="shared" si="91"/>
        <v>1.0108328292811584</v>
      </c>
      <c r="BL81" s="16"/>
      <c r="BM81" s="16">
        <f t="shared" si="92"/>
        <v>0.41041135942711754</v>
      </c>
      <c r="BN81" s="16">
        <f t="shared" si="93"/>
        <v>0.55850741893409761</v>
      </c>
      <c r="BO81" s="16">
        <f t="shared" si="94"/>
        <v>3.1081221638784771E-2</v>
      </c>
      <c r="BP81" s="15"/>
      <c r="BQ81" s="38">
        <f t="shared" si="95"/>
        <v>0.95772303595206387</v>
      </c>
      <c r="BR81" s="38">
        <f t="shared" si="96"/>
        <v>0</v>
      </c>
      <c r="BS81" s="38">
        <f t="shared" si="97"/>
        <v>0.53079639074146723</v>
      </c>
      <c r="BT81" s="38">
        <f t="shared" si="98"/>
        <v>0</v>
      </c>
      <c r="BU81" s="38">
        <f t="shared" si="99"/>
        <v>4.9408489909533752E-3</v>
      </c>
      <c r="BV81" s="38">
        <f t="shared" si="100"/>
        <v>0</v>
      </c>
      <c r="BW81" s="38">
        <f t="shared" si="101"/>
        <v>0</v>
      </c>
      <c r="BX81" s="38">
        <f t="shared" si="102"/>
        <v>0.15531383737517834</v>
      </c>
      <c r="BY81" s="38">
        <f t="shared" si="103"/>
        <v>0.21135850274282028</v>
      </c>
      <c r="BZ81" s="38">
        <f t="shared" si="104"/>
        <v>1.1762208067940552E-2</v>
      </c>
      <c r="CA81" s="38">
        <f t="shared" si="105"/>
        <v>0</v>
      </c>
      <c r="CB81" s="38">
        <f t="shared" si="106"/>
        <v>0</v>
      </c>
      <c r="CC81" s="38">
        <f t="shared" si="107"/>
        <v>0</v>
      </c>
      <c r="CD81" s="38">
        <f t="shared" si="108"/>
        <v>1.8718948238704236</v>
      </c>
      <c r="CE81" s="38">
        <f t="shared" si="109"/>
        <v>2.9834556997878412</v>
      </c>
      <c r="CF81" s="38">
        <f t="shared" si="110"/>
        <v>2.6710902430200374</v>
      </c>
      <c r="CG81" s="38">
        <f t="shared" si="111"/>
        <v>7.9690794101858202</v>
      </c>
      <c r="CH81" s="15"/>
      <c r="CI81" s="16"/>
      <c r="CJ81" s="13"/>
      <c r="CK81" s="104"/>
      <c r="CL81" s="13"/>
      <c r="CM81" s="13"/>
      <c r="CN81" s="13"/>
      <c r="CO81" s="16"/>
      <c r="CP81" s="16"/>
      <c r="CQ81" s="16"/>
      <c r="CR81" s="16"/>
      <c r="CS81" s="16"/>
      <c r="CT81" s="16"/>
      <c r="CU81" s="16"/>
      <c r="CV81" s="16"/>
      <c r="CW81" s="16"/>
      <c r="CX81" s="16"/>
      <c r="CY81" s="104"/>
      <c r="CZ81" s="104"/>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3"/>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row>
    <row r="82" spans="1:167" x14ac:dyDescent="0.25">
      <c r="A82" s="35" t="s">
        <v>250</v>
      </c>
      <c r="B82" s="15">
        <v>299</v>
      </c>
      <c r="C82" s="102" t="s">
        <v>251</v>
      </c>
      <c r="D82" s="102" t="s">
        <v>104</v>
      </c>
      <c r="E82" s="15">
        <v>131</v>
      </c>
      <c r="F82" s="16">
        <v>59.1</v>
      </c>
      <c r="G82" s="16">
        <v>0</v>
      </c>
      <c r="H82" s="16">
        <v>25.89</v>
      </c>
      <c r="I82" s="16">
        <v>0</v>
      </c>
      <c r="J82" s="16">
        <v>0.32700000000000001</v>
      </c>
      <c r="K82" s="16">
        <v>0</v>
      </c>
      <c r="L82" s="16">
        <v>0</v>
      </c>
      <c r="M82" s="16">
        <v>7.47</v>
      </c>
      <c r="N82" s="16">
        <v>7.39</v>
      </c>
      <c r="O82" s="16">
        <v>0.83699999999999997</v>
      </c>
      <c r="P82" s="16">
        <v>0</v>
      </c>
      <c r="Q82" s="16"/>
      <c r="R82" s="16"/>
      <c r="S82" s="16">
        <f t="shared" si="57"/>
        <v>101.01400000000001</v>
      </c>
      <c r="T82" s="16"/>
      <c r="U82" s="15">
        <v>5</v>
      </c>
      <c r="V82" s="15">
        <v>4</v>
      </c>
      <c r="W82" s="15">
        <v>375</v>
      </c>
      <c r="X82" s="15" t="s">
        <v>258</v>
      </c>
      <c r="Y82" s="15"/>
      <c r="Z82" s="37">
        <v>8</v>
      </c>
      <c r="AA82" s="37">
        <v>5</v>
      </c>
      <c r="AB82" s="15"/>
      <c r="AC82" s="38">
        <f t="shared" si="58"/>
        <v>2.6275332401531539</v>
      </c>
      <c r="AD82" s="38">
        <f t="shared" si="59"/>
        <v>0</v>
      </c>
      <c r="AE82" s="38">
        <f t="shared" si="60"/>
        <v>1.3565096302325237</v>
      </c>
      <c r="AF82" s="38">
        <f t="shared" si="61"/>
        <v>0</v>
      </c>
      <c r="AG82" s="38">
        <f t="shared" si="62"/>
        <v>1.2156586430737869E-2</v>
      </c>
      <c r="AH82" s="38">
        <f t="shared" si="63"/>
        <v>0</v>
      </c>
      <c r="AI82" s="38">
        <f t="shared" si="64"/>
        <v>0</v>
      </c>
      <c r="AJ82" s="38">
        <f t="shared" si="65"/>
        <v>0.35579780036887082</v>
      </c>
      <c r="AK82" s="38">
        <f t="shared" si="66"/>
        <v>0.63696200036990636</v>
      </c>
      <c r="AL82" s="38">
        <f t="shared" si="67"/>
        <v>4.7467374720687169E-2</v>
      </c>
      <c r="AM82" s="38">
        <f t="shared" si="68"/>
        <v>0</v>
      </c>
      <c r="AN82" s="38">
        <f t="shared" si="69"/>
        <v>0</v>
      </c>
      <c r="AO82" s="38">
        <f t="shared" si="70"/>
        <v>0</v>
      </c>
      <c r="AP82" s="38">
        <f t="shared" si="71"/>
        <v>5.0364266322758802</v>
      </c>
      <c r="AQ82" s="38">
        <f t="shared" si="72"/>
        <v>3.9840428703856778</v>
      </c>
      <c r="AR82" s="38">
        <f t="shared" si="73"/>
        <v>1.0402271754594643</v>
      </c>
      <c r="AS82" s="40"/>
      <c r="AT82" s="38">
        <f t="shared" si="74"/>
        <v>2.6085292529773376</v>
      </c>
      <c r="AU82" s="38">
        <f t="shared" si="75"/>
        <v>0</v>
      </c>
      <c r="AV82" s="38">
        <f t="shared" si="76"/>
        <v>1.3466984920810203</v>
      </c>
      <c r="AW82" s="38">
        <f t="shared" si="77"/>
        <v>0</v>
      </c>
      <c r="AX82" s="38">
        <f t="shared" si="78"/>
        <v>0</v>
      </c>
      <c r="AY82" s="38">
        <f t="shared" si="79"/>
        <v>1.2068662286106315E-2</v>
      </c>
      <c r="AZ82" s="38">
        <f t="shared" si="80"/>
        <v>0</v>
      </c>
      <c r="BA82" s="38">
        <f t="shared" si="81"/>
        <v>0</v>
      </c>
      <c r="BB82" s="38">
        <f t="shared" si="82"/>
        <v>0.35322444497527761</v>
      </c>
      <c r="BC82" s="38">
        <f t="shared" si="83"/>
        <v>0.63235508712461241</v>
      </c>
      <c r="BD82" s="38">
        <f t="shared" si="84"/>
        <v>4.7124060555645809E-2</v>
      </c>
      <c r="BE82" s="38">
        <f t="shared" si="85"/>
        <v>0</v>
      </c>
      <c r="BF82" s="38">
        <f t="shared" si="86"/>
        <v>0</v>
      </c>
      <c r="BG82" s="38">
        <f t="shared" si="87"/>
        <v>0</v>
      </c>
      <c r="BH82" s="41">
        <f t="shared" si="88"/>
        <v>5</v>
      </c>
      <c r="BI82" s="42">
        <f t="shared" si="89"/>
        <v>7.9481732563207723</v>
      </c>
      <c r="BJ82" s="38">
        <f t="shared" si="90"/>
        <v>3.9552277450583579</v>
      </c>
      <c r="BK82" s="38">
        <f t="shared" si="91"/>
        <v>1.0327035926555359</v>
      </c>
      <c r="BL82" s="16"/>
      <c r="BM82" s="16">
        <f t="shared" si="92"/>
        <v>0.34203855538740019</v>
      </c>
      <c r="BN82" s="16">
        <f t="shared" si="93"/>
        <v>0.61232970585349566</v>
      </c>
      <c r="BO82" s="16">
        <f t="shared" si="94"/>
        <v>4.5631738759104243E-2</v>
      </c>
      <c r="BP82" s="15"/>
      <c r="BQ82" s="38">
        <f t="shared" si="95"/>
        <v>0.983688415446072</v>
      </c>
      <c r="BR82" s="38">
        <f t="shared" si="96"/>
        <v>0</v>
      </c>
      <c r="BS82" s="38">
        <f t="shared" si="97"/>
        <v>0.50784621420164777</v>
      </c>
      <c r="BT82" s="38">
        <f t="shared" si="98"/>
        <v>0</v>
      </c>
      <c r="BU82" s="38">
        <f t="shared" si="99"/>
        <v>4.5511482254697293E-3</v>
      </c>
      <c r="BV82" s="38">
        <f t="shared" si="100"/>
        <v>0</v>
      </c>
      <c r="BW82" s="38">
        <f t="shared" si="101"/>
        <v>0</v>
      </c>
      <c r="BX82" s="38">
        <f t="shared" si="102"/>
        <v>0.13320256776034237</v>
      </c>
      <c r="BY82" s="38">
        <f t="shared" si="103"/>
        <v>0.23846402065182318</v>
      </c>
      <c r="BZ82" s="38">
        <f t="shared" si="104"/>
        <v>1.7770700636942673E-2</v>
      </c>
      <c r="CA82" s="38">
        <f t="shared" si="105"/>
        <v>0</v>
      </c>
      <c r="CB82" s="38">
        <f t="shared" si="106"/>
        <v>0</v>
      </c>
      <c r="CC82" s="38">
        <f t="shared" si="107"/>
        <v>0</v>
      </c>
      <c r="CD82" s="38">
        <f t="shared" si="108"/>
        <v>1.8855230669222978</v>
      </c>
      <c r="CE82" s="38">
        <f t="shared" si="109"/>
        <v>2.9950172288248109</v>
      </c>
      <c r="CF82" s="38">
        <f t="shared" si="110"/>
        <v>2.6517840527729009</v>
      </c>
      <c r="CG82" s="38">
        <f t="shared" si="111"/>
        <v>7.9421389251777192</v>
      </c>
      <c r="CH82" s="15"/>
      <c r="CI82" s="16"/>
      <c r="CJ82" s="13"/>
      <c r="CK82" s="104"/>
      <c r="CL82" s="13"/>
      <c r="CM82" s="13"/>
      <c r="CN82" s="13"/>
      <c r="CO82" s="16"/>
      <c r="CP82" s="16"/>
      <c r="CQ82" s="16"/>
      <c r="CR82" s="16"/>
      <c r="CS82" s="16"/>
      <c r="CT82" s="16"/>
      <c r="CU82" s="16"/>
      <c r="CV82" s="16"/>
      <c r="CW82" s="16"/>
      <c r="CX82" s="16"/>
      <c r="CY82" s="104"/>
      <c r="CZ82" s="104"/>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3"/>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row>
    <row r="83" spans="1:167" x14ac:dyDescent="0.25">
      <c r="A83" s="35" t="s">
        <v>250</v>
      </c>
      <c r="B83" s="15">
        <v>300</v>
      </c>
      <c r="C83" s="102" t="s">
        <v>251</v>
      </c>
      <c r="D83" s="102" t="s">
        <v>104</v>
      </c>
      <c r="E83" s="15">
        <v>132</v>
      </c>
      <c r="F83" s="16">
        <v>55.14</v>
      </c>
      <c r="G83" s="16">
        <v>0</v>
      </c>
      <c r="H83" s="16">
        <v>28.31</v>
      </c>
      <c r="I83" s="16">
        <v>0</v>
      </c>
      <c r="J83" s="16">
        <v>0.39200000000000002</v>
      </c>
      <c r="K83" s="16">
        <v>0</v>
      </c>
      <c r="L83" s="16">
        <v>0</v>
      </c>
      <c r="M83" s="16">
        <v>10.25</v>
      </c>
      <c r="N83" s="16">
        <v>5.89</v>
      </c>
      <c r="O83" s="16">
        <v>0.44700000000000001</v>
      </c>
      <c r="P83" s="16">
        <v>0</v>
      </c>
      <c r="Q83" s="16"/>
      <c r="R83" s="16"/>
      <c r="S83" s="16">
        <f t="shared" si="57"/>
        <v>100.429</v>
      </c>
      <c r="T83" s="16"/>
      <c r="U83" s="15">
        <v>5</v>
      </c>
      <c r="V83" s="15">
        <v>3</v>
      </c>
      <c r="W83" s="15">
        <v>250</v>
      </c>
      <c r="X83" s="15" t="s">
        <v>185</v>
      </c>
      <c r="Y83" s="15"/>
      <c r="Z83" s="37">
        <v>8</v>
      </c>
      <c r="AA83" s="37">
        <v>5</v>
      </c>
      <c r="AB83" s="15"/>
      <c r="AC83" s="38">
        <f t="shared" si="58"/>
        <v>2.4833855598229384</v>
      </c>
      <c r="AD83" s="38">
        <f t="shared" si="59"/>
        <v>0</v>
      </c>
      <c r="AE83" s="38">
        <f t="shared" si="60"/>
        <v>1.5026137268945177</v>
      </c>
      <c r="AF83" s="38">
        <f t="shared" si="61"/>
        <v>0</v>
      </c>
      <c r="AG83" s="38">
        <f t="shared" si="62"/>
        <v>1.4762727667636567E-2</v>
      </c>
      <c r="AH83" s="38">
        <f t="shared" si="63"/>
        <v>0</v>
      </c>
      <c r="AI83" s="38">
        <f t="shared" si="64"/>
        <v>0</v>
      </c>
      <c r="AJ83" s="38">
        <f t="shared" si="65"/>
        <v>0.49456476739346455</v>
      </c>
      <c r="AK83" s="38">
        <f t="shared" si="66"/>
        <v>0.51428165433524953</v>
      </c>
      <c r="AL83" s="38">
        <f t="shared" si="67"/>
        <v>2.5679935567241872E-2</v>
      </c>
      <c r="AM83" s="38">
        <f t="shared" si="68"/>
        <v>0</v>
      </c>
      <c r="AN83" s="38">
        <f t="shared" si="69"/>
        <v>0</v>
      </c>
      <c r="AO83" s="38">
        <f t="shared" si="70"/>
        <v>0</v>
      </c>
      <c r="AP83" s="38">
        <f t="shared" si="71"/>
        <v>5.035288371681049</v>
      </c>
      <c r="AQ83" s="38">
        <f t="shared" si="72"/>
        <v>3.9859992867174561</v>
      </c>
      <c r="AR83" s="38">
        <f t="shared" si="73"/>
        <v>1.034526357295956</v>
      </c>
      <c r="AS83" s="40"/>
      <c r="AT83" s="38">
        <f t="shared" si="74"/>
        <v>2.4659814657187664</v>
      </c>
      <c r="AU83" s="38">
        <f t="shared" si="75"/>
        <v>0</v>
      </c>
      <c r="AV83" s="38">
        <f t="shared" si="76"/>
        <v>1.4920830903601903</v>
      </c>
      <c r="AW83" s="38">
        <f t="shared" si="77"/>
        <v>0</v>
      </c>
      <c r="AX83" s="38">
        <f t="shared" si="78"/>
        <v>0</v>
      </c>
      <c r="AY83" s="38">
        <f t="shared" si="79"/>
        <v>1.4659267332794268E-2</v>
      </c>
      <c r="AZ83" s="38">
        <f t="shared" si="80"/>
        <v>0</v>
      </c>
      <c r="BA83" s="38">
        <f t="shared" si="81"/>
        <v>0</v>
      </c>
      <c r="BB83" s="38">
        <f t="shared" si="82"/>
        <v>0.49109875233258232</v>
      </c>
      <c r="BC83" s="38">
        <f t="shared" si="83"/>
        <v>0.51067745913781182</v>
      </c>
      <c r="BD83" s="38">
        <f t="shared" si="84"/>
        <v>2.5499965117855343E-2</v>
      </c>
      <c r="BE83" s="38">
        <f t="shared" si="85"/>
        <v>0</v>
      </c>
      <c r="BF83" s="38">
        <f t="shared" si="86"/>
        <v>0</v>
      </c>
      <c r="BG83" s="38">
        <f t="shared" si="87"/>
        <v>0</v>
      </c>
      <c r="BH83" s="41">
        <f t="shared" si="88"/>
        <v>4.9999999999999991</v>
      </c>
      <c r="BI83" s="42">
        <f t="shared" si="89"/>
        <v>7.9512639324374259</v>
      </c>
      <c r="BJ83" s="38">
        <f t="shared" si="90"/>
        <v>3.9580645560789565</v>
      </c>
      <c r="BK83" s="38">
        <f t="shared" si="91"/>
        <v>1.0272761765882494</v>
      </c>
      <c r="BL83" s="16"/>
      <c r="BM83" s="16">
        <f t="shared" si="92"/>
        <v>0.47805912716052734</v>
      </c>
      <c r="BN83" s="16">
        <f t="shared" si="93"/>
        <v>0.49711798129482021</v>
      </c>
      <c r="BO83" s="16">
        <f t="shared" si="94"/>
        <v>2.4822891544652437E-2</v>
      </c>
      <c r="BP83" s="15"/>
      <c r="BQ83" s="38">
        <f t="shared" si="95"/>
        <v>0.91777629826897478</v>
      </c>
      <c r="BR83" s="38">
        <f t="shared" si="96"/>
        <v>0</v>
      </c>
      <c r="BS83" s="38">
        <f t="shared" si="97"/>
        <v>0.55531581012161635</v>
      </c>
      <c r="BT83" s="38">
        <f t="shared" si="98"/>
        <v>0</v>
      </c>
      <c r="BU83" s="38">
        <f t="shared" si="99"/>
        <v>5.4558107167710515E-3</v>
      </c>
      <c r="BV83" s="38">
        <f t="shared" si="100"/>
        <v>0</v>
      </c>
      <c r="BW83" s="38">
        <f t="shared" si="101"/>
        <v>0</v>
      </c>
      <c r="BX83" s="38">
        <f t="shared" si="102"/>
        <v>0.18277460770328102</v>
      </c>
      <c r="BY83" s="38">
        <f t="shared" si="103"/>
        <v>0.19006131010003227</v>
      </c>
      <c r="BZ83" s="38">
        <f t="shared" si="104"/>
        <v>9.4904458598726107E-3</v>
      </c>
      <c r="CA83" s="38">
        <f t="shared" si="105"/>
        <v>0</v>
      </c>
      <c r="CB83" s="38">
        <f t="shared" si="106"/>
        <v>0</v>
      </c>
      <c r="CC83" s="38">
        <f t="shared" si="107"/>
        <v>0</v>
      </c>
      <c r="CD83" s="38">
        <f t="shared" si="108"/>
        <v>1.860874282770548</v>
      </c>
      <c r="CE83" s="38">
        <f t="shared" si="109"/>
        <v>2.9565326081203787</v>
      </c>
      <c r="CF83" s="38">
        <f t="shared" si="110"/>
        <v>2.686909076176704</v>
      </c>
      <c r="CG83" s="38">
        <f t="shared" si="111"/>
        <v>7.943934298771028</v>
      </c>
      <c r="CH83" s="15"/>
      <c r="CI83" s="16"/>
      <c r="CJ83" s="13"/>
      <c r="CK83" s="104"/>
      <c r="CL83" s="13"/>
      <c r="CM83" s="13"/>
      <c r="CN83" s="13"/>
      <c r="CO83" s="16"/>
      <c r="CP83" s="16"/>
      <c r="CQ83" s="16"/>
      <c r="CR83" s="16"/>
      <c r="CS83" s="16"/>
      <c r="CT83" s="16"/>
      <c r="CU83" s="16"/>
      <c r="CV83" s="16"/>
      <c r="CW83" s="16"/>
      <c r="CX83" s="16"/>
      <c r="CY83" s="104"/>
      <c r="CZ83" s="104"/>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3"/>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row>
    <row r="84" spans="1:167" x14ac:dyDescent="0.25">
      <c r="A84" s="35" t="s">
        <v>250</v>
      </c>
      <c r="B84" s="15">
        <v>301</v>
      </c>
      <c r="C84" s="102" t="s">
        <v>251</v>
      </c>
      <c r="D84" s="102" t="s">
        <v>104</v>
      </c>
      <c r="E84" s="15">
        <v>133</v>
      </c>
      <c r="F84" s="16">
        <v>52.3</v>
      </c>
      <c r="G84" s="16">
        <v>0</v>
      </c>
      <c r="H84" s="16">
        <v>30.64</v>
      </c>
      <c r="I84" s="16">
        <v>0</v>
      </c>
      <c r="J84" s="16">
        <v>0.40600000000000003</v>
      </c>
      <c r="K84" s="16">
        <v>0</v>
      </c>
      <c r="L84" s="16">
        <v>0</v>
      </c>
      <c r="M84" s="16">
        <v>12.66</v>
      </c>
      <c r="N84" s="16">
        <v>4.41</v>
      </c>
      <c r="O84" s="16">
        <v>0.26700000000000002</v>
      </c>
      <c r="P84" s="16">
        <v>0</v>
      </c>
      <c r="Q84" s="16"/>
      <c r="R84" s="16"/>
      <c r="S84" s="16">
        <f t="shared" si="57"/>
        <v>100.68299999999999</v>
      </c>
      <c r="T84" s="16"/>
      <c r="U84" s="15">
        <v>5</v>
      </c>
      <c r="V84" s="15">
        <v>2</v>
      </c>
      <c r="W84" s="15">
        <v>125</v>
      </c>
      <c r="X84" s="15" t="s">
        <v>185</v>
      </c>
      <c r="Y84" s="15"/>
      <c r="Z84" s="37">
        <v>8</v>
      </c>
      <c r="AA84" s="37">
        <v>5</v>
      </c>
      <c r="AB84" s="15"/>
      <c r="AC84" s="38">
        <f t="shared" si="58"/>
        <v>2.3623534955558947</v>
      </c>
      <c r="AD84" s="38">
        <f t="shared" si="59"/>
        <v>0</v>
      </c>
      <c r="AE84" s="38">
        <f t="shared" si="60"/>
        <v>1.6310303771202082</v>
      </c>
      <c r="AF84" s="38">
        <f t="shared" si="61"/>
        <v>0</v>
      </c>
      <c r="AG84" s="38">
        <f t="shared" si="62"/>
        <v>1.5334597490596714E-2</v>
      </c>
      <c r="AH84" s="38">
        <f t="shared" si="63"/>
        <v>0</v>
      </c>
      <c r="AI84" s="38">
        <f t="shared" si="64"/>
        <v>0</v>
      </c>
      <c r="AJ84" s="38">
        <f t="shared" si="65"/>
        <v>0.61263079063662007</v>
      </c>
      <c r="AK84" s="38">
        <f t="shared" si="66"/>
        <v>0.38618031551368376</v>
      </c>
      <c r="AL84" s="38">
        <f t="shared" si="67"/>
        <v>1.5383794647680377E-2</v>
      </c>
      <c r="AM84" s="38">
        <f t="shared" si="68"/>
        <v>0</v>
      </c>
      <c r="AN84" s="38">
        <f t="shared" si="69"/>
        <v>0</v>
      </c>
      <c r="AO84" s="38">
        <f t="shared" si="70"/>
        <v>0</v>
      </c>
      <c r="AP84" s="38">
        <f t="shared" si="71"/>
        <v>5.0229133709646838</v>
      </c>
      <c r="AQ84" s="38">
        <f t="shared" si="72"/>
        <v>3.9933838726761026</v>
      </c>
      <c r="AR84" s="38">
        <f t="shared" si="73"/>
        <v>1.0141949007979842</v>
      </c>
      <c r="AS84" s="40"/>
      <c r="AT84" s="38">
        <f t="shared" si="74"/>
        <v>2.3515769843967953</v>
      </c>
      <c r="AU84" s="38">
        <f t="shared" si="75"/>
        <v>0</v>
      </c>
      <c r="AV84" s="38">
        <f t="shared" si="76"/>
        <v>1.6235899931586497</v>
      </c>
      <c r="AW84" s="38">
        <f t="shared" si="77"/>
        <v>0</v>
      </c>
      <c r="AX84" s="38">
        <f t="shared" si="78"/>
        <v>0</v>
      </c>
      <c r="AY84" s="38">
        <f t="shared" si="79"/>
        <v>1.5264644597734326E-2</v>
      </c>
      <c r="AZ84" s="38">
        <f t="shared" si="80"/>
        <v>0</v>
      </c>
      <c r="BA84" s="38">
        <f t="shared" si="81"/>
        <v>0</v>
      </c>
      <c r="BB84" s="38">
        <f t="shared" si="82"/>
        <v>0.60983611043142516</v>
      </c>
      <c r="BC84" s="38">
        <f t="shared" si="83"/>
        <v>0.38441865008664811</v>
      </c>
      <c r="BD84" s="38">
        <f t="shared" si="84"/>
        <v>1.5313617328747418E-2</v>
      </c>
      <c r="BE84" s="38">
        <f t="shared" si="85"/>
        <v>0</v>
      </c>
      <c r="BF84" s="38">
        <f t="shared" si="86"/>
        <v>0</v>
      </c>
      <c r="BG84" s="38">
        <f t="shared" si="87"/>
        <v>0</v>
      </c>
      <c r="BH84" s="41">
        <f t="shared" si="88"/>
        <v>5</v>
      </c>
      <c r="BI84" s="42">
        <f t="shared" si="89"/>
        <v>7.9711381695672898</v>
      </c>
      <c r="BJ84" s="38">
        <f t="shared" si="90"/>
        <v>3.9751669775554452</v>
      </c>
      <c r="BK84" s="38">
        <f t="shared" si="91"/>
        <v>1.0095683778468207</v>
      </c>
      <c r="BL84" s="16"/>
      <c r="BM84" s="16">
        <f t="shared" si="92"/>
        <v>0.6040562717822705</v>
      </c>
      <c r="BN84" s="16">
        <f t="shared" si="93"/>
        <v>0.38077524863301038</v>
      </c>
      <c r="BO84" s="16">
        <f t="shared" si="94"/>
        <v>1.5168479584719041E-2</v>
      </c>
      <c r="BP84" s="15"/>
      <c r="BQ84" s="38">
        <f t="shared" si="95"/>
        <v>0.87050599201065249</v>
      </c>
      <c r="BR84" s="38">
        <f t="shared" si="96"/>
        <v>0</v>
      </c>
      <c r="BS84" s="38">
        <f t="shared" si="97"/>
        <v>0.60102000784621423</v>
      </c>
      <c r="BT84" s="38">
        <f t="shared" si="98"/>
        <v>0</v>
      </c>
      <c r="BU84" s="38">
        <f t="shared" si="99"/>
        <v>5.6506610995128749E-3</v>
      </c>
      <c r="BV84" s="38">
        <f t="shared" si="100"/>
        <v>0</v>
      </c>
      <c r="BW84" s="38">
        <f t="shared" si="101"/>
        <v>0</v>
      </c>
      <c r="BX84" s="38">
        <f t="shared" si="102"/>
        <v>0.22574893009985736</v>
      </c>
      <c r="BY84" s="38">
        <f t="shared" si="103"/>
        <v>0.14230396902226525</v>
      </c>
      <c r="BZ84" s="38">
        <f t="shared" si="104"/>
        <v>5.6687898089171976E-3</v>
      </c>
      <c r="CA84" s="38">
        <f t="shared" si="105"/>
        <v>0</v>
      </c>
      <c r="CB84" s="38">
        <f t="shared" si="106"/>
        <v>0</v>
      </c>
      <c r="CC84" s="38">
        <f t="shared" si="107"/>
        <v>0</v>
      </c>
      <c r="CD84" s="38">
        <f t="shared" si="108"/>
        <v>1.8508983498874194</v>
      </c>
      <c r="CE84" s="38">
        <f t="shared" si="109"/>
        <v>2.947927966405588</v>
      </c>
      <c r="CF84" s="38">
        <f t="shared" si="110"/>
        <v>2.7013909220374659</v>
      </c>
      <c r="CG84" s="38">
        <f t="shared" si="111"/>
        <v>7.963505847268423</v>
      </c>
      <c r="CH84" s="15"/>
      <c r="CI84" s="16"/>
      <c r="CJ84" s="13"/>
      <c r="CK84" s="104"/>
      <c r="CL84" s="13"/>
      <c r="CM84" s="13"/>
      <c r="CN84" s="13"/>
      <c r="CO84" s="16"/>
      <c r="CP84" s="16"/>
      <c r="CQ84" s="16"/>
      <c r="CR84" s="16"/>
      <c r="CS84" s="16"/>
      <c r="CT84" s="16"/>
      <c r="CU84" s="16"/>
      <c r="CV84" s="16"/>
      <c r="CW84" s="16"/>
      <c r="CX84" s="16"/>
      <c r="CY84" s="104"/>
      <c r="CZ84" s="104"/>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3"/>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row>
    <row r="85" spans="1:167" x14ac:dyDescent="0.25">
      <c r="A85" s="35" t="s">
        <v>250</v>
      </c>
      <c r="B85" s="15">
        <v>302</v>
      </c>
      <c r="C85" s="102" t="s">
        <v>251</v>
      </c>
      <c r="D85" s="102" t="s">
        <v>104</v>
      </c>
      <c r="E85" s="15">
        <v>134</v>
      </c>
      <c r="F85" s="16">
        <v>49.11</v>
      </c>
      <c r="G85" s="16">
        <v>0</v>
      </c>
      <c r="H85" s="16">
        <v>32.82</v>
      </c>
      <c r="I85" s="16">
        <v>0</v>
      </c>
      <c r="J85" s="16">
        <v>0.25800000000000001</v>
      </c>
      <c r="K85" s="16">
        <v>0</v>
      </c>
      <c r="L85" s="16">
        <v>0</v>
      </c>
      <c r="M85" s="16">
        <v>15</v>
      </c>
      <c r="N85" s="16">
        <v>3.04</v>
      </c>
      <c r="O85" s="16">
        <v>0.17299999999999999</v>
      </c>
      <c r="P85" s="16">
        <v>0</v>
      </c>
      <c r="Q85" s="16"/>
      <c r="R85" s="16"/>
      <c r="S85" s="16">
        <f t="shared" si="57"/>
        <v>100.40100000000001</v>
      </c>
      <c r="T85" s="16"/>
      <c r="U85" s="15">
        <v>5</v>
      </c>
      <c r="V85" s="15">
        <v>1</v>
      </c>
      <c r="W85" s="15">
        <v>0</v>
      </c>
      <c r="X85" s="15" t="s">
        <v>185</v>
      </c>
      <c r="Y85" s="15"/>
      <c r="Z85" s="37">
        <v>8</v>
      </c>
      <c r="AA85" s="37">
        <v>5</v>
      </c>
      <c r="AB85" s="15"/>
      <c r="AC85" s="38">
        <f t="shared" si="58"/>
        <v>2.2376073164962582</v>
      </c>
      <c r="AD85" s="38">
        <f t="shared" si="59"/>
        <v>0</v>
      </c>
      <c r="AE85" s="38">
        <f t="shared" si="60"/>
        <v>1.7623112306927671</v>
      </c>
      <c r="AF85" s="38">
        <f t="shared" si="61"/>
        <v>0</v>
      </c>
      <c r="AG85" s="38">
        <f t="shared" si="62"/>
        <v>9.8296215359564669E-3</v>
      </c>
      <c r="AH85" s="38">
        <f t="shared" si="63"/>
        <v>0</v>
      </c>
      <c r="AI85" s="38">
        <f t="shared" si="64"/>
        <v>0</v>
      </c>
      <c r="AJ85" s="38">
        <f t="shared" si="65"/>
        <v>0.73219560445052756</v>
      </c>
      <c r="AK85" s="38">
        <f t="shared" si="66"/>
        <v>0.26853189130399091</v>
      </c>
      <c r="AL85" s="38">
        <f t="shared" si="67"/>
        <v>1.0054698659706023E-2</v>
      </c>
      <c r="AM85" s="38">
        <f t="shared" si="68"/>
        <v>0</v>
      </c>
      <c r="AN85" s="38">
        <f t="shared" si="69"/>
        <v>0</v>
      </c>
      <c r="AO85" s="38">
        <f t="shared" si="70"/>
        <v>0</v>
      </c>
      <c r="AP85" s="38">
        <f t="shared" si="71"/>
        <v>5.0205303631392066</v>
      </c>
      <c r="AQ85" s="38">
        <f t="shared" si="72"/>
        <v>3.9999185471890253</v>
      </c>
      <c r="AR85" s="38">
        <f t="shared" si="73"/>
        <v>1.0107821944142246</v>
      </c>
      <c r="AS85" s="40"/>
      <c r="AT85" s="38">
        <f t="shared" si="74"/>
        <v>2.2284571097555732</v>
      </c>
      <c r="AU85" s="38">
        <f t="shared" si="75"/>
        <v>0</v>
      </c>
      <c r="AV85" s="38">
        <f t="shared" si="76"/>
        <v>1.7551046435568614</v>
      </c>
      <c r="AW85" s="38">
        <f t="shared" si="77"/>
        <v>0</v>
      </c>
      <c r="AX85" s="38">
        <f t="shared" si="78"/>
        <v>0</v>
      </c>
      <c r="AY85" s="38">
        <f t="shared" si="79"/>
        <v>9.7894254440981637E-3</v>
      </c>
      <c r="AZ85" s="38">
        <f t="shared" si="80"/>
        <v>0</v>
      </c>
      <c r="BA85" s="38">
        <f t="shared" si="81"/>
        <v>0</v>
      </c>
      <c r="BB85" s="38">
        <f t="shared" si="82"/>
        <v>0.7292014503351244</v>
      </c>
      <c r="BC85" s="38">
        <f t="shared" si="83"/>
        <v>0.26743378874426821</v>
      </c>
      <c r="BD85" s="38">
        <f t="shared" si="84"/>
        <v>1.0013582164075474E-2</v>
      </c>
      <c r="BE85" s="38">
        <f t="shared" si="85"/>
        <v>0</v>
      </c>
      <c r="BF85" s="38">
        <f t="shared" si="86"/>
        <v>0</v>
      </c>
      <c r="BG85" s="38">
        <f t="shared" si="87"/>
        <v>0</v>
      </c>
      <c r="BH85" s="41">
        <f t="shared" si="88"/>
        <v>5.0000000000000018</v>
      </c>
      <c r="BI85" s="42">
        <f t="shared" si="89"/>
        <v>7.9721804588018825</v>
      </c>
      <c r="BJ85" s="38">
        <f t="shared" si="90"/>
        <v>3.9835617533124346</v>
      </c>
      <c r="BK85" s="38">
        <f t="shared" si="91"/>
        <v>1.0066488212434681</v>
      </c>
      <c r="BL85" s="16"/>
      <c r="BM85" s="16">
        <f t="shared" si="92"/>
        <v>0.72438514300784118</v>
      </c>
      <c r="BN85" s="16">
        <f t="shared" si="93"/>
        <v>0.26566741360102047</v>
      </c>
      <c r="BO85" s="16">
        <f t="shared" si="94"/>
        <v>9.9474433911382765E-3</v>
      </c>
      <c r="BP85" s="15"/>
      <c r="BQ85" s="38">
        <f t="shared" si="95"/>
        <v>0.81741011984021306</v>
      </c>
      <c r="BR85" s="38">
        <f t="shared" si="96"/>
        <v>0</v>
      </c>
      <c r="BS85" s="38">
        <f t="shared" si="97"/>
        <v>0.64378187524519426</v>
      </c>
      <c r="BT85" s="38">
        <f t="shared" si="98"/>
        <v>0</v>
      </c>
      <c r="BU85" s="38">
        <f t="shared" si="99"/>
        <v>3.5908141962421717E-3</v>
      </c>
      <c r="BV85" s="38">
        <f t="shared" si="100"/>
        <v>0</v>
      </c>
      <c r="BW85" s="38">
        <f t="shared" si="101"/>
        <v>0</v>
      </c>
      <c r="BX85" s="38">
        <f t="shared" si="102"/>
        <v>0.26747503566333808</v>
      </c>
      <c r="BY85" s="38">
        <f t="shared" si="103"/>
        <v>9.8096160051629563E-2</v>
      </c>
      <c r="BZ85" s="38">
        <f t="shared" si="104"/>
        <v>3.6730360934182586E-3</v>
      </c>
      <c r="CA85" s="38">
        <f t="shared" si="105"/>
        <v>0</v>
      </c>
      <c r="CB85" s="38">
        <f t="shared" si="106"/>
        <v>0</v>
      </c>
      <c r="CC85" s="38">
        <f t="shared" si="107"/>
        <v>0</v>
      </c>
      <c r="CD85" s="38">
        <f t="shared" si="108"/>
        <v>1.8340270410900352</v>
      </c>
      <c r="CE85" s="38">
        <f t="shared" si="109"/>
        <v>2.9224435004803215</v>
      </c>
      <c r="CF85" s="38">
        <f t="shared" si="110"/>
        <v>2.7262411556529185</v>
      </c>
      <c r="CG85" s="38">
        <f t="shared" si="111"/>
        <v>7.9672857460798321</v>
      </c>
      <c r="CH85" s="15"/>
      <c r="CI85" s="16"/>
      <c r="CJ85" s="13"/>
      <c r="CK85" s="104"/>
      <c r="CL85" s="13"/>
      <c r="CM85" s="13"/>
      <c r="CN85" s="13"/>
      <c r="CO85" s="16"/>
      <c r="CP85" s="16"/>
      <c r="CQ85" s="16"/>
      <c r="CR85" s="16"/>
      <c r="CS85" s="16"/>
      <c r="CT85" s="16"/>
      <c r="CU85" s="16"/>
      <c r="CV85" s="16"/>
      <c r="CW85" s="16"/>
      <c r="CX85" s="16"/>
      <c r="CY85" s="104"/>
      <c r="CZ85" s="104"/>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3"/>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row>
    <row r="86" spans="1:167" x14ac:dyDescent="0.25">
      <c r="A86" s="35" t="s">
        <v>250</v>
      </c>
      <c r="B86" s="15">
        <v>303</v>
      </c>
      <c r="C86" s="102" t="s">
        <v>251</v>
      </c>
      <c r="D86" s="102" t="s">
        <v>104</v>
      </c>
      <c r="E86" s="15">
        <v>135</v>
      </c>
      <c r="F86" s="16">
        <v>48.86</v>
      </c>
      <c r="G86" s="16">
        <v>0</v>
      </c>
      <c r="H86" s="16">
        <v>32.47</v>
      </c>
      <c r="I86" s="16">
        <v>0</v>
      </c>
      <c r="J86" s="16">
        <v>0.43</v>
      </c>
      <c r="K86" s="16">
        <v>0</v>
      </c>
      <c r="L86" s="16">
        <v>0</v>
      </c>
      <c r="M86" s="16">
        <v>15.07</v>
      </c>
      <c r="N86" s="16">
        <v>3.14</v>
      </c>
      <c r="O86" s="16">
        <v>0.16800000000000001</v>
      </c>
      <c r="P86" s="16">
        <v>0</v>
      </c>
      <c r="Q86" s="16"/>
      <c r="R86" s="16"/>
      <c r="S86" s="16">
        <f t="shared" si="57"/>
        <v>100.13800000000002</v>
      </c>
      <c r="T86" s="16"/>
      <c r="U86" s="15"/>
      <c r="V86" s="15"/>
      <c r="W86" s="15"/>
      <c r="X86" s="15" t="s">
        <v>185</v>
      </c>
      <c r="Y86" s="15"/>
      <c r="Z86" s="37">
        <v>8</v>
      </c>
      <c r="AA86" s="37">
        <v>5</v>
      </c>
      <c r="AB86" s="15"/>
      <c r="AC86" s="38">
        <f t="shared" si="58"/>
        <v>2.2364850047138147</v>
      </c>
      <c r="AD86" s="38">
        <f t="shared" si="59"/>
        <v>0</v>
      </c>
      <c r="AE86" s="38">
        <f t="shared" si="60"/>
        <v>1.751559559378586</v>
      </c>
      <c r="AF86" s="38">
        <f t="shared" si="61"/>
        <v>0</v>
      </c>
      <c r="AG86" s="38">
        <f t="shared" si="62"/>
        <v>1.6458268196374505E-2</v>
      </c>
      <c r="AH86" s="38">
        <f t="shared" si="63"/>
        <v>0</v>
      </c>
      <c r="AI86" s="38">
        <f t="shared" si="64"/>
        <v>0</v>
      </c>
      <c r="AJ86" s="38">
        <f t="shared" si="65"/>
        <v>0.73900554890589398</v>
      </c>
      <c r="AK86" s="38">
        <f t="shared" si="66"/>
        <v>0.27864453120780563</v>
      </c>
      <c r="AL86" s="38">
        <f t="shared" si="67"/>
        <v>9.8091375966423422E-3</v>
      </c>
      <c r="AM86" s="38">
        <f t="shared" si="68"/>
        <v>0</v>
      </c>
      <c r="AN86" s="38">
        <f t="shared" si="69"/>
        <v>0</v>
      </c>
      <c r="AO86" s="38">
        <f t="shared" si="70"/>
        <v>0</v>
      </c>
      <c r="AP86" s="38">
        <f t="shared" si="71"/>
        <v>5.0319620499991169</v>
      </c>
      <c r="AQ86" s="38">
        <f t="shared" si="72"/>
        <v>3.9880445640924007</v>
      </c>
      <c r="AR86" s="38">
        <f t="shared" si="73"/>
        <v>1.0274592177103419</v>
      </c>
      <c r="AS86" s="40"/>
      <c r="AT86" s="38">
        <f t="shared" si="74"/>
        <v>2.2222792843938546</v>
      </c>
      <c r="AU86" s="38">
        <f t="shared" si="75"/>
        <v>0</v>
      </c>
      <c r="AV86" s="38">
        <f t="shared" si="76"/>
        <v>1.7404339917258449</v>
      </c>
      <c r="AW86" s="38">
        <f t="shared" si="77"/>
        <v>0</v>
      </c>
      <c r="AX86" s="38">
        <f t="shared" si="78"/>
        <v>0</v>
      </c>
      <c r="AY86" s="38">
        <f t="shared" si="79"/>
        <v>1.6353728459038548E-2</v>
      </c>
      <c r="AZ86" s="38">
        <f t="shared" si="80"/>
        <v>0</v>
      </c>
      <c r="BA86" s="38">
        <f t="shared" si="81"/>
        <v>0</v>
      </c>
      <c r="BB86" s="38">
        <f t="shared" si="82"/>
        <v>0.73431152854781923</v>
      </c>
      <c r="BC86" s="38">
        <f t="shared" si="83"/>
        <v>0.27687463502219228</v>
      </c>
      <c r="BD86" s="38">
        <f t="shared" si="84"/>
        <v>9.7468318512498146E-3</v>
      </c>
      <c r="BE86" s="38">
        <f t="shared" si="85"/>
        <v>0</v>
      </c>
      <c r="BF86" s="38">
        <f t="shared" si="86"/>
        <v>0</v>
      </c>
      <c r="BG86" s="38">
        <f t="shared" si="87"/>
        <v>0</v>
      </c>
      <c r="BH86" s="41">
        <f t="shared" si="88"/>
        <v>4.9999999999999991</v>
      </c>
      <c r="BI86" s="42">
        <f t="shared" si="89"/>
        <v>7.9573624110495746</v>
      </c>
      <c r="BJ86" s="38">
        <f t="shared" si="90"/>
        <v>3.9627132761196995</v>
      </c>
      <c r="BK86" s="38">
        <f t="shared" si="91"/>
        <v>1.0209329954212614</v>
      </c>
      <c r="BL86" s="16"/>
      <c r="BM86" s="16">
        <f t="shared" si="92"/>
        <v>0.71925535940272434</v>
      </c>
      <c r="BN86" s="16">
        <f t="shared" si="93"/>
        <v>0.27119765573640531</v>
      </c>
      <c r="BO86" s="16">
        <f t="shared" si="94"/>
        <v>9.5469848608703643E-3</v>
      </c>
      <c r="BP86" s="15"/>
      <c r="BQ86" s="38">
        <f t="shared" si="95"/>
        <v>0.81324900133155797</v>
      </c>
      <c r="BR86" s="38">
        <f t="shared" si="96"/>
        <v>0</v>
      </c>
      <c r="BS86" s="38">
        <f t="shared" si="97"/>
        <v>0.63691643781875251</v>
      </c>
      <c r="BT86" s="38">
        <f t="shared" si="98"/>
        <v>0</v>
      </c>
      <c r="BU86" s="38">
        <f t="shared" si="99"/>
        <v>5.9846903270702858E-3</v>
      </c>
      <c r="BV86" s="38">
        <f t="shared" si="100"/>
        <v>0</v>
      </c>
      <c r="BW86" s="38">
        <f t="shared" si="101"/>
        <v>0</v>
      </c>
      <c r="BX86" s="38">
        <f t="shared" si="102"/>
        <v>0.2687232524964337</v>
      </c>
      <c r="BY86" s="38">
        <f t="shared" si="103"/>
        <v>0.10132300742174896</v>
      </c>
      <c r="BZ86" s="38">
        <f t="shared" si="104"/>
        <v>3.5668789808917197E-3</v>
      </c>
      <c r="CA86" s="38">
        <f t="shared" si="105"/>
        <v>0</v>
      </c>
      <c r="CB86" s="38">
        <f t="shared" si="106"/>
        <v>0</v>
      </c>
      <c r="CC86" s="38">
        <f t="shared" si="107"/>
        <v>0</v>
      </c>
      <c r="CD86" s="38">
        <f t="shared" si="108"/>
        <v>1.8297632683764553</v>
      </c>
      <c r="CE86" s="38">
        <f t="shared" si="109"/>
        <v>2.9090255454160689</v>
      </c>
      <c r="CF86" s="38">
        <f t="shared" si="110"/>
        <v>2.7325939297253945</v>
      </c>
      <c r="CG86" s="38">
        <f t="shared" si="111"/>
        <v>7.949185546820055</v>
      </c>
      <c r="CH86" s="15"/>
      <c r="CI86" s="16"/>
      <c r="CJ86" s="13"/>
      <c r="CK86" s="104"/>
      <c r="CL86" s="13"/>
      <c r="CM86" s="13"/>
      <c r="CN86" s="13"/>
      <c r="CO86" s="16"/>
      <c r="CP86" s="16"/>
      <c r="CQ86" s="16"/>
      <c r="CR86" s="16"/>
      <c r="CS86" s="16"/>
      <c r="CT86" s="16"/>
      <c r="CU86" s="16"/>
      <c r="CV86" s="16"/>
      <c r="CW86" s="16"/>
      <c r="CX86" s="16"/>
      <c r="CY86" s="104"/>
      <c r="CZ86" s="104"/>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3"/>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row>
    <row r="87" spans="1:167" x14ac:dyDescent="0.25">
      <c r="A87" s="35" t="s">
        <v>250</v>
      </c>
      <c r="B87" s="15">
        <v>304</v>
      </c>
      <c r="C87" s="102" t="s">
        <v>251</v>
      </c>
      <c r="D87" s="102" t="s">
        <v>104</v>
      </c>
      <c r="E87" s="15">
        <v>136</v>
      </c>
      <c r="F87" s="16">
        <v>52.56</v>
      </c>
      <c r="G87" s="16">
        <v>0</v>
      </c>
      <c r="H87" s="16">
        <v>30.37</v>
      </c>
      <c r="I87" s="16">
        <v>0</v>
      </c>
      <c r="J87" s="16">
        <v>0.36499999999999999</v>
      </c>
      <c r="K87" s="16">
        <v>0</v>
      </c>
      <c r="L87" s="16">
        <v>0</v>
      </c>
      <c r="M87" s="16">
        <v>12.61</v>
      </c>
      <c r="N87" s="16">
        <v>4.66</v>
      </c>
      <c r="O87" s="16">
        <v>0.315</v>
      </c>
      <c r="P87" s="16">
        <v>0</v>
      </c>
      <c r="Q87" s="16"/>
      <c r="R87" s="16"/>
      <c r="S87" s="16">
        <f t="shared" si="57"/>
        <v>100.88</v>
      </c>
      <c r="T87" s="16"/>
      <c r="U87" s="15"/>
      <c r="V87" s="15"/>
      <c r="W87" s="15"/>
      <c r="X87" s="15" t="s">
        <v>185</v>
      </c>
      <c r="Y87" s="15"/>
      <c r="Z87" s="37">
        <v>8</v>
      </c>
      <c r="AA87" s="37">
        <v>5</v>
      </c>
      <c r="AB87" s="15"/>
      <c r="AC87" s="38">
        <f t="shared" si="58"/>
        <v>2.3710477819498017</v>
      </c>
      <c r="AD87" s="38">
        <f t="shared" si="59"/>
        <v>0</v>
      </c>
      <c r="AE87" s="38">
        <f t="shared" si="60"/>
        <v>1.6145809881124309</v>
      </c>
      <c r="AF87" s="38">
        <f t="shared" si="61"/>
        <v>0</v>
      </c>
      <c r="AG87" s="38">
        <f t="shared" si="62"/>
        <v>1.3768320453447004E-2</v>
      </c>
      <c r="AH87" s="38">
        <f t="shared" si="63"/>
        <v>0</v>
      </c>
      <c r="AI87" s="38">
        <f t="shared" si="64"/>
        <v>0</v>
      </c>
      <c r="AJ87" s="38">
        <f t="shared" si="65"/>
        <v>0.60942737029077387</v>
      </c>
      <c r="AK87" s="38">
        <f t="shared" si="66"/>
        <v>0.40754842017474302</v>
      </c>
      <c r="AL87" s="38">
        <f t="shared" si="67"/>
        <v>1.8126106200317172E-2</v>
      </c>
      <c r="AM87" s="38">
        <f t="shared" si="68"/>
        <v>0</v>
      </c>
      <c r="AN87" s="38">
        <f t="shared" si="69"/>
        <v>0</v>
      </c>
      <c r="AO87" s="38">
        <f t="shared" si="70"/>
        <v>0</v>
      </c>
      <c r="AP87" s="38">
        <f t="shared" si="71"/>
        <v>5.0344989871815145</v>
      </c>
      <c r="AQ87" s="38">
        <f t="shared" si="72"/>
        <v>3.9856287700622328</v>
      </c>
      <c r="AR87" s="38">
        <f t="shared" si="73"/>
        <v>1.0351018966658341</v>
      </c>
      <c r="AS87" s="40"/>
      <c r="AT87" s="38">
        <f t="shared" si="74"/>
        <v>2.3548001379946606</v>
      </c>
      <c r="AU87" s="38">
        <f t="shared" si="75"/>
        <v>0</v>
      </c>
      <c r="AV87" s="38">
        <f t="shared" si="76"/>
        <v>1.6035170453141048</v>
      </c>
      <c r="AW87" s="38">
        <f t="shared" si="77"/>
        <v>0</v>
      </c>
      <c r="AX87" s="38">
        <f t="shared" si="78"/>
        <v>0</v>
      </c>
      <c r="AY87" s="38">
        <f t="shared" si="79"/>
        <v>1.3673972810902267E-2</v>
      </c>
      <c r="AZ87" s="38">
        <f t="shared" si="80"/>
        <v>0</v>
      </c>
      <c r="BA87" s="38">
        <f t="shared" si="81"/>
        <v>0</v>
      </c>
      <c r="BB87" s="38">
        <f t="shared" si="82"/>
        <v>0.60525125920419776</v>
      </c>
      <c r="BC87" s="38">
        <f t="shared" si="83"/>
        <v>0.40475568791692484</v>
      </c>
      <c r="BD87" s="38">
        <f t="shared" si="84"/>
        <v>1.8001896759209393E-2</v>
      </c>
      <c r="BE87" s="38">
        <f t="shared" si="85"/>
        <v>0</v>
      </c>
      <c r="BF87" s="38">
        <f t="shared" si="86"/>
        <v>0</v>
      </c>
      <c r="BG87" s="38">
        <f t="shared" si="87"/>
        <v>0</v>
      </c>
      <c r="BH87" s="41">
        <f t="shared" si="88"/>
        <v>5</v>
      </c>
      <c r="BI87" s="42">
        <f t="shared" si="89"/>
        <v>7.9520168547190968</v>
      </c>
      <c r="BJ87" s="38">
        <f t="shared" si="90"/>
        <v>3.9583171833087656</v>
      </c>
      <c r="BK87" s="38">
        <f t="shared" si="91"/>
        <v>1.0280088438803321</v>
      </c>
      <c r="BL87" s="16"/>
      <c r="BM87" s="16">
        <f t="shared" si="92"/>
        <v>0.58876075123985372</v>
      </c>
      <c r="BN87" s="16">
        <f t="shared" si="93"/>
        <v>0.39372782668788159</v>
      </c>
      <c r="BO87" s="16">
        <f t="shared" si="94"/>
        <v>1.7511422072264731E-2</v>
      </c>
      <c r="BP87" s="15"/>
      <c r="BQ87" s="38">
        <f t="shared" si="95"/>
        <v>0.87483355525965389</v>
      </c>
      <c r="BR87" s="38">
        <f t="shared" si="96"/>
        <v>0</v>
      </c>
      <c r="BS87" s="38">
        <f t="shared" si="97"/>
        <v>0.59572381326010204</v>
      </c>
      <c r="BT87" s="38">
        <f t="shared" si="98"/>
        <v>0</v>
      </c>
      <c r="BU87" s="38">
        <f t="shared" si="99"/>
        <v>5.0800278357689636E-3</v>
      </c>
      <c r="BV87" s="38">
        <f t="shared" si="100"/>
        <v>0</v>
      </c>
      <c r="BW87" s="38">
        <f t="shared" si="101"/>
        <v>0</v>
      </c>
      <c r="BX87" s="38">
        <f t="shared" si="102"/>
        <v>0.22485734664764623</v>
      </c>
      <c r="BY87" s="38">
        <f t="shared" si="103"/>
        <v>0.15037108744756375</v>
      </c>
      <c r="BZ87" s="38">
        <f t="shared" si="104"/>
        <v>6.6878980891719748E-3</v>
      </c>
      <c r="CA87" s="38">
        <f t="shared" si="105"/>
        <v>0</v>
      </c>
      <c r="CB87" s="38">
        <f t="shared" si="106"/>
        <v>0</v>
      </c>
      <c r="CC87" s="38">
        <f t="shared" si="107"/>
        <v>0</v>
      </c>
      <c r="CD87" s="38">
        <f t="shared" si="108"/>
        <v>1.8575537285399069</v>
      </c>
      <c r="CE87" s="38">
        <f t="shared" si="109"/>
        <v>2.9517196976612436</v>
      </c>
      <c r="CF87" s="38">
        <f t="shared" si="110"/>
        <v>2.691712182091309</v>
      </c>
      <c r="CG87" s="38">
        <f t="shared" si="111"/>
        <v>7.9451798683136454</v>
      </c>
      <c r="CH87" s="15"/>
      <c r="CI87" s="16"/>
      <c r="CJ87" s="13"/>
      <c r="CK87" s="104"/>
      <c r="CL87" s="13"/>
      <c r="CM87" s="13"/>
      <c r="CN87" s="13"/>
      <c r="CO87" s="16"/>
      <c r="CP87" s="16"/>
      <c r="CQ87" s="16"/>
      <c r="CR87" s="16"/>
      <c r="CS87" s="16"/>
      <c r="CT87" s="16"/>
      <c r="CU87" s="16"/>
      <c r="CV87" s="16"/>
      <c r="CW87" s="16"/>
      <c r="CX87" s="16"/>
      <c r="CY87" s="104"/>
      <c r="CZ87" s="104"/>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3"/>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row>
    <row r="88" spans="1:167" x14ac:dyDescent="0.25">
      <c r="A88" s="35" t="s">
        <v>250</v>
      </c>
      <c r="B88" s="15">
        <v>305</v>
      </c>
      <c r="C88" s="102" t="s">
        <v>251</v>
      </c>
      <c r="D88" s="102" t="s">
        <v>104</v>
      </c>
      <c r="E88" s="15">
        <v>137</v>
      </c>
      <c r="F88" s="16">
        <v>53.21</v>
      </c>
      <c r="G88" s="16">
        <v>0</v>
      </c>
      <c r="H88" s="16">
        <v>29.7</v>
      </c>
      <c r="I88" s="16">
        <v>0</v>
      </c>
      <c r="J88" s="16">
        <v>0.45400000000000001</v>
      </c>
      <c r="K88" s="16">
        <v>0</v>
      </c>
      <c r="L88" s="16">
        <v>0</v>
      </c>
      <c r="M88" s="16">
        <v>11.88</v>
      </c>
      <c r="N88" s="16">
        <v>5</v>
      </c>
      <c r="O88" s="16">
        <v>0.34499999999999997</v>
      </c>
      <c r="P88" s="16">
        <v>0</v>
      </c>
      <c r="Q88" s="16"/>
      <c r="R88" s="16"/>
      <c r="S88" s="16">
        <f t="shared" si="57"/>
        <v>100.58899999999998</v>
      </c>
      <c r="T88" s="16"/>
      <c r="U88" s="15"/>
      <c r="V88" s="15"/>
      <c r="W88" s="15"/>
      <c r="X88" s="15" t="s">
        <v>185</v>
      </c>
      <c r="Y88" s="15"/>
      <c r="Z88" s="37">
        <v>8</v>
      </c>
      <c r="AA88" s="37">
        <v>5</v>
      </c>
      <c r="AB88" s="15"/>
      <c r="AC88" s="38">
        <f t="shared" si="58"/>
        <v>2.4036682201186399</v>
      </c>
      <c r="AD88" s="38">
        <f t="shared" si="59"/>
        <v>0</v>
      </c>
      <c r="AE88" s="38">
        <f t="shared" si="60"/>
        <v>1.581130822145087</v>
      </c>
      <c r="AF88" s="38">
        <f t="shared" si="61"/>
        <v>0</v>
      </c>
      <c r="AG88" s="38">
        <f t="shared" si="62"/>
        <v>1.7149057912965084E-2</v>
      </c>
      <c r="AH88" s="38">
        <f t="shared" si="63"/>
        <v>0</v>
      </c>
      <c r="AI88" s="38">
        <f t="shared" si="64"/>
        <v>0</v>
      </c>
      <c r="AJ88" s="38">
        <f t="shared" si="65"/>
        <v>0.57493615772436912</v>
      </c>
      <c r="AK88" s="38">
        <f t="shared" si="66"/>
        <v>0.43788454249364978</v>
      </c>
      <c r="AL88" s="38">
        <f t="shared" si="67"/>
        <v>1.987967932185979E-2</v>
      </c>
      <c r="AM88" s="38">
        <f t="shared" si="68"/>
        <v>0</v>
      </c>
      <c r="AN88" s="38">
        <f t="shared" si="69"/>
        <v>0</v>
      </c>
      <c r="AO88" s="38">
        <f t="shared" si="70"/>
        <v>0</v>
      </c>
      <c r="AP88" s="38">
        <f t="shared" si="71"/>
        <v>5.0346484797165703</v>
      </c>
      <c r="AQ88" s="38">
        <f t="shared" si="72"/>
        <v>3.9847990422637269</v>
      </c>
      <c r="AR88" s="38">
        <f t="shared" si="73"/>
        <v>1.0327003795398788</v>
      </c>
      <c r="AS88" s="40"/>
      <c r="AT88" s="38">
        <f t="shared" si="74"/>
        <v>2.3871261616401429</v>
      </c>
      <c r="AU88" s="38">
        <f t="shared" si="75"/>
        <v>0</v>
      </c>
      <c r="AV88" s="38">
        <f t="shared" si="76"/>
        <v>1.5702494707575871</v>
      </c>
      <c r="AW88" s="38">
        <f t="shared" si="77"/>
        <v>0</v>
      </c>
      <c r="AX88" s="38">
        <f t="shared" si="78"/>
        <v>0</v>
      </c>
      <c r="AY88" s="38">
        <f t="shared" si="79"/>
        <v>1.7031037998039639E-2</v>
      </c>
      <c r="AZ88" s="38">
        <f t="shared" si="80"/>
        <v>0</v>
      </c>
      <c r="BA88" s="38">
        <f t="shared" si="81"/>
        <v>0</v>
      </c>
      <c r="BB88" s="38">
        <f t="shared" si="82"/>
        <v>0.57097944378902854</v>
      </c>
      <c r="BC88" s="38">
        <f t="shared" si="83"/>
        <v>0.43487101856046639</v>
      </c>
      <c r="BD88" s="38">
        <f t="shared" si="84"/>
        <v>1.9742867254735261E-2</v>
      </c>
      <c r="BE88" s="38">
        <f t="shared" si="85"/>
        <v>0</v>
      </c>
      <c r="BF88" s="38">
        <f t="shared" si="86"/>
        <v>0</v>
      </c>
      <c r="BG88" s="38">
        <f t="shared" si="87"/>
        <v>0</v>
      </c>
      <c r="BH88" s="41">
        <f t="shared" si="88"/>
        <v>5</v>
      </c>
      <c r="BI88" s="42">
        <f t="shared" si="89"/>
        <v>7.9534594731103541</v>
      </c>
      <c r="BJ88" s="38">
        <f t="shared" si="90"/>
        <v>3.95737563239773</v>
      </c>
      <c r="BK88" s="38">
        <f t="shared" si="91"/>
        <v>1.0255933296042301</v>
      </c>
      <c r="BL88" s="16"/>
      <c r="BM88" s="16">
        <f t="shared" si="92"/>
        <v>0.55673084770292502</v>
      </c>
      <c r="BN88" s="16">
        <f t="shared" si="93"/>
        <v>0.42401896151984558</v>
      </c>
      <c r="BO88" s="16">
        <f t="shared" si="94"/>
        <v>1.9250190777229316E-2</v>
      </c>
      <c r="BP88" s="15"/>
      <c r="BQ88" s="38">
        <f t="shared" si="95"/>
        <v>0.8856524633821572</v>
      </c>
      <c r="BR88" s="38">
        <f t="shared" si="96"/>
        <v>0</v>
      </c>
      <c r="BS88" s="38">
        <f t="shared" si="97"/>
        <v>0.58258140447234208</v>
      </c>
      <c r="BT88" s="38">
        <f t="shared" si="98"/>
        <v>0</v>
      </c>
      <c r="BU88" s="38">
        <f t="shared" si="99"/>
        <v>6.3187195546276975E-3</v>
      </c>
      <c r="BV88" s="38">
        <f t="shared" si="100"/>
        <v>0</v>
      </c>
      <c r="BW88" s="38">
        <f t="shared" si="101"/>
        <v>0</v>
      </c>
      <c r="BX88" s="38">
        <f t="shared" si="102"/>
        <v>0.21184022824536378</v>
      </c>
      <c r="BY88" s="38">
        <f t="shared" si="103"/>
        <v>0.16134236850596967</v>
      </c>
      <c r="BZ88" s="38">
        <f t="shared" si="104"/>
        <v>7.3248407643312094E-3</v>
      </c>
      <c r="CA88" s="38">
        <f t="shared" si="105"/>
        <v>0</v>
      </c>
      <c r="CB88" s="38">
        <f t="shared" si="106"/>
        <v>0</v>
      </c>
      <c r="CC88" s="38">
        <f t="shared" si="107"/>
        <v>0</v>
      </c>
      <c r="CD88" s="38">
        <f t="shared" si="108"/>
        <v>1.8550600249247915</v>
      </c>
      <c r="CE88" s="38">
        <f t="shared" si="109"/>
        <v>2.9476695859079696</v>
      </c>
      <c r="CF88" s="38">
        <f t="shared" si="110"/>
        <v>2.6953305730377708</v>
      </c>
      <c r="CG88" s="38">
        <f t="shared" si="111"/>
        <v>7.944943954111336</v>
      </c>
      <c r="CH88" s="15"/>
      <c r="CI88" s="16"/>
      <c r="CJ88" s="13"/>
      <c r="CK88" s="104"/>
      <c r="CL88" s="13"/>
      <c r="CM88" s="13"/>
      <c r="CN88" s="13"/>
      <c r="CO88" s="16"/>
      <c r="CP88" s="16"/>
      <c r="CQ88" s="16"/>
      <c r="CR88" s="16"/>
      <c r="CS88" s="16"/>
      <c r="CT88" s="16"/>
      <c r="CU88" s="16"/>
      <c r="CV88" s="16"/>
      <c r="CW88" s="16"/>
      <c r="CX88" s="16"/>
      <c r="CY88" s="104"/>
      <c r="CZ88" s="104"/>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3"/>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row>
    <row r="89" spans="1:167" x14ac:dyDescent="0.25">
      <c r="A89" s="35" t="s">
        <v>250</v>
      </c>
      <c r="B89" s="15">
        <v>306</v>
      </c>
      <c r="C89" s="102" t="s">
        <v>251</v>
      </c>
      <c r="D89" s="102" t="s">
        <v>104</v>
      </c>
      <c r="E89" s="15">
        <v>138</v>
      </c>
      <c r="F89" s="16">
        <v>64.260000000000005</v>
      </c>
      <c r="G89" s="16">
        <v>0</v>
      </c>
      <c r="H89" s="16">
        <v>22.49</v>
      </c>
      <c r="I89" s="16">
        <v>0</v>
      </c>
      <c r="J89" s="16">
        <v>4.2000000000000003E-2</v>
      </c>
      <c r="K89" s="16">
        <v>0</v>
      </c>
      <c r="L89" s="16">
        <v>0</v>
      </c>
      <c r="M89" s="16">
        <v>3.1</v>
      </c>
      <c r="N89" s="16">
        <v>10.7</v>
      </c>
      <c r="O89" s="16">
        <v>0.24</v>
      </c>
      <c r="P89" s="16">
        <v>0</v>
      </c>
      <c r="Q89" s="16"/>
      <c r="R89" s="16"/>
      <c r="S89" s="16">
        <f t="shared" si="57"/>
        <v>100.83199999999999</v>
      </c>
      <c r="T89" s="16"/>
      <c r="U89" s="15"/>
      <c r="V89" s="15"/>
      <c r="W89" s="15"/>
      <c r="X89" s="15" t="s">
        <v>186</v>
      </c>
      <c r="Y89" s="15"/>
      <c r="Z89" s="37">
        <v>8</v>
      </c>
      <c r="AA89" s="37">
        <v>5</v>
      </c>
      <c r="AB89" s="15"/>
      <c r="AC89" s="38">
        <f t="shared" si="58"/>
        <v>2.8221647938107286</v>
      </c>
      <c r="AD89" s="38">
        <f t="shared" si="59"/>
        <v>0</v>
      </c>
      <c r="AE89" s="38">
        <f t="shared" si="60"/>
        <v>1.1640220222894331</v>
      </c>
      <c r="AF89" s="38">
        <f t="shared" si="61"/>
        <v>0</v>
      </c>
      <c r="AG89" s="38">
        <f t="shared" si="62"/>
        <v>1.5423896080900984E-3</v>
      </c>
      <c r="AH89" s="38">
        <f t="shared" si="63"/>
        <v>0</v>
      </c>
      <c r="AI89" s="38">
        <f t="shared" si="64"/>
        <v>0</v>
      </c>
      <c r="AJ89" s="38">
        <f t="shared" si="65"/>
        <v>0.14585632317690206</v>
      </c>
      <c r="AK89" s="38">
        <f t="shared" si="66"/>
        <v>0.9110322982464597</v>
      </c>
      <c r="AL89" s="38">
        <f t="shared" si="67"/>
        <v>1.3445034072341348E-2</v>
      </c>
      <c r="AM89" s="38">
        <f t="shared" si="68"/>
        <v>0</v>
      </c>
      <c r="AN89" s="38">
        <f t="shared" si="69"/>
        <v>0</v>
      </c>
      <c r="AO89" s="38">
        <f t="shared" si="70"/>
        <v>0</v>
      </c>
      <c r="AP89" s="38">
        <f t="shared" si="71"/>
        <v>5.0580628612039549</v>
      </c>
      <c r="AQ89" s="38">
        <f t="shared" si="72"/>
        <v>3.9861868161001617</v>
      </c>
      <c r="AR89" s="38">
        <f t="shared" si="73"/>
        <v>1.070333655495703</v>
      </c>
      <c r="AS89" s="40"/>
      <c r="AT89" s="38">
        <f t="shared" si="74"/>
        <v>2.7897684066533901</v>
      </c>
      <c r="AU89" s="38">
        <f t="shared" si="75"/>
        <v>0</v>
      </c>
      <c r="AV89" s="38">
        <f t="shared" si="76"/>
        <v>1.150659901063749</v>
      </c>
      <c r="AW89" s="38">
        <f t="shared" si="77"/>
        <v>0</v>
      </c>
      <c r="AX89" s="38">
        <f t="shared" si="78"/>
        <v>0</v>
      </c>
      <c r="AY89" s="38">
        <f t="shared" si="79"/>
        <v>1.5246841037904464E-3</v>
      </c>
      <c r="AZ89" s="38">
        <f t="shared" si="80"/>
        <v>0</v>
      </c>
      <c r="BA89" s="38">
        <f t="shared" si="81"/>
        <v>0</v>
      </c>
      <c r="BB89" s="38">
        <f t="shared" si="82"/>
        <v>0.14418199929427564</v>
      </c>
      <c r="BC89" s="38">
        <f t="shared" si="83"/>
        <v>0.90057431396731358</v>
      </c>
      <c r="BD89" s="38">
        <f t="shared" si="84"/>
        <v>1.3290694917481779E-2</v>
      </c>
      <c r="BE89" s="38">
        <f t="shared" si="85"/>
        <v>0</v>
      </c>
      <c r="BF89" s="38">
        <f t="shared" si="86"/>
        <v>0</v>
      </c>
      <c r="BG89" s="38">
        <f t="shared" si="87"/>
        <v>0</v>
      </c>
      <c r="BH89" s="41">
        <f t="shared" si="88"/>
        <v>5</v>
      </c>
      <c r="BI89" s="42">
        <f t="shared" si="89"/>
        <v>7.9089281947947621</v>
      </c>
      <c r="BJ89" s="38">
        <f t="shared" si="90"/>
        <v>3.9404283077171391</v>
      </c>
      <c r="BK89" s="38">
        <f t="shared" si="91"/>
        <v>1.0580470081790709</v>
      </c>
      <c r="BL89" s="16"/>
      <c r="BM89" s="16">
        <f t="shared" si="92"/>
        <v>0.1362718274138093</v>
      </c>
      <c r="BN89" s="16">
        <f t="shared" si="93"/>
        <v>0.85116663721513441</v>
      </c>
      <c r="BO89" s="16">
        <f t="shared" si="94"/>
        <v>1.256153537105638E-2</v>
      </c>
      <c r="BP89" s="15"/>
      <c r="BQ89" s="38">
        <f t="shared" si="95"/>
        <v>1.0695739014647139</v>
      </c>
      <c r="BR89" s="38">
        <f t="shared" si="96"/>
        <v>0</v>
      </c>
      <c r="BS89" s="38">
        <f t="shared" si="97"/>
        <v>0.44115339348764221</v>
      </c>
      <c r="BT89" s="38">
        <f t="shared" si="98"/>
        <v>0</v>
      </c>
      <c r="BU89" s="38">
        <f t="shared" si="99"/>
        <v>5.8455114822546976E-4</v>
      </c>
      <c r="BV89" s="38">
        <f t="shared" si="100"/>
        <v>0</v>
      </c>
      <c r="BW89" s="38">
        <f t="shared" si="101"/>
        <v>0</v>
      </c>
      <c r="BX89" s="38">
        <f t="shared" si="102"/>
        <v>5.5278174037089872E-2</v>
      </c>
      <c r="BY89" s="38">
        <f t="shared" si="103"/>
        <v>0.34527266860277506</v>
      </c>
      <c r="BZ89" s="38">
        <f t="shared" si="104"/>
        <v>5.0955414012738851E-3</v>
      </c>
      <c r="CA89" s="38">
        <f t="shared" si="105"/>
        <v>0</v>
      </c>
      <c r="CB89" s="38">
        <f t="shared" si="106"/>
        <v>0</v>
      </c>
      <c r="CC89" s="38">
        <f t="shared" si="107"/>
        <v>0</v>
      </c>
      <c r="CD89" s="38">
        <f t="shared" si="108"/>
        <v>1.9169582301417201</v>
      </c>
      <c r="CE89" s="38">
        <f t="shared" si="109"/>
        <v>3.0319247233482312</v>
      </c>
      <c r="CF89" s="38">
        <f t="shared" si="110"/>
        <v>2.6082988775557991</v>
      </c>
      <c r="CG89" s="38">
        <f t="shared" si="111"/>
        <v>7.9081658527428678</v>
      </c>
      <c r="CH89" s="15"/>
      <c r="CI89" s="16"/>
      <c r="CJ89" s="13"/>
      <c r="CK89" s="104"/>
      <c r="CL89" s="13"/>
      <c r="CM89" s="13"/>
      <c r="CN89" s="13"/>
      <c r="CO89" s="16"/>
      <c r="CP89" s="16"/>
      <c r="CQ89" s="16"/>
      <c r="CR89" s="16"/>
      <c r="CS89" s="16"/>
      <c r="CT89" s="16"/>
      <c r="CU89" s="16"/>
      <c r="CV89" s="16"/>
      <c r="CW89" s="16"/>
      <c r="CX89" s="16"/>
      <c r="CY89" s="104"/>
      <c r="CZ89" s="104"/>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3"/>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row>
    <row r="90" spans="1:167" x14ac:dyDescent="0.25">
      <c r="A90" s="35" t="s">
        <v>90</v>
      </c>
      <c r="B90" s="15">
        <v>326</v>
      </c>
      <c r="C90" s="102" t="s">
        <v>95</v>
      </c>
      <c r="D90" s="102" t="s">
        <v>105</v>
      </c>
      <c r="E90" s="15">
        <v>158</v>
      </c>
      <c r="F90" s="16">
        <v>51.44</v>
      </c>
      <c r="G90" s="16">
        <v>0</v>
      </c>
      <c r="H90" s="16">
        <v>31.03</v>
      </c>
      <c r="I90" s="16">
        <v>0</v>
      </c>
      <c r="J90" s="16">
        <v>0.25900000000000001</v>
      </c>
      <c r="K90" s="16">
        <v>0</v>
      </c>
      <c r="L90" s="16">
        <v>0</v>
      </c>
      <c r="M90" s="16">
        <v>13.01</v>
      </c>
      <c r="N90" s="16">
        <v>4.4000000000000004</v>
      </c>
      <c r="O90" s="16">
        <v>7.8E-2</v>
      </c>
      <c r="P90" s="16">
        <v>0</v>
      </c>
      <c r="Q90" s="16"/>
      <c r="R90" s="16"/>
      <c r="S90" s="16">
        <f t="shared" si="57"/>
        <v>100.21700000000001</v>
      </c>
      <c r="T90" s="16"/>
      <c r="U90" s="15">
        <v>1</v>
      </c>
      <c r="V90" s="15">
        <v>1</v>
      </c>
      <c r="W90" s="15">
        <v>0</v>
      </c>
      <c r="X90" s="15" t="s">
        <v>185</v>
      </c>
      <c r="Y90" s="15"/>
      <c r="Z90" s="37">
        <v>8</v>
      </c>
      <c r="AA90" s="37">
        <v>5</v>
      </c>
      <c r="AB90" s="15"/>
      <c r="AC90" s="38">
        <f t="shared" si="58"/>
        <v>2.3354914339429236</v>
      </c>
      <c r="AD90" s="38">
        <f t="shared" si="59"/>
        <v>0</v>
      </c>
      <c r="AE90" s="38">
        <f t="shared" si="60"/>
        <v>1.6603100137959124</v>
      </c>
      <c r="AF90" s="38">
        <f t="shared" si="61"/>
        <v>0</v>
      </c>
      <c r="AG90" s="38">
        <f t="shared" si="62"/>
        <v>9.8328685739320874E-3</v>
      </c>
      <c r="AH90" s="38">
        <f t="shared" si="63"/>
        <v>0</v>
      </c>
      <c r="AI90" s="38">
        <f t="shared" si="64"/>
        <v>0</v>
      </c>
      <c r="AJ90" s="38">
        <f t="shared" si="65"/>
        <v>0.63281466407281073</v>
      </c>
      <c r="AK90" s="38">
        <f t="shared" si="66"/>
        <v>0.38729183669447365</v>
      </c>
      <c r="AL90" s="38">
        <f t="shared" si="67"/>
        <v>4.5173208526086443E-3</v>
      </c>
      <c r="AM90" s="38">
        <f t="shared" si="68"/>
        <v>0</v>
      </c>
      <c r="AN90" s="38">
        <f t="shared" si="69"/>
        <v>0</v>
      </c>
      <c r="AO90" s="38">
        <f t="shared" si="70"/>
        <v>0</v>
      </c>
      <c r="AP90" s="38">
        <f t="shared" si="71"/>
        <v>5.0302581379326607</v>
      </c>
      <c r="AQ90" s="38">
        <f t="shared" si="72"/>
        <v>3.9958014477388359</v>
      </c>
      <c r="AR90" s="38">
        <f t="shared" si="73"/>
        <v>1.0246238216198928</v>
      </c>
      <c r="AS90" s="40"/>
      <c r="AT90" s="38">
        <f t="shared" si="74"/>
        <v>2.3214429258920353</v>
      </c>
      <c r="AU90" s="38">
        <f t="shared" si="75"/>
        <v>0</v>
      </c>
      <c r="AV90" s="38">
        <f t="shared" si="76"/>
        <v>1.6503228743627336</v>
      </c>
      <c r="AW90" s="38">
        <f t="shared" si="77"/>
        <v>0</v>
      </c>
      <c r="AX90" s="38">
        <f t="shared" si="78"/>
        <v>0</v>
      </c>
      <c r="AY90" s="38">
        <f t="shared" si="79"/>
        <v>9.7737216503696218E-3</v>
      </c>
      <c r="AZ90" s="38">
        <f t="shared" si="80"/>
        <v>0</v>
      </c>
      <c r="BA90" s="38">
        <f t="shared" si="81"/>
        <v>0</v>
      </c>
      <c r="BB90" s="38">
        <f t="shared" si="82"/>
        <v>0.6290081410542534</v>
      </c>
      <c r="BC90" s="38">
        <f t="shared" si="83"/>
        <v>0.38496218889240053</v>
      </c>
      <c r="BD90" s="38">
        <f t="shared" si="84"/>
        <v>4.4901481482073355E-3</v>
      </c>
      <c r="BE90" s="38">
        <f t="shared" si="85"/>
        <v>0</v>
      </c>
      <c r="BF90" s="38">
        <f t="shared" si="86"/>
        <v>0</v>
      </c>
      <c r="BG90" s="38">
        <f t="shared" si="87"/>
        <v>0</v>
      </c>
      <c r="BH90" s="41">
        <f t="shared" si="88"/>
        <v>4.9999999999999991</v>
      </c>
      <c r="BI90" s="42">
        <f t="shared" si="89"/>
        <v>7.9567650553782832</v>
      </c>
      <c r="BJ90" s="38">
        <f t="shared" si="90"/>
        <v>3.9717658002547687</v>
      </c>
      <c r="BK90" s="38">
        <f t="shared" si="91"/>
        <v>1.0184604780948614</v>
      </c>
      <c r="BL90" s="16"/>
      <c r="BM90" s="16">
        <f t="shared" si="92"/>
        <v>0.61760682381203458</v>
      </c>
      <c r="BN90" s="16">
        <f t="shared" si="93"/>
        <v>0.37798441586315978</v>
      </c>
      <c r="BO90" s="16">
        <f t="shared" si="94"/>
        <v>4.4087603248057659E-3</v>
      </c>
      <c r="BP90" s="15"/>
      <c r="BQ90" s="38">
        <f t="shared" si="95"/>
        <v>0.85619174434087886</v>
      </c>
      <c r="BR90" s="38">
        <f t="shared" si="96"/>
        <v>0</v>
      </c>
      <c r="BS90" s="38">
        <f t="shared" si="97"/>
        <v>0.60867006669282075</v>
      </c>
      <c r="BT90" s="38">
        <f t="shared" si="98"/>
        <v>0</v>
      </c>
      <c r="BU90" s="38">
        <f t="shared" si="99"/>
        <v>3.6047320807237305E-3</v>
      </c>
      <c r="BV90" s="38">
        <f t="shared" si="100"/>
        <v>0</v>
      </c>
      <c r="BW90" s="38">
        <f t="shared" si="101"/>
        <v>0</v>
      </c>
      <c r="BX90" s="38">
        <f t="shared" si="102"/>
        <v>0.23199001426533525</v>
      </c>
      <c r="BY90" s="38">
        <f t="shared" si="103"/>
        <v>0.14198128428525333</v>
      </c>
      <c r="BZ90" s="38">
        <f t="shared" si="104"/>
        <v>1.6560509554140127E-3</v>
      </c>
      <c r="CA90" s="38">
        <f t="shared" si="105"/>
        <v>0</v>
      </c>
      <c r="CB90" s="38">
        <f t="shared" si="106"/>
        <v>0</v>
      </c>
      <c r="CC90" s="38">
        <f t="shared" si="107"/>
        <v>0</v>
      </c>
      <c r="CD90" s="38">
        <f t="shared" si="108"/>
        <v>1.844093892620426</v>
      </c>
      <c r="CE90" s="38">
        <f t="shared" si="109"/>
        <v>2.9328020026873816</v>
      </c>
      <c r="CF90" s="38">
        <f t="shared" si="110"/>
        <v>2.7113586894944297</v>
      </c>
      <c r="CG90" s="38">
        <f t="shared" si="111"/>
        <v>7.9518781945530979</v>
      </c>
      <c r="CH90" s="15"/>
      <c r="CI90" s="16"/>
      <c r="CJ90" s="13"/>
      <c r="CK90" s="104"/>
      <c r="CL90" s="13"/>
      <c r="CM90" s="13"/>
      <c r="CN90" s="13"/>
      <c r="CO90" s="16"/>
      <c r="CP90" s="16"/>
      <c r="CQ90" s="16"/>
      <c r="CR90" s="16"/>
      <c r="CS90" s="16"/>
      <c r="CT90" s="16"/>
      <c r="CU90" s="16"/>
      <c r="CV90" s="16"/>
      <c r="CW90" s="16"/>
      <c r="CX90" s="16"/>
      <c r="CY90" s="104"/>
      <c r="CZ90" s="104"/>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3"/>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row>
    <row r="91" spans="1:167" x14ac:dyDescent="0.25">
      <c r="A91" s="35" t="s">
        <v>90</v>
      </c>
      <c r="B91" s="15">
        <v>327</v>
      </c>
      <c r="C91" s="102" t="s">
        <v>95</v>
      </c>
      <c r="D91" s="102" t="s">
        <v>105</v>
      </c>
      <c r="E91" s="15">
        <v>159</v>
      </c>
      <c r="F91" s="16">
        <v>52.18</v>
      </c>
      <c r="G91" s="16">
        <v>0</v>
      </c>
      <c r="H91" s="16">
        <v>27.46</v>
      </c>
      <c r="I91" s="16">
        <v>0</v>
      </c>
      <c r="J91" s="16">
        <v>0.29899999999999999</v>
      </c>
      <c r="K91" s="16">
        <v>0</v>
      </c>
      <c r="L91" s="16">
        <v>0</v>
      </c>
      <c r="M91" s="16">
        <v>10.119999999999999</v>
      </c>
      <c r="N91" s="16">
        <v>5.66</v>
      </c>
      <c r="O91" s="16">
        <v>0.14899999999999999</v>
      </c>
      <c r="P91" s="16">
        <v>0</v>
      </c>
      <c r="Q91" s="16"/>
      <c r="R91" s="16"/>
      <c r="S91" s="16">
        <f t="shared" si="57"/>
        <v>95.868000000000009</v>
      </c>
      <c r="T91" s="16"/>
      <c r="U91" s="15">
        <v>1</v>
      </c>
      <c r="V91" s="15">
        <v>2</v>
      </c>
      <c r="W91" s="15">
        <v>23</v>
      </c>
      <c r="X91" s="15" t="s">
        <v>185</v>
      </c>
      <c r="Y91" s="15"/>
      <c r="Z91" s="37">
        <v>8</v>
      </c>
      <c r="AA91" s="37">
        <v>5</v>
      </c>
      <c r="AB91" s="15"/>
      <c r="AC91" s="38">
        <f t="shared" si="58"/>
        <v>2.4616714166379015</v>
      </c>
      <c r="AD91" s="38">
        <f t="shared" si="59"/>
        <v>0</v>
      </c>
      <c r="AE91" s="38">
        <f t="shared" si="60"/>
        <v>1.5267102941866728</v>
      </c>
      <c r="AF91" s="38">
        <f t="shared" si="61"/>
        <v>0</v>
      </c>
      <c r="AG91" s="38">
        <f t="shared" si="62"/>
        <v>1.1795065257692895E-2</v>
      </c>
      <c r="AH91" s="38">
        <f t="shared" si="63"/>
        <v>0</v>
      </c>
      <c r="AI91" s="38">
        <f t="shared" si="64"/>
        <v>0</v>
      </c>
      <c r="AJ91" s="38">
        <f t="shared" si="65"/>
        <v>0.5114797446734104</v>
      </c>
      <c r="AK91" s="38">
        <f t="shared" si="66"/>
        <v>0.51766736528572999</v>
      </c>
      <c r="AL91" s="38">
        <f t="shared" si="67"/>
        <v>8.9664657404383979E-3</v>
      </c>
      <c r="AM91" s="38">
        <f t="shared" si="68"/>
        <v>0</v>
      </c>
      <c r="AN91" s="38">
        <f t="shared" si="69"/>
        <v>0</v>
      </c>
      <c r="AO91" s="38">
        <f t="shared" si="70"/>
        <v>0</v>
      </c>
      <c r="AP91" s="38">
        <f t="shared" si="71"/>
        <v>5.0382903517818463</v>
      </c>
      <c r="AQ91" s="38">
        <f t="shared" si="72"/>
        <v>3.9883817108245743</v>
      </c>
      <c r="AR91" s="38">
        <f t="shared" si="73"/>
        <v>1.038113575699579</v>
      </c>
      <c r="AS91" s="40"/>
      <c r="AT91" s="38">
        <f t="shared" si="74"/>
        <v>2.4429630338466941</v>
      </c>
      <c r="AU91" s="38">
        <f t="shared" si="75"/>
        <v>0</v>
      </c>
      <c r="AV91" s="38">
        <f t="shared" si="76"/>
        <v>1.5151074943971174</v>
      </c>
      <c r="AW91" s="38">
        <f t="shared" si="77"/>
        <v>0</v>
      </c>
      <c r="AX91" s="38">
        <f t="shared" si="78"/>
        <v>0</v>
      </c>
      <c r="AY91" s="38">
        <f t="shared" si="79"/>
        <v>1.1705424294891463E-2</v>
      </c>
      <c r="AZ91" s="38">
        <f t="shared" si="80"/>
        <v>0</v>
      </c>
      <c r="BA91" s="38">
        <f t="shared" si="81"/>
        <v>0</v>
      </c>
      <c r="BB91" s="38">
        <f t="shared" si="82"/>
        <v>0.5075925650975236</v>
      </c>
      <c r="BC91" s="38">
        <f t="shared" si="83"/>
        <v>0.51373316059747465</v>
      </c>
      <c r="BD91" s="38">
        <f t="shared" si="84"/>
        <v>8.8983217662984733E-3</v>
      </c>
      <c r="BE91" s="38">
        <f t="shared" si="85"/>
        <v>0</v>
      </c>
      <c r="BF91" s="38">
        <f t="shared" si="86"/>
        <v>0</v>
      </c>
      <c r="BG91" s="38">
        <f t="shared" si="87"/>
        <v>0</v>
      </c>
      <c r="BH91" s="41">
        <f t="shared" si="88"/>
        <v>4.9999999999999991</v>
      </c>
      <c r="BI91" s="42">
        <f t="shared" si="89"/>
        <v>7.9450537520108115</v>
      </c>
      <c r="BJ91" s="38">
        <f t="shared" si="90"/>
        <v>3.9580705282438116</v>
      </c>
      <c r="BK91" s="38">
        <f t="shared" si="91"/>
        <v>1.0302240474612969</v>
      </c>
      <c r="BL91" s="16"/>
      <c r="BM91" s="16">
        <f t="shared" si="92"/>
        <v>0.49270114238581941</v>
      </c>
      <c r="BN91" s="16">
        <f t="shared" si="93"/>
        <v>0.49866158906252317</v>
      </c>
      <c r="BO91" s="16">
        <f t="shared" si="94"/>
        <v>8.6372685516572182E-3</v>
      </c>
      <c r="BP91" s="15"/>
      <c r="BQ91" s="38">
        <f t="shared" si="95"/>
        <v>0.868508655126498</v>
      </c>
      <c r="BR91" s="38">
        <f t="shared" si="96"/>
        <v>0</v>
      </c>
      <c r="BS91" s="38">
        <f t="shared" si="97"/>
        <v>0.538642604943115</v>
      </c>
      <c r="BT91" s="38">
        <f t="shared" si="98"/>
        <v>0</v>
      </c>
      <c r="BU91" s="38">
        <f t="shared" si="99"/>
        <v>4.1614474599860826E-3</v>
      </c>
      <c r="BV91" s="38">
        <f t="shared" si="100"/>
        <v>0</v>
      </c>
      <c r="BW91" s="38">
        <f t="shared" si="101"/>
        <v>0</v>
      </c>
      <c r="BX91" s="38">
        <f t="shared" si="102"/>
        <v>0.18045649072753209</v>
      </c>
      <c r="BY91" s="38">
        <f t="shared" si="103"/>
        <v>0.18263956114875768</v>
      </c>
      <c r="BZ91" s="38">
        <f t="shared" si="104"/>
        <v>3.1634819532908704E-3</v>
      </c>
      <c r="CA91" s="38">
        <f t="shared" si="105"/>
        <v>0</v>
      </c>
      <c r="CB91" s="38">
        <f t="shared" si="106"/>
        <v>0</v>
      </c>
      <c r="CC91" s="38">
        <f t="shared" si="107"/>
        <v>0</v>
      </c>
      <c r="CD91" s="38">
        <f t="shared" si="108"/>
        <v>1.7775722413591797</v>
      </c>
      <c r="CE91" s="38">
        <f t="shared" si="109"/>
        <v>2.8225006774062109</v>
      </c>
      <c r="CF91" s="38">
        <f t="shared" si="110"/>
        <v>2.8128252026352891</v>
      </c>
      <c r="CG91" s="38">
        <f t="shared" si="111"/>
        <v>7.9392010398633657</v>
      </c>
      <c r="CH91" s="15"/>
      <c r="CI91" s="16"/>
      <c r="CJ91" s="13"/>
      <c r="CK91" s="104"/>
      <c r="CL91" s="13"/>
      <c r="CM91" s="13"/>
      <c r="CN91" s="13"/>
      <c r="CO91" s="16"/>
      <c r="CP91" s="16"/>
      <c r="CQ91" s="16"/>
      <c r="CR91" s="16"/>
      <c r="CS91" s="16"/>
      <c r="CT91" s="16"/>
      <c r="CU91" s="16"/>
      <c r="CV91" s="16"/>
      <c r="CW91" s="16"/>
      <c r="CX91" s="16"/>
      <c r="CY91" s="104"/>
      <c r="CZ91" s="104"/>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3"/>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row>
    <row r="92" spans="1:167" x14ac:dyDescent="0.25">
      <c r="A92" s="35" t="s">
        <v>90</v>
      </c>
      <c r="B92" s="15">
        <v>328</v>
      </c>
      <c r="C92" s="102" t="s">
        <v>95</v>
      </c>
      <c r="D92" s="102" t="s">
        <v>105</v>
      </c>
      <c r="E92" s="15">
        <v>160</v>
      </c>
      <c r="F92" s="16">
        <v>54.59</v>
      </c>
      <c r="G92" s="16">
        <v>0</v>
      </c>
      <c r="H92" s="16">
        <v>28.74</v>
      </c>
      <c r="I92" s="16">
        <v>0</v>
      </c>
      <c r="J92" s="16">
        <v>0.41</v>
      </c>
      <c r="K92" s="16">
        <v>0</v>
      </c>
      <c r="L92" s="16">
        <v>0</v>
      </c>
      <c r="M92" s="16">
        <v>10.33</v>
      </c>
      <c r="N92" s="16">
        <v>5.87</v>
      </c>
      <c r="O92" s="16">
        <v>0.15</v>
      </c>
      <c r="P92" s="16">
        <v>0</v>
      </c>
      <c r="Q92" s="16"/>
      <c r="R92" s="16"/>
      <c r="S92" s="16">
        <f t="shared" si="57"/>
        <v>100.09</v>
      </c>
      <c r="T92" s="16"/>
      <c r="U92" s="15">
        <v>1</v>
      </c>
      <c r="V92" s="15">
        <v>3</v>
      </c>
      <c r="W92" s="15">
        <v>46</v>
      </c>
      <c r="X92" s="15" t="s">
        <v>185</v>
      </c>
      <c r="Y92" s="15"/>
      <c r="Z92" s="37">
        <v>8</v>
      </c>
      <c r="AA92" s="37">
        <v>5</v>
      </c>
      <c r="AB92" s="15"/>
      <c r="AC92" s="38">
        <f t="shared" si="58"/>
        <v>2.4648302431474405</v>
      </c>
      <c r="AD92" s="38">
        <f t="shared" si="59"/>
        <v>0</v>
      </c>
      <c r="AE92" s="38">
        <f t="shared" si="60"/>
        <v>1.5292932668725732</v>
      </c>
      <c r="AF92" s="38">
        <f t="shared" si="61"/>
        <v>0</v>
      </c>
      <c r="AG92" s="38">
        <f t="shared" si="62"/>
        <v>1.5479642554206453E-2</v>
      </c>
      <c r="AH92" s="38">
        <f t="shared" si="63"/>
        <v>0</v>
      </c>
      <c r="AI92" s="38">
        <f t="shared" si="64"/>
        <v>0</v>
      </c>
      <c r="AJ92" s="38">
        <f t="shared" si="65"/>
        <v>0.49968482481380472</v>
      </c>
      <c r="AK92" s="38">
        <f t="shared" si="66"/>
        <v>0.51383107877764167</v>
      </c>
      <c r="AL92" s="38">
        <f t="shared" si="67"/>
        <v>8.6392132788545416E-3</v>
      </c>
      <c r="AM92" s="38">
        <f t="shared" si="68"/>
        <v>0</v>
      </c>
      <c r="AN92" s="38">
        <f t="shared" si="69"/>
        <v>0</v>
      </c>
      <c r="AO92" s="38">
        <f t="shared" si="70"/>
        <v>0</v>
      </c>
      <c r="AP92" s="38">
        <f t="shared" si="71"/>
        <v>5.0317582694445218</v>
      </c>
      <c r="AQ92" s="38">
        <f t="shared" si="72"/>
        <v>3.9941235100200139</v>
      </c>
      <c r="AR92" s="38">
        <f t="shared" si="73"/>
        <v>1.0221551168703011</v>
      </c>
      <c r="AS92" s="40"/>
      <c r="AT92" s="38">
        <f t="shared" si="74"/>
        <v>2.449273306823168</v>
      </c>
      <c r="AU92" s="38">
        <f t="shared" si="75"/>
        <v>0</v>
      </c>
      <c r="AV92" s="38">
        <f t="shared" si="76"/>
        <v>1.5196410329956083</v>
      </c>
      <c r="AW92" s="38">
        <f t="shared" si="77"/>
        <v>0</v>
      </c>
      <c r="AX92" s="38">
        <f t="shared" si="78"/>
        <v>0</v>
      </c>
      <c r="AY92" s="38">
        <f t="shared" si="79"/>
        <v>1.5381941783856126E-2</v>
      </c>
      <c r="AZ92" s="38">
        <f t="shared" si="80"/>
        <v>0</v>
      </c>
      <c r="BA92" s="38">
        <f t="shared" si="81"/>
        <v>0</v>
      </c>
      <c r="BB92" s="38">
        <f t="shared" si="82"/>
        <v>0.49653103155625883</v>
      </c>
      <c r="BC92" s="38">
        <f t="shared" si="83"/>
        <v>0.51058800051852049</v>
      </c>
      <c r="BD92" s="38">
        <f t="shared" si="84"/>
        <v>8.5846863225886479E-3</v>
      </c>
      <c r="BE92" s="38">
        <f t="shared" si="85"/>
        <v>0</v>
      </c>
      <c r="BF92" s="38">
        <f t="shared" si="86"/>
        <v>0</v>
      </c>
      <c r="BG92" s="38">
        <f t="shared" si="87"/>
        <v>0</v>
      </c>
      <c r="BH92" s="41">
        <f t="shared" si="88"/>
        <v>5.0000000000000009</v>
      </c>
      <c r="BI92" s="42">
        <f t="shared" si="89"/>
        <v>7.9571984507923466</v>
      </c>
      <c r="BJ92" s="38">
        <f t="shared" si="90"/>
        <v>3.9689143398187765</v>
      </c>
      <c r="BK92" s="38">
        <f t="shared" si="91"/>
        <v>1.0157037183973681</v>
      </c>
      <c r="BL92" s="16"/>
      <c r="BM92" s="16">
        <f t="shared" si="92"/>
        <v>0.48885420281783765</v>
      </c>
      <c r="BN92" s="16">
        <f t="shared" si="93"/>
        <v>0.50269383804575762</v>
      </c>
      <c r="BO92" s="16">
        <f t="shared" si="94"/>
        <v>8.4519591364044903E-3</v>
      </c>
      <c r="BP92" s="15"/>
      <c r="BQ92" s="38">
        <f t="shared" si="95"/>
        <v>0.90862183754993353</v>
      </c>
      <c r="BR92" s="38">
        <f t="shared" si="96"/>
        <v>0</v>
      </c>
      <c r="BS92" s="38">
        <f t="shared" si="97"/>
        <v>0.56375049038838765</v>
      </c>
      <c r="BT92" s="38">
        <f t="shared" si="98"/>
        <v>0</v>
      </c>
      <c r="BU92" s="38">
        <f t="shared" si="99"/>
        <v>5.706332637439109E-3</v>
      </c>
      <c r="BV92" s="38">
        <f t="shared" si="100"/>
        <v>0</v>
      </c>
      <c r="BW92" s="38">
        <f t="shared" si="101"/>
        <v>0</v>
      </c>
      <c r="BX92" s="38">
        <f t="shared" si="102"/>
        <v>0.18420114122681883</v>
      </c>
      <c r="BY92" s="38">
        <f t="shared" si="103"/>
        <v>0.18941594062600842</v>
      </c>
      <c r="BZ92" s="38">
        <f t="shared" si="104"/>
        <v>3.1847133757961781E-3</v>
      </c>
      <c r="CA92" s="38">
        <f t="shared" si="105"/>
        <v>0</v>
      </c>
      <c r="CB92" s="38">
        <f t="shared" si="106"/>
        <v>0</v>
      </c>
      <c r="CC92" s="38">
        <f t="shared" si="107"/>
        <v>0</v>
      </c>
      <c r="CD92" s="38">
        <f t="shared" si="108"/>
        <v>1.8548804558043837</v>
      </c>
      <c r="CE92" s="38">
        <f t="shared" si="109"/>
        <v>2.9490772115476087</v>
      </c>
      <c r="CF92" s="38">
        <f t="shared" si="110"/>
        <v>2.6955915052928359</v>
      </c>
      <c r="CG92" s="38">
        <f t="shared" si="111"/>
        <v>7.9495074799004177</v>
      </c>
      <c r="CH92" s="15"/>
      <c r="CI92" s="16">
        <v>5.1144213019813698</v>
      </c>
      <c r="CJ92" s="13">
        <v>37229.747031272796</v>
      </c>
      <c r="CK92" s="104">
        <v>190.05245511873935</v>
      </c>
      <c r="CL92" s="13">
        <v>154072.93166658736</v>
      </c>
      <c r="CM92" s="13">
        <v>253487.44042848243</v>
      </c>
      <c r="CN92" s="13">
        <v>76429.150539873037</v>
      </c>
      <c r="CO92" s="16">
        <v>0</v>
      </c>
      <c r="CP92" s="16">
        <v>245.37201312327755</v>
      </c>
      <c r="CQ92" s="16">
        <v>1.1130852792183301</v>
      </c>
      <c r="CR92" s="16">
        <v>0</v>
      </c>
      <c r="CS92" s="16">
        <v>26.866785006709382</v>
      </c>
      <c r="CT92" s="16">
        <v>0.53818001703151097</v>
      </c>
      <c r="CU92" s="16">
        <v>0</v>
      </c>
      <c r="CV92" s="16">
        <v>0</v>
      </c>
      <c r="CW92" s="16">
        <v>4.5146779669865591</v>
      </c>
      <c r="CX92" s="16">
        <v>1.1400716735268466</v>
      </c>
      <c r="CY92" s="104">
        <v>544.24349009793571</v>
      </c>
      <c r="CZ92" s="104">
        <v>573.47926831339441</v>
      </c>
      <c r="DA92" s="16">
        <v>0.29749738395264991</v>
      </c>
      <c r="DB92" s="16">
        <v>0</v>
      </c>
      <c r="DC92" s="16">
        <v>0</v>
      </c>
      <c r="DD92" s="16">
        <v>0</v>
      </c>
      <c r="DE92" s="16">
        <v>190.6688059627233</v>
      </c>
      <c r="DF92" s="16">
        <v>5.7399610947305257</v>
      </c>
      <c r="DG92" s="16">
        <v>8.0022572811282942</v>
      </c>
      <c r="DH92" s="16">
        <v>0.7418798488572137</v>
      </c>
      <c r="DI92" s="16">
        <v>2.1910575962690229</v>
      </c>
      <c r="DJ92" s="16">
        <v>0.31614131291328273</v>
      </c>
      <c r="DK92" s="16">
        <v>0.89176568249102461</v>
      </c>
      <c r="DL92" s="16">
        <v>0.40696828131615309</v>
      </c>
      <c r="DM92" s="16">
        <v>6.7834744368107103E-2</v>
      </c>
      <c r="DN92" s="16">
        <v>0.16967123378228832</v>
      </c>
      <c r="DO92" s="16">
        <v>3.319428301178548E-2</v>
      </c>
      <c r="DP92" s="16">
        <v>0</v>
      </c>
      <c r="DQ92" s="16">
        <v>0</v>
      </c>
      <c r="DR92" s="16">
        <v>0</v>
      </c>
      <c r="DS92" s="16">
        <v>0</v>
      </c>
      <c r="DT92" s="16">
        <v>0</v>
      </c>
      <c r="DU92" s="16">
        <v>0.13562878587329946</v>
      </c>
      <c r="DV92" s="16">
        <v>3.832718769610902</v>
      </c>
      <c r="DW92" s="16">
        <v>7.1744575711657599E-2</v>
      </c>
      <c r="DX92" s="16">
        <v>5.5083012842243845E-2</v>
      </c>
      <c r="DY92" s="16">
        <f t="shared" ref="DY92:DY93" si="112">(DK92/0.05883)/SQRT((DJ92/0.1536)*(DL92/0.2069))</f>
        <v>7.53367451496577</v>
      </c>
      <c r="DZ92" s="16"/>
      <c r="EA92" s="13">
        <f>1128+200*((BM92-0.4)/0.4) -273</f>
        <v>899.42710140891882</v>
      </c>
      <c r="EB92" s="16"/>
      <c r="EC92" s="16">
        <f>(-18.482 -16.353 * BM92)/(0.008314 * (EA92+273))</f>
        <v>-2.716191099017736</v>
      </c>
      <c r="ED92" s="16"/>
      <c r="EE92" s="16"/>
      <c r="EF92" s="16"/>
      <c r="EG92" s="16"/>
      <c r="EH92" s="16"/>
      <c r="EI92" s="16"/>
      <c r="EJ92" s="16"/>
      <c r="EK92" s="16"/>
      <c r="EL92" s="16">
        <f>(23.856 -20.71 * BM92)/(0.008314 * (EA92+273))</f>
        <v>1.4087454685602034</v>
      </c>
      <c r="EM92" s="16"/>
      <c r="EN92" s="16">
        <f>(-4.5269  -51.811 * BM92)/(0.008314 * (EA92+273)) +N("eqn50a")</f>
        <v>-3.0628104270831917</v>
      </c>
      <c r="EO92" s="16" t="e">
        <f>(-187.27 + 2.26018 *#REF!)/(0.008314 * (EA92+273)) +N("fsp eqn35 from SiO2")</f>
        <v>#REF!</v>
      </c>
      <c r="EP92" s="16"/>
      <c r="EQ92" s="16"/>
      <c r="ER92" s="16">
        <f>(10.146 -35.204 * BM92)/(0.008314 * (EA92+273))</f>
        <v>-0.72465562025985364</v>
      </c>
      <c r="ES92" s="16">
        <f>(2.1146 -37.009 * BM92)/(0.008314 * (EA92+273))</f>
        <v>-1.6391186061442942</v>
      </c>
      <c r="ET92" s="16">
        <f>(-3.6812 -33.822 * BM92)/(0.008314 * (EA92+273))</f>
        <v>-2.0738758299698614</v>
      </c>
      <c r="EU92" s="16">
        <f>(-6.8025 -26.094 * BM92)/(0.008314 * (EA92+273))</f>
        <v>-2.0065189373683614</v>
      </c>
      <c r="EV92" s="16">
        <f>(-5.6996 -30.85 * BM92)/(0.008314 * (EA92+273))</f>
        <v>-2.1318929513642675</v>
      </c>
      <c r="EW92" s="16">
        <f>(-8.6767 -33.32 * BM92)/(0.008314 * (EA92+273))</f>
        <v>-2.5611870869345639</v>
      </c>
      <c r="EX92" s="16"/>
      <c r="EY92" s="16">
        <f>(-1.9714 -59.897 * BM92)/(0.008314 * (EA92+273))</f>
        <v>-3.2061668402420023</v>
      </c>
      <c r="EZ92" s="16">
        <f>(-4.3691 -44.528 * BM92)/(0.008314 * (EA92+273))</f>
        <v>-2.6813687564851665</v>
      </c>
      <c r="FA92" s="16">
        <f>(-2.2521 -58.215 * BM92)/(0.008314 * (EA92+273))</f>
        <v>-3.1506090566448632</v>
      </c>
      <c r="FB92" s="16"/>
      <c r="FC92" s="16">
        <f>(-8.5 - 57.253 * BM92)/(0.008314 * (EA92+273))</f>
        <v>-3.7433340972060014</v>
      </c>
      <c r="FD92" s="16"/>
      <c r="FE92" s="16">
        <f>(-9.2954 -52.923 * BM92)/(0.008314 * (EA92+273))</f>
        <v>-3.607778240719806</v>
      </c>
      <c r="FF92" s="16">
        <f>(0.61501 -70.378 * BM92)/(0.008314 * (EA92+273))</f>
        <v>-3.4664649231023059</v>
      </c>
      <c r="FG92" s="16"/>
      <c r="FH92" s="16"/>
      <c r="FI92" s="16"/>
      <c r="FJ92" s="16"/>
      <c r="FK92" s="16"/>
    </row>
    <row r="93" spans="1:167" x14ac:dyDescent="0.25">
      <c r="A93" s="35" t="s">
        <v>90</v>
      </c>
      <c r="B93" s="15">
        <v>329</v>
      </c>
      <c r="C93" s="102" t="s">
        <v>95</v>
      </c>
      <c r="D93" s="102" t="s">
        <v>105</v>
      </c>
      <c r="E93" s="15">
        <v>161</v>
      </c>
      <c r="F93" s="16">
        <v>53.71</v>
      </c>
      <c r="G93" s="16">
        <v>0</v>
      </c>
      <c r="H93" s="16">
        <v>28.87</v>
      </c>
      <c r="I93" s="16">
        <v>0</v>
      </c>
      <c r="J93" s="16">
        <v>0.30299999999999999</v>
      </c>
      <c r="K93" s="16">
        <v>0</v>
      </c>
      <c r="L93" s="16">
        <v>0</v>
      </c>
      <c r="M93" s="16">
        <v>10.59</v>
      </c>
      <c r="N93" s="16">
        <v>5.95</v>
      </c>
      <c r="O93" s="16">
        <v>0.11799999999999999</v>
      </c>
      <c r="P93" s="16">
        <v>0</v>
      </c>
      <c r="Q93" s="16"/>
      <c r="R93" s="16"/>
      <c r="S93" s="16">
        <f t="shared" si="57"/>
        <v>99.540999999999997</v>
      </c>
      <c r="T93" s="16"/>
      <c r="U93" s="15">
        <v>1</v>
      </c>
      <c r="V93" s="15">
        <v>4</v>
      </c>
      <c r="W93" s="15">
        <v>69</v>
      </c>
      <c r="X93" s="15" t="s">
        <v>185</v>
      </c>
      <c r="Y93" s="15"/>
      <c r="Z93" s="37">
        <v>8</v>
      </c>
      <c r="AA93" s="37">
        <v>5</v>
      </c>
      <c r="AB93" s="15"/>
      <c r="AC93" s="38">
        <f t="shared" si="58"/>
        <v>2.4427990879536043</v>
      </c>
      <c r="AD93" s="38">
        <f t="shared" si="59"/>
        <v>0</v>
      </c>
      <c r="AE93" s="38">
        <f t="shared" si="60"/>
        <v>1.5474245174131871</v>
      </c>
      <c r="AF93" s="38">
        <f t="shared" si="61"/>
        <v>0</v>
      </c>
      <c r="AG93" s="38">
        <f t="shared" si="62"/>
        <v>1.1523340019900819E-2</v>
      </c>
      <c r="AH93" s="38">
        <f t="shared" si="63"/>
        <v>0</v>
      </c>
      <c r="AI93" s="38">
        <f t="shared" si="64"/>
        <v>0</v>
      </c>
      <c r="AJ93" s="38">
        <f t="shared" si="65"/>
        <v>0.51600091999361852</v>
      </c>
      <c r="AK93" s="38">
        <f t="shared" si="66"/>
        <v>0.52463578515775333</v>
      </c>
      <c r="AL93" s="38">
        <f t="shared" si="67"/>
        <v>6.8457907612288369E-3</v>
      </c>
      <c r="AM93" s="38">
        <f t="shared" si="68"/>
        <v>0</v>
      </c>
      <c r="AN93" s="38">
        <f t="shared" si="69"/>
        <v>0</v>
      </c>
      <c r="AO93" s="38">
        <f t="shared" si="70"/>
        <v>0</v>
      </c>
      <c r="AP93" s="38">
        <f t="shared" si="71"/>
        <v>5.0492294412992926</v>
      </c>
      <c r="AQ93" s="38">
        <f t="shared" si="72"/>
        <v>3.9902236053667917</v>
      </c>
      <c r="AR93" s="38">
        <f t="shared" si="73"/>
        <v>1.0474824959126008</v>
      </c>
      <c r="AS93" s="40"/>
      <c r="AT93" s="38">
        <f t="shared" si="74"/>
        <v>2.4189820608795816</v>
      </c>
      <c r="AU93" s="38">
        <f t="shared" si="75"/>
        <v>0</v>
      </c>
      <c r="AV93" s="38">
        <f t="shared" si="76"/>
        <v>1.5323372956240588</v>
      </c>
      <c r="AW93" s="38">
        <f t="shared" si="77"/>
        <v>0</v>
      </c>
      <c r="AX93" s="38">
        <f t="shared" si="78"/>
        <v>0</v>
      </c>
      <c r="AY93" s="38">
        <f t="shared" si="79"/>
        <v>1.1410988700223905E-2</v>
      </c>
      <c r="AZ93" s="38">
        <f t="shared" si="80"/>
        <v>0</v>
      </c>
      <c r="BA93" s="38">
        <f t="shared" si="81"/>
        <v>0</v>
      </c>
      <c r="BB93" s="38">
        <f t="shared" si="82"/>
        <v>0.5109699667963975</v>
      </c>
      <c r="BC93" s="38">
        <f t="shared" si="83"/>
        <v>0.51952064295849409</v>
      </c>
      <c r="BD93" s="38">
        <f t="shared" si="84"/>
        <v>6.7790450412441982E-3</v>
      </c>
      <c r="BE93" s="38">
        <f t="shared" si="85"/>
        <v>0</v>
      </c>
      <c r="BF93" s="38">
        <f t="shared" si="86"/>
        <v>0</v>
      </c>
      <c r="BG93" s="38">
        <f t="shared" si="87"/>
        <v>0</v>
      </c>
      <c r="BH93" s="41">
        <f t="shared" si="88"/>
        <v>5.0000000000000009</v>
      </c>
      <c r="BI93" s="42">
        <f t="shared" si="89"/>
        <v>7.9277063590418546</v>
      </c>
      <c r="BJ93" s="38">
        <f t="shared" si="90"/>
        <v>3.9513193565036406</v>
      </c>
      <c r="BK93" s="38">
        <f t="shared" si="91"/>
        <v>1.0372696547961358</v>
      </c>
      <c r="BL93" s="16"/>
      <c r="BM93" s="16">
        <f t="shared" si="92"/>
        <v>0.4926105419490201</v>
      </c>
      <c r="BN93" s="16">
        <f t="shared" si="93"/>
        <v>0.50085398773243806</v>
      </c>
      <c r="BO93" s="16">
        <f t="shared" si="94"/>
        <v>6.5354703185417544E-3</v>
      </c>
      <c r="BP93" s="15"/>
      <c r="BQ93" s="38">
        <f t="shared" si="95"/>
        <v>0.89397470039946747</v>
      </c>
      <c r="BR93" s="38">
        <f t="shared" si="96"/>
        <v>0</v>
      </c>
      <c r="BS93" s="38">
        <f t="shared" si="97"/>
        <v>0.56630051000392312</v>
      </c>
      <c r="BT93" s="38">
        <f t="shared" si="98"/>
        <v>0</v>
      </c>
      <c r="BU93" s="38">
        <f t="shared" si="99"/>
        <v>4.2171189979123176E-3</v>
      </c>
      <c r="BV93" s="38">
        <f t="shared" si="100"/>
        <v>0</v>
      </c>
      <c r="BW93" s="38">
        <f t="shared" si="101"/>
        <v>0</v>
      </c>
      <c r="BX93" s="38">
        <f t="shared" si="102"/>
        <v>0.1888373751783167</v>
      </c>
      <c r="BY93" s="38">
        <f t="shared" si="103"/>
        <v>0.19199741852210392</v>
      </c>
      <c r="BZ93" s="38">
        <f t="shared" si="104"/>
        <v>2.5053078556263268E-3</v>
      </c>
      <c r="CA93" s="38">
        <f t="shared" si="105"/>
        <v>0</v>
      </c>
      <c r="CB93" s="38">
        <f t="shared" si="106"/>
        <v>0</v>
      </c>
      <c r="CC93" s="38">
        <f t="shared" si="107"/>
        <v>0</v>
      </c>
      <c r="CD93" s="38">
        <f t="shared" si="108"/>
        <v>1.8478324309573497</v>
      </c>
      <c r="CE93" s="38">
        <f t="shared" si="109"/>
        <v>2.9277060231699137</v>
      </c>
      <c r="CF93" s="38">
        <f t="shared" si="110"/>
        <v>2.7058730630728962</v>
      </c>
      <c r="CG93" s="38">
        <f t="shared" si="111"/>
        <v>7.9220008646917419</v>
      </c>
      <c r="CH93" s="15"/>
      <c r="CI93" s="16">
        <v>3.0502912500282959</v>
      </c>
      <c r="CJ93" s="13">
        <v>38214.071063957621</v>
      </c>
      <c r="CK93" s="104">
        <v>99.375053940873642</v>
      </c>
      <c r="CL93" s="13">
        <v>143883.20204557406</v>
      </c>
      <c r="CM93" s="13">
        <v>254395.34430248942</v>
      </c>
      <c r="CN93" s="13">
        <v>70609.976749653055</v>
      </c>
      <c r="CO93" s="16">
        <v>0.62043994545715275</v>
      </c>
      <c r="CP93" s="16">
        <v>235.08258327372238</v>
      </c>
      <c r="CQ93" s="16">
        <v>1.0710016458862657</v>
      </c>
      <c r="CR93" s="16">
        <v>0</v>
      </c>
      <c r="CS93" s="16">
        <v>14.370069667298081</v>
      </c>
      <c r="CT93" s="16">
        <v>0</v>
      </c>
      <c r="CU93" s="16">
        <v>39.496157855232177</v>
      </c>
      <c r="CV93" s="16">
        <v>0</v>
      </c>
      <c r="CW93" s="16">
        <v>3.7859979064919309</v>
      </c>
      <c r="CX93" s="16">
        <v>0</v>
      </c>
      <c r="CY93" s="104">
        <v>520.61593413105913</v>
      </c>
      <c r="CZ93" s="104">
        <v>514.13723830356435</v>
      </c>
      <c r="DA93" s="16">
        <v>0.43479286811816731</v>
      </c>
      <c r="DB93" s="16">
        <v>0.41784614350939586</v>
      </c>
      <c r="DC93" s="16">
        <v>0</v>
      </c>
      <c r="DD93" s="16">
        <v>0</v>
      </c>
      <c r="DE93" s="16">
        <v>185.69740848022178</v>
      </c>
      <c r="DF93" s="16">
        <v>4.9318900805243953</v>
      </c>
      <c r="DG93" s="16">
        <v>7.2886460649222951</v>
      </c>
      <c r="DH93" s="16">
        <v>0.65079517519501584</v>
      </c>
      <c r="DI93" s="16">
        <v>2.5187919759566832</v>
      </c>
      <c r="DJ93" s="16">
        <v>0.65258347806525296</v>
      </c>
      <c r="DK93" s="16">
        <v>0.84494392770341697</v>
      </c>
      <c r="DL93" s="16">
        <v>0</v>
      </c>
      <c r="DM93" s="16">
        <v>0</v>
      </c>
      <c r="DN93" s="16">
        <v>0.18134077490648021</v>
      </c>
      <c r="DO93" s="16">
        <v>1.8473971543326133E-2</v>
      </c>
      <c r="DP93" s="16">
        <v>7.3868733199121142E-2</v>
      </c>
      <c r="DQ93" s="16">
        <v>6.1753256867422689E-2</v>
      </c>
      <c r="DR93" s="16">
        <v>0</v>
      </c>
      <c r="DS93" s="16">
        <v>3.5247585147390736E-2</v>
      </c>
      <c r="DT93" s="16">
        <v>0</v>
      </c>
      <c r="DU93" s="16">
        <v>0</v>
      </c>
      <c r="DV93" s="16">
        <v>3.9255187673291601</v>
      </c>
      <c r="DW93" s="16">
        <v>2.7306284576167503E-2</v>
      </c>
      <c r="DX93" s="16">
        <v>1.5788576139159412E-2</v>
      </c>
      <c r="DY93" s="16" t="e">
        <f t="shared" si="112"/>
        <v>#DIV/0!</v>
      </c>
      <c r="DZ93" s="16"/>
      <c r="EA93" s="13">
        <f>1128+200*((BM93-0.4)/0.4) -273</f>
        <v>901.30527097450999</v>
      </c>
      <c r="EB93" s="16"/>
      <c r="EC93" s="16">
        <f>(-18.482 -16.353 * BM93)/(0.008314 * (EA93+273))</f>
        <v>-2.7181386022922127</v>
      </c>
      <c r="ED93" s="16"/>
      <c r="EE93" s="16"/>
      <c r="EF93" s="16"/>
      <c r="EG93" s="16"/>
      <c r="EH93" s="16"/>
      <c r="EI93" s="16"/>
      <c r="EJ93" s="16"/>
      <c r="EK93" s="16"/>
      <c r="EL93" s="16">
        <f>(23.856 -20.71 * BM93)/(0.008314 * (EA93+273))</f>
        <v>1.3985242549435928</v>
      </c>
      <c r="EM93" s="16"/>
      <c r="EN93" s="16">
        <f>(-4.5269  -51.811 * BM93)/(0.008314 * (EA93+273)) +N("eqn50a")</f>
        <v>-3.0778458643155573</v>
      </c>
      <c r="EO93" s="16" t="e">
        <f>(-187.27 + 2.26018 *#REF!)/(0.008314 * (EA93+273)) +N("fsp eqn35 from SiO2")</f>
        <v>#REF!</v>
      </c>
      <c r="EP93" s="16"/>
      <c r="EQ93" s="16"/>
      <c r="ER93" s="16">
        <f>(10.146 -35.204 * BM93)/(0.008314 * (EA93+273))</f>
        <v>-0.73704120216522506</v>
      </c>
      <c r="ES93" s="16">
        <f>(2.1146 -37.009 * BM93)/(0.008314 * (EA93+273))</f>
        <v>-1.6507360730454068</v>
      </c>
      <c r="ET93" s="16">
        <f>(-3.6812 -33.822 * BM93)/(0.008314 * (EA93+273))</f>
        <v>-2.0835717669400657</v>
      </c>
      <c r="EU93" s="16">
        <f>(-6.8025 -26.094 * BM93)/(0.008314 * (EA93+273))</f>
        <v>-2.0133492894368286</v>
      </c>
      <c r="EV93" s="16">
        <f>(-5.6996 -30.85 * BM93)/(0.008314 * (EA93+273))</f>
        <v>-2.1403526322640114</v>
      </c>
      <c r="EW93" s="16">
        <f>(-8.6767 -33.32 * BM93)/(0.008314 * (EA93+273))</f>
        <v>-2.5699104818716192</v>
      </c>
      <c r="EX93" s="16"/>
      <c r="EY93" s="16">
        <f>(-1.9714 -59.897 * BM93)/(0.008314 * (EA93+273))</f>
        <v>-3.2240840486246296</v>
      </c>
      <c r="EZ93" s="16">
        <f>(-4.3691 -44.528 * BM93)/(0.008314 * (EA93+273))</f>
        <v>-2.6942121640213315</v>
      </c>
      <c r="FA93" s="16">
        <f>(-2.2521 -58.215 * BM93)/(0.008314 * (EA93+273))</f>
        <v>-3.167967981219276</v>
      </c>
      <c r="FB93" s="16"/>
      <c r="FC93" s="16">
        <f>(-8.5 - 57.253 * BM93)/(0.008314 * (EA93+273))</f>
        <v>-3.7593748992064411</v>
      </c>
      <c r="FD93" s="16"/>
      <c r="FE93" s="16">
        <f>(-9.2954 -52.923 * BM93)/(0.008314 * (EA93+273))</f>
        <v>-3.6223699002681551</v>
      </c>
      <c r="FF93" s="16">
        <f>(0.61501 -70.378 * BM93)/(0.008314 * (EA93+273))</f>
        <v>-3.4879983334800233</v>
      </c>
      <c r="FG93" s="16"/>
      <c r="FH93" s="16"/>
      <c r="FI93" s="16"/>
      <c r="FJ93" s="16"/>
      <c r="FK93" s="16"/>
    </row>
    <row r="94" spans="1:167" x14ac:dyDescent="0.25">
      <c r="A94" s="35" t="s">
        <v>90</v>
      </c>
      <c r="B94" s="15">
        <v>330</v>
      </c>
      <c r="C94" s="102" t="s">
        <v>95</v>
      </c>
      <c r="D94" s="102" t="s">
        <v>105</v>
      </c>
      <c r="E94" s="15">
        <v>162</v>
      </c>
      <c r="F94" s="16">
        <v>54.68</v>
      </c>
      <c r="G94" s="16">
        <v>0</v>
      </c>
      <c r="H94" s="16">
        <v>28.4</v>
      </c>
      <c r="I94" s="16">
        <v>0</v>
      </c>
      <c r="J94" s="16">
        <v>0.41399999999999998</v>
      </c>
      <c r="K94" s="16">
        <v>0</v>
      </c>
      <c r="L94" s="16">
        <v>0</v>
      </c>
      <c r="M94" s="16">
        <v>10.27</v>
      </c>
      <c r="N94" s="16">
        <v>6.14</v>
      </c>
      <c r="O94" s="16">
        <v>0.14899999999999999</v>
      </c>
      <c r="P94" s="16">
        <v>0</v>
      </c>
      <c r="Q94" s="16"/>
      <c r="R94" s="16"/>
      <c r="S94" s="16">
        <f t="shared" si="57"/>
        <v>100.053</v>
      </c>
      <c r="T94" s="16"/>
      <c r="U94" s="15">
        <v>1</v>
      </c>
      <c r="V94" s="15">
        <v>5</v>
      </c>
      <c r="W94" s="15">
        <v>92</v>
      </c>
      <c r="X94" s="15" t="s">
        <v>185</v>
      </c>
      <c r="Y94" s="15"/>
      <c r="Z94" s="37">
        <v>8</v>
      </c>
      <c r="AA94" s="37">
        <v>5</v>
      </c>
      <c r="AB94" s="15"/>
      <c r="AC94" s="38">
        <f t="shared" si="58"/>
        <v>2.4719756255976968</v>
      </c>
      <c r="AD94" s="38">
        <f t="shared" si="59"/>
        <v>0</v>
      </c>
      <c r="AE94" s="38">
        <f t="shared" si="60"/>
        <v>1.5130877359137043</v>
      </c>
      <c r="AF94" s="38">
        <f t="shared" si="61"/>
        <v>0</v>
      </c>
      <c r="AG94" s="38">
        <f t="shared" si="62"/>
        <v>1.5650174017479975E-2</v>
      </c>
      <c r="AH94" s="38">
        <f t="shared" si="63"/>
        <v>0</v>
      </c>
      <c r="AI94" s="38">
        <f t="shared" si="64"/>
        <v>0</v>
      </c>
      <c r="AJ94" s="38">
        <f t="shared" si="65"/>
        <v>0.4974025883663204</v>
      </c>
      <c r="AK94" s="38">
        <f t="shared" si="66"/>
        <v>0.53813643479955731</v>
      </c>
      <c r="AL94" s="38">
        <f t="shared" si="67"/>
        <v>8.5923303009443619E-3</v>
      </c>
      <c r="AM94" s="38">
        <f t="shared" si="68"/>
        <v>0</v>
      </c>
      <c r="AN94" s="38">
        <f t="shared" si="69"/>
        <v>0</v>
      </c>
      <c r="AO94" s="38">
        <f t="shared" si="70"/>
        <v>0</v>
      </c>
      <c r="AP94" s="38">
        <f t="shared" si="71"/>
        <v>5.0448448889957023</v>
      </c>
      <c r="AQ94" s="38">
        <f t="shared" si="72"/>
        <v>3.9850633615114011</v>
      </c>
      <c r="AR94" s="38">
        <f t="shared" si="73"/>
        <v>1.044131353466822</v>
      </c>
      <c r="AS94" s="40"/>
      <c r="AT94" s="38">
        <f t="shared" si="74"/>
        <v>2.4500016155004154</v>
      </c>
      <c r="AU94" s="38">
        <f t="shared" si="75"/>
        <v>0</v>
      </c>
      <c r="AV94" s="38">
        <f t="shared" si="76"/>
        <v>1.4996375202874876</v>
      </c>
      <c r="AW94" s="38">
        <f t="shared" si="77"/>
        <v>0</v>
      </c>
      <c r="AX94" s="38">
        <f t="shared" si="78"/>
        <v>0</v>
      </c>
      <c r="AY94" s="38">
        <f t="shared" si="79"/>
        <v>1.5511055703236416E-2</v>
      </c>
      <c r="AZ94" s="38">
        <f t="shared" si="80"/>
        <v>0</v>
      </c>
      <c r="BA94" s="38">
        <f t="shared" si="81"/>
        <v>0</v>
      </c>
      <c r="BB94" s="38">
        <f t="shared" si="82"/>
        <v>0.49298105225326394</v>
      </c>
      <c r="BC94" s="38">
        <f t="shared" si="83"/>
        <v>0.53335280532944818</v>
      </c>
      <c r="BD94" s="38">
        <f t="shared" si="84"/>
        <v>8.5159509261491604E-3</v>
      </c>
      <c r="BE94" s="38">
        <f t="shared" si="85"/>
        <v>0</v>
      </c>
      <c r="BF94" s="38">
        <f t="shared" si="86"/>
        <v>0</v>
      </c>
      <c r="BG94" s="38">
        <f t="shared" si="87"/>
        <v>0</v>
      </c>
      <c r="BH94" s="41">
        <f t="shared" si="88"/>
        <v>5.0000000000000009</v>
      </c>
      <c r="BI94" s="42">
        <f t="shared" si="89"/>
        <v>7.9366415253679801</v>
      </c>
      <c r="BJ94" s="38">
        <f t="shared" si="90"/>
        <v>3.949639135787903</v>
      </c>
      <c r="BK94" s="38">
        <f t="shared" si="91"/>
        <v>1.0348498085088613</v>
      </c>
      <c r="BL94" s="16"/>
      <c r="BM94" s="16">
        <f t="shared" si="92"/>
        <v>0.47637932403312866</v>
      </c>
      <c r="BN94" s="16">
        <f t="shared" si="93"/>
        <v>0.51539150990226157</v>
      </c>
      <c r="BO94" s="16">
        <f t="shared" si="94"/>
        <v>8.2291660646098864E-3</v>
      </c>
      <c r="BP94" s="15"/>
      <c r="BQ94" s="38">
        <f t="shared" si="95"/>
        <v>0.91011984021304926</v>
      </c>
      <c r="BR94" s="38">
        <f t="shared" si="96"/>
        <v>0</v>
      </c>
      <c r="BS94" s="38">
        <f t="shared" si="97"/>
        <v>0.55708120831698704</v>
      </c>
      <c r="BT94" s="38">
        <f t="shared" si="98"/>
        <v>0</v>
      </c>
      <c r="BU94" s="38">
        <f t="shared" si="99"/>
        <v>5.7620041753653449E-3</v>
      </c>
      <c r="BV94" s="38">
        <f t="shared" si="100"/>
        <v>0</v>
      </c>
      <c r="BW94" s="38">
        <f t="shared" si="101"/>
        <v>0</v>
      </c>
      <c r="BX94" s="38">
        <f t="shared" si="102"/>
        <v>0.18313124108416548</v>
      </c>
      <c r="BY94" s="38">
        <f t="shared" si="103"/>
        <v>0.19812842852533075</v>
      </c>
      <c r="BZ94" s="38">
        <f t="shared" si="104"/>
        <v>3.1634819532908704E-3</v>
      </c>
      <c r="CA94" s="38">
        <f t="shared" si="105"/>
        <v>0</v>
      </c>
      <c r="CB94" s="38">
        <f t="shared" si="106"/>
        <v>0</v>
      </c>
      <c r="CC94" s="38">
        <f t="shared" si="107"/>
        <v>0</v>
      </c>
      <c r="CD94" s="38">
        <f t="shared" si="108"/>
        <v>1.8573862042681886</v>
      </c>
      <c r="CE94" s="38">
        <f t="shared" si="109"/>
        <v>2.9454006934004204</v>
      </c>
      <c r="CF94" s="38">
        <f t="shared" si="110"/>
        <v>2.6919549571921171</v>
      </c>
      <c r="CG94" s="38">
        <f t="shared" si="111"/>
        <v>7.9288859975163604</v>
      </c>
      <c r="CH94" s="15"/>
      <c r="CI94" s="16"/>
      <c r="CJ94" s="13"/>
      <c r="CK94" s="104"/>
      <c r="CL94" s="13"/>
      <c r="CM94" s="13"/>
      <c r="CN94" s="13"/>
      <c r="CO94" s="16"/>
      <c r="CP94" s="16"/>
      <c r="CQ94" s="16"/>
      <c r="CR94" s="16"/>
      <c r="CS94" s="16"/>
      <c r="CT94" s="16"/>
      <c r="CU94" s="16"/>
      <c r="CV94" s="16"/>
      <c r="CW94" s="16"/>
      <c r="CX94" s="16"/>
      <c r="CY94" s="104"/>
      <c r="CZ94" s="104"/>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3"/>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row>
    <row r="95" spans="1:167" x14ac:dyDescent="0.25">
      <c r="A95" s="35" t="s">
        <v>90</v>
      </c>
      <c r="B95" s="15">
        <v>331</v>
      </c>
      <c r="C95" s="102" t="s">
        <v>95</v>
      </c>
      <c r="D95" s="102" t="s">
        <v>105</v>
      </c>
      <c r="E95" s="15">
        <v>163</v>
      </c>
      <c r="F95" s="16">
        <v>55.97</v>
      </c>
      <c r="G95" s="16">
        <v>0</v>
      </c>
      <c r="H95" s="16">
        <v>27.12</v>
      </c>
      <c r="I95" s="16">
        <v>0</v>
      </c>
      <c r="J95" s="16">
        <v>0.26500000000000001</v>
      </c>
      <c r="K95" s="16">
        <v>0</v>
      </c>
      <c r="L95" s="16">
        <v>0</v>
      </c>
      <c r="M95" s="16">
        <v>9.06</v>
      </c>
      <c r="N95" s="16">
        <v>6.73</v>
      </c>
      <c r="O95" s="16">
        <v>0.17499999999999999</v>
      </c>
      <c r="P95" s="16">
        <v>0</v>
      </c>
      <c r="Q95" s="16"/>
      <c r="R95" s="16"/>
      <c r="S95" s="16">
        <f t="shared" si="57"/>
        <v>99.320000000000007</v>
      </c>
      <c r="T95" s="16"/>
      <c r="U95" s="15">
        <v>1</v>
      </c>
      <c r="V95" s="15">
        <v>6</v>
      </c>
      <c r="W95" s="15">
        <v>115</v>
      </c>
      <c r="X95" s="15" t="s">
        <v>258</v>
      </c>
      <c r="Y95" s="15"/>
      <c r="Z95" s="37">
        <v>8</v>
      </c>
      <c r="AA95" s="37">
        <v>5</v>
      </c>
      <c r="AB95" s="15"/>
      <c r="AC95" s="38">
        <f t="shared" si="58"/>
        <v>2.5376811005456799</v>
      </c>
      <c r="AD95" s="38">
        <f t="shared" si="59"/>
        <v>0</v>
      </c>
      <c r="AE95" s="38">
        <f t="shared" si="60"/>
        <v>1.4491105438370155</v>
      </c>
      <c r="AF95" s="38">
        <f t="shared" si="61"/>
        <v>0</v>
      </c>
      <c r="AG95" s="38">
        <f t="shared" si="62"/>
        <v>1.0046869560927145E-2</v>
      </c>
      <c r="AH95" s="38">
        <f t="shared" si="63"/>
        <v>0</v>
      </c>
      <c r="AI95" s="38">
        <f t="shared" si="64"/>
        <v>0</v>
      </c>
      <c r="AJ95" s="38">
        <f t="shared" si="65"/>
        <v>0.44008022610897474</v>
      </c>
      <c r="AK95" s="38">
        <f t="shared" si="66"/>
        <v>0.59156864960956379</v>
      </c>
      <c r="AL95" s="38">
        <f t="shared" si="67"/>
        <v>1.0121125356864772E-2</v>
      </c>
      <c r="AM95" s="38">
        <f t="shared" si="68"/>
        <v>0</v>
      </c>
      <c r="AN95" s="38">
        <f t="shared" si="69"/>
        <v>0</v>
      </c>
      <c r="AO95" s="38">
        <f t="shared" si="70"/>
        <v>0</v>
      </c>
      <c r="AP95" s="38">
        <f t="shared" si="71"/>
        <v>5.0386085150190265</v>
      </c>
      <c r="AQ95" s="38">
        <f t="shared" si="72"/>
        <v>3.9867916443826954</v>
      </c>
      <c r="AR95" s="38">
        <f t="shared" si="73"/>
        <v>1.0417700010754032</v>
      </c>
      <c r="AS95" s="40"/>
      <c r="AT95" s="38">
        <f t="shared" si="74"/>
        <v>2.5182360298298523</v>
      </c>
      <c r="AU95" s="38">
        <f t="shared" si="75"/>
        <v>0</v>
      </c>
      <c r="AV95" s="38">
        <f t="shared" si="76"/>
        <v>1.4380066833110012</v>
      </c>
      <c r="AW95" s="38">
        <f t="shared" si="77"/>
        <v>0</v>
      </c>
      <c r="AX95" s="38">
        <f t="shared" si="78"/>
        <v>0</v>
      </c>
      <c r="AY95" s="38">
        <f t="shared" si="79"/>
        <v>9.9698850694388674E-3</v>
      </c>
      <c r="AZ95" s="38">
        <f t="shared" si="80"/>
        <v>0</v>
      </c>
      <c r="BA95" s="38">
        <f t="shared" si="81"/>
        <v>0</v>
      </c>
      <c r="BB95" s="38">
        <f t="shared" si="82"/>
        <v>0.4367080958931307</v>
      </c>
      <c r="BC95" s="38">
        <f t="shared" si="83"/>
        <v>0.58703573401884945</v>
      </c>
      <c r="BD95" s="38">
        <f t="shared" si="84"/>
        <v>1.004357187772759E-2</v>
      </c>
      <c r="BE95" s="38">
        <f t="shared" si="85"/>
        <v>0</v>
      </c>
      <c r="BF95" s="38">
        <f t="shared" si="86"/>
        <v>0</v>
      </c>
      <c r="BG95" s="38">
        <f t="shared" si="87"/>
        <v>0</v>
      </c>
      <c r="BH95" s="41">
        <f t="shared" si="88"/>
        <v>5.0000000000000009</v>
      </c>
      <c r="BI95" s="42">
        <f t="shared" si="89"/>
        <v>7.9436846610717842</v>
      </c>
      <c r="BJ95" s="38">
        <f t="shared" si="90"/>
        <v>3.9562427131408535</v>
      </c>
      <c r="BK95" s="38">
        <f t="shared" si="91"/>
        <v>1.0337874017897077</v>
      </c>
      <c r="BL95" s="16"/>
      <c r="BM95" s="16">
        <f t="shared" si="92"/>
        <v>0.42243511106548148</v>
      </c>
      <c r="BN95" s="16">
        <f t="shared" si="93"/>
        <v>0.56784957236136246</v>
      </c>
      <c r="BO95" s="16">
        <f t="shared" si="94"/>
        <v>9.7153165731561561E-3</v>
      </c>
      <c r="BP95" s="15"/>
      <c r="BQ95" s="38">
        <f t="shared" si="95"/>
        <v>0.93159121171770976</v>
      </c>
      <c r="BR95" s="38">
        <f t="shared" si="96"/>
        <v>0</v>
      </c>
      <c r="BS95" s="38">
        <f t="shared" si="97"/>
        <v>0.5319733228717145</v>
      </c>
      <c r="BT95" s="38">
        <f t="shared" si="98"/>
        <v>0</v>
      </c>
      <c r="BU95" s="38">
        <f t="shared" si="99"/>
        <v>3.6882393876130834E-3</v>
      </c>
      <c r="BV95" s="38">
        <f t="shared" si="100"/>
        <v>0</v>
      </c>
      <c r="BW95" s="38">
        <f t="shared" si="101"/>
        <v>0</v>
      </c>
      <c r="BX95" s="38">
        <f t="shared" si="102"/>
        <v>0.16155492154065623</v>
      </c>
      <c r="BY95" s="38">
        <f t="shared" si="103"/>
        <v>0.2171668280090352</v>
      </c>
      <c r="BZ95" s="38">
        <f t="shared" si="104"/>
        <v>3.7154989384288743E-3</v>
      </c>
      <c r="CA95" s="38">
        <f t="shared" si="105"/>
        <v>0</v>
      </c>
      <c r="CB95" s="38">
        <f t="shared" si="106"/>
        <v>0</v>
      </c>
      <c r="CC95" s="38">
        <f t="shared" si="107"/>
        <v>0</v>
      </c>
      <c r="CD95" s="38">
        <f t="shared" si="108"/>
        <v>1.8496900224651576</v>
      </c>
      <c r="CE95" s="38">
        <f t="shared" si="109"/>
        <v>2.936826732144993</v>
      </c>
      <c r="CF95" s="38">
        <f t="shared" si="110"/>
        <v>2.7031556310912546</v>
      </c>
      <c r="CG95" s="38">
        <f t="shared" si="111"/>
        <v>7.9386997185370651</v>
      </c>
      <c r="CH95" s="15"/>
      <c r="CI95" s="16"/>
      <c r="CJ95" s="13"/>
      <c r="CK95" s="104"/>
      <c r="CL95" s="13"/>
      <c r="CM95" s="13"/>
      <c r="CN95" s="13"/>
      <c r="CO95" s="16"/>
      <c r="CP95" s="16"/>
      <c r="CQ95" s="16"/>
      <c r="CR95" s="16"/>
      <c r="CS95" s="16"/>
      <c r="CT95" s="16"/>
      <c r="CU95" s="16"/>
      <c r="CV95" s="16"/>
      <c r="CW95" s="16"/>
      <c r="CX95" s="16"/>
      <c r="CY95" s="104"/>
      <c r="CZ95" s="104"/>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3"/>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row>
    <row r="96" spans="1:167" x14ac:dyDescent="0.25">
      <c r="A96" s="35" t="s">
        <v>90</v>
      </c>
      <c r="B96" s="15">
        <v>332</v>
      </c>
      <c r="C96" s="102" t="s">
        <v>95</v>
      </c>
      <c r="D96" s="102" t="s">
        <v>105</v>
      </c>
      <c r="E96" s="15">
        <v>164</v>
      </c>
      <c r="F96" s="16">
        <v>56.75</v>
      </c>
      <c r="G96" s="16">
        <v>0</v>
      </c>
      <c r="H96" s="16">
        <v>27.37</v>
      </c>
      <c r="I96" s="16">
        <v>0</v>
      </c>
      <c r="J96" s="16">
        <v>0.27800000000000002</v>
      </c>
      <c r="K96" s="16">
        <v>0</v>
      </c>
      <c r="L96" s="16">
        <v>0</v>
      </c>
      <c r="M96" s="16">
        <v>8.7799999999999994</v>
      </c>
      <c r="N96" s="16">
        <v>7.18</v>
      </c>
      <c r="O96" s="16">
        <v>0.16800000000000001</v>
      </c>
      <c r="P96" s="16">
        <v>0</v>
      </c>
      <c r="Q96" s="16"/>
      <c r="R96" s="16"/>
      <c r="S96" s="16">
        <f t="shared" si="57"/>
        <v>100.52600000000001</v>
      </c>
      <c r="T96" s="16"/>
      <c r="U96" s="15">
        <v>1</v>
      </c>
      <c r="V96" s="15">
        <v>7</v>
      </c>
      <c r="W96" s="15">
        <v>138</v>
      </c>
      <c r="X96" s="15" t="s">
        <v>258</v>
      </c>
      <c r="Y96" s="15"/>
      <c r="Z96" s="37">
        <v>8</v>
      </c>
      <c r="AA96" s="37">
        <v>5</v>
      </c>
      <c r="AB96" s="15"/>
      <c r="AC96" s="38">
        <f t="shared" si="58"/>
        <v>2.5421480343890979</v>
      </c>
      <c r="AD96" s="38">
        <f t="shared" si="59"/>
        <v>0</v>
      </c>
      <c r="AE96" s="38">
        <f t="shared" si="60"/>
        <v>1.444906887354936</v>
      </c>
      <c r="AF96" s="38">
        <f t="shared" si="61"/>
        <v>0</v>
      </c>
      <c r="AG96" s="38">
        <f t="shared" si="62"/>
        <v>1.041316903752494E-2</v>
      </c>
      <c r="AH96" s="38">
        <f t="shared" si="63"/>
        <v>0</v>
      </c>
      <c r="AI96" s="38">
        <f t="shared" si="64"/>
        <v>0</v>
      </c>
      <c r="AJ96" s="38">
        <f t="shared" si="65"/>
        <v>0.4213581570995279</v>
      </c>
      <c r="AK96" s="38">
        <f t="shared" si="66"/>
        <v>0.62354494517673109</v>
      </c>
      <c r="AL96" s="38">
        <f t="shared" si="67"/>
        <v>9.5996029279625493E-3</v>
      </c>
      <c r="AM96" s="38">
        <f t="shared" si="68"/>
        <v>0</v>
      </c>
      <c r="AN96" s="38">
        <f t="shared" si="69"/>
        <v>0</v>
      </c>
      <c r="AO96" s="38">
        <f t="shared" si="70"/>
        <v>0</v>
      </c>
      <c r="AP96" s="38">
        <f t="shared" si="71"/>
        <v>5.0519707959857802</v>
      </c>
      <c r="AQ96" s="38">
        <f t="shared" si="72"/>
        <v>3.9870549217440336</v>
      </c>
      <c r="AR96" s="38">
        <f t="shared" si="73"/>
        <v>1.0545027052042215</v>
      </c>
      <c r="AS96" s="40"/>
      <c r="AT96" s="38">
        <f t="shared" si="74"/>
        <v>2.5159963676047474</v>
      </c>
      <c r="AU96" s="38">
        <f t="shared" si="75"/>
        <v>0</v>
      </c>
      <c r="AV96" s="38">
        <f t="shared" si="76"/>
        <v>1.4300427948861432</v>
      </c>
      <c r="AW96" s="38">
        <f t="shared" si="77"/>
        <v>0</v>
      </c>
      <c r="AX96" s="38">
        <f t="shared" si="78"/>
        <v>0</v>
      </c>
      <c r="AY96" s="38">
        <f t="shared" si="79"/>
        <v>1.0306046351058763E-2</v>
      </c>
      <c r="AZ96" s="38">
        <f t="shared" si="80"/>
        <v>0</v>
      </c>
      <c r="BA96" s="38">
        <f t="shared" si="81"/>
        <v>0</v>
      </c>
      <c r="BB96" s="38">
        <f t="shared" si="82"/>
        <v>0.41702354795314001</v>
      </c>
      <c r="BC96" s="38">
        <f t="shared" si="83"/>
        <v>0.61713039362004074</v>
      </c>
      <c r="BD96" s="38">
        <f t="shared" si="84"/>
        <v>9.500849584869183E-3</v>
      </c>
      <c r="BE96" s="38">
        <f t="shared" si="85"/>
        <v>0</v>
      </c>
      <c r="BF96" s="38">
        <f t="shared" si="86"/>
        <v>0</v>
      </c>
      <c r="BG96" s="38">
        <f t="shared" si="87"/>
        <v>0</v>
      </c>
      <c r="BH96" s="41">
        <f t="shared" si="88"/>
        <v>5</v>
      </c>
      <c r="BI96" s="42">
        <f t="shared" si="89"/>
        <v>7.9228551666208933</v>
      </c>
      <c r="BJ96" s="38">
        <f t="shared" si="90"/>
        <v>3.9460391624908908</v>
      </c>
      <c r="BK96" s="38">
        <f t="shared" si="91"/>
        <v>1.0436547911580498</v>
      </c>
      <c r="BL96" s="16"/>
      <c r="BM96" s="16">
        <f t="shared" si="92"/>
        <v>0.3995799679033778</v>
      </c>
      <c r="BN96" s="16">
        <f t="shared" si="93"/>
        <v>0.59131659131777337</v>
      </c>
      <c r="BO96" s="16">
        <f t="shared" si="94"/>
        <v>9.1034407788488612E-3</v>
      </c>
      <c r="BP96" s="15"/>
      <c r="BQ96" s="38">
        <f t="shared" si="95"/>
        <v>0.94457390146471376</v>
      </c>
      <c r="BR96" s="38">
        <f t="shared" si="96"/>
        <v>0</v>
      </c>
      <c r="BS96" s="38">
        <f t="shared" si="97"/>
        <v>0.53687720674774431</v>
      </c>
      <c r="BT96" s="38">
        <f t="shared" si="98"/>
        <v>0</v>
      </c>
      <c r="BU96" s="38">
        <f t="shared" si="99"/>
        <v>3.869171885873348E-3</v>
      </c>
      <c r="BV96" s="38">
        <f t="shared" si="100"/>
        <v>0</v>
      </c>
      <c r="BW96" s="38">
        <f t="shared" si="101"/>
        <v>0</v>
      </c>
      <c r="BX96" s="38">
        <f t="shared" si="102"/>
        <v>0.15656205420827388</v>
      </c>
      <c r="BY96" s="38">
        <f t="shared" si="103"/>
        <v>0.23168764117457244</v>
      </c>
      <c r="BZ96" s="38">
        <f t="shared" si="104"/>
        <v>3.5668789808917197E-3</v>
      </c>
      <c r="CA96" s="38">
        <f t="shared" si="105"/>
        <v>0</v>
      </c>
      <c r="CB96" s="38">
        <f t="shared" si="106"/>
        <v>0</v>
      </c>
      <c r="CC96" s="38">
        <f t="shared" si="107"/>
        <v>0</v>
      </c>
      <c r="CD96" s="38">
        <f t="shared" si="108"/>
        <v>1.8771368544620697</v>
      </c>
      <c r="CE96" s="38">
        <f t="shared" si="109"/>
        <v>2.9725220992229233</v>
      </c>
      <c r="CF96" s="38">
        <f t="shared" si="110"/>
        <v>2.6636310443293958</v>
      </c>
      <c r="CG96" s="38">
        <f t="shared" si="111"/>
        <v>7.9177021434453634</v>
      </c>
      <c r="CH96" s="15"/>
      <c r="CI96" s="16"/>
      <c r="CJ96" s="13"/>
      <c r="CK96" s="104"/>
      <c r="CL96" s="13"/>
      <c r="CM96" s="13"/>
      <c r="CN96" s="13"/>
      <c r="CO96" s="16"/>
      <c r="CP96" s="16"/>
      <c r="CQ96" s="16"/>
      <c r="CR96" s="16"/>
      <c r="CS96" s="16"/>
      <c r="CT96" s="16"/>
      <c r="CU96" s="16"/>
      <c r="CV96" s="16"/>
      <c r="CW96" s="16"/>
      <c r="CX96" s="16"/>
      <c r="CY96" s="104"/>
      <c r="CZ96" s="104"/>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3"/>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row>
    <row r="97" spans="1:167" x14ac:dyDescent="0.25">
      <c r="A97" s="35" t="s">
        <v>90</v>
      </c>
      <c r="B97" s="15">
        <v>333</v>
      </c>
      <c r="C97" s="102" t="s">
        <v>95</v>
      </c>
      <c r="D97" s="102" t="s">
        <v>105</v>
      </c>
      <c r="E97" s="15">
        <v>165</v>
      </c>
      <c r="F97" s="16">
        <v>59.14</v>
      </c>
      <c r="G97" s="16">
        <v>0</v>
      </c>
      <c r="H97" s="16">
        <v>26.01</v>
      </c>
      <c r="I97" s="16">
        <v>0</v>
      </c>
      <c r="J97" s="16">
        <v>0.254</v>
      </c>
      <c r="K97" s="16">
        <v>0</v>
      </c>
      <c r="L97" s="16">
        <v>0</v>
      </c>
      <c r="M97" s="16">
        <v>6.95</v>
      </c>
      <c r="N97" s="16">
        <v>8.35</v>
      </c>
      <c r="O97" s="16">
        <v>0.28499999999999998</v>
      </c>
      <c r="P97" s="16">
        <v>0</v>
      </c>
      <c r="Q97" s="16"/>
      <c r="R97" s="16"/>
      <c r="S97" s="16">
        <f t="shared" si="57"/>
        <v>100.989</v>
      </c>
      <c r="T97" s="16"/>
      <c r="U97" s="15">
        <v>1</v>
      </c>
      <c r="V97" s="15">
        <v>8</v>
      </c>
      <c r="W97" s="15">
        <v>161</v>
      </c>
      <c r="X97" s="15" t="s">
        <v>258</v>
      </c>
      <c r="Y97" s="15"/>
      <c r="Z97" s="37">
        <v>8</v>
      </c>
      <c r="AA97" s="37">
        <v>5</v>
      </c>
      <c r="AB97" s="15"/>
      <c r="AC97" s="38">
        <f t="shared" si="58"/>
        <v>2.6256270900623511</v>
      </c>
      <c r="AD97" s="38">
        <f t="shared" si="59"/>
        <v>0</v>
      </c>
      <c r="AE97" s="38">
        <f t="shared" si="60"/>
        <v>1.3608873258964695</v>
      </c>
      <c r="AF97" s="38">
        <f t="shared" si="61"/>
        <v>0</v>
      </c>
      <c r="AG97" s="38">
        <f t="shared" si="62"/>
        <v>9.4294984301831926E-3</v>
      </c>
      <c r="AH97" s="38">
        <f t="shared" si="63"/>
        <v>0</v>
      </c>
      <c r="AI97" s="38">
        <f t="shared" si="64"/>
        <v>0</v>
      </c>
      <c r="AJ97" s="38">
        <f t="shared" si="65"/>
        <v>0.33056620199140457</v>
      </c>
      <c r="AK97" s="38">
        <f t="shared" si="66"/>
        <v>0.71869818425582177</v>
      </c>
      <c r="AL97" s="38">
        <f t="shared" si="67"/>
        <v>1.614007696219041E-2</v>
      </c>
      <c r="AM97" s="38">
        <f t="shared" si="68"/>
        <v>0</v>
      </c>
      <c r="AN97" s="38">
        <f t="shared" si="69"/>
        <v>0</v>
      </c>
      <c r="AO97" s="38">
        <f t="shared" si="70"/>
        <v>0</v>
      </c>
      <c r="AP97" s="38">
        <f t="shared" si="71"/>
        <v>5.0613483775984207</v>
      </c>
      <c r="AQ97" s="38">
        <f t="shared" si="72"/>
        <v>3.9865144159588208</v>
      </c>
      <c r="AR97" s="38">
        <f t="shared" si="73"/>
        <v>1.0654044632094168</v>
      </c>
      <c r="AS97" s="40"/>
      <c r="AT97" s="38">
        <f t="shared" si="74"/>
        <v>2.5938019813884017</v>
      </c>
      <c r="AU97" s="38">
        <f t="shared" si="75"/>
        <v>0</v>
      </c>
      <c r="AV97" s="38">
        <f t="shared" si="76"/>
        <v>1.3443920714090447</v>
      </c>
      <c r="AW97" s="38">
        <f t="shared" si="77"/>
        <v>0</v>
      </c>
      <c r="AX97" s="38">
        <f t="shared" si="78"/>
        <v>0</v>
      </c>
      <c r="AY97" s="38">
        <f t="shared" si="79"/>
        <v>9.3152039009192205E-3</v>
      </c>
      <c r="AZ97" s="38">
        <f t="shared" si="80"/>
        <v>0</v>
      </c>
      <c r="BA97" s="38">
        <f t="shared" si="81"/>
        <v>0</v>
      </c>
      <c r="BB97" s="38">
        <f t="shared" si="82"/>
        <v>0.32655942382319897</v>
      </c>
      <c r="BC97" s="38">
        <f t="shared" si="83"/>
        <v>0.70998687566813945</v>
      </c>
      <c r="BD97" s="38">
        <f t="shared" si="84"/>
        <v>1.5944443810296242E-2</v>
      </c>
      <c r="BE97" s="38">
        <f t="shared" si="85"/>
        <v>0</v>
      </c>
      <c r="BF97" s="38">
        <f t="shared" si="86"/>
        <v>0</v>
      </c>
      <c r="BG97" s="38">
        <f t="shared" si="87"/>
        <v>0</v>
      </c>
      <c r="BH97" s="41">
        <f t="shared" si="88"/>
        <v>5.0000000000000009</v>
      </c>
      <c r="BI97" s="42">
        <f t="shared" si="89"/>
        <v>7.9076899593041663</v>
      </c>
      <c r="BJ97" s="38">
        <f t="shared" si="90"/>
        <v>3.9381940527974466</v>
      </c>
      <c r="BK97" s="38">
        <f t="shared" si="91"/>
        <v>1.0524907433016346</v>
      </c>
      <c r="BL97" s="16"/>
      <c r="BM97" s="16">
        <f t="shared" si="92"/>
        <v>0.31027296525078307</v>
      </c>
      <c r="BN97" s="16">
        <f t="shared" si="93"/>
        <v>0.67457778625295084</v>
      </c>
      <c r="BO97" s="16">
        <f t="shared" si="94"/>
        <v>1.5149248496266064E-2</v>
      </c>
      <c r="BP97" s="15"/>
      <c r="BQ97" s="38">
        <f t="shared" si="95"/>
        <v>0.98435419440745675</v>
      </c>
      <c r="BR97" s="38">
        <f t="shared" si="96"/>
        <v>0</v>
      </c>
      <c r="BS97" s="38">
        <f t="shared" si="97"/>
        <v>0.5102000784621421</v>
      </c>
      <c r="BT97" s="38">
        <f t="shared" si="98"/>
        <v>0</v>
      </c>
      <c r="BU97" s="38">
        <f t="shared" si="99"/>
        <v>3.5351426583159363E-3</v>
      </c>
      <c r="BV97" s="38">
        <f t="shared" si="100"/>
        <v>0</v>
      </c>
      <c r="BW97" s="38">
        <f t="shared" si="101"/>
        <v>0</v>
      </c>
      <c r="BX97" s="38">
        <f t="shared" si="102"/>
        <v>0.12393009985734665</v>
      </c>
      <c r="BY97" s="38">
        <f t="shared" si="103"/>
        <v>0.26944175540496934</v>
      </c>
      <c r="BZ97" s="38">
        <f t="shared" si="104"/>
        <v>6.0509554140127384E-3</v>
      </c>
      <c r="CA97" s="38">
        <f t="shared" si="105"/>
        <v>0</v>
      </c>
      <c r="CB97" s="38">
        <f t="shared" si="106"/>
        <v>0</v>
      </c>
      <c r="CC97" s="38">
        <f t="shared" si="107"/>
        <v>0</v>
      </c>
      <c r="CD97" s="38">
        <f t="shared" si="108"/>
        <v>1.8975122262042434</v>
      </c>
      <c r="CE97" s="38">
        <f t="shared" si="109"/>
        <v>2.9992201044332805</v>
      </c>
      <c r="CF97" s="38">
        <f t="shared" si="110"/>
        <v>2.6350291349647477</v>
      </c>
      <c r="CG97" s="38">
        <f t="shared" si="111"/>
        <v>7.9030323573537071</v>
      </c>
      <c r="CH97" s="15"/>
      <c r="CI97" s="16">
        <v>7.3807977699631584</v>
      </c>
      <c r="CJ97" s="13">
        <v>61275.251704559792</v>
      </c>
      <c r="CK97" s="104">
        <v>120.65574990374743</v>
      </c>
      <c r="CL97" s="13">
        <v>121601.61547789218</v>
      </c>
      <c r="CM97" s="13">
        <v>295869.82733557909</v>
      </c>
      <c r="CN97" s="13">
        <v>35002.333736227265</v>
      </c>
      <c r="CO97" s="16">
        <v>0.99649471570358761</v>
      </c>
      <c r="CP97" s="16">
        <v>92.850044725116945</v>
      </c>
      <c r="CQ97" s="16">
        <v>0</v>
      </c>
      <c r="CR97" s="16">
        <v>0</v>
      </c>
      <c r="CS97" s="16">
        <v>27.11810370697766</v>
      </c>
      <c r="CT97" s="16">
        <v>0.57022805369448826</v>
      </c>
      <c r="CU97" s="16">
        <v>0</v>
      </c>
      <c r="CV97" s="16">
        <v>0</v>
      </c>
      <c r="CW97" s="16">
        <v>2.8073468701148658</v>
      </c>
      <c r="CX97" s="16">
        <v>1.7414899901074774</v>
      </c>
      <c r="CY97" s="104">
        <v>346.40192833578141</v>
      </c>
      <c r="CZ97" s="104">
        <v>340.55528182513825</v>
      </c>
      <c r="DA97" s="16">
        <v>0</v>
      </c>
      <c r="DB97" s="16">
        <v>0</v>
      </c>
      <c r="DC97" s="16">
        <v>0</v>
      </c>
      <c r="DD97" s="16">
        <v>0.18613896449374129</v>
      </c>
      <c r="DE97" s="16">
        <v>567.57555282696978</v>
      </c>
      <c r="DF97" s="16">
        <v>11.157218212621951</v>
      </c>
      <c r="DG97" s="16">
        <v>13.380542473574948</v>
      </c>
      <c r="DH97" s="16">
        <v>0.96892949112176396</v>
      </c>
      <c r="DI97" s="16">
        <v>2.5066889673748602</v>
      </c>
      <c r="DJ97" s="16">
        <v>0.3505618144005101</v>
      </c>
      <c r="DK97" s="16">
        <v>2.3431571417186419</v>
      </c>
      <c r="DL97" s="16">
        <v>0.53320809153649262</v>
      </c>
      <c r="DM97" s="16">
        <v>0</v>
      </c>
      <c r="DN97" s="16">
        <v>0</v>
      </c>
      <c r="DO97" s="16">
        <v>1.3178215353770048E-2</v>
      </c>
      <c r="DP97" s="16">
        <v>0</v>
      </c>
      <c r="DQ97" s="16">
        <v>0</v>
      </c>
      <c r="DR97" s="16">
        <v>9.7552644569463817E-2</v>
      </c>
      <c r="DS97" s="16">
        <v>0</v>
      </c>
      <c r="DT97" s="16">
        <v>5.4180515488629753E-2</v>
      </c>
      <c r="DU97" s="16">
        <v>0</v>
      </c>
      <c r="DV97" s="16">
        <v>4.373625940504609</v>
      </c>
      <c r="DW97" s="16">
        <v>1.4779582596349263E-2</v>
      </c>
      <c r="DX97" s="16">
        <v>4.7455610593115857E-2</v>
      </c>
      <c r="DY97" s="16">
        <f>(DK97/0.05883)/SQRT((DJ97/0.1536)*(DL97/0.2069))</f>
        <v>16.422820658052682</v>
      </c>
      <c r="DZ97" s="16"/>
      <c r="EA97" s="13">
        <f>1128+200*((BM97-0.4)/0.4) -273</f>
        <v>810.13648262539164</v>
      </c>
      <c r="EB97" s="16"/>
      <c r="EC97" s="16">
        <f>(-18.482 -16.353 * BM97)/(0.008314 * (EA97+273))</f>
        <v>-2.6158111301956244</v>
      </c>
      <c r="ED97" s="16"/>
      <c r="EE97" s="16"/>
      <c r="EF97" s="16"/>
      <c r="EG97" s="16"/>
      <c r="EH97" s="16"/>
      <c r="EI97" s="16"/>
      <c r="EJ97" s="16"/>
      <c r="EK97" s="16"/>
      <c r="EL97" s="16">
        <f>(23.856 -20.71 * BM97)/(0.008314 * (EA97+273))</f>
        <v>1.9355764719306268</v>
      </c>
      <c r="EM97" s="16"/>
      <c r="EN97" s="16">
        <f>(-4.5269  -51.811 * BM97)/(0.008314 * (EA97+273)) +N("eqn50a")</f>
        <v>-2.2878403716323343</v>
      </c>
      <c r="EO97" s="16" t="e">
        <f>(-187.27 + 2.26018 *#REF!)/(0.008314 * (EA97+273)) +N("fsp eqn35 from SiO2")</f>
        <v>#REF!</v>
      </c>
      <c r="EP97" s="16"/>
      <c r="EQ97" s="16"/>
      <c r="ER97" s="16">
        <f>(10.146 -35.204 * BM97)/(0.008314 * (EA97+273))</f>
        <v>-8.6266796066882923E-2</v>
      </c>
      <c r="ES97" s="16">
        <f>(2.1146 -37.009 * BM97)/(0.008314 * (EA97+273))</f>
        <v>-1.0403206577099553</v>
      </c>
      <c r="ET97" s="16">
        <f>(-3.6812 -33.822 * BM97)/(0.008314 * (EA97+273))</f>
        <v>-1.5741191088767936</v>
      </c>
      <c r="EU97" s="16">
        <f>(-6.8025 -26.094 * BM97)/(0.008314 * (EA97+273))</f>
        <v>-1.6544627756855885</v>
      </c>
      <c r="EV97" s="16">
        <f>(-5.6996 -30.85 * BM97)/(0.008314 * (EA97+273))</f>
        <v>-1.6958564547429</v>
      </c>
      <c r="EW97" s="16">
        <f>(-8.6767 -33.32 * BM97)/(0.008314 * (EA97+273))</f>
        <v>-2.1115580037485553</v>
      </c>
      <c r="EX97" s="16"/>
      <c r="EY97" s="16">
        <f>(-1.9714 -59.897 * BM97)/(0.008314 * (EA97+273))</f>
        <v>-2.2826619391727214</v>
      </c>
      <c r="EZ97" s="16">
        <f>(-4.3691 -44.528 * BM97)/(0.008314 * (EA97+273))</f>
        <v>-2.0193822710470202</v>
      </c>
      <c r="FA97" s="16">
        <f>(-2.2521 -58.215 * BM97)/(0.008314 * (EA97+273))</f>
        <v>-2.2558797227322258</v>
      </c>
      <c r="FB97" s="16"/>
      <c r="FC97" s="16">
        <f>(-8.5 - 57.253 * BM97)/(0.008314 * (EA97+273))</f>
        <v>-2.9165446248655007</v>
      </c>
      <c r="FD97" s="16"/>
      <c r="FE97" s="16">
        <f>(-9.2954 -52.923 * BM97)/(0.008314 * (EA97+273))</f>
        <v>-2.8556817745816461</v>
      </c>
      <c r="FF97" s="16">
        <f>(0.61501 -70.378 * BM97)/(0.008314 * (EA97+273))</f>
        <v>-2.3565704799567837</v>
      </c>
      <c r="FG97" s="16"/>
      <c r="FH97" s="16"/>
      <c r="FI97" s="16"/>
      <c r="FJ97" s="16"/>
      <c r="FK97" s="16"/>
    </row>
    <row r="98" spans="1:167" x14ac:dyDescent="0.25">
      <c r="A98" s="35" t="s">
        <v>90</v>
      </c>
      <c r="B98" s="15">
        <v>334</v>
      </c>
      <c r="C98" s="102" t="s">
        <v>95</v>
      </c>
      <c r="D98" s="102" t="s">
        <v>105</v>
      </c>
      <c r="E98" s="15">
        <v>166</v>
      </c>
      <c r="F98" s="16">
        <v>62.37</v>
      </c>
      <c r="G98" s="16">
        <v>0</v>
      </c>
      <c r="H98" s="16">
        <v>23.52</v>
      </c>
      <c r="I98" s="16">
        <v>0</v>
      </c>
      <c r="J98" s="16">
        <v>0.16700000000000001</v>
      </c>
      <c r="K98" s="16">
        <v>0</v>
      </c>
      <c r="L98" s="16">
        <v>0</v>
      </c>
      <c r="M98" s="16">
        <v>4.4800000000000004</v>
      </c>
      <c r="N98" s="16">
        <v>9.51</v>
      </c>
      <c r="O98" s="16">
        <v>0.438</v>
      </c>
      <c r="P98" s="16">
        <v>0</v>
      </c>
      <c r="Q98" s="16"/>
      <c r="R98" s="16"/>
      <c r="S98" s="16">
        <f t="shared" si="57"/>
        <v>100.48500000000001</v>
      </c>
      <c r="T98" s="16"/>
      <c r="U98" s="15">
        <v>1</v>
      </c>
      <c r="V98" s="15">
        <v>9</v>
      </c>
      <c r="W98" s="15">
        <v>184</v>
      </c>
      <c r="X98" s="15" t="s">
        <v>258</v>
      </c>
      <c r="Y98" s="15"/>
      <c r="Z98" s="37">
        <v>8</v>
      </c>
      <c r="AA98" s="37">
        <v>5</v>
      </c>
      <c r="AB98" s="15"/>
      <c r="AC98" s="38">
        <f t="shared" si="58"/>
        <v>2.7604286139217322</v>
      </c>
      <c r="AD98" s="38">
        <f t="shared" si="59"/>
        <v>0</v>
      </c>
      <c r="AE98" s="38">
        <f t="shared" si="60"/>
        <v>1.2267842361059782</v>
      </c>
      <c r="AF98" s="38">
        <f t="shared" si="61"/>
        <v>0</v>
      </c>
      <c r="AG98" s="38">
        <f t="shared" si="62"/>
        <v>6.180454295588186E-3</v>
      </c>
      <c r="AH98" s="38">
        <f t="shared" si="63"/>
        <v>0</v>
      </c>
      <c r="AI98" s="38">
        <f t="shared" si="64"/>
        <v>0</v>
      </c>
      <c r="AJ98" s="38">
        <f t="shared" si="65"/>
        <v>0.21242259478528216</v>
      </c>
      <c r="AK98" s="38">
        <f t="shared" si="66"/>
        <v>0.81599902754461762</v>
      </c>
      <c r="AL98" s="38">
        <f t="shared" si="67"/>
        <v>2.4727710288778987E-2</v>
      </c>
      <c r="AM98" s="38">
        <f t="shared" si="68"/>
        <v>0</v>
      </c>
      <c r="AN98" s="38">
        <f t="shared" si="69"/>
        <v>0</v>
      </c>
      <c r="AO98" s="38">
        <f t="shared" si="70"/>
        <v>0</v>
      </c>
      <c r="AP98" s="38">
        <f t="shared" si="71"/>
        <v>5.0465426369419779</v>
      </c>
      <c r="AQ98" s="38">
        <f t="shared" si="72"/>
        <v>3.9872128500277104</v>
      </c>
      <c r="AR98" s="38">
        <f t="shared" si="73"/>
        <v>1.0531493326186789</v>
      </c>
      <c r="AS98" s="40"/>
      <c r="AT98" s="38">
        <f t="shared" si="74"/>
        <v>2.7349700701176007</v>
      </c>
      <c r="AU98" s="38">
        <f t="shared" si="75"/>
        <v>0</v>
      </c>
      <c r="AV98" s="38">
        <f t="shared" si="76"/>
        <v>1.2154700003182426</v>
      </c>
      <c r="AW98" s="38">
        <f t="shared" si="77"/>
        <v>0</v>
      </c>
      <c r="AX98" s="38">
        <f t="shared" si="78"/>
        <v>0</v>
      </c>
      <c r="AY98" s="38">
        <f t="shared" si="79"/>
        <v>6.1234539567204746E-3</v>
      </c>
      <c r="AZ98" s="38">
        <f t="shared" si="80"/>
        <v>0</v>
      </c>
      <c r="BA98" s="38">
        <f t="shared" si="81"/>
        <v>0</v>
      </c>
      <c r="BB98" s="38">
        <f t="shared" si="82"/>
        <v>0.21046348962782424</v>
      </c>
      <c r="BC98" s="38">
        <f t="shared" si="83"/>
        <v>0.80847333139652566</v>
      </c>
      <c r="BD98" s="38">
        <f t="shared" si="84"/>
        <v>2.4499654583086099E-2</v>
      </c>
      <c r="BE98" s="38">
        <f t="shared" si="85"/>
        <v>0</v>
      </c>
      <c r="BF98" s="38">
        <f t="shared" si="86"/>
        <v>0</v>
      </c>
      <c r="BG98" s="38">
        <f t="shared" si="87"/>
        <v>0</v>
      </c>
      <c r="BH98" s="41">
        <f t="shared" si="88"/>
        <v>4.9999999999999991</v>
      </c>
      <c r="BI98" s="42">
        <f t="shared" si="89"/>
        <v>7.9292803042652773</v>
      </c>
      <c r="BJ98" s="38">
        <f t="shared" si="90"/>
        <v>3.9504400704358433</v>
      </c>
      <c r="BK98" s="38">
        <f t="shared" si="91"/>
        <v>1.0434364756074359</v>
      </c>
      <c r="BL98" s="16"/>
      <c r="BM98" s="16">
        <f t="shared" si="92"/>
        <v>0.20170225456734489</v>
      </c>
      <c r="BN98" s="16">
        <f t="shared" si="93"/>
        <v>0.77481796956146587</v>
      </c>
      <c r="BO98" s="16">
        <f t="shared" si="94"/>
        <v>2.3479775871189126E-2</v>
      </c>
      <c r="BP98" s="15"/>
      <c r="BQ98" s="38">
        <f t="shared" si="95"/>
        <v>1.0381158455392809</v>
      </c>
      <c r="BR98" s="38">
        <f t="shared" si="96"/>
        <v>0</v>
      </c>
      <c r="BS98" s="38">
        <f t="shared" si="97"/>
        <v>0.46135739505688506</v>
      </c>
      <c r="BT98" s="38">
        <f t="shared" si="98"/>
        <v>0</v>
      </c>
      <c r="BU98" s="38">
        <f t="shared" si="99"/>
        <v>2.3242867084203203E-3</v>
      </c>
      <c r="BV98" s="38">
        <f t="shared" si="100"/>
        <v>0</v>
      </c>
      <c r="BW98" s="38">
        <f t="shared" si="101"/>
        <v>0</v>
      </c>
      <c r="BX98" s="38">
        <f t="shared" si="102"/>
        <v>7.9885877318116985E-2</v>
      </c>
      <c r="BY98" s="38">
        <f t="shared" si="103"/>
        <v>0.3068731848983543</v>
      </c>
      <c r="BZ98" s="38">
        <f t="shared" si="104"/>
        <v>9.2993630573248408E-3</v>
      </c>
      <c r="CA98" s="38">
        <f t="shared" si="105"/>
        <v>0</v>
      </c>
      <c r="CB98" s="38">
        <f t="shared" si="106"/>
        <v>0</v>
      </c>
      <c r="CC98" s="38">
        <f t="shared" si="107"/>
        <v>0</v>
      </c>
      <c r="CD98" s="38">
        <f t="shared" si="108"/>
        <v>1.8978559525783825</v>
      </c>
      <c r="CE98" s="38">
        <f t="shared" si="109"/>
        <v>3.0085642216682662</v>
      </c>
      <c r="CF98" s="38">
        <f t="shared" si="110"/>
        <v>2.6345518969482997</v>
      </c>
      <c r="CG98" s="38">
        <f t="shared" si="111"/>
        <v>7.9262185772869156</v>
      </c>
      <c r="CH98" s="15"/>
      <c r="CI98" s="16"/>
      <c r="CJ98" s="13"/>
      <c r="CK98" s="104"/>
      <c r="CL98" s="13"/>
      <c r="CM98" s="13"/>
      <c r="CN98" s="13"/>
      <c r="CO98" s="16"/>
      <c r="CP98" s="16"/>
      <c r="CQ98" s="16"/>
      <c r="CR98" s="16"/>
      <c r="CS98" s="16"/>
      <c r="CT98" s="16"/>
      <c r="CU98" s="16"/>
      <c r="CV98" s="16"/>
      <c r="CW98" s="16"/>
      <c r="CX98" s="16"/>
      <c r="CY98" s="104"/>
      <c r="CZ98" s="104"/>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3"/>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row>
    <row r="99" spans="1:167" x14ac:dyDescent="0.25">
      <c r="A99" s="35" t="s">
        <v>90</v>
      </c>
      <c r="B99" s="15">
        <v>335</v>
      </c>
      <c r="C99" s="102" t="s">
        <v>95</v>
      </c>
      <c r="D99" s="102" t="s">
        <v>105</v>
      </c>
      <c r="E99" s="15">
        <v>167</v>
      </c>
      <c r="F99" s="16">
        <v>56.25</v>
      </c>
      <c r="G99" s="16">
        <v>0</v>
      </c>
      <c r="H99" s="16">
        <v>16.95</v>
      </c>
      <c r="I99" s="16">
        <v>0</v>
      </c>
      <c r="J99" s="16">
        <v>0.24099999999999999</v>
      </c>
      <c r="K99" s="16">
        <v>0</v>
      </c>
      <c r="L99" s="16">
        <v>0</v>
      </c>
      <c r="M99" s="16">
        <v>1.2829999999999999</v>
      </c>
      <c r="N99" s="16">
        <v>8.6999999999999993</v>
      </c>
      <c r="O99" s="16">
        <v>0.81499999999999995</v>
      </c>
      <c r="P99" s="16">
        <v>0</v>
      </c>
      <c r="Q99" s="16"/>
      <c r="R99" s="16"/>
      <c r="S99" s="16">
        <f t="shared" si="57"/>
        <v>84.239000000000004</v>
      </c>
      <c r="T99" s="16"/>
      <c r="U99" s="15">
        <v>1</v>
      </c>
      <c r="V99" s="15">
        <v>10</v>
      </c>
      <c r="W99" s="15">
        <v>207</v>
      </c>
      <c r="X99" s="15" t="s">
        <v>258</v>
      </c>
      <c r="Y99" s="15"/>
      <c r="Z99" s="37">
        <v>8</v>
      </c>
      <c r="AA99" s="37">
        <v>5</v>
      </c>
      <c r="AB99" s="15"/>
      <c r="AC99" s="38">
        <f t="shared" si="58"/>
        <v>2.9413200382996636</v>
      </c>
      <c r="AD99" s="38">
        <f t="shared" si="59"/>
        <v>0</v>
      </c>
      <c r="AE99" s="38">
        <f t="shared" si="60"/>
        <v>1.0445267107528677</v>
      </c>
      <c r="AF99" s="38">
        <f t="shared" si="61"/>
        <v>0</v>
      </c>
      <c r="AG99" s="38">
        <f t="shared" si="62"/>
        <v>1.0537557294771899E-2</v>
      </c>
      <c r="AH99" s="38">
        <f t="shared" si="63"/>
        <v>0</v>
      </c>
      <c r="AI99" s="38">
        <f t="shared" si="64"/>
        <v>0</v>
      </c>
      <c r="AJ99" s="38">
        <f t="shared" si="65"/>
        <v>7.1873423248387761E-2</v>
      </c>
      <c r="AK99" s="38">
        <f t="shared" si="66"/>
        <v>0.88195688572748532</v>
      </c>
      <c r="AL99" s="38">
        <f t="shared" si="67"/>
        <v>5.4360867728936328E-2</v>
      </c>
      <c r="AM99" s="38">
        <f t="shared" si="68"/>
        <v>0</v>
      </c>
      <c r="AN99" s="38">
        <f t="shared" si="69"/>
        <v>0</v>
      </c>
      <c r="AO99" s="38">
        <f t="shared" si="70"/>
        <v>0</v>
      </c>
      <c r="AP99" s="38">
        <f t="shared" si="71"/>
        <v>5.004575483052113</v>
      </c>
      <c r="AQ99" s="38">
        <f t="shared" si="72"/>
        <v>3.9858467490525316</v>
      </c>
      <c r="AR99" s="38">
        <f t="shared" si="73"/>
        <v>1.0081911767048093</v>
      </c>
      <c r="AS99" s="40"/>
      <c r="AT99" s="38">
        <f t="shared" si="74"/>
        <v>2.9386309071172776</v>
      </c>
      <c r="AU99" s="38">
        <f t="shared" si="75"/>
        <v>0</v>
      </c>
      <c r="AV99" s="38">
        <f t="shared" si="76"/>
        <v>1.0435717417892236</v>
      </c>
      <c r="AW99" s="38">
        <f t="shared" si="77"/>
        <v>0</v>
      </c>
      <c r="AX99" s="38">
        <f t="shared" si="78"/>
        <v>0</v>
      </c>
      <c r="AY99" s="38">
        <f t="shared" si="79"/>
        <v>1.0527923227911249E-2</v>
      </c>
      <c r="AZ99" s="38">
        <f t="shared" si="80"/>
        <v>0</v>
      </c>
      <c r="BA99" s="38">
        <f t="shared" si="81"/>
        <v>0</v>
      </c>
      <c r="BB99" s="38">
        <f t="shared" si="82"/>
        <v>7.1807712254301645E-2</v>
      </c>
      <c r="BC99" s="38">
        <f t="shared" si="83"/>
        <v>0.88115054784787772</v>
      </c>
      <c r="BD99" s="38">
        <f t="shared" si="84"/>
        <v>5.4311167763407942E-2</v>
      </c>
      <c r="BE99" s="38">
        <f t="shared" si="85"/>
        <v>0</v>
      </c>
      <c r="BF99" s="38">
        <f t="shared" si="86"/>
        <v>0</v>
      </c>
      <c r="BG99" s="38">
        <f t="shared" si="87"/>
        <v>0</v>
      </c>
      <c r="BH99" s="41">
        <f t="shared" si="88"/>
        <v>5</v>
      </c>
      <c r="BI99" s="42">
        <f t="shared" si="89"/>
        <v>7.9979498818202019</v>
      </c>
      <c r="BJ99" s="38">
        <f t="shared" si="90"/>
        <v>3.982202648906501</v>
      </c>
      <c r="BK99" s="38">
        <f t="shared" si="91"/>
        <v>1.0072694278655874</v>
      </c>
      <c r="BL99" s="16"/>
      <c r="BM99" s="16">
        <f t="shared" si="92"/>
        <v>7.1289478532534062E-2</v>
      </c>
      <c r="BN99" s="16">
        <f t="shared" si="93"/>
        <v>0.8747913154825353</v>
      </c>
      <c r="BO99" s="16">
        <f t="shared" si="94"/>
        <v>5.3919205984930753E-2</v>
      </c>
      <c r="BP99" s="15"/>
      <c r="BQ99" s="38">
        <f t="shared" si="95"/>
        <v>0.93625166444740349</v>
      </c>
      <c r="BR99" s="38">
        <f t="shared" si="96"/>
        <v>0</v>
      </c>
      <c r="BS99" s="38">
        <f t="shared" si="97"/>
        <v>0.33248332679482151</v>
      </c>
      <c r="BT99" s="38">
        <f t="shared" si="98"/>
        <v>0</v>
      </c>
      <c r="BU99" s="38">
        <f t="shared" si="99"/>
        <v>3.3542101600556717E-3</v>
      </c>
      <c r="BV99" s="38">
        <f t="shared" si="100"/>
        <v>0</v>
      </c>
      <c r="BW99" s="38">
        <f t="shared" si="101"/>
        <v>0</v>
      </c>
      <c r="BX99" s="38">
        <f t="shared" si="102"/>
        <v>2.2878031383737518E-2</v>
      </c>
      <c r="BY99" s="38">
        <f t="shared" si="103"/>
        <v>0.2807357212003872</v>
      </c>
      <c r="BZ99" s="38">
        <f t="shared" si="104"/>
        <v>1.7303609341825902E-2</v>
      </c>
      <c r="CA99" s="38">
        <f t="shared" si="105"/>
        <v>0</v>
      </c>
      <c r="CB99" s="38">
        <f t="shared" si="106"/>
        <v>0</v>
      </c>
      <c r="CC99" s="38">
        <f t="shared" si="107"/>
        <v>0</v>
      </c>
      <c r="CD99" s="38">
        <f t="shared" si="108"/>
        <v>1.5930065633282313</v>
      </c>
      <c r="CE99" s="38">
        <f t="shared" si="109"/>
        <v>2.5464802259019392</v>
      </c>
      <c r="CF99" s="38">
        <f t="shared" si="110"/>
        <v>3.1387190204374407</v>
      </c>
      <c r="CG99" s="38">
        <f t="shared" si="111"/>
        <v>7.992685920206247</v>
      </c>
      <c r="CH99" s="15"/>
      <c r="CI99" s="16"/>
      <c r="CJ99" s="13"/>
      <c r="CK99" s="104"/>
      <c r="CL99" s="13"/>
      <c r="CM99" s="13"/>
      <c r="CN99" s="13"/>
      <c r="CO99" s="16"/>
      <c r="CP99" s="16"/>
      <c r="CQ99" s="16"/>
      <c r="CR99" s="16"/>
      <c r="CS99" s="16"/>
      <c r="CT99" s="16"/>
      <c r="CU99" s="16"/>
      <c r="CV99" s="16"/>
      <c r="CW99" s="16"/>
      <c r="CX99" s="16"/>
      <c r="CY99" s="104"/>
      <c r="CZ99" s="104"/>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3"/>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row>
    <row r="100" spans="1:167" x14ac:dyDescent="0.25">
      <c r="A100" s="35" t="s">
        <v>90</v>
      </c>
      <c r="B100" s="15">
        <v>336</v>
      </c>
      <c r="C100" s="102" t="s">
        <v>95</v>
      </c>
      <c r="D100" s="102" t="s">
        <v>105</v>
      </c>
      <c r="E100" s="15">
        <v>168</v>
      </c>
      <c r="F100" s="16">
        <v>66.63</v>
      </c>
      <c r="G100" s="16">
        <v>0</v>
      </c>
      <c r="H100" s="16">
        <v>20.72</v>
      </c>
      <c r="I100" s="16">
        <v>0</v>
      </c>
      <c r="J100" s="16">
        <v>0.32500000000000001</v>
      </c>
      <c r="K100" s="16">
        <v>0</v>
      </c>
      <c r="L100" s="16">
        <v>0</v>
      </c>
      <c r="M100" s="16">
        <v>1.56</v>
      </c>
      <c r="N100" s="16">
        <v>11.06</v>
      </c>
      <c r="O100" s="16">
        <v>0.95</v>
      </c>
      <c r="P100" s="16">
        <v>0</v>
      </c>
      <c r="Q100" s="16"/>
      <c r="R100" s="16"/>
      <c r="S100" s="16">
        <f t="shared" si="57"/>
        <v>101.245</v>
      </c>
      <c r="T100" s="16"/>
      <c r="U100" s="15">
        <v>1</v>
      </c>
      <c r="V100" s="15">
        <v>11</v>
      </c>
      <c r="W100" s="15">
        <v>230</v>
      </c>
      <c r="X100" s="15" t="s">
        <v>186</v>
      </c>
      <c r="Y100" s="15"/>
      <c r="Z100" s="37">
        <v>8</v>
      </c>
      <c r="AA100" s="37">
        <v>5</v>
      </c>
      <c r="AB100" s="15"/>
      <c r="AC100" s="38">
        <f t="shared" si="58"/>
        <v>2.9102787913179746</v>
      </c>
      <c r="AD100" s="38">
        <f t="shared" si="59"/>
        <v>0</v>
      </c>
      <c r="AE100" s="38">
        <f t="shared" si="60"/>
        <v>1.0665583621475319</v>
      </c>
      <c r="AF100" s="38">
        <f t="shared" si="61"/>
        <v>0</v>
      </c>
      <c r="AG100" s="38">
        <f t="shared" si="62"/>
        <v>1.1870015706817201E-2</v>
      </c>
      <c r="AH100" s="38">
        <f t="shared" si="63"/>
        <v>0</v>
      </c>
      <c r="AI100" s="38">
        <f t="shared" si="64"/>
        <v>0</v>
      </c>
      <c r="AJ100" s="38">
        <f t="shared" si="65"/>
        <v>7.299805665062617E-2</v>
      </c>
      <c r="AK100" s="38">
        <f t="shared" si="66"/>
        <v>0.93654415087696408</v>
      </c>
      <c r="AL100" s="38">
        <f t="shared" si="67"/>
        <v>5.2929452693651798E-2</v>
      </c>
      <c r="AM100" s="38">
        <f t="shared" si="68"/>
        <v>0</v>
      </c>
      <c r="AN100" s="38">
        <f t="shared" si="69"/>
        <v>0</v>
      </c>
      <c r="AO100" s="38">
        <f t="shared" si="70"/>
        <v>0</v>
      </c>
      <c r="AP100" s="38">
        <f t="shared" si="71"/>
        <v>5.0511788293935664</v>
      </c>
      <c r="AQ100" s="38">
        <f t="shared" si="72"/>
        <v>3.9768371534655067</v>
      </c>
      <c r="AR100" s="38">
        <f t="shared" si="73"/>
        <v>1.0624716602212421</v>
      </c>
      <c r="AS100" s="40"/>
      <c r="AT100" s="38">
        <f t="shared" si="74"/>
        <v>2.8807916821145065</v>
      </c>
      <c r="AU100" s="38">
        <f t="shared" si="75"/>
        <v>0</v>
      </c>
      <c r="AV100" s="38">
        <f t="shared" si="76"/>
        <v>1.0557519325400528</v>
      </c>
      <c r="AW100" s="38">
        <f t="shared" si="77"/>
        <v>0</v>
      </c>
      <c r="AX100" s="38">
        <f t="shared" si="78"/>
        <v>0</v>
      </c>
      <c r="AY100" s="38">
        <f t="shared" si="79"/>
        <v>1.1749748036778864E-2</v>
      </c>
      <c r="AZ100" s="38">
        <f t="shared" si="80"/>
        <v>0</v>
      </c>
      <c r="BA100" s="38">
        <f t="shared" si="81"/>
        <v>0</v>
      </c>
      <c r="BB100" s="38">
        <f t="shared" si="82"/>
        <v>7.2258436214769864E-2</v>
      </c>
      <c r="BC100" s="38">
        <f t="shared" si="83"/>
        <v>0.927055032606521</v>
      </c>
      <c r="BD100" s="38">
        <f t="shared" si="84"/>
        <v>5.2393168487371099E-2</v>
      </c>
      <c r="BE100" s="38">
        <f t="shared" si="85"/>
        <v>0</v>
      </c>
      <c r="BF100" s="38">
        <f t="shared" si="86"/>
        <v>0</v>
      </c>
      <c r="BG100" s="38">
        <f t="shared" si="87"/>
        <v>0</v>
      </c>
      <c r="BH100" s="41">
        <f t="shared" si="88"/>
        <v>5.0000000000000009</v>
      </c>
      <c r="BI100" s="42">
        <f t="shared" si="89"/>
        <v>7.9248184218559761</v>
      </c>
      <c r="BJ100" s="38">
        <f t="shared" si="90"/>
        <v>3.9365436146545596</v>
      </c>
      <c r="BK100" s="38">
        <f t="shared" si="91"/>
        <v>1.0517066373086621</v>
      </c>
      <c r="BL100" s="16"/>
      <c r="BM100" s="16">
        <f t="shared" si="92"/>
        <v>6.8705885891982788E-2</v>
      </c>
      <c r="BN100" s="16">
        <f t="shared" si="93"/>
        <v>0.88147682986852027</v>
      </c>
      <c r="BO100" s="16">
        <f t="shared" si="94"/>
        <v>4.9817284239496912E-2</v>
      </c>
      <c r="BP100" s="15"/>
      <c r="BQ100" s="38">
        <f t="shared" si="95"/>
        <v>1.1090213049267643</v>
      </c>
      <c r="BR100" s="38">
        <f t="shared" si="96"/>
        <v>0</v>
      </c>
      <c r="BS100" s="38">
        <f t="shared" si="97"/>
        <v>0.4064338956453511</v>
      </c>
      <c r="BT100" s="38">
        <f t="shared" si="98"/>
        <v>0</v>
      </c>
      <c r="BU100" s="38">
        <f t="shared" si="99"/>
        <v>4.5233124565066118E-3</v>
      </c>
      <c r="BV100" s="38">
        <f t="shared" si="100"/>
        <v>0</v>
      </c>
      <c r="BW100" s="38">
        <f t="shared" si="101"/>
        <v>0</v>
      </c>
      <c r="BX100" s="38">
        <f t="shared" si="102"/>
        <v>2.7817403708987162E-2</v>
      </c>
      <c r="BY100" s="38">
        <f t="shared" si="103"/>
        <v>0.35688931913520494</v>
      </c>
      <c r="BZ100" s="38">
        <f t="shared" si="104"/>
        <v>2.0169851380042462E-2</v>
      </c>
      <c r="CA100" s="38">
        <f t="shared" si="105"/>
        <v>0</v>
      </c>
      <c r="CB100" s="38">
        <f t="shared" si="106"/>
        <v>0</v>
      </c>
      <c r="CC100" s="38">
        <f t="shared" si="107"/>
        <v>0</v>
      </c>
      <c r="CD100" s="38">
        <f t="shared" si="108"/>
        <v>1.9248550872528565</v>
      </c>
      <c r="CE100" s="38">
        <f t="shared" si="109"/>
        <v>3.0485637547446731</v>
      </c>
      <c r="CF100" s="38">
        <f t="shared" si="110"/>
        <v>2.5975981429001882</v>
      </c>
      <c r="CG100" s="38">
        <f t="shared" si="111"/>
        <v>7.9189435478375874</v>
      </c>
      <c r="CH100" s="15"/>
      <c r="CI100" s="16"/>
      <c r="CJ100" s="13"/>
      <c r="CK100" s="104"/>
      <c r="CL100" s="13"/>
      <c r="CM100" s="13"/>
      <c r="CN100" s="13"/>
      <c r="CO100" s="16"/>
      <c r="CP100" s="16"/>
      <c r="CQ100" s="16"/>
      <c r="CR100" s="16"/>
      <c r="CS100" s="16"/>
      <c r="CT100" s="16"/>
      <c r="CU100" s="16"/>
      <c r="CV100" s="16"/>
      <c r="CW100" s="16"/>
      <c r="CX100" s="16"/>
      <c r="CY100" s="104"/>
      <c r="CZ100" s="104"/>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3"/>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row>
    <row r="101" spans="1:167" x14ac:dyDescent="0.25">
      <c r="A101" s="35" t="s">
        <v>90</v>
      </c>
      <c r="B101" s="15">
        <v>337</v>
      </c>
      <c r="C101" s="102" t="s">
        <v>95</v>
      </c>
      <c r="D101" s="102" t="s">
        <v>105</v>
      </c>
      <c r="E101" s="15">
        <v>169</v>
      </c>
      <c r="F101" s="16">
        <v>66.69</v>
      </c>
      <c r="G101" s="16">
        <v>0</v>
      </c>
      <c r="H101" s="16">
        <v>20.68</v>
      </c>
      <c r="I101" s="16">
        <v>0</v>
      </c>
      <c r="J101" s="16">
        <v>0.32900000000000001</v>
      </c>
      <c r="K101" s="16">
        <v>0</v>
      </c>
      <c r="L101" s="16">
        <v>0</v>
      </c>
      <c r="M101" s="16">
        <v>1.42</v>
      </c>
      <c r="N101" s="16">
        <v>10.92</v>
      </c>
      <c r="O101" s="16">
        <v>0.97</v>
      </c>
      <c r="P101" s="16">
        <v>0</v>
      </c>
      <c r="Q101" s="16"/>
      <c r="R101" s="16"/>
      <c r="S101" s="16">
        <f t="shared" si="57"/>
        <v>101.009</v>
      </c>
      <c r="T101" s="16"/>
      <c r="U101" s="15">
        <v>1</v>
      </c>
      <c r="V101" s="15">
        <v>12</v>
      </c>
      <c r="W101" s="15">
        <v>253</v>
      </c>
      <c r="X101" s="15" t="s">
        <v>186</v>
      </c>
      <c r="Y101" s="15"/>
      <c r="Z101" s="37">
        <v>8</v>
      </c>
      <c r="AA101" s="37">
        <v>5</v>
      </c>
      <c r="AB101" s="15"/>
      <c r="AC101" s="38">
        <f t="shared" si="58"/>
        <v>2.9164073611763395</v>
      </c>
      <c r="AD101" s="38">
        <f t="shared" si="59"/>
        <v>0</v>
      </c>
      <c r="AE101" s="38">
        <f t="shared" si="60"/>
        <v>1.0657812992461069</v>
      </c>
      <c r="AF101" s="38">
        <f t="shared" si="61"/>
        <v>0</v>
      </c>
      <c r="AG101" s="38">
        <f t="shared" si="62"/>
        <v>1.2030578681880361E-2</v>
      </c>
      <c r="AH101" s="38">
        <f t="shared" si="63"/>
        <v>0</v>
      </c>
      <c r="AI101" s="38">
        <f t="shared" si="64"/>
        <v>0</v>
      </c>
      <c r="AJ101" s="38">
        <f t="shared" si="65"/>
        <v>6.6526968159696276E-2</v>
      </c>
      <c r="AK101" s="38">
        <f t="shared" si="66"/>
        <v>0.92580272437728162</v>
      </c>
      <c r="AL101" s="38">
        <f t="shared" si="67"/>
        <v>5.4108839495886699E-2</v>
      </c>
      <c r="AM101" s="38">
        <f t="shared" si="68"/>
        <v>0</v>
      </c>
      <c r="AN101" s="38">
        <f t="shared" si="69"/>
        <v>0</v>
      </c>
      <c r="AO101" s="38">
        <f t="shared" si="70"/>
        <v>0</v>
      </c>
      <c r="AP101" s="38">
        <f t="shared" si="71"/>
        <v>5.0406577711371909</v>
      </c>
      <c r="AQ101" s="38">
        <f t="shared" si="72"/>
        <v>3.9821886604224463</v>
      </c>
      <c r="AR101" s="38">
        <f t="shared" si="73"/>
        <v>1.0464385320328646</v>
      </c>
      <c r="AS101" s="40"/>
      <c r="AT101" s="38">
        <f t="shared" si="74"/>
        <v>2.8928837203307962</v>
      </c>
      <c r="AU101" s="38">
        <f t="shared" si="75"/>
        <v>0</v>
      </c>
      <c r="AV101" s="38">
        <f t="shared" si="76"/>
        <v>1.0571847441704645</v>
      </c>
      <c r="AW101" s="38">
        <f t="shared" si="77"/>
        <v>0</v>
      </c>
      <c r="AX101" s="38">
        <f t="shared" si="78"/>
        <v>0</v>
      </c>
      <c r="AY101" s="38">
        <f t="shared" si="79"/>
        <v>1.1933540450581134E-2</v>
      </c>
      <c r="AZ101" s="38">
        <f t="shared" si="80"/>
        <v>0</v>
      </c>
      <c r="BA101" s="38">
        <f t="shared" si="81"/>
        <v>0</v>
      </c>
      <c r="BB101" s="38">
        <f t="shared" si="82"/>
        <v>6.5990363936855354E-2</v>
      </c>
      <c r="BC101" s="38">
        <f t="shared" si="83"/>
        <v>0.91833523164221598</v>
      </c>
      <c r="BD101" s="38">
        <f t="shared" si="84"/>
        <v>5.3672399469087091E-2</v>
      </c>
      <c r="BE101" s="38">
        <f t="shared" si="85"/>
        <v>0</v>
      </c>
      <c r="BF101" s="38">
        <f t="shared" si="86"/>
        <v>0</v>
      </c>
      <c r="BG101" s="38">
        <f t="shared" si="87"/>
        <v>0</v>
      </c>
      <c r="BH101" s="41">
        <f t="shared" si="88"/>
        <v>4.9999999999999991</v>
      </c>
      <c r="BI101" s="42">
        <f t="shared" si="89"/>
        <v>7.9414390470856677</v>
      </c>
      <c r="BJ101" s="38">
        <f t="shared" si="90"/>
        <v>3.9500684645012605</v>
      </c>
      <c r="BK101" s="38">
        <f t="shared" si="91"/>
        <v>1.0379979950481584</v>
      </c>
      <c r="BL101" s="16"/>
      <c r="BM101" s="16">
        <f t="shared" si="92"/>
        <v>6.3574654528878644E-2</v>
      </c>
      <c r="BN101" s="16">
        <f t="shared" si="93"/>
        <v>0.88471773165574308</v>
      </c>
      <c r="BO101" s="16">
        <f t="shared" si="94"/>
        <v>5.1707613815378264E-2</v>
      </c>
      <c r="BP101" s="15"/>
      <c r="BQ101" s="38">
        <f t="shared" si="95"/>
        <v>1.1100199733688416</v>
      </c>
      <c r="BR101" s="38">
        <f t="shared" si="96"/>
        <v>0</v>
      </c>
      <c r="BS101" s="38">
        <f t="shared" si="97"/>
        <v>0.40564927422518637</v>
      </c>
      <c r="BT101" s="38">
        <f t="shared" si="98"/>
        <v>0</v>
      </c>
      <c r="BU101" s="38">
        <f t="shared" si="99"/>
        <v>4.5789839944328468E-3</v>
      </c>
      <c r="BV101" s="38">
        <f t="shared" si="100"/>
        <v>0</v>
      </c>
      <c r="BW101" s="38">
        <f t="shared" si="101"/>
        <v>0</v>
      </c>
      <c r="BX101" s="38">
        <f t="shared" si="102"/>
        <v>2.5320970042796005E-2</v>
      </c>
      <c r="BY101" s="38">
        <f t="shared" si="103"/>
        <v>0.35237173281703776</v>
      </c>
      <c r="BZ101" s="38">
        <f t="shared" si="104"/>
        <v>2.0594479830148619E-2</v>
      </c>
      <c r="CA101" s="38">
        <f t="shared" si="105"/>
        <v>0</v>
      </c>
      <c r="CB101" s="38">
        <f t="shared" si="106"/>
        <v>0</v>
      </c>
      <c r="CC101" s="38">
        <f t="shared" si="107"/>
        <v>0</v>
      </c>
      <c r="CD101" s="38">
        <f t="shared" si="108"/>
        <v>1.9185354142784432</v>
      </c>
      <c r="CE101" s="38">
        <f t="shared" si="109"/>
        <v>3.0448969184362848</v>
      </c>
      <c r="CF101" s="38">
        <f t="shared" si="110"/>
        <v>2.6061546546329919</v>
      </c>
      <c r="CG101" s="38">
        <f t="shared" si="111"/>
        <v>7.9354722768603771</v>
      </c>
      <c r="CH101" s="15"/>
      <c r="CI101" s="16"/>
      <c r="CJ101" s="13"/>
      <c r="CK101" s="104"/>
      <c r="CL101" s="13"/>
      <c r="CM101" s="13"/>
      <c r="CN101" s="13"/>
      <c r="CO101" s="16"/>
      <c r="CP101" s="16"/>
      <c r="CQ101" s="16"/>
      <c r="CR101" s="16"/>
      <c r="CS101" s="16"/>
      <c r="CT101" s="16"/>
      <c r="CU101" s="16"/>
      <c r="CV101" s="16"/>
      <c r="CW101" s="16"/>
      <c r="CX101" s="16"/>
      <c r="CY101" s="104"/>
      <c r="CZ101" s="104"/>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3"/>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row>
    <row r="102" spans="1:167" x14ac:dyDescent="0.25">
      <c r="A102" s="35" t="s">
        <v>90</v>
      </c>
      <c r="B102" s="15">
        <v>338</v>
      </c>
      <c r="C102" s="102" t="s">
        <v>95</v>
      </c>
      <c r="D102" s="102" t="s">
        <v>105</v>
      </c>
      <c r="E102" s="15">
        <v>170</v>
      </c>
      <c r="F102" s="16">
        <v>64.23</v>
      </c>
      <c r="G102" s="16">
        <v>0</v>
      </c>
      <c r="H102" s="16">
        <v>19.600000000000001</v>
      </c>
      <c r="I102" s="16">
        <v>0</v>
      </c>
      <c r="J102" s="16">
        <v>0.29299999999999998</v>
      </c>
      <c r="K102" s="16">
        <v>0</v>
      </c>
      <c r="L102" s="16">
        <v>0</v>
      </c>
      <c r="M102" s="16">
        <v>1.4</v>
      </c>
      <c r="N102" s="16">
        <v>10.55</v>
      </c>
      <c r="O102" s="16">
        <v>1.0129999999999999</v>
      </c>
      <c r="P102" s="16">
        <v>0</v>
      </c>
      <c r="Q102" s="16"/>
      <c r="R102" s="16"/>
      <c r="S102" s="16">
        <f t="shared" si="57"/>
        <v>97.086000000000027</v>
      </c>
      <c r="T102" s="16"/>
      <c r="U102" s="15">
        <v>1</v>
      </c>
      <c r="V102" s="15">
        <v>13</v>
      </c>
      <c r="W102" s="15">
        <v>276</v>
      </c>
      <c r="X102" s="15" t="s">
        <v>186</v>
      </c>
      <c r="Y102" s="15"/>
      <c r="Z102" s="37">
        <v>8</v>
      </c>
      <c r="AA102" s="37">
        <v>5</v>
      </c>
      <c r="AB102" s="15"/>
      <c r="AC102" s="38">
        <f t="shared" si="58"/>
        <v>2.9241065156077726</v>
      </c>
      <c r="AD102" s="38">
        <f t="shared" si="59"/>
        <v>0</v>
      </c>
      <c r="AE102" s="38">
        <f t="shared" si="60"/>
        <v>1.0515778523505732</v>
      </c>
      <c r="AF102" s="38">
        <f t="shared" si="61"/>
        <v>0</v>
      </c>
      <c r="AG102" s="38">
        <f t="shared" si="62"/>
        <v>1.1153881812633916E-2</v>
      </c>
      <c r="AH102" s="38">
        <f t="shared" si="63"/>
        <v>0</v>
      </c>
      <c r="AI102" s="38">
        <f t="shared" si="64"/>
        <v>0</v>
      </c>
      <c r="AJ102" s="38">
        <f t="shared" si="65"/>
        <v>6.8281840881434949E-2</v>
      </c>
      <c r="AK102" s="38">
        <f t="shared" si="66"/>
        <v>0.9311423377692275</v>
      </c>
      <c r="AL102" s="38">
        <f t="shared" si="67"/>
        <v>5.8826597359828224E-2</v>
      </c>
      <c r="AM102" s="38">
        <f t="shared" si="68"/>
        <v>0</v>
      </c>
      <c r="AN102" s="38">
        <f t="shared" si="69"/>
        <v>0</v>
      </c>
      <c r="AO102" s="38">
        <f t="shared" si="70"/>
        <v>0</v>
      </c>
      <c r="AP102" s="38">
        <f t="shared" si="71"/>
        <v>5.0450890257814693</v>
      </c>
      <c r="AQ102" s="38">
        <f t="shared" si="72"/>
        <v>3.9756843679583458</v>
      </c>
      <c r="AR102" s="38">
        <f t="shared" si="73"/>
        <v>1.0582507760104907</v>
      </c>
      <c r="AS102" s="40"/>
      <c r="AT102" s="38">
        <f t="shared" si="74"/>
        <v>2.8979731583178916</v>
      </c>
      <c r="AU102" s="38">
        <f t="shared" si="75"/>
        <v>0</v>
      </c>
      <c r="AV102" s="38">
        <f t="shared" si="76"/>
        <v>1.0421796790668987</v>
      </c>
      <c r="AW102" s="38">
        <f t="shared" si="77"/>
        <v>0</v>
      </c>
      <c r="AX102" s="38">
        <f t="shared" si="78"/>
        <v>0</v>
      </c>
      <c r="AY102" s="38">
        <f t="shared" si="79"/>
        <v>1.105419721598095E-2</v>
      </c>
      <c r="AZ102" s="38">
        <f t="shared" si="80"/>
        <v>0</v>
      </c>
      <c r="BA102" s="38">
        <f t="shared" si="81"/>
        <v>0</v>
      </c>
      <c r="BB102" s="38">
        <f t="shared" si="82"/>
        <v>6.7671591653289287E-2</v>
      </c>
      <c r="BC102" s="38">
        <f t="shared" si="83"/>
        <v>0.92282052210664023</v>
      </c>
      <c r="BD102" s="38">
        <f t="shared" si="84"/>
        <v>5.8300851639299017E-2</v>
      </c>
      <c r="BE102" s="38">
        <f t="shared" si="85"/>
        <v>0</v>
      </c>
      <c r="BF102" s="38">
        <f t="shared" si="86"/>
        <v>0</v>
      </c>
      <c r="BG102" s="38">
        <f t="shared" si="87"/>
        <v>0</v>
      </c>
      <c r="BH102" s="41">
        <f t="shared" si="88"/>
        <v>5</v>
      </c>
      <c r="BI102" s="42">
        <f t="shared" si="89"/>
        <v>7.9340294095863619</v>
      </c>
      <c r="BJ102" s="38">
        <f t="shared" si="90"/>
        <v>3.9401528373847903</v>
      </c>
      <c r="BK102" s="38">
        <f t="shared" si="91"/>
        <v>1.0487929653992285</v>
      </c>
      <c r="BL102" s="16"/>
      <c r="BM102" s="16">
        <f t="shared" si="92"/>
        <v>6.4523308113083822E-2</v>
      </c>
      <c r="BN102" s="16">
        <f t="shared" si="93"/>
        <v>0.87988816911578327</v>
      </c>
      <c r="BO102" s="16">
        <f t="shared" si="94"/>
        <v>5.5588522771132902E-2</v>
      </c>
      <c r="BP102" s="15"/>
      <c r="BQ102" s="38">
        <f t="shared" si="95"/>
        <v>1.0690745672436752</v>
      </c>
      <c r="BR102" s="38">
        <f t="shared" si="96"/>
        <v>0</v>
      </c>
      <c r="BS102" s="38">
        <f t="shared" si="97"/>
        <v>0.38446449588073761</v>
      </c>
      <c r="BT102" s="38">
        <f t="shared" si="98"/>
        <v>0</v>
      </c>
      <c r="BU102" s="38">
        <f t="shared" si="99"/>
        <v>4.0779401530967293E-3</v>
      </c>
      <c r="BV102" s="38">
        <f t="shared" si="100"/>
        <v>0</v>
      </c>
      <c r="BW102" s="38">
        <f t="shared" si="101"/>
        <v>0</v>
      </c>
      <c r="BX102" s="38">
        <f t="shared" si="102"/>
        <v>2.4964336661911554E-2</v>
      </c>
      <c r="BY102" s="38">
        <f t="shared" si="103"/>
        <v>0.34043239754759602</v>
      </c>
      <c r="BZ102" s="38">
        <f t="shared" si="104"/>
        <v>2.1507430997876855E-2</v>
      </c>
      <c r="CA102" s="38">
        <f t="shared" si="105"/>
        <v>0</v>
      </c>
      <c r="CB102" s="38">
        <f t="shared" si="106"/>
        <v>0</v>
      </c>
      <c r="CC102" s="38">
        <f t="shared" si="107"/>
        <v>0</v>
      </c>
      <c r="CD102" s="38">
        <f t="shared" si="108"/>
        <v>1.8445211684848941</v>
      </c>
      <c r="CE102" s="38">
        <f t="shared" si="109"/>
        <v>2.9248580693962012</v>
      </c>
      <c r="CF102" s="38">
        <f t="shared" si="110"/>
        <v>2.7107306142260454</v>
      </c>
      <c r="CG102" s="38">
        <f t="shared" si="111"/>
        <v>7.9285023109783701</v>
      </c>
      <c r="CH102" s="15"/>
      <c r="CI102" s="16"/>
      <c r="CJ102" s="13"/>
      <c r="CK102" s="104"/>
      <c r="CL102" s="13"/>
      <c r="CM102" s="13"/>
      <c r="CN102" s="13"/>
      <c r="CO102" s="16"/>
      <c r="CP102" s="16"/>
      <c r="CQ102" s="16"/>
      <c r="CR102" s="16"/>
      <c r="CS102" s="16"/>
      <c r="CT102" s="16"/>
      <c r="CU102" s="16"/>
      <c r="CV102" s="16"/>
      <c r="CW102" s="16"/>
      <c r="CX102" s="16"/>
      <c r="CY102" s="104"/>
      <c r="CZ102" s="104"/>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3"/>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row>
    <row r="103" spans="1:167" x14ac:dyDescent="0.25">
      <c r="A103" s="35" t="s">
        <v>90</v>
      </c>
      <c r="B103" s="15">
        <v>340</v>
      </c>
      <c r="C103" s="102" t="s">
        <v>95</v>
      </c>
      <c r="D103" s="102" t="s">
        <v>105</v>
      </c>
      <c r="E103" s="15">
        <v>172</v>
      </c>
      <c r="F103" s="16">
        <v>65.84</v>
      </c>
      <c r="G103" s="16">
        <v>0</v>
      </c>
      <c r="H103" s="16">
        <v>20.61</v>
      </c>
      <c r="I103" s="16">
        <v>0</v>
      </c>
      <c r="J103" s="16">
        <v>0.24299999999999999</v>
      </c>
      <c r="K103" s="16">
        <v>0</v>
      </c>
      <c r="L103" s="16">
        <v>0</v>
      </c>
      <c r="M103" s="16">
        <v>1.5</v>
      </c>
      <c r="N103" s="16">
        <v>10.85</v>
      </c>
      <c r="O103" s="16">
        <v>0.89700000000000002</v>
      </c>
      <c r="P103" s="16">
        <v>0</v>
      </c>
      <c r="Q103" s="16"/>
      <c r="R103" s="16"/>
      <c r="S103" s="16">
        <f t="shared" si="57"/>
        <v>99.94</v>
      </c>
      <c r="T103" s="16"/>
      <c r="U103" s="15">
        <v>1</v>
      </c>
      <c r="V103" s="15">
        <v>15</v>
      </c>
      <c r="W103" s="15">
        <v>322</v>
      </c>
      <c r="X103" s="15" t="s">
        <v>186</v>
      </c>
      <c r="Y103" s="15"/>
      <c r="Z103" s="37">
        <v>8</v>
      </c>
      <c r="AA103" s="37">
        <v>5</v>
      </c>
      <c r="AB103" s="15"/>
      <c r="AC103" s="38">
        <f t="shared" si="58"/>
        <v>2.9098455250705393</v>
      </c>
      <c r="AD103" s="38">
        <f t="shared" si="59"/>
        <v>0</v>
      </c>
      <c r="AE103" s="38">
        <f t="shared" si="60"/>
        <v>1.0734657605238556</v>
      </c>
      <c r="AF103" s="38">
        <f t="shared" si="61"/>
        <v>0</v>
      </c>
      <c r="AG103" s="38">
        <f t="shared" si="62"/>
        <v>8.9802729529962419E-3</v>
      </c>
      <c r="AH103" s="38">
        <f t="shared" si="63"/>
        <v>0</v>
      </c>
      <c r="AI103" s="38">
        <f t="shared" si="64"/>
        <v>0</v>
      </c>
      <c r="AJ103" s="38">
        <f t="shared" si="65"/>
        <v>7.1022064122767736E-2</v>
      </c>
      <c r="AK103" s="38">
        <f t="shared" si="66"/>
        <v>0.92964726928368824</v>
      </c>
      <c r="AL103" s="38">
        <f t="shared" si="67"/>
        <v>5.0568674711059011E-2</v>
      </c>
      <c r="AM103" s="38">
        <f t="shared" si="68"/>
        <v>0</v>
      </c>
      <c r="AN103" s="38">
        <f t="shared" si="69"/>
        <v>0</v>
      </c>
      <c r="AO103" s="38">
        <f t="shared" si="70"/>
        <v>0</v>
      </c>
      <c r="AP103" s="38">
        <f t="shared" si="71"/>
        <v>5.0435295666649056</v>
      </c>
      <c r="AQ103" s="38">
        <f t="shared" si="72"/>
        <v>3.9833112855943948</v>
      </c>
      <c r="AR103" s="38">
        <f t="shared" si="73"/>
        <v>1.051238008117515</v>
      </c>
      <c r="AS103" s="40"/>
      <c r="AT103" s="38">
        <f t="shared" si="74"/>
        <v>2.8847313043459653</v>
      </c>
      <c r="AU103" s="38">
        <f t="shared" si="75"/>
        <v>0</v>
      </c>
      <c r="AV103" s="38">
        <f t="shared" si="76"/>
        <v>1.0642009195493796</v>
      </c>
      <c r="AW103" s="38">
        <f t="shared" si="77"/>
        <v>0</v>
      </c>
      <c r="AX103" s="38">
        <f t="shared" si="78"/>
        <v>0</v>
      </c>
      <c r="AY103" s="38">
        <f t="shared" si="79"/>
        <v>8.9027662416724506E-3</v>
      </c>
      <c r="AZ103" s="38">
        <f t="shared" si="80"/>
        <v>0</v>
      </c>
      <c r="BA103" s="38">
        <f t="shared" si="81"/>
        <v>0</v>
      </c>
      <c r="BB103" s="38">
        <f t="shared" si="82"/>
        <v>7.0409088698702646E-2</v>
      </c>
      <c r="BC103" s="38">
        <f t="shared" si="83"/>
        <v>0.92162369328433258</v>
      </c>
      <c r="BD103" s="38">
        <f t="shared" si="84"/>
        <v>5.0132227879946922E-2</v>
      </c>
      <c r="BE103" s="38">
        <f t="shared" si="85"/>
        <v>0</v>
      </c>
      <c r="BF103" s="38">
        <f t="shared" si="86"/>
        <v>0</v>
      </c>
      <c r="BG103" s="38">
        <f t="shared" si="87"/>
        <v>0</v>
      </c>
      <c r="BH103" s="41">
        <f t="shared" si="88"/>
        <v>4.9999999999999991</v>
      </c>
      <c r="BI103" s="42">
        <f t="shared" si="89"/>
        <v>7.9354051866593505</v>
      </c>
      <c r="BJ103" s="38">
        <f t="shared" si="90"/>
        <v>3.948932223895345</v>
      </c>
      <c r="BK103" s="38">
        <f t="shared" si="91"/>
        <v>1.0421650098629822</v>
      </c>
      <c r="BL103" s="16"/>
      <c r="BM103" s="16">
        <f t="shared" si="92"/>
        <v>6.7560403613972433E-2</v>
      </c>
      <c r="BN103" s="16">
        <f t="shared" si="93"/>
        <v>0.88433567099465593</v>
      </c>
      <c r="BO103" s="16">
        <f t="shared" si="94"/>
        <v>4.810392539137158E-2</v>
      </c>
      <c r="BP103" s="15"/>
      <c r="BQ103" s="38">
        <f t="shared" si="95"/>
        <v>1.0958721704394141</v>
      </c>
      <c r="BR103" s="38">
        <f t="shared" si="96"/>
        <v>0</v>
      </c>
      <c r="BS103" s="38">
        <f t="shared" si="97"/>
        <v>0.40427618673989801</v>
      </c>
      <c r="BT103" s="38">
        <f t="shared" si="98"/>
        <v>0</v>
      </c>
      <c r="BU103" s="38">
        <f t="shared" si="99"/>
        <v>3.3820459290187892E-3</v>
      </c>
      <c r="BV103" s="38">
        <f t="shared" si="100"/>
        <v>0</v>
      </c>
      <c r="BW103" s="38">
        <f t="shared" si="101"/>
        <v>0</v>
      </c>
      <c r="BX103" s="38">
        <f t="shared" si="102"/>
        <v>2.6747503566333809E-2</v>
      </c>
      <c r="BY103" s="38">
        <f t="shared" si="103"/>
        <v>0.3501129396579542</v>
      </c>
      <c r="BZ103" s="38">
        <f t="shared" si="104"/>
        <v>1.9044585987261147E-2</v>
      </c>
      <c r="CA103" s="38">
        <f t="shared" si="105"/>
        <v>0</v>
      </c>
      <c r="CB103" s="38">
        <f t="shared" si="106"/>
        <v>0</v>
      </c>
      <c r="CC103" s="38">
        <f t="shared" si="107"/>
        <v>0</v>
      </c>
      <c r="CD103" s="38">
        <f t="shared" si="108"/>
        <v>1.8994354323198801</v>
      </c>
      <c r="CE103" s="38">
        <f t="shared" si="109"/>
        <v>3.0128669333066354</v>
      </c>
      <c r="CF103" s="38">
        <f t="shared" si="110"/>
        <v>2.6323611294821627</v>
      </c>
      <c r="CG103" s="38">
        <f t="shared" si="111"/>
        <v>7.9309538035385145</v>
      </c>
      <c r="CH103" s="15"/>
      <c r="CI103" s="16"/>
      <c r="CJ103" s="13"/>
      <c r="CK103" s="104"/>
      <c r="CL103" s="13"/>
      <c r="CM103" s="13"/>
      <c r="CN103" s="13"/>
      <c r="CO103" s="16"/>
      <c r="CP103" s="16"/>
      <c r="CQ103" s="16"/>
      <c r="CR103" s="16"/>
      <c r="CS103" s="16"/>
      <c r="CT103" s="16"/>
      <c r="CU103" s="16"/>
      <c r="CV103" s="16"/>
      <c r="CW103" s="16"/>
      <c r="CX103" s="16"/>
      <c r="CY103" s="104"/>
      <c r="CZ103" s="104"/>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3"/>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row>
    <row r="104" spans="1:167" x14ac:dyDescent="0.25">
      <c r="A104" s="35" t="s">
        <v>90</v>
      </c>
      <c r="B104" s="15">
        <v>343</v>
      </c>
      <c r="C104" s="102" t="s">
        <v>95</v>
      </c>
      <c r="D104" s="102" t="s">
        <v>105</v>
      </c>
      <c r="E104" s="15">
        <v>175</v>
      </c>
      <c r="F104" s="16">
        <v>66.08</v>
      </c>
      <c r="G104" s="16">
        <v>0</v>
      </c>
      <c r="H104" s="16">
        <v>20.69</v>
      </c>
      <c r="I104" s="16">
        <v>0</v>
      </c>
      <c r="J104" s="16">
        <v>0.51800000000000002</v>
      </c>
      <c r="K104" s="16">
        <v>0</v>
      </c>
      <c r="L104" s="16">
        <v>0</v>
      </c>
      <c r="M104" s="16">
        <v>1.64</v>
      </c>
      <c r="N104" s="16">
        <v>10.83</v>
      </c>
      <c r="O104" s="16">
        <v>0.80300000000000005</v>
      </c>
      <c r="P104" s="16">
        <v>0</v>
      </c>
      <c r="Q104" s="16"/>
      <c r="R104" s="16"/>
      <c r="S104" s="16">
        <f t="shared" si="57"/>
        <v>100.56099999999999</v>
      </c>
      <c r="T104" s="16"/>
      <c r="U104" s="15"/>
      <c r="V104" s="15"/>
      <c r="W104" s="15"/>
      <c r="X104" s="15" t="s">
        <v>252</v>
      </c>
      <c r="Y104" s="15" t="s">
        <v>260</v>
      </c>
      <c r="Z104" s="37">
        <v>8</v>
      </c>
      <c r="AA104" s="37">
        <v>5</v>
      </c>
      <c r="AB104" s="15"/>
      <c r="AC104" s="38">
        <f t="shared" si="58"/>
        <v>2.9056521085269611</v>
      </c>
      <c r="AD104" s="38">
        <f t="shared" si="59"/>
        <v>0</v>
      </c>
      <c r="AE104" s="38">
        <f t="shared" si="60"/>
        <v>1.0721712672821546</v>
      </c>
      <c r="AF104" s="38">
        <f t="shared" si="61"/>
        <v>0</v>
      </c>
      <c r="AG104" s="38">
        <f t="shared" si="62"/>
        <v>1.9046118948288851E-2</v>
      </c>
      <c r="AH104" s="38">
        <f t="shared" si="63"/>
        <v>0</v>
      </c>
      <c r="AI104" s="38">
        <f t="shared" si="64"/>
        <v>0</v>
      </c>
      <c r="AJ104" s="38">
        <f t="shared" si="65"/>
        <v>7.7257268303714904E-2</v>
      </c>
      <c r="AK104" s="38">
        <f t="shared" si="66"/>
        <v>0.92323101429444898</v>
      </c>
      <c r="AL104" s="38">
        <f t="shared" si="67"/>
        <v>4.5039975247233223E-2</v>
      </c>
      <c r="AM104" s="38">
        <f t="shared" si="68"/>
        <v>0</v>
      </c>
      <c r="AN104" s="38">
        <f t="shared" si="69"/>
        <v>0</v>
      </c>
      <c r="AO104" s="38">
        <f t="shared" si="70"/>
        <v>0</v>
      </c>
      <c r="AP104" s="38">
        <f t="shared" si="71"/>
        <v>5.0423977526028017</v>
      </c>
      <c r="AQ104" s="38">
        <f t="shared" si="72"/>
        <v>3.9778233758091157</v>
      </c>
      <c r="AR104" s="38">
        <f t="shared" si="73"/>
        <v>1.045528257845397</v>
      </c>
      <c r="AS104" s="40"/>
      <c r="AT104" s="38">
        <f t="shared" si="74"/>
        <v>2.881220652443683</v>
      </c>
      <c r="AU104" s="38">
        <f t="shared" si="75"/>
        <v>0</v>
      </c>
      <c r="AV104" s="38">
        <f t="shared" si="76"/>
        <v>1.0631561807363548</v>
      </c>
      <c r="AW104" s="38">
        <f t="shared" si="77"/>
        <v>0</v>
      </c>
      <c r="AX104" s="38">
        <f t="shared" si="78"/>
        <v>0</v>
      </c>
      <c r="AY104" s="38">
        <f t="shared" si="79"/>
        <v>1.8885974374450689E-2</v>
      </c>
      <c r="AZ104" s="38">
        <f t="shared" si="80"/>
        <v>0</v>
      </c>
      <c r="BA104" s="38">
        <f t="shared" si="81"/>
        <v>0</v>
      </c>
      <c r="BB104" s="38">
        <f t="shared" si="82"/>
        <v>7.6607669698246228E-2</v>
      </c>
      <c r="BC104" s="38">
        <f t="shared" si="83"/>
        <v>0.91546825497640738</v>
      </c>
      <c r="BD104" s="38">
        <f t="shared" si="84"/>
        <v>4.4661267770857958E-2</v>
      </c>
      <c r="BE104" s="38">
        <f t="shared" si="85"/>
        <v>0</v>
      </c>
      <c r="BF104" s="38">
        <f t="shared" si="86"/>
        <v>0</v>
      </c>
      <c r="BG104" s="38">
        <f t="shared" si="87"/>
        <v>0</v>
      </c>
      <c r="BH104" s="41">
        <f t="shared" si="88"/>
        <v>5</v>
      </c>
      <c r="BI104" s="42">
        <f t="shared" si="89"/>
        <v>7.9421769686254535</v>
      </c>
      <c r="BJ104" s="38">
        <f t="shared" si="90"/>
        <v>3.944376833180038</v>
      </c>
      <c r="BK104" s="38">
        <f t="shared" si="91"/>
        <v>1.0367371924455115</v>
      </c>
      <c r="BL104" s="16"/>
      <c r="BM104" s="16">
        <f t="shared" si="92"/>
        <v>7.389304662403394E-2</v>
      </c>
      <c r="BN104" s="16">
        <f t="shared" si="93"/>
        <v>0.88302827529217076</v>
      </c>
      <c r="BO104" s="16">
        <f t="shared" si="94"/>
        <v>4.3078678083795334E-2</v>
      </c>
      <c r="BP104" s="15"/>
      <c r="BQ104" s="38">
        <f t="shared" si="95"/>
        <v>1.0998668442077231</v>
      </c>
      <c r="BR104" s="38">
        <f t="shared" si="96"/>
        <v>0</v>
      </c>
      <c r="BS104" s="38">
        <f t="shared" si="97"/>
        <v>0.40584542958022757</v>
      </c>
      <c r="BT104" s="38">
        <f t="shared" si="98"/>
        <v>0</v>
      </c>
      <c r="BU104" s="38">
        <f t="shared" si="99"/>
        <v>7.2094641614474609E-3</v>
      </c>
      <c r="BV104" s="38">
        <f t="shared" si="100"/>
        <v>0</v>
      </c>
      <c r="BW104" s="38">
        <f t="shared" si="101"/>
        <v>0</v>
      </c>
      <c r="BX104" s="38">
        <f t="shared" si="102"/>
        <v>2.9243937232524962E-2</v>
      </c>
      <c r="BY104" s="38">
        <f t="shared" si="103"/>
        <v>0.34946757018393032</v>
      </c>
      <c r="BZ104" s="38">
        <f t="shared" si="104"/>
        <v>1.704883227176221E-2</v>
      </c>
      <c r="CA104" s="38">
        <f t="shared" si="105"/>
        <v>0</v>
      </c>
      <c r="CB104" s="38">
        <f t="shared" si="106"/>
        <v>0</v>
      </c>
      <c r="CC104" s="38">
        <f t="shared" si="107"/>
        <v>0</v>
      </c>
      <c r="CD104" s="38">
        <f t="shared" si="108"/>
        <v>1.9086820776376157</v>
      </c>
      <c r="CE104" s="38">
        <f t="shared" si="109"/>
        <v>3.0282134354076065</v>
      </c>
      <c r="CF104" s="38">
        <f t="shared" si="110"/>
        <v>2.6196086077302736</v>
      </c>
      <c r="CG104" s="38">
        <f t="shared" si="111"/>
        <v>7.9327339814382292</v>
      </c>
      <c r="CH104" s="15"/>
      <c r="CI104" s="16"/>
      <c r="CJ104" s="13"/>
      <c r="CK104" s="104"/>
      <c r="CL104" s="13"/>
      <c r="CM104" s="13"/>
      <c r="CN104" s="13"/>
      <c r="CO104" s="16"/>
      <c r="CP104" s="16"/>
      <c r="CQ104" s="16"/>
      <c r="CR104" s="16"/>
      <c r="CS104" s="16"/>
      <c r="CT104" s="16"/>
      <c r="CU104" s="16"/>
      <c r="CV104" s="16"/>
      <c r="CW104" s="16"/>
      <c r="CX104" s="16"/>
      <c r="CY104" s="104"/>
      <c r="CZ104" s="104"/>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3"/>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row>
    <row r="105" spans="1:167" x14ac:dyDescent="0.25">
      <c r="A105" s="35" t="s">
        <v>90</v>
      </c>
      <c r="B105" s="15">
        <v>344</v>
      </c>
      <c r="C105" s="102" t="s">
        <v>95</v>
      </c>
      <c r="D105" s="102" t="s">
        <v>105</v>
      </c>
      <c r="E105" s="15">
        <v>176</v>
      </c>
      <c r="F105" s="16">
        <v>66.349999999999994</v>
      </c>
      <c r="G105" s="16">
        <v>0</v>
      </c>
      <c r="H105" s="16">
        <v>20.55</v>
      </c>
      <c r="I105" s="16">
        <v>0</v>
      </c>
      <c r="J105" s="16">
        <v>0.56799999999999995</v>
      </c>
      <c r="K105" s="16">
        <v>0</v>
      </c>
      <c r="L105" s="16">
        <v>0</v>
      </c>
      <c r="M105" s="16">
        <v>1.55</v>
      </c>
      <c r="N105" s="16">
        <v>10.95</v>
      </c>
      <c r="O105" s="16">
        <v>0.88700000000000001</v>
      </c>
      <c r="P105" s="16">
        <v>0</v>
      </c>
      <c r="Q105" s="16"/>
      <c r="R105" s="16"/>
      <c r="S105" s="16">
        <f t="shared" si="57"/>
        <v>100.85499999999999</v>
      </c>
      <c r="T105" s="16"/>
      <c r="U105" s="15"/>
      <c r="V105" s="15"/>
      <c r="W105" s="15"/>
      <c r="X105" s="15" t="s">
        <v>252</v>
      </c>
      <c r="Y105" s="15" t="s">
        <v>260</v>
      </c>
      <c r="Z105" s="37">
        <v>8</v>
      </c>
      <c r="AA105" s="37">
        <v>5</v>
      </c>
      <c r="AB105" s="15"/>
      <c r="AC105" s="38">
        <f t="shared" si="58"/>
        <v>2.9109995811176668</v>
      </c>
      <c r="AD105" s="38">
        <f t="shared" si="59"/>
        <v>0</v>
      </c>
      <c r="AE105" s="38">
        <f t="shared" si="60"/>
        <v>1.0625347312729112</v>
      </c>
      <c r="AF105" s="38">
        <f t="shared" si="61"/>
        <v>0</v>
      </c>
      <c r="AG105" s="38">
        <f t="shared" si="62"/>
        <v>2.0837840188799948E-2</v>
      </c>
      <c r="AH105" s="38">
        <f t="shared" si="63"/>
        <v>0</v>
      </c>
      <c r="AI105" s="38">
        <f t="shared" si="64"/>
        <v>0</v>
      </c>
      <c r="AJ105" s="38">
        <f t="shared" si="65"/>
        <v>7.2854240145685312E-2</v>
      </c>
      <c r="AK105" s="38">
        <f t="shared" si="66"/>
        <v>0.9313730833401378</v>
      </c>
      <c r="AL105" s="38">
        <f t="shared" si="67"/>
        <v>4.9640237701489197E-2</v>
      </c>
      <c r="AM105" s="38">
        <f t="shared" si="68"/>
        <v>0</v>
      </c>
      <c r="AN105" s="38">
        <f t="shared" si="69"/>
        <v>0</v>
      </c>
      <c r="AO105" s="38">
        <f t="shared" si="70"/>
        <v>0</v>
      </c>
      <c r="AP105" s="38">
        <f t="shared" si="71"/>
        <v>5.0482397137666908</v>
      </c>
      <c r="AQ105" s="38">
        <f t="shared" si="72"/>
        <v>3.9735343123905782</v>
      </c>
      <c r="AR105" s="38">
        <f t="shared" si="73"/>
        <v>1.0538675611873125</v>
      </c>
      <c r="AS105" s="40"/>
      <c r="AT105" s="38">
        <f t="shared" si="74"/>
        <v>2.88318279853004</v>
      </c>
      <c r="AU105" s="38">
        <f t="shared" si="75"/>
        <v>0</v>
      </c>
      <c r="AV105" s="38">
        <f t="shared" si="76"/>
        <v>1.0523814156203295</v>
      </c>
      <c r="AW105" s="38">
        <f t="shared" si="77"/>
        <v>0</v>
      </c>
      <c r="AX105" s="38">
        <f t="shared" si="78"/>
        <v>0</v>
      </c>
      <c r="AY105" s="38">
        <f t="shared" si="79"/>
        <v>2.0638719009296029E-2</v>
      </c>
      <c r="AZ105" s="38">
        <f t="shared" si="80"/>
        <v>0</v>
      </c>
      <c r="BA105" s="38">
        <f t="shared" si="81"/>
        <v>0</v>
      </c>
      <c r="BB105" s="38">
        <f t="shared" si="82"/>
        <v>7.215806328194932E-2</v>
      </c>
      <c r="BC105" s="38">
        <f t="shared" si="83"/>
        <v>0.92247311553001099</v>
      </c>
      <c r="BD105" s="38">
        <f t="shared" si="84"/>
        <v>4.9165888028374412E-2</v>
      </c>
      <c r="BE105" s="38">
        <f t="shared" si="85"/>
        <v>0</v>
      </c>
      <c r="BF105" s="38">
        <f t="shared" si="86"/>
        <v>0</v>
      </c>
      <c r="BG105" s="38">
        <f t="shared" si="87"/>
        <v>0</v>
      </c>
      <c r="BH105" s="41">
        <f t="shared" si="88"/>
        <v>5</v>
      </c>
      <c r="BI105" s="42">
        <f t="shared" si="89"/>
        <v>7.9338733640656605</v>
      </c>
      <c r="BJ105" s="38">
        <f t="shared" si="90"/>
        <v>3.9355642141503697</v>
      </c>
      <c r="BK105" s="38">
        <f t="shared" si="91"/>
        <v>1.0437970668403347</v>
      </c>
      <c r="BL105" s="16"/>
      <c r="BM105" s="16">
        <f t="shared" si="92"/>
        <v>6.913035644023996E-2</v>
      </c>
      <c r="BN105" s="16">
        <f t="shared" si="93"/>
        <v>0.88376672519536559</v>
      </c>
      <c r="BO105" s="16">
        <f t="shared" si="94"/>
        <v>4.7102918364394203E-2</v>
      </c>
      <c r="BP105" s="15"/>
      <c r="BQ105" s="38">
        <f t="shared" si="95"/>
        <v>1.1043608521970705</v>
      </c>
      <c r="BR105" s="38">
        <f t="shared" si="96"/>
        <v>0</v>
      </c>
      <c r="BS105" s="38">
        <f t="shared" si="97"/>
        <v>0.4030992546096509</v>
      </c>
      <c r="BT105" s="38">
        <f t="shared" si="98"/>
        <v>0</v>
      </c>
      <c r="BU105" s="38">
        <f t="shared" si="99"/>
        <v>7.9053583855253993E-3</v>
      </c>
      <c r="BV105" s="38">
        <f t="shared" si="100"/>
        <v>0</v>
      </c>
      <c r="BW105" s="38">
        <f t="shared" si="101"/>
        <v>0</v>
      </c>
      <c r="BX105" s="38">
        <f t="shared" si="102"/>
        <v>2.7639087018544936E-2</v>
      </c>
      <c r="BY105" s="38">
        <f t="shared" si="103"/>
        <v>0.35333978702807356</v>
      </c>
      <c r="BZ105" s="38">
        <f t="shared" si="104"/>
        <v>1.8832271762208069E-2</v>
      </c>
      <c r="CA105" s="38">
        <f t="shared" si="105"/>
        <v>0</v>
      </c>
      <c r="CB105" s="38">
        <f t="shared" si="106"/>
        <v>0</v>
      </c>
      <c r="CC105" s="38">
        <f t="shared" si="107"/>
        <v>0</v>
      </c>
      <c r="CD105" s="38">
        <f t="shared" si="108"/>
        <v>1.9151766110010731</v>
      </c>
      <c r="CE105" s="38">
        <f t="shared" si="109"/>
        <v>3.0350010611078289</v>
      </c>
      <c r="CF105" s="38">
        <f t="shared" si="110"/>
        <v>2.6107252831301406</v>
      </c>
      <c r="CG105" s="38">
        <f t="shared" si="111"/>
        <v>7.923554004561014</v>
      </c>
      <c r="CH105" s="15"/>
      <c r="CI105" s="16"/>
      <c r="CJ105" s="13"/>
      <c r="CK105" s="104"/>
      <c r="CL105" s="13"/>
      <c r="CM105" s="13"/>
      <c r="CN105" s="13"/>
      <c r="CO105" s="16"/>
      <c r="CP105" s="16"/>
      <c r="CQ105" s="16"/>
      <c r="CR105" s="16"/>
      <c r="CS105" s="16"/>
      <c r="CT105" s="16"/>
      <c r="CU105" s="16"/>
      <c r="CV105" s="16"/>
      <c r="CW105" s="16"/>
      <c r="CX105" s="16"/>
      <c r="CY105" s="104"/>
      <c r="CZ105" s="104"/>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3"/>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row>
    <row r="106" spans="1:167" x14ac:dyDescent="0.25">
      <c r="A106" s="35" t="s">
        <v>90</v>
      </c>
      <c r="B106" s="15">
        <v>345</v>
      </c>
      <c r="C106" s="102" t="s">
        <v>95</v>
      </c>
      <c r="D106" s="102" t="s">
        <v>105</v>
      </c>
      <c r="E106" s="15">
        <v>177</v>
      </c>
      <c r="F106" s="16">
        <v>65.099999999999994</v>
      </c>
      <c r="G106" s="16">
        <v>0</v>
      </c>
      <c r="H106" s="16">
        <v>21.73</v>
      </c>
      <c r="I106" s="16">
        <v>0</v>
      </c>
      <c r="J106" s="16">
        <v>0.53600000000000003</v>
      </c>
      <c r="K106" s="16">
        <v>0</v>
      </c>
      <c r="L106" s="16">
        <v>0</v>
      </c>
      <c r="M106" s="16">
        <v>2.57</v>
      </c>
      <c r="N106" s="16">
        <v>10.4</v>
      </c>
      <c r="O106" s="16">
        <v>0.66600000000000004</v>
      </c>
      <c r="P106" s="16">
        <v>0</v>
      </c>
      <c r="Q106" s="16"/>
      <c r="R106" s="16"/>
      <c r="S106" s="16">
        <f t="shared" si="57"/>
        <v>101.002</v>
      </c>
      <c r="T106" s="16"/>
      <c r="U106" s="15"/>
      <c r="V106" s="15"/>
      <c r="W106" s="15"/>
      <c r="X106" s="15" t="s">
        <v>252</v>
      </c>
      <c r="Y106" s="15" t="s">
        <v>260</v>
      </c>
      <c r="Z106" s="37">
        <v>8</v>
      </c>
      <c r="AA106" s="37">
        <v>5</v>
      </c>
      <c r="AB106" s="15"/>
      <c r="AC106" s="38">
        <f t="shared" si="58"/>
        <v>2.8565048184611062</v>
      </c>
      <c r="AD106" s="38">
        <f t="shared" si="59"/>
        <v>0</v>
      </c>
      <c r="AE106" s="38">
        <f t="shared" si="60"/>
        <v>1.123682950961765</v>
      </c>
      <c r="AF106" s="38">
        <f t="shared" si="61"/>
        <v>0</v>
      </c>
      <c r="AG106" s="38">
        <f t="shared" si="62"/>
        <v>1.9666266209647981E-2</v>
      </c>
      <c r="AH106" s="38">
        <f t="shared" si="63"/>
        <v>0</v>
      </c>
      <c r="AI106" s="38">
        <f t="shared" si="64"/>
        <v>0</v>
      </c>
      <c r="AJ106" s="38">
        <f t="shared" si="65"/>
        <v>0.12081170535327472</v>
      </c>
      <c r="AK106" s="38">
        <f t="shared" si="66"/>
        <v>0.88469925075116651</v>
      </c>
      <c r="AL106" s="38">
        <f t="shared" si="67"/>
        <v>3.7276679393268376E-2</v>
      </c>
      <c r="AM106" s="38">
        <f t="shared" si="68"/>
        <v>0</v>
      </c>
      <c r="AN106" s="38">
        <f t="shared" si="69"/>
        <v>0</v>
      </c>
      <c r="AO106" s="38">
        <f t="shared" si="70"/>
        <v>0</v>
      </c>
      <c r="AP106" s="38">
        <f t="shared" si="71"/>
        <v>5.0426416711302293</v>
      </c>
      <c r="AQ106" s="38">
        <f t="shared" si="72"/>
        <v>3.9801877694228711</v>
      </c>
      <c r="AR106" s="38">
        <f t="shared" si="73"/>
        <v>1.0427876354977097</v>
      </c>
      <c r="AS106" s="40"/>
      <c r="AT106" s="38">
        <f t="shared" si="74"/>
        <v>2.8323495944744232</v>
      </c>
      <c r="AU106" s="38">
        <f t="shared" si="75"/>
        <v>0</v>
      </c>
      <c r="AV106" s="38">
        <f t="shared" si="76"/>
        <v>1.1141808443330348</v>
      </c>
      <c r="AW106" s="38">
        <f t="shared" si="77"/>
        <v>0</v>
      </c>
      <c r="AX106" s="38">
        <f t="shared" si="78"/>
        <v>0</v>
      </c>
      <c r="AY106" s="38">
        <f t="shared" si="79"/>
        <v>1.9499963999266377E-2</v>
      </c>
      <c r="AZ106" s="38">
        <f t="shared" si="80"/>
        <v>0</v>
      </c>
      <c r="BA106" s="38">
        <f t="shared" si="81"/>
        <v>0</v>
      </c>
      <c r="BB106" s="38">
        <f t="shared" si="82"/>
        <v>0.11979009538287962</v>
      </c>
      <c r="BC106" s="38">
        <f t="shared" si="83"/>
        <v>0.87721804209902843</v>
      </c>
      <c r="BD106" s="38">
        <f t="shared" si="84"/>
        <v>3.6961459711367307E-2</v>
      </c>
      <c r="BE106" s="38">
        <f t="shared" si="85"/>
        <v>0</v>
      </c>
      <c r="BF106" s="38">
        <f t="shared" si="86"/>
        <v>0</v>
      </c>
      <c r="BG106" s="38">
        <f t="shared" si="87"/>
        <v>0</v>
      </c>
      <c r="BH106" s="41">
        <f t="shared" si="88"/>
        <v>5</v>
      </c>
      <c r="BI106" s="42">
        <f t="shared" si="89"/>
        <v>7.9421002477353753</v>
      </c>
      <c r="BJ106" s="38">
        <f t="shared" si="90"/>
        <v>3.946530438807458</v>
      </c>
      <c r="BK106" s="38">
        <f t="shared" si="91"/>
        <v>1.0339695971932754</v>
      </c>
      <c r="BL106" s="16"/>
      <c r="BM106" s="16">
        <f t="shared" si="92"/>
        <v>0.11585456255972271</v>
      </c>
      <c r="BN106" s="16">
        <f t="shared" si="93"/>
        <v>0.84839829379920717</v>
      </c>
      <c r="BO106" s="16">
        <f t="shared" si="94"/>
        <v>3.5747143641070005E-2</v>
      </c>
      <c r="BP106" s="15"/>
      <c r="BQ106" s="38">
        <f t="shared" si="95"/>
        <v>1.083555259653795</v>
      </c>
      <c r="BR106" s="38">
        <f t="shared" si="96"/>
        <v>0</v>
      </c>
      <c r="BS106" s="38">
        <f t="shared" si="97"/>
        <v>0.42624558650451161</v>
      </c>
      <c r="BT106" s="38">
        <f t="shared" si="98"/>
        <v>0</v>
      </c>
      <c r="BU106" s="38">
        <f t="shared" si="99"/>
        <v>7.4599860821155193E-3</v>
      </c>
      <c r="BV106" s="38">
        <f t="shared" si="100"/>
        <v>0</v>
      </c>
      <c r="BW106" s="38">
        <f t="shared" si="101"/>
        <v>0</v>
      </c>
      <c r="BX106" s="38">
        <f t="shared" si="102"/>
        <v>4.5827389443651924E-2</v>
      </c>
      <c r="BY106" s="38">
        <f t="shared" si="103"/>
        <v>0.33559212649241693</v>
      </c>
      <c r="BZ106" s="38">
        <f t="shared" si="104"/>
        <v>1.4140127388535033E-2</v>
      </c>
      <c r="CA106" s="38">
        <f t="shared" si="105"/>
        <v>0</v>
      </c>
      <c r="CB106" s="38">
        <f t="shared" si="106"/>
        <v>0</v>
      </c>
      <c r="CC106" s="38">
        <f t="shared" si="107"/>
        <v>0</v>
      </c>
      <c r="CD106" s="38">
        <f t="shared" si="108"/>
        <v>1.912820475565026</v>
      </c>
      <c r="CE106" s="38">
        <f t="shared" si="109"/>
        <v>3.034632401530601</v>
      </c>
      <c r="CF106" s="38">
        <f t="shared" si="110"/>
        <v>2.6139410696777778</v>
      </c>
      <c r="CG106" s="38">
        <f t="shared" si="111"/>
        <v>7.9323502657357432</v>
      </c>
      <c r="CH106" s="15"/>
      <c r="CI106" s="16"/>
      <c r="CJ106" s="13"/>
      <c r="CK106" s="104"/>
      <c r="CL106" s="13"/>
      <c r="CM106" s="13"/>
      <c r="CN106" s="13"/>
      <c r="CO106" s="16"/>
      <c r="CP106" s="16"/>
      <c r="CQ106" s="16"/>
      <c r="CR106" s="16"/>
      <c r="CS106" s="16"/>
      <c r="CT106" s="16"/>
      <c r="CU106" s="16"/>
      <c r="CV106" s="16"/>
      <c r="CW106" s="16"/>
      <c r="CX106" s="16"/>
      <c r="CY106" s="104"/>
      <c r="CZ106" s="104"/>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3"/>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row>
    <row r="107" spans="1:167" x14ac:dyDescent="0.25">
      <c r="A107" s="35" t="s">
        <v>188</v>
      </c>
      <c r="B107" s="15">
        <v>462</v>
      </c>
      <c r="C107" s="102" t="s">
        <v>98</v>
      </c>
      <c r="D107" s="102" t="s">
        <v>106</v>
      </c>
      <c r="E107" s="15">
        <v>31</v>
      </c>
      <c r="F107" s="16">
        <v>66.02</v>
      </c>
      <c r="G107" s="16"/>
      <c r="H107" s="16">
        <v>18.36</v>
      </c>
      <c r="I107" s="16"/>
      <c r="J107" s="16">
        <v>0.27985242508773511</v>
      </c>
      <c r="K107" s="16"/>
      <c r="L107" s="16"/>
      <c r="M107" s="16">
        <v>0.44500000000000001</v>
      </c>
      <c r="N107" s="16">
        <v>4.75</v>
      </c>
      <c r="O107" s="16">
        <v>10.039999999999999</v>
      </c>
      <c r="P107" s="16"/>
      <c r="Q107" s="16"/>
      <c r="R107" s="16"/>
      <c r="S107" s="16">
        <f t="shared" si="57"/>
        <v>99.89485242508772</v>
      </c>
      <c r="T107" s="16"/>
      <c r="U107" s="15"/>
      <c r="V107" s="15"/>
      <c r="W107" s="15"/>
      <c r="X107" s="15" t="s">
        <v>187</v>
      </c>
      <c r="Y107" s="15"/>
      <c r="Z107" s="37">
        <v>8</v>
      </c>
      <c r="AA107" s="37">
        <v>5</v>
      </c>
      <c r="AB107" s="15"/>
      <c r="AC107" s="38">
        <f t="shared" si="58"/>
        <v>2.9972562441972461</v>
      </c>
      <c r="AD107" s="38">
        <f t="shared" si="59"/>
        <v>0</v>
      </c>
      <c r="AE107" s="38">
        <f t="shared" si="60"/>
        <v>0.98231578616795256</v>
      </c>
      <c r="AF107" s="38">
        <f t="shared" si="61"/>
        <v>0</v>
      </c>
      <c r="AG107" s="38">
        <f t="shared" si="62"/>
        <v>1.0623816967625889E-2</v>
      </c>
      <c r="AH107" s="38">
        <f t="shared" si="63"/>
        <v>0</v>
      </c>
      <c r="AI107" s="38">
        <f t="shared" si="64"/>
        <v>0</v>
      </c>
      <c r="AJ107" s="38">
        <f t="shared" si="65"/>
        <v>2.1643639102349104E-2</v>
      </c>
      <c r="AK107" s="38">
        <f t="shared" si="66"/>
        <v>0.41807125778767018</v>
      </c>
      <c r="AL107" s="38">
        <f t="shared" si="67"/>
        <v>0.58142149477953997</v>
      </c>
      <c r="AM107" s="38">
        <f t="shared" si="68"/>
        <v>0</v>
      </c>
      <c r="AN107" s="38">
        <f t="shared" si="69"/>
        <v>0</v>
      </c>
      <c r="AO107" s="38">
        <f t="shared" si="70"/>
        <v>0</v>
      </c>
      <c r="AP107" s="38">
        <f t="shared" si="71"/>
        <v>5.0113322390023827</v>
      </c>
      <c r="AQ107" s="38">
        <f t="shared" si="72"/>
        <v>3.9795720303651985</v>
      </c>
      <c r="AR107" s="38">
        <f t="shared" si="73"/>
        <v>1.0211363916695593</v>
      </c>
      <c r="AS107" s="40"/>
      <c r="AT107" s="38">
        <f t="shared" si="74"/>
        <v>2.9904784808220142</v>
      </c>
      <c r="AU107" s="38">
        <f t="shared" si="75"/>
        <v>0</v>
      </c>
      <c r="AV107" s="38">
        <f t="shared" si="76"/>
        <v>0.98009445325012445</v>
      </c>
      <c r="AW107" s="38">
        <f t="shared" si="77"/>
        <v>0</v>
      </c>
      <c r="AX107" s="38">
        <f t="shared" si="78"/>
        <v>0</v>
      </c>
      <c r="AY107" s="38">
        <f t="shared" si="79"/>
        <v>1.0599793089891797E-2</v>
      </c>
      <c r="AZ107" s="38">
        <f t="shared" si="80"/>
        <v>0</v>
      </c>
      <c r="BA107" s="38">
        <f t="shared" si="81"/>
        <v>0</v>
      </c>
      <c r="BB107" s="38">
        <f t="shared" si="82"/>
        <v>2.1594695851434659E-2</v>
      </c>
      <c r="BC107" s="38">
        <f t="shared" si="83"/>
        <v>0.41712586379115879</v>
      </c>
      <c r="BD107" s="38">
        <f t="shared" si="84"/>
        <v>0.58010671319537654</v>
      </c>
      <c r="BE107" s="38">
        <f t="shared" si="85"/>
        <v>0</v>
      </c>
      <c r="BF107" s="38">
        <f t="shared" si="86"/>
        <v>0</v>
      </c>
      <c r="BG107" s="38">
        <f t="shared" si="87"/>
        <v>0</v>
      </c>
      <c r="BH107" s="41">
        <f t="shared" si="88"/>
        <v>5.0000000000000009</v>
      </c>
      <c r="BI107" s="42">
        <f t="shared" si="89"/>
        <v>7.9872093154987551</v>
      </c>
      <c r="BJ107" s="38">
        <f t="shared" si="90"/>
        <v>3.9705729340721385</v>
      </c>
      <c r="BK107" s="38">
        <f t="shared" si="91"/>
        <v>1.0188272728379699</v>
      </c>
      <c r="BL107" s="16"/>
      <c r="BM107" s="16">
        <f t="shared" si="92"/>
        <v>2.1195639758721876E-2</v>
      </c>
      <c r="BN107" s="16">
        <f t="shared" si="93"/>
        <v>0.4094176460640318</v>
      </c>
      <c r="BO107" s="16">
        <f t="shared" si="94"/>
        <v>0.56938671417724629</v>
      </c>
      <c r="BP107" s="15"/>
      <c r="BQ107" s="38">
        <f t="shared" si="95"/>
        <v>1.0988681757656458</v>
      </c>
      <c r="BR107" s="38">
        <f t="shared" si="96"/>
        <v>0</v>
      </c>
      <c r="BS107" s="38">
        <f t="shared" si="97"/>
        <v>0.36014123185562968</v>
      </c>
      <c r="BT107" s="38">
        <f t="shared" si="98"/>
        <v>0</v>
      </c>
      <c r="BU107" s="38">
        <f t="shared" si="99"/>
        <v>3.8949537242551862E-3</v>
      </c>
      <c r="BV107" s="38">
        <f t="shared" si="100"/>
        <v>0</v>
      </c>
      <c r="BW107" s="38">
        <f t="shared" si="101"/>
        <v>0</v>
      </c>
      <c r="BX107" s="38">
        <f t="shared" si="102"/>
        <v>7.9350927246790298E-3</v>
      </c>
      <c r="BY107" s="38">
        <f t="shared" si="103"/>
        <v>0.15327525008067119</v>
      </c>
      <c r="BZ107" s="38">
        <f t="shared" si="104"/>
        <v>0.21316348195329085</v>
      </c>
      <c r="CA107" s="38">
        <f t="shared" si="105"/>
        <v>0</v>
      </c>
      <c r="CB107" s="38">
        <f t="shared" si="106"/>
        <v>0</v>
      </c>
      <c r="CC107" s="38">
        <f t="shared" si="107"/>
        <v>0</v>
      </c>
      <c r="CD107" s="38">
        <f t="shared" si="108"/>
        <v>1.8372781861041716</v>
      </c>
      <c r="CE107" s="38">
        <f t="shared" si="109"/>
        <v>2.9329976117806509</v>
      </c>
      <c r="CF107" s="38">
        <f t="shared" si="110"/>
        <v>2.7214169513448443</v>
      </c>
      <c r="CG107" s="38">
        <f t="shared" si="111"/>
        <v>7.9819094189538085</v>
      </c>
      <c r="CH107" s="15"/>
      <c r="CI107" s="16"/>
      <c r="CJ107" s="13"/>
      <c r="CK107" s="104"/>
      <c r="CL107" s="13"/>
      <c r="CM107" s="13"/>
      <c r="CN107" s="13"/>
      <c r="CO107" s="16"/>
      <c r="CP107" s="16"/>
      <c r="CQ107" s="16"/>
      <c r="CR107" s="16"/>
      <c r="CS107" s="16"/>
      <c r="CT107" s="16"/>
      <c r="CU107" s="16"/>
      <c r="CV107" s="16"/>
      <c r="CW107" s="16"/>
      <c r="CX107" s="16"/>
      <c r="CY107" s="104"/>
      <c r="CZ107" s="104"/>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3"/>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row>
    <row r="108" spans="1:167" x14ac:dyDescent="0.25">
      <c r="A108" s="35" t="s">
        <v>188</v>
      </c>
      <c r="B108" s="15">
        <v>463</v>
      </c>
      <c r="C108" s="102" t="s">
        <v>98</v>
      </c>
      <c r="D108" s="102" t="s">
        <v>106</v>
      </c>
      <c r="E108" s="15">
        <v>32</v>
      </c>
      <c r="F108" s="16">
        <v>56.6</v>
      </c>
      <c r="G108" s="16"/>
      <c r="H108" s="16">
        <v>25.91</v>
      </c>
      <c r="I108" s="16"/>
      <c r="J108" s="16">
        <v>0.57500224961756508</v>
      </c>
      <c r="K108" s="16"/>
      <c r="L108" s="16"/>
      <c r="M108" s="16">
        <v>9.17</v>
      </c>
      <c r="N108" s="16">
        <v>6.4</v>
      </c>
      <c r="O108" s="16">
        <v>0.41</v>
      </c>
      <c r="P108" s="16"/>
      <c r="Q108" s="16"/>
      <c r="R108" s="16"/>
      <c r="S108" s="16">
        <f t="shared" si="57"/>
        <v>99.065002249617578</v>
      </c>
      <c r="T108" s="16"/>
      <c r="U108" s="15"/>
      <c r="V108" s="15"/>
      <c r="W108" s="15"/>
      <c r="X108" s="15" t="s">
        <v>187</v>
      </c>
      <c r="Y108" s="15"/>
      <c r="Z108" s="37">
        <v>8</v>
      </c>
      <c r="AA108" s="37">
        <v>5</v>
      </c>
      <c r="AB108" s="15"/>
      <c r="AC108" s="38">
        <f t="shared" si="58"/>
        <v>2.5760551704414243</v>
      </c>
      <c r="AD108" s="38">
        <f t="shared" si="59"/>
        <v>0</v>
      </c>
      <c r="AE108" s="38">
        <f t="shared" si="60"/>
        <v>1.3897485659607141</v>
      </c>
      <c r="AF108" s="38">
        <f t="shared" si="61"/>
        <v>0</v>
      </c>
      <c r="AG108" s="38">
        <f t="shared" si="62"/>
        <v>2.188322995493118E-2</v>
      </c>
      <c r="AH108" s="38">
        <f t="shared" si="63"/>
        <v>0</v>
      </c>
      <c r="AI108" s="38">
        <f t="shared" si="64"/>
        <v>0</v>
      </c>
      <c r="AJ108" s="38">
        <f t="shared" si="65"/>
        <v>0.44712606071648886</v>
      </c>
      <c r="AK108" s="38">
        <f t="shared" si="66"/>
        <v>0.56471204417746346</v>
      </c>
      <c r="AL108" s="38">
        <f t="shared" si="67"/>
        <v>2.3802994831855204E-2</v>
      </c>
      <c r="AM108" s="38">
        <f t="shared" si="68"/>
        <v>0</v>
      </c>
      <c r="AN108" s="38">
        <f t="shared" si="69"/>
        <v>0</v>
      </c>
      <c r="AO108" s="38">
        <f t="shared" si="70"/>
        <v>0</v>
      </c>
      <c r="AP108" s="38">
        <f t="shared" si="71"/>
        <v>5.0233280660828772</v>
      </c>
      <c r="AQ108" s="38">
        <f t="shared" si="72"/>
        <v>3.9658037364021386</v>
      </c>
      <c r="AR108" s="38">
        <f t="shared" si="73"/>
        <v>1.0356410997258074</v>
      </c>
      <c r="AS108" s="40"/>
      <c r="AT108" s="38">
        <f t="shared" si="74"/>
        <v>2.5640921084119008</v>
      </c>
      <c r="AU108" s="38">
        <f t="shared" si="75"/>
        <v>0</v>
      </c>
      <c r="AV108" s="38">
        <f t="shared" si="76"/>
        <v>1.3832946481678041</v>
      </c>
      <c r="AW108" s="38">
        <f t="shared" si="77"/>
        <v>0</v>
      </c>
      <c r="AX108" s="38">
        <f t="shared" si="78"/>
        <v>0</v>
      </c>
      <c r="AY108" s="38">
        <f t="shared" si="79"/>
        <v>2.1781605408857381E-2</v>
      </c>
      <c r="AZ108" s="38">
        <f t="shared" si="80"/>
        <v>0</v>
      </c>
      <c r="BA108" s="38">
        <f t="shared" si="81"/>
        <v>0</v>
      </c>
      <c r="BB108" s="38">
        <f t="shared" si="82"/>
        <v>0.4450496312747812</v>
      </c>
      <c r="BC108" s="38">
        <f t="shared" si="83"/>
        <v>0.56208955173598507</v>
      </c>
      <c r="BD108" s="38">
        <f t="shared" si="84"/>
        <v>2.3692455000670954E-2</v>
      </c>
      <c r="BE108" s="38">
        <f t="shared" si="85"/>
        <v>0</v>
      </c>
      <c r="BF108" s="38">
        <f t="shared" si="86"/>
        <v>0</v>
      </c>
      <c r="BG108" s="38">
        <f t="shared" si="87"/>
        <v>0</v>
      </c>
      <c r="BH108" s="41">
        <f t="shared" si="88"/>
        <v>4.9999999999999991</v>
      </c>
      <c r="BI108" s="42">
        <f t="shared" si="89"/>
        <v>7.9737392318319023</v>
      </c>
      <c r="BJ108" s="38">
        <f t="shared" si="90"/>
        <v>3.9473867565797049</v>
      </c>
      <c r="BK108" s="38">
        <f t="shared" si="91"/>
        <v>1.0308316380114373</v>
      </c>
      <c r="BL108" s="16"/>
      <c r="BM108" s="16">
        <f t="shared" si="92"/>
        <v>0.43173842833667797</v>
      </c>
      <c r="BN108" s="16">
        <f t="shared" si="93"/>
        <v>0.54527774566592091</v>
      </c>
      <c r="BO108" s="16">
        <f t="shared" si="94"/>
        <v>2.298382599740122E-2</v>
      </c>
      <c r="BP108" s="15"/>
      <c r="BQ108" s="38">
        <f t="shared" si="95"/>
        <v>0.94207723035952073</v>
      </c>
      <c r="BR108" s="38">
        <f t="shared" si="96"/>
        <v>0</v>
      </c>
      <c r="BS108" s="38">
        <f t="shared" si="97"/>
        <v>0.50823852491173016</v>
      </c>
      <c r="BT108" s="38">
        <f t="shared" si="98"/>
        <v>0</v>
      </c>
      <c r="BU108" s="38">
        <f t="shared" si="99"/>
        <v>8.0028148868137115E-3</v>
      </c>
      <c r="BV108" s="38">
        <f t="shared" si="100"/>
        <v>0</v>
      </c>
      <c r="BW108" s="38">
        <f t="shared" si="101"/>
        <v>0</v>
      </c>
      <c r="BX108" s="38">
        <f t="shared" si="102"/>
        <v>0.16351640513552068</v>
      </c>
      <c r="BY108" s="38">
        <f t="shared" si="103"/>
        <v>0.20651823168764119</v>
      </c>
      <c r="BZ108" s="38">
        <f t="shared" si="104"/>
        <v>8.7048832271762206E-3</v>
      </c>
      <c r="CA108" s="38">
        <f t="shared" si="105"/>
        <v>0</v>
      </c>
      <c r="CB108" s="38">
        <f t="shared" si="106"/>
        <v>0</v>
      </c>
      <c r="CC108" s="38">
        <f t="shared" si="107"/>
        <v>0</v>
      </c>
      <c r="CD108" s="38">
        <f t="shared" si="108"/>
        <v>1.8370580902084028</v>
      </c>
      <c r="CE108" s="38">
        <f t="shared" si="109"/>
        <v>2.9256430255663801</v>
      </c>
      <c r="CF108" s="38">
        <f t="shared" si="110"/>
        <v>2.72174300129659</v>
      </c>
      <c r="CG108" s="38">
        <f t="shared" si="111"/>
        <v>7.9628484291274759</v>
      </c>
      <c r="CH108" s="15"/>
      <c r="CI108" s="16"/>
      <c r="CJ108" s="13"/>
      <c r="CK108" s="104"/>
      <c r="CL108" s="13"/>
      <c r="CM108" s="13"/>
      <c r="CN108" s="13"/>
      <c r="CO108" s="16"/>
      <c r="CP108" s="16"/>
      <c r="CQ108" s="16"/>
      <c r="CR108" s="16"/>
      <c r="CS108" s="16"/>
      <c r="CT108" s="16"/>
      <c r="CU108" s="16"/>
      <c r="CV108" s="16"/>
      <c r="CW108" s="16"/>
      <c r="CX108" s="16"/>
      <c r="CY108" s="104"/>
      <c r="CZ108" s="104"/>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3"/>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row>
    <row r="109" spans="1:167" x14ac:dyDescent="0.25">
      <c r="A109" s="35" t="s">
        <v>188</v>
      </c>
      <c r="B109" s="15">
        <v>464</v>
      </c>
      <c r="C109" s="102" t="s">
        <v>98</v>
      </c>
      <c r="D109" s="102" t="s">
        <v>106</v>
      </c>
      <c r="E109" s="15">
        <v>33</v>
      </c>
      <c r="F109" s="16">
        <v>55.27</v>
      </c>
      <c r="G109" s="16"/>
      <c r="H109" s="16">
        <v>27.13</v>
      </c>
      <c r="I109" s="16"/>
      <c r="J109" s="16">
        <v>0.68838297489426803</v>
      </c>
      <c r="K109" s="16"/>
      <c r="L109" s="16"/>
      <c r="M109" s="16">
        <v>10.42</v>
      </c>
      <c r="N109" s="16">
        <v>5.76</v>
      </c>
      <c r="O109" s="16">
        <v>0.35899999999999999</v>
      </c>
      <c r="P109" s="16"/>
      <c r="Q109" s="16"/>
      <c r="R109" s="16"/>
      <c r="S109" s="16">
        <f t="shared" si="57"/>
        <v>99.627382974894275</v>
      </c>
      <c r="T109" s="16"/>
      <c r="U109" s="15"/>
      <c r="V109" s="15"/>
      <c r="W109" s="15"/>
      <c r="X109" s="15" t="s">
        <v>187</v>
      </c>
      <c r="Y109" s="15"/>
      <c r="Z109" s="37">
        <v>8</v>
      </c>
      <c r="AA109" s="37">
        <v>5</v>
      </c>
      <c r="AB109" s="15"/>
      <c r="AC109" s="38">
        <f t="shared" si="58"/>
        <v>2.5115542499555761</v>
      </c>
      <c r="AD109" s="38">
        <f t="shared" si="59"/>
        <v>0</v>
      </c>
      <c r="AE109" s="38">
        <f t="shared" si="60"/>
        <v>1.4528908392509847</v>
      </c>
      <c r="AF109" s="38">
        <f t="shared" si="61"/>
        <v>0</v>
      </c>
      <c r="AG109" s="38">
        <f t="shared" si="62"/>
        <v>2.6156905970541051E-2</v>
      </c>
      <c r="AH109" s="38">
        <f t="shared" si="63"/>
        <v>0</v>
      </c>
      <c r="AI109" s="38">
        <f t="shared" si="64"/>
        <v>0</v>
      </c>
      <c r="AJ109" s="38">
        <f t="shared" si="65"/>
        <v>0.50727415586065661</v>
      </c>
      <c r="AK109" s="38">
        <f t="shared" si="66"/>
        <v>0.50743910222241828</v>
      </c>
      <c r="AL109" s="38">
        <f t="shared" si="67"/>
        <v>2.0809256539928028E-2</v>
      </c>
      <c r="AM109" s="38">
        <f t="shared" si="68"/>
        <v>0</v>
      </c>
      <c r="AN109" s="38">
        <f t="shared" si="69"/>
        <v>0</v>
      </c>
      <c r="AO109" s="38">
        <f t="shared" si="70"/>
        <v>0</v>
      </c>
      <c r="AP109" s="38">
        <f t="shared" si="71"/>
        <v>5.0261245098001046</v>
      </c>
      <c r="AQ109" s="38">
        <f t="shared" si="72"/>
        <v>3.9644450892065608</v>
      </c>
      <c r="AR109" s="38">
        <f t="shared" si="73"/>
        <v>1.0355225146230029</v>
      </c>
      <c r="AS109" s="40"/>
      <c r="AT109" s="38">
        <f t="shared" si="74"/>
        <v>2.498499833279562</v>
      </c>
      <c r="AU109" s="38">
        <f t="shared" si="75"/>
        <v>0</v>
      </c>
      <c r="AV109" s="38">
        <f t="shared" si="76"/>
        <v>1.4453390842368607</v>
      </c>
      <c r="AW109" s="38">
        <f t="shared" si="77"/>
        <v>0</v>
      </c>
      <c r="AX109" s="38">
        <f t="shared" si="78"/>
        <v>0</v>
      </c>
      <c r="AY109" s="38">
        <f t="shared" si="79"/>
        <v>2.6020949062781323E-2</v>
      </c>
      <c r="AZ109" s="38">
        <f t="shared" si="80"/>
        <v>0</v>
      </c>
      <c r="BA109" s="38">
        <f t="shared" si="81"/>
        <v>0</v>
      </c>
      <c r="BB109" s="38">
        <f t="shared" si="82"/>
        <v>0.50463747453088026</v>
      </c>
      <c r="BC109" s="38">
        <f t="shared" si="83"/>
        <v>0.50480156354363759</v>
      </c>
      <c r="BD109" s="38">
        <f t="shared" si="84"/>
        <v>2.0701095346278679E-2</v>
      </c>
      <c r="BE109" s="38">
        <f t="shared" si="85"/>
        <v>0</v>
      </c>
      <c r="BF109" s="38">
        <f t="shared" si="86"/>
        <v>0</v>
      </c>
      <c r="BG109" s="38">
        <f t="shared" si="87"/>
        <v>0</v>
      </c>
      <c r="BH109" s="41">
        <f t="shared" si="88"/>
        <v>5.0000000000000009</v>
      </c>
      <c r="BI109" s="42">
        <f t="shared" si="89"/>
        <v>7.9714285204844257</v>
      </c>
      <c r="BJ109" s="38">
        <f t="shared" si="90"/>
        <v>3.9438389175164228</v>
      </c>
      <c r="BK109" s="38">
        <f t="shared" si="91"/>
        <v>1.0301401334207965</v>
      </c>
      <c r="BL109" s="16"/>
      <c r="BM109" s="16">
        <f t="shared" si="92"/>
        <v>0.48987264757380689</v>
      </c>
      <c r="BN109" s="16">
        <f t="shared" si="93"/>
        <v>0.49003193562349429</v>
      </c>
      <c r="BO109" s="16">
        <f t="shared" si="94"/>
        <v>2.0095416802698818E-2</v>
      </c>
      <c r="BP109" s="15"/>
      <c r="BQ109" s="38">
        <f t="shared" si="95"/>
        <v>0.91994007989347548</v>
      </c>
      <c r="BR109" s="38">
        <f t="shared" si="96"/>
        <v>0</v>
      </c>
      <c r="BS109" s="38">
        <f t="shared" si="97"/>
        <v>0.53216947822675564</v>
      </c>
      <c r="BT109" s="38">
        <f t="shared" si="98"/>
        <v>0</v>
      </c>
      <c r="BU109" s="38">
        <f t="shared" si="99"/>
        <v>9.5808347236502178E-3</v>
      </c>
      <c r="BV109" s="38">
        <f t="shared" si="100"/>
        <v>0</v>
      </c>
      <c r="BW109" s="38">
        <f t="shared" si="101"/>
        <v>0</v>
      </c>
      <c r="BX109" s="38">
        <f t="shared" si="102"/>
        <v>0.18580599144079887</v>
      </c>
      <c r="BY109" s="38">
        <f t="shared" si="103"/>
        <v>0.18586640851887706</v>
      </c>
      <c r="BZ109" s="38">
        <f t="shared" si="104"/>
        <v>7.6220806794055195E-3</v>
      </c>
      <c r="CA109" s="38">
        <f t="shared" si="105"/>
        <v>0</v>
      </c>
      <c r="CB109" s="38">
        <f t="shared" si="106"/>
        <v>0</v>
      </c>
      <c r="CC109" s="38">
        <f t="shared" si="107"/>
        <v>0</v>
      </c>
      <c r="CD109" s="38">
        <f t="shared" si="108"/>
        <v>1.8409848734829626</v>
      </c>
      <c r="CE109" s="38">
        <f t="shared" si="109"/>
        <v>2.9302654478906747</v>
      </c>
      <c r="CF109" s="38">
        <f t="shared" si="110"/>
        <v>2.7159375788571749</v>
      </c>
      <c r="CG109" s="38">
        <f t="shared" si="111"/>
        <v>7.9584180459530343</v>
      </c>
      <c r="CH109" s="15"/>
      <c r="CI109" s="16"/>
      <c r="CJ109" s="13"/>
      <c r="CK109" s="104"/>
      <c r="CL109" s="13"/>
      <c r="CM109" s="13"/>
      <c r="CN109" s="13"/>
      <c r="CO109" s="16"/>
      <c r="CP109" s="16"/>
      <c r="CQ109" s="16"/>
      <c r="CR109" s="16"/>
      <c r="CS109" s="16"/>
      <c r="CT109" s="16"/>
      <c r="CU109" s="16"/>
      <c r="CV109" s="16"/>
      <c r="CW109" s="16"/>
      <c r="CX109" s="16"/>
      <c r="CY109" s="104"/>
      <c r="CZ109" s="104"/>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3"/>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row>
    <row r="110" spans="1:167" x14ac:dyDescent="0.25">
      <c r="A110" s="35" t="s">
        <v>188</v>
      </c>
      <c r="B110" s="15">
        <v>465</v>
      </c>
      <c r="C110" s="102" t="s">
        <v>98</v>
      </c>
      <c r="D110" s="102" t="s">
        <v>106</v>
      </c>
      <c r="E110" s="15">
        <v>34</v>
      </c>
      <c r="F110" s="16">
        <v>54.01</v>
      </c>
      <c r="G110" s="16"/>
      <c r="H110" s="16">
        <v>27.27</v>
      </c>
      <c r="I110" s="16"/>
      <c r="J110" s="16">
        <v>0.59119949608566547</v>
      </c>
      <c r="K110" s="16"/>
      <c r="L110" s="16"/>
      <c r="M110" s="16">
        <v>11.22</v>
      </c>
      <c r="N110" s="16">
        <v>5.35</v>
      </c>
      <c r="O110" s="16">
        <v>0.309</v>
      </c>
      <c r="P110" s="16"/>
      <c r="Q110" s="16"/>
      <c r="R110" s="16"/>
      <c r="S110" s="16">
        <f t="shared" si="57"/>
        <v>98.750199496085656</v>
      </c>
      <c r="T110" s="16"/>
      <c r="U110" s="15"/>
      <c r="V110" s="15"/>
      <c r="W110" s="15"/>
      <c r="X110" s="15" t="s">
        <v>187</v>
      </c>
      <c r="Y110" s="15"/>
      <c r="Z110" s="37">
        <v>8</v>
      </c>
      <c r="AA110" s="37">
        <v>5</v>
      </c>
      <c r="AB110" s="15"/>
      <c r="AC110" s="38">
        <f t="shared" si="58"/>
        <v>2.4814455804876459</v>
      </c>
      <c r="AD110" s="38">
        <f t="shared" si="59"/>
        <v>0</v>
      </c>
      <c r="AE110" s="38">
        <f t="shared" si="60"/>
        <v>1.4765420133363409</v>
      </c>
      <c r="AF110" s="38">
        <f t="shared" si="61"/>
        <v>0</v>
      </c>
      <c r="AG110" s="38">
        <f t="shared" si="62"/>
        <v>2.2712648758190925E-2</v>
      </c>
      <c r="AH110" s="38">
        <f t="shared" si="63"/>
        <v>0</v>
      </c>
      <c r="AI110" s="38">
        <f t="shared" si="64"/>
        <v>0</v>
      </c>
      <c r="AJ110" s="38">
        <f t="shared" si="65"/>
        <v>0.55226224496432119</v>
      </c>
      <c r="AK110" s="38">
        <f t="shared" si="66"/>
        <v>0.47653270025048422</v>
      </c>
      <c r="AL110" s="38">
        <f t="shared" si="67"/>
        <v>1.8109150344884077E-2</v>
      </c>
      <c r="AM110" s="38">
        <f t="shared" si="68"/>
        <v>0</v>
      </c>
      <c r="AN110" s="38">
        <f t="shared" si="69"/>
        <v>0</v>
      </c>
      <c r="AO110" s="38">
        <f t="shared" si="70"/>
        <v>0</v>
      </c>
      <c r="AP110" s="38">
        <f t="shared" si="71"/>
        <v>5.0276043381418667</v>
      </c>
      <c r="AQ110" s="38">
        <f t="shared" si="72"/>
        <v>3.9579875938239866</v>
      </c>
      <c r="AR110" s="38">
        <f t="shared" si="73"/>
        <v>1.0469040955596896</v>
      </c>
      <c r="AS110" s="40"/>
      <c r="AT110" s="38">
        <f t="shared" si="74"/>
        <v>2.4678210670459739</v>
      </c>
      <c r="AU110" s="38">
        <f t="shared" si="75"/>
        <v>0</v>
      </c>
      <c r="AV110" s="38">
        <f t="shared" si="76"/>
        <v>1.468434978200821</v>
      </c>
      <c r="AW110" s="38">
        <f t="shared" si="77"/>
        <v>0</v>
      </c>
      <c r="AX110" s="38">
        <f t="shared" si="78"/>
        <v>0</v>
      </c>
      <c r="AY110" s="38">
        <f t="shared" si="79"/>
        <v>2.2587943710965539E-2</v>
      </c>
      <c r="AZ110" s="38">
        <f t="shared" si="80"/>
        <v>0</v>
      </c>
      <c r="BA110" s="38">
        <f t="shared" si="81"/>
        <v>0</v>
      </c>
      <c r="BB110" s="38">
        <f t="shared" si="82"/>
        <v>0.5492300187333653</v>
      </c>
      <c r="BC110" s="38">
        <f t="shared" si="83"/>
        <v>0.47391627124998081</v>
      </c>
      <c r="BD110" s="38">
        <f t="shared" si="84"/>
        <v>1.8009721058893997E-2</v>
      </c>
      <c r="BE110" s="38">
        <f t="shared" si="85"/>
        <v>0</v>
      </c>
      <c r="BF110" s="38">
        <f t="shared" si="86"/>
        <v>0</v>
      </c>
      <c r="BG110" s="38">
        <f t="shared" si="87"/>
        <v>0</v>
      </c>
      <c r="BH110" s="41">
        <f t="shared" si="88"/>
        <v>5</v>
      </c>
      <c r="BI110" s="42">
        <f t="shared" si="89"/>
        <v>7.9673695318474307</v>
      </c>
      <c r="BJ110" s="38">
        <f t="shared" si="90"/>
        <v>3.936256045246795</v>
      </c>
      <c r="BK110" s="38">
        <f t="shared" si="91"/>
        <v>1.0411560110422402</v>
      </c>
      <c r="BL110" s="16"/>
      <c r="BM110" s="16">
        <f t="shared" si="92"/>
        <v>0.52751942351421799</v>
      </c>
      <c r="BN110" s="16">
        <f t="shared" si="93"/>
        <v>0.45518276437319999</v>
      </c>
      <c r="BO110" s="16">
        <f t="shared" si="94"/>
        <v>1.7297812112581978E-2</v>
      </c>
      <c r="BP110" s="15"/>
      <c r="BQ110" s="38">
        <f t="shared" si="95"/>
        <v>0.89896804260985352</v>
      </c>
      <c r="BR110" s="38">
        <f t="shared" si="96"/>
        <v>0</v>
      </c>
      <c r="BS110" s="38">
        <f t="shared" si="97"/>
        <v>0.53491565319733236</v>
      </c>
      <c r="BT110" s="38">
        <f t="shared" si="98"/>
        <v>0</v>
      </c>
      <c r="BU110" s="38">
        <f t="shared" si="99"/>
        <v>8.228246292076068E-3</v>
      </c>
      <c r="BV110" s="38">
        <f t="shared" si="100"/>
        <v>0</v>
      </c>
      <c r="BW110" s="38">
        <f t="shared" si="101"/>
        <v>0</v>
      </c>
      <c r="BX110" s="38">
        <f t="shared" si="102"/>
        <v>0.20007132667617691</v>
      </c>
      <c r="BY110" s="38">
        <f t="shared" si="103"/>
        <v>0.17263633430138753</v>
      </c>
      <c r="BZ110" s="38">
        <f t="shared" si="104"/>
        <v>6.560509554140127E-3</v>
      </c>
      <c r="CA110" s="38">
        <f t="shared" si="105"/>
        <v>0</v>
      </c>
      <c r="CB110" s="38">
        <f t="shared" si="106"/>
        <v>0</v>
      </c>
      <c r="CC110" s="38">
        <f t="shared" si="107"/>
        <v>0</v>
      </c>
      <c r="CD110" s="38">
        <f t="shared" si="108"/>
        <v>1.8213801126309663</v>
      </c>
      <c r="CE110" s="38">
        <f t="shared" si="109"/>
        <v>2.8982075599117225</v>
      </c>
      <c r="CF110" s="38">
        <f t="shared" si="110"/>
        <v>2.7451710740255901</v>
      </c>
      <c r="CG110" s="38">
        <f t="shared" si="111"/>
        <v>7.9560755599919482</v>
      </c>
      <c r="CH110" s="15"/>
      <c r="CI110" s="16"/>
      <c r="CJ110" s="13"/>
      <c r="CK110" s="104"/>
      <c r="CL110" s="13"/>
      <c r="CM110" s="13"/>
      <c r="CN110" s="13"/>
      <c r="CO110" s="16"/>
      <c r="CP110" s="16"/>
      <c r="CQ110" s="16"/>
      <c r="CR110" s="16"/>
      <c r="CS110" s="16"/>
      <c r="CT110" s="16"/>
      <c r="CU110" s="16"/>
      <c r="CV110" s="16"/>
      <c r="CW110" s="16"/>
      <c r="CX110" s="16"/>
      <c r="CY110" s="104"/>
      <c r="CZ110" s="104"/>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3"/>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row>
    <row r="111" spans="1:167" x14ac:dyDescent="0.25">
      <c r="A111" s="35" t="s">
        <v>188</v>
      </c>
      <c r="B111" s="15">
        <v>466</v>
      </c>
      <c r="C111" s="102" t="s">
        <v>98</v>
      </c>
      <c r="D111" s="102" t="s">
        <v>106</v>
      </c>
      <c r="E111" s="15">
        <v>35</v>
      </c>
      <c r="F111" s="16">
        <v>66.23</v>
      </c>
      <c r="G111" s="16"/>
      <c r="H111" s="16">
        <v>18.18</v>
      </c>
      <c r="I111" s="16"/>
      <c r="J111" s="16">
        <v>0.19706649869522183</v>
      </c>
      <c r="K111" s="16"/>
      <c r="L111" s="16"/>
      <c r="M111" s="16">
        <v>0.45</v>
      </c>
      <c r="N111" s="16">
        <v>4.6900000000000004</v>
      </c>
      <c r="O111" s="16">
        <v>10.14</v>
      </c>
      <c r="P111" s="16"/>
      <c r="Q111" s="16"/>
      <c r="R111" s="16"/>
      <c r="S111" s="16">
        <f t="shared" si="57"/>
        <v>99.887066498695219</v>
      </c>
      <c r="T111" s="16"/>
      <c r="U111" s="15"/>
      <c r="V111" s="15"/>
      <c r="W111" s="15"/>
      <c r="X111" s="15" t="s">
        <v>187</v>
      </c>
      <c r="Y111" s="15"/>
      <c r="Z111" s="37">
        <v>8</v>
      </c>
      <c r="AA111" s="37">
        <v>5</v>
      </c>
      <c r="AB111" s="15"/>
      <c r="AC111" s="38">
        <f t="shared" si="58"/>
        <v>3.0060470689834373</v>
      </c>
      <c r="AD111" s="38">
        <f t="shared" si="59"/>
        <v>0</v>
      </c>
      <c r="AE111" s="38">
        <f t="shared" si="60"/>
        <v>0.97244487812519853</v>
      </c>
      <c r="AF111" s="38">
        <f t="shared" si="61"/>
        <v>0</v>
      </c>
      <c r="AG111" s="38">
        <f t="shared" si="62"/>
        <v>7.479231459067287E-3</v>
      </c>
      <c r="AH111" s="38">
        <f t="shared" si="63"/>
        <v>0</v>
      </c>
      <c r="AI111" s="38">
        <f t="shared" si="64"/>
        <v>0</v>
      </c>
      <c r="AJ111" s="38">
        <f t="shared" si="65"/>
        <v>2.1881417585390132E-2</v>
      </c>
      <c r="AK111" s="38">
        <f t="shared" si="66"/>
        <v>0.41268835269476922</v>
      </c>
      <c r="AL111" s="38">
        <f t="shared" si="67"/>
        <v>0.58706743890696877</v>
      </c>
      <c r="AM111" s="38">
        <f t="shared" si="68"/>
        <v>0</v>
      </c>
      <c r="AN111" s="38">
        <f t="shared" si="69"/>
        <v>0</v>
      </c>
      <c r="AO111" s="38">
        <f t="shared" si="70"/>
        <v>0</v>
      </c>
      <c r="AP111" s="38">
        <f t="shared" si="71"/>
        <v>5.0076083877548321</v>
      </c>
      <c r="AQ111" s="38">
        <f t="shared" si="72"/>
        <v>3.978491947108636</v>
      </c>
      <c r="AR111" s="38">
        <f t="shared" si="73"/>
        <v>1.0216372091871282</v>
      </c>
      <c r="AS111" s="40"/>
      <c r="AT111" s="38">
        <f t="shared" si="74"/>
        <v>3.0014797845755692</v>
      </c>
      <c r="AU111" s="38">
        <f t="shared" si="75"/>
        <v>0</v>
      </c>
      <c r="AV111" s="38">
        <f t="shared" si="76"/>
        <v>0.97096737886206352</v>
      </c>
      <c r="AW111" s="38">
        <f t="shared" si="77"/>
        <v>0</v>
      </c>
      <c r="AX111" s="38">
        <f t="shared" si="78"/>
        <v>0</v>
      </c>
      <c r="AY111" s="38">
        <f t="shared" si="79"/>
        <v>7.4678677723245563E-3</v>
      </c>
      <c r="AZ111" s="38">
        <f t="shared" si="80"/>
        <v>0</v>
      </c>
      <c r="BA111" s="38">
        <f t="shared" si="81"/>
        <v>0</v>
      </c>
      <c r="BB111" s="38">
        <f t="shared" si="82"/>
        <v>2.184817171296486E-2</v>
      </c>
      <c r="BC111" s="38">
        <f t="shared" si="83"/>
        <v>0.41206132822199248</v>
      </c>
      <c r="BD111" s="38">
        <f t="shared" si="84"/>
        <v>0.58617546885508487</v>
      </c>
      <c r="BE111" s="38">
        <f t="shared" si="85"/>
        <v>0</v>
      </c>
      <c r="BF111" s="38">
        <f t="shared" si="86"/>
        <v>0</v>
      </c>
      <c r="BG111" s="38">
        <f t="shared" si="87"/>
        <v>0</v>
      </c>
      <c r="BH111" s="41">
        <f t="shared" si="88"/>
        <v>5</v>
      </c>
      <c r="BI111" s="42">
        <f t="shared" si="89"/>
        <v>7.9915790093542238</v>
      </c>
      <c r="BJ111" s="38">
        <f t="shared" si="90"/>
        <v>3.9724471634376326</v>
      </c>
      <c r="BK111" s="38">
        <f t="shared" si="91"/>
        <v>1.0200849687900422</v>
      </c>
      <c r="BL111" s="16"/>
      <c r="BM111" s="16">
        <f t="shared" si="92"/>
        <v>2.1417992011861248E-2</v>
      </c>
      <c r="BN111" s="16">
        <f t="shared" si="93"/>
        <v>0.40394804435825826</v>
      </c>
      <c r="BO111" s="16">
        <f t="shared" si="94"/>
        <v>0.5746339636298804</v>
      </c>
      <c r="BP111" s="15"/>
      <c r="BQ111" s="38">
        <f t="shared" si="95"/>
        <v>1.1023635153129163</v>
      </c>
      <c r="BR111" s="38">
        <f t="shared" si="96"/>
        <v>0</v>
      </c>
      <c r="BS111" s="38">
        <f t="shared" si="97"/>
        <v>0.35661043546488819</v>
      </c>
      <c r="BT111" s="38">
        <f t="shared" si="98"/>
        <v>0</v>
      </c>
      <c r="BU111" s="38">
        <f t="shared" si="99"/>
        <v>2.7427487640253562E-3</v>
      </c>
      <c r="BV111" s="38">
        <f t="shared" si="100"/>
        <v>0</v>
      </c>
      <c r="BW111" s="38">
        <f t="shared" si="101"/>
        <v>0</v>
      </c>
      <c r="BX111" s="38">
        <f t="shared" si="102"/>
        <v>8.0242510699001426E-3</v>
      </c>
      <c r="BY111" s="38">
        <f t="shared" si="103"/>
        <v>0.15133914165859957</v>
      </c>
      <c r="BZ111" s="38">
        <f t="shared" si="104"/>
        <v>0.21528662420382166</v>
      </c>
      <c r="CA111" s="38">
        <f t="shared" si="105"/>
        <v>0</v>
      </c>
      <c r="CB111" s="38">
        <f t="shared" si="106"/>
        <v>0</v>
      </c>
      <c r="CC111" s="38">
        <f t="shared" si="107"/>
        <v>0</v>
      </c>
      <c r="CD111" s="38">
        <f t="shared" si="108"/>
        <v>1.8363667164741513</v>
      </c>
      <c r="CE111" s="38">
        <f t="shared" si="109"/>
        <v>2.9337225665883016</v>
      </c>
      <c r="CF111" s="38">
        <f t="shared" si="110"/>
        <v>2.7227677103623762</v>
      </c>
      <c r="CG111" s="38">
        <f t="shared" si="111"/>
        <v>7.9878450754680639</v>
      </c>
      <c r="CH111" s="15"/>
      <c r="CI111" s="16"/>
      <c r="CJ111" s="13"/>
      <c r="CK111" s="104"/>
      <c r="CL111" s="13"/>
      <c r="CM111" s="13"/>
      <c r="CN111" s="13"/>
      <c r="CO111" s="16"/>
      <c r="CP111" s="16"/>
      <c r="CQ111" s="16"/>
      <c r="CR111" s="16"/>
      <c r="CS111" s="16"/>
      <c r="CT111" s="16"/>
      <c r="CU111" s="16"/>
      <c r="CV111" s="16"/>
      <c r="CW111" s="16"/>
      <c r="CX111" s="16"/>
      <c r="CY111" s="104"/>
      <c r="CZ111" s="104"/>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3"/>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row>
    <row r="112" spans="1:167" x14ac:dyDescent="0.25">
      <c r="A112" s="35" t="s">
        <v>188</v>
      </c>
      <c r="B112" s="15">
        <v>467</v>
      </c>
      <c r="C112" s="102" t="s">
        <v>98</v>
      </c>
      <c r="D112" s="102" t="s">
        <v>106</v>
      </c>
      <c r="E112" s="15">
        <v>71</v>
      </c>
      <c r="F112" s="16">
        <v>47.19</v>
      </c>
      <c r="G112" s="16"/>
      <c r="H112" s="16">
        <v>32.659999999999997</v>
      </c>
      <c r="I112" s="16"/>
      <c r="J112" s="16">
        <v>0.53180959236929726</v>
      </c>
      <c r="K112" s="16"/>
      <c r="L112" s="16"/>
      <c r="M112" s="16">
        <v>16.95</v>
      </c>
      <c r="N112" s="16">
        <v>1.87</v>
      </c>
      <c r="O112" s="16">
        <v>6.6000000000000003E-2</v>
      </c>
      <c r="P112" s="16"/>
      <c r="Q112" s="16"/>
      <c r="R112" s="16"/>
      <c r="S112" s="16">
        <f t="shared" si="57"/>
        <v>99.267809592369304</v>
      </c>
      <c r="T112" s="16"/>
      <c r="U112" s="15">
        <v>1</v>
      </c>
      <c r="V112" s="15"/>
      <c r="W112" s="15"/>
      <c r="X112" s="15" t="s">
        <v>185</v>
      </c>
      <c r="Y112" s="15"/>
      <c r="Z112" s="37">
        <v>8</v>
      </c>
      <c r="AA112" s="37">
        <v>5</v>
      </c>
      <c r="AB112" s="15"/>
      <c r="AC112" s="38">
        <f t="shared" si="58"/>
        <v>2.1875930487595099</v>
      </c>
      <c r="AD112" s="38">
        <f t="shared" si="59"/>
        <v>0</v>
      </c>
      <c r="AE112" s="38">
        <f t="shared" si="60"/>
        <v>1.7842792732944703</v>
      </c>
      <c r="AF112" s="38">
        <f t="shared" si="61"/>
        <v>0</v>
      </c>
      <c r="AG112" s="38">
        <f t="shared" si="62"/>
        <v>2.0614645716768736E-2</v>
      </c>
      <c r="AH112" s="38">
        <f t="shared" si="63"/>
        <v>0</v>
      </c>
      <c r="AI112" s="38">
        <f t="shared" si="64"/>
        <v>0</v>
      </c>
      <c r="AJ112" s="38">
        <f t="shared" si="65"/>
        <v>0.84179856084658944</v>
      </c>
      <c r="AK112" s="38">
        <f t="shared" si="66"/>
        <v>0.16806083293889171</v>
      </c>
      <c r="AL112" s="38">
        <f t="shared" si="67"/>
        <v>3.9027390129458624E-3</v>
      </c>
      <c r="AM112" s="38">
        <f t="shared" si="68"/>
        <v>0</v>
      </c>
      <c r="AN112" s="38">
        <f t="shared" si="69"/>
        <v>0</v>
      </c>
      <c r="AO112" s="38">
        <f t="shared" si="70"/>
        <v>0</v>
      </c>
      <c r="AP112" s="38">
        <f t="shared" si="71"/>
        <v>5.0062491005691756</v>
      </c>
      <c r="AQ112" s="38">
        <f t="shared" si="72"/>
        <v>3.9718723220539802</v>
      </c>
      <c r="AR112" s="38">
        <f t="shared" si="73"/>
        <v>1.013762132798427</v>
      </c>
      <c r="AS112" s="40"/>
      <c r="AT112" s="38">
        <f t="shared" si="74"/>
        <v>2.1848623638312317</v>
      </c>
      <c r="AU112" s="38">
        <f t="shared" si="75"/>
        <v>0</v>
      </c>
      <c r="AV112" s="38">
        <f t="shared" si="76"/>
        <v>1.7820520288249437</v>
      </c>
      <c r="AW112" s="38">
        <f t="shared" si="77"/>
        <v>0</v>
      </c>
      <c r="AX112" s="38">
        <f t="shared" si="78"/>
        <v>6.1675306502140953E-4</v>
      </c>
      <c r="AY112" s="38">
        <f t="shared" si="79"/>
        <v>1.9972160213809431E-2</v>
      </c>
      <c r="AZ112" s="38">
        <f t="shared" si="80"/>
        <v>0</v>
      </c>
      <c r="BA112" s="38">
        <f t="shared" si="81"/>
        <v>0</v>
      </c>
      <c r="BB112" s="38">
        <f t="shared" si="82"/>
        <v>0.84074777736377782</v>
      </c>
      <c r="BC112" s="38">
        <f t="shared" si="83"/>
        <v>0.16785104932132155</v>
      </c>
      <c r="BD112" s="38">
        <f t="shared" si="84"/>
        <v>3.897867379893409E-3</v>
      </c>
      <c r="BE112" s="38">
        <f t="shared" si="85"/>
        <v>0</v>
      </c>
      <c r="BF112" s="38">
        <f t="shared" si="86"/>
        <v>0</v>
      </c>
      <c r="BG112" s="38">
        <f t="shared" si="87"/>
        <v>0</v>
      </c>
      <c r="BH112" s="41">
        <f t="shared" si="88"/>
        <v>4.9999999999999991</v>
      </c>
      <c r="BI112" s="42">
        <f t="shared" si="89"/>
        <v>8</v>
      </c>
      <c r="BJ112" s="38">
        <f t="shared" si="90"/>
        <v>3.9669143926561752</v>
      </c>
      <c r="BK112" s="38">
        <f t="shared" si="91"/>
        <v>1.0124966940649929</v>
      </c>
      <c r="BL112" s="16"/>
      <c r="BM112" s="16">
        <f t="shared" si="92"/>
        <v>0.83037088643551638</v>
      </c>
      <c r="BN112" s="16">
        <f t="shared" si="93"/>
        <v>0.16577935543416905</v>
      </c>
      <c r="BO112" s="16">
        <f t="shared" si="94"/>
        <v>3.8497581303146484E-3</v>
      </c>
      <c r="BP112" s="15"/>
      <c r="BQ112" s="38">
        <f t="shared" si="95"/>
        <v>0.78545272969374169</v>
      </c>
      <c r="BR112" s="38">
        <f t="shared" si="96"/>
        <v>0</v>
      </c>
      <c r="BS112" s="38">
        <f t="shared" si="97"/>
        <v>0.64064338956453504</v>
      </c>
      <c r="BT112" s="38">
        <f t="shared" si="98"/>
        <v>0</v>
      </c>
      <c r="BU112" s="38">
        <f t="shared" si="99"/>
        <v>7.401664472780756E-3</v>
      </c>
      <c r="BV112" s="38">
        <f t="shared" si="100"/>
        <v>0</v>
      </c>
      <c r="BW112" s="38">
        <f t="shared" si="101"/>
        <v>0</v>
      </c>
      <c r="BX112" s="38">
        <f t="shared" si="102"/>
        <v>0.30224679029957202</v>
      </c>
      <c r="BY112" s="38">
        <f t="shared" si="103"/>
        <v>6.0342045821232662E-2</v>
      </c>
      <c r="BZ112" s="38">
        <f t="shared" si="104"/>
        <v>1.4012738853503184E-3</v>
      </c>
      <c r="CA112" s="38">
        <f t="shared" si="105"/>
        <v>0</v>
      </c>
      <c r="CB112" s="38">
        <f t="shared" si="106"/>
        <v>0</v>
      </c>
      <c r="CC112" s="38">
        <f t="shared" si="107"/>
        <v>0</v>
      </c>
      <c r="CD112" s="38">
        <f t="shared" si="108"/>
        <v>1.7974878937372127</v>
      </c>
      <c r="CE112" s="38">
        <f t="shared" si="109"/>
        <v>2.8723906583599295</v>
      </c>
      <c r="CF112" s="38">
        <f t="shared" si="110"/>
        <v>2.7816599029239328</v>
      </c>
      <c r="CG112" s="38">
        <f t="shared" si="111"/>
        <v>7.9900139198930926</v>
      </c>
      <c r="CH112" s="15"/>
      <c r="CI112" s="16">
        <v>0</v>
      </c>
      <c r="CJ112" s="13">
        <v>15980.573547906828</v>
      </c>
      <c r="CK112" s="104">
        <v>308.17888291032381</v>
      </c>
      <c r="CL112" s="13">
        <v>161106.81391171349</v>
      </c>
      <c r="CM112" s="13">
        <v>233793.28477709196</v>
      </c>
      <c r="CN112" s="13">
        <v>100964.41195314813</v>
      </c>
      <c r="CO112" s="16">
        <v>0.73805575003391499</v>
      </c>
      <c r="CP112" s="16">
        <v>127.98146960192052</v>
      </c>
      <c r="CQ112" s="16">
        <v>2.1189518934696054</v>
      </c>
      <c r="CR112" s="16">
        <v>0</v>
      </c>
      <c r="CS112" s="16">
        <v>59.215993229775684</v>
      </c>
      <c r="CT112" s="16">
        <v>0</v>
      </c>
      <c r="CU112" s="16">
        <v>43.38399034077478</v>
      </c>
      <c r="CV112" s="16">
        <v>1.7647778253507045</v>
      </c>
      <c r="CW112" s="16">
        <v>5.6320829744190597</v>
      </c>
      <c r="CX112" s="16">
        <v>0.37916222746776002</v>
      </c>
      <c r="CY112" s="104">
        <v>298.67783092274021</v>
      </c>
      <c r="CZ112" s="104">
        <v>320.47172867101602</v>
      </c>
      <c r="DA112" s="16">
        <v>0.38282099684132026</v>
      </c>
      <c r="DB112" s="16">
        <v>0.48249574941685114</v>
      </c>
      <c r="DC112" s="16">
        <v>0.18865131993923442</v>
      </c>
      <c r="DD112" s="16">
        <v>0.24063694063246244</v>
      </c>
      <c r="DE112" s="16">
        <v>22.98661096426591</v>
      </c>
      <c r="DF112" s="16">
        <v>0.74605650776356636</v>
      </c>
      <c r="DG112" s="16">
        <v>1.5649911865150006</v>
      </c>
      <c r="DH112" s="16">
        <v>0.17966193894081714</v>
      </c>
      <c r="DI112" s="16">
        <v>0.57148618357139824</v>
      </c>
      <c r="DJ112" s="16">
        <v>0</v>
      </c>
      <c r="DK112" s="16">
        <v>0.19157285358013462</v>
      </c>
      <c r="DL112" s="16">
        <v>0</v>
      </c>
      <c r="DM112" s="16">
        <v>2.0325041159997396E-2</v>
      </c>
      <c r="DN112" s="16">
        <v>0</v>
      </c>
      <c r="DO112" s="16">
        <v>1.9046011986582855E-2</v>
      </c>
      <c r="DP112" s="16">
        <v>0</v>
      </c>
      <c r="DQ112" s="16">
        <v>0.12780221201413228</v>
      </c>
      <c r="DR112" s="16">
        <v>0</v>
      </c>
      <c r="DS112" s="16">
        <v>0</v>
      </c>
      <c r="DT112" s="16">
        <v>0</v>
      </c>
      <c r="DU112" s="16">
        <v>0</v>
      </c>
      <c r="DV112" s="16">
        <v>1.3607605321166629</v>
      </c>
      <c r="DW112" s="16">
        <v>0</v>
      </c>
      <c r="DX112" s="16">
        <v>0</v>
      </c>
      <c r="DY112" s="16" t="e">
        <f>(DK112/0.05883)/SQRT((DJ112/0.1536)*(DL112/0.2069))</f>
        <v>#DIV/0!</v>
      </c>
      <c r="DZ112" s="16"/>
      <c r="EA112" s="13">
        <f>1128+200*((BM112-0.4)/0.4) -273</f>
        <v>1070.1854432177581</v>
      </c>
      <c r="EB112" s="16"/>
      <c r="EC112" s="16">
        <f>(-18.482 -16.353 * BM112)/(0.008314 * (EA112+273))</f>
        <v>-2.8709908865700733</v>
      </c>
      <c r="ED112" s="16"/>
      <c r="EE112" s="16"/>
      <c r="EF112" s="16"/>
      <c r="EG112" s="16"/>
      <c r="EH112" s="16"/>
      <c r="EI112" s="16"/>
      <c r="EJ112" s="16"/>
      <c r="EK112" s="16"/>
      <c r="EL112" s="16">
        <f>(23.856 -20.71 * BM112)/(0.008314 * (EA112+273))</f>
        <v>0.59629923695945009</v>
      </c>
      <c r="EM112" s="16"/>
      <c r="EN112" s="16">
        <f>(-4.5269  -51.811 * BM112)/(0.008314 * (EA112+273)) +N("eqn50a")</f>
        <v>-4.2579213775140641</v>
      </c>
      <c r="EO112" s="16" t="e">
        <f>(-187.27 + 2.26018 *#REF!)/(0.008314 * (EA112+273)) +N("fsp eqn35 from SiO2")</f>
        <v>#REF!</v>
      </c>
      <c r="EP112" s="16"/>
      <c r="EQ112" s="16"/>
      <c r="ER112" s="16">
        <f>(10.146 -35.204 * BM112)/(0.008314 * (EA112+273))</f>
        <v>-1.709139432323852</v>
      </c>
      <c r="ES112" s="16">
        <f>(2.1146 -37.009 * BM112)/(0.008314 * (EA112+273))</f>
        <v>-2.5625478151000962</v>
      </c>
      <c r="ET112" s="16">
        <f>(-3.6812 -33.822 * BM112)/(0.008314 * (EA112+273))</f>
        <v>-2.8445697757924253</v>
      </c>
      <c r="EU112" s="16">
        <f>(-6.8025 -26.094 * BM112)/(0.008314 * (EA112+273))</f>
        <v>-2.5494382037766155</v>
      </c>
      <c r="EV112" s="16">
        <f>(-5.6996 -30.85 * BM112)/(0.008314 * (EA112+273))</f>
        <v>-2.8043215029378388</v>
      </c>
      <c r="EW112" s="16">
        <f>(-8.6767 -33.32 * BM112)/(0.008314 * (EA112+273))</f>
        <v>-3.2545772859083466</v>
      </c>
      <c r="EX112" s="16"/>
      <c r="EY112" s="16">
        <f>(-1.9714 -59.897 * BM112)/(0.008314 * (EA112+273))</f>
        <v>-4.630339054744379</v>
      </c>
      <c r="EZ112" s="16">
        <f>(-4.3691 -44.528 * BM112)/(0.008314 * (EA112+273))</f>
        <v>-3.7022434241187536</v>
      </c>
      <c r="FA112" s="16">
        <f>(-2.2521 -58.215 * BM112)/(0.008314 * (EA112+273))</f>
        <v>-4.5304053689147894</v>
      </c>
      <c r="FB112" s="16"/>
      <c r="FC112" s="16">
        <f>(-8.5 - 57.253 * BM112)/(0.008314 * (EA112+273))</f>
        <v>-5.0183577515331903</v>
      </c>
      <c r="FD112" s="16"/>
      <c r="FE112" s="16">
        <f>(-9.2954 -52.923 * BM112)/(0.008314 * (EA112+273))</f>
        <v>-4.7676149545901971</v>
      </c>
      <c r="FF112" s="16">
        <f>(0.61501 -70.378 * BM112)/(0.008314 * (EA112+273))</f>
        <v>-5.178075576308637</v>
      </c>
      <c r="FG112" s="16"/>
      <c r="FH112" s="16"/>
      <c r="FI112" s="16"/>
      <c r="FJ112" s="16"/>
      <c r="FK112" s="16"/>
    </row>
    <row r="113" spans="1:167" x14ac:dyDescent="0.25">
      <c r="A113" s="35" t="s">
        <v>188</v>
      </c>
      <c r="B113" s="15">
        <v>468</v>
      </c>
      <c r="C113" s="102" t="s">
        <v>98</v>
      </c>
      <c r="D113" s="102" t="s">
        <v>106</v>
      </c>
      <c r="E113" s="15">
        <v>72</v>
      </c>
      <c r="F113" s="16">
        <v>54.17</v>
      </c>
      <c r="G113" s="16"/>
      <c r="H113" s="16">
        <v>28.7</v>
      </c>
      <c r="I113" s="16"/>
      <c r="J113" s="16">
        <v>0.70458022136236842</v>
      </c>
      <c r="K113" s="16"/>
      <c r="L113" s="16"/>
      <c r="M113" s="16">
        <v>11.67</v>
      </c>
      <c r="N113" s="16">
        <v>4.91</v>
      </c>
      <c r="O113" s="16">
        <v>0.32300000000000001</v>
      </c>
      <c r="P113" s="16"/>
      <c r="Q113" s="16"/>
      <c r="R113" s="16"/>
      <c r="S113" s="16">
        <f t="shared" si="57"/>
        <v>100.47758022136236</v>
      </c>
      <c r="T113" s="16"/>
      <c r="U113" s="15">
        <v>1</v>
      </c>
      <c r="V113" s="15"/>
      <c r="W113" s="15"/>
      <c r="X113" s="15" t="s">
        <v>258</v>
      </c>
      <c r="Y113" s="15"/>
      <c r="Z113" s="37">
        <v>8</v>
      </c>
      <c r="AA113" s="37">
        <v>5</v>
      </c>
      <c r="AB113" s="15"/>
      <c r="AC113" s="38">
        <f t="shared" si="58"/>
        <v>2.4465437116201554</v>
      </c>
      <c r="AD113" s="38">
        <f t="shared" si="59"/>
        <v>0</v>
      </c>
      <c r="AE113" s="38">
        <f t="shared" si="60"/>
        <v>1.5275876323312794</v>
      </c>
      <c r="AF113" s="38">
        <f t="shared" si="61"/>
        <v>0</v>
      </c>
      <c r="AG113" s="38">
        <f t="shared" si="62"/>
        <v>2.6608950353119071E-2</v>
      </c>
      <c r="AH113" s="38">
        <f t="shared" si="63"/>
        <v>0</v>
      </c>
      <c r="AI113" s="38">
        <f t="shared" si="64"/>
        <v>0</v>
      </c>
      <c r="AJ113" s="38">
        <f t="shared" si="65"/>
        <v>0.56465986382148281</v>
      </c>
      <c r="AK113" s="38">
        <f t="shared" si="66"/>
        <v>0.42991637170423719</v>
      </c>
      <c r="AL113" s="38">
        <f t="shared" si="67"/>
        <v>1.8608256472098288E-2</v>
      </c>
      <c r="AM113" s="38">
        <f t="shared" si="68"/>
        <v>0</v>
      </c>
      <c r="AN113" s="38">
        <f t="shared" si="69"/>
        <v>0</v>
      </c>
      <c r="AO113" s="38">
        <f t="shared" si="70"/>
        <v>0</v>
      </c>
      <c r="AP113" s="38">
        <f t="shared" si="71"/>
        <v>5.0139247863023719</v>
      </c>
      <c r="AQ113" s="38">
        <f t="shared" si="72"/>
        <v>3.9741313439514347</v>
      </c>
      <c r="AR113" s="38">
        <f t="shared" si="73"/>
        <v>1.0131844919978181</v>
      </c>
      <c r="AS113" s="40"/>
      <c r="AT113" s="38">
        <f t="shared" si="74"/>
        <v>2.4397491146096875</v>
      </c>
      <c r="AU113" s="38">
        <f t="shared" si="75"/>
        <v>0</v>
      </c>
      <c r="AV113" s="38">
        <f t="shared" si="76"/>
        <v>1.5233451811089413</v>
      </c>
      <c r="AW113" s="38">
        <f t="shared" si="77"/>
        <v>0</v>
      </c>
      <c r="AX113" s="38">
        <f t="shared" si="78"/>
        <v>0</v>
      </c>
      <c r="AY113" s="38">
        <f t="shared" si="79"/>
        <v>2.6535051369151491E-2</v>
      </c>
      <c r="AZ113" s="38">
        <f t="shared" si="80"/>
        <v>0</v>
      </c>
      <c r="BA113" s="38">
        <f t="shared" si="81"/>
        <v>0</v>
      </c>
      <c r="BB113" s="38">
        <f t="shared" si="82"/>
        <v>0.56309167756573342</v>
      </c>
      <c r="BC113" s="38">
        <f t="shared" si="83"/>
        <v>0.42872239814878477</v>
      </c>
      <c r="BD113" s="38">
        <f t="shared" si="84"/>
        <v>1.8556577197701991E-2</v>
      </c>
      <c r="BE113" s="38">
        <f t="shared" si="85"/>
        <v>0</v>
      </c>
      <c r="BF113" s="38">
        <f t="shared" si="86"/>
        <v>0</v>
      </c>
      <c r="BG113" s="38">
        <f t="shared" si="87"/>
        <v>0</v>
      </c>
      <c r="BH113" s="41">
        <f t="shared" si="88"/>
        <v>5.0000000000000009</v>
      </c>
      <c r="BI113" s="42">
        <f t="shared" si="89"/>
        <v>7.9910497431754912</v>
      </c>
      <c r="BJ113" s="38">
        <f t="shared" si="90"/>
        <v>3.963094295718629</v>
      </c>
      <c r="BK113" s="38">
        <f t="shared" si="91"/>
        <v>1.0103706529122203</v>
      </c>
      <c r="BL113" s="16"/>
      <c r="BM113" s="16">
        <f t="shared" si="92"/>
        <v>0.55731198837052354</v>
      </c>
      <c r="BN113" s="16">
        <f t="shared" si="93"/>
        <v>0.42432190297002986</v>
      </c>
      <c r="BO113" s="16">
        <f t="shared" si="94"/>
        <v>1.8366108659446753E-2</v>
      </c>
      <c r="BP113" s="15"/>
      <c r="BQ113" s="38">
        <f t="shared" si="95"/>
        <v>0.90163115845539288</v>
      </c>
      <c r="BR113" s="38">
        <f t="shared" si="96"/>
        <v>0</v>
      </c>
      <c r="BS113" s="38">
        <f t="shared" si="97"/>
        <v>0.56296586896822287</v>
      </c>
      <c r="BT113" s="38">
        <f t="shared" si="98"/>
        <v>0</v>
      </c>
      <c r="BU113" s="38">
        <f t="shared" si="99"/>
        <v>9.8062661289125743E-3</v>
      </c>
      <c r="BV113" s="38">
        <f t="shared" si="100"/>
        <v>0</v>
      </c>
      <c r="BW113" s="38">
        <f t="shared" si="101"/>
        <v>0</v>
      </c>
      <c r="BX113" s="38">
        <f t="shared" si="102"/>
        <v>0.20809557774607704</v>
      </c>
      <c r="BY113" s="38">
        <f t="shared" si="103"/>
        <v>0.15843820587286223</v>
      </c>
      <c r="BZ113" s="38">
        <f t="shared" si="104"/>
        <v>6.8577494692144371E-3</v>
      </c>
      <c r="CA113" s="38">
        <f t="shared" si="105"/>
        <v>0</v>
      </c>
      <c r="CB113" s="38">
        <f t="shared" si="106"/>
        <v>0</v>
      </c>
      <c r="CC113" s="38">
        <f t="shared" si="107"/>
        <v>0</v>
      </c>
      <c r="CD113" s="38">
        <f t="shared" si="108"/>
        <v>1.8477948266406821</v>
      </c>
      <c r="CE113" s="38">
        <f t="shared" si="109"/>
        <v>2.9482609419091479</v>
      </c>
      <c r="CF113" s="38">
        <f t="shared" si="110"/>
        <v>2.7059281300673805</v>
      </c>
      <c r="CG113" s="38">
        <f t="shared" si="111"/>
        <v>7.9777822174909145</v>
      </c>
      <c r="CH113" s="15"/>
      <c r="CI113" s="16"/>
      <c r="CJ113" s="13"/>
      <c r="CK113" s="104"/>
      <c r="CL113" s="13"/>
      <c r="CM113" s="13"/>
      <c r="CN113" s="13"/>
      <c r="CO113" s="16"/>
      <c r="CP113" s="16"/>
      <c r="CQ113" s="16"/>
      <c r="CR113" s="16"/>
      <c r="CS113" s="16"/>
      <c r="CT113" s="16"/>
      <c r="CU113" s="16"/>
      <c r="CV113" s="16"/>
      <c r="CW113" s="16"/>
      <c r="CX113" s="16"/>
      <c r="CY113" s="104"/>
      <c r="CZ113" s="104"/>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3"/>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row>
    <row r="114" spans="1:167" x14ac:dyDescent="0.25">
      <c r="A114" s="35" t="s">
        <v>188</v>
      </c>
      <c r="B114" s="15">
        <v>469</v>
      </c>
      <c r="C114" s="102" t="s">
        <v>98</v>
      </c>
      <c r="D114" s="102" t="s">
        <v>106</v>
      </c>
      <c r="E114" s="15">
        <v>73</v>
      </c>
      <c r="F114" s="16">
        <v>48.9</v>
      </c>
      <c r="G114" s="16"/>
      <c r="H114" s="16">
        <v>30.86</v>
      </c>
      <c r="I114" s="16"/>
      <c r="J114" s="16">
        <v>0.65148924682803921</v>
      </c>
      <c r="K114" s="16"/>
      <c r="L114" s="16"/>
      <c r="M114" s="16">
        <v>15.38</v>
      </c>
      <c r="N114" s="16">
        <v>2.74</v>
      </c>
      <c r="O114" s="16">
        <v>0.115</v>
      </c>
      <c r="P114" s="16"/>
      <c r="Q114" s="16"/>
      <c r="R114" s="16"/>
      <c r="S114" s="16">
        <f t="shared" si="57"/>
        <v>98.646489246828011</v>
      </c>
      <c r="T114" s="16"/>
      <c r="U114" s="15">
        <v>1</v>
      </c>
      <c r="V114" s="15"/>
      <c r="W114" s="15"/>
      <c r="X114" s="15" t="s">
        <v>258</v>
      </c>
      <c r="Y114" s="15"/>
      <c r="Z114" s="37">
        <v>8</v>
      </c>
      <c r="AA114" s="37">
        <v>5</v>
      </c>
      <c r="AB114" s="15"/>
      <c r="AC114" s="38">
        <f t="shared" si="58"/>
        <v>2.2730448584349072</v>
      </c>
      <c r="AD114" s="38">
        <f t="shared" si="59"/>
        <v>0</v>
      </c>
      <c r="AE114" s="38">
        <f t="shared" si="60"/>
        <v>1.6905388748723702</v>
      </c>
      <c r="AF114" s="38">
        <f t="shared" si="61"/>
        <v>0</v>
      </c>
      <c r="AG114" s="38">
        <f t="shared" si="62"/>
        <v>2.5322673233492448E-2</v>
      </c>
      <c r="AH114" s="38">
        <f t="shared" si="63"/>
        <v>0</v>
      </c>
      <c r="AI114" s="38">
        <f t="shared" si="64"/>
        <v>0</v>
      </c>
      <c r="AJ114" s="38">
        <f t="shared" si="65"/>
        <v>0.76590940409317065</v>
      </c>
      <c r="AK114" s="38">
        <f t="shared" si="66"/>
        <v>0.24692101757191137</v>
      </c>
      <c r="AL114" s="38">
        <f t="shared" si="67"/>
        <v>6.8187694180238973E-3</v>
      </c>
      <c r="AM114" s="38">
        <f t="shared" si="68"/>
        <v>0</v>
      </c>
      <c r="AN114" s="38">
        <f t="shared" si="69"/>
        <v>0</v>
      </c>
      <c r="AO114" s="38">
        <f t="shared" si="70"/>
        <v>0</v>
      </c>
      <c r="AP114" s="38">
        <f t="shared" si="71"/>
        <v>5.008555597623876</v>
      </c>
      <c r="AQ114" s="38">
        <f t="shared" si="72"/>
        <v>3.9635837333072774</v>
      </c>
      <c r="AR114" s="38">
        <f t="shared" si="73"/>
        <v>1.019649191083106</v>
      </c>
      <c r="AS114" s="40"/>
      <c r="AT114" s="38">
        <f t="shared" si="74"/>
        <v>2.2691620509446571</v>
      </c>
      <c r="AU114" s="38">
        <f t="shared" si="75"/>
        <v>0</v>
      </c>
      <c r="AV114" s="38">
        <f t="shared" si="76"/>
        <v>1.6876511021205236</v>
      </c>
      <c r="AW114" s="38">
        <f t="shared" si="77"/>
        <v>0</v>
      </c>
      <c r="AX114" s="38">
        <f t="shared" si="78"/>
        <v>0</v>
      </c>
      <c r="AY114" s="38">
        <f t="shared" si="79"/>
        <v>2.5279417129267623E-2</v>
      </c>
      <c r="AZ114" s="38">
        <f t="shared" si="80"/>
        <v>0</v>
      </c>
      <c r="BA114" s="38">
        <f t="shared" si="81"/>
        <v>0</v>
      </c>
      <c r="BB114" s="38">
        <f t="shared" si="82"/>
        <v>0.76460108025608031</v>
      </c>
      <c r="BC114" s="38">
        <f t="shared" si="83"/>
        <v>0.24649922793015808</v>
      </c>
      <c r="BD114" s="38">
        <f t="shared" si="84"/>
        <v>6.8071216193135711E-3</v>
      </c>
      <c r="BE114" s="38">
        <f t="shared" si="85"/>
        <v>0</v>
      </c>
      <c r="BF114" s="38">
        <f t="shared" si="86"/>
        <v>0</v>
      </c>
      <c r="BG114" s="38">
        <f t="shared" si="87"/>
        <v>0</v>
      </c>
      <c r="BH114" s="41">
        <f t="shared" si="88"/>
        <v>5</v>
      </c>
      <c r="BI114" s="42">
        <f t="shared" si="89"/>
        <v>7.9989741357948176</v>
      </c>
      <c r="BJ114" s="38">
        <f t="shared" si="90"/>
        <v>3.9568131530651804</v>
      </c>
      <c r="BK114" s="38">
        <f t="shared" si="91"/>
        <v>1.0179074298055519</v>
      </c>
      <c r="BL114" s="16"/>
      <c r="BM114" s="16">
        <f t="shared" si="92"/>
        <v>0.75114991586429414</v>
      </c>
      <c r="BN114" s="16">
        <f t="shared" si="93"/>
        <v>0.24216271609025009</v>
      </c>
      <c r="BO114" s="16">
        <f t="shared" si="94"/>
        <v>6.6873680454556817E-3</v>
      </c>
      <c r="BP114" s="15"/>
      <c r="BQ114" s="38">
        <f t="shared" si="95"/>
        <v>0.81391478029294273</v>
      </c>
      <c r="BR114" s="38">
        <f t="shared" si="96"/>
        <v>0</v>
      </c>
      <c r="BS114" s="38">
        <f t="shared" si="97"/>
        <v>0.60533542565712051</v>
      </c>
      <c r="BT114" s="38">
        <f t="shared" si="98"/>
        <v>0</v>
      </c>
      <c r="BU114" s="38">
        <f t="shared" si="99"/>
        <v>9.0673520783304002E-3</v>
      </c>
      <c r="BV114" s="38">
        <f t="shared" si="100"/>
        <v>0</v>
      </c>
      <c r="BW114" s="38">
        <f t="shared" si="101"/>
        <v>0</v>
      </c>
      <c r="BX114" s="38">
        <f t="shared" si="102"/>
        <v>0.2742510699001427</v>
      </c>
      <c r="BY114" s="38">
        <f t="shared" si="103"/>
        <v>8.8415617941271396E-2</v>
      </c>
      <c r="BZ114" s="38">
        <f t="shared" si="104"/>
        <v>2.4416135881104033E-3</v>
      </c>
      <c r="CA114" s="38">
        <f t="shared" si="105"/>
        <v>0</v>
      </c>
      <c r="CB114" s="38">
        <f t="shared" si="106"/>
        <v>0</v>
      </c>
      <c r="CC114" s="38">
        <f t="shared" si="107"/>
        <v>0</v>
      </c>
      <c r="CD114" s="38">
        <f t="shared" si="108"/>
        <v>1.793425859457918</v>
      </c>
      <c r="CE114" s="38">
        <f t="shared" si="109"/>
        <v>2.8645797368147301</v>
      </c>
      <c r="CF114" s="38">
        <f t="shared" si="110"/>
        <v>2.7879602458232107</v>
      </c>
      <c r="CG114" s="38">
        <f t="shared" si="111"/>
        <v>7.9863344272301831</v>
      </c>
      <c r="CH114" s="15"/>
      <c r="CI114" s="16">
        <v>2.964000588558704</v>
      </c>
      <c r="CJ114" s="13">
        <v>38815.465896887195</v>
      </c>
      <c r="CK114" s="104">
        <v>438.07974276352502</v>
      </c>
      <c r="CL114" s="13">
        <v>134340.05785347731</v>
      </c>
      <c r="CM114" s="13">
        <v>253455.8563067567</v>
      </c>
      <c r="CN114" s="13">
        <v>68079.782867771602</v>
      </c>
      <c r="CO114" s="16">
        <v>0.54303266811821782</v>
      </c>
      <c r="CP114" s="16">
        <v>336.43227114117013</v>
      </c>
      <c r="CQ114" s="16">
        <v>3.3180388323846568</v>
      </c>
      <c r="CR114" s="16">
        <v>0</v>
      </c>
      <c r="CS114" s="16">
        <v>35.637086055546867</v>
      </c>
      <c r="CT114" s="16">
        <v>0.59521249743240512</v>
      </c>
      <c r="CU114" s="16">
        <v>0</v>
      </c>
      <c r="CV114" s="16">
        <v>0</v>
      </c>
      <c r="CW114" s="16">
        <v>13.233643062193398</v>
      </c>
      <c r="CX114" s="16">
        <v>1.5460048726696782</v>
      </c>
      <c r="CY114" s="104">
        <v>312.33412738753395</v>
      </c>
      <c r="CZ114" s="104">
        <v>325.20193502317585</v>
      </c>
      <c r="DA114" s="16">
        <v>0.36975855779597849</v>
      </c>
      <c r="DB114" s="16">
        <v>0.24152907570830356</v>
      </c>
      <c r="DC114" s="16">
        <v>0</v>
      </c>
      <c r="DD114" s="16">
        <v>0</v>
      </c>
      <c r="DE114" s="16">
        <v>97.912629127840873</v>
      </c>
      <c r="DF114" s="16">
        <v>2.5689924978450387</v>
      </c>
      <c r="DG114" s="16">
        <v>4.3021990416155775</v>
      </c>
      <c r="DH114" s="16">
        <v>0.35952538429850422</v>
      </c>
      <c r="DI114" s="16">
        <v>1.5798237860997455</v>
      </c>
      <c r="DJ114" s="16">
        <v>0.36491814854450505</v>
      </c>
      <c r="DK114" s="16">
        <v>0.65537278972693569</v>
      </c>
      <c r="DL114" s="16">
        <v>0</v>
      </c>
      <c r="DM114" s="16">
        <v>2.315048524624537E-2</v>
      </c>
      <c r="DN114" s="16">
        <v>3.8690359287621288E-2</v>
      </c>
      <c r="DO114" s="16">
        <v>2.6853142096941573E-2</v>
      </c>
      <c r="DP114" s="16">
        <v>4.7060043957241074E-2</v>
      </c>
      <c r="DQ114" s="16">
        <v>0</v>
      </c>
      <c r="DR114" s="16">
        <v>0</v>
      </c>
      <c r="DS114" s="16">
        <v>0</v>
      </c>
      <c r="DT114" s="16">
        <v>0</v>
      </c>
      <c r="DU114" s="16">
        <v>0</v>
      </c>
      <c r="DV114" s="16">
        <v>7.4277580417487492</v>
      </c>
      <c r="DW114" s="16">
        <v>3.0708037385761562E-2</v>
      </c>
      <c r="DX114" s="16">
        <v>3.5604054483019731E-2</v>
      </c>
      <c r="DY114" s="16" t="e">
        <f>(DK114/0.05883)/SQRT((DJ114/0.1536)*(DL114/0.2069))</f>
        <v>#DIV/0!</v>
      </c>
      <c r="DZ114" s="16"/>
      <c r="EA114" s="13">
        <f>1128+200*((BM114-0.4)/0.4) -273</f>
        <v>1030.5749579321471</v>
      </c>
      <c r="EB114" s="16"/>
      <c r="EC114" s="16">
        <f>(-18.482 -16.353 * BM114)/(0.008314 * (EA114+273))</f>
        <v>-2.8386949090135722</v>
      </c>
      <c r="ED114" s="16"/>
      <c r="EE114" s="16"/>
      <c r="EF114" s="16"/>
      <c r="EG114" s="16"/>
      <c r="EH114" s="16"/>
      <c r="EI114" s="16"/>
      <c r="EJ114" s="16"/>
      <c r="EK114" s="16"/>
      <c r="EL114" s="16">
        <f>(23.856 -20.71 * BM114)/(0.008314 * (EA114+273))</f>
        <v>0.76580040796571225</v>
      </c>
      <c r="EM114" s="16"/>
      <c r="EN114" s="16">
        <f>(-4.5269  -51.811 * BM114)/(0.008314 * (EA114+273)) +N("eqn50a")</f>
        <v>-4.0085846242604815</v>
      </c>
      <c r="EO114" s="16" t="e">
        <f>(-187.27 + 2.26018 *#REF!)/(0.008314 * (EA114+273)) +N("fsp eqn35 from SiO2")</f>
        <v>#REF!</v>
      </c>
      <c r="EP114" s="16"/>
      <c r="EQ114" s="16"/>
      <c r="ER114" s="16">
        <f>(10.146 -35.204 * BM114)/(0.008314 * (EA114+273))</f>
        <v>-1.5037459521266792</v>
      </c>
      <c r="ES114" s="16">
        <f>(2.1146 -37.009 * BM114)/(0.008314 * (EA114+273))</f>
        <v>-2.3698921953540353</v>
      </c>
      <c r="ET114" s="16">
        <f>(-3.6812 -33.822 * BM114)/(0.008314 * (EA114+273))</f>
        <v>-2.6837794105679156</v>
      </c>
      <c r="EU114" s="16">
        <f>(-6.8025 -26.094 * BM114)/(0.008314 * (EA114+273))</f>
        <v>-2.4361686139395831</v>
      </c>
      <c r="EV114" s="16">
        <f>(-5.6996 -30.85 * BM114)/(0.008314 * (EA114+273))</f>
        <v>-2.6640323090484208</v>
      </c>
      <c r="EW114" s="16">
        <f>(-8.6767 -33.32 * BM114)/(0.008314 * (EA114+273))</f>
        <v>-3.1099148502678333</v>
      </c>
      <c r="EX114" s="16"/>
      <c r="EY114" s="16">
        <f>(-1.9714 -59.897 * BM114)/(0.008314 * (EA114+273))</f>
        <v>-4.3332131051327858</v>
      </c>
      <c r="EZ114" s="16">
        <f>(-4.3691 -44.528 * BM114)/(0.008314 * (EA114+273))</f>
        <v>-3.4892576967142657</v>
      </c>
      <c r="FA114" s="16">
        <f>(-2.2521 -58.215 * BM114)/(0.008314 * (EA114+273))</f>
        <v>-4.2425375918447061</v>
      </c>
      <c r="FB114" s="16"/>
      <c r="FC114" s="16">
        <f>(-8.5 - 57.253 * BM114)/(0.008314 * (EA114+273))</f>
        <v>-4.7523487603371484</v>
      </c>
      <c r="FD114" s="16"/>
      <c r="FE114" s="16">
        <f>(-9.2954 -52.923 * BM114)/(0.008314 * (EA114+273))</f>
        <v>-4.5256374876140253</v>
      </c>
      <c r="FF114" s="16">
        <f>(0.61501 -70.378 * BM114)/(0.008314 * (EA114+273))</f>
        <v>-4.8209811634837454</v>
      </c>
      <c r="FG114" s="16"/>
      <c r="FH114" s="16"/>
      <c r="FI114" s="16"/>
      <c r="FJ114" s="16"/>
      <c r="FK114" s="16"/>
    </row>
    <row r="115" spans="1:167" x14ac:dyDescent="0.25">
      <c r="A115" s="35" t="s">
        <v>188</v>
      </c>
      <c r="B115" s="15">
        <v>470</v>
      </c>
      <c r="C115" s="102" t="s">
        <v>98</v>
      </c>
      <c r="D115" s="102" t="s">
        <v>106</v>
      </c>
      <c r="E115" s="15">
        <v>74</v>
      </c>
      <c r="F115" s="16">
        <v>53.79</v>
      </c>
      <c r="G115" s="16"/>
      <c r="H115" s="16">
        <v>25</v>
      </c>
      <c r="I115" s="16"/>
      <c r="J115" s="16">
        <v>0.68388373976424011</v>
      </c>
      <c r="K115" s="16"/>
      <c r="L115" s="16"/>
      <c r="M115" s="16">
        <v>9.42</v>
      </c>
      <c r="N115" s="16">
        <v>5.77</v>
      </c>
      <c r="O115" s="16">
        <v>0.41199999999999998</v>
      </c>
      <c r="P115" s="16"/>
      <c r="Q115" s="16"/>
      <c r="R115" s="16"/>
      <c r="S115" s="16">
        <f t="shared" si="57"/>
        <v>95.075883739764237</v>
      </c>
      <c r="T115" s="16"/>
      <c r="U115" s="15">
        <v>1</v>
      </c>
      <c r="V115" s="15"/>
      <c r="W115" s="15"/>
      <c r="X115" s="15" t="s">
        <v>186</v>
      </c>
      <c r="Y115" s="15"/>
      <c r="Z115" s="37">
        <v>8</v>
      </c>
      <c r="AA115" s="37">
        <v>5</v>
      </c>
      <c r="AB115" s="15"/>
      <c r="AC115" s="38">
        <f t="shared" si="58"/>
        <v>2.5569623531647254</v>
      </c>
      <c r="AD115" s="38">
        <f t="shared" si="59"/>
        <v>0</v>
      </c>
      <c r="AE115" s="38">
        <f t="shared" si="60"/>
        <v>1.4005315319472191</v>
      </c>
      <c r="AF115" s="38">
        <f t="shared" si="61"/>
        <v>0</v>
      </c>
      <c r="AG115" s="38">
        <f t="shared" si="62"/>
        <v>2.7183678114506064E-2</v>
      </c>
      <c r="AH115" s="38">
        <f t="shared" si="63"/>
        <v>0</v>
      </c>
      <c r="AI115" s="38">
        <f t="shared" si="64"/>
        <v>0</v>
      </c>
      <c r="AJ115" s="38">
        <f t="shared" si="65"/>
        <v>0.47972860088264208</v>
      </c>
      <c r="AK115" s="38">
        <f t="shared" si="66"/>
        <v>0.53174932890264148</v>
      </c>
      <c r="AL115" s="38">
        <f t="shared" si="67"/>
        <v>2.4982104602506768E-2</v>
      </c>
      <c r="AM115" s="38">
        <f t="shared" si="68"/>
        <v>0</v>
      </c>
      <c r="AN115" s="38">
        <f t="shared" si="69"/>
        <v>0</v>
      </c>
      <c r="AO115" s="38">
        <f t="shared" si="70"/>
        <v>0</v>
      </c>
      <c r="AP115" s="38">
        <f t="shared" si="71"/>
        <v>5.0211375976142412</v>
      </c>
      <c r="AQ115" s="38">
        <f t="shared" si="72"/>
        <v>3.9574938851119446</v>
      </c>
      <c r="AR115" s="38">
        <f t="shared" si="73"/>
        <v>1.0364600343877903</v>
      </c>
      <c r="AS115" s="40"/>
      <c r="AT115" s="38">
        <f t="shared" si="74"/>
        <v>2.5461982503523193</v>
      </c>
      <c r="AU115" s="38">
        <f t="shared" si="75"/>
        <v>0</v>
      </c>
      <c r="AV115" s="38">
        <f t="shared" si="76"/>
        <v>1.3946356823727279</v>
      </c>
      <c r="AW115" s="38">
        <f t="shared" si="77"/>
        <v>0</v>
      </c>
      <c r="AX115" s="38">
        <f t="shared" si="78"/>
        <v>0</v>
      </c>
      <c r="AY115" s="38">
        <f t="shared" si="79"/>
        <v>2.7069242363943785E-2</v>
      </c>
      <c r="AZ115" s="38">
        <f t="shared" si="80"/>
        <v>0</v>
      </c>
      <c r="BA115" s="38">
        <f t="shared" si="81"/>
        <v>0</v>
      </c>
      <c r="BB115" s="38">
        <f t="shared" si="82"/>
        <v>0.47770907643576815</v>
      </c>
      <c r="BC115" s="38">
        <f t="shared" si="83"/>
        <v>0.52951081160900526</v>
      </c>
      <c r="BD115" s="38">
        <f t="shared" si="84"/>
        <v>2.4876936866236096E-2</v>
      </c>
      <c r="BE115" s="38">
        <f t="shared" si="85"/>
        <v>0</v>
      </c>
      <c r="BF115" s="38">
        <f t="shared" si="86"/>
        <v>0</v>
      </c>
      <c r="BG115" s="38">
        <f t="shared" si="87"/>
        <v>0</v>
      </c>
      <c r="BH115" s="41">
        <f t="shared" si="88"/>
        <v>5</v>
      </c>
      <c r="BI115" s="42">
        <f t="shared" si="89"/>
        <v>7.9798568384830348</v>
      </c>
      <c r="BJ115" s="38">
        <f t="shared" si="90"/>
        <v>3.940833932725047</v>
      </c>
      <c r="BK115" s="38">
        <f t="shared" si="91"/>
        <v>1.0320968249110094</v>
      </c>
      <c r="BL115" s="16"/>
      <c r="BM115" s="16">
        <f t="shared" si="92"/>
        <v>0.46285296583191954</v>
      </c>
      <c r="BN115" s="16">
        <f t="shared" si="93"/>
        <v>0.51304373662292901</v>
      </c>
      <c r="BO115" s="16">
        <f t="shared" si="94"/>
        <v>2.4103297545151406E-2</v>
      </c>
      <c r="BP115" s="15"/>
      <c r="BQ115" s="38">
        <f t="shared" si="95"/>
        <v>0.89530625832223698</v>
      </c>
      <c r="BR115" s="38">
        <f t="shared" si="96"/>
        <v>0</v>
      </c>
      <c r="BS115" s="38">
        <f t="shared" si="97"/>
        <v>0.49038838760298159</v>
      </c>
      <c r="BT115" s="38">
        <f t="shared" si="98"/>
        <v>0</v>
      </c>
      <c r="BU115" s="38">
        <f t="shared" si="99"/>
        <v>9.5182148888551168E-3</v>
      </c>
      <c r="BV115" s="38">
        <f t="shared" si="100"/>
        <v>0</v>
      </c>
      <c r="BW115" s="38">
        <f t="shared" si="101"/>
        <v>0</v>
      </c>
      <c r="BX115" s="38">
        <f t="shared" si="102"/>
        <v>0.16797432239657634</v>
      </c>
      <c r="BY115" s="38">
        <f t="shared" si="103"/>
        <v>0.186189093255889</v>
      </c>
      <c r="BZ115" s="38">
        <f t="shared" si="104"/>
        <v>8.747346072186836E-3</v>
      </c>
      <c r="CA115" s="38">
        <f t="shared" si="105"/>
        <v>0</v>
      </c>
      <c r="CB115" s="38">
        <f t="shared" si="106"/>
        <v>0</v>
      </c>
      <c r="CC115" s="38">
        <f t="shared" si="107"/>
        <v>0</v>
      </c>
      <c r="CD115" s="38">
        <f t="shared" si="108"/>
        <v>1.7581236225387258</v>
      </c>
      <c r="CE115" s="38">
        <f t="shared" si="109"/>
        <v>2.8011558549984152</v>
      </c>
      <c r="CF115" s="38">
        <f t="shared" si="110"/>
        <v>2.8439410834944665</v>
      </c>
      <c r="CG115" s="38">
        <f t="shared" si="111"/>
        <v>7.9663222173010615</v>
      </c>
      <c r="CH115" s="15"/>
      <c r="CI115" s="16"/>
      <c r="CJ115" s="13"/>
      <c r="CK115" s="104"/>
      <c r="CL115" s="13"/>
      <c r="CM115" s="13"/>
      <c r="CN115" s="13"/>
      <c r="CO115" s="16"/>
      <c r="CP115" s="16"/>
      <c r="CQ115" s="16"/>
      <c r="CR115" s="16"/>
      <c r="CS115" s="16"/>
      <c r="CT115" s="16"/>
      <c r="CU115" s="16"/>
      <c r="CV115" s="16"/>
      <c r="CW115" s="16"/>
      <c r="CX115" s="16"/>
      <c r="CY115" s="104"/>
      <c r="CZ115" s="104"/>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3"/>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row>
    <row r="116" spans="1:167" x14ac:dyDescent="0.25">
      <c r="A116" s="35" t="s">
        <v>188</v>
      </c>
      <c r="B116" s="15">
        <v>471</v>
      </c>
      <c r="C116" s="102" t="s">
        <v>98</v>
      </c>
      <c r="D116" s="102" t="s">
        <v>106</v>
      </c>
      <c r="E116" s="15">
        <v>75</v>
      </c>
      <c r="F116" s="16">
        <v>46.54</v>
      </c>
      <c r="G116" s="16"/>
      <c r="H116" s="16">
        <v>32.65</v>
      </c>
      <c r="I116" s="16"/>
      <c r="J116" s="16">
        <v>0.44632412489876722</v>
      </c>
      <c r="K116" s="16"/>
      <c r="L116" s="16"/>
      <c r="M116" s="16">
        <v>16.95</v>
      </c>
      <c r="N116" s="16">
        <v>1.77</v>
      </c>
      <c r="O116" s="16">
        <v>4.4999999999999998E-2</v>
      </c>
      <c r="P116" s="16"/>
      <c r="Q116" s="16"/>
      <c r="R116" s="16"/>
      <c r="S116" s="16">
        <f t="shared" si="57"/>
        <v>98.401324124898764</v>
      </c>
      <c r="T116" s="16"/>
      <c r="U116" s="15">
        <v>3</v>
      </c>
      <c r="V116" s="15"/>
      <c r="W116" s="15"/>
      <c r="X116" s="15" t="s">
        <v>185</v>
      </c>
      <c r="Y116" s="15"/>
      <c r="Z116" s="37">
        <v>8</v>
      </c>
      <c r="AA116" s="37">
        <v>5</v>
      </c>
      <c r="AB116" s="15"/>
      <c r="AC116" s="38">
        <f t="shared" si="58"/>
        <v>2.1763713869053949</v>
      </c>
      <c r="AD116" s="38">
        <f t="shared" si="59"/>
        <v>0</v>
      </c>
      <c r="AE116" s="38">
        <f t="shared" si="60"/>
        <v>1.7993676451268354</v>
      </c>
      <c r="AF116" s="38">
        <f t="shared" si="61"/>
        <v>0</v>
      </c>
      <c r="AG116" s="38">
        <f t="shared" si="62"/>
        <v>1.7452600287058077E-2</v>
      </c>
      <c r="AH116" s="38">
        <f t="shared" si="63"/>
        <v>0</v>
      </c>
      <c r="AI116" s="38">
        <f t="shared" si="64"/>
        <v>0</v>
      </c>
      <c r="AJ116" s="38">
        <f t="shared" si="65"/>
        <v>0.84917705356283568</v>
      </c>
      <c r="AK116" s="38">
        <f t="shared" si="66"/>
        <v>0.16046792717401992</v>
      </c>
      <c r="AL116" s="38">
        <f t="shared" si="67"/>
        <v>2.6842821241082138E-3</v>
      </c>
      <c r="AM116" s="38">
        <f t="shared" si="68"/>
        <v>0</v>
      </c>
      <c r="AN116" s="38">
        <f t="shared" si="69"/>
        <v>0</v>
      </c>
      <c r="AO116" s="38">
        <f t="shared" si="70"/>
        <v>0</v>
      </c>
      <c r="AP116" s="38">
        <f t="shared" si="71"/>
        <v>5.0055208951802523</v>
      </c>
      <c r="AQ116" s="38">
        <f t="shared" si="72"/>
        <v>3.9757390320322301</v>
      </c>
      <c r="AR116" s="38">
        <f t="shared" si="73"/>
        <v>1.0123292628609637</v>
      </c>
      <c r="AS116" s="40"/>
      <c r="AT116" s="38">
        <f t="shared" si="74"/>
        <v>2.1739709337753368</v>
      </c>
      <c r="AU116" s="38">
        <f t="shared" si="75"/>
        <v>0</v>
      </c>
      <c r="AV116" s="38">
        <f t="shared" si="76"/>
        <v>1.7973830124846966</v>
      </c>
      <c r="AW116" s="38">
        <f t="shared" si="77"/>
        <v>0</v>
      </c>
      <c r="AX116" s="38">
        <f t="shared" si="78"/>
        <v>0</v>
      </c>
      <c r="AY116" s="38">
        <f t="shared" si="79"/>
        <v>1.7433350746635528E-2</v>
      </c>
      <c r="AZ116" s="38">
        <f t="shared" si="80"/>
        <v>0</v>
      </c>
      <c r="BA116" s="38">
        <f t="shared" si="81"/>
        <v>0</v>
      </c>
      <c r="BB116" s="38">
        <f t="shared" si="82"/>
        <v>0.84824044424676825</v>
      </c>
      <c r="BC116" s="38">
        <f t="shared" si="83"/>
        <v>0.16029093728140492</v>
      </c>
      <c r="BD116" s="38">
        <f t="shared" si="84"/>
        <v>2.681321465157475E-3</v>
      </c>
      <c r="BE116" s="38">
        <f t="shared" si="85"/>
        <v>0</v>
      </c>
      <c r="BF116" s="38">
        <f t="shared" si="86"/>
        <v>0</v>
      </c>
      <c r="BG116" s="38">
        <f t="shared" si="87"/>
        <v>0</v>
      </c>
      <c r="BH116" s="41">
        <f t="shared" si="88"/>
        <v>5</v>
      </c>
      <c r="BI116" s="42">
        <f t="shared" si="89"/>
        <v>7.9998929860177208</v>
      </c>
      <c r="BJ116" s="38">
        <f t="shared" si="90"/>
        <v>3.9713539462600336</v>
      </c>
      <c r="BK116" s="38">
        <f t="shared" si="91"/>
        <v>1.0112127029933307</v>
      </c>
      <c r="BL116" s="16"/>
      <c r="BM116" s="16">
        <f t="shared" si="92"/>
        <v>0.838834838343959</v>
      </c>
      <c r="BN116" s="16">
        <f t="shared" si="93"/>
        <v>0.15851357168172572</v>
      </c>
      <c r="BO116" s="16">
        <f t="shared" si="94"/>
        <v>2.6515899743153834E-3</v>
      </c>
      <c r="BP116" s="15"/>
      <c r="BQ116" s="38">
        <f t="shared" si="95"/>
        <v>0.77463382157123839</v>
      </c>
      <c r="BR116" s="38">
        <f t="shared" si="96"/>
        <v>0</v>
      </c>
      <c r="BS116" s="38">
        <f t="shared" si="97"/>
        <v>0.6404472342094939</v>
      </c>
      <c r="BT116" s="38">
        <f t="shared" si="98"/>
        <v>0</v>
      </c>
      <c r="BU116" s="38">
        <f t="shared" si="99"/>
        <v>6.2118876116738653E-3</v>
      </c>
      <c r="BV116" s="38">
        <f t="shared" si="100"/>
        <v>0</v>
      </c>
      <c r="BW116" s="38">
        <f t="shared" si="101"/>
        <v>0</v>
      </c>
      <c r="BX116" s="38">
        <f t="shared" si="102"/>
        <v>0.30224679029957202</v>
      </c>
      <c r="BY116" s="38">
        <f t="shared" si="103"/>
        <v>5.7115198451113264E-2</v>
      </c>
      <c r="BZ116" s="38">
        <f t="shared" si="104"/>
        <v>9.554140127388534E-4</v>
      </c>
      <c r="CA116" s="38">
        <f t="shared" si="105"/>
        <v>0</v>
      </c>
      <c r="CB116" s="38">
        <f t="shared" si="106"/>
        <v>0</v>
      </c>
      <c r="CC116" s="38">
        <f t="shared" si="107"/>
        <v>0</v>
      </c>
      <c r="CD116" s="38">
        <f t="shared" si="108"/>
        <v>1.7816103461558304</v>
      </c>
      <c r="CE116" s="38">
        <f t="shared" si="109"/>
        <v>2.8474324785998895</v>
      </c>
      <c r="CF116" s="38">
        <f t="shared" si="110"/>
        <v>2.8064498001981573</v>
      </c>
      <c r="CG116" s="38">
        <f t="shared" si="111"/>
        <v>7.9911763106444038</v>
      </c>
      <c r="CH116" s="15"/>
      <c r="CI116" s="16"/>
      <c r="CJ116" s="13"/>
      <c r="CK116" s="104"/>
      <c r="CL116" s="13"/>
      <c r="CM116" s="13"/>
      <c r="CN116" s="13"/>
      <c r="CO116" s="16"/>
      <c r="CP116" s="16"/>
      <c r="CQ116" s="16"/>
      <c r="CR116" s="16"/>
      <c r="CS116" s="16"/>
      <c r="CT116" s="16"/>
      <c r="CU116" s="16"/>
      <c r="CV116" s="16"/>
      <c r="CW116" s="16"/>
      <c r="CX116" s="16"/>
      <c r="CY116" s="104"/>
      <c r="CZ116" s="104"/>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3"/>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row>
    <row r="117" spans="1:167" x14ac:dyDescent="0.25">
      <c r="A117" s="35" t="s">
        <v>188</v>
      </c>
      <c r="B117" s="15">
        <v>472</v>
      </c>
      <c r="C117" s="102" t="s">
        <v>98</v>
      </c>
      <c r="D117" s="102" t="s">
        <v>106</v>
      </c>
      <c r="E117" s="15">
        <v>76</v>
      </c>
      <c r="F117" s="16">
        <v>59.11</v>
      </c>
      <c r="G117" s="16"/>
      <c r="H117" s="16">
        <v>24.64</v>
      </c>
      <c r="I117" s="16"/>
      <c r="J117" s="16">
        <v>0.34284171690812565</v>
      </c>
      <c r="K117" s="16"/>
      <c r="L117" s="16"/>
      <c r="M117" s="16">
        <v>7.29</v>
      </c>
      <c r="N117" s="16">
        <v>7.52</v>
      </c>
      <c r="O117" s="16">
        <v>0.53800000000000003</v>
      </c>
      <c r="P117" s="16"/>
      <c r="Q117" s="16"/>
      <c r="R117" s="16"/>
      <c r="S117" s="16">
        <f t="shared" si="57"/>
        <v>99.440841716908125</v>
      </c>
      <c r="T117" s="16"/>
      <c r="U117" s="15">
        <v>3</v>
      </c>
      <c r="V117" s="15"/>
      <c r="W117" s="15"/>
      <c r="X117" s="15" t="s">
        <v>186</v>
      </c>
      <c r="Y117" s="15"/>
      <c r="Z117" s="37">
        <v>8</v>
      </c>
      <c r="AA117" s="37">
        <v>5</v>
      </c>
      <c r="AB117" s="15"/>
      <c r="AC117" s="38">
        <f t="shared" si="58"/>
        <v>2.66401260047691</v>
      </c>
      <c r="AD117" s="38">
        <f t="shared" si="59"/>
        <v>0</v>
      </c>
      <c r="AE117" s="38">
        <f t="shared" si="60"/>
        <v>1.3087181083890989</v>
      </c>
      <c r="AF117" s="38">
        <f t="shared" si="61"/>
        <v>0</v>
      </c>
      <c r="AG117" s="38">
        <f t="shared" si="62"/>
        <v>1.2920286029137156E-2</v>
      </c>
      <c r="AH117" s="38">
        <f t="shared" si="63"/>
        <v>0</v>
      </c>
      <c r="AI117" s="38">
        <f t="shared" si="64"/>
        <v>0</v>
      </c>
      <c r="AJ117" s="38">
        <f t="shared" si="65"/>
        <v>0.35198549151850844</v>
      </c>
      <c r="AK117" s="38">
        <f t="shared" si="66"/>
        <v>0.6570546658928067</v>
      </c>
      <c r="AL117" s="38">
        <f t="shared" si="67"/>
        <v>3.0929051936965619E-2</v>
      </c>
      <c r="AM117" s="38">
        <f t="shared" si="68"/>
        <v>0</v>
      </c>
      <c r="AN117" s="38">
        <f t="shared" si="69"/>
        <v>0</v>
      </c>
      <c r="AO117" s="38">
        <f t="shared" si="70"/>
        <v>0</v>
      </c>
      <c r="AP117" s="38">
        <f t="shared" si="71"/>
        <v>5.0256202042434257</v>
      </c>
      <c r="AQ117" s="38">
        <f t="shared" si="72"/>
        <v>3.9727307088660089</v>
      </c>
      <c r="AR117" s="38">
        <f t="shared" si="73"/>
        <v>1.0399692093482809</v>
      </c>
      <c r="AS117" s="40"/>
      <c r="AT117" s="38">
        <f t="shared" si="74"/>
        <v>2.6504316802805028</v>
      </c>
      <c r="AU117" s="38">
        <f t="shared" si="75"/>
        <v>0</v>
      </c>
      <c r="AV117" s="38">
        <f t="shared" si="76"/>
        <v>1.3020463696043636</v>
      </c>
      <c r="AW117" s="38">
        <f t="shared" si="77"/>
        <v>0</v>
      </c>
      <c r="AX117" s="38">
        <f t="shared" si="78"/>
        <v>0</v>
      </c>
      <c r="AY117" s="38">
        <f t="shared" si="79"/>
        <v>1.2854419458744413E-2</v>
      </c>
      <c r="AZ117" s="38">
        <f t="shared" si="80"/>
        <v>0</v>
      </c>
      <c r="BA117" s="38">
        <f t="shared" si="81"/>
        <v>0</v>
      </c>
      <c r="BB117" s="38">
        <f t="shared" si="82"/>
        <v>0.3501910980273702</v>
      </c>
      <c r="BC117" s="38">
        <f t="shared" si="83"/>
        <v>0.65370505449060468</v>
      </c>
      <c r="BD117" s="38">
        <f t="shared" si="84"/>
        <v>3.0771378138414039E-2</v>
      </c>
      <c r="BE117" s="38">
        <f t="shared" si="85"/>
        <v>0</v>
      </c>
      <c r="BF117" s="38">
        <f t="shared" si="86"/>
        <v>0</v>
      </c>
      <c r="BG117" s="38">
        <f t="shared" si="87"/>
        <v>0</v>
      </c>
      <c r="BH117" s="41">
        <f t="shared" si="88"/>
        <v>5</v>
      </c>
      <c r="BI117" s="42">
        <f t="shared" si="89"/>
        <v>7.9656438584975469</v>
      </c>
      <c r="BJ117" s="38">
        <f t="shared" si="90"/>
        <v>3.9524780498848662</v>
      </c>
      <c r="BK117" s="38">
        <f t="shared" si="91"/>
        <v>1.0346675306563888</v>
      </c>
      <c r="BL117" s="16"/>
      <c r="BM117" s="16">
        <f t="shared" si="92"/>
        <v>0.3384576085085132</v>
      </c>
      <c r="BN117" s="16">
        <f t="shared" si="93"/>
        <v>0.6318020379704935</v>
      </c>
      <c r="BO117" s="16">
        <f t="shared" si="94"/>
        <v>2.9740353520993162E-2</v>
      </c>
      <c r="BP117" s="15"/>
      <c r="BQ117" s="38">
        <f t="shared" si="95"/>
        <v>0.9838548601864181</v>
      </c>
      <c r="BR117" s="38">
        <f t="shared" si="96"/>
        <v>0</v>
      </c>
      <c r="BS117" s="38">
        <f t="shared" si="97"/>
        <v>0.48332679482149865</v>
      </c>
      <c r="BT117" s="38">
        <f t="shared" si="98"/>
        <v>0</v>
      </c>
      <c r="BU117" s="38">
        <f t="shared" si="99"/>
        <v>4.7716314113865786E-3</v>
      </c>
      <c r="BV117" s="38">
        <f t="shared" si="100"/>
        <v>0</v>
      </c>
      <c r="BW117" s="38">
        <f t="shared" si="101"/>
        <v>0</v>
      </c>
      <c r="BX117" s="38">
        <f t="shared" si="102"/>
        <v>0.12999286733238233</v>
      </c>
      <c r="BY117" s="38">
        <f t="shared" si="103"/>
        <v>0.24265892223297839</v>
      </c>
      <c r="BZ117" s="38">
        <f t="shared" si="104"/>
        <v>1.1422505307855626E-2</v>
      </c>
      <c r="CA117" s="38">
        <f t="shared" si="105"/>
        <v>0</v>
      </c>
      <c r="CB117" s="38">
        <f t="shared" si="106"/>
        <v>0</v>
      </c>
      <c r="CC117" s="38">
        <f t="shared" si="107"/>
        <v>0</v>
      </c>
      <c r="CD117" s="38">
        <f t="shared" si="108"/>
        <v>1.8560275812925198</v>
      </c>
      <c r="CE117" s="38">
        <f t="shared" si="109"/>
        <v>2.9545051251192702</v>
      </c>
      <c r="CF117" s="38">
        <f t="shared" si="110"/>
        <v>2.6939254838648723</v>
      </c>
      <c r="CG117" s="38">
        <f t="shared" si="111"/>
        <v>7.9592166487681748</v>
      </c>
      <c r="CH117" s="15"/>
      <c r="CI117" s="16"/>
      <c r="CJ117" s="13"/>
      <c r="CK117" s="104"/>
      <c r="CL117" s="13"/>
      <c r="CM117" s="13"/>
      <c r="CN117" s="13"/>
      <c r="CO117" s="16"/>
      <c r="CP117" s="16"/>
      <c r="CQ117" s="16"/>
      <c r="CR117" s="16"/>
      <c r="CS117" s="16"/>
      <c r="CT117" s="16"/>
      <c r="CU117" s="16"/>
      <c r="CV117" s="16"/>
      <c r="CW117" s="16"/>
      <c r="CX117" s="16"/>
      <c r="CY117" s="104"/>
      <c r="CZ117" s="104"/>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3"/>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row>
    <row r="118" spans="1:167" x14ac:dyDescent="0.25">
      <c r="A118" s="35" t="s">
        <v>188</v>
      </c>
      <c r="B118" s="15">
        <v>473</v>
      </c>
      <c r="C118" s="102" t="s">
        <v>98</v>
      </c>
      <c r="D118" s="102" t="s">
        <v>106</v>
      </c>
      <c r="E118" s="15">
        <v>77</v>
      </c>
      <c r="F118" s="16">
        <v>65.98</v>
      </c>
      <c r="G118" s="16"/>
      <c r="H118" s="16">
        <v>18.260000000000002</v>
      </c>
      <c r="I118" s="16"/>
      <c r="J118" s="16">
        <v>0.13227751282282013</v>
      </c>
      <c r="K118" s="16"/>
      <c r="L118" s="16"/>
      <c r="M118" s="16">
        <v>0.45100000000000001</v>
      </c>
      <c r="N118" s="16">
        <v>4.82</v>
      </c>
      <c r="O118" s="16">
        <v>9.75</v>
      </c>
      <c r="P118" s="16"/>
      <c r="Q118" s="16"/>
      <c r="R118" s="16"/>
      <c r="S118" s="16">
        <f t="shared" si="57"/>
        <v>99.393277512822834</v>
      </c>
      <c r="T118" s="16"/>
      <c r="U118" s="15">
        <v>3</v>
      </c>
      <c r="V118" s="15"/>
      <c r="W118" s="15"/>
      <c r="X118" s="15" t="s">
        <v>186</v>
      </c>
      <c r="Y118" s="15"/>
      <c r="Z118" s="37">
        <v>8</v>
      </c>
      <c r="AA118" s="37">
        <v>5</v>
      </c>
      <c r="AB118" s="15"/>
      <c r="AC118" s="38">
        <f t="shared" si="58"/>
        <v>3.0038075080052162</v>
      </c>
      <c r="AD118" s="38">
        <f t="shared" si="59"/>
        <v>0</v>
      </c>
      <c r="AE118" s="38">
        <f t="shared" si="60"/>
        <v>0.97969446254984871</v>
      </c>
      <c r="AF118" s="38">
        <f t="shared" si="61"/>
        <v>0</v>
      </c>
      <c r="AG118" s="38">
        <f t="shared" si="62"/>
        <v>5.0355737297376338E-3</v>
      </c>
      <c r="AH118" s="38">
        <f t="shared" si="63"/>
        <v>0</v>
      </c>
      <c r="AI118" s="38">
        <f t="shared" si="64"/>
        <v>0</v>
      </c>
      <c r="AJ118" s="38">
        <f t="shared" si="65"/>
        <v>2.1996736286076291E-2</v>
      </c>
      <c r="AK118" s="38">
        <f t="shared" si="66"/>
        <v>0.42541732579851044</v>
      </c>
      <c r="AL118" s="38">
        <f t="shared" si="67"/>
        <v>0.56620463449945113</v>
      </c>
      <c r="AM118" s="38">
        <f t="shared" si="68"/>
        <v>0</v>
      </c>
      <c r="AN118" s="38">
        <f t="shared" si="69"/>
        <v>0</v>
      </c>
      <c r="AO118" s="38">
        <f t="shared" si="70"/>
        <v>0</v>
      </c>
      <c r="AP118" s="38">
        <f t="shared" si="71"/>
        <v>5.0021562408688407</v>
      </c>
      <c r="AQ118" s="38">
        <f t="shared" si="72"/>
        <v>3.9835019705550652</v>
      </c>
      <c r="AR118" s="38">
        <f t="shared" si="73"/>
        <v>1.0136186965840379</v>
      </c>
      <c r="AS118" s="40"/>
      <c r="AT118" s="38">
        <f t="shared" si="74"/>
        <v>3.0025126798952955</v>
      </c>
      <c r="AU118" s="38">
        <f t="shared" si="75"/>
        <v>0</v>
      </c>
      <c r="AV118" s="38">
        <f t="shared" si="76"/>
        <v>0.97927215322214956</v>
      </c>
      <c r="AW118" s="38">
        <f t="shared" si="77"/>
        <v>0</v>
      </c>
      <c r="AX118" s="38">
        <f t="shared" si="78"/>
        <v>0</v>
      </c>
      <c r="AY118" s="38">
        <f t="shared" si="79"/>
        <v>5.0334030838498833E-3</v>
      </c>
      <c r="AZ118" s="38">
        <f t="shared" si="80"/>
        <v>0</v>
      </c>
      <c r="BA118" s="38">
        <f t="shared" si="81"/>
        <v>0</v>
      </c>
      <c r="BB118" s="38">
        <f t="shared" si="82"/>
        <v>2.1987254322803403E-2</v>
      </c>
      <c r="BC118" s="38">
        <f t="shared" si="83"/>
        <v>0.42523394443654788</v>
      </c>
      <c r="BD118" s="38">
        <f t="shared" si="84"/>
        <v>0.56596056503935299</v>
      </c>
      <c r="BE118" s="38">
        <f t="shared" si="85"/>
        <v>0</v>
      </c>
      <c r="BF118" s="38">
        <f t="shared" si="86"/>
        <v>0</v>
      </c>
      <c r="BG118" s="38">
        <f t="shared" si="87"/>
        <v>0</v>
      </c>
      <c r="BH118" s="41">
        <f t="shared" si="88"/>
        <v>4.9999999999999991</v>
      </c>
      <c r="BI118" s="42">
        <f t="shared" si="89"/>
        <v>7.999068203310344</v>
      </c>
      <c r="BJ118" s="38">
        <f t="shared" si="90"/>
        <v>3.981784833117445</v>
      </c>
      <c r="BK118" s="38">
        <f t="shared" si="91"/>
        <v>1.0131817637987042</v>
      </c>
      <c r="BL118" s="16"/>
      <c r="BM118" s="16">
        <f t="shared" si="92"/>
        <v>2.1701194305320873E-2</v>
      </c>
      <c r="BN118" s="16">
        <f t="shared" si="93"/>
        <v>0.41970153789802317</v>
      </c>
      <c r="BO118" s="16">
        <f t="shared" si="94"/>
        <v>0.55859726779665586</v>
      </c>
      <c r="BP118" s="15"/>
      <c r="BQ118" s="38">
        <f t="shared" si="95"/>
        <v>1.0982023968042611</v>
      </c>
      <c r="BR118" s="38">
        <f t="shared" si="96"/>
        <v>0</v>
      </c>
      <c r="BS118" s="38">
        <f t="shared" si="97"/>
        <v>0.3581796783052178</v>
      </c>
      <c r="BT118" s="38">
        <f t="shared" si="98"/>
        <v>0</v>
      </c>
      <c r="BU118" s="38">
        <f t="shared" si="99"/>
        <v>1.8410231429759241E-3</v>
      </c>
      <c r="BV118" s="38">
        <f t="shared" si="100"/>
        <v>0</v>
      </c>
      <c r="BW118" s="38">
        <f t="shared" si="101"/>
        <v>0</v>
      </c>
      <c r="BX118" s="38">
        <f t="shared" si="102"/>
        <v>8.0420827389443665E-3</v>
      </c>
      <c r="BY118" s="38">
        <f t="shared" si="103"/>
        <v>0.15553404323975478</v>
      </c>
      <c r="BZ118" s="38">
        <f t="shared" si="104"/>
        <v>0.20700636942675157</v>
      </c>
      <c r="CA118" s="38">
        <f t="shared" si="105"/>
        <v>0</v>
      </c>
      <c r="CB118" s="38">
        <f t="shared" si="106"/>
        <v>0</v>
      </c>
      <c r="CC118" s="38">
        <f t="shared" si="107"/>
        <v>0</v>
      </c>
      <c r="CD118" s="38">
        <f t="shared" si="108"/>
        <v>1.8288055936579057</v>
      </c>
      <c r="CE118" s="38">
        <f t="shared" si="109"/>
        <v>2.924827623281522</v>
      </c>
      <c r="CF118" s="38">
        <f t="shared" si="110"/>
        <v>2.7340248834208749</v>
      </c>
      <c r="CG118" s="38">
        <f t="shared" si="111"/>
        <v>7.9965515017684181</v>
      </c>
      <c r="CH118" s="15"/>
      <c r="CI118" s="16"/>
      <c r="CJ118" s="13"/>
      <c r="CK118" s="104"/>
      <c r="CL118" s="13"/>
      <c r="CM118" s="13"/>
      <c r="CN118" s="13"/>
      <c r="CO118" s="16"/>
      <c r="CP118" s="16"/>
      <c r="CQ118" s="16"/>
      <c r="CR118" s="16"/>
      <c r="CS118" s="16"/>
      <c r="CT118" s="16"/>
      <c r="CU118" s="16"/>
      <c r="CV118" s="16"/>
      <c r="CW118" s="16"/>
      <c r="CX118" s="16"/>
      <c r="CY118" s="104"/>
      <c r="CZ118" s="104"/>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3"/>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row>
    <row r="119" spans="1:167" x14ac:dyDescent="0.25">
      <c r="A119" s="35" t="s">
        <v>188</v>
      </c>
      <c r="B119" s="15">
        <v>474</v>
      </c>
      <c r="C119" s="102" t="s">
        <v>98</v>
      </c>
      <c r="D119" s="102" t="s">
        <v>106</v>
      </c>
      <c r="E119" s="15">
        <v>78</v>
      </c>
      <c r="F119" s="16">
        <v>52.67</v>
      </c>
      <c r="G119" s="16"/>
      <c r="H119" s="16">
        <v>28.44</v>
      </c>
      <c r="I119" s="16"/>
      <c r="J119" s="16">
        <v>0.58400071987762081</v>
      </c>
      <c r="K119" s="16"/>
      <c r="L119" s="16"/>
      <c r="M119" s="16">
        <v>12.21</v>
      </c>
      <c r="N119" s="16">
        <v>4.5599999999999996</v>
      </c>
      <c r="O119" s="16">
        <v>0.27</v>
      </c>
      <c r="P119" s="16"/>
      <c r="Q119" s="16"/>
      <c r="R119" s="16"/>
      <c r="S119" s="16">
        <f t="shared" si="57"/>
        <v>98.734000719877614</v>
      </c>
      <c r="T119" s="16"/>
      <c r="U119" s="15">
        <v>4</v>
      </c>
      <c r="V119" s="15"/>
      <c r="W119" s="15"/>
      <c r="X119" s="15" t="s">
        <v>185</v>
      </c>
      <c r="Y119" s="15"/>
      <c r="Z119" s="37">
        <v>8</v>
      </c>
      <c r="AA119" s="37">
        <v>5</v>
      </c>
      <c r="AB119" s="15"/>
      <c r="AC119" s="38">
        <f t="shared" si="58"/>
        <v>2.4247234655820105</v>
      </c>
      <c r="AD119" s="38">
        <f t="shared" si="59"/>
        <v>0</v>
      </c>
      <c r="AE119" s="38">
        <f t="shared" si="60"/>
        <v>1.5429739075383302</v>
      </c>
      <c r="AF119" s="38">
        <f t="shared" si="61"/>
        <v>0</v>
      </c>
      <c r="AG119" s="38">
        <f t="shared" si="62"/>
        <v>2.2480989928148766E-2</v>
      </c>
      <c r="AH119" s="38">
        <f t="shared" si="63"/>
        <v>0</v>
      </c>
      <c r="AI119" s="38">
        <f t="shared" si="64"/>
        <v>0</v>
      </c>
      <c r="AJ119" s="38">
        <f t="shared" si="65"/>
        <v>0.60219407761301202</v>
      </c>
      <c r="AK119" s="38">
        <f t="shared" si="66"/>
        <v>0.40697908167457775</v>
      </c>
      <c r="AL119" s="38">
        <f t="shared" si="67"/>
        <v>1.5855198300069352E-2</v>
      </c>
      <c r="AM119" s="38">
        <f t="shared" si="68"/>
        <v>0</v>
      </c>
      <c r="AN119" s="38">
        <f t="shared" si="69"/>
        <v>0</v>
      </c>
      <c r="AO119" s="38">
        <f t="shared" si="70"/>
        <v>0</v>
      </c>
      <c r="AP119" s="38">
        <f t="shared" si="71"/>
        <v>5.0152067206361481</v>
      </c>
      <c r="AQ119" s="38">
        <f t="shared" si="72"/>
        <v>3.9676973731203407</v>
      </c>
      <c r="AR119" s="38">
        <f t="shared" si="73"/>
        <v>1.0250283575876593</v>
      </c>
      <c r="AS119" s="40"/>
      <c r="AT119" s="38">
        <f t="shared" si="74"/>
        <v>2.4173714072492398</v>
      </c>
      <c r="AU119" s="38">
        <f t="shared" si="75"/>
        <v>0</v>
      </c>
      <c r="AV119" s="38">
        <f t="shared" si="76"/>
        <v>1.5382954217913207</v>
      </c>
      <c r="AW119" s="38">
        <f t="shared" si="77"/>
        <v>0</v>
      </c>
      <c r="AX119" s="38">
        <f t="shared" si="78"/>
        <v>0</v>
      </c>
      <c r="AY119" s="38">
        <f t="shared" si="79"/>
        <v>2.2412824815022967E-2</v>
      </c>
      <c r="AZ119" s="38">
        <f t="shared" si="80"/>
        <v>0</v>
      </c>
      <c r="BA119" s="38">
        <f t="shared" si="81"/>
        <v>0</v>
      </c>
      <c r="BB119" s="38">
        <f t="shared" si="82"/>
        <v>0.60036815146138922</v>
      </c>
      <c r="BC119" s="38">
        <f t="shared" si="83"/>
        <v>0.40574507128487308</v>
      </c>
      <c r="BD119" s="38">
        <f t="shared" si="84"/>
        <v>1.5807123398153978E-2</v>
      </c>
      <c r="BE119" s="38">
        <f t="shared" si="85"/>
        <v>0</v>
      </c>
      <c r="BF119" s="38">
        <f t="shared" si="86"/>
        <v>0</v>
      </c>
      <c r="BG119" s="38">
        <f t="shared" si="87"/>
        <v>0</v>
      </c>
      <c r="BH119" s="41">
        <f t="shared" si="88"/>
        <v>4.9999999999999991</v>
      </c>
      <c r="BI119" s="42">
        <f t="shared" si="89"/>
        <v>7.9869494332108975</v>
      </c>
      <c r="BJ119" s="38">
        <f t="shared" si="90"/>
        <v>3.9556668290405606</v>
      </c>
      <c r="BK119" s="38">
        <f t="shared" si="91"/>
        <v>1.0219203461444164</v>
      </c>
      <c r="BL119" s="16"/>
      <c r="BM119" s="16">
        <f t="shared" si="92"/>
        <v>0.58749016371628826</v>
      </c>
      <c r="BN119" s="16">
        <f t="shared" si="93"/>
        <v>0.39704177807566005</v>
      </c>
      <c r="BO119" s="16">
        <f t="shared" si="94"/>
        <v>1.546805820805151E-2</v>
      </c>
      <c r="BP119" s="15"/>
      <c r="BQ119" s="38">
        <f t="shared" si="95"/>
        <v>0.87666444740346205</v>
      </c>
      <c r="BR119" s="38">
        <f t="shared" si="96"/>
        <v>0</v>
      </c>
      <c r="BS119" s="38">
        <f t="shared" si="97"/>
        <v>0.55786582973715193</v>
      </c>
      <c r="BT119" s="38">
        <f t="shared" si="98"/>
        <v>0</v>
      </c>
      <c r="BU119" s="38">
        <f t="shared" si="99"/>
        <v>8.1280545564039082E-3</v>
      </c>
      <c r="BV119" s="38">
        <f t="shared" si="100"/>
        <v>0</v>
      </c>
      <c r="BW119" s="38">
        <f t="shared" si="101"/>
        <v>0</v>
      </c>
      <c r="BX119" s="38">
        <f t="shared" si="102"/>
        <v>0.21772467902995724</v>
      </c>
      <c r="BY119" s="38">
        <f t="shared" si="103"/>
        <v>0.14714424007744434</v>
      </c>
      <c r="BZ119" s="38">
        <f t="shared" si="104"/>
        <v>5.7324840764331215E-3</v>
      </c>
      <c r="CA119" s="38">
        <f t="shared" si="105"/>
        <v>0</v>
      </c>
      <c r="CB119" s="38">
        <f t="shared" si="106"/>
        <v>0</v>
      </c>
      <c r="CC119" s="38">
        <f t="shared" si="107"/>
        <v>0</v>
      </c>
      <c r="CD119" s="38">
        <f t="shared" si="108"/>
        <v>1.8132597348808528</v>
      </c>
      <c r="CE119" s="38">
        <f t="shared" si="109"/>
        <v>2.8924187350759518</v>
      </c>
      <c r="CF119" s="38">
        <f t="shared" si="110"/>
        <v>2.7574648594557494</v>
      </c>
      <c r="CG119" s="38">
        <f t="shared" si="111"/>
        <v>7.9757430208033862</v>
      </c>
      <c r="CH119" s="15"/>
      <c r="CI119" s="16"/>
      <c r="CJ119" s="13"/>
      <c r="CK119" s="104"/>
      <c r="CL119" s="13"/>
      <c r="CM119" s="13"/>
      <c r="CN119" s="13"/>
      <c r="CO119" s="16"/>
      <c r="CP119" s="16"/>
      <c r="CQ119" s="16"/>
      <c r="CR119" s="16"/>
      <c r="CS119" s="16"/>
      <c r="CT119" s="16"/>
      <c r="CU119" s="16"/>
      <c r="CV119" s="16"/>
      <c r="CW119" s="16"/>
      <c r="CX119" s="16"/>
      <c r="CY119" s="104"/>
      <c r="CZ119" s="104"/>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3"/>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row>
    <row r="120" spans="1:167" x14ac:dyDescent="0.25">
      <c r="A120" s="35" t="s">
        <v>188</v>
      </c>
      <c r="B120" s="15">
        <v>475</v>
      </c>
      <c r="C120" s="102" t="s">
        <v>98</v>
      </c>
      <c r="D120" s="102" t="s">
        <v>106</v>
      </c>
      <c r="E120" s="15">
        <v>79</v>
      </c>
      <c r="F120" s="16">
        <v>51.57</v>
      </c>
      <c r="G120" s="16"/>
      <c r="H120" s="16">
        <v>30.12</v>
      </c>
      <c r="I120" s="16"/>
      <c r="J120" s="16">
        <v>0.65598848195806714</v>
      </c>
      <c r="K120" s="16"/>
      <c r="L120" s="16"/>
      <c r="M120" s="16">
        <v>13.39</v>
      </c>
      <c r="N120" s="16">
        <v>3.83</v>
      </c>
      <c r="O120" s="16">
        <v>0.20399999999999999</v>
      </c>
      <c r="P120" s="16"/>
      <c r="Q120" s="16"/>
      <c r="R120" s="16"/>
      <c r="S120" s="16">
        <f t="shared" si="57"/>
        <v>99.769988481958052</v>
      </c>
      <c r="T120" s="16"/>
      <c r="U120" s="15">
        <v>4</v>
      </c>
      <c r="V120" s="15"/>
      <c r="W120" s="15"/>
      <c r="X120" s="15" t="s">
        <v>185</v>
      </c>
      <c r="Y120" s="15"/>
      <c r="Z120" s="37">
        <v>8</v>
      </c>
      <c r="AA120" s="37">
        <v>5</v>
      </c>
      <c r="AB120" s="15"/>
      <c r="AC120" s="38">
        <f t="shared" si="58"/>
        <v>2.3558570005553316</v>
      </c>
      <c r="AD120" s="38">
        <f t="shared" si="59"/>
        <v>0</v>
      </c>
      <c r="AE120" s="38">
        <f t="shared" si="60"/>
        <v>1.6215743064526071</v>
      </c>
      <c r="AF120" s="38">
        <f t="shared" si="61"/>
        <v>0</v>
      </c>
      <c r="AG120" s="38">
        <f t="shared" si="62"/>
        <v>2.5058274334774644E-2</v>
      </c>
      <c r="AH120" s="38">
        <f t="shared" si="63"/>
        <v>0</v>
      </c>
      <c r="AI120" s="38">
        <f t="shared" si="64"/>
        <v>0</v>
      </c>
      <c r="AJ120" s="38">
        <f t="shared" si="65"/>
        <v>0.65532130899497165</v>
      </c>
      <c r="AK120" s="38">
        <f t="shared" si="66"/>
        <v>0.33920239948832553</v>
      </c>
      <c r="AL120" s="38">
        <f t="shared" si="67"/>
        <v>1.1887512273032846E-2</v>
      </c>
      <c r="AM120" s="38">
        <f t="shared" si="68"/>
        <v>0</v>
      </c>
      <c r="AN120" s="38">
        <f t="shared" si="69"/>
        <v>0</v>
      </c>
      <c r="AO120" s="38">
        <f t="shared" si="70"/>
        <v>0</v>
      </c>
      <c r="AP120" s="38">
        <f t="shared" si="71"/>
        <v>5.0089008020990429</v>
      </c>
      <c r="AQ120" s="38">
        <f t="shared" si="72"/>
        <v>3.9774313070079388</v>
      </c>
      <c r="AR120" s="38">
        <f t="shared" si="73"/>
        <v>1.00641122075633</v>
      </c>
      <c r="AS120" s="40"/>
      <c r="AT120" s="38">
        <f t="shared" si="74"/>
        <v>2.3516706495445865</v>
      </c>
      <c r="AU120" s="38">
        <f t="shared" si="75"/>
        <v>0</v>
      </c>
      <c r="AV120" s="38">
        <f t="shared" si="76"/>
        <v>1.6186927736451338</v>
      </c>
      <c r="AW120" s="38">
        <f t="shared" si="77"/>
        <v>0</v>
      </c>
      <c r="AX120" s="38">
        <f t="shared" si="78"/>
        <v>0</v>
      </c>
      <c r="AY120" s="38">
        <f t="shared" si="79"/>
        <v>2.501374585445339E-2</v>
      </c>
      <c r="AZ120" s="38">
        <f t="shared" si="80"/>
        <v>0</v>
      </c>
      <c r="BA120" s="38">
        <f t="shared" si="81"/>
        <v>0</v>
      </c>
      <c r="BB120" s="38">
        <f t="shared" si="82"/>
        <v>0.65415680494246453</v>
      </c>
      <c r="BC120" s="38">
        <f t="shared" si="83"/>
        <v>0.33859963781492586</v>
      </c>
      <c r="BD120" s="38">
        <f t="shared" si="84"/>
        <v>1.1866388198435905E-2</v>
      </c>
      <c r="BE120" s="38">
        <f t="shared" si="85"/>
        <v>0</v>
      </c>
      <c r="BF120" s="38">
        <f t="shared" si="86"/>
        <v>0</v>
      </c>
      <c r="BG120" s="38">
        <f t="shared" si="87"/>
        <v>0</v>
      </c>
      <c r="BH120" s="41">
        <f t="shared" si="88"/>
        <v>4.9999999999999991</v>
      </c>
      <c r="BI120" s="42">
        <f t="shared" si="89"/>
        <v>7.9982908962876982</v>
      </c>
      <c r="BJ120" s="38">
        <f t="shared" si="90"/>
        <v>3.9703634231897205</v>
      </c>
      <c r="BK120" s="38">
        <f t="shared" si="91"/>
        <v>1.0046228309558263</v>
      </c>
      <c r="BL120" s="16"/>
      <c r="BM120" s="16">
        <f t="shared" si="92"/>
        <v>0.65114666398740051</v>
      </c>
      <c r="BN120" s="16">
        <f t="shared" si="93"/>
        <v>0.33704155169634425</v>
      </c>
      <c r="BO120" s="16">
        <f t="shared" si="94"/>
        <v>1.1811784316255177E-2</v>
      </c>
      <c r="BP120" s="15"/>
      <c r="BQ120" s="38">
        <f t="shared" si="95"/>
        <v>0.85835552596537956</v>
      </c>
      <c r="BR120" s="38">
        <f t="shared" si="96"/>
        <v>0</v>
      </c>
      <c r="BS120" s="38">
        <f t="shared" si="97"/>
        <v>0.59081992938407224</v>
      </c>
      <c r="BT120" s="38">
        <f t="shared" si="98"/>
        <v>0</v>
      </c>
      <c r="BU120" s="38">
        <f t="shared" si="99"/>
        <v>9.1299719131254994E-3</v>
      </c>
      <c r="BV120" s="38">
        <f t="shared" si="100"/>
        <v>0</v>
      </c>
      <c r="BW120" s="38">
        <f t="shared" si="101"/>
        <v>0</v>
      </c>
      <c r="BX120" s="38">
        <f t="shared" si="102"/>
        <v>0.23876604850213981</v>
      </c>
      <c r="BY120" s="38">
        <f t="shared" si="103"/>
        <v>0.12358825427557277</v>
      </c>
      <c r="BZ120" s="38">
        <f t="shared" si="104"/>
        <v>4.3312101910828018E-3</v>
      </c>
      <c r="CA120" s="38">
        <f t="shared" si="105"/>
        <v>0</v>
      </c>
      <c r="CB120" s="38">
        <f t="shared" si="106"/>
        <v>0</v>
      </c>
      <c r="CC120" s="38">
        <f t="shared" si="107"/>
        <v>0</v>
      </c>
      <c r="CD120" s="38">
        <f t="shared" si="108"/>
        <v>1.8249909402313729</v>
      </c>
      <c r="CE120" s="38">
        <f t="shared" si="109"/>
        <v>2.914796698655461</v>
      </c>
      <c r="CF120" s="38">
        <f t="shared" si="110"/>
        <v>2.7397396281682904</v>
      </c>
      <c r="CG120" s="38">
        <f t="shared" si="111"/>
        <v>7.9857840233604733</v>
      </c>
      <c r="CH120" s="15"/>
      <c r="CI120" s="16"/>
      <c r="CJ120" s="13"/>
      <c r="CK120" s="104"/>
      <c r="CL120" s="13"/>
      <c r="CM120" s="13"/>
      <c r="CN120" s="13"/>
      <c r="CO120" s="16"/>
      <c r="CP120" s="16"/>
      <c r="CQ120" s="16"/>
      <c r="CR120" s="16"/>
      <c r="CS120" s="16"/>
      <c r="CT120" s="16"/>
      <c r="CU120" s="16"/>
      <c r="CV120" s="16"/>
      <c r="CW120" s="16"/>
      <c r="CX120" s="16"/>
      <c r="CY120" s="104"/>
      <c r="CZ120" s="104"/>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3"/>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row>
    <row r="121" spans="1:167" x14ac:dyDescent="0.25">
      <c r="A121" s="35" t="s">
        <v>188</v>
      </c>
      <c r="B121" s="15">
        <v>476</v>
      </c>
      <c r="C121" s="102" t="s">
        <v>98</v>
      </c>
      <c r="D121" s="102" t="s">
        <v>106</v>
      </c>
      <c r="E121" s="15">
        <v>80</v>
      </c>
      <c r="F121" s="16">
        <v>54.69</v>
      </c>
      <c r="G121" s="16"/>
      <c r="H121" s="16">
        <v>26.96</v>
      </c>
      <c r="I121" s="16"/>
      <c r="J121" s="16">
        <v>0.51021326374516329</v>
      </c>
      <c r="K121" s="16"/>
      <c r="L121" s="16"/>
      <c r="M121" s="16">
        <v>10.5</v>
      </c>
      <c r="N121" s="16">
        <v>5.54</v>
      </c>
      <c r="O121" s="16">
        <v>0.35199999999999998</v>
      </c>
      <c r="P121" s="16"/>
      <c r="Q121" s="16"/>
      <c r="R121" s="16"/>
      <c r="S121" s="16">
        <f t="shared" si="57"/>
        <v>98.552213263745173</v>
      </c>
      <c r="T121" s="16"/>
      <c r="U121" s="15">
        <v>2</v>
      </c>
      <c r="V121" s="15"/>
      <c r="W121" s="15"/>
      <c r="X121" s="15" t="s">
        <v>185</v>
      </c>
      <c r="Y121" s="15"/>
      <c r="Z121" s="37">
        <v>8</v>
      </c>
      <c r="AA121" s="37">
        <v>5</v>
      </c>
      <c r="AB121" s="15"/>
      <c r="AC121" s="38">
        <f t="shared" si="58"/>
        <v>2.5100277067856522</v>
      </c>
      <c r="AD121" s="38">
        <f t="shared" si="59"/>
        <v>0</v>
      </c>
      <c r="AE121" s="38">
        <f t="shared" si="60"/>
        <v>1.4582116808790411</v>
      </c>
      <c r="AF121" s="38">
        <f t="shared" si="61"/>
        <v>0</v>
      </c>
      <c r="AG121" s="38">
        <f t="shared" si="62"/>
        <v>1.9580577121777753E-2</v>
      </c>
      <c r="AH121" s="38">
        <f t="shared" si="63"/>
        <v>0</v>
      </c>
      <c r="AI121" s="38">
        <f t="shared" si="64"/>
        <v>0</v>
      </c>
      <c r="AJ121" s="38">
        <f t="shared" si="65"/>
        <v>0.51627584974103191</v>
      </c>
      <c r="AK121" s="38">
        <f t="shared" si="66"/>
        <v>0.49293392055889912</v>
      </c>
      <c r="AL121" s="38">
        <f t="shared" si="67"/>
        <v>2.0607355935747505E-2</v>
      </c>
      <c r="AM121" s="38">
        <f t="shared" si="68"/>
        <v>0</v>
      </c>
      <c r="AN121" s="38">
        <f t="shared" si="69"/>
        <v>0</v>
      </c>
      <c r="AO121" s="38">
        <f t="shared" si="70"/>
        <v>0</v>
      </c>
      <c r="AP121" s="38">
        <f t="shared" si="71"/>
        <v>5.0176370910221495</v>
      </c>
      <c r="AQ121" s="38">
        <f t="shared" si="72"/>
        <v>3.9682393876646933</v>
      </c>
      <c r="AR121" s="38">
        <f t="shared" si="73"/>
        <v>1.0298171262356786</v>
      </c>
      <c r="AS121" s="40"/>
      <c r="AT121" s="38">
        <f t="shared" si="74"/>
        <v>2.501204911049407</v>
      </c>
      <c r="AU121" s="38">
        <f t="shared" si="75"/>
        <v>0</v>
      </c>
      <c r="AV121" s="38">
        <f t="shared" si="76"/>
        <v>1.4530860387334099</v>
      </c>
      <c r="AW121" s="38">
        <f t="shared" si="77"/>
        <v>0</v>
      </c>
      <c r="AX121" s="38">
        <f t="shared" si="78"/>
        <v>0</v>
      </c>
      <c r="AY121" s="38">
        <f t="shared" si="79"/>
        <v>1.9511751016043459E-2</v>
      </c>
      <c r="AZ121" s="38">
        <f t="shared" si="80"/>
        <v>0</v>
      </c>
      <c r="BA121" s="38">
        <f t="shared" si="81"/>
        <v>0</v>
      </c>
      <c r="BB121" s="38">
        <f t="shared" si="82"/>
        <v>0.51446113018494599</v>
      </c>
      <c r="BC121" s="38">
        <f t="shared" si="83"/>
        <v>0.49120124833348883</v>
      </c>
      <c r="BD121" s="38">
        <f t="shared" si="84"/>
        <v>2.0534920682704804E-2</v>
      </c>
      <c r="BE121" s="38">
        <f t="shared" si="85"/>
        <v>0</v>
      </c>
      <c r="BF121" s="38">
        <f t="shared" si="86"/>
        <v>0</v>
      </c>
      <c r="BG121" s="38">
        <f t="shared" si="87"/>
        <v>0</v>
      </c>
      <c r="BH121" s="41">
        <f t="shared" si="88"/>
        <v>5.0000000000000009</v>
      </c>
      <c r="BI121" s="42">
        <f t="shared" si="89"/>
        <v>7.9816357214160369</v>
      </c>
      <c r="BJ121" s="38">
        <f t="shared" si="90"/>
        <v>3.9542909497828171</v>
      </c>
      <c r="BK121" s="38">
        <f t="shared" si="91"/>
        <v>1.0261972992011397</v>
      </c>
      <c r="BL121" s="16"/>
      <c r="BM121" s="16">
        <f t="shared" si="92"/>
        <v>0.50132769847030079</v>
      </c>
      <c r="BN121" s="16">
        <f t="shared" si="93"/>
        <v>0.47866160699884192</v>
      </c>
      <c r="BO121" s="16">
        <f t="shared" si="94"/>
        <v>2.0010694530857329E-2</v>
      </c>
      <c r="BP121" s="15"/>
      <c r="BQ121" s="38">
        <f t="shared" si="95"/>
        <v>0.91028628495339547</v>
      </c>
      <c r="BR121" s="38">
        <f t="shared" si="96"/>
        <v>0</v>
      </c>
      <c r="BS121" s="38">
        <f t="shared" si="97"/>
        <v>0.5288348371910554</v>
      </c>
      <c r="BT121" s="38">
        <f t="shared" si="98"/>
        <v>0</v>
      </c>
      <c r="BU121" s="38">
        <f t="shared" si="99"/>
        <v>7.1010892657642774E-3</v>
      </c>
      <c r="BV121" s="38">
        <f t="shared" si="100"/>
        <v>0</v>
      </c>
      <c r="BW121" s="38">
        <f t="shared" si="101"/>
        <v>0</v>
      </c>
      <c r="BX121" s="38">
        <f t="shared" si="102"/>
        <v>0.18723252496433668</v>
      </c>
      <c r="BY121" s="38">
        <f t="shared" si="103"/>
        <v>0.17876734430461441</v>
      </c>
      <c r="BZ121" s="38">
        <f t="shared" si="104"/>
        <v>7.4734607218683649E-3</v>
      </c>
      <c r="CA121" s="38">
        <f t="shared" si="105"/>
        <v>0</v>
      </c>
      <c r="CB121" s="38">
        <f t="shared" si="106"/>
        <v>0</v>
      </c>
      <c r="CC121" s="38">
        <f t="shared" si="107"/>
        <v>0</v>
      </c>
      <c r="CD121" s="38">
        <f t="shared" si="108"/>
        <v>1.8196955414010347</v>
      </c>
      <c r="CE121" s="38">
        <f t="shared" si="109"/>
        <v>2.9012788424367164</v>
      </c>
      <c r="CF121" s="38">
        <f t="shared" si="110"/>
        <v>2.7477123981687397</v>
      </c>
      <c r="CG121" s="38">
        <f t="shared" si="111"/>
        <v>7.9718798459080151</v>
      </c>
      <c r="CH121" s="15"/>
      <c r="CI121" s="16"/>
      <c r="CJ121" s="13"/>
      <c r="CK121" s="104"/>
      <c r="CL121" s="13"/>
      <c r="CM121" s="13"/>
      <c r="CN121" s="13"/>
      <c r="CO121" s="16"/>
      <c r="CP121" s="16"/>
      <c r="CQ121" s="16"/>
      <c r="CR121" s="16"/>
      <c r="CS121" s="16"/>
      <c r="CT121" s="16"/>
      <c r="CU121" s="16"/>
      <c r="CV121" s="16"/>
      <c r="CW121" s="16"/>
      <c r="CX121" s="16"/>
      <c r="CY121" s="104"/>
      <c r="CZ121" s="104"/>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3"/>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row>
    <row r="122" spans="1:167" x14ac:dyDescent="0.25">
      <c r="A122" s="35" t="s">
        <v>188</v>
      </c>
      <c r="B122" s="15">
        <v>477</v>
      </c>
      <c r="C122" s="102" t="s">
        <v>98</v>
      </c>
      <c r="D122" s="102" t="s">
        <v>106</v>
      </c>
      <c r="E122" s="15">
        <v>81</v>
      </c>
      <c r="F122" s="16">
        <v>57.12</v>
      </c>
      <c r="G122" s="16"/>
      <c r="H122" s="16">
        <v>25.62</v>
      </c>
      <c r="I122" s="16"/>
      <c r="J122" s="16">
        <v>0.50211464051111321</v>
      </c>
      <c r="K122" s="16"/>
      <c r="L122" s="16"/>
      <c r="M122" s="16">
        <v>8.7200000000000006</v>
      </c>
      <c r="N122" s="16">
        <v>6.56</v>
      </c>
      <c r="O122" s="16">
        <v>0.47099999999999997</v>
      </c>
      <c r="P122" s="16"/>
      <c r="Q122" s="16"/>
      <c r="R122" s="16"/>
      <c r="S122" s="16">
        <f t="shared" si="57"/>
        <v>98.993114640511109</v>
      </c>
      <c r="T122" s="16"/>
      <c r="U122" s="15">
        <v>2</v>
      </c>
      <c r="V122" s="15"/>
      <c r="W122" s="15"/>
      <c r="X122" s="15" t="s">
        <v>186</v>
      </c>
      <c r="Y122" s="15"/>
      <c r="Z122" s="37">
        <v>8</v>
      </c>
      <c r="AA122" s="37">
        <v>5</v>
      </c>
      <c r="AB122" s="15"/>
      <c r="AC122" s="38">
        <f t="shared" si="58"/>
        <v>2.5970875636085919</v>
      </c>
      <c r="AD122" s="38">
        <f t="shared" si="59"/>
        <v>0</v>
      </c>
      <c r="AE122" s="38">
        <f t="shared" si="60"/>
        <v>1.3728010797368426</v>
      </c>
      <c r="AF122" s="38">
        <f t="shared" si="61"/>
        <v>0</v>
      </c>
      <c r="AG122" s="38">
        <f t="shared" si="62"/>
        <v>1.9089934133149425E-2</v>
      </c>
      <c r="AH122" s="38">
        <f t="shared" si="63"/>
        <v>0</v>
      </c>
      <c r="AI122" s="38">
        <f t="shared" si="64"/>
        <v>0</v>
      </c>
      <c r="AJ122" s="38">
        <f t="shared" si="65"/>
        <v>0.42475333531017262</v>
      </c>
      <c r="AK122" s="38">
        <f t="shared" si="66"/>
        <v>0.57824326214255173</v>
      </c>
      <c r="AL122" s="38">
        <f t="shared" si="67"/>
        <v>2.7316705325911093E-2</v>
      </c>
      <c r="AM122" s="38">
        <f t="shared" si="68"/>
        <v>0</v>
      </c>
      <c r="AN122" s="38">
        <f t="shared" si="69"/>
        <v>0</v>
      </c>
      <c r="AO122" s="38">
        <f t="shared" si="70"/>
        <v>0</v>
      </c>
      <c r="AP122" s="38">
        <f t="shared" si="71"/>
        <v>5.01929188025722</v>
      </c>
      <c r="AQ122" s="38">
        <f t="shared" si="72"/>
        <v>3.9698886433454348</v>
      </c>
      <c r="AR122" s="38">
        <f t="shared" si="73"/>
        <v>1.0303133027786355</v>
      </c>
      <c r="AS122" s="40"/>
      <c r="AT122" s="38">
        <f t="shared" si="74"/>
        <v>2.5871055375599128</v>
      </c>
      <c r="AU122" s="38">
        <f t="shared" si="75"/>
        <v>0</v>
      </c>
      <c r="AV122" s="38">
        <f t="shared" si="76"/>
        <v>1.3675246553568547</v>
      </c>
      <c r="AW122" s="38">
        <f t="shared" si="77"/>
        <v>0</v>
      </c>
      <c r="AX122" s="38">
        <f t="shared" si="78"/>
        <v>0</v>
      </c>
      <c r="AY122" s="38">
        <f t="shared" si="79"/>
        <v>1.9016561089261801E-2</v>
      </c>
      <c r="AZ122" s="38">
        <f t="shared" si="80"/>
        <v>0</v>
      </c>
      <c r="BA122" s="38">
        <f t="shared" si="81"/>
        <v>0</v>
      </c>
      <c r="BB122" s="38">
        <f t="shared" si="82"/>
        <v>0.42312077624025884</v>
      </c>
      <c r="BC122" s="38">
        <f t="shared" si="83"/>
        <v>0.57602075744688419</v>
      </c>
      <c r="BD122" s="38">
        <f t="shared" si="84"/>
        <v>2.7211712306827649E-2</v>
      </c>
      <c r="BE122" s="38">
        <f t="shared" si="85"/>
        <v>0</v>
      </c>
      <c r="BF122" s="38">
        <f t="shared" si="86"/>
        <v>0</v>
      </c>
      <c r="BG122" s="38">
        <f t="shared" si="87"/>
        <v>0</v>
      </c>
      <c r="BH122" s="41">
        <f t="shared" si="88"/>
        <v>5.0000000000000009</v>
      </c>
      <c r="BI122" s="42">
        <f t="shared" si="89"/>
        <v>7.9787599109061151</v>
      </c>
      <c r="BJ122" s="38">
        <f t="shared" si="90"/>
        <v>3.9546301929167678</v>
      </c>
      <c r="BK122" s="38">
        <f t="shared" si="91"/>
        <v>1.0263532459939706</v>
      </c>
      <c r="BL122" s="16"/>
      <c r="BM122" s="16">
        <f t="shared" si="92"/>
        <v>0.41225647981508357</v>
      </c>
      <c r="BN122" s="16">
        <f t="shared" si="93"/>
        <v>0.56123051171240501</v>
      </c>
      <c r="BO122" s="16">
        <f t="shared" si="94"/>
        <v>2.651300847251133E-2</v>
      </c>
      <c r="BP122" s="15"/>
      <c r="BQ122" s="38">
        <f t="shared" si="95"/>
        <v>0.95073235685752333</v>
      </c>
      <c r="BR122" s="38">
        <f t="shared" si="96"/>
        <v>0</v>
      </c>
      <c r="BS122" s="38">
        <f t="shared" si="97"/>
        <v>0.50255001961553558</v>
      </c>
      <c r="BT122" s="38">
        <f t="shared" si="98"/>
        <v>0</v>
      </c>
      <c r="BU122" s="38">
        <f t="shared" si="99"/>
        <v>6.9883735631331E-3</v>
      </c>
      <c r="BV122" s="38">
        <f t="shared" si="100"/>
        <v>0</v>
      </c>
      <c r="BW122" s="38">
        <f t="shared" si="101"/>
        <v>0</v>
      </c>
      <c r="BX122" s="38">
        <f t="shared" si="102"/>
        <v>0.15549215406562056</v>
      </c>
      <c r="BY122" s="38">
        <f t="shared" si="103"/>
        <v>0.21168118747983219</v>
      </c>
      <c r="BZ122" s="38">
        <f t="shared" si="104"/>
        <v>9.9999999999999985E-3</v>
      </c>
      <c r="CA122" s="38">
        <f t="shared" si="105"/>
        <v>0</v>
      </c>
      <c r="CB122" s="38">
        <f t="shared" si="106"/>
        <v>0</v>
      </c>
      <c r="CC122" s="38">
        <f t="shared" si="107"/>
        <v>0</v>
      </c>
      <c r="CD122" s="38">
        <f t="shared" si="108"/>
        <v>1.8374440915816448</v>
      </c>
      <c r="CE122" s="38">
        <f t="shared" si="109"/>
        <v>2.9286108645070192</v>
      </c>
      <c r="CF122" s="38">
        <f t="shared" si="110"/>
        <v>2.7211712306827653</v>
      </c>
      <c r="CG122" s="38">
        <f t="shared" si="111"/>
        <v>7.9692516303614829</v>
      </c>
      <c r="CH122" s="15"/>
      <c r="CI122" s="16"/>
      <c r="CJ122" s="13"/>
      <c r="CK122" s="104"/>
      <c r="CL122" s="13"/>
      <c r="CM122" s="13"/>
      <c r="CN122" s="13"/>
      <c r="CO122" s="16"/>
      <c r="CP122" s="16"/>
      <c r="CQ122" s="16"/>
      <c r="CR122" s="16"/>
      <c r="CS122" s="16"/>
      <c r="CT122" s="16"/>
      <c r="CU122" s="16"/>
      <c r="CV122" s="16"/>
      <c r="CW122" s="16"/>
      <c r="CX122" s="16"/>
      <c r="CY122" s="104"/>
      <c r="CZ122" s="104"/>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3"/>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row>
    <row r="123" spans="1:167" x14ac:dyDescent="0.25">
      <c r="A123" s="35" t="s">
        <v>188</v>
      </c>
      <c r="B123" s="15">
        <v>478</v>
      </c>
      <c r="C123" s="102" t="s">
        <v>98</v>
      </c>
      <c r="D123" s="102" t="s">
        <v>106</v>
      </c>
      <c r="E123" s="15">
        <v>82</v>
      </c>
      <c r="F123" s="16">
        <v>61.64</v>
      </c>
      <c r="G123" s="16"/>
      <c r="H123" s="16">
        <v>16.829999999999998</v>
      </c>
      <c r="I123" s="16"/>
      <c r="J123" s="16">
        <v>1.2030954737694592</v>
      </c>
      <c r="K123" s="16"/>
      <c r="L123" s="16"/>
      <c r="M123" s="16">
        <v>0.46500000000000002</v>
      </c>
      <c r="N123" s="16">
        <v>3.94</v>
      </c>
      <c r="O123" s="16">
        <v>9.74</v>
      </c>
      <c r="P123" s="16"/>
      <c r="Q123" s="16"/>
      <c r="R123" s="16"/>
      <c r="S123" s="16">
        <f t="shared" si="57"/>
        <v>93.818095473769461</v>
      </c>
      <c r="T123" s="16"/>
      <c r="U123" s="15"/>
      <c r="V123" s="15"/>
      <c r="W123" s="15"/>
      <c r="X123" s="15" t="s">
        <v>185</v>
      </c>
      <c r="Y123" s="15"/>
      <c r="Z123" s="37">
        <v>8</v>
      </c>
      <c r="AA123" s="37">
        <v>5</v>
      </c>
      <c r="AB123" s="15"/>
      <c r="AC123" s="38">
        <f t="shared" si="58"/>
        <v>2.9964739152013222</v>
      </c>
      <c r="AD123" s="38">
        <f t="shared" si="59"/>
        <v>0</v>
      </c>
      <c r="AE123" s="38">
        <f t="shared" si="60"/>
        <v>0.9641887951535123</v>
      </c>
      <c r="AF123" s="38">
        <f t="shared" si="61"/>
        <v>0</v>
      </c>
      <c r="AG123" s="38">
        <f t="shared" si="62"/>
        <v>4.8904758185831634E-2</v>
      </c>
      <c r="AH123" s="38">
        <f t="shared" si="63"/>
        <v>0</v>
      </c>
      <c r="AI123" s="38">
        <f t="shared" si="64"/>
        <v>0</v>
      </c>
      <c r="AJ123" s="38">
        <f t="shared" si="65"/>
        <v>2.421713391495578E-2</v>
      </c>
      <c r="AK123" s="38">
        <f t="shared" si="66"/>
        <v>0.37132350481465315</v>
      </c>
      <c r="AL123" s="38">
        <f t="shared" si="67"/>
        <v>0.60397066471794236</v>
      </c>
      <c r="AM123" s="38">
        <f t="shared" si="68"/>
        <v>0</v>
      </c>
      <c r="AN123" s="38">
        <f t="shared" si="69"/>
        <v>0</v>
      </c>
      <c r="AO123" s="38">
        <f t="shared" si="70"/>
        <v>0</v>
      </c>
      <c r="AP123" s="38">
        <f t="shared" si="71"/>
        <v>5.0090787719882179</v>
      </c>
      <c r="AQ123" s="38">
        <f t="shared" si="72"/>
        <v>3.9606627103548346</v>
      </c>
      <c r="AR123" s="38">
        <f t="shared" si="73"/>
        <v>0.99951130344755135</v>
      </c>
      <c r="AS123" s="40"/>
      <c r="AT123" s="38">
        <f t="shared" si="74"/>
        <v>2.991042915873285</v>
      </c>
      <c r="AU123" s="38">
        <f t="shared" si="75"/>
        <v>0</v>
      </c>
      <c r="AV123" s="38">
        <f t="shared" si="76"/>
        <v>0.96244123824269967</v>
      </c>
      <c r="AW123" s="38">
        <f t="shared" si="77"/>
        <v>0</v>
      </c>
      <c r="AX123" s="38">
        <f t="shared" si="78"/>
        <v>1.9816705553279225E-2</v>
      </c>
      <c r="AY123" s="38">
        <f t="shared" si="79"/>
        <v>2.8999414547802971E-2</v>
      </c>
      <c r="AZ123" s="38">
        <f t="shared" si="80"/>
        <v>0</v>
      </c>
      <c r="BA123" s="38">
        <f t="shared" si="81"/>
        <v>0</v>
      </c>
      <c r="BB123" s="38">
        <f t="shared" si="82"/>
        <v>2.4173241245858314E-2</v>
      </c>
      <c r="BC123" s="38">
        <f t="shared" si="83"/>
        <v>0.37065049454918669</v>
      </c>
      <c r="BD123" s="38">
        <f t="shared" si="84"/>
        <v>0.60287598998788816</v>
      </c>
      <c r="BE123" s="38">
        <f t="shared" si="85"/>
        <v>0</v>
      </c>
      <c r="BF123" s="38">
        <f t="shared" si="86"/>
        <v>0</v>
      </c>
      <c r="BG123" s="38">
        <f t="shared" si="87"/>
        <v>0</v>
      </c>
      <c r="BH123" s="41">
        <f t="shared" si="88"/>
        <v>5</v>
      </c>
      <c r="BI123" s="42">
        <f t="shared" si="89"/>
        <v>7.9999999999999991</v>
      </c>
      <c r="BJ123" s="38">
        <f t="shared" si="90"/>
        <v>3.9534841541159844</v>
      </c>
      <c r="BK123" s="38">
        <f t="shared" si="91"/>
        <v>0.9976997257829332</v>
      </c>
      <c r="BL123" s="16"/>
      <c r="BM123" s="16">
        <f t="shared" si="92"/>
        <v>2.4228974531278581E-2</v>
      </c>
      <c r="BN123" s="16">
        <f t="shared" si="93"/>
        <v>0.37150505805574224</v>
      </c>
      <c r="BO123" s="16">
        <f t="shared" si="94"/>
        <v>0.60426596741297911</v>
      </c>
      <c r="BP123" s="15"/>
      <c r="BQ123" s="38">
        <f t="shared" si="95"/>
        <v>1.025965379494008</v>
      </c>
      <c r="BR123" s="38">
        <f t="shared" si="96"/>
        <v>0</v>
      </c>
      <c r="BS123" s="38">
        <f t="shared" si="97"/>
        <v>0.33012946253432718</v>
      </c>
      <c r="BT123" s="38">
        <f t="shared" si="98"/>
        <v>0</v>
      </c>
      <c r="BU123" s="38">
        <f t="shared" si="99"/>
        <v>1.6744543824209594E-2</v>
      </c>
      <c r="BV123" s="38">
        <f t="shared" si="100"/>
        <v>0</v>
      </c>
      <c r="BW123" s="38">
        <f t="shared" si="101"/>
        <v>0</v>
      </c>
      <c r="BX123" s="38">
        <f t="shared" si="102"/>
        <v>8.2917261055634808E-3</v>
      </c>
      <c r="BY123" s="38">
        <f t="shared" si="103"/>
        <v>0.12713778638270409</v>
      </c>
      <c r="BZ123" s="38">
        <f t="shared" si="104"/>
        <v>0.20679405520169852</v>
      </c>
      <c r="CA123" s="38">
        <f t="shared" si="105"/>
        <v>0</v>
      </c>
      <c r="CB123" s="38">
        <f t="shared" si="106"/>
        <v>0</v>
      </c>
      <c r="CC123" s="38">
        <f t="shared" si="107"/>
        <v>0</v>
      </c>
      <c r="CD123" s="38">
        <f t="shared" si="108"/>
        <v>1.7150629535425108</v>
      </c>
      <c r="CE123" s="38">
        <f t="shared" si="109"/>
        <v>2.7391271435114817</v>
      </c>
      <c r="CF123" s="38">
        <f t="shared" si="110"/>
        <v>2.9153448797155574</v>
      </c>
      <c r="CG123" s="38">
        <f t="shared" si="111"/>
        <v>7.9855002927260994</v>
      </c>
      <c r="CH123" s="15"/>
      <c r="CI123" s="16"/>
      <c r="CJ123" s="13"/>
      <c r="CK123" s="104"/>
      <c r="CL123" s="13"/>
      <c r="CM123" s="13"/>
      <c r="CN123" s="13"/>
      <c r="CO123" s="16"/>
      <c r="CP123" s="16"/>
      <c r="CQ123" s="16"/>
      <c r="CR123" s="16"/>
      <c r="CS123" s="16"/>
      <c r="CT123" s="16"/>
      <c r="CU123" s="16"/>
      <c r="CV123" s="16"/>
      <c r="CW123" s="16"/>
      <c r="CX123" s="16"/>
      <c r="CY123" s="104"/>
      <c r="CZ123" s="104"/>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3"/>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row>
    <row r="124" spans="1:167" x14ac:dyDescent="0.25">
      <c r="A124" s="35" t="s">
        <v>87</v>
      </c>
      <c r="B124" s="15">
        <v>479</v>
      </c>
      <c r="C124" s="102" t="s">
        <v>99</v>
      </c>
      <c r="D124" s="102" t="s">
        <v>106</v>
      </c>
      <c r="E124" s="15">
        <v>132</v>
      </c>
      <c r="F124" s="16">
        <v>64.650000000000006</v>
      </c>
      <c r="G124" s="16"/>
      <c r="H124" s="16">
        <v>17.809999999999999</v>
      </c>
      <c r="I124" s="16"/>
      <c r="J124" s="16">
        <v>0.18536848735714928</v>
      </c>
      <c r="K124" s="16"/>
      <c r="L124" s="16"/>
      <c r="M124" s="16">
        <v>0.187</v>
      </c>
      <c r="N124" s="16">
        <v>2.46</v>
      </c>
      <c r="O124" s="16">
        <v>13.36</v>
      </c>
      <c r="P124" s="16"/>
      <c r="Q124" s="16"/>
      <c r="R124" s="16"/>
      <c r="S124" s="16">
        <f t="shared" si="57"/>
        <v>98.652368487357151</v>
      </c>
      <c r="T124" s="16"/>
      <c r="U124" s="15"/>
      <c r="V124" s="15"/>
      <c r="W124" s="15"/>
      <c r="X124" s="15" t="s">
        <v>187</v>
      </c>
      <c r="Y124" s="15"/>
      <c r="Z124" s="37">
        <v>8</v>
      </c>
      <c r="AA124" s="37">
        <v>5</v>
      </c>
      <c r="AB124" s="15"/>
      <c r="AC124" s="38">
        <f t="shared" si="58"/>
        <v>3.0061990879110736</v>
      </c>
      <c r="AD124" s="38">
        <f t="shared" si="59"/>
        <v>0</v>
      </c>
      <c r="AE124" s="38">
        <f t="shared" si="60"/>
        <v>0.97598517708815291</v>
      </c>
      <c r="AF124" s="38">
        <f t="shared" si="61"/>
        <v>0</v>
      </c>
      <c r="AG124" s="38">
        <f t="shared" si="62"/>
        <v>7.2075600104498649E-3</v>
      </c>
      <c r="AH124" s="38">
        <f t="shared" si="63"/>
        <v>0</v>
      </c>
      <c r="AI124" s="38">
        <f t="shared" si="64"/>
        <v>0</v>
      </c>
      <c r="AJ124" s="38">
        <f t="shared" si="65"/>
        <v>9.315640816047065E-3</v>
      </c>
      <c r="AK124" s="38">
        <f t="shared" si="66"/>
        <v>0.22176482614389009</v>
      </c>
      <c r="AL124" s="38">
        <f t="shared" si="67"/>
        <v>0.79243688929436318</v>
      </c>
      <c r="AM124" s="38">
        <f t="shared" si="68"/>
        <v>0</v>
      </c>
      <c r="AN124" s="38">
        <f t="shared" si="69"/>
        <v>0</v>
      </c>
      <c r="AO124" s="38">
        <f t="shared" si="70"/>
        <v>0</v>
      </c>
      <c r="AP124" s="38">
        <f t="shared" si="71"/>
        <v>5.0129091812639759</v>
      </c>
      <c r="AQ124" s="38">
        <f t="shared" si="72"/>
        <v>3.9821842649992263</v>
      </c>
      <c r="AR124" s="38">
        <f t="shared" si="73"/>
        <v>1.0235173562543003</v>
      </c>
      <c r="AS124" s="40"/>
      <c r="AT124" s="38">
        <f t="shared" si="74"/>
        <v>2.9984575614763851</v>
      </c>
      <c r="AU124" s="38">
        <f t="shared" si="75"/>
        <v>0</v>
      </c>
      <c r="AV124" s="38">
        <f t="shared" si="76"/>
        <v>0.97347183222065048</v>
      </c>
      <c r="AW124" s="38">
        <f t="shared" si="77"/>
        <v>0</v>
      </c>
      <c r="AX124" s="38">
        <f t="shared" si="78"/>
        <v>0</v>
      </c>
      <c r="AY124" s="38">
        <f t="shared" si="79"/>
        <v>7.1889991917153768E-3</v>
      </c>
      <c r="AZ124" s="38">
        <f t="shared" si="80"/>
        <v>0</v>
      </c>
      <c r="BA124" s="38">
        <f t="shared" si="81"/>
        <v>0</v>
      </c>
      <c r="BB124" s="38">
        <f t="shared" si="82"/>
        <v>9.2916512938881722E-3</v>
      </c>
      <c r="BC124" s="38">
        <f t="shared" si="83"/>
        <v>0.22119374012673948</v>
      </c>
      <c r="BD124" s="38">
        <f t="shared" si="84"/>
        <v>0.79039621569062091</v>
      </c>
      <c r="BE124" s="38">
        <f t="shared" si="85"/>
        <v>0</v>
      </c>
      <c r="BF124" s="38">
        <f t="shared" si="86"/>
        <v>0</v>
      </c>
      <c r="BG124" s="38">
        <f t="shared" si="87"/>
        <v>0</v>
      </c>
      <c r="BH124" s="41">
        <f t="shared" si="88"/>
        <v>5</v>
      </c>
      <c r="BI124" s="42">
        <f t="shared" si="89"/>
        <v>7.9829929992738871</v>
      </c>
      <c r="BJ124" s="38">
        <f t="shared" si="90"/>
        <v>3.9719293936970357</v>
      </c>
      <c r="BK124" s="38">
        <f t="shared" si="91"/>
        <v>1.0208816071112485</v>
      </c>
      <c r="BL124" s="16"/>
      <c r="BM124" s="16">
        <f t="shared" si="92"/>
        <v>9.1015953555872355E-3</v>
      </c>
      <c r="BN124" s="16">
        <f t="shared" si="93"/>
        <v>0.21666933617566425</v>
      </c>
      <c r="BO124" s="16">
        <f t="shared" si="94"/>
        <v>0.77422906846874862</v>
      </c>
      <c r="BP124" s="15"/>
      <c r="BQ124" s="38">
        <f t="shared" si="95"/>
        <v>1.0760652463382159</v>
      </c>
      <c r="BR124" s="38">
        <f t="shared" si="96"/>
        <v>0</v>
      </c>
      <c r="BS124" s="38">
        <f t="shared" si="97"/>
        <v>0.34935268732836405</v>
      </c>
      <c r="BT124" s="38">
        <f t="shared" si="98"/>
        <v>0</v>
      </c>
      <c r="BU124" s="38">
        <f t="shared" si="99"/>
        <v>2.5799371935580975E-3</v>
      </c>
      <c r="BV124" s="38">
        <f t="shared" si="100"/>
        <v>0</v>
      </c>
      <c r="BW124" s="38">
        <f t="shared" si="101"/>
        <v>0</v>
      </c>
      <c r="BX124" s="38">
        <f t="shared" si="102"/>
        <v>3.334522111269615E-3</v>
      </c>
      <c r="BY124" s="38">
        <f t="shared" si="103"/>
        <v>7.9380445304937083E-2</v>
      </c>
      <c r="BZ124" s="38">
        <f t="shared" si="104"/>
        <v>0.28365180467091294</v>
      </c>
      <c r="CA124" s="38">
        <f t="shared" si="105"/>
        <v>0</v>
      </c>
      <c r="CB124" s="38">
        <f t="shared" si="106"/>
        <v>0</v>
      </c>
      <c r="CC124" s="38">
        <f t="shared" si="107"/>
        <v>0</v>
      </c>
      <c r="CD124" s="38">
        <f t="shared" si="108"/>
        <v>1.7943646429472579</v>
      </c>
      <c r="CE124" s="38">
        <f t="shared" si="109"/>
        <v>2.8635901079617305</v>
      </c>
      <c r="CF124" s="38">
        <f t="shared" si="110"/>
        <v>2.7865016286697788</v>
      </c>
      <c r="CG124" s="38">
        <f t="shared" si="111"/>
        <v>7.9793984996780294</v>
      </c>
      <c r="CH124" s="15"/>
      <c r="CI124" s="16"/>
      <c r="CJ124" s="13"/>
      <c r="CK124" s="104"/>
      <c r="CL124" s="13"/>
      <c r="CM124" s="13"/>
      <c r="CN124" s="13"/>
      <c r="CO124" s="16"/>
      <c r="CP124" s="16"/>
      <c r="CQ124" s="16"/>
      <c r="CR124" s="16"/>
      <c r="CS124" s="16"/>
      <c r="CT124" s="16"/>
      <c r="CU124" s="16"/>
      <c r="CV124" s="16"/>
      <c r="CW124" s="16"/>
      <c r="CX124" s="16"/>
      <c r="CY124" s="104"/>
      <c r="CZ124" s="104"/>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3"/>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row>
    <row r="125" spans="1:167" x14ac:dyDescent="0.25">
      <c r="A125" s="35" t="s">
        <v>87</v>
      </c>
      <c r="B125" s="15">
        <v>480</v>
      </c>
      <c r="C125" s="102" t="s">
        <v>99</v>
      </c>
      <c r="D125" s="102" t="s">
        <v>106</v>
      </c>
      <c r="E125" s="15">
        <v>133</v>
      </c>
      <c r="F125" s="16">
        <v>65.39</v>
      </c>
      <c r="G125" s="16"/>
      <c r="H125" s="16">
        <v>18.25</v>
      </c>
      <c r="I125" s="16"/>
      <c r="J125" s="16">
        <v>0.16557185278502656</v>
      </c>
      <c r="K125" s="16"/>
      <c r="L125" s="16"/>
      <c r="M125" s="16">
        <v>0.154</v>
      </c>
      <c r="N125" s="16">
        <v>2.93</v>
      </c>
      <c r="O125" s="16">
        <v>12.76</v>
      </c>
      <c r="P125" s="16"/>
      <c r="Q125" s="16"/>
      <c r="R125" s="16"/>
      <c r="S125" s="16">
        <f t="shared" si="57"/>
        <v>99.64957185278503</v>
      </c>
      <c r="T125" s="16"/>
      <c r="U125" s="15"/>
      <c r="V125" s="15"/>
      <c r="W125" s="15"/>
      <c r="X125" s="15" t="s">
        <v>187</v>
      </c>
      <c r="Y125" s="15"/>
      <c r="Z125" s="37">
        <v>8</v>
      </c>
      <c r="AA125" s="37">
        <v>5</v>
      </c>
      <c r="AB125" s="15"/>
      <c r="AC125" s="38">
        <f t="shared" si="58"/>
        <v>3.0008608010805262</v>
      </c>
      <c r="AD125" s="38">
        <f t="shared" si="59"/>
        <v>0</v>
      </c>
      <c r="AE125" s="38">
        <f t="shared" si="60"/>
        <v>0.98702345901437605</v>
      </c>
      <c r="AF125" s="38">
        <f t="shared" si="61"/>
        <v>0</v>
      </c>
      <c r="AG125" s="38">
        <f t="shared" si="62"/>
        <v>6.3536629617327346E-3</v>
      </c>
      <c r="AH125" s="38">
        <f t="shared" si="63"/>
        <v>0</v>
      </c>
      <c r="AI125" s="38">
        <f t="shared" si="64"/>
        <v>0</v>
      </c>
      <c r="AJ125" s="38">
        <f t="shared" si="65"/>
        <v>7.5714167772508402E-3</v>
      </c>
      <c r="AK125" s="38">
        <f t="shared" si="66"/>
        <v>0.2606816620577031</v>
      </c>
      <c r="AL125" s="38">
        <f t="shared" si="67"/>
        <v>0.74695459709909529</v>
      </c>
      <c r="AM125" s="38">
        <f t="shared" si="68"/>
        <v>0</v>
      </c>
      <c r="AN125" s="38">
        <f t="shared" si="69"/>
        <v>0</v>
      </c>
      <c r="AO125" s="38">
        <f t="shared" si="70"/>
        <v>0</v>
      </c>
      <c r="AP125" s="38">
        <f t="shared" si="71"/>
        <v>5.0094455989906841</v>
      </c>
      <c r="AQ125" s="38">
        <f t="shared" si="72"/>
        <v>3.9878842600949023</v>
      </c>
      <c r="AR125" s="38">
        <f t="shared" si="73"/>
        <v>1.0152076759340491</v>
      </c>
      <c r="AS125" s="40"/>
      <c r="AT125" s="38">
        <f t="shared" si="74"/>
        <v>2.9952025047294133</v>
      </c>
      <c r="AU125" s="38">
        <f t="shared" si="75"/>
        <v>0</v>
      </c>
      <c r="AV125" s="38">
        <f t="shared" si="76"/>
        <v>0.98516236927819334</v>
      </c>
      <c r="AW125" s="38">
        <f t="shared" si="77"/>
        <v>0</v>
      </c>
      <c r="AX125" s="38">
        <f t="shared" si="78"/>
        <v>0</v>
      </c>
      <c r="AY125" s="38">
        <f t="shared" si="79"/>
        <v>6.3416827632711368E-3</v>
      </c>
      <c r="AZ125" s="38">
        <f t="shared" si="80"/>
        <v>0</v>
      </c>
      <c r="BA125" s="38">
        <f t="shared" si="81"/>
        <v>0</v>
      </c>
      <c r="BB125" s="38">
        <f t="shared" si="82"/>
        <v>7.5571404336403506E-3</v>
      </c>
      <c r="BC125" s="38">
        <f t="shared" si="83"/>
        <v>0.2601901317285748</v>
      </c>
      <c r="BD125" s="38">
        <f t="shared" si="84"/>
        <v>0.74554617106690779</v>
      </c>
      <c r="BE125" s="38">
        <f t="shared" si="85"/>
        <v>0</v>
      </c>
      <c r="BF125" s="38">
        <f t="shared" si="86"/>
        <v>0</v>
      </c>
      <c r="BG125" s="38">
        <f t="shared" si="87"/>
        <v>0</v>
      </c>
      <c r="BH125" s="41">
        <f t="shared" si="88"/>
        <v>5</v>
      </c>
      <c r="BI125" s="42">
        <f t="shared" si="89"/>
        <v>7.9880863793524046</v>
      </c>
      <c r="BJ125" s="38">
        <f t="shared" si="90"/>
        <v>3.9803648740076065</v>
      </c>
      <c r="BK125" s="38">
        <f t="shared" si="91"/>
        <v>1.013293443229123</v>
      </c>
      <c r="BL125" s="16"/>
      <c r="BM125" s="16">
        <f t="shared" si="92"/>
        <v>7.4579979611410089E-3</v>
      </c>
      <c r="BN125" s="16">
        <f t="shared" si="93"/>
        <v>0.25677668543814058</v>
      </c>
      <c r="BO125" s="16">
        <f t="shared" si="94"/>
        <v>0.73576531660071853</v>
      </c>
      <c r="BP125" s="15"/>
      <c r="BQ125" s="38">
        <f t="shared" si="95"/>
        <v>1.088382157123835</v>
      </c>
      <c r="BR125" s="38">
        <f t="shared" si="96"/>
        <v>0</v>
      </c>
      <c r="BS125" s="38">
        <f t="shared" si="97"/>
        <v>0.35798352295017655</v>
      </c>
      <c r="BT125" s="38">
        <f t="shared" si="98"/>
        <v>0</v>
      </c>
      <c r="BU125" s="38">
        <f t="shared" si="99"/>
        <v>2.3044099204596602E-3</v>
      </c>
      <c r="BV125" s="38">
        <f t="shared" si="100"/>
        <v>0</v>
      </c>
      <c r="BW125" s="38">
        <f t="shared" si="101"/>
        <v>0</v>
      </c>
      <c r="BX125" s="38">
        <f t="shared" si="102"/>
        <v>2.746077032810271E-3</v>
      </c>
      <c r="BY125" s="38">
        <f t="shared" si="103"/>
        <v>9.4546627944498238E-2</v>
      </c>
      <c r="BZ125" s="38">
        <f t="shared" si="104"/>
        <v>0.27091295116772823</v>
      </c>
      <c r="CA125" s="38">
        <f t="shared" si="105"/>
        <v>0</v>
      </c>
      <c r="CB125" s="38">
        <f t="shared" si="106"/>
        <v>0</v>
      </c>
      <c r="CC125" s="38">
        <f t="shared" si="107"/>
        <v>0</v>
      </c>
      <c r="CD125" s="38">
        <f t="shared" si="108"/>
        <v>1.8168757461395078</v>
      </c>
      <c r="CE125" s="38">
        <f t="shared" si="109"/>
        <v>2.9015198751823181</v>
      </c>
      <c r="CF125" s="38">
        <f t="shared" si="110"/>
        <v>2.7519768540165641</v>
      </c>
      <c r="CG125" s="38">
        <f t="shared" si="111"/>
        <v>7.9849155379707693</v>
      </c>
      <c r="CH125" s="15"/>
      <c r="CI125" s="16"/>
      <c r="CJ125" s="13"/>
      <c r="CK125" s="104"/>
      <c r="CL125" s="13"/>
      <c r="CM125" s="13"/>
      <c r="CN125" s="13"/>
      <c r="CO125" s="16"/>
      <c r="CP125" s="16"/>
      <c r="CQ125" s="16"/>
      <c r="CR125" s="16"/>
      <c r="CS125" s="16"/>
      <c r="CT125" s="16"/>
      <c r="CU125" s="16"/>
      <c r="CV125" s="16"/>
      <c r="CW125" s="16"/>
      <c r="CX125" s="16"/>
      <c r="CY125" s="104"/>
      <c r="CZ125" s="104"/>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3"/>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row>
    <row r="126" spans="1:167" x14ac:dyDescent="0.25">
      <c r="A126" s="35" t="s">
        <v>87</v>
      </c>
      <c r="B126" s="15">
        <v>481</v>
      </c>
      <c r="C126" s="102" t="s">
        <v>99</v>
      </c>
      <c r="D126" s="102" t="s">
        <v>106</v>
      </c>
      <c r="E126" s="15">
        <v>134</v>
      </c>
      <c r="F126" s="16">
        <v>65.52</v>
      </c>
      <c r="G126" s="16"/>
      <c r="H126" s="16">
        <v>18.28</v>
      </c>
      <c r="I126" s="16"/>
      <c r="J126" s="16">
        <v>0.17457032304508235</v>
      </c>
      <c r="K126" s="16"/>
      <c r="L126" s="16"/>
      <c r="M126" s="16">
        <v>0.14199999999999999</v>
      </c>
      <c r="N126" s="16">
        <v>2.36</v>
      </c>
      <c r="O126" s="16">
        <v>13.71</v>
      </c>
      <c r="P126" s="16"/>
      <c r="Q126" s="16"/>
      <c r="R126" s="16"/>
      <c r="S126" s="16">
        <f t="shared" si="57"/>
        <v>100.18657032304509</v>
      </c>
      <c r="T126" s="16"/>
      <c r="U126" s="15"/>
      <c r="V126" s="15"/>
      <c r="W126" s="15"/>
      <c r="X126" s="15" t="s">
        <v>187</v>
      </c>
      <c r="Y126" s="15"/>
      <c r="Z126" s="37">
        <v>8</v>
      </c>
      <c r="AA126" s="37">
        <v>5</v>
      </c>
      <c r="AB126" s="15"/>
      <c r="AC126" s="38">
        <f t="shared" si="58"/>
        <v>3.0006115453799116</v>
      </c>
      <c r="AD126" s="38">
        <f t="shared" si="59"/>
        <v>0</v>
      </c>
      <c r="AE126" s="38">
        <f t="shared" si="60"/>
        <v>0.98660240881190542</v>
      </c>
      <c r="AF126" s="38">
        <f t="shared" si="61"/>
        <v>0</v>
      </c>
      <c r="AG126" s="38">
        <f t="shared" si="62"/>
        <v>6.6851238009273672E-3</v>
      </c>
      <c r="AH126" s="38">
        <f t="shared" si="63"/>
        <v>0</v>
      </c>
      <c r="AI126" s="38">
        <f t="shared" si="64"/>
        <v>0</v>
      </c>
      <c r="AJ126" s="38">
        <f t="shared" si="65"/>
        <v>6.9670054558028157E-3</v>
      </c>
      <c r="AK126" s="38">
        <f t="shared" si="66"/>
        <v>0.20953483669628906</v>
      </c>
      <c r="AL126" s="38">
        <f t="shared" si="67"/>
        <v>0.80090749683488738</v>
      </c>
      <c r="AM126" s="38">
        <f t="shared" si="68"/>
        <v>0</v>
      </c>
      <c r="AN126" s="38">
        <f t="shared" si="69"/>
        <v>0</v>
      </c>
      <c r="AO126" s="38">
        <f t="shared" si="70"/>
        <v>0</v>
      </c>
      <c r="AP126" s="38">
        <f t="shared" si="71"/>
        <v>5.0113084169797233</v>
      </c>
      <c r="AQ126" s="38">
        <f t="shared" si="72"/>
        <v>3.9872139541918168</v>
      </c>
      <c r="AR126" s="38">
        <f t="shared" si="73"/>
        <v>1.0174093389869792</v>
      </c>
      <c r="AS126" s="40"/>
      <c r="AT126" s="38">
        <f t="shared" si="74"/>
        <v>2.9938404261978717</v>
      </c>
      <c r="AU126" s="38">
        <f t="shared" si="75"/>
        <v>0</v>
      </c>
      <c r="AV126" s="38">
        <f t="shared" si="76"/>
        <v>0.98437606181752724</v>
      </c>
      <c r="AW126" s="38">
        <f t="shared" si="77"/>
        <v>0</v>
      </c>
      <c r="AX126" s="38">
        <f t="shared" si="78"/>
        <v>0</v>
      </c>
      <c r="AY126" s="38">
        <f t="shared" si="79"/>
        <v>6.670038286085412E-3</v>
      </c>
      <c r="AZ126" s="38">
        <f t="shared" si="80"/>
        <v>0</v>
      </c>
      <c r="BA126" s="38">
        <f t="shared" si="81"/>
        <v>0</v>
      </c>
      <c r="BB126" s="38">
        <f t="shared" si="82"/>
        <v>6.9512838525330424E-3</v>
      </c>
      <c r="BC126" s="38">
        <f t="shared" si="83"/>
        <v>0.20906200463169064</v>
      </c>
      <c r="BD126" s="38">
        <f t="shared" si="84"/>
        <v>0.79910018521429182</v>
      </c>
      <c r="BE126" s="38">
        <f t="shared" si="85"/>
        <v>0</v>
      </c>
      <c r="BF126" s="38">
        <f t="shared" si="86"/>
        <v>0</v>
      </c>
      <c r="BG126" s="38">
        <f t="shared" si="87"/>
        <v>0</v>
      </c>
      <c r="BH126" s="41">
        <f t="shared" si="88"/>
        <v>5</v>
      </c>
      <c r="BI126" s="42">
        <f t="shared" si="89"/>
        <v>7.9852823813266873</v>
      </c>
      <c r="BJ126" s="38">
        <f t="shared" si="90"/>
        <v>3.978216488015399</v>
      </c>
      <c r="BK126" s="38">
        <f t="shared" si="91"/>
        <v>1.0151134736985155</v>
      </c>
      <c r="BL126" s="16"/>
      <c r="BM126" s="16">
        <f t="shared" si="92"/>
        <v>6.8477899590933282E-3</v>
      </c>
      <c r="BN126" s="16">
        <f t="shared" si="93"/>
        <v>0.2059493938839996</v>
      </c>
      <c r="BO126" s="16">
        <f t="shared" si="94"/>
        <v>0.78720281615690713</v>
      </c>
      <c r="BP126" s="15"/>
      <c r="BQ126" s="38">
        <f t="shared" si="95"/>
        <v>1.0905459387483356</v>
      </c>
      <c r="BR126" s="38">
        <f t="shared" si="96"/>
        <v>0</v>
      </c>
      <c r="BS126" s="38">
        <f t="shared" si="97"/>
        <v>0.35857198901530019</v>
      </c>
      <c r="BT126" s="38">
        <f t="shared" si="98"/>
        <v>0</v>
      </c>
      <c r="BU126" s="38">
        <f t="shared" si="99"/>
        <v>2.4296495900498591E-3</v>
      </c>
      <c r="BV126" s="38">
        <f t="shared" si="100"/>
        <v>0</v>
      </c>
      <c r="BW126" s="38">
        <f t="shared" si="101"/>
        <v>0</v>
      </c>
      <c r="BX126" s="38">
        <f t="shared" si="102"/>
        <v>2.5320970042796006E-3</v>
      </c>
      <c r="BY126" s="38">
        <f t="shared" si="103"/>
        <v>7.6153597934817685E-2</v>
      </c>
      <c r="BZ126" s="38">
        <f t="shared" si="104"/>
        <v>0.29108280254777069</v>
      </c>
      <c r="CA126" s="38">
        <f t="shared" si="105"/>
        <v>0</v>
      </c>
      <c r="CB126" s="38">
        <f t="shared" si="106"/>
        <v>0</v>
      </c>
      <c r="CC126" s="38">
        <f t="shared" si="107"/>
        <v>0</v>
      </c>
      <c r="CD126" s="38">
        <f t="shared" si="108"/>
        <v>1.8213160748405537</v>
      </c>
      <c r="CE126" s="38">
        <f t="shared" si="109"/>
        <v>2.9075298078552452</v>
      </c>
      <c r="CF126" s="38">
        <f t="shared" si="110"/>
        <v>2.7452675947186833</v>
      </c>
      <c r="CG126" s="38">
        <f t="shared" si="111"/>
        <v>7.9819473621836448</v>
      </c>
      <c r="CH126" s="15"/>
      <c r="CI126" s="16"/>
      <c r="CJ126" s="13"/>
      <c r="CK126" s="104"/>
      <c r="CL126" s="13"/>
      <c r="CM126" s="13"/>
      <c r="CN126" s="13"/>
      <c r="CO126" s="16"/>
      <c r="CP126" s="16"/>
      <c r="CQ126" s="16"/>
      <c r="CR126" s="16"/>
      <c r="CS126" s="16"/>
      <c r="CT126" s="16"/>
      <c r="CU126" s="16"/>
      <c r="CV126" s="16"/>
      <c r="CW126" s="16"/>
      <c r="CX126" s="16"/>
      <c r="CY126" s="104"/>
      <c r="CZ126" s="104"/>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3"/>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row>
    <row r="127" spans="1:167" x14ac:dyDescent="0.25">
      <c r="A127" s="35" t="s">
        <v>87</v>
      </c>
      <c r="B127" s="15">
        <v>482</v>
      </c>
      <c r="C127" s="102" t="s">
        <v>99</v>
      </c>
      <c r="D127" s="102" t="s">
        <v>106</v>
      </c>
      <c r="E127" s="15">
        <v>135</v>
      </c>
      <c r="F127" s="16">
        <v>65.430000000000007</v>
      </c>
      <c r="G127" s="16"/>
      <c r="H127" s="16">
        <v>18.27</v>
      </c>
      <c r="I127" s="16"/>
      <c r="J127" s="16">
        <v>0.21686313326734455</v>
      </c>
      <c r="K127" s="16"/>
      <c r="L127" s="16"/>
      <c r="M127" s="16">
        <v>0.13300000000000001</v>
      </c>
      <c r="N127" s="16">
        <v>2.25</v>
      </c>
      <c r="O127" s="16">
        <v>13.61</v>
      </c>
      <c r="P127" s="16"/>
      <c r="Q127" s="16"/>
      <c r="R127" s="16"/>
      <c r="S127" s="16">
        <f t="shared" si="57"/>
        <v>99.909863133267336</v>
      </c>
      <c r="T127" s="16"/>
      <c r="U127" s="15"/>
      <c r="V127" s="15"/>
      <c r="W127" s="15"/>
      <c r="X127" s="15" t="s">
        <v>187</v>
      </c>
      <c r="Y127" s="15"/>
      <c r="Z127" s="37">
        <v>8</v>
      </c>
      <c r="AA127" s="37">
        <v>5</v>
      </c>
      <c r="AB127" s="15"/>
      <c r="AC127" s="38">
        <f t="shared" si="58"/>
        <v>3.0023741446571317</v>
      </c>
      <c r="AD127" s="38">
        <f t="shared" si="59"/>
        <v>0</v>
      </c>
      <c r="AE127" s="38">
        <f t="shared" si="60"/>
        <v>0.9879990599121885</v>
      </c>
      <c r="AF127" s="38">
        <f t="shared" si="61"/>
        <v>0</v>
      </c>
      <c r="AG127" s="38">
        <f t="shared" si="62"/>
        <v>8.3210239283622763E-3</v>
      </c>
      <c r="AH127" s="38">
        <f t="shared" si="63"/>
        <v>0</v>
      </c>
      <c r="AI127" s="38">
        <f t="shared" si="64"/>
        <v>0</v>
      </c>
      <c r="AJ127" s="38">
        <f t="shared" si="65"/>
        <v>6.5382489260835917E-3</v>
      </c>
      <c r="AK127" s="38">
        <f t="shared" si="66"/>
        <v>0.20016067504026952</v>
      </c>
      <c r="AL127" s="38">
        <f t="shared" si="67"/>
        <v>0.79662702088574777</v>
      </c>
      <c r="AM127" s="38">
        <f t="shared" si="68"/>
        <v>0</v>
      </c>
      <c r="AN127" s="38">
        <f t="shared" si="69"/>
        <v>0</v>
      </c>
      <c r="AO127" s="38">
        <f t="shared" si="70"/>
        <v>0</v>
      </c>
      <c r="AP127" s="38">
        <f t="shared" si="71"/>
        <v>5.0020201733497824</v>
      </c>
      <c r="AQ127" s="38">
        <f t="shared" si="72"/>
        <v>3.9903732045693201</v>
      </c>
      <c r="AR127" s="38">
        <f t="shared" si="73"/>
        <v>1.0033259448521008</v>
      </c>
      <c r="AS127" s="40"/>
      <c r="AT127" s="38">
        <f t="shared" si="74"/>
        <v>3.001161571332172</v>
      </c>
      <c r="AU127" s="38">
        <f t="shared" si="75"/>
        <v>0</v>
      </c>
      <c r="AV127" s="38">
        <f t="shared" si="76"/>
        <v>0.98760003525789386</v>
      </c>
      <c r="AW127" s="38">
        <f t="shared" si="77"/>
        <v>0</v>
      </c>
      <c r="AX127" s="38">
        <f t="shared" si="78"/>
        <v>1.8557194340688438E-3</v>
      </c>
      <c r="AY127" s="38">
        <f t="shared" si="79"/>
        <v>6.4619438699455856E-3</v>
      </c>
      <c r="AZ127" s="38">
        <f t="shared" si="80"/>
        <v>0</v>
      </c>
      <c r="BA127" s="38">
        <f t="shared" si="81"/>
        <v>0</v>
      </c>
      <c r="BB127" s="38">
        <f t="shared" si="82"/>
        <v>6.5356083137355853E-3</v>
      </c>
      <c r="BC127" s="38">
        <f t="shared" si="83"/>
        <v>0.20007983584982697</v>
      </c>
      <c r="BD127" s="38">
        <f t="shared" si="84"/>
        <v>0.79630528594235728</v>
      </c>
      <c r="BE127" s="38">
        <f t="shared" si="85"/>
        <v>0</v>
      </c>
      <c r="BF127" s="38">
        <f t="shared" si="86"/>
        <v>0</v>
      </c>
      <c r="BG127" s="38">
        <f t="shared" si="87"/>
        <v>0</v>
      </c>
      <c r="BH127" s="41">
        <f t="shared" si="88"/>
        <v>5</v>
      </c>
      <c r="BI127" s="42">
        <f t="shared" si="89"/>
        <v>7.9999999999999991</v>
      </c>
      <c r="BJ127" s="38">
        <f t="shared" si="90"/>
        <v>3.988761606590066</v>
      </c>
      <c r="BK127" s="38">
        <f t="shared" si="91"/>
        <v>1.0029207301059198</v>
      </c>
      <c r="BL127" s="16"/>
      <c r="BM127" s="16">
        <f t="shared" si="92"/>
        <v>6.516575156488541E-3</v>
      </c>
      <c r="BN127" s="16">
        <f t="shared" si="93"/>
        <v>0.19949715849297109</v>
      </c>
      <c r="BO127" s="16">
        <f t="shared" si="94"/>
        <v>0.79398626635054048</v>
      </c>
      <c r="BP127" s="15"/>
      <c r="BQ127" s="38">
        <f t="shared" si="95"/>
        <v>1.0890479360852199</v>
      </c>
      <c r="BR127" s="38">
        <f t="shared" si="96"/>
        <v>0</v>
      </c>
      <c r="BS127" s="38">
        <f t="shared" si="97"/>
        <v>0.35837583366025894</v>
      </c>
      <c r="BT127" s="38">
        <f t="shared" si="98"/>
        <v>0</v>
      </c>
      <c r="BU127" s="38">
        <f t="shared" si="99"/>
        <v>3.0182760371237935E-3</v>
      </c>
      <c r="BV127" s="38">
        <f t="shared" si="100"/>
        <v>0</v>
      </c>
      <c r="BW127" s="38">
        <f t="shared" si="101"/>
        <v>0</v>
      </c>
      <c r="BX127" s="38">
        <f t="shared" si="102"/>
        <v>2.3716119828815978E-3</v>
      </c>
      <c r="BY127" s="38">
        <f t="shared" si="103"/>
        <v>7.2604065827686359E-2</v>
      </c>
      <c r="BZ127" s="38">
        <f t="shared" si="104"/>
        <v>0.28895966029723991</v>
      </c>
      <c r="CA127" s="38">
        <f t="shared" si="105"/>
        <v>0</v>
      </c>
      <c r="CB127" s="38">
        <f t="shared" si="106"/>
        <v>0</v>
      </c>
      <c r="CC127" s="38">
        <f t="shared" si="107"/>
        <v>0</v>
      </c>
      <c r="CD127" s="38">
        <f t="shared" si="108"/>
        <v>1.8143773838904105</v>
      </c>
      <c r="CE127" s="38">
        <f t="shared" si="109"/>
        <v>2.9018313737432964</v>
      </c>
      <c r="CF127" s="38">
        <f t="shared" si="110"/>
        <v>2.755766272438283</v>
      </c>
      <c r="CG127" s="38">
        <f t="shared" si="111"/>
        <v>7.9967690280650254</v>
      </c>
      <c r="CH127" s="15"/>
      <c r="CI127" s="16"/>
      <c r="CJ127" s="13"/>
      <c r="CK127" s="104"/>
      <c r="CL127" s="13"/>
      <c r="CM127" s="13"/>
      <c r="CN127" s="13"/>
      <c r="CO127" s="16"/>
      <c r="CP127" s="16"/>
      <c r="CQ127" s="16"/>
      <c r="CR127" s="16"/>
      <c r="CS127" s="16"/>
      <c r="CT127" s="16"/>
      <c r="CU127" s="16"/>
      <c r="CV127" s="16"/>
      <c r="CW127" s="16"/>
      <c r="CX127" s="16"/>
      <c r="CY127" s="104"/>
      <c r="CZ127" s="104"/>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3"/>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row>
    <row r="128" spans="1:167" x14ac:dyDescent="0.25">
      <c r="A128" s="35" t="s">
        <v>87</v>
      </c>
      <c r="B128" s="15">
        <v>483</v>
      </c>
      <c r="C128" s="102" t="s">
        <v>99</v>
      </c>
      <c r="D128" s="102" t="s">
        <v>106</v>
      </c>
      <c r="E128" s="15">
        <v>136</v>
      </c>
      <c r="F128" s="16">
        <v>61.71</v>
      </c>
      <c r="G128" s="16"/>
      <c r="H128" s="16">
        <v>23.33</v>
      </c>
      <c r="I128" s="16"/>
      <c r="J128" s="16">
        <v>0.29245028345181323</v>
      </c>
      <c r="K128" s="16"/>
      <c r="L128" s="16"/>
      <c r="M128" s="16">
        <v>5.63</v>
      </c>
      <c r="N128" s="16">
        <v>8.27</v>
      </c>
      <c r="O128" s="16">
        <v>0.76800000000000002</v>
      </c>
      <c r="P128" s="16"/>
      <c r="Q128" s="16"/>
      <c r="R128" s="16"/>
      <c r="S128" s="16">
        <f t="shared" si="57"/>
        <v>100.0004502834518</v>
      </c>
      <c r="T128" s="16"/>
      <c r="U128" s="15"/>
      <c r="V128" s="15"/>
      <c r="W128" s="15"/>
      <c r="X128" s="15" t="s">
        <v>187</v>
      </c>
      <c r="Y128" s="15"/>
      <c r="Z128" s="37">
        <v>8</v>
      </c>
      <c r="AA128" s="37">
        <v>5</v>
      </c>
      <c r="AB128" s="15"/>
      <c r="AC128" s="38">
        <f t="shared" si="58"/>
        <v>2.7511635641542758</v>
      </c>
      <c r="AD128" s="38">
        <f t="shared" si="59"/>
        <v>0</v>
      </c>
      <c r="AE128" s="38">
        <f t="shared" si="60"/>
        <v>1.2257607095322514</v>
      </c>
      <c r="AF128" s="38">
        <f t="shared" si="61"/>
        <v>0</v>
      </c>
      <c r="AG128" s="38">
        <f t="shared" si="62"/>
        <v>1.0902248148750149E-2</v>
      </c>
      <c r="AH128" s="38">
        <f t="shared" si="63"/>
        <v>0</v>
      </c>
      <c r="AI128" s="38">
        <f t="shared" si="64"/>
        <v>0</v>
      </c>
      <c r="AJ128" s="38">
        <f t="shared" si="65"/>
        <v>0.2689002330515084</v>
      </c>
      <c r="AK128" s="38">
        <f t="shared" si="66"/>
        <v>0.71478383461233086</v>
      </c>
      <c r="AL128" s="38">
        <f t="shared" si="67"/>
        <v>4.3674817773295009E-2</v>
      </c>
      <c r="AM128" s="38">
        <f t="shared" si="68"/>
        <v>0</v>
      </c>
      <c r="AN128" s="38">
        <f t="shared" si="69"/>
        <v>0</v>
      </c>
      <c r="AO128" s="38">
        <f t="shared" si="70"/>
        <v>0</v>
      </c>
      <c r="AP128" s="38">
        <f t="shared" si="71"/>
        <v>5.0151854072724111</v>
      </c>
      <c r="AQ128" s="38">
        <f t="shared" si="72"/>
        <v>3.9769242736865271</v>
      </c>
      <c r="AR128" s="38">
        <f t="shared" si="73"/>
        <v>1.0273588854371343</v>
      </c>
      <c r="AS128" s="40"/>
      <c r="AT128" s="38">
        <f t="shared" si="74"/>
        <v>2.7428333558365288</v>
      </c>
      <c r="AU128" s="38">
        <f t="shared" si="75"/>
        <v>0</v>
      </c>
      <c r="AV128" s="38">
        <f t="shared" si="76"/>
        <v>1.2220492464294563</v>
      </c>
      <c r="AW128" s="38">
        <f t="shared" si="77"/>
        <v>0</v>
      </c>
      <c r="AX128" s="38">
        <f t="shared" si="78"/>
        <v>0</v>
      </c>
      <c r="AY128" s="38">
        <f t="shared" si="79"/>
        <v>1.0869237389450283E-2</v>
      </c>
      <c r="AZ128" s="38">
        <f t="shared" si="80"/>
        <v>0</v>
      </c>
      <c r="BA128" s="38">
        <f t="shared" si="81"/>
        <v>0</v>
      </c>
      <c r="BB128" s="38">
        <f t="shared" si="82"/>
        <v>0.26808603392965491</v>
      </c>
      <c r="BC128" s="38">
        <f t="shared" si="83"/>
        <v>0.7126195509899178</v>
      </c>
      <c r="BD128" s="38">
        <f t="shared" si="84"/>
        <v>4.3542575424991362E-2</v>
      </c>
      <c r="BE128" s="38">
        <f t="shared" si="85"/>
        <v>0</v>
      </c>
      <c r="BF128" s="38">
        <f t="shared" si="86"/>
        <v>0</v>
      </c>
      <c r="BG128" s="38">
        <f t="shared" si="87"/>
        <v>0</v>
      </c>
      <c r="BH128" s="41">
        <f t="shared" si="88"/>
        <v>4.9999999999999991</v>
      </c>
      <c r="BI128" s="42">
        <f t="shared" si="89"/>
        <v>7.9812115345385273</v>
      </c>
      <c r="BJ128" s="38">
        <f t="shared" si="90"/>
        <v>3.9648826022659849</v>
      </c>
      <c r="BK128" s="38">
        <f t="shared" si="91"/>
        <v>1.0242481603445641</v>
      </c>
      <c r="BL128" s="16"/>
      <c r="BM128" s="16">
        <f t="shared" si="92"/>
        <v>0.26173933652901943</v>
      </c>
      <c r="BN128" s="16">
        <f t="shared" si="93"/>
        <v>0.69574891962723928</v>
      </c>
      <c r="BO128" s="16">
        <f t="shared" si="94"/>
        <v>4.251174384374129E-2</v>
      </c>
      <c r="BP128" s="15"/>
      <c r="BQ128" s="38">
        <f t="shared" si="95"/>
        <v>1.0271304926764315</v>
      </c>
      <c r="BR128" s="38">
        <f t="shared" si="96"/>
        <v>0</v>
      </c>
      <c r="BS128" s="38">
        <f t="shared" si="97"/>
        <v>0.45763044331110236</v>
      </c>
      <c r="BT128" s="38">
        <f t="shared" si="98"/>
        <v>0</v>
      </c>
      <c r="BU128" s="38">
        <f t="shared" si="99"/>
        <v>4.0702892616814651E-3</v>
      </c>
      <c r="BV128" s="38">
        <f t="shared" si="100"/>
        <v>0</v>
      </c>
      <c r="BW128" s="38">
        <f t="shared" si="101"/>
        <v>0</v>
      </c>
      <c r="BX128" s="38">
        <f t="shared" si="102"/>
        <v>0.1003922967189729</v>
      </c>
      <c r="BY128" s="38">
        <f t="shared" si="103"/>
        <v>0.26686027750887381</v>
      </c>
      <c r="BZ128" s="38">
        <f t="shared" si="104"/>
        <v>1.6305732484076432E-2</v>
      </c>
      <c r="CA128" s="38">
        <f t="shared" si="105"/>
        <v>0</v>
      </c>
      <c r="CB128" s="38">
        <f t="shared" si="106"/>
        <v>0</v>
      </c>
      <c r="CC128" s="38">
        <f t="shared" si="107"/>
        <v>0</v>
      </c>
      <c r="CD128" s="38">
        <f t="shared" si="108"/>
        <v>1.8723895319611386</v>
      </c>
      <c r="CE128" s="38">
        <f t="shared" si="109"/>
        <v>2.9867522412966458</v>
      </c>
      <c r="CF128" s="38">
        <f t="shared" si="110"/>
        <v>2.6703845084857987</v>
      </c>
      <c r="CG128" s="38">
        <f t="shared" si="111"/>
        <v>7.9757769158438014</v>
      </c>
      <c r="CH128" s="15"/>
      <c r="CI128" s="16"/>
      <c r="CJ128" s="13"/>
      <c r="CK128" s="104"/>
      <c r="CL128" s="13"/>
      <c r="CM128" s="13"/>
      <c r="CN128" s="13"/>
      <c r="CO128" s="16"/>
      <c r="CP128" s="16"/>
      <c r="CQ128" s="16"/>
      <c r="CR128" s="16"/>
      <c r="CS128" s="16"/>
      <c r="CT128" s="16"/>
      <c r="CU128" s="16"/>
      <c r="CV128" s="16"/>
      <c r="CW128" s="16"/>
      <c r="CX128" s="16"/>
      <c r="CY128" s="104"/>
      <c r="CZ128" s="104"/>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3"/>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row>
    <row r="129" spans="1:167" x14ac:dyDescent="0.25">
      <c r="A129" s="35" t="s">
        <v>87</v>
      </c>
      <c r="B129" s="15">
        <v>484</v>
      </c>
      <c r="C129" s="102" t="s">
        <v>99</v>
      </c>
      <c r="D129" s="102" t="s">
        <v>106</v>
      </c>
      <c r="E129" s="15">
        <v>137</v>
      </c>
      <c r="F129" s="16">
        <v>58.51</v>
      </c>
      <c r="G129" s="16"/>
      <c r="H129" s="16">
        <v>25.82</v>
      </c>
      <c r="I129" s="16"/>
      <c r="J129" s="16">
        <v>0.31224691802393595</v>
      </c>
      <c r="K129" s="16"/>
      <c r="L129" s="16"/>
      <c r="M129" s="16">
        <v>8.0399999999999991</v>
      </c>
      <c r="N129" s="16">
        <v>7.2</v>
      </c>
      <c r="O129" s="16">
        <v>0.504</v>
      </c>
      <c r="P129" s="16"/>
      <c r="Q129" s="16"/>
      <c r="R129" s="16"/>
      <c r="S129" s="16">
        <f t="shared" si="57"/>
        <v>100.38624691802394</v>
      </c>
      <c r="T129" s="16"/>
      <c r="U129" s="15"/>
      <c r="V129" s="15"/>
      <c r="W129" s="15"/>
      <c r="X129" s="15" t="s">
        <v>187</v>
      </c>
      <c r="Y129" s="15"/>
      <c r="Z129" s="37">
        <v>8</v>
      </c>
      <c r="AA129" s="37">
        <v>5</v>
      </c>
      <c r="AB129" s="15"/>
      <c r="AC129" s="38">
        <f t="shared" si="58"/>
        <v>2.6173312901720478</v>
      </c>
      <c r="AD129" s="38">
        <f t="shared" si="59"/>
        <v>0</v>
      </c>
      <c r="AE129" s="38">
        <f t="shared" si="60"/>
        <v>1.3611780271429648</v>
      </c>
      <c r="AF129" s="38">
        <f t="shared" si="61"/>
        <v>0</v>
      </c>
      <c r="AG129" s="38">
        <f t="shared" si="62"/>
        <v>1.167965221667093E-2</v>
      </c>
      <c r="AH129" s="38">
        <f t="shared" si="63"/>
        <v>0</v>
      </c>
      <c r="AI129" s="38">
        <f t="shared" si="64"/>
        <v>0</v>
      </c>
      <c r="AJ129" s="38">
        <f t="shared" si="65"/>
        <v>0.38530670527589272</v>
      </c>
      <c r="AK129" s="38">
        <f t="shared" si="66"/>
        <v>0.6244094156094282</v>
      </c>
      <c r="AL129" s="38">
        <f t="shared" si="67"/>
        <v>2.8758627288355255E-2</v>
      </c>
      <c r="AM129" s="38">
        <f t="shared" si="68"/>
        <v>0</v>
      </c>
      <c r="AN129" s="38">
        <f t="shared" si="69"/>
        <v>0</v>
      </c>
      <c r="AO129" s="38">
        <f t="shared" si="70"/>
        <v>0</v>
      </c>
      <c r="AP129" s="38">
        <f t="shared" si="71"/>
        <v>5.028663717705359</v>
      </c>
      <c r="AQ129" s="38">
        <f t="shared" si="72"/>
        <v>3.9785093173150123</v>
      </c>
      <c r="AR129" s="38">
        <f t="shared" si="73"/>
        <v>1.0384747481736762</v>
      </c>
      <c r="AS129" s="40"/>
      <c r="AT129" s="38">
        <f t="shared" si="74"/>
        <v>2.6024123277091671</v>
      </c>
      <c r="AU129" s="38">
        <f t="shared" si="75"/>
        <v>0</v>
      </c>
      <c r="AV129" s="38">
        <f t="shared" si="76"/>
        <v>1.3534192218405956</v>
      </c>
      <c r="AW129" s="38">
        <f t="shared" si="77"/>
        <v>0</v>
      </c>
      <c r="AX129" s="38">
        <f t="shared" si="78"/>
        <v>0</v>
      </c>
      <c r="AY129" s="38">
        <f t="shared" si="79"/>
        <v>1.1613077422087489E-2</v>
      </c>
      <c r="AZ129" s="38">
        <f t="shared" si="80"/>
        <v>0</v>
      </c>
      <c r="BA129" s="38">
        <f t="shared" si="81"/>
        <v>0</v>
      </c>
      <c r="BB129" s="38">
        <f t="shared" si="82"/>
        <v>0.38311043142462592</v>
      </c>
      <c r="BC129" s="38">
        <f t="shared" si="83"/>
        <v>0.62085024040378045</v>
      </c>
      <c r="BD129" s="38">
        <f t="shared" si="84"/>
        <v>2.8594701199743541E-2</v>
      </c>
      <c r="BE129" s="38">
        <f t="shared" si="85"/>
        <v>0</v>
      </c>
      <c r="BF129" s="38">
        <f t="shared" si="86"/>
        <v>0</v>
      </c>
      <c r="BG129" s="38">
        <f t="shared" si="87"/>
        <v>0</v>
      </c>
      <c r="BH129" s="41">
        <f t="shared" si="88"/>
        <v>5</v>
      </c>
      <c r="BI129" s="42">
        <f t="shared" si="89"/>
        <v>7.9602060065387459</v>
      </c>
      <c r="BJ129" s="38">
        <f t="shared" si="90"/>
        <v>3.9558315495497629</v>
      </c>
      <c r="BK129" s="38">
        <f t="shared" si="91"/>
        <v>1.03255537302815</v>
      </c>
      <c r="BL129" s="16"/>
      <c r="BM129" s="16">
        <f t="shared" si="92"/>
        <v>0.37103136687099625</v>
      </c>
      <c r="BN129" s="16">
        <f t="shared" si="93"/>
        <v>0.60127549245424783</v>
      </c>
      <c r="BO129" s="16">
        <f t="shared" si="94"/>
        <v>2.7693140674755833E-2</v>
      </c>
      <c r="BP129" s="15"/>
      <c r="BQ129" s="38">
        <f t="shared" si="95"/>
        <v>0.97386817576564577</v>
      </c>
      <c r="BR129" s="38">
        <f t="shared" si="96"/>
        <v>0</v>
      </c>
      <c r="BS129" s="38">
        <f t="shared" si="97"/>
        <v>0.50647312671635936</v>
      </c>
      <c r="BT129" s="38">
        <f t="shared" si="98"/>
        <v>0</v>
      </c>
      <c r="BU129" s="38">
        <f t="shared" si="99"/>
        <v>4.3458165347799024E-3</v>
      </c>
      <c r="BV129" s="38">
        <f t="shared" si="100"/>
        <v>0</v>
      </c>
      <c r="BW129" s="38">
        <f t="shared" si="101"/>
        <v>0</v>
      </c>
      <c r="BX129" s="38">
        <f t="shared" si="102"/>
        <v>0.14336661911554921</v>
      </c>
      <c r="BY129" s="38">
        <f t="shared" si="103"/>
        <v>0.23233301064859635</v>
      </c>
      <c r="BZ129" s="38">
        <f t="shared" si="104"/>
        <v>1.070063694267516E-2</v>
      </c>
      <c r="CA129" s="38">
        <f t="shared" si="105"/>
        <v>0</v>
      </c>
      <c r="CB129" s="38">
        <f t="shared" si="106"/>
        <v>0</v>
      </c>
      <c r="CC129" s="38">
        <f t="shared" si="107"/>
        <v>0</v>
      </c>
      <c r="CD129" s="38">
        <f t="shared" si="108"/>
        <v>1.8710873857236057</v>
      </c>
      <c r="CE129" s="38">
        <f t="shared" si="109"/>
        <v>2.9766753010517961</v>
      </c>
      <c r="CF129" s="38">
        <f t="shared" si="110"/>
        <v>2.6722429097379381</v>
      </c>
      <c r="CG129" s="38">
        <f t="shared" si="111"/>
        <v>7.9543994678277041</v>
      </c>
      <c r="CH129" s="15"/>
      <c r="CI129" s="16"/>
      <c r="CJ129" s="13"/>
      <c r="CK129" s="104"/>
      <c r="CL129" s="13"/>
      <c r="CM129" s="13"/>
      <c r="CN129" s="13"/>
      <c r="CO129" s="16"/>
      <c r="CP129" s="16"/>
      <c r="CQ129" s="16"/>
      <c r="CR129" s="16"/>
      <c r="CS129" s="16"/>
      <c r="CT129" s="16"/>
      <c r="CU129" s="16"/>
      <c r="CV129" s="16"/>
      <c r="CW129" s="16"/>
      <c r="CX129" s="16"/>
      <c r="CY129" s="104"/>
      <c r="CZ129" s="104"/>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3"/>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row>
    <row r="130" spans="1:167" x14ac:dyDescent="0.25">
      <c r="A130" s="35" t="s">
        <v>87</v>
      </c>
      <c r="B130" s="15">
        <v>485</v>
      </c>
      <c r="C130" s="102" t="s">
        <v>99</v>
      </c>
      <c r="D130" s="102" t="s">
        <v>106</v>
      </c>
      <c r="E130" s="15">
        <v>138</v>
      </c>
      <c r="F130" s="16">
        <v>47.03</v>
      </c>
      <c r="G130" s="16"/>
      <c r="H130" s="16">
        <v>33.04</v>
      </c>
      <c r="I130" s="16"/>
      <c r="J130" s="16">
        <v>0.36803743363628183</v>
      </c>
      <c r="K130" s="16"/>
      <c r="L130" s="16"/>
      <c r="M130" s="16">
        <v>16.72</v>
      </c>
      <c r="N130" s="16">
        <v>1.98</v>
      </c>
      <c r="O130" s="16">
        <v>7.4999999999999997E-2</v>
      </c>
      <c r="P130" s="16"/>
      <c r="Q130" s="16"/>
      <c r="R130" s="16"/>
      <c r="S130" s="16">
        <f t="shared" ref="S130:S193" si="113">SUM(F130:R130)</f>
        <v>99.213037433636288</v>
      </c>
      <c r="T130" s="16"/>
      <c r="U130" s="15">
        <v>1</v>
      </c>
      <c r="V130" s="15"/>
      <c r="W130" s="15"/>
      <c r="X130" s="15" t="s">
        <v>185</v>
      </c>
      <c r="Y130" s="15"/>
      <c r="Z130" s="37">
        <v>8</v>
      </c>
      <c r="AA130" s="37">
        <v>5</v>
      </c>
      <c r="AB130" s="15"/>
      <c r="AC130" s="38">
        <f t="shared" ref="AC130:AC193" si="114">BQ130*($Z130/$CE130)</f>
        <v>2.1791560578551259</v>
      </c>
      <c r="AD130" s="38">
        <f t="shared" ref="AD130:AD193" si="115">BR130*($Z130/$CE130)</f>
        <v>0</v>
      </c>
      <c r="AE130" s="38">
        <f t="shared" ref="AE130:AE193" si="116">BS130*($Z130/$CE130)</f>
        <v>1.8041950445660644</v>
      </c>
      <c r="AF130" s="38">
        <f t="shared" ref="AF130:AF193" si="117">BT130*($Z130/$CE130)</f>
        <v>0</v>
      </c>
      <c r="AG130" s="38">
        <f t="shared" ref="AG130:AG193" si="118">BU130*($Z130/$CE130)</f>
        <v>1.4259637960933602E-2</v>
      </c>
      <c r="AH130" s="38">
        <f t="shared" ref="AH130:AH193" si="119">BV130*($Z130/$CE130)</f>
        <v>0</v>
      </c>
      <c r="AI130" s="38">
        <f t="shared" ref="AI130:AI193" si="120">BW130*($Z130/$CE130)</f>
        <v>0</v>
      </c>
      <c r="AJ130" s="38">
        <f t="shared" ref="AJ130:AJ193" si="121">BX130*($Z130/$CE130)</f>
        <v>0.82998748954033985</v>
      </c>
      <c r="AK130" s="38">
        <f t="shared" ref="AK130:AK193" si="122">BY130*($Z130/$CE130)</f>
        <v>0.17786352376861822</v>
      </c>
      <c r="AL130" s="38">
        <f t="shared" ref="AL130:AL193" si="123">BZ130*($Z130/$CE130)</f>
        <v>4.4328561101375846E-3</v>
      </c>
      <c r="AM130" s="38">
        <f t="shared" ref="AM130:AM193" si="124">CA130*($Z130/$CE130)</f>
        <v>0</v>
      </c>
      <c r="AN130" s="38">
        <f t="shared" ref="AN130:AN193" si="125">CB130*($Z130/$CE130)</f>
        <v>0</v>
      </c>
      <c r="AO130" s="38">
        <f t="shared" ref="AO130:AO193" si="126">CC130*($Z130/$CE130)</f>
        <v>0</v>
      </c>
      <c r="AP130" s="38">
        <f t="shared" ref="AP130:AP193" si="127">SUM(AC130:AN130)</f>
        <v>5.0098946098012194</v>
      </c>
      <c r="AQ130" s="38">
        <f t="shared" ref="AQ130:AQ193" si="128">AC130+AE130</f>
        <v>3.9833511024211905</v>
      </c>
      <c r="AR130" s="38">
        <f t="shared" ref="AR130:AR193" si="129">SUM(AJ130:AL130)</f>
        <v>1.0122838694190956</v>
      </c>
      <c r="AS130" s="40"/>
      <c r="AT130" s="38">
        <f t="shared" ref="AT130:AT193" si="130">IF($AA130&gt;0,BQ130*$CF130,"")</f>
        <v>2.1748521950859852</v>
      </c>
      <c r="AU130" s="38">
        <f t="shared" ref="AU130:AU193" si="131">IF($AA130&gt;0,BR130*$CF130,"")</f>
        <v>0</v>
      </c>
      <c r="AV130" s="38">
        <f t="shared" ref="AV130:AV193" si="132">IF($AA130&gt;0,BS130*$CF130,"")</f>
        <v>1.800631734883591</v>
      </c>
      <c r="AW130" s="38">
        <f t="shared" ref="AW130:AW193" si="133">IF($AA130&gt;0,BT130*$CF130,"")</f>
        <v>0</v>
      </c>
      <c r="AX130" s="38">
        <f t="shared" ref="AX130:AX193" si="134">IF($AA130&gt;0 +N("so a blank cell if no ideal cations set"),                         BU130*CF130-AY130,"")</f>
        <v>0</v>
      </c>
      <c r="AY130" s="38">
        <f t="shared" ref="AY130:AY193" si="135">IF($AA130&gt;0 +N("so a blank cell if no ideal cations set"),                                                                     IF(AP130&gt;AA130,                          IF(  2*Z130*(1-(AA130/AP130))   &lt;   BU130*CF130,    2*Z130*(1-(AA130/AP130)),    BU130*CF130),0),"")</f>
        <v>1.4231474982563943E-2</v>
      </c>
      <c r="AZ130" s="38">
        <f t="shared" ref="AZ130:AZ193" si="136">IF($AA130&gt;0,BV130*$CF130,"")</f>
        <v>0</v>
      </c>
      <c r="BA130" s="38">
        <f t="shared" ref="BA130:BA193" si="137">IF($AA130&gt;0,BW130*$CF130,"")</f>
        <v>0</v>
      </c>
      <c r="BB130" s="38">
        <f t="shared" ref="BB130:BB193" si="138">IF($AA130&gt;0,BX130*$CF130,"")</f>
        <v>0.82834825299176473</v>
      </c>
      <c r="BC130" s="38">
        <f t="shared" ref="BC130:BC193" si="139">IF($AA130&gt;0,BY130*$CF130,"")</f>
        <v>0.17751224089689521</v>
      </c>
      <c r="BD130" s="38">
        <f t="shared" ref="BD130:BD193" si="140">IF($AA130&gt;0,BZ130*$CF130,"")</f>
        <v>4.4241011591993036E-3</v>
      </c>
      <c r="BE130" s="38">
        <f t="shared" ref="BE130:BE193" si="141">IF($AA130&gt;0,CA130*$CF130,"")</f>
        <v>0</v>
      </c>
      <c r="BF130" s="38">
        <f t="shared" ref="BF130:BF193" si="142">IF($AA130&gt;0,CB130*$CF130,"")</f>
        <v>0</v>
      </c>
      <c r="BG130" s="38">
        <f t="shared" ref="BG130:BG193" si="143">IF($AA130&gt;0,CC130*$CF130,"")</f>
        <v>0</v>
      </c>
      <c r="BH130" s="41">
        <f t="shared" ref="BH130:BH193" si="144">IF(AA130&gt;0,SUM(AT130:BF130),"")</f>
        <v>5</v>
      </c>
      <c r="BI130" s="42">
        <f t="shared" ref="BI130:BI193" si="145">(AT130+AU130)*2+(AV130+AW130+AY130)*1.5+AX130+AZ130+BA130+BB130+(BC130+BD130)*0.5+BE130*2.5+BF130*3  -(0.5*(BG130))</f>
        <v>7.9913156289910141</v>
      </c>
      <c r="BJ130" s="38">
        <f t="shared" ref="BJ130:BJ193" si="146">IF(AA130&gt;0,AT130+AV130,"")</f>
        <v>3.9754839299695761</v>
      </c>
      <c r="BK130" s="38">
        <f t="shared" ref="BK130:BK193" si="147">IF(AA130&gt;0,SUM(BB130:BD130),"")</f>
        <v>1.0102845950478592</v>
      </c>
      <c r="BL130" s="16"/>
      <c r="BM130" s="16">
        <f t="shared" ref="BM130:BM193" si="148">AJ130/(AJ130+AK130+AL130)</f>
        <v>0.81991575151408125</v>
      </c>
      <c r="BN130" s="16">
        <f t="shared" ref="BN130:BN193" si="149">AK130/(AK130+AJ130+AL130)</f>
        <v>0.17570518422928752</v>
      </c>
      <c r="BO130" s="16">
        <f t="shared" ref="BO130:BO193" si="150">AL130/(AJ130+AK130+AL130)</f>
        <v>4.3790642566312963E-3</v>
      </c>
      <c r="BP130" s="15"/>
      <c r="BQ130" s="38">
        <f t="shared" ref="BQ130:BQ193" si="151">F130/60.08</f>
        <v>0.78278961384820245</v>
      </c>
      <c r="BR130" s="38">
        <f t="shared" ref="BR130:BR193" si="152">G130/79.88</f>
        <v>0</v>
      </c>
      <c r="BS130" s="38">
        <f t="shared" ref="BS130:BS193" si="153">H130/101.96*2</f>
        <v>0.64809729305610042</v>
      </c>
      <c r="BT130" s="38">
        <f t="shared" ref="BT130:BT193" si="154">I130/151.99*2</f>
        <v>0</v>
      </c>
      <c r="BU130" s="38">
        <f t="shared" ref="BU130:BU193" si="155">J130/71.85</f>
        <v>5.1223024862391353E-3</v>
      </c>
      <c r="BV130" s="38">
        <f t="shared" ref="BV130:BV193" si="156">K130/70.94</f>
        <v>0</v>
      </c>
      <c r="BW130" s="38">
        <f t="shared" ref="BW130:BW193" si="157">L130/40.3</f>
        <v>0</v>
      </c>
      <c r="BX130" s="38">
        <f t="shared" ref="BX130:BX193" si="158">M130/56.08</f>
        <v>0.29814550641940085</v>
      </c>
      <c r="BY130" s="38">
        <f t="shared" ref="BY130:BY193" si="159">N130/61.98*2</f>
        <v>6.3891577928363988E-2</v>
      </c>
      <c r="BZ130" s="38">
        <f t="shared" ref="BZ130:BZ193" si="160">O130/94.2*2</f>
        <v>1.592356687898089E-3</v>
      </c>
      <c r="CA130" s="38">
        <f t="shared" ref="CA130:CA193" si="161">P130/141.94*2</f>
        <v>0</v>
      </c>
      <c r="CB130" s="38">
        <f t="shared" ref="CB130:CB193" si="162">Q130/80.06</f>
        <v>0</v>
      </c>
      <c r="CC130" s="38">
        <f t="shared" ref="CC130:CC193" si="163">R130/35.45</f>
        <v>0</v>
      </c>
      <c r="CD130" s="38">
        <f t="shared" ref="CD130:CD193" si="164">SUM(BQ130:CB130)</f>
        <v>1.7996386504262052</v>
      </c>
      <c r="CE130" s="38">
        <f t="shared" ref="CE130:CE193" si="165">(BQ130+BR130)*2+(BS130+BT130)*1.5+BU130+BV130+BW130+BX130+(BY130+BZ130)*0.5+CA130*2.5+CB130*3+     -(0.5*(CC130))</f>
        <v>2.8737349434943269</v>
      </c>
      <c r="CF130" s="38">
        <f t="shared" ref="CF130:CF193" si="166">AA130/CD130</f>
        <v>2.7783355279771631</v>
      </c>
      <c r="CG130" s="38">
        <f t="shared" ref="CG130:CG193" si="167">CE130*CF130</f>
        <v>7.9841998914997339</v>
      </c>
      <c r="CH130" s="15"/>
      <c r="CI130" s="16"/>
      <c r="CJ130" s="13"/>
      <c r="CK130" s="104"/>
      <c r="CL130" s="13"/>
      <c r="CM130" s="13"/>
      <c r="CN130" s="13"/>
      <c r="CO130" s="16"/>
      <c r="CP130" s="16"/>
      <c r="CQ130" s="16"/>
      <c r="CR130" s="16"/>
      <c r="CS130" s="16"/>
      <c r="CT130" s="16"/>
      <c r="CU130" s="16"/>
      <c r="CV130" s="16"/>
      <c r="CW130" s="16"/>
      <c r="CX130" s="16"/>
      <c r="CY130" s="104"/>
      <c r="CZ130" s="104"/>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3"/>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row>
    <row r="131" spans="1:167" x14ac:dyDescent="0.25">
      <c r="A131" s="35" t="s">
        <v>87</v>
      </c>
      <c r="B131" s="15">
        <v>486</v>
      </c>
      <c r="C131" s="102" t="s">
        <v>99</v>
      </c>
      <c r="D131" s="102" t="s">
        <v>106</v>
      </c>
      <c r="E131" s="15">
        <v>139</v>
      </c>
      <c r="F131" s="16">
        <v>57.45</v>
      </c>
      <c r="G131" s="16"/>
      <c r="H131" s="16">
        <v>26.21</v>
      </c>
      <c r="I131" s="16"/>
      <c r="J131" s="16">
        <v>0.2969495185818411</v>
      </c>
      <c r="K131" s="16"/>
      <c r="L131" s="16"/>
      <c r="M131" s="16">
        <v>9.08</v>
      </c>
      <c r="N131" s="16">
        <v>6.56</v>
      </c>
      <c r="O131" s="16">
        <v>0.441</v>
      </c>
      <c r="P131" s="16"/>
      <c r="Q131" s="16"/>
      <c r="R131" s="16"/>
      <c r="S131" s="16">
        <f t="shared" si="113"/>
        <v>100.03794951858184</v>
      </c>
      <c r="T131" s="16"/>
      <c r="U131" s="15">
        <v>1</v>
      </c>
      <c r="V131" s="15"/>
      <c r="W131" s="15"/>
      <c r="X131" s="15" t="s">
        <v>186</v>
      </c>
      <c r="Y131" s="15"/>
      <c r="Z131" s="37">
        <v>8</v>
      </c>
      <c r="AA131" s="37">
        <v>5</v>
      </c>
      <c r="AB131" s="15"/>
      <c r="AC131" s="38">
        <f t="shared" si="114"/>
        <v>2.5842161230365202</v>
      </c>
      <c r="AD131" s="38">
        <f t="shared" si="115"/>
        <v>0</v>
      </c>
      <c r="AE131" s="38">
        <f t="shared" si="116"/>
        <v>1.3894275710278758</v>
      </c>
      <c r="AF131" s="38">
        <f t="shared" si="117"/>
        <v>0</v>
      </c>
      <c r="AG131" s="38">
        <f t="shared" si="118"/>
        <v>1.1169264504008959E-2</v>
      </c>
      <c r="AH131" s="38">
        <f t="shared" si="119"/>
        <v>0</v>
      </c>
      <c r="AI131" s="38">
        <f t="shared" si="120"/>
        <v>0</v>
      </c>
      <c r="AJ131" s="38">
        <f t="shared" si="121"/>
        <v>0.43756902001929038</v>
      </c>
      <c r="AK131" s="38">
        <f t="shared" si="122"/>
        <v>0.5720723873410658</v>
      </c>
      <c r="AL131" s="38">
        <f t="shared" si="123"/>
        <v>2.5303838382630162E-2</v>
      </c>
      <c r="AM131" s="38">
        <f t="shared" si="124"/>
        <v>0</v>
      </c>
      <c r="AN131" s="38">
        <f t="shared" si="125"/>
        <v>0</v>
      </c>
      <c r="AO131" s="38">
        <f t="shared" si="126"/>
        <v>0</v>
      </c>
      <c r="AP131" s="38">
        <f t="shared" si="127"/>
        <v>5.0197582043113922</v>
      </c>
      <c r="AQ131" s="38">
        <f t="shared" si="128"/>
        <v>3.9736436940643962</v>
      </c>
      <c r="AR131" s="38">
        <f t="shared" si="129"/>
        <v>1.0349452457429862</v>
      </c>
      <c r="AS131" s="40"/>
      <c r="AT131" s="38">
        <f t="shared" si="130"/>
        <v>2.5740444239096791</v>
      </c>
      <c r="AU131" s="38">
        <f t="shared" si="131"/>
        <v>0</v>
      </c>
      <c r="AV131" s="38">
        <f t="shared" si="132"/>
        <v>1.3839586634217946</v>
      </c>
      <c r="AW131" s="38">
        <f t="shared" si="133"/>
        <v>0</v>
      </c>
      <c r="AX131" s="38">
        <f t="shared" si="134"/>
        <v>0</v>
      </c>
      <c r="AY131" s="38">
        <f t="shared" si="135"/>
        <v>1.1125301308752137E-2</v>
      </c>
      <c r="AZ131" s="38">
        <f t="shared" si="136"/>
        <v>0</v>
      </c>
      <c r="BA131" s="38">
        <f t="shared" si="137"/>
        <v>0</v>
      </c>
      <c r="BB131" s="38">
        <f t="shared" si="138"/>
        <v>0.43584671034898587</v>
      </c>
      <c r="BC131" s="38">
        <f t="shared" si="139"/>
        <v>0.56982066073393922</v>
      </c>
      <c r="BD131" s="38">
        <f t="shared" si="140"/>
        <v>2.5204240276849487E-2</v>
      </c>
      <c r="BE131" s="38">
        <f t="shared" si="141"/>
        <v>0</v>
      </c>
      <c r="BF131" s="38">
        <f t="shared" si="142"/>
        <v>0</v>
      </c>
      <c r="BG131" s="38">
        <f t="shared" si="143"/>
        <v>0</v>
      </c>
      <c r="BH131" s="41">
        <f t="shared" si="144"/>
        <v>5.0000000000000009</v>
      </c>
      <c r="BI131" s="42">
        <f t="shared" si="145"/>
        <v>7.9740739557695584</v>
      </c>
      <c r="BJ131" s="38">
        <f t="shared" si="146"/>
        <v>3.9580030873314738</v>
      </c>
      <c r="BK131" s="38">
        <f t="shared" si="147"/>
        <v>1.0308716113597747</v>
      </c>
      <c r="BL131" s="16"/>
      <c r="BM131" s="16">
        <f t="shared" si="148"/>
        <v>0.42279436696688238</v>
      </c>
      <c r="BN131" s="16">
        <f t="shared" si="149"/>
        <v>0.55275618656557579</v>
      </c>
      <c r="BO131" s="16">
        <f t="shared" si="150"/>
        <v>2.4449446467541925E-2</v>
      </c>
      <c r="BP131" s="15"/>
      <c r="BQ131" s="38">
        <f t="shared" si="151"/>
        <v>0.95622503328894815</v>
      </c>
      <c r="BR131" s="38">
        <f t="shared" si="152"/>
        <v>0</v>
      </c>
      <c r="BS131" s="38">
        <f t="shared" si="153"/>
        <v>0.51412318556296588</v>
      </c>
      <c r="BT131" s="38">
        <f t="shared" si="154"/>
        <v>0</v>
      </c>
      <c r="BU131" s="38">
        <f t="shared" si="155"/>
        <v>4.1329090964765643E-3</v>
      </c>
      <c r="BV131" s="38">
        <f t="shared" si="156"/>
        <v>0</v>
      </c>
      <c r="BW131" s="38">
        <f t="shared" si="157"/>
        <v>0</v>
      </c>
      <c r="BX131" s="38">
        <f t="shared" si="158"/>
        <v>0.16191155492154066</v>
      </c>
      <c r="BY131" s="38">
        <f t="shared" si="159"/>
        <v>0.21168118747983219</v>
      </c>
      <c r="BZ131" s="38">
        <f t="shared" si="160"/>
        <v>9.3630573248407647E-3</v>
      </c>
      <c r="CA131" s="38">
        <f t="shared" si="161"/>
        <v>0</v>
      </c>
      <c r="CB131" s="38">
        <f t="shared" si="162"/>
        <v>0</v>
      </c>
      <c r="CC131" s="38">
        <f t="shared" si="163"/>
        <v>0</v>
      </c>
      <c r="CD131" s="38">
        <f t="shared" si="164"/>
        <v>1.8574369276746039</v>
      </c>
      <c r="CE131" s="38">
        <f t="shared" si="165"/>
        <v>2.9602014313426985</v>
      </c>
      <c r="CF131" s="38">
        <f t="shared" si="166"/>
        <v>2.6918814445342649</v>
      </c>
      <c r="CG131" s="38">
        <f t="shared" si="167"/>
        <v>7.9685113051151824</v>
      </c>
      <c r="CH131" s="15"/>
      <c r="CI131" s="16"/>
      <c r="CJ131" s="13"/>
      <c r="CK131" s="104"/>
      <c r="CL131" s="13"/>
      <c r="CM131" s="13"/>
      <c r="CN131" s="13"/>
      <c r="CO131" s="16"/>
      <c r="CP131" s="16"/>
      <c r="CQ131" s="16"/>
      <c r="CR131" s="16"/>
      <c r="CS131" s="16"/>
      <c r="CT131" s="16"/>
      <c r="CU131" s="16"/>
      <c r="CV131" s="16"/>
      <c r="CW131" s="16"/>
      <c r="CX131" s="16"/>
      <c r="CY131" s="104"/>
      <c r="CZ131" s="104"/>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3"/>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row>
    <row r="132" spans="1:167" x14ac:dyDescent="0.25">
      <c r="A132" s="35" t="s">
        <v>87</v>
      </c>
      <c r="B132" s="15">
        <v>487</v>
      </c>
      <c r="C132" s="102" t="s">
        <v>99</v>
      </c>
      <c r="D132" s="102" t="s">
        <v>106</v>
      </c>
      <c r="E132" s="15">
        <v>140</v>
      </c>
      <c r="F132" s="16">
        <v>49.58</v>
      </c>
      <c r="G132" s="16"/>
      <c r="H132" s="16">
        <v>30.98</v>
      </c>
      <c r="I132" s="16"/>
      <c r="J132" s="16">
        <v>0.32214523530999728</v>
      </c>
      <c r="K132" s="16"/>
      <c r="L132" s="16"/>
      <c r="M132" s="16">
        <v>14.67</v>
      </c>
      <c r="N132" s="16">
        <v>3.23</v>
      </c>
      <c r="O132" s="16">
        <v>0.125</v>
      </c>
      <c r="P132" s="16"/>
      <c r="Q132" s="16"/>
      <c r="R132" s="16"/>
      <c r="S132" s="16">
        <f t="shared" si="113"/>
        <v>98.907145235310011</v>
      </c>
      <c r="T132" s="16"/>
      <c r="U132" s="15">
        <v>2</v>
      </c>
      <c r="V132" s="15"/>
      <c r="W132" s="15"/>
      <c r="X132" s="15" t="s">
        <v>185</v>
      </c>
      <c r="Y132" s="15"/>
      <c r="Z132" s="37">
        <v>8</v>
      </c>
      <c r="AA132" s="37">
        <v>5</v>
      </c>
      <c r="AB132" s="15"/>
      <c r="AC132" s="38">
        <f t="shared" si="114"/>
        <v>2.291108976307747</v>
      </c>
      <c r="AD132" s="38">
        <f t="shared" si="115"/>
        <v>0</v>
      </c>
      <c r="AE132" s="38">
        <f t="shared" si="116"/>
        <v>1.6871384793693949</v>
      </c>
      <c r="AF132" s="38">
        <f t="shared" si="117"/>
        <v>0</v>
      </c>
      <c r="AG132" s="38">
        <f t="shared" si="118"/>
        <v>1.2447842602940231E-2</v>
      </c>
      <c r="AH132" s="38">
        <f t="shared" si="119"/>
        <v>0</v>
      </c>
      <c r="AI132" s="38">
        <f t="shared" si="120"/>
        <v>0</v>
      </c>
      <c r="AJ132" s="38">
        <f t="shared" si="121"/>
        <v>0.72625854842613535</v>
      </c>
      <c r="AK132" s="38">
        <f t="shared" si="122"/>
        <v>0.28936772806900279</v>
      </c>
      <c r="AL132" s="38">
        <f t="shared" si="123"/>
        <v>7.3681465336731646E-3</v>
      </c>
      <c r="AM132" s="38">
        <f t="shared" si="124"/>
        <v>0</v>
      </c>
      <c r="AN132" s="38">
        <f t="shared" si="125"/>
        <v>0</v>
      </c>
      <c r="AO132" s="38">
        <f t="shared" si="126"/>
        <v>0</v>
      </c>
      <c r="AP132" s="38">
        <f t="shared" si="127"/>
        <v>5.0136897213088929</v>
      </c>
      <c r="AQ132" s="38">
        <f t="shared" si="128"/>
        <v>3.9782474556771419</v>
      </c>
      <c r="AR132" s="38">
        <f t="shared" si="129"/>
        <v>1.0229944230288113</v>
      </c>
      <c r="AS132" s="40"/>
      <c r="AT132" s="38">
        <f t="shared" si="130"/>
        <v>2.2848531756664241</v>
      </c>
      <c r="AU132" s="38">
        <f t="shared" si="131"/>
        <v>0</v>
      </c>
      <c r="AV132" s="38">
        <f t="shared" si="132"/>
        <v>1.6825318010793695</v>
      </c>
      <c r="AW132" s="38">
        <f t="shared" si="133"/>
        <v>0</v>
      </c>
      <c r="AX132" s="38">
        <f t="shared" si="134"/>
        <v>0</v>
      </c>
      <c r="AY132" s="38">
        <f t="shared" si="135"/>
        <v>1.2413854162170359E-2</v>
      </c>
      <c r="AZ132" s="38">
        <f t="shared" si="136"/>
        <v>0</v>
      </c>
      <c r="BA132" s="38">
        <f t="shared" si="137"/>
        <v>0</v>
      </c>
      <c r="BB132" s="38">
        <f t="shared" si="138"/>
        <v>0.72427552241559079</v>
      </c>
      <c r="BC132" s="38">
        <f t="shared" si="139"/>
        <v>0.28857761863398612</v>
      </c>
      <c r="BD132" s="38">
        <f t="shared" si="140"/>
        <v>7.3480280424589248E-3</v>
      </c>
      <c r="BE132" s="38">
        <f t="shared" si="141"/>
        <v>0</v>
      </c>
      <c r="BF132" s="38">
        <f t="shared" si="142"/>
        <v>0</v>
      </c>
      <c r="BG132" s="38">
        <f t="shared" si="143"/>
        <v>0</v>
      </c>
      <c r="BH132" s="41">
        <f t="shared" si="144"/>
        <v>4.9999999999999991</v>
      </c>
      <c r="BI132" s="42">
        <f t="shared" si="145"/>
        <v>7.9843631799489714</v>
      </c>
      <c r="BJ132" s="38">
        <f t="shared" si="146"/>
        <v>3.9673849767457936</v>
      </c>
      <c r="BK132" s="38">
        <f t="shared" si="147"/>
        <v>1.0202011690920358</v>
      </c>
      <c r="BL132" s="16"/>
      <c r="BM132" s="16">
        <f t="shared" si="148"/>
        <v>0.70993402512975501</v>
      </c>
      <c r="BN132" s="16">
        <f t="shared" si="149"/>
        <v>0.28286344632482235</v>
      </c>
      <c r="BO132" s="16">
        <f t="shared" si="150"/>
        <v>7.2025285454226278E-3</v>
      </c>
      <c r="BP132" s="15"/>
      <c r="BQ132" s="38">
        <f t="shared" si="151"/>
        <v>0.82523302263648468</v>
      </c>
      <c r="BR132" s="38">
        <f t="shared" si="152"/>
        <v>0</v>
      </c>
      <c r="BS132" s="38">
        <f t="shared" si="153"/>
        <v>0.60768928991761484</v>
      </c>
      <c r="BT132" s="38">
        <f t="shared" si="154"/>
        <v>0</v>
      </c>
      <c r="BU132" s="38">
        <f t="shared" si="155"/>
        <v>4.4835801713291202E-3</v>
      </c>
      <c r="BV132" s="38">
        <f t="shared" si="156"/>
        <v>0</v>
      </c>
      <c r="BW132" s="38">
        <f t="shared" si="157"/>
        <v>0</v>
      </c>
      <c r="BX132" s="38">
        <f t="shared" si="158"/>
        <v>0.26159058487874465</v>
      </c>
      <c r="BY132" s="38">
        <f t="shared" si="159"/>
        <v>0.10422717005485641</v>
      </c>
      <c r="BZ132" s="38">
        <f t="shared" si="160"/>
        <v>2.6539278131634818E-3</v>
      </c>
      <c r="CA132" s="38">
        <f t="shared" si="161"/>
        <v>0</v>
      </c>
      <c r="CB132" s="38">
        <f t="shared" si="162"/>
        <v>0</v>
      </c>
      <c r="CC132" s="38">
        <f t="shared" si="163"/>
        <v>0</v>
      </c>
      <c r="CD132" s="38">
        <f t="shared" si="164"/>
        <v>1.8058775754721932</v>
      </c>
      <c r="CE132" s="38">
        <f t="shared" si="165"/>
        <v>2.8815146941334753</v>
      </c>
      <c r="CF132" s="38">
        <f t="shared" si="166"/>
        <v>2.7687369663985231</v>
      </c>
      <c r="CG132" s="38">
        <f t="shared" si="167"/>
        <v>7.978156252867886</v>
      </c>
      <c r="CH132" s="15"/>
      <c r="CI132" s="16">
        <v>0</v>
      </c>
      <c r="CJ132" s="13">
        <v>17628.165691250899</v>
      </c>
      <c r="CK132" s="104">
        <v>97.362911531732053</v>
      </c>
      <c r="CL132" s="13">
        <v>159512.54556310762</v>
      </c>
      <c r="CM132" s="13">
        <v>234328.62910578566</v>
      </c>
      <c r="CN132" s="13">
        <v>100932.1016415832</v>
      </c>
      <c r="CO132" s="16">
        <v>0.94344056614986194</v>
      </c>
      <c r="CP132" s="16">
        <v>163.54719151274347</v>
      </c>
      <c r="CQ132" s="16">
        <v>4.3323533428452663</v>
      </c>
      <c r="CR132" s="16">
        <v>0</v>
      </c>
      <c r="CS132" s="16">
        <v>41.192141368498646</v>
      </c>
      <c r="CT132" s="16">
        <v>0</v>
      </c>
      <c r="CU132" s="16">
        <v>0</v>
      </c>
      <c r="CV132" s="16">
        <v>2.2736790900893062</v>
      </c>
      <c r="CW132" s="16">
        <v>5.0776529177520082</v>
      </c>
      <c r="CX132" s="16">
        <v>0</v>
      </c>
      <c r="CY132" s="104">
        <v>354.21975533193557</v>
      </c>
      <c r="CZ132" s="104">
        <v>353.53651497568512</v>
      </c>
      <c r="DA132" s="16">
        <v>1.6436829773877821</v>
      </c>
      <c r="DB132" s="16">
        <v>0.32697095370577051</v>
      </c>
      <c r="DC132" s="16">
        <v>0</v>
      </c>
      <c r="DD132" s="16">
        <v>0</v>
      </c>
      <c r="DE132" s="16">
        <v>34.889675678842067</v>
      </c>
      <c r="DF132" s="16">
        <v>1.3801107186715393</v>
      </c>
      <c r="DG132" s="16">
        <v>2.5703925372694605</v>
      </c>
      <c r="DH132" s="16">
        <v>0.37608202549861841</v>
      </c>
      <c r="DI132" s="16">
        <v>1.3596079702539425</v>
      </c>
      <c r="DJ132" s="16">
        <v>0.28165683695119587</v>
      </c>
      <c r="DK132" s="16">
        <v>0.35676438739362293</v>
      </c>
      <c r="DL132" s="16">
        <v>0.26708345145583151</v>
      </c>
      <c r="DM132" s="16">
        <v>8.102369585233174E-2</v>
      </c>
      <c r="DN132" s="16">
        <v>0.3027734569049062</v>
      </c>
      <c r="DO132" s="16">
        <v>1.7179145316493873E-2</v>
      </c>
      <c r="DP132" s="16">
        <v>4.3197069450574964E-2</v>
      </c>
      <c r="DQ132" s="16">
        <v>0</v>
      </c>
      <c r="DR132" s="16">
        <v>9.5613993631684255E-2</v>
      </c>
      <c r="DS132" s="16">
        <v>0</v>
      </c>
      <c r="DT132" s="16">
        <v>0</v>
      </c>
      <c r="DU132" s="16">
        <v>0</v>
      </c>
      <c r="DV132" s="16">
        <v>1.6098380717826883</v>
      </c>
      <c r="DW132" s="16">
        <v>0</v>
      </c>
      <c r="DX132" s="16">
        <v>0</v>
      </c>
      <c r="DY132" s="16">
        <f>(DK132/0.05883)/SQRT((DJ132/0.1536)*(DL132/0.2069))</f>
        <v>3.941620990880875</v>
      </c>
      <c r="DZ132" s="16"/>
      <c r="EA132" s="13">
        <f>1128+200*((BM132-0.4)/0.4) -273</f>
        <v>1009.9670125648775</v>
      </c>
      <c r="EB132" s="16"/>
      <c r="EC132" s="16">
        <f>(-18.482 -16.353 * BM132)/(0.008314 * (EA132+273))</f>
        <v>-2.8211037905918523</v>
      </c>
      <c r="ED132" s="16"/>
      <c r="EE132" s="16"/>
      <c r="EF132" s="16"/>
      <c r="EG132" s="16"/>
      <c r="EH132" s="16"/>
      <c r="EI132" s="16"/>
      <c r="EJ132" s="16"/>
      <c r="EK132" s="16"/>
      <c r="EL132" s="16">
        <f>(23.856 -20.71 * BM132)/(0.008314 * (EA132+273))</f>
        <v>0.85812506872493211</v>
      </c>
      <c r="EM132" s="16"/>
      <c r="EN132" s="16">
        <f>(-4.5269  -51.811 * BM132)/(0.008314 * (EA132+273)) +N("eqn50a")</f>
        <v>-3.8727747592177684</v>
      </c>
      <c r="EO132" s="16" t="e">
        <f>(-187.27 + 2.26018 *#REF!)/(0.008314 * (EA132+273)) +N("fsp eqn35 from SiO2")</f>
        <v>#REF!</v>
      </c>
      <c r="EP132" s="16"/>
      <c r="EQ132" s="16"/>
      <c r="ER132" s="16">
        <f>(10.146 -35.204 * BM132)/(0.008314 * (EA132+273))</f>
        <v>-1.3918713068437927</v>
      </c>
      <c r="ES132" s="16">
        <f>(2.1146 -37.009 * BM132)/(0.008314 * (EA132+273))</f>
        <v>-2.2649556652355787</v>
      </c>
      <c r="ET132" s="16">
        <f>(-3.6812 -33.822 * BM132)/(0.008314 * (EA132+273))</f>
        <v>-2.5961993907097907</v>
      </c>
      <c r="EU132" s="16">
        <f>(-6.8025 -26.094 * BM132)/(0.008314 * (EA132+273))</f>
        <v>-2.3744724239135349</v>
      </c>
      <c r="EV132" s="16">
        <f>(-5.6996 -30.85 * BM132)/(0.008314 * (EA132+273))</f>
        <v>-2.5876189594701664</v>
      </c>
      <c r="EW132" s="16">
        <f>(-8.6767 -33.32 * BM132)/(0.008314 * (EA132+273))</f>
        <v>-3.0311194636883543</v>
      </c>
      <c r="EX132" s="16"/>
      <c r="EY132" s="16">
        <f>(-1.9714 -59.897 * BM132)/(0.008314 * (EA132+273))</f>
        <v>-4.171373205515585</v>
      </c>
      <c r="EZ132" s="16">
        <f>(-4.3691 -44.528 * BM132)/(0.008314 * (EA132+273))</f>
        <v>-3.3732476720493114</v>
      </c>
      <c r="FA132" s="16">
        <f>(-2.2521 -58.215 * BM132)/(0.008314 * (EA132+273))</f>
        <v>-4.0857404753190378</v>
      </c>
      <c r="FB132" s="16"/>
      <c r="FC132" s="16">
        <f>(-8.5 - 57.253 * BM132)/(0.008314 * (EA132+273))</f>
        <v>-4.6074577856891361</v>
      </c>
      <c r="FD132" s="16"/>
      <c r="FE132" s="16">
        <f>(-9.2954 -52.923 * BM132)/(0.008314 * (EA132+273))</f>
        <v>-4.3938361117455065</v>
      </c>
      <c r="FF132" s="16">
        <f>(0.61501 -70.378 * BM132)/(0.008314 * (EA132+273))</f>
        <v>-4.6264773714016671</v>
      </c>
      <c r="FG132" s="16"/>
      <c r="FH132" s="16"/>
      <c r="FI132" s="16"/>
      <c r="FJ132" s="16"/>
      <c r="FK132" s="16"/>
    </row>
    <row r="133" spans="1:167" x14ac:dyDescent="0.25">
      <c r="A133" s="35" t="s">
        <v>87</v>
      </c>
      <c r="B133" s="15">
        <v>488</v>
      </c>
      <c r="C133" s="102" t="s">
        <v>99</v>
      </c>
      <c r="D133" s="102" t="s">
        <v>106</v>
      </c>
      <c r="E133" s="15">
        <v>141</v>
      </c>
      <c r="F133" s="16">
        <v>48.01</v>
      </c>
      <c r="G133" s="16"/>
      <c r="H133" s="16">
        <v>32.590000000000003</v>
      </c>
      <c r="I133" s="16"/>
      <c r="J133" s="16">
        <v>0.30684783586790249</v>
      </c>
      <c r="K133" s="16"/>
      <c r="L133" s="16"/>
      <c r="M133" s="16">
        <v>16.04</v>
      </c>
      <c r="N133" s="16">
        <v>2.39</v>
      </c>
      <c r="O133" s="16">
        <v>7.1999999999999995E-2</v>
      </c>
      <c r="P133" s="16"/>
      <c r="Q133" s="16"/>
      <c r="R133" s="16"/>
      <c r="S133" s="16">
        <f t="shared" si="113"/>
        <v>99.408847835867888</v>
      </c>
      <c r="T133" s="16"/>
      <c r="U133" s="15">
        <v>2</v>
      </c>
      <c r="V133" s="15"/>
      <c r="W133" s="15"/>
      <c r="X133" s="15" t="s">
        <v>185</v>
      </c>
      <c r="Y133" s="15"/>
      <c r="Z133" s="37">
        <v>8</v>
      </c>
      <c r="AA133" s="37">
        <v>5</v>
      </c>
      <c r="AB133" s="15"/>
      <c r="AC133" s="38">
        <f t="shared" si="114"/>
        <v>2.2145554473486273</v>
      </c>
      <c r="AD133" s="38">
        <f t="shared" si="115"/>
        <v>0</v>
      </c>
      <c r="AE133" s="38">
        <f t="shared" si="116"/>
        <v>1.7716148250416941</v>
      </c>
      <c r="AF133" s="38">
        <f t="shared" si="117"/>
        <v>0</v>
      </c>
      <c r="AG133" s="38">
        <f t="shared" si="118"/>
        <v>1.1835348994191024E-2</v>
      </c>
      <c r="AH133" s="38">
        <f t="shared" si="119"/>
        <v>0</v>
      </c>
      <c r="AI133" s="38">
        <f t="shared" si="120"/>
        <v>0</v>
      </c>
      <c r="AJ133" s="38">
        <f t="shared" si="121"/>
        <v>0.7926494005195498</v>
      </c>
      <c r="AK133" s="38">
        <f t="shared" si="122"/>
        <v>0.21372784224280358</v>
      </c>
      <c r="AL133" s="38">
        <f t="shared" si="123"/>
        <v>4.2363942101246582E-3</v>
      </c>
      <c r="AM133" s="38">
        <f t="shared" si="124"/>
        <v>0</v>
      </c>
      <c r="AN133" s="38">
        <f t="shared" si="125"/>
        <v>0</v>
      </c>
      <c r="AO133" s="38">
        <f t="shared" si="126"/>
        <v>0</v>
      </c>
      <c r="AP133" s="38">
        <f t="shared" si="127"/>
        <v>5.0086192583569904</v>
      </c>
      <c r="AQ133" s="38">
        <f t="shared" si="128"/>
        <v>3.9861702723903214</v>
      </c>
      <c r="AR133" s="38">
        <f t="shared" si="129"/>
        <v>1.0106136369724781</v>
      </c>
      <c r="AS133" s="40"/>
      <c r="AT133" s="38">
        <f t="shared" si="130"/>
        <v>2.2107444518303057</v>
      </c>
      <c r="AU133" s="38">
        <f t="shared" si="131"/>
        <v>0</v>
      </c>
      <c r="AV133" s="38">
        <f t="shared" si="132"/>
        <v>1.7685660794496572</v>
      </c>
      <c r="AW133" s="38">
        <f t="shared" si="133"/>
        <v>0</v>
      </c>
      <c r="AX133" s="38">
        <f t="shared" si="134"/>
        <v>0</v>
      </c>
      <c r="AY133" s="38">
        <f t="shared" si="135"/>
        <v>1.1814981718208554E-2</v>
      </c>
      <c r="AZ133" s="38">
        <f t="shared" si="136"/>
        <v>0</v>
      </c>
      <c r="BA133" s="38">
        <f t="shared" si="137"/>
        <v>0</v>
      </c>
      <c r="BB133" s="38">
        <f t="shared" si="138"/>
        <v>0.7912853419602589</v>
      </c>
      <c r="BC133" s="38">
        <f t="shared" si="139"/>
        <v>0.21336004117920726</v>
      </c>
      <c r="BD133" s="38">
        <f t="shared" si="140"/>
        <v>4.2291038623630079E-3</v>
      </c>
      <c r="BE133" s="38">
        <f t="shared" si="141"/>
        <v>0</v>
      </c>
      <c r="BF133" s="38">
        <f t="shared" si="142"/>
        <v>0</v>
      </c>
      <c r="BG133" s="38">
        <f t="shared" si="143"/>
        <v>0</v>
      </c>
      <c r="BH133" s="41">
        <f t="shared" si="144"/>
        <v>5.0000000000000009</v>
      </c>
      <c r="BI133" s="42">
        <f t="shared" si="145"/>
        <v>7.9921404098934534</v>
      </c>
      <c r="BJ133" s="38">
        <f t="shared" si="146"/>
        <v>3.979310531279963</v>
      </c>
      <c r="BK133" s="38">
        <f t="shared" si="147"/>
        <v>1.0088744870018291</v>
      </c>
      <c r="BL133" s="16"/>
      <c r="BM133" s="16">
        <f t="shared" si="148"/>
        <v>0.7843248611745538</v>
      </c>
      <c r="BN133" s="16">
        <f t="shared" si="149"/>
        <v>0.21148323595065838</v>
      </c>
      <c r="BO133" s="16">
        <f t="shared" si="150"/>
        <v>4.1919028747877734E-3</v>
      </c>
      <c r="BP133" s="15"/>
      <c r="BQ133" s="38">
        <f t="shared" si="151"/>
        <v>0.79910119840213045</v>
      </c>
      <c r="BR133" s="38">
        <f t="shared" si="152"/>
        <v>0</v>
      </c>
      <c r="BS133" s="38">
        <f t="shared" si="153"/>
        <v>0.63927030207924684</v>
      </c>
      <c r="BT133" s="38">
        <f t="shared" si="154"/>
        <v>0</v>
      </c>
      <c r="BU133" s="38">
        <f t="shared" si="155"/>
        <v>4.270672733025783E-3</v>
      </c>
      <c r="BV133" s="38">
        <f t="shared" si="156"/>
        <v>0</v>
      </c>
      <c r="BW133" s="38">
        <f t="shared" si="157"/>
        <v>0</v>
      </c>
      <c r="BX133" s="38">
        <f t="shared" si="158"/>
        <v>0.2860199714693295</v>
      </c>
      <c r="BY133" s="38">
        <f t="shared" si="159"/>
        <v>7.7121652145853509E-2</v>
      </c>
      <c r="BZ133" s="38">
        <f t="shared" si="160"/>
        <v>1.5286624203821654E-3</v>
      </c>
      <c r="CA133" s="38">
        <f t="shared" si="161"/>
        <v>0</v>
      </c>
      <c r="CB133" s="38">
        <f t="shared" si="162"/>
        <v>0</v>
      </c>
      <c r="CC133" s="38">
        <f t="shared" si="163"/>
        <v>0</v>
      </c>
      <c r="CD133" s="38">
        <f t="shared" si="164"/>
        <v>1.8073124592499681</v>
      </c>
      <c r="CE133" s="38">
        <f t="shared" si="165"/>
        <v>2.8867236514086043</v>
      </c>
      <c r="CF133" s="38">
        <f t="shared" si="166"/>
        <v>2.7665387766291349</v>
      </c>
      <c r="CG133" s="38">
        <f t="shared" si="167"/>
        <v>7.9862329190343493</v>
      </c>
      <c r="CH133" s="15"/>
      <c r="CI133" s="16"/>
      <c r="CJ133" s="13"/>
      <c r="CK133" s="104"/>
      <c r="CL133" s="13"/>
      <c r="CM133" s="13"/>
      <c r="CN133" s="13"/>
      <c r="CO133" s="16"/>
      <c r="CP133" s="16"/>
      <c r="CQ133" s="16"/>
      <c r="CR133" s="16"/>
      <c r="CS133" s="16"/>
      <c r="CT133" s="16"/>
      <c r="CU133" s="16"/>
      <c r="CV133" s="16"/>
      <c r="CW133" s="16"/>
      <c r="CX133" s="16"/>
      <c r="CY133" s="104"/>
      <c r="CZ133" s="104"/>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3"/>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row>
    <row r="134" spans="1:167" x14ac:dyDescent="0.25">
      <c r="A134" s="35" t="s">
        <v>87</v>
      </c>
      <c r="B134" s="15">
        <v>489</v>
      </c>
      <c r="C134" s="102" t="s">
        <v>99</v>
      </c>
      <c r="D134" s="102" t="s">
        <v>106</v>
      </c>
      <c r="E134" s="15">
        <v>142</v>
      </c>
      <c r="F134" s="16">
        <v>55.24</v>
      </c>
      <c r="G134" s="16"/>
      <c r="H134" s="16">
        <v>27.61</v>
      </c>
      <c r="I134" s="16"/>
      <c r="J134" s="16">
        <v>0.30054890668586343</v>
      </c>
      <c r="K134" s="16"/>
      <c r="L134" s="16"/>
      <c r="M134" s="16">
        <v>10.67</v>
      </c>
      <c r="N134" s="16">
        <v>5.25</v>
      </c>
      <c r="O134" s="16">
        <v>0.41299999999999998</v>
      </c>
      <c r="P134" s="16"/>
      <c r="Q134" s="16"/>
      <c r="R134" s="16"/>
      <c r="S134" s="16">
        <f t="shared" si="113"/>
        <v>99.483548906685854</v>
      </c>
      <c r="T134" s="16"/>
      <c r="U134" s="15">
        <v>2</v>
      </c>
      <c r="V134" s="15"/>
      <c r="W134" s="15"/>
      <c r="X134" s="15" t="s">
        <v>258</v>
      </c>
      <c r="Y134" s="15"/>
      <c r="Z134" s="37">
        <v>8</v>
      </c>
      <c r="AA134" s="37">
        <v>5</v>
      </c>
      <c r="AB134" s="15"/>
      <c r="AC134" s="38">
        <f t="shared" si="114"/>
        <v>2.5063169202862885</v>
      </c>
      <c r="AD134" s="38">
        <f t="shared" si="115"/>
        <v>0</v>
      </c>
      <c r="AE134" s="38">
        <f t="shared" si="116"/>
        <v>1.4763142632355839</v>
      </c>
      <c r="AF134" s="38">
        <f t="shared" si="117"/>
        <v>0</v>
      </c>
      <c r="AG134" s="38">
        <f t="shared" si="118"/>
        <v>1.14025141577023E-2</v>
      </c>
      <c r="AH134" s="38">
        <f t="shared" si="119"/>
        <v>0</v>
      </c>
      <c r="AI134" s="38">
        <f t="shared" si="120"/>
        <v>0</v>
      </c>
      <c r="AJ134" s="38">
        <f t="shared" si="121"/>
        <v>0.51864315992490495</v>
      </c>
      <c r="AK134" s="38">
        <f t="shared" si="122"/>
        <v>0.46179578787573505</v>
      </c>
      <c r="AL134" s="38">
        <f t="shared" si="123"/>
        <v>2.3902393107144308E-2</v>
      </c>
      <c r="AM134" s="38">
        <f t="shared" si="124"/>
        <v>0</v>
      </c>
      <c r="AN134" s="38">
        <f t="shared" si="125"/>
        <v>0</v>
      </c>
      <c r="AO134" s="38">
        <f t="shared" si="126"/>
        <v>0</v>
      </c>
      <c r="AP134" s="38">
        <f t="shared" si="127"/>
        <v>4.9983750385873593</v>
      </c>
      <c r="AQ134" s="38">
        <f t="shared" si="128"/>
        <v>3.9826311835218724</v>
      </c>
      <c r="AR134" s="38">
        <f t="shared" si="129"/>
        <v>1.0043413409077844</v>
      </c>
      <c r="AS134" s="40"/>
      <c r="AT134" s="38">
        <f t="shared" si="130"/>
        <v>2.5071317187461628</v>
      </c>
      <c r="AU134" s="38">
        <f t="shared" si="131"/>
        <v>0</v>
      </c>
      <c r="AV134" s="38">
        <f t="shared" si="132"/>
        <v>1.4767942099567022</v>
      </c>
      <c r="AW134" s="38">
        <f t="shared" si="133"/>
        <v>0</v>
      </c>
      <c r="AX134" s="38">
        <f t="shared" si="134"/>
        <v>1.1406221091529858E-2</v>
      </c>
      <c r="AY134" s="38">
        <f t="shared" si="135"/>
        <v>0</v>
      </c>
      <c r="AZ134" s="38">
        <f t="shared" si="136"/>
        <v>0</v>
      </c>
      <c r="BA134" s="38">
        <f t="shared" si="137"/>
        <v>0</v>
      </c>
      <c r="BB134" s="38">
        <f t="shared" si="138"/>
        <v>0.51881176974615728</v>
      </c>
      <c r="BC134" s="38">
        <f t="shared" si="139"/>
        <v>0.46194591673361884</v>
      </c>
      <c r="BD134" s="38">
        <f t="shared" si="140"/>
        <v>2.3910163725829187E-2</v>
      </c>
      <c r="BE134" s="38">
        <f t="shared" si="141"/>
        <v>0</v>
      </c>
      <c r="BF134" s="38">
        <f t="shared" si="142"/>
        <v>0</v>
      </c>
      <c r="BG134" s="38">
        <f t="shared" si="143"/>
        <v>0</v>
      </c>
      <c r="BH134" s="41">
        <f t="shared" si="144"/>
        <v>5</v>
      </c>
      <c r="BI134" s="42">
        <f t="shared" si="145"/>
        <v>8.0026007834947901</v>
      </c>
      <c r="BJ134" s="38">
        <f t="shared" si="146"/>
        <v>3.983925928702865</v>
      </c>
      <c r="BK134" s="38">
        <f t="shared" si="147"/>
        <v>1.0046678502056052</v>
      </c>
      <c r="BL134" s="16"/>
      <c r="BM134" s="16">
        <f t="shared" si="148"/>
        <v>0.51640128589760526</v>
      </c>
      <c r="BN134" s="16">
        <f t="shared" si="149"/>
        <v>0.45979964088537478</v>
      </c>
      <c r="BO134" s="16">
        <f t="shared" si="150"/>
        <v>2.3799073217019906E-2</v>
      </c>
      <c r="BP134" s="15"/>
      <c r="BQ134" s="38">
        <f t="shared" si="151"/>
        <v>0.91944074567243683</v>
      </c>
      <c r="BR134" s="38">
        <f t="shared" si="152"/>
        <v>0</v>
      </c>
      <c r="BS134" s="38">
        <f t="shared" si="153"/>
        <v>0.54158493526873286</v>
      </c>
      <c r="BT134" s="38">
        <f t="shared" si="154"/>
        <v>0</v>
      </c>
      <c r="BU134" s="38">
        <f t="shared" si="155"/>
        <v>4.1830049643126433E-3</v>
      </c>
      <c r="BV134" s="38">
        <f t="shared" si="156"/>
        <v>0</v>
      </c>
      <c r="BW134" s="38">
        <f t="shared" si="157"/>
        <v>0</v>
      </c>
      <c r="BX134" s="38">
        <f t="shared" si="158"/>
        <v>0.1902639087018545</v>
      </c>
      <c r="BY134" s="38">
        <f t="shared" si="159"/>
        <v>0.16940948693126817</v>
      </c>
      <c r="BZ134" s="38">
        <f t="shared" si="160"/>
        <v>8.7685774946921445E-3</v>
      </c>
      <c r="CA134" s="38">
        <f t="shared" si="161"/>
        <v>0</v>
      </c>
      <c r="CB134" s="38">
        <f t="shared" si="162"/>
        <v>0</v>
      </c>
      <c r="CC134" s="38">
        <f t="shared" si="163"/>
        <v>0</v>
      </c>
      <c r="CD134" s="38">
        <f t="shared" si="164"/>
        <v>1.833650659033297</v>
      </c>
      <c r="CE134" s="38">
        <f t="shared" si="165"/>
        <v>2.9347948401271204</v>
      </c>
      <c r="CF134" s="38">
        <f t="shared" si="166"/>
        <v>2.7268007542047328</v>
      </c>
      <c r="CG134" s="38">
        <f t="shared" si="167"/>
        <v>8.0026007834947901</v>
      </c>
      <c r="CH134" s="15"/>
      <c r="CI134" s="16"/>
      <c r="CJ134" s="13"/>
      <c r="CK134" s="104"/>
      <c r="CL134" s="13"/>
      <c r="CM134" s="13"/>
      <c r="CN134" s="13"/>
      <c r="CO134" s="16"/>
      <c r="CP134" s="16"/>
      <c r="CQ134" s="16"/>
      <c r="CR134" s="16"/>
      <c r="CS134" s="16"/>
      <c r="CT134" s="16"/>
      <c r="CU134" s="16"/>
      <c r="CV134" s="16"/>
      <c r="CW134" s="16"/>
      <c r="CX134" s="16"/>
      <c r="CY134" s="104"/>
      <c r="CZ134" s="104"/>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3"/>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row>
    <row r="135" spans="1:167" x14ac:dyDescent="0.25">
      <c r="A135" s="35" t="s">
        <v>87</v>
      </c>
      <c r="B135" s="15">
        <v>490</v>
      </c>
      <c r="C135" s="102" t="s">
        <v>99</v>
      </c>
      <c r="D135" s="102" t="s">
        <v>106</v>
      </c>
      <c r="E135" s="15">
        <v>143</v>
      </c>
      <c r="F135" s="16">
        <v>55.25</v>
      </c>
      <c r="G135" s="16"/>
      <c r="H135" s="16">
        <v>27.62</v>
      </c>
      <c r="I135" s="16"/>
      <c r="J135" s="16">
        <v>0.2582560964636012</v>
      </c>
      <c r="K135" s="16"/>
      <c r="L135" s="16"/>
      <c r="M135" s="16">
        <v>10.71</v>
      </c>
      <c r="N135" s="16">
        <v>5.49</v>
      </c>
      <c r="O135" s="16">
        <v>0.39100000000000001</v>
      </c>
      <c r="P135" s="16"/>
      <c r="Q135" s="16"/>
      <c r="R135" s="16"/>
      <c r="S135" s="16">
        <f t="shared" si="113"/>
        <v>99.719256096463596</v>
      </c>
      <c r="T135" s="16"/>
      <c r="U135" s="15">
        <v>2</v>
      </c>
      <c r="V135" s="15"/>
      <c r="W135" s="15"/>
      <c r="X135" s="15" t="s">
        <v>258</v>
      </c>
      <c r="Y135" s="15"/>
      <c r="Z135" s="37">
        <v>8</v>
      </c>
      <c r="AA135" s="37">
        <v>5</v>
      </c>
      <c r="AB135" s="15"/>
      <c r="AC135" s="38">
        <f t="shared" si="114"/>
        <v>2.5030261236000833</v>
      </c>
      <c r="AD135" s="38">
        <f t="shared" si="115"/>
        <v>0</v>
      </c>
      <c r="AE135" s="38">
        <f t="shared" si="116"/>
        <v>1.4746429097570923</v>
      </c>
      <c r="AF135" s="38">
        <f t="shared" si="117"/>
        <v>0</v>
      </c>
      <c r="AG135" s="38">
        <f t="shared" si="118"/>
        <v>9.7833329497097853E-3</v>
      </c>
      <c r="AH135" s="38">
        <f t="shared" si="119"/>
        <v>0</v>
      </c>
      <c r="AI135" s="38">
        <f t="shared" si="120"/>
        <v>0</v>
      </c>
      <c r="AJ135" s="38">
        <f t="shared" si="121"/>
        <v>0.51980983204604736</v>
      </c>
      <c r="AK135" s="38">
        <f t="shared" si="122"/>
        <v>0.4821851066756917</v>
      </c>
      <c r="AL135" s="38">
        <f t="shared" si="123"/>
        <v>2.2595339661182684E-2</v>
      </c>
      <c r="AM135" s="38">
        <f t="shared" si="124"/>
        <v>0</v>
      </c>
      <c r="AN135" s="38">
        <f t="shared" si="125"/>
        <v>0</v>
      </c>
      <c r="AO135" s="38">
        <f t="shared" si="126"/>
        <v>0</v>
      </c>
      <c r="AP135" s="38">
        <f t="shared" si="127"/>
        <v>5.0120426446898065</v>
      </c>
      <c r="AQ135" s="38">
        <f t="shared" si="128"/>
        <v>3.9776690333571754</v>
      </c>
      <c r="AR135" s="38">
        <f t="shared" si="129"/>
        <v>1.0245902783829217</v>
      </c>
      <c r="AS135" s="40"/>
      <c r="AT135" s="38">
        <f t="shared" si="130"/>
        <v>2.4970119979445968</v>
      </c>
      <c r="AU135" s="38">
        <f t="shared" si="131"/>
        <v>0</v>
      </c>
      <c r="AV135" s="38">
        <f t="shared" si="132"/>
        <v>1.4710997235024097</v>
      </c>
      <c r="AW135" s="38">
        <f t="shared" si="133"/>
        <v>0</v>
      </c>
      <c r="AX135" s="38">
        <f t="shared" si="134"/>
        <v>0</v>
      </c>
      <c r="AY135" s="38">
        <f t="shared" si="135"/>
        <v>9.7598261260557085E-3</v>
      </c>
      <c r="AZ135" s="38">
        <f t="shared" si="136"/>
        <v>0</v>
      </c>
      <c r="BA135" s="38">
        <f t="shared" si="137"/>
        <v>0</v>
      </c>
      <c r="BB135" s="38">
        <f t="shared" si="138"/>
        <v>0.51856086320093375</v>
      </c>
      <c r="BC135" s="38">
        <f t="shared" si="139"/>
        <v>0.48102654033337133</v>
      </c>
      <c r="BD135" s="38">
        <f t="shared" si="140"/>
        <v>2.2541048892632774E-2</v>
      </c>
      <c r="BE135" s="38">
        <f t="shared" si="141"/>
        <v>0</v>
      </c>
      <c r="BF135" s="38">
        <f t="shared" si="142"/>
        <v>0</v>
      </c>
      <c r="BG135" s="38">
        <f t="shared" si="143"/>
        <v>0</v>
      </c>
      <c r="BH135" s="41">
        <f t="shared" si="144"/>
        <v>5</v>
      </c>
      <c r="BI135" s="42">
        <f t="shared" si="145"/>
        <v>7.9856579781458272</v>
      </c>
      <c r="BJ135" s="38">
        <f t="shared" si="146"/>
        <v>3.9681117214470065</v>
      </c>
      <c r="BK135" s="38">
        <f t="shared" si="147"/>
        <v>1.0221284524269378</v>
      </c>
      <c r="BL135" s="16"/>
      <c r="BM135" s="16">
        <f t="shared" si="148"/>
        <v>0.50733433940681805</v>
      </c>
      <c r="BN135" s="16">
        <f t="shared" si="149"/>
        <v>0.4706126115472315</v>
      </c>
      <c r="BO135" s="16">
        <f t="shared" si="150"/>
        <v>2.2053049045950533E-2</v>
      </c>
      <c r="BP135" s="15"/>
      <c r="BQ135" s="38">
        <f t="shared" si="151"/>
        <v>0.91960719041278294</v>
      </c>
      <c r="BR135" s="38">
        <f t="shared" si="152"/>
        <v>0</v>
      </c>
      <c r="BS135" s="38">
        <f t="shared" si="153"/>
        <v>0.54178109062377411</v>
      </c>
      <c r="BT135" s="38">
        <f t="shared" si="154"/>
        <v>0</v>
      </c>
      <c r="BU135" s="38">
        <f t="shared" si="155"/>
        <v>3.594378517238709E-3</v>
      </c>
      <c r="BV135" s="38">
        <f t="shared" si="156"/>
        <v>0</v>
      </c>
      <c r="BW135" s="38">
        <f t="shared" si="157"/>
        <v>0</v>
      </c>
      <c r="BX135" s="38">
        <f t="shared" si="158"/>
        <v>0.19097717546362342</v>
      </c>
      <c r="BY135" s="38">
        <f t="shared" si="159"/>
        <v>0.17715392061955471</v>
      </c>
      <c r="BZ135" s="38">
        <f t="shared" si="160"/>
        <v>8.3014861995753721E-3</v>
      </c>
      <c r="CA135" s="38">
        <f t="shared" si="161"/>
        <v>0</v>
      </c>
      <c r="CB135" s="38">
        <f t="shared" si="162"/>
        <v>0</v>
      </c>
      <c r="CC135" s="38">
        <f t="shared" si="163"/>
        <v>0</v>
      </c>
      <c r="CD135" s="38">
        <f t="shared" si="164"/>
        <v>1.8414152418365493</v>
      </c>
      <c r="CE135" s="38">
        <f t="shared" si="165"/>
        <v>2.9391852741516544</v>
      </c>
      <c r="CF135" s="38">
        <f t="shared" si="166"/>
        <v>2.7153028205703418</v>
      </c>
      <c r="CG135" s="38">
        <f t="shared" si="167"/>
        <v>7.9807780650828004</v>
      </c>
      <c r="CH135" s="15"/>
      <c r="CI135" s="16"/>
      <c r="CJ135" s="13"/>
      <c r="CK135" s="104"/>
      <c r="CL135" s="13"/>
      <c r="CM135" s="13"/>
      <c r="CN135" s="13"/>
      <c r="CO135" s="16"/>
      <c r="CP135" s="16"/>
      <c r="CQ135" s="16"/>
      <c r="CR135" s="16"/>
      <c r="CS135" s="16"/>
      <c r="CT135" s="16"/>
      <c r="CU135" s="16"/>
      <c r="CV135" s="16"/>
      <c r="CW135" s="16"/>
      <c r="CX135" s="16"/>
      <c r="CY135" s="104"/>
      <c r="CZ135" s="104"/>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3"/>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row>
    <row r="136" spans="1:167" x14ac:dyDescent="0.25">
      <c r="A136" s="35" t="s">
        <v>87</v>
      </c>
      <c r="B136" s="15">
        <v>491</v>
      </c>
      <c r="C136" s="102" t="s">
        <v>99</v>
      </c>
      <c r="D136" s="102" t="s">
        <v>106</v>
      </c>
      <c r="E136" s="15">
        <v>144</v>
      </c>
      <c r="F136" s="16">
        <v>56.63</v>
      </c>
      <c r="G136" s="16"/>
      <c r="H136" s="16">
        <v>26.76</v>
      </c>
      <c r="I136" s="16"/>
      <c r="J136" s="16">
        <v>0.2240619094753892</v>
      </c>
      <c r="K136" s="16"/>
      <c r="L136" s="16"/>
      <c r="M136" s="16">
        <v>9.51</v>
      </c>
      <c r="N136" s="16">
        <v>6.16</v>
      </c>
      <c r="O136" s="16">
        <v>0.379</v>
      </c>
      <c r="P136" s="16"/>
      <c r="Q136" s="16"/>
      <c r="R136" s="16"/>
      <c r="S136" s="16">
        <f t="shared" si="113"/>
        <v>99.663061909475402</v>
      </c>
      <c r="T136" s="16"/>
      <c r="U136" s="15">
        <v>2</v>
      </c>
      <c r="V136" s="15"/>
      <c r="W136" s="15"/>
      <c r="X136" s="15" t="s">
        <v>258</v>
      </c>
      <c r="Y136" s="15"/>
      <c r="Z136" s="37">
        <v>8</v>
      </c>
      <c r="AA136" s="37">
        <v>5</v>
      </c>
      <c r="AB136" s="15"/>
      <c r="AC136" s="38">
        <f t="shared" si="114"/>
        <v>2.5573286747567758</v>
      </c>
      <c r="AD136" s="38">
        <f t="shared" si="115"/>
        <v>0</v>
      </c>
      <c r="AE136" s="38">
        <f t="shared" si="116"/>
        <v>1.4241514902009953</v>
      </c>
      <c r="AF136" s="38">
        <f t="shared" si="117"/>
        <v>0</v>
      </c>
      <c r="AG136" s="38">
        <f t="shared" si="118"/>
        <v>8.4607949702471021E-3</v>
      </c>
      <c r="AH136" s="38">
        <f t="shared" si="119"/>
        <v>0</v>
      </c>
      <c r="AI136" s="38">
        <f t="shared" si="120"/>
        <v>0</v>
      </c>
      <c r="AJ136" s="38">
        <f t="shared" si="121"/>
        <v>0.46008960656844355</v>
      </c>
      <c r="AK136" s="38">
        <f t="shared" si="122"/>
        <v>0.53929829418182529</v>
      </c>
      <c r="AL136" s="38">
        <f t="shared" si="123"/>
        <v>2.1831733110704344E-2</v>
      </c>
      <c r="AM136" s="38">
        <f t="shared" si="124"/>
        <v>0</v>
      </c>
      <c r="AN136" s="38">
        <f t="shared" si="125"/>
        <v>0</v>
      </c>
      <c r="AO136" s="38">
        <f t="shared" si="126"/>
        <v>0</v>
      </c>
      <c r="AP136" s="38">
        <f t="shared" si="127"/>
        <v>5.0111605937889916</v>
      </c>
      <c r="AQ136" s="38">
        <f t="shared" si="128"/>
        <v>3.9814801649577714</v>
      </c>
      <c r="AR136" s="38">
        <f t="shared" si="129"/>
        <v>1.0212196338609731</v>
      </c>
      <c r="AS136" s="40"/>
      <c r="AT136" s="38">
        <f t="shared" si="130"/>
        <v>2.5516331265918901</v>
      </c>
      <c r="AU136" s="38">
        <f t="shared" si="131"/>
        <v>0</v>
      </c>
      <c r="AV136" s="38">
        <f t="shared" si="132"/>
        <v>1.4209796947698488</v>
      </c>
      <c r="AW136" s="38">
        <f t="shared" si="133"/>
        <v>0</v>
      </c>
      <c r="AX136" s="38">
        <f t="shared" si="134"/>
        <v>0</v>
      </c>
      <c r="AY136" s="38">
        <f t="shared" si="135"/>
        <v>8.4419515318803658E-3</v>
      </c>
      <c r="AZ136" s="38">
        <f t="shared" si="136"/>
        <v>0</v>
      </c>
      <c r="BA136" s="38">
        <f t="shared" si="137"/>
        <v>0</v>
      </c>
      <c r="BB136" s="38">
        <f t="shared" si="138"/>
        <v>0.45906491915135855</v>
      </c>
      <c r="BC136" s="38">
        <f t="shared" si="139"/>
        <v>0.53809719733413697</v>
      </c>
      <c r="BD136" s="38">
        <f t="shared" si="140"/>
        <v>2.1783110620884266E-2</v>
      </c>
      <c r="BE136" s="38">
        <f t="shared" si="141"/>
        <v>0</v>
      </c>
      <c r="BF136" s="38">
        <f t="shared" si="142"/>
        <v>0</v>
      </c>
      <c r="BG136" s="38">
        <f t="shared" si="143"/>
        <v>0</v>
      </c>
      <c r="BH136" s="41">
        <f t="shared" si="144"/>
        <v>4.9999999999999991</v>
      </c>
      <c r="BI136" s="42">
        <f t="shared" si="145"/>
        <v>7.9864037957652432</v>
      </c>
      <c r="BJ136" s="38">
        <f t="shared" si="146"/>
        <v>3.9726128213617389</v>
      </c>
      <c r="BK136" s="38">
        <f t="shared" si="147"/>
        <v>1.0189452271063799</v>
      </c>
      <c r="BL136" s="16"/>
      <c r="BM136" s="16">
        <f t="shared" si="148"/>
        <v>0.45052953479650709</v>
      </c>
      <c r="BN136" s="16">
        <f t="shared" si="149"/>
        <v>0.52809236749872779</v>
      </c>
      <c r="BO136" s="16">
        <f t="shared" si="150"/>
        <v>2.1378097704765116E-2</v>
      </c>
      <c r="BP136" s="15"/>
      <c r="BQ136" s="38">
        <f t="shared" si="151"/>
        <v>0.94257656458055927</v>
      </c>
      <c r="BR136" s="38">
        <f t="shared" si="152"/>
        <v>0</v>
      </c>
      <c r="BS136" s="38">
        <f t="shared" si="153"/>
        <v>0.52491173009023151</v>
      </c>
      <c r="BT136" s="38">
        <f t="shared" si="154"/>
        <v>0</v>
      </c>
      <c r="BU136" s="38">
        <f t="shared" si="155"/>
        <v>3.1184677727959529E-3</v>
      </c>
      <c r="BV136" s="38">
        <f t="shared" si="156"/>
        <v>0</v>
      </c>
      <c r="BW136" s="38">
        <f t="shared" si="157"/>
        <v>0</v>
      </c>
      <c r="BX136" s="38">
        <f t="shared" si="158"/>
        <v>0.16957917261055636</v>
      </c>
      <c r="BY136" s="38">
        <f t="shared" si="159"/>
        <v>0.19877379799935466</v>
      </c>
      <c r="BZ136" s="38">
        <f t="shared" si="160"/>
        <v>8.0467091295116765E-3</v>
      </c>
      <c r="CA136" s="38">
        <f t="shared" si="161"/>
        <v>0</v>
      </c>
      <c r="CB136" s="38">
        <f t="shared" si="162"/>
        <v>0</v>
      </c>
      <c r="CC136" s="38">
        <f t="shared" si="163"/>
        <v>0</v>
      </c>
      <c r="CD136" s="38">
        <f t="shared" si="164"/>
        <v>1.8470064421830097</v>
      </c>
      <c r="CE136" s="38">
        <f t="shared" si="165"/>
        <v>2.9486286182442512</v>
      </c>
      <c r="CF136" s="38">
        <f t="shared" si="166"/>
        <v>2.7070831404845621</v>
      </c>
      <c r="CG136" s="38">
        <f t="shared" si="167"/>
        <v>7.9821828199993021</v>
      </c>
      <c r="CH136" s="15"/>
      <c r="CI136" s="16"/>
      <c r="CJ136" s="13"/>
      <c r="CK136" s="104"/>
      <c r="CL136" s="13"/>
      <c r="CM136" s="13"/>
      <c r="CN136" s="13"/>
      <c r="CO136" s="16"/>
      <c r="CP136" s="16"/>
      <c r="CQ136" s="16"/>
      <c r="CR136" s="16"/>
      <c r="CS136" s="16"/>
      <c r="CT136" s="16"/>
      <c r="CU136" s="16"/>
      <c r="CV136" s="16"/>
      <c r="CW136" s="16"/>
      <c r="CX136" s="16"/>
      <c r="CY136" s="104"/>
      <c r="CZ136" s="104"/>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3"/>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row>
    <row r="137" spans="1:167" x14ac:dyDescent="0.25">
      <c r="A137" s="35" t="s">
        <v>87</v>
      </c>
      <c r="B137" s="15">
        <v>492</v>
      </c>
      <c r="C137" s="102" t="s">
        <v>99</v>
      </c>
      <c r="D137" s="102" t="s">
        <v>106</v>
      </c>
      <c r="E137" s="15">
        <v>145</v>
      </c>
      <c r="F137" s="16">
        <v>52.21</v>
      </c>
      <c r="G137" s="16"/>
      <c r="H137" s="16">
        <v>29.88</v>
      </c>
      <c r="I137" s="16"/>
      <c r="J137" s="16">
        <v>0.35184018716818144</v>
      </c>
      <c r="K137" s="16"/>
      <c r="L137" s="16"/>
      <c r="M137" s="16">
        <v>10.44</v>
      </c>
      <c r="N137" s="16">
        <v>5.01</v>
      </c>
      <c r="O137" s="16">
        <v>0.33200000000000002</v>
      </c>
      <c r="P137" s="16"/>
      <c r="Q137" s="16"/>
      <c r="R137" s="16"/>
      <c r="S137" s="16">
        <f t="shared" si="113"/>
        <v>98.223840187168179</v>
      </c>
      <c r="T137" s="16"/>
      <c r="U137" s="15">
        <v>2</v>
      </c>
      <c r="V137" s="15"/>
      <c r="W137" s="15"/>
      <c r="X137" s="15" t="s">
        <v>258</v>
      </c>
      <c r="Y137" s="15"/>
      <c r="Z137" s="37">
        <v>8</v>
      </c>
      <c r="AA137" s="37">
        <v>5</v>
      </c>
      <c r="AB137" s="15"/>
      <c r="AC137" s="38">
        <f t="shared" si="114"/>
        <v>2.4033956259353775</v>
      </c>
      <c r="AD137" s="38">
        <f t="shared" si="115"/>
        <v>0</v>
      </c>
      <c r="AE137" s="38">
        <f t="shared" si="116"/>
        <v>1.6209971796914477</v>
      </c>
      <c r="AF137" s="38">
        <f t="shared" si="117"/>
        <v>0</v>
      </c>
      <c r="AG137" s="38">
        <f t="shared" si="118"/>
        <v>1.354316494331134E-2</v>
      </c>
      <c r="AH137" s="38">
        <f t="shared" si="119"/>
        <v>0</v>
      </c>
      <c r="AI137" s="38">
        <f t="shared" si="120"/>
        <v>0</v>
      </c>
      <c r="AJ137" s="38">
        <f t="shared" si="121"/>
        <v>0.51486573621148579</v>
      </c>
      <c r="AK137" s="38">
        <f t="shared" si="122"/>
        <v>0.44711335982367323</v>
      </c>
      <c r="AL137" s="38">
        <f t="shared" si="123"/>
        <v>1.9494795050877565E-2</v>
      </c>
      <c r="AM137" s="38">
        <f t="shared" si="124"/>
        <v>0</v>
      </c>
      <c r="AN137" s="38">
        <f t="shared" si="125"/>
        <v>0</v>
      </c>
      <c r="AO137" s="38">
        <f t="shared" si="126"/>
        <v>0</v>
      </c>
      <c r="AP137" s="38">
        <f t="shared" si="127"/>
        <v>5.0194098616561735</v>
      </c>
      <c r="AQ137" s="38">
        <f t="shared" si="128"/>
        <v>4.0243928056268254</v>
      </c>
      <c r="AR137" s="38">
        <f t="shared" si="129"/>
        <v>0.98147389108603666</v>
      </c>
      <c r="AS137" s="40"/>
      <c r="AT137" s="38">
        <f t="shared" si="130"/>
        <v>2.3941017890321961</v>
      </c>
      <c r="AU137" s="38">
        <f t="shared" si="131"/>
        <v>0</v>
      </c>
      <c r="AV137" s="38">
        <f t="shared" si="132"/>
        <v>1.6147288469850059</v>
      </c>
      <c r="AW137" s="38">
        <f t="shared" si="133"/>
        <v>0</v>
      </c>
      <c r="AX137" s="38">
        <f t="shared" si="134"/>
        <v>0</v>
      </c>
      <c r="AY137" s="38">
        <f t="shared" si="135"/>
        <v>1.3490794054067069E-2</v>
      </c>
      <c r="AZ137" s="38">
        <f t="shared" si="136"/>
        <v>0</v>
      </c>
      <c r="BA137" s="38">
        <f t="shared" si="137"/>
        <v>0</v>
      </c>
      <c r="BB137" s="38">
        <f t="shared" si="138"/>
        <v>0.51287477054285024</v>
      </c>
      <c r="BC137" s="38">
        <f t="shared" si="139"/>
        <v>0.44538438994514246</v>
      </c>
      <c r="BD137" s="38">
        <f t="shared" si="140"/>
        <v>1.94194094407397E-2</v>
      </c>
      <c r="BE137" s="38">
        <f t="shared" si="141"/>
        <v>0</v>
      </c>
      <c r="BF137" s="38">
        <f t="shared" si="142"/>
        <v>0</v>
      </c>
      <c r="BG137" s="38">
        <f t="shared" si="143"/>
        <v>0</v>
      </c>
      <c r="BH137" s="41">
        <f t="shared" si="144"/>
        <v>5.0000000000000018</v>
      </c>
      <c r="BI137" s="42">
        <f t="shared" si="145"/>
        <v>7.9758097098587921</v>
      </c>
      <c r="BJ137" s="38">
        <f t="shared" si="146"/>
        <v>4.0088306360172021</v>
      </c>
      <c r="BK137" s="38">
        <f t="shared" si="147"/>
        <v>0.97767856992873237</v>
      </c>
      <c r="BL137" s="16"/>
      <c r="BM137" s="16">
        <f t="shared" si="148"/>
        <v>0.52458424099470247</v>
      </c>
      <c r="BN137" s="16">
        <f t="shared" si="149"/>
        <v>0.45555298402174099</v>
      </c>
      <c r="BO137" s="16">
        <f t="shared" si="150"/>
        <v>1.9862774983556479E-2</v>
      </c>
      <c r="BP137" s="15"/>
      <c r="BQ137" s="38">
        <f t="shared" si="151"/>
        <v>0.86900798934753665</v>
      </c>
      <c r="BR137" s="38">
        <f t="shared" si="152"/>
        <v>0</v>
      </c>
      <c r="BS137" s="38">
        <f t="shared" si="153"/>
        <v>0.58611220086308358</v>
      </c>
      <c r="BT137" s="38">
        <f t="shared" si="154"/>
        <v>0</v>
      </c>
      <c r="BU137" s="38">
        <f t="shared" si="155"/>
        <v>4.8968710809767779E-3</v>
      </c>
      <c r="BV137" s="38">
        <f t="shared" si="156"/>
        <v>0</v>
      </c>
      <c r="BW137" s="38">
        <f t="shared" si="157"/>
        <v>0</v>
      </c>
      <c r="BX137" s="38">
        <f t="shared" si="158"/>
        <v>0.1861626248216833</v>
      </c>
      <c r="BY137" s="38">
        <f t="shared" si="159"/>
        <v>0.16166505324298161</v>
      </c>
      <c r="BZ137" s="38">
        <f t="shared" si="160"/>
        <v>7.0488322717622079E-3</v>
      </c>
      <c r="CA137" s="38">
        <f t="shared" si="161"/>
        <v>0</v>
      </c>
      <c r="CB137" s="38">
        <f t="shared" si="162"/>
        <v>0</v>
      </c>
      <c r="CC137" s="38">
        <f t="shared" si="163"/>
        <v>0</v>
      </c>
      <c r="CD137" s="38">
        <f t="shared" si="164"/>
        <v>1.8148935716280237</v>
      </c>
      <c r="CE137" s="38">
        <f t="shared" si="165"/>
        <v>2.8926007186497307</v>
      </c>
      <c r="CF137" s="38">
        <f t="shared" si="166"/>
        <v>2.7549824839121686</v>
      </c>
      <c r="CG137" s="38">
        <f t="shared" si="167"/>
        <v>7.9690643128317591</v>
      </c>
      <c r="CH137" s="15"/>
      <c r="CI137" s="16"/>
      <c r="CJ137" s="13"/>
      <c r="CK137" s="104"/>
      <c r="CL137" s="13"/>
      <c r="CM137" s="13"/>
      <c r="CN137" s="13"/>
      <c r="CO137" s="16"/>
      <c r="CP137" s="16"/>
      <c r="CQ137" s="16"/>
      <c r="CR137" s="16"/>
      <c r="CS137" s="16"/>
      <c r="CT137" s="16"/>
      <c r="CU137" s="16"/>
      <c r="CV137" s="16"/>
      <c r="CW137" s="16"/>
      <c r="CX137" s="16"/>
      <c r="CY137" s="104"/>
      <c r="CZ137" s="104"/>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3"/>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row>
    <row r="138" spans="1:167" x14ac:dyDescent="0.25">
      <c r="A138" s="35" t="s">
        <v>87</v>
      </c>
      <c r="B138" s="15">
        <v>493</v>
      </c>
      <c r="C138" s="102" t="s">
        <v>99</v>
      </c>
      <c r="D138" s="102" t="s">
        <v>106</v>
      </c>
      <c r="E138" s="15">
        <v>146</v>
      </c>
      <c r="F138" s="16">
        <v>61.9</v>
      </c>
      <c r="G138" s="16"/>
      <c r="H138" s="16">
        <v>23.03</v>
      </c>
      <c r="I138" s="16"/>
      <c r="J138" s="16">
        <v>0.27895257806172952</v>
      </c>
      <c r="K138" s="16"/>
      <c r="L138" s="16"/>
      <c r="M138" s="16">
        <v>5.46</v>
      </c>
      <c r="N138" s="16">
        <v>8.2799999999999994</v>
      </c>
      <c r="O138" s="16">
        <v>0.75</v>
      </c>
      <c r="P138" s="16"/>
      <c r="Q138" s="16"/>
      <c r="R138" s="16"/>
      <c r="S138" s="16">
        <f t="shared" si="113"/>
        <v>99.698952578061736</v>
      </c>
      <c r="T138" s="16"/>
      <c r="U138" s="15">
        <v>2</v>
      </c>
      <c r="V138" s="15"/>
      <c r="W138" s="15"/>
      <c r="X138" s="15" t="s">
        <v>186</v>
      </c>
      <c r="Y138" s="15"/>
      <c r="Z138" s="37">
        <v>8</v>
      </c>
      <c r="AA138" s="37">
        <v>5</v>
      </c>
      <c r="AB138" s="15"/>
      <c r="AC138" s="38">
        <f t="shared" si="114"/>
        <v>2.7649581737183704</v>
      </c>
      <c r="AD138" s="38">
        <f t="shared" si="115"/>
        <v>0</v>
      </c>
      <c r="AE138" s="38">
        <f t="shared" si="116"/>
        <v>1.2123330582880241</v>
      </c>
      <c r="AF138" s="38">
        <f t="shared" si="117"/>
        <v>0</v>
      </c>
      <c r="AG138" s="38">
        <f t="shared" si="118"/>
        <v>1.0419129789187619E-2</v>
      </c>
      <c r="AH138" s="38">
        <f t="shared" si="119"/>
        <v>0</v>
      </c>
      <c r="AI138" s="38">
        <f t="shared" si="120"/>
        <v>0</v>
      </c>
      <c r="AJ138" s="38">
        <f t="shared" si="121"/>
        <v>0.26128379704519111</v>
      </c>
      <c r="AK138" s="38">
        <f t="shared" si="122"/>
        <v>0.71702880286963033</v>
      </c>
      <c r="AL138" s="38">
        <f t="shared" si="123"/>
        <v>4.2733473724056593E-2</v>
      </c>
      <c r="AM138" s="38">
        <f t="shared" si="124"/>
        <v>0</v>
      </c>
      <c r="AN138" s="38">
        <f t="shared" si="125"/>
        <v>0</v>
      </c>
      <c r="AO138" s="38">
        <f t="shared" si="126"/>
        <v>0</v>
      </c>
      <c r="AP138" s="38">
        <f t="shared" si="127"/>
        <v>5.00875643543446</v>
      </c>
      <c r="AQ138" s="38">
        <f t="shared" si="128"/>
        <v>3.9772912320063947</v>
      </c>
      <c r="AR138" s="38">
        <f t="shared" si="129"/>
        <v>1.021046073638878</v>
      </c>
      <c r="AS138" s="40"/>
      <c r="AT138" s="38">
        <f t="shared" si="130"/>
        <v>2.7601244034923185</v>
      </c>
      <c r="AU138" s="38">
        <f t="shared" si="131"/>
        <v>0</v>
      </c>
      <c r="AV138" s="38">
        <f t="shared" si="132"/>
        <v>1.2102136267910442</v>
      </c>
      <c r="AW138" s="38">
        <f t="shared" si="133"/>
        <v>0</v>
      </c>
      <c r="AX138" s="38">
        <f t="shared" si="134"/>
        <v>0</v>
      </c>
      <c r="AY138" s="38">
        <f t="shared" si="135"/>
        <v>1.0400914801404055E-2</v>
      </c>
      <c r="AZ138" s="38">
        <f t="shared" si="136"/>
        <v>0</v>
      </c>
      <c r="BA138" s="38">
        <f t="shared" si="137"/>
        <v>0</v>
      </c>
      <c r="BB138" s="38">
        <f t="shared" si="138"/>
        <v>0.26082701406354897</v>
      </c>
      <c r="BC138" s="38">
        <f t="shared" si="139"/>
        <v>0.71577527487362758</v>
      </c>
      <c r="BD138" s="38">
        <f t="shared" si="140"/>
        <v>4.265876597805647E-2</v>
      </c>
      <c r="BE138" s="38">
        <f t="shared" si="141"/>
        <v>0</v>
      </c>
      <c r="BF138" s="38">
        <f t="shared" si="142"/>
        <v>0</v>
      </c>
      <c r="BG138" s="38">
        <f t="shared" si="143"/>
        <v>0</v>
      </c>
      <c r="BH138" s="41">
        <f t="shared" si="144"/>
        <v>5</v>
      </c>
      <c r="BI138" s="42">
        <f t="shared" si="145"/>
        <v>7.9912146538627011</v>
      </c>
      <c r="BJ138" s="38">
        <f t="shared" si="146"/>
        <v>3.9703380302833624</v>
      </c>
      <c r="BK138" s="38">
        <f t="shared" si="147"/>
        <v>1.019261054915233</v>
      </c>
      <c r="BL138" s="16"/>
      <c r="BM138" s="16">
        <f t="shared" si="148"/>
        <v>0.25589814582412423</v>
      </c>
      <c r="BN138" s="16">
        <f t="shared" si="149"/>
        <v>0.70224921419484143</v>
      </c>
      <c r="BO138" s="16">
        <f t="shared" si="150"/>
        <v>4.1852639981034293E-2</v>
      </c>
      <c r="BP138" s="15"/>
      <c r="BQ138" s="38">
        <f t="shared" si="151"/>
        <v>1.0302929427430094</v>
      </c>
      <c r="BR138" s="38">
        <f t="shared" si="152"/>
        <v>0</v>
      </c>
      <c r="BS138" s="38">
        <f t="shared" si="153"/>
        <v>0.45174578265986665</v>
      </c>
      <c r="BT138" s="38">
        <f t="shared" si="154"/>
        <v>0</v>
      </c>
      <c r="BU138" s="38">
        <f t="shared" si="155"/>
        <v>3.8824297572961661E-3</v>
      </c>
      <c r="BV138" s="38">
        <f t="shared" si="156"/>
        <v>0</v>
      </c>
      <c r="BW138" s="38">
        <f t="shared" si="157"/>
        <v>0</v>
      </c>
      <c r="BX138" s="38">
        <f t="shared" si="158"/>
        <v>9.7360912981455064E-2</v>
      </c>
      <c r="BY138" s="38">
        <f t="shared" si="159"/>
        <v>0.26718296224588578</v>
      </c>
      <c r="BZ138" s="38">
        <f t="shared" si="160"/>
        <v>1.5923566878980892E-2</v>
      </c>
      <c r="CA138" s="38">
        <f t="shared" si="161"/>
        <v>0</v>
      </c>
      <c r="CB138" s="38">
        <f t="shared" si="162"/>
        <v>0</v>
      </c>
      <c r="CC138" s="38">
        <f t="shared" si="163"/>
        <v>0</v>
      </c>
      <c r="CD138" s="38">
        <f t="shared" si="164"/>
        <v>1.8663885972664942</v>
      </c>
      <c r="CE138" s="38">
        <f t="shared" si="165"/>
        <v>2.9810011667770038</v>
      </c>
      <c r="CF138" s="38">
        <f t="shared" si="166"/>
        <v>2.6789705034219464</v>
      </c>
      <c r="CG138" s="38">
        <f t="shared" si="167"/>
        <v>7.9860141964619995</v>
      </c>
      <c r="CH138" s="15"/>
      <c r="CI138" s="16"/>
      <c r="CJ138" s="13"/>
      <c r="CK138" s="104"/>
      <c r="CL138" s="13"/>
      <c r="CM138" s="13"/>
      <c r="CN138" s="13"/>
      <c r="CO138" s="16"/>
      <c r="CP138" s="16"/>
      <c r="CQ138" s="16"/>
      <c r="CR138" s="16"/>
      <c r="CS138" s="16"/>
      <c r="CT138" s="16"/>
      <c r="CU138" s="16"/>
      <c r="CV138" s="16"/>
      <c r="CW138" s="16"/>
      <c r="CX138" s="16"/>
      <c r="CY138" s="104"/>
      <c r="CZ138" s="104"/>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3"/>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row>
    <row r="139" spans="1:167" x14ac:dyDescent="0.25">
      <c r="A139" s="35" t="s">
        <v>87</v>
      </c>
      <c r="B139" s="15">
        <v>494</v>
      </c>
      <c r="C139" s="102" t="s">
        <v>99</v>
      </c>
      <c r="D139" s="102" t="s">
        <v>106</v>
      </c>
      <c r="E139" s="15">
        <v>147</v>
      </c>
      <c r="F139" s="16">
        <v>46.57</v>
      </c>
      <c r="G139" s="16"/>
      <c r="H139" s="16">
        <v>32.74</v>
      </c>
      <c r="I139" s="16"/>
      <c r="J139" s="16">
        <v>0.26815441374966253</v>
      </c>
      <c r="K139" s="16"/>
      <c r="L139" s="16"/>
      <c r="M139" s="16">
        <v>17.09</v>
      </c>
      <c r="N139" s="16">
        <v>1.79</v>
      </c>
      <c r="O139" s="16">
        <v>2.5000000000000001E-2</v>
      </c>
      <c r="P139" s="16"/>
      <c r="Q139" s="16"/>
      <c r="R139" s="16"/>
      <c r="S139" s="16">
        <f t="shared" si="113"/>
        <v>98.483154413749673</v>
      </c>
      <c r="T139" s="16"/>
      <c r="U139" s="15">
        <v>3</v>
      </c>
      <c r="V139" s="15"/>
      <c r="W139" s="15"/>
      <c r="X139" s="15" t="s">
        <v>185</v>
      </c>
      <c r="Y139" s="15"/>
      <c r="Z139" s="37">
        <v>8</v>
      </c>
      <c r="AA139" s="37">
        <v>5</v>
      </c>
      <c r="AB139" s="15"/>
      <c r="AC139" s="38">
        <f t="shared" si="114"/>
        <v>2.1748918132277191</v>
      </c>
      <c r="AD139" s="38">
        <f t="shared" si="115"/>
        <v>0</v>
      </c>
      <c r="AE139" s="38">
        <f t="shared" si="116"/>
        <v>1.801939429543725</v>
      </c>
      <c r="AF139" s="38">
        <f t="shared" si="117"/>
        <v>0</v>
      </c>
      <c r="AG139" s="38">
        <f t="shared" si="118"/>
        <v>1.0471756182044488E-2</v>
      </c>
      <c r="AH139" s="38">
        <f t="shared" si="119"/>
        <v>0</v>
      </c>
      <c r="AI139" s="38">
        <f t="shared" si="120"/>
        <v>0</v>
      </c>
      <c r="AJ139" s="38">
        <f t="shared" si="121"/>
        <v>0.85505766072194023</v>
      </c>
      <c r="AK139" s="38">
        <f t="shared" si="122"/>
        <v>0.16206633062852657</v>
      </c>
      <c r="AL139" s="38">
        <f t="shared" si="123"/>
        <v>1.4892940214502716E-3</v>
      </c>
      <c r="AM139" s="38">
        <f t="shared" si="124"/>
        <v>0</v>
      </c>
      <c r="AN139" s="38">
        <f t="shared" si="125"/>
        <v>0</v>
      </c>
      <c r="AO139" s="38">
        <f t="shared" si="126"/>
        <v>0</v>
      </c>
      <c r="AP139" s="38">
        <f t="shared" si="127"/>
        <v>5.005916284325405</v>
      </c>
      <c r="AQ139" s="38">
        <f t="shared" si="128"/>
        <v>3.9768312427714441</v>
      </c>
      <c r="AR139" s="38">
        <f t="shared" si="129"/>
        <v>1.0186132853719172</v>
      </c>
      <c r="AS139" s="40"/>
      <c r="AT139" s="38">
        <f t="shared" si="130"/>
        <v>2.1723213990191668</v>
      </c>
      <c r="AU139" s="38">
        <f t="shared" si="131"/>
        <v>0</v>
      </c>
      <c r="AV139" s="38">
        <f t="shared" si="132"/>
        <v>1.7998097922512031</v>
      </c>
      <c r="AW139" s="38">
        <f t="shared" si="133"/>
        <v>0</v>
      </c>
      <c r="AX139" s="38">
        <f t="shared" si="134"/>
        <v>0</v>
      </c>
      <c r="AY139" s="38">
        <f t="shared" si="135"/>
        <v>1.0459380048797255E-2</v>
      </c>
      <c r="AZ139" s="38">
        <f t="shared" si="136"/>
        <v>0</v>
      </c>
      <c r="BA139" s="38">
        <f t="shared" si="137"/>
        <v>0</v>
      </c>
      <c r="BB139" s="38">
        <f t="shared" si="138"/>
        <v>0.85404710362347502</v>
      </c>
      <c r="BC139" s="38">
        <f t="shared" si="139"/>
        <v>0.16187479117059037</v>
      </c>
      <c r="BD139" s="38">
        <f t="shared" si="140"/>
        <v>1.487533886766714E-3</v>
      </c>
      <c r="BE139" s="38">
        <f t="shared" si="141"/>
        <v>0</v>
      </c>
      <c r="BF139" s="38">
        <f t="shared" si="142"/>
        <v>0</v>
      </c>
      <c r="BG139" s="38">
        <f t="shared" si="143"/>
        <v>0</v>
      </c>
      <c r="BH139" s="41">
        <f t="shared" si="144"/>
        <v>4.9999999999999991</v>
      </c>
      <c r="BI139" s="42">
        <f t="shared" si="145"/>
        <v>7.9957748226404872</v>
      </c>
      <c r="BJ139" s="38">
        <f t="shared" si="146"/>
        <v>3.9721311912703698</v>
      </c>
      <c r="BK139" s="38">
        <f t="shared" si="147"/>
        <v>1.0174094286808322</v>
      </c>
      <c r="BL139" s="16"/>
      <c r="BM139" s="16">
        <f t="shared" si="148"/>
        <v>0.83943305374202015</v>
      </c>
      <c r="BN139" s="16">
        <f t="shared" si="149"/>
        <v>0.15910486634714638</v>
      </c>
      <c r="BO139" s="16">
        <f t="shared" si="150"/>
        <v>1.4620799108333827E-3</v>
      </c>
      <c r="BP139" s="15"/>
      <c r="BQ139" s="38">
        <f t="shared" si="151"/>
        <v>0.77513315579227704</v>
      </c>
      <c r="BR139" s="38">
        <f t="shared" si="152"/>
        <v>0</v>
      </c>
      <c r="BS139" s="38">
        <f t="shared" si="153"/>
        <v>0.6422126324048647</v>
      </c>
      <c r="BT139" s="38">
        <f t="shared" si="154"/>
        <v>0</v>
      </c>
      <c r="BU139" s="38">
        <f t="shared" si="155"/>
        <v>3.7321421537879272E-3</v>
      </c>
      <c r="BV139" s="38">
        <f t="shared" si="156"/>
        <v>0</v>
      </c>
      <c r="BW139" s="38">
        <f t="shared" si="157"/>
        <v>0</v>
      </c>
      <c r="BX139" s="38">
        <f t="shared" si="158"/>
        <v>0.3047432239657632</v>
      </c>
      <c r="BY139" s="38">
        <f t="shared" si="159"/>
        <v>5.7760567925137146E-2</v>
      </c>
      <c r="BZ139" s="38">
        <f t="shared" si="160"/>
        <v>5.3078556263269638E-4</v>
      </c>
      <c r="CA139" s="38">
        <f t="shared" si="161"/>
        <v>0</v>
      </c>
      <c r="CB139" s="38">
        <f t="shared" si="162"/>
        <v>0</v>
      </c>
      <c r="CC139" s="38">
        <f t="shared" si="163"/>
        <v>0</v>
      </c>
      <c r="CD139" s="38">
        <f t="shared" si="164"/>
        <v>1.7841125078044628</v>
      </c>
      <c r="CE139" s="38">
        <f t="shared" si="165"/>
        <v>2.8512063030552874</v>
      </c>
      <c r="CF139" s="38">
        <f t="shared" si="166"/>
        <v>2.802513842668489</v>
      </c>
      <c r="CG139" s="38">
        <f t="shared" si="167"/>
        <v>7.9905451326160897</v>
      </c>
      <c r="CH139" s="15"/>
      <c r="CI139" s="16"/>
      <c r="CJ139" s="13"/>
      <c r="CK139" s="104"/>
      <c r="CL139" s="13"/>
      <c r="CM139" s="13"/>
      <c r="CN139" s="13"/>
      <c r="CO139" s="16"/>
      <c r="CP139" s="16"/>
      <c r="CQ139" s="16"/>
      <c r="CR139" s="16"/>
      <c r="CS139" s="16"/>
      <c r="CT139" s="16"/>
      <c r="CU139" s="16"/>
      <c r="CV139" s="16"/>
      <c r="CW139" s="16"/>
      <c r="CX139" s="16"/>
      <c r="CY139" s="104"/>
      <c r="CZ139" s="104"/>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3"/>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row>
    <row r="140" spans="1:167" x14ac:dyDescent="0.25">
      <c r="A140" s="35" t="s">
        <v>87</v>
      </c>
      <c r="B140" s="15">
        <v>495</v>
      </c>
      <c r="C140" s="102" t="s">
        <v>99</v>
      </c>
      <c r="D140" s="102" t="s">
        <v>106</v>
      </c>
      <c r="E140" s="15">
        <v>148</v>
      </c>
      <c r="F140" s="16">
        <v>56.93</v>
      </c>
      <c r="G140" s="16"/>
      <c r="H140" s="16">
        <v>25.6</v>
      </c>
      <c r="I140" s="16"/>
      <c r="J140" s="16">
        <v>0.35903896337622609</v>
      </c>
      <c r="K140" s="16"/>
      <c r="L140" s="16"/>
      <c r="M140" s="16">
        <v>8.9600000000000009</v>
      </c>
      <c r="N140" s="16">
        <v>6.5</v>
      </c>
      <c r="O140" s="16">
        <v>0.39</v>
      </c>
      <c r="P140" s="16"/>
      <c r="Q140" s="16"/>
      <c r="R140" s="16"/>
      <c r="S140" s="16">
        <f t="shared" si="113"/>
        <v>98.739038963376217</v>
      </c>
      <c r="T140" s="16"/>
      <c r="U140" s="15">
        <v>3</v>
      </c>
      <c r="V140" s="15"/>
      <c r="W140" s="15"/>
      <c r="X140" s="15" t="s">
        <v>258</v>
      </c>
      <c r="Y140" s="15"/>
      <c r="Z140" s="37">
        <v>8</v>
      </c>
      <c r="AA140" s="37">
        <v>5</v>
      </c>
      <c r="AB140" s="15"/>
      <c r="AC140" s="38">
        <f t="shared" si="114"/>
        <v>2.5941648651822837</v>
      </c>
      <c r="AD140" s="38">
        <f t="shared" si="115"/>
        <v>0</v>
      </c>
      <c r="AE140" s="38">
        <f t="shared" si="116"/>
        <v>1.3747586071349973</v>
      </c>
      <c r="AF140" s="38">
        <f t="shared" si="117"/>
        <v>0</v>
      </c>
      <c r="AG140" s="38">
        <f t="shared" si="118"/>
        <v>1.3680473277123033E-2</v>
      </c>
      <c r="AH140" s="38">
        <f t="shared" si="119"/>
        <v>0</v>
      </c>
      <c r="AI140" s="38">
        <f t="shared" si="120"/>
        <v>0</v>
      </c>
      <c r="AJ140" s="38">
        <f t="shared" si="121"/>
        <v>0.43740759320809125</v>
      </c>
      <c r="AK140" s="38">
        <f t="shared" si="122"/>
        <v>0.5742197075245089</v>
      </c>
      <c r="AL140" s="38">
        <f t="shared" si="123"/>
        <v>2.266887737093571E-2</v>
      </c>
      <c r="AM140" s="38">
        <f t="shared" si="124"/>
        <v>0</v>
      </c>
      <c r="AN140" s="38">
        <f t="shared" si="125"/>
        <v>0</v>
      </c>
      <c r="AO140" s="38">
        <f t="shared" si="126"/>
        <v>0</v>
      </c>
      <c r="AP140" s="38">
        <f t="shared" si="127"/>
        <v>5.0169001236979396</v>
      </c>
      <c r="AQ140" s="38">
        <f t="shared" si="128"/>
        <v>3.968923472317281</v>
      </c>
      <c r="AR140" s="38">
        <f t="shared" si="129"/>
        <v>1.034296178103536</v>
      </c>
      <c r="AS140" s="40"/>
      <c r="AT140" s="38">
        <f t="shared" si="130"/>
        <v>2.5854260611332776</v>
      </c>
      <c r="AU140" s="38">
        <f t="shared" si="131"/>
        <v>0</v>
      </c>
      <c r="AV140" s="38">
        <f t="shared" si="132"/>
        <v>1.3701275421461525</v>
      </c>
      <c r="AW140" s="38">
        <f t="shared" si="133"/>
        <v>0</v>
      </c>
      <c r="AX140" s="38">
        <f t="shared" si="134"/>
        <v>0</v>
      </c>
      <c r="AY140" s="38">
        <f t="shared" si="135"/>
        <v>1.3634388705987635E-2</v>
      </c>
      <c r="AZ140" s="38">
        <f t="shared" si="136"/>
        <v>0</v>
      </c>
      <c r="BA140" s="38">
        <f t="shared" si="137"/>
        <v>0</v>
      </c>
      <c r="BB140" s="38">
        <f t="shared" si="138"/>
        <v>0.43593412508048857</v>
      </c>
      <c r="BC140" s="38">
        <f t="shared" si="139"/>
        <v>0.57228536881979375</v>
      </c>
      <c r="BD140" s="38">
        <f t="shared" si="140"/>
        <v>2.2592514114299883E-2</v>
      </c>
      <c r="BE140" s="38">
        <f t="shared" si="141"/>
        <v>0</v>
      </c>
      <c r="BF140" s="38">
        <f t="shared" si="142"/>
        <v>0</v>
      </c>
      <c r="BG140" s="38">
        <f t="shared" si="143"/>
        <v>0</v>
      </c>
      <c r="BH140" s="41">
        <f t="shared" si="144"/>
        <v>4.9999999999999991</v>
      </c>
      <c r="BI140" s="42">
        <f t="shared" si="145"/>
        <v>7.9798680850923009</v>
      </c>
      <c r="BJ140" s="38">
        <f t="shared" si="146"/>
        <v>3.9555536032794301</v>
      </c>
      <c r="BK140" s="38">
        <f t="shared" si="147"/>
        <v>1.0308120080145824</v>
      </c>
      <c r="BL140" s="16"/>
      <c r="BM140" s="16">
        <f t="shared" si="148"/>
        <v>0.42290361549059646</v>
      </c>
      <c r="BN140" s="16">
        <f t="shared" si="149"/>
        <v>0.55517918337220029</v>
      </c>
      <c r="BO140" s="16">
        <f t="shared" si="150"/>
        <v>2.1917201137203166E-2</v>
      </c>
      <c r="BP140" s="15"/>
      <c r="BQ140" s="38">
        <f t="shared" si="151"/>
        <v>0.94756990679094544</v>
      </c>
      <c r="BR140" s="38">
        <f t="shared" si="152"/>
        <v>0</v>
      </c>
      <c r="BS140" s="38">
        <f t="shared" si="153"/>
        <v>0.50215770890545319</v>
      </c>
      <c r="BT140" s="38">
        <f t="shared" si="154"/>
        <v>0</v>
      </c>
      <c r="BU140" s="38">
        <f t="shared" si="155"/>
        <v>4.9970628166489369E-3</v>
      </c>
      <c r="BV140" s="38">
        <f t="shared" si="156"/>
        <v>0</v>
      </c>
      <c r="BW140" s="38">
        <f t="shared" si="157"/>
        <v>0</v>
      </c>
      <c r="BX140" s="38">
        <f t="shared" si="158"/>
        <v>0.15977175463623397</v>
      </c>
      <c r="BY140" s="38">
        <f t="shared" si="159"/>
        <v>0.20974507905776058</v>
      </c>
      <c r="BZ140" s="38">
        <f t="shared" si="160"/>
        <v>8.2802547770700636E-3</v>
      </c>
      <c r="CA140" s="38">
        <f t="shared" si="161"/>
        <v>0</v>
      </c>
      <c r="CB140" s="38">
        <f t="shared" si="162"/>
        <v>0</v>
      </c>
      <c r="CC140" s="38">
        <f t="shared" si="163"/>
        <v>0</v>
      </c>
      <c r="CD140" s="38">
        <f t="shared" si="164"/>
        <v>1.8325217669841123</v>
      </c>
      <c r="CE140" s="38">
        <f t="shared" si="165"/>
        <v>2.9221578613103691</v>
      </c>
      <c r="CF140" s="38">
        <f t="shared" si="166"/>
        <v>2.728480550726986</v>
      </c>
      <c r="CG140" s="38">
        <f t="shared" si="167"/>
        <v>7.9730508907393078</v>
      </c>
      <c r="CH140" s="15"/>
      <c r="CI140" s="16"/>
      <c r="CJ140" s="13"/>
      <c r="CK140" s="104"/>
      <c r="CL140" s="13"/>
      <c r="CM140" s="13"/>
      <c r="CN140" s="13"/>
      <c r="CO140" s="16"/>
      <c r="CP140" s="16"/>
      <c r="CQ140" s="16"/>
      <c r="CR140" s="16"/>
      <c r="CS140" s="16"/>
      <c r="CT140" s="16"/>
      <c r="CU140" s="16"/>
      <c r="CV140" s="16"/>
      <c r="CW140" s="16"/>
      <c r="CX140" s="16"/>
      <c r="CY140" s="104"/>
      <c r="CZ140" s="104"/>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3"/>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row>
    <row r="141" spans="1:167" x14ac:dyDescent="0.25">
      <c r="A141" s="35" t="s">
        <v>87</v>
      </c>
      <c r="B141" s="15">
        <v>496</v>
      </c>
      <c r="C141" s="102" t="s">
        <v>99</v>
      </c>
      <c r="D141" s="102" t="s">
        <v>106</v>
      </c>
      <c r="E141" s="15">
        <v>149</v>
      </c>
      <c r="F141" s="16">
        <v>65.05</v>
      </c>
      <c r="G141" s="16"/>
      <c r="H141" s="16">
        <v>21.2</v>
      </c>
      <c r="I141" s="16"/>
      <c r="J141" s="16">
        <v>2.6095563754161794E-2</v>
      </c>
      <c r="K141" s="16"/>
      <c r="L141" s="16"/>
      <c r="M141" s="16">
        <v>2.99</v>
      </c>
      <c r="N141" s="16">
        <v>10.38</v>
      </c>
      <c r="O141" s="16">
        <v>0.438</v>
      </c>
      <c r="P141" s="16"/>
      <c r="Q141" s="16"/>
      <c r="R141" s="16"/>
      <c r="S141" s="16">
        <f t="shared" si="113"/>
        <v>100.08409556375416</v>
      </c>
      <c r="T141" s="16"/>
      <c r="U141" s="15">
        <v>3</v>
      </c>
      <c r="V141" s="15"/>
      <c r="W141" s="15"/>
      <c r="X141" s="15" t="s">
        <v>186</v>
      </c>
      <c r="Y141" s="15"/>
      <c r="Z141" s="37">
        <v>8</v>
      </c>
      <c r="AA141" s="37">
        <v>5</v>
      </c>
      <c r="AB141" s="15"/>
      <c r="AC141" s="38">
        <f t="shared" si="114"/>
        <v>2.8728749844201227</v>
      </c>
      <c r="AD141" s="38">
        <f t="shared" si="115"/>
        <v>0</v>
      </c>
      <c r="AE141" s="38">
        <f t="shared" si="116"/>
        <v>1.1034061001317972</v>
      </c>
      <c r="AF141" s="38">
        <f t="shared" si="117"/>
        <v>0</v>
      </c>
      <c r="AG141" s="38">
        <f t="shared" si="118"/>
        <v>9.6369423706626979E-4</v>
      </c>
      <c r="AH141" s="38">
        <f t="shared" si="119"/>
        <v>0</v>
      </c>
      <c r="AI141" s="38">
        <f t="shared" si="120"/>
        <v>0</v>
      </c>
      <c r="AJ141" s="38">
        <f t="shared" si="121"/>
        <v>0.14146940735296434</v>
      </c>
      <c r="AK141" s="38">
        <f t="shared" si="122"/>
        <v>0.88874082050415459</v>
      </c>
      <c r="AL141" s="38">
        <f t="shared" si="123"/>
        <v>2.4674738239901989E-2</v>
      </c>
      <c r="AM141" s="38">
        <f t="shared" si="124"/>
        <v>0</v>
      </c>
      <c r="AN141" s="38">
        <f t="shared" si="125"/>
        <v>0</v>
      </c>
      <c r="AO141" s="38">
        <f t="shared" si="126"/>
        <v>0</v>
      </c>
      <c r="AP141" s="38">
        <f t="shared" si="127"/>
        <v>5.0321297448860074</v>
      </c>
      <c r="AQ141" s="38">
        <f t="shared" si="128"/>
        <v>3.9762810845519199</v>
      </c>
      <c r="AR141" s="38">
        <f t="shared" si="129"/>
        <v>1.054884966097021</v>
      </c>
      <c r="AS141" s="40"/>
      <c r="AT141" s="38">
        <f t="shared" si="130"/>
        <v>2.8545319080253586</v>
      </c>
      <c r="AU141" s="38">
        <f t="shared" si="131"/>
        <v>0</v>
      </c>
      <c r="AV141" s="38">
        <f t="shared" si="132"/>
        <v>1.096360940666478</v>
      </c>
      <c r="AW141" s="38">
        <f t="shared" si="133"/>
        <v>0</v>
      </c>
      <c r="AX141" s="38">
        <f t="shared" si="134"/>
        <v>0</v>
      </c>
      <c r="AY141" s="38">
        <f t="shared" si="135"/>
        <v>9.5754112664289074E-4</v>
      </c>
      <c r="AZ141" s="38">
        <f t="shared" si="136"/>
        <v>0</v>
      </c>
      <c r="BA141" s="38">
        <f t="shared" si="137"/>
        <v>0</v>
      </c>
      <c r="BB141" s="38">
        <f t="shared" si="138"/>
        <v>0.1405661365316894</v>
      </c>
      <c r="BC141" s="38">
        <f t="shared" si="139"/>
        <v>0.88306628163488199</v>
      </c>
      <c r="BD141" s="38">
        <f t="shared" si="140"/>
        <v>2.4517192014949674E-2</v>
      </c>
      <c r="BE141" s="38">
        <f t="shared" si="141"/>
        <v>0</v>
      </c>
      <c r="BF141" s="38">
        <f t="shared" si="142"/>
        <v>0</v>
      </c>
      <c r="BG141" s="38">
        <f t="shared" si="143"/>
        <v>0</v>
      </c>
      <c r="BH141" s="41">
        <f t="shared" si="144"/>
        <v>5.0000000000000009</v>
      </c>
      <c r="BI141" s="42">
        <f t="shared" si="145"/>
        <v>7.9493994120970042</v>
      </c>
      <c r="BJ141" s="38">
        <f t="shared" si="146"/>
        <v>3.9508928486918364</v>
      </c>
      <c r="BK141" s="38">
        <f t="shared" si="147"/>
        <v>1.0481496101815211</v>
      </c>
      <c r="BL141" s="16"/>
      <c r="BM141" s="16">
        <f t="shared" si="148"/>
        <v>0.1341088477887673</v>
      </c>
      <c r="BN141" s="16">
        <f t="shared" si="149"/>
        <v>0.84250022425896853</v>
      </c>
      <c r="BO141" s="16">
        <f t="shared" si="150"/>
        <v>2.3390927952264114E-2</v>
      </c>
      <c r="BP141" s="15"/>
      <c r="BQ141" s="38">
        <f t="shared" si="151"/>
        <v>1.0827230359520639</v>
      </c>
      <c r="BR141" s="38">
        <f t="shared" si="152"/>
        <v>0</v>
      </c>
      <c r="BS141" s="38">
        <f t="shared" si="153"/>
        <v>0.41584935268732837</v>
      </c>
      <c r="BT141" s="38">
        <f t="shared" si="154"/>
        <v>0</v>
      </c>
      <c r="BU141" s="38">
        <f t="shared" si="155"/>
        <v>3.6319504181157685E-4</v>
      </c>
      <c r="BV141" s="38">
        <f t="shared" si="156"/>
        <v>0</v>
      </c>
      <c r="BW141" s="38">
        <f t="shared" si="157"/>
        <v>0</v>
      </c>
      <c r="BX141" s="38">
        <f t="shared" si="158"/>
        <v>5.3316690442225395E-2</v>
      </c>
      <c r="BY141" s="38">
        <f t="shared" si="159"/>
        <v>0.33494675701839305</v>
      </c>
      <c r="BZ141" s="38">
        <f t="shared" si="160"/>
        <v>9.2993630573248408E-3</v>
      </c>
      <c r="CA141" s="38">
        <f t="shared" si="161"/>
        <v>0</v>
      </c>
      <c r="CB141" s="38">
        <f t="shared" si="162"/>
        <v>0</v>
      </c>
      <c r="CC141" s="38">
        <f t="shared" si="163"/>
        <v>0</v>
      </c>
      <c r="CD141" s="38">
        <f t="shared" si="164"/>
        <v>1.8964983941991469</v>
      </c>
      <c r="CE141" s="38">
        <f t="shared" si="165"/>
        <v>3.0150230464570162</v>
      </c>
      <c r="CF141" s="38">
        <f t="shared" si="166"/>
        <v>2.6364377714706158</v>
      </c>
      <c r="CG141" s="38">
        <f t="shared" si="167"/>
        <v>7.9489206415336824</v>
      </c>
      <c r="CH141" s="15"/>
      <c r="CI141" s="16"/>
      <c r="CJ141" s="13"/>
      <c r="CK141" s="104"/>
      <c r="CL141" s="13"/>
      <c r="CM141" s="13"/>
      <c r="CN141" s="13"/>
      <c r="CO141" s="16"/>
      <c r="CP141" s="16"/>
      <c r="CQ141" s="16"/>
      <c r="CR141" s="16"/>
      <c r="CS141" s="16"/>
      <c r="CT141" s="16"/>
      <c r="CU141" s="16"/>
      <c r="CV141" s="16"/>
      <c r="CW141" s="16"/>
      <c r="CX141" s="16"/>
      <c r="CY141" s="104"/>
      <c r="CZ141" s="104"/>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3"/>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row>
    <row r="142" spans="1:167" x14ac:dyDescent="0.25">
      <c r="A142" s="35" t="s">
        <v>87</v>
      </c>
      <c r="B142" s="15">
        <v>497</v>
      </c>
      <c r="C142" s="102" t="s">
        <v>99</v>
      </c>
      <c r="D142" s="102" t="s">
        <v>106</v>
      </c>
      <c r="E142" s="15">
        <v>150</v>
      </c>
      <c r="F142" s="16">
        <v>47.15</v>
      </c>
      <c r="G142" s="16"/>
      <c r="H142" s="16">
        <v>32.29</v>
      </c>
      <c r="I142" s="16"/>
      <c r="J142" s="16">
        <v>0.36533789255826515</v>
      </c>
      <c r="K142" s="16"/>
      <c r="L142" s="16"/>
      <c r="M142" s="16">
        <v>16.39</v>
      </c>
      <c r="N142" s="16">
        <v>2.13</v>
      </c>
      <c r="O142" s="16">
        <v>8.1000000000000003E-2</v>
      </c>
      <c r="P142" s="16"/>
      <c r="Q142" s="16"/>
      <c r="R142" s="16"/>
      <c r="S142" s="16">
        <f t="shared" si="113"/>
        <v>98.406337892558255</v>
      </c>
      <c r="T142" s="16"/>
      <c r="U142" s="15">
        <v>4</v>
      </c>
      <c r="V142" s="15"/>
      <c r="W142" s="15"/>
      <c r="X142" s="15" t="s">
        <v>185</v>
      </c>
      <c r="Y142" s="15"/>
      <c r="Z142" s="37">
        <v>8</v>
      </c>
      <c r="AA142" s="37">
        <v>5</v>
      </c>
      <c r="AB142" s="15"/>
      <c r="AC142" s="38">
        <f t="shared" si="114"/>
        <v>2.2011930769378112</v>
      </c>
      <c r="AD142" s="38">
        <f t="shared" si="115"/>
        <v>0</v>
      </c>
      <c r="AE142" s="38">
        <f t="shared" si="116"/>
        <v>1.7765383173638309</v>
      </c>
      <c r="AF142" s="38">
        <f t="shared" si="117"/>
        <v>0</v>
      </c>
      <c r="AG142" s="38">
        <f t="shared" si="118"/>
        <v>1.4261799017106773E-2</v>
      </c>
      <c r="AH142" s="38">
        <f t="shared" si="119"/>
        <v>0</v>
      </c>
      <c r="AI142" s="38">
        <f t="shared" si="120"/>
        <v>0</v>
      </c>
      <c r="AJ142" s="38">
        <f t="shared" si="121"/>
        <v>0.81974223924280443</v>
      </c>
      <c r="AK142" s="38">
        <f t="shared" si="122"/>
        <v>0.1927810726293622</v>
      </c>
      <c r="AL142" s="38">
        <f t="shared" si="123"/>
        <v>4.8235910080788921E-3</v>
      </c>
      <c r="AM142" s="38">
        <f t="shared" si="124"/>
        <v>0</v>
      </c>
      <c r="AN142" s="38">
        <f t="shared" si="125"/>
        <v>0</v>
      </c>
      <c r="AO142" s="38">
        <f t="shared" si="126"/>
        <v>0</v>
      </c>
      <c r="AP142" s="38">
        <f t="shared" si="127"/>
        <v>5.0093400961989945</v>
      </c>
      <c r="AQ142" s="38">
        <f t="shared" si="128"/>
        <v>3.9777313943016424</v>
      </c>
      <c r="AR142" s="38">
        <f t="shared" si="129"/>
        <v>1.0173469028802455</v>
      </c>
      <c r="AS142" s="40"/>
      <c r="AT142" s="38">
        <f t="shared" si="130"/>
        <v>2.1970888726521487</v>
      </c>
      <c r="AU142" s="38">
        <f t="shared" si="131"/>
        <v>0</v>
      </c>
      <c r="AV142" s="38">
        <f t="shared" si="132"/>
        <v>1.7732258972712185</v>
      </c>
      <c r="AW142" s="38">
        <f t="shared" si="133"/>
        <v>0</v>
      </c>
      <c r="AX142" s="38">
        <f t="shared" si="134"/>
        <v>0</v>
      </c>
      <c r="AY142" s="38">
        <f t="shared" si="135"/>
        <v>1.4235207375846165E-2</v>
      </c>
      <c r="AZ142" s="38">
        <f t="shared" si="136"/>
        <v>0</v>
      </c>
      <c r="BA142" s="38">
        <f t="shared" si="137"/>
        <v>0</v>
      </c>
      <c r="BB142" s="38">
        <f t="shared" si="138"/>
        <v>0.8182138001219077</v>
      </c>
      <c r="BC142" s="38">
        <f t="shared" si="139"/>
        <v>0.19242162533109033</v>
      </c>
      <c r="BD142" s="38">
        <f t="shared" si="140"/>
        <v>4.814597247788141E-3</v>
      </c>
      <c r="BE142" s="38">
        <f t="shared" si="141"/>
        <v>0</v>
      </c>
      <c r="BF142" s="38">
        <f t="shared" si="142"/>
        <v>0</v>
      </c>
      <c r="BG142" s="38">
        <f t="shared" si="143"/>
        <v>0</v>
      </c>
      <c r="BH142" s="41">
        <f t="shared" si="144"/>
        <v>4.9999999999999991</v>
      </c>
      <c r="BI142" s="42">
        <f t="shared" si="145"/>
        <v>7.9922013136862411</v>
      </c>
      <c r="BJ142" s="38">
        <f t="shared" si="146"/>
        <v>3.970314769923367</v>
      </c>
      <c r="BK142" s="38">
        <f t="shared" si="147"/>
        <v>1.0154500227007863</v>
      </c>
      <c r="BL142" s="16"/>
      <c r="BM142" s="16">
        <f t="shared" si="148"/>
        <v>0.80576471695348384</v>
      </c>
      <c r="BN142" s="16">
        <f t="shared" si="149"/>
        <v>0.18949393966165634</v>
      </c>
      <c r="BO142" s="16">
        <f t="shared" si="150"/>
        <v>4.7413433848598335E-3</v>
      </c>
      <c r="BP142" s="15"/>
      <c r="BQ142" s="38">
        <f t="shared" si="151"/>
        <v>0.78478695073235683</v>
      </c>
      <c r="BR142" s="38">
        <f t="shared" si="152"/>
        <v>0</v>
      </c>
      <c r="BS142" s="38">
        <f t="shared" si="153"/>
        <v>0.63338564142801101</v>
      </c>
      <c r="BT142" s="38">
        <f t="shared" si="154"/>
        <v>0</v>
      </c>
      <c r="BU142" s="38">
        <f t="shared" si="155"/>
        <v>5.0847305853620765E-3</v>
      </c>
      <c r="BV142" s="38">
        <f t="shared" si="156"/>
        <v>0</v>
      </c>
      <c r="BW142" s="38">
        <f t="shared" si="157"/>
        <v>0</v>
      </c>
      <c r="BX142" s="38">
        <f t="shared" si="158"/>
        <v>0.29226105563480742</v>
      </c>
      <c r="BY142" s="38">
        <f t="shared" si="159"/>
        <v>6.8731848983543078E-2</v>
      </c>
      <c r="BZ142" s="38">
        <f t="shared" si="160"/>
        <v>1.7197452229299364E-3</v>
      </c>
      <c r="CA142" s="38">
        <f t="shared" si="161"/>
        <v>0</v>
      </c>
      <c r="CB142" s="38">
        <f t="shared" si="162"/>
        <v>0</v>
      </c>
      <c r="CC142" s="38">
        <f t="shared" si="163"/>
        <v>0</v>
      </c>
      <c r="CD142" s="38">
        <f t="shared" si="164"/>
        <v>1.7859699725870104</v>
      </c>
      <c r="CE142" s="38">
        <f t="shared" si="165"/>
        <v>2.852223946930136</v>
      </c>
      <c r="CF142" s="38">
        <f t="shared" si="166"/>
        <v>2.7995991403805114</v>
      </c>
      <c r="CG142" s="38">
        <f t="shared" si="167"/>
        <v>7.9850837099983183</v>
      </c>
      <c r="CH142" s="15"/>
      <c r="CI142" s="16"/>
      <c r="CJ142" s="13"/>
      <c r="CK142" s="104"/>
      <c r="CL142" s="13"/>
      <c r="CM142" s="13"/>
      <c r="CN142" s="13"/>
      <c r="CO142" s="16"/>
      <c r="CP142" s="16"/>
      <c r="CQ142" s="16"/>
      <c r="CR142" s="16"/>
      <c r="CS142" s="16"/>
      <c r="CT142" s="16"/>
      <c r="CU142" s="16"/>
      <c r="CV142" s="16"/>
      <c r="CW142" s="16"/>
      <c r="CX142" s="16"/>
      <c r="CY142" s="104"/>
      <c r="CZ142" s="104"/>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3"/>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row>
    <row r="143" spans="1:167" x14ac:dyDescent="0.25">
      <c r="A143" s="35" t="s">
        <v>87</v>
      </c>
      <c r="B143" s="15">
        <v>498</v>
      </c>
      <c r="C143" s="102" t="s">
        <v>99</v>
      </c>
      <c r="D143" s="102" t="s">
        <v>106</v>
      </c>
      <c r="E143" s="15">
        <v>151</v>
      </c>
      <c r="F143" s="16">
        <v>46.91</v>
      </c>
      <c r="G143" s="16"/>
      <c r="H143" s="16">
        <v>32.85</v>
      </c>
      <c r="I143" s="16"/>
      <c r="J143" s="16">
        <v>0.36443804553225956</v>
      </c>
      <c r="K143" s="16"/>
      <c r="L143" s="16"/>
      <c r="M143" s="16">
        <v>17.010000000000002</v>
      </c>
      <c r="N143" s="16">
        <v>1.91</v>
      </c>
      <c r="O143" s="16">
        <v>0.08</v>
      </c>
      <c r="P143" s="16"/>
      <c r="Q143" s="16"/>
      <c r="R143" s="16"/>
      <c r="S143" s="16">
        <f t="shared" si="113"/>
        <v>99.124438045532244</v>
      </c>
      <c r="T143" s="16"/>
      <c r="U143" s="15">
        <v>4</v>
      </c>
      <c r="V143" s="15"/>
      <c r="W143" s="15"/>
      <c r="X143" s="15" t="s">
        <v>185</v>
      </c>
      <c r="Y143" s="15"/>
      <c r="Z143" s="37">
        <v>8</v>
      </c>
      <c r="AA143" s="37">
        <v>5</v>
      </c>
      <c r="AB143" s="15"/>
      <c r="AC143" s="38">
        <f t="shared" si="114"/>
        <v>2.1777944178049289</v>
      </c>
      <c r="AD143" s="38">
        <f t="shared" si="115"/>
        <v>0</v>
      </c>
      <c r="AE143" s="38">
        <f t="shared" si="116"/>
        <v>1.7972848524592708</v>
      </c>
      <c r="AF143" s="38">
        <f t="shared" si="117"/>
        <v>0</v>
      </c>
      <c r="AG143" s="38">
        <f t="shared" si="118"/>
        <v>1.4147454560465669E-2</v>
      </c>
      <c r="AH143" s="38">
        <f t="shared" si="119"/>
        <v>0</v>
      </c>
      <c r="AI143" s="38">
        <f t="shared" si="120"/>
        <v>0</v>
      </c>
      <c r="AJ143" s="38">
        <f t="shared" si="121"/>
        <v>0.84601425342038861</v>
      </c>
      <c r="AK143" s="38">
        <f t="shared" si="122"/>
        <v>0.17190684204281897</v>
      </c>
      <c r="AL143" s="38">
        <f t="shared" si="123"/>
        <v>4.7375133979452961E-3</v>
      </c>
      <c r="AM143" s="38">
        <f t="shared" si="124"/>
        <v>0</v>
      </c>
      <c r="AN143" s="38">
        <f t="shared" si="125"/>
        <v>0</v>
      </c>
      <c r="AO143" s="38">
        <f t="shared" si="126"/>
        <v>0</v>
      </c>
      <c r="AP143" s="38">
        <f t="shared" si="127"/>
        <v>5.011885333685818</v>
      </c>
      <c r="AQ143" s="38">
        <f t="shared" si="128"/>
        <v>3.9750792702641995</v>
      </c>
      <c r="AR143" s="38">
        <f t="shared" si="129"/>
        <v>1.0226586088611529</v>
      </c>
      <c r="AS143" s="40"/>
      <c r="AT143" s="38">
        <f t="shared" si="130"/>
        <v>2.1726299314626831</v>
      </c>
      <c r="AU143" s="38">
        <f t="shared" si="131"/>
        <v>0</v>
      </c>
      <c r="AV143" s="38">
        <f t="shared" si="132"/>
        <v>1.7930227177978151</v>
      </c>
      <c r="AW143" s="38">
        <f t="shared" si="133"/>
        <v>0</v>
      </c>
      <c r="AX143" s="38">
        <f t="shared" si="134"/>
        <v>0</v>
      </c>
      <c r="AY143" s="38">
        <f t="shared" si="135"/>
        <v>1.4113904866675603E-2</v>
      </c>
      <c r="AZ143" s="38">
        <f t="shared" si="136"/>
        <v>0</v>
      </c>
      <c r="BA143" s="38">
        <f t="shared" si="137"/>
        <v>0</v>
      </c>
      <c r="BB143" s="38">
        <f t="shared" si="138"/>
        <v>0.84400799010121874</v>
      </c>
      <c r="BC143" s="38">
        <f t="shared" si="139"/>
        <v>0.17149917705359394</v>
      </c>
      <c r="BD143" s="38">
        <f t="shared" si="140"/>
        <v>4.7262787180141408E-3</v>
      </c>
      <c r="BE143" s="38">
        <f t="shared" si="141"/>
        <v>0</v>
      </c>
      <c r="BF143" s="38">
        <f t="shared" si="142"/>
        <v>0</v>
      </c>
      <c r="BG143" s="38">
        <f t="shared" si="143"/>
        <v>0</v>
      </c>
      <c r="BH143" s="41">
        <f t="shared" si="144"/>
        <v>5</v>
      </c>
      <c r="BI143" s="42">
        <f t="shared" si="145"/>
        <v>7.988085514909125</v>
      </c>
      <c r="BJ143" s="38">
        <f t="shared" si="146"/>
        <v>3.9656526492604982</v>
      </c>
      <c r="BK143" s="38">
        <f t="shared" si="147"/>
        <v>1.0202334458728268</v>
      </c>
      <c r="BL143" s="16"/>
      <c r="BM143" s="16">
        <f t="shared" si="148"/>
        <v>0.82726947789792926</v>
      </c>
      <c r="BN143" s="16">
        <f t="shared" si="149"/>
        <v>0.16809797575972774</v>
      </c>
      <c r="BO143" s="16">
        <f t="shared" si="150"/>
        <v>4.6325463423429816E-3</v>
      </c>
      <c r="BP143" s="15"/>
      <c r="BQ143" s="38">
        <f t="shared" si="151"/>
        <v>0.78079227696404785</v>
      </c>
      <c r="BR143" s="38">
        <f t="shared" si="152"/>
        <v>0</v>
      </c>
      <c r="BS143" s="38">
        <f t="shared" si="153"/>
        <v>0.64437034131031778</v>
      </c>
      <c r="BT143" s="38">
        <f t="shared" si="154"/>
        <v>0</v>
      </c>
      <c r="BU143" s="38">
        <f t="shared" si="155"/>
        <v>5.0722066184030563E-3</v>
      </c>
      <c r="BV143" s="38">
        <f t="shared" si="156"/>
        <v>0</v>
      </c>
      <c r="BW143" s="38">
        <f t="shared" si="157"/>
        <v>0</v>
      </c>
      <c r="BX143" s="38">
        <f t="shared" si="158"/>
        <v>0.30331669044222542</v>
      </c>
      <c r="BY143" s="38">
        <f t="shared" si="159"/>
        <v>6.1632784769280413E-2</v>
      </c>
      <c r="BZ143" s="38">
        <f t="shared" si="160"/>
        <v>1.6985138004246285E-3</v>
      </c>
      <c r="CA143" s="38">
        <f t="shared" si="161"/>
        <v>0</v>
      </c>
      <c r="CB143" s="38">
        <f t="shared" si="162"/>
        <v>0</v>
      </c>
      <c r="CC143" s="38">
        <f t="shared" si="163"/>
        <v>0</v>
      </c>
      <c r="CD143" s="38">
        <f t="shared" si="164"/>
        <v>1.7968828139046991</v>
      </c>
      <c r="CE143" s="38">
        <f t="shared" si="165"/>
        <v>2.8681946122390531</v>
      </c>
      <c r="CF143" s="38">
        <f t="shared" si="166"/>
        <v>2.7825965952308254</v>
      </c>
      <c r="CG143" s="38">
        <f t="shared" si="167"/>
        <v>7.9810285624757871</v>
      </c>
      <c r="CH143" s="15"/>
      <c r="CI143" s="16"/>
      <c r="CJ143" s="13"/>
      <c r="CK143" s="104"/>
      <c r="CL143" s="13"/>
      <c r="CM143" s="13"/>
      <c r="CN143" s="13"/>
      <c r="CO143" s="16"/>
      <c r="CP143" s="16"/>
      <c r="CQ143" s="16"/>
      <c r="CR143" s="16"/>
      <c r="CS143" s="16"/>
      <c r="CT143" s="16"/>
      <c r="CU143" s="16"/>
      <c r="CV143" s="16"/>
      <c r="CW143" s="16"/>
      <c r="CX143" s="16"/>
      <c r="CY143" s="104"/>
      <c r="CZ143" s="104"/>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3"/>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row>
    <row r="144" spans="1:167" x14ac:dyDescent="0.25">
      <c r="A144" s="35" t="s">
        <v>87</v>
      </c>
      <c r="B144" s="15">
        <v>499</v>
      </c>
      <c r="C144" s="102" t="s">
        <v>99</v>
      </c>
      <c r="D144" s="102" t="s">
        <v>106</v>
      </c>
      <c r="E144" s="15">
        <v>152</v>
      </c>
      <c r="F144" s="16">
        <v>54.64</v>
      </c>
      <c r="G144" s="16"/>
      <c r="H144" s="16">
        <v>28.16</v>
      </c>
      <c r="I144" s="16"/>
      <c r="J144" s="16">
        <v>0.25375686133357328</v>
      </c>
      <c r="K144" s="16"/>
      <c r="L144" s="16"/>
      <c r="M144" s="16">
        <v>11.18</v>
      </c>
      <c r="N144" s="16">
        <v>5.37</v>
      </c>
      <c r="O144" s="16">
        <v>0.32300000000000001</v>
      </c>
      <c r="P144" s="16"/>
      <c r="Q144" s="16"/>
      <c r="R144" s="16"/>
      <c r="S144" s="16">
        <f t="shared" si="113"/>
        <v>99.926756861333573</v>
      </c>
      <c r="T144" s="16"/>
      <c r="U144" s="15">
        <v>4</v>
      </c>
      <c r="V144" s="15"/>
      <c r="W144" s="15"/>
      <c r="X144" s="15" t="s">
        <v>258</v>
      </c>
      <c r="Y144" s="15"/>
      <c r="Z144" s="37">
        <v>8</v>
      </c>
      <c r="AA144" s="37">
        <v>5</v>
      </c>
      <c r="AB144" s="15"/>
      <c r="AC144" s="38">
        <f t="shared" si="114"/>
        <v>2.4743448125863776</v>
      </c>
      <c r="AD144" s="38">
        <f t="shared" si="115"/>
        <v>0</v>
      </c>
      <c r="AE144" s="38">
        <f t="shared" si="116"/>
        <v>1.5028383648784478</v>
      </c>
      <c r="AF144" s="38">
        <f t="shared" si="117"/>
        <v>0</v>
      </c>
      <c r="AG144" s="38">
        <f t="shared" si="118"/>
        <v>9.6088292389218781E-3</v>
      </c>
      <c r="AH144" s="38">
        <f t="shared" si="119"/>
        <v>0</v>
      </c>
      <c r="AI144" s="38">
        <f t="shared" si="120"/>
        <v>0</v>
      </c>
      <c r="AJ144" s="38">
        <f t="shared" si="121"/>
        <v>0.54239197163802522</v>
      </c>
      <c r="AK144" s="38">
        <f t="shared" si="122"/>
        <v>0.47144622595090302</v>
      </c>
      <c r="AL144" s="38">
        <f t="shared" si="123"/>
        <v>1.8657827314349871E-2</v>
      </c>
      <c r="AM144" s="38">
        <f t="shared" si="124"/>
        <v>0</v>
      </c>
      <c r="AN144" s="38">
        <f t="shared" si="125"/>
        <v>0</v>
      </c>
      <c r="AO144" s="38">
        <f t="shared" si="126"/>
        <v>0</v>
      </c>
      <c r="AP144" s="38">
        <f t="shared" si="127"/>
        <v>5.019288031607025</v>
      </c>
      <c r="AQ144" s="38">
        <f t="shared" si="128"/>
        <v>3.9771831774648252</v>
      </c>
      <c r="AR144" s="38">
        <f t="shared" si="129"/>
        <v>1.032496024903278</v>
      </c>
      <c r="AS144" s="40"/>
      <c r="AT144" s="38">
        <f t="shared" si="130"/>
        <v>2.4648364439390082</v>
      </c>
      <c r="AU144" s="38">
        <f t="shared" si="131"/>
        <v>0</v>
      </c>
      <c r="AV144" s="38">
        <f t="shared" si="132"/>
        <v>1.4970632840901976</v>
      </c>
      <c r="AW144" s="38">
        <f t="shared" si="133"/>
        <v>0</v>
      </c>
      <c r="AX144" s="38">
        <f t="shared" si="134"/>
        <v>0</v>
      </c>
      <c r="AY144" s="38">
        <f t="shared" si="135"/>
        <v>9.571904599231993E-3</v>
      </c>
      <c r="AZ144" s="38">
        <f t="shared" si="136"/>
        <v>0</v>
      </c>
      <c r="BA144" s="38">
        <f t="shared" si="137"/>
        <v>0</v>
      </c>
      <c r="BB144" s="38">
        <f t="shared" si="138"/>
        <v>0.5403076773264669</v>
      </c>
      <c r="BC144" s="38">
        <f t="shared" si="139"/>
        <v>0.46963456070079324</v>
      </c>
      <c r="BD144" s="38">
        <f t="shared" si="140"/>
        <v>1.8586129344300841E-2</v>
      </c>
      <c r="BE144" s="38">
        <f t="shared" si="141"/>
        <v>0</v>
      </c>
      <c r="BF144" s="38">
        <f t="shared" si="142"/>
        <v>0</v>
      </c>
      <c r="BG144" s="38">
        <f t="shared" si="143"/>
        <v>0</v>
      </c>
      <c r="BH144" s="41">
        <f t="shared" si="144"/>
        <v>4.9999999999999991</v>
      </c>
      <c r="BI144" s="42">
        <f t="shared" si="145"/>
        <v>7.9740436932611747</v>
      </c>
      <c r="BJ144" s="38">
        <f t="shared" si="146"/>
        <v>3.9618997280292056</v>
      </c>
      <c r="BK144" s="38">
        <f t="shared" si="147"/>
        <v>1.0285283673715611</v>
      </c>
      <c r="BL144" s="16"/>
      <c r="BM144" s="16">
        <f t="shared" si="148"/>
        <v>0.52532112333201031</v>
      </c>
      <c r="BN144" s="16">
        <f t="shared" si="149"/>
        <v>0.45660827216750505</v>
      </c>
      <c r="BO144" s="16">
        <f t="shared" si="150"/>
        <v>1.8070604500484828E-2</v>
      </c>
      <c r="BP144" s="15"/>
      <c r="BQ144" s="38">
        <f t="shared" si="151"/>
        <v>0.9094540612516645</v>
      </c>
      <c r="BR144" s="38">
        <f t="shared" si="152"/>
        <v>0</v>
      </c>
      <c r="BS144" s="38">
        <f t="shared" si="153"/>
        <v>0.55237347979599849</v>
      </c>
      <c r="BT144" s="38">
        <f t="shared" si="154"/>
        <v>0</v>
      </c>
      <c r="BU144" s="38">
        <f t="shared" si="155"/>
        <v>3.5317586824436089E-3</v>
      </c>
      <c r="BV144" s="38">
        <f t="shared" si="156"/>
        <v>0</v>
      </c>
      <c r="BW144" s="38">
        <f t="shared" si="157"/>
        <v>0</v>
      </c>
      <c r="BX144" s="38">
        <f t="shared" si="158"/>
        <v>0.199358059914408</v>
      </c>
      <c r="BY144" s="38">
        <f t="shared" si="159"/>
        <v>0.17328170377541144</v>
      </c>
      <c r="BZ144" s="38">
        <f t="shared" si="160"/>
        <v>6.8577494692144371E-3</v>
      </c>
      <c r="CA144" s="38">
        <f t="shared" si="161"/>
        <v>0</v>
      </c>
      <c r="CB144" s="38">
        <f t="shared" si="162"/>
        <v>0</v>
      </c>
      <c r="CC144" s="38">
        <f t="shared" si="163"/>
        <v>0</v>
      </c>
      <c r="CD144" s="38">
        <f t="shared" si="164"/>
        <v>1.8448568128891407</v>
      </c>
      <c r="CE144" s="38">
        <f t="shared" si="165"/>
        <v>2.9404278874164911</v>
      </c>
      <c r="CF144" s="38">
        <f t="shared" si="166"/>
        <v>2.7102374368934044</v>
      </c>
      <c r="CG144" s="38">
        <f t="shared" si="167"/>
        <v>7.9692577409615586</v>
      </c>
      <c r="CH144" s="15"/>
      <c r="CI144" s="16"/>
      <c r="CJ144" s="13"/>
      <c r="CK144" s="104"/>
      <c r="CL144" s="13"/>
      <c r="CM144" s="13"/>
      <c r="CN144" s="13"/>
      <c r="CO144" s="16"/>
      <c r="CP144" s="16"/>
      <c r="CQ144" s="16"/>
      <c r="CR144" s="16"/>
      <c r="CS144" s="16"/>
      <c r="CT144" s="16"/>
      <c r="CU144" s="16"/>
      <c r="CV144" s="16"/>
      <c r="CW144" s="16"/>
      <c r="CX144" s="16"/>
      <c r="CY144" s="104"/>
      <c r="CZ144" s="104"/>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3"/>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row>
    <row r="145" spans="1:167" x14ac:dyDescent="0.25">
      <c r="A145" s="35" t="s">
        <v>87</v>
      </c>
      <c r="B145" s="15">
        <v>500</v>
      </c>
      <c r="C145" s="102" t="s">
        <v>99</v>
      </c>
      <c r="D145" s="102" t="s">
        <v>106</v>
      </c>
      <c r="E145" s="15">
        <v>153</v>
      </c>
      <c r="F145" s="16">
        <v>54.27</v>
      </c>
      <c r="G145" s="16"/>
      <c r="H145" s="16">
        <v>28.34</v>
      </c>
      <c r="I145" s="16"/>
      <c r="J145" s="16">
        <v>0.34734095203815352</v>
      </c>
      <c r="K145" s="16"/>
      <c r="L145" s="16"/>
      <c r="M145" s="16">
        <v>11.46</v>
      </c>
      <c r="N145" s="16">
        <v>5.0599999999999996</v>
      </c>
      <c r="O145" s="16">
        <v>0.26900000000000002</v>
      </c>
      <c r="P145" s="16"/>
      <c r="Q145" s="16"/>
      <c r="R145" s="16"/>
      <c r="S145" s="16">
        <f t="shared" si="113"/>
        <v>99.746340952038167</v>
      </c>
      <c r="T145" s="16"/>
      <c r="U145" s="15">
        <v>4</v>
      </c>
      <c r="V145" s="15"/>
      <c r="W145" s="15"/>
      <c r="X145" s="15" t="s">
        <v>258</v>
      </c>
      <c r="Y145" s="15"/>
      <c r="Z145" s="37">
        <v>8</v>
      </c>
      <c r="AA145" s="37">
        <v>5</v>
      </c>
      <c r="AB145" s="15"/>
      <c r="AC145" s="38">
        <f t="shared" si="114"/>
        <v>2.4628665352655661</v>
      </c>
      <c r="AD145" s="38">
        <f t="shared" si="115"/>
        <v>0</v>
      </c>
      <c r="AE145" s="38">
        <f t="shared" si="116"/>
        <v>1.5156921275284945</v>
      </c>
      <c r="AF145" s="38">
        <f t="shared" si="117"/>
        <v>0</v>
      </c>
      <c r="AG145" s="38">
        <f t="shared" si="118"/>
        <v>1.3180752280939482E-2</v>
      </c>
      <c r="AH145" s="38">
        <f t="shared" si="119"/>
        <v>0</v>
      </c>
      <c r="AI145" s="38">
        <f t="shared" si="120"/>
        <v>0</v>
      </c>
      <c r="AJ145" s="38">
        <f t="shared" si="121"/>
        <v>0.55716983111866258</v>
      </c>
      <c r="AK145" s="38">
        <f t="shared" si="122"/>
        <v>0.44518438277229844</v>
      </c>
      <c r="AL145" s="38">
        <f t="shared" si="123"/>
        <v>1.5571926780747964E-2</v>
      </c>
      <c r="AM145" s="38">
        <f t="shared" si="124"/>
        <v>0</v>
      </c>
      <c r="AN145" s="38">
        <f t="shared" si="125"/>
        <v>0</v>
      </c>
      <c r="AO145" s="38">
        <f t="shared" si="126"/>
        <v>0</v>
      </c>
      <c r="AP145" s="38">
        <f t="shared" si="127"/>
        <v>5.0096655557467091</v>
      </c>
      <c r="AQ145" s="38">
        <f t="shared" si="128"/>
        <v>3.9785586627940606</v>
      </c>
      <c r="AR145" s="38">
        <f t="shared" si="129"/>
        <v>1.0179261406717088</v>
      </c>
      <c r="AS145" s="40"/>
      <c r="AT145" s="38">
        <f t="shared" si="130"/>
        <v>2.4581147262818295</v>
      </c>
      <c r="AU145" s="38">
        <f t="shared" si="131"/>
        <v>0</v>
      </c>
      <c r="AV145" s="38">
        <f t="shared" si="132"/>
        <v>1.5127677792680267</v>
      </c>
      <c r="AW145" s="38">
        <f t="shared" si="133"/>
        <v>0</v>
      </c>
      <c r="AX145" s="38">
        <f t="shared" si="134"/>
        <v>0</v>
      </c>
      <c r="AY145" s="38">
        <f t="shared" si="135"/>
        <v>1.3155321582115919E-2</v>
      </c>
      <c r="AZ145" s="38">
        <f t="shared" si="136"/>
        <v>0</v>
      </c>
      <c r="BA145" s="38">
        <f t="shared" si="137"/>
        <v>0</v>
      </c>
      <c r="BB145" s="38">
        <f t="shared" si="138"/>
        <v>0.55609483798725812</v>
      </c>
      <c r="BC145" s="38">
        <f t="shared" si="139"/>
        <v>0.44432545228654702</v>
      </c>
      <c r="BD145" s="38">
        <f t="shared" si="140"/>
        <v>1.5541882594223311E-2</v>
      </c>
      <c r="BE145" s="38">
        <f t="shared" si="141"/>
        <v>0</v>
      </c>
      <c r="BF145" s="38">
        <f t="shared" si="142"/>
        <v>0</v>
      </c>
      <c r="BG145" s="38">
        <f t="shared" si="143"/>
        <v>0</v>
      </c>
      <c r="BH145" s="41">
        <f t="shared" si="144"/>
        <v>5.0000000000000009</v>
      </c>
      <c r="BI145" s="42">
        <f t="shared" si="145"/>
        <v>7.9911426092665163</v>
      </c>
      <c r="BJ145" s="38">
        <f t="shared" si="146"/>
        <v>3.9708825055498562</v>
      </c>
      <c r="BK145" s="38">
        <f t="shared" si="147"/>
        <v>1.0159621728680284</v>
      </c>
      <c r="BL145" s="16"/>
      <c r="BM145" s="16">
        <f t="shared" si="148"/>
        <v>0.54735781787762861</v>
      </c>
      <c r="BN145" s="16">
        <f t="shared" si="149"/>
        <v>0.43734448402958814</v>
      </c>
      <c r="BO145" s="16">
        <f t="shared" si="150"/>
        <v>1.5297698092783397E-2</v>
      </c>
      <c r="BP145" s="15"/>
      <c r="BQ145" s="38">
        <f t="shared" si="151"/>
        <v>0.90329560585885493</v>
      </c>
      <c r="BR145" s="38">
        <f t="shared" si="152"/>
        <v>0</v>
      </c>
      <c r="BS145" s="38">
        <f t="shared" si="153"/>
        <v>0.55590427618673988</v>
      </c>
      <c r="BT145" s="38">
        <f t="shared" si="154"/>
        <v>0</v>
      </c>
      <c r="BU145" s="38">
        <f t="shared" si="155"/>
        <v>4.8342512461816778E-3</v>
      </c>
      <c r="BV145" s="38">
        <f t="shared" si="156"/>
        <v>0</v>
      </c>
      <c r="BW145" s="38">
        <f t="shared" si="157"/>
        <v>0</v>
      </c>
      <c r="BX145" s="38">
        <f t="shared" si="158"/>
        <v>0.20435092724679033</v>
      </c>
      <c r="BY145" s="38">
        <f t="shared" si="159"/>
        <v>0.16327847692804129</v>
      </c>
      <c r="BZ145" s="38">
        <f t="shared" si="160"/>
        <v>5.7112526539278129E-3</v>
      </c>
      <c r="CA145" s="38">
        <f t="shared" si="161"/>
        <v>0</v>
      </c>
      <c r="CB145" s="38">
        <f t="shared" si="162"/>
        <v>0</v>
      </c>
      <c r="CC145" s="38">
        <f t="shared" si="163"/>
        <v>0</v>
      </c>
      <c r="CD145" s="38">
        <f t="shared" si="164"/>
        <v>1.8373747901205357</v>
      </c>
      <c r="CE145" s="38">
        <f t="shared" si="165"/>
        <v>2.9341276692817764</v>
      </c>
      <c r="CF145" s="38">
        <f t="shared" si="166"/>
        <v>2.7212738668695837</v>
      </c>
      <c r="CG145" s="38">
        <f t="shared" si="167"/>
        <v>7.9845649484754588</v>
      </c>
      <c r="CH145" s="15"/>
      <c r="CI145" s="16"/>
      <c r="CJ145" s="13"/>
      <c r="CK145" s="104"/>
      <c r="CL145" s="13"/>
      <c r="CM145" s="13"/>
      <c r="CN145" s="13"/>
      <c r="CO145" s="16"/>
      <c r="CP145" s="16"/>
      <c r="CQ145" s="16"/>
      <c r="CR145" s="16"/>
      <c r="CS145" s="16"/>
      <c r="CT145" s="16"/>
      <c r="CU145" s="16"/>
      <c r="CV145" s="16"/>
      <c r="CW145" s="16"/>
      <c r="CX145" s="16"/>
      <c r="CY145" s="104"/>
      <c r="CZ145" s="104"/>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3"/>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row>
    <row r="146" spans="1:167" x14ac:dyDescent="0.25">
      <c r="A146" s="35" t="s">
        <v>87</v>
      </c>
      <c r="B146" s="15">
        <v>501</v>
      </c>
      <c r="C146" s="102" t="s">
        <v>99</v>
      </c>
      <c r="D146" s="102" t="s">
        <v>106</v>
      </c>
      <c r="E146" s="15">
        <v>154</v>
      </c>
      <c r="F146" s="16">
        <v>61.32</v>
      </c>
      <c r="G146" s="16"/>
      <c r="H146" s="16">
        <v>22.12</v>
      </c>
      <c r="I146" s="16"/>
      <c r="J146" s="16">
        <v>0.27535318995770719</v>
      </c>
      <c r="K146" s="16"/>
      <c r="L146" s="16"/>
      <c r="M146" s="16">
        <v>5.0999999999999996</v>
      </c>
      <c r="N146" s="16">
        <v>8.4700000000000006</v>
      </c>
      <c r="O146" s="16">
        <v>0.66100000000000003</v>
      </c>
      <c r="P146" s="16"/>
      <c r="Q146" s="16"/>
      <c r="R146" s="16"/>
      <c r="S146" s="16">
        <f t="shared" si="113"/>
        <v>97.946353189957705</v>
      </c>
      <c r="T146" s="16"/>
      <c r="U146" s="15">
        <v>4</v>
      </c>
      <c r="V146" s="15"/>
      <c r="W146" s="15"/>
      <c r="X146" s="15" t="s">
        <v>186</v>
      </c>
      <c r="Y146" s="15"/>
      <c r="Z146" s="37">
        <v>8</v>
      </c>
      <c r="AA146" s="37">
        <v>5</v>
      </c>
      <c r="AB146" s="15"/>
      <c r="AC146" s="38">
        <f t="shared" si="114"/>
        <v>2.7861864245133368</v>
      </c>
      <c r="AD146" s="38">
        <f t="shared" si="115"/>
        <v>0</v>
      </c>
      <c r="AE146" s="38">
        <f t="shared" si="116"/>
        <v>1.1844677517368385</v>
      </c>
      <c r="AF146" s="38">
        <f t="shared" si="117"/>
        <v>0</v>
      </c>
      <c r="AG146" s="38">
        <f t="shared" si="118"/>
        <v>1.0461676568061424E-2</v>
      </c>
      <c r="AH146" s="38">
        <f t="shared" si="119"/>
        <v>0</v>
      </c>
      <c r="AI146" s="38">
        <f t="shared" si="120"/>
        <v>0</v>
      </c>
      <c r="AJ146" s="38">
        <f t="shared" si="121"/>
        <v>0.24825620989976413</v>
      </c>
      <c r="AK146" s="38">
        <f t="shared" si="122"/>
        <v>0.7461047136488318</v>
      </c>
      <c r="AL146" s="38">
        <f t="shared" si="123"/>
        <v>3.8310560151655508E-2</v>
      </c>
      <c r="AM146" s="38">
        <f t="shared" si="124"/>
        <v>0</v>
      </c>
      <c r="AN146" s="38">
        <f t="shared" si="125"/>
        <v>0</v>
      </c>
      <c r="AO146" s="38">
        <f t="shared" si="126"/>
        <v>0</v>
      </c>
      <c r="AP146" s="38">
        <f t="shared" si="127"/>
        <v>5.0137873365184875</v>
      </c>
      <c r="AQ146" s="38">
        <f t="shared" si="128"/>
        <v>3.970654176250175</v>
      </c>
      <c r="AR146" s="38">
        <f t="shared" si="129"/>
        <v>1.0326714837002515</v>
      </c>
      <c r="AS146" s="40"/>
      <c r="AT146" s="38">
        <f t="shared" si="130"/>
        <v>2.7785247334084477</v>
      </c>
      <c r="AU146" s="38">
        <f t="shared" si="131"/>
        <v>0</v>
      </c>
      <c r="AV146" s="38">
        <f t="shared" si="132"/>
        <v>1.181210602122704</v>
      </c>
      <c r="AW146" s="38">
        <f t="shared" si="133"/>
        <v>0</v>
      </c>
      <c r="AX146" s="38">
        <f t="shared" si="134"/>
        <v>0</v>
      </c>
      <c r="AY146" s="38">
        <f t="shared" si="135"/>
        <v>1.0432908164914193E-2</v>
      </c>
      <c r="AZ146" s="38">
        <f t="shared" si="136"/>
        <v>0</v>
      </c>
      <c r="BA146" s="38">
        <f t="shared" si="137"/>
        <v>0</v>
      </c>
      <c r="BB146" s="38">
        <f t="shared" si="138"/>
        <v>0.24757353397456841</v>
      </c>
      <c r="BC146" s="38">
        <f t="shared" si="139"/>
        <v>0.74405301179658501</v>
      </c>
      <c r="BD146" s="38">
        <f t="shared" si="140"/>
        <v>3.8205210532780483E-2</v>
      </c>
      <c r="BE146" s="38">
        <f t="shared" si="141"/>
        <v>0</v>
      </c>
      <c r="BF146" s="38">
        <f t="shared" si="142"/>
        <v>0</v>
      </c>
      <c r="BG146" s="38">
        <f t="shared" si="143"/>
        <v>0</v>
      </c>
      <c r="BH146" s="41">
        <f t="shared" si="144"/>
        <v>4.9999999999999991</v>
      </c>
      <c r="BI146" s="42">
        <f t="shared" si="145"/>
        <v>7.9832173773875743</v>
      </c>
      <c r="BJ146" s="38">
        <f t="shared" si="146"/>
        <v>3.9597353355311515</v>
      </c>
      <c r="BK146" s="38">
        <f t="shared" si="147"/>
        <v>1.0298317563039339</v>
      </c>
      <c r="BL146" s="16"/>
      <c r="BM146" s="16">
        <f t="shared" si="148"/>
        <v>0.2404019224102292</v>
      </c>
      <c r="BN146" s="16">
        <f t="shared" si="149"/>
        <v>0.72249958038484963</v>
      </c>
      <c r="BO146" s="16">
        <f t="shared" si="150"/>
        <v>3.7098497204921102E-2</v>
      </c>
      <c r="BP146" s="15"/>
      <c r="BQ146" s="38">
        <f t="shared" si="151"/>
        <v>1.0206391478029295</v>
      </c>
      <c r="BR146" s="38">
        <f t="shared" si="152"/>
        <v>0</v>
      </c>
      <c r="BS146" s="38">
        <f t="shared" si="153"/>
        <v>0.43389564535111813</v>
      </c>
      <c r="BT146" s="38">
        <f t="shared" si="154"/>
        <v>0</v>
      </c>
      <c r="BU146" s="38">
        <f t="shared" si="155"/>
        <v>3.8323338894600866E-3</v>
      </c>
      <c r="BV146" s="38">
        <f t="shared" si="156"/>
        <v>0</v>
      </c>
      <c r="BW146" s="38">
        <f t="shared" si="157"/>
        <v>0</v>
      </c>
      <c r="BX146" s="38">
        <f t="shared" si="158"/>
        <v>9.0941512125534946E-2</v>
      </c>
      <c r="BY146" s="38">
        <f t="shared" si="159"/>
        <v>0.27331397224911264</v>
      </c>
      <c r="BZ146" s="38">
        <f t="shared" si="160"/>
        <v>1.4033970276008494E-2</v>
      </c>
      <c r="CA146" s="38">
        <f t="shared" si="161"/>
        <v>0</v>
      </c>
      <c r="CB146" s="38">
        <f t="shared" si="162"/>
        <v>0</v>
      </c>
      <c r="CC146" s="38">
        <f t="shared" si="163"/>
        <v>0</v>
      </c>
      <c r="CD146" s="38">
        <f t="shared" si="164"/>
        <v>1.8366565816941638</v>
      </c>
      <c r="CE146" s="38">
        <f t="shared" si="165"/>
        <v>2.9305695809100918</v>
      </c>
      <c r="CF146" s="38">
        <f t="shared" si="166"/>
        <v>2.7223379971164308</v>
      </c>
      <c r="CG146" s="38">
        <f t="shared" si="167"/>
        <v>7.9780009233051175</v>
      </c>
      <c r="CH146" s="15"/>
      <c r="CI146" s="16"/>
      <c r="CJ146" s="13"/>
      <c r="CK146" s="104"/>
      <c r="CL146" s="13"/>
      <c r="CM146" s="13"/>
      <c r="CN146" s="13"/>
      <c r="CO146" s="16"/>
      <c r="CP146" s="16"/>
      <c r="CQ146" s="16"/>
      <c r="CR146" s="16"/>
      <c r="CS146" s="16"/>
      <c r="CT146" s="16"/>
      <c r="CU146" s="16"/>
      <c r="CV146" s="16"/>
      <c r="CW146" s="16"/>
      <c r="CX146" s="16"/>
      <c r="CY146" s="104"/>
      <c r="CZ146" s="104"/>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3"/>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row>
    <row r="147" spans="1:167" x14ac:dyDescent="0.25">
      <c r="A147" s="35" t="s">
        <v>87</v>
      </c>
      <c r="B147" s="15">
        <v>502</v>
      </c>
      <c r="C147" s="102" t="s">
        <v>99</v>
      </c>
      <c r="D147" s="102" t="s">
        <v>106</v>
      </c>
      <c r="E147" s="15">
        <v>155</v>
      </c>
      <c r="F147" s="16">
        <v>65.650000000000006</v>
      </c>
      <c r="G147" s="16"/>
      <c r="H147" s="16">
        <v>18.45</v>
      </c>
      <c r="I147" s="16"/>
      <c r="J147" s="16">
        <v>0.1934671105911995</v>
      </c>
      <c r="K147" s="16"/>
      <c r="L147" s="16"/>
      <c r="M147" s="16">
        <v>0.22700000000000001</v>
      </c>
      <c r="N147" s="16">
        <v>2.78</v>
      </c>
      <c r="O147" s="16">
        <v>13.11</v>
      </c>
      <c r="P147" s="16"/>
      <c r="Q147" s="16"/>
      <c r="R147" s="16"/>
      <c r="S147" s="16">
        <f t="shared" si="113"/>
        <v>100.41046711059121</v>
      </c>
      <c r="T147" s="16"/>
      <c r="U147" s="15"/>
      <c r="V147" s="15"/>
      <c r="W147" s="15"/>
      <c r="X147" s="15" t="s">
        <v>187</v>
      </c>
      <c r="Y147" s="15"/>
      <c r="Z147" s="37">
        <v>8</v>
      </c>
      <c r="AA147" s="37">
        <v>5</v>
      </c>
      <c r="AB147" s="15"/>
      <c r="AC147" s="38">
        <f t="shared" si="114"/>
        <v>2.9947047137692913</v>
      </c>
      <c r="AD147" s="38">
        <f t="shared" si="115"/>
        <v>0</v>
      </c>
      <c r="AE147" s="38">
        <f t="shared" si="116"/>
        <v>0.9918494095470225</v>
      </c>
      <c r="AF147" s="38">
        <f t="shared" si="117"/>
        <v>0</v>
      </c>
      <c r="AG147" s="38">
        <f t="shared" si="118"/>
        <v>7.3795447870740986E-3</v>
      </c>
      <c r="AH147" s="38">
        <f t="shared" si="119"/>
        <v>0</v>
      </c>
      <c r="AI147" s="38">
        <f t="shared" si="120"/>
        <v>0</v>
      </c>
      <c r="AJ147" s="38">
        <f t="shared" si="121"/>
        <v>1.1093460772267394E-2</v>
      </c>
      <c r="AK147" s="38">
        <f t="shared" si="122"/>
        <v>0.24585124925936602</v>
      </c>
      <c r="AL147" s="38">
        <f t="shared" si="123"/>
        <v>0.76283565590371805</v>
      </c>
      <c r="AM147" s="38">
        <f t="shared" si="124"/>
        <v>0</v>
      </c>
      <c r="AN147" s="38">
        <f t="shared" si="125"/>
        <v>0</v>
      </c>
      <c r="AO147" s="38">
        <f t="shared" si="126"/>
        <v>0</v>
      </c>
      <c r="AP147" s="38">
        <f t="shared" si="127"/>
        <v>5.0137140340387392</v>
      </c>
      <c r="AQ147" s="38">
        <f t="shared" si="128"/>
        <v>3.9865541233163135</v>
      </c>
      <c r="AR147" s="38">
        <f t="shared" si="129"/>
        <v>1.0197803659353515</v>
      </c>
      <c r="AS147" s="40"/>
      <c r="AT147" s="38">
        <f t="shared" si="130"/>
        <v>2.9865132848003113</v>
      </c>
      <c r="AU147" s="38">
        <f t="shared" si="131"/>
        <v>0</v>
      </c>
      <c r="AV147" s="38">
        <f t="shared" si="132"/>
        <v>0.98913639949669174</v>
      </c>
      <c r="AW147" s="38">
        <f t="shared" si="133"/>
        <v>0</v>
      </c>
      <c r="AX147" s="38">
        <f t="shared" si="134"/>
        <v>0</v>
      </c>
      <c r="AY147" s="38">
        <f t="shared" si="135"/>
        <v>7.3593594857758486E-3</v>
      </c>
      <c r="AZ147" s="38">
        <f t="shared" si="136"/>
        <v>0</v>
      </c>
      <c r="BA147" s="38">
        <f t="shared" si="137"/>
        <v>0</v>
      </c>
      <c r="BB147" s="38">
        <f t="shared" si="138"/>
        <v>1.106311678024762E-2</v>
      </c>
      <c r="BC147" s="38">
        <f t="shared" si="139"/>
        <v>0.24517877125644855</v>
      </c>
      <c r="BD147" s="38">
        <f t="shared" si="140"/>
        <v>0.76074906818052468</v>
      </c>
      <c r="BE147" s="38">
        <f t="shared" si="141"/>
        <v>0</v>
      </c>
      <c r="BF147" s="38">
        <f t="shared" si="142"/>
        <v>0</v>
      </c>
      <c r="BG147" s="38">
        <f t="shared" si="143"/>
        <v>0</v>
      </c>
      <c r="BH147" s="41">
        <f t="shared" si="144"/>
        <v>5</v>
      </c>
      <c r="BI147" s="42">
        <f t="shared" si="145"/>
        <v>7.9817972445730581</v>
      </c>
      <c r="BJ147" s="38">
        <f t="shared" si="146"/>
        <v>3.9756496842970028</v>
      </c>
      <c r="BK147" s="38">
        <f t="shared" si="147"/>
        <v>1.0169909562172208</v>
      </c>
      <c r="BL147" s="16"/>
      <c r="BM147" s="16">
        <f t="shared" si="148"/>
        <v>1.0878284327520244E-2</v>
      </c>
      <c r="BN147" s="16">
        <f t="shared" si="149"/>
        <v>0.24108254823465747</v>
      </c>
      <c r="BO147" s="16">
        <f t="shared" si="150"/>
        <v>0.74803916743782228</v>
      </c>
      <c r="BP147" s="15"/>
      <c r="BQ147" s="38">
        <f t="shared" si="151"/>
        <v>1.0927097203728364</v>
      </c>
      <c r="BR147" s="38">
        <f t="shared" si="152"/>
        <v>0</v>
      </c>
      <c r="BS147" s="38">
        <f t="shared" si="153"/>
        <v>0.36190663005100038</v>
      </c>
      <c r="BT147" s="38">
        <f t="shared" si="154"/>
        <v>0</v>
      </c>
      <c r="BU147" s="38">
        <f t="shared" si="155"/>
        <v>2.6926528961892767E-3</v>
      </c>
      <c r="BV147" s="38">
        <f t="shared" si="156"/>
        <v>0</v>
      </c>
      <c r="BW147" s="38">
        <f t="shared" si="157"/>
        <v>0</v>
      </c>
      <c r="BX147" s="38">
        <f t="shared" si="158"/>
        <v>4.0477888730385166E-3</v>
      </c>
      <c r="BY147" s="38">
        <f t="shared" si="159"/>
        <v>8.9706356889319133E-2</v>
      </c>
      <c r="BZ147" s="38">
        <f t="shared" si="160"/>
        <v>0.27834394904458598</v>
      </c>
      <c r="CA147" s="38">
        <f t="shared" si="161"/>
        <v>0</v>
      </c>
      <c r="CB147" s="38">
        <f t="shared" si="162"/>
        <v>0</v>
      </c>
      <c r="CC147" s="38">
        <f t="shared" si="163"/>
        <v>0</v>
      </c>
      <c r="CD147" s="38">
        <f t="shared" si="164"/>
        <v>1.8294070981269697</v>
      </c>
      <c r="CE147" s="38">
        <f t="shared" si="165"/>
        <v>2.9190449805583536</v>
      </c>
      <c r="CF147" s="38">
        <f t="shared" si="166"/>
        <v>2.7331259428911299</v>
      </c>
      <c r="CG147" s="38">
        <f t="shared" si="167"/>
        <v>7.9781175648301703</v>
      </c>
      <c r="CH147" s="15"/>
      <c r="CI147" s="16"/>
      <c r="CJ147" s="13"/>
      <c r="CK147" s="104"/>
      <c r="CL147" s="13"/>
      <c r="CM147" s="13"/>
      <c r="CN147" s="13"/>
      <c r="CO147" s="16"/>
      <c r="CP147" s="16"/>
      <c r="CQ147" s="16"/>
      <c r="CR147" s="16"/>
      <c r="CS147" s="16"/>
      <c r="CT147" s="16"/>
      <c r="CU147" s="16"/>
      <c r="CV147" s="16"/>
      <c r="CW147" s="16"/>
      <c r="CX147" s="16"/>
      <c r="CY147" s="104"/>
      <c r="CZ147" s="104"/>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3"/>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row>
    <row r="148" spans="1:167" x14ac:dyDescent="0.25">
      <c r="A148" s="35" t="s">
        <v>87</v>
      </c>
      <c r="B148" s="15">
        <v>503</v>
      </c>
      <c r="C148" s="102" t="s">
        <v>99</v>
      </c>
      <c r="D148" s="102" t="s">
        <v>106</v>
      </c>
      <c r="E148" s="15">
        <v>156</v>
      </c>
      <c r="F148" s="16">
        <v>65.41</v>
      </c>
      <c r="G148" s="16"/>
      <c r="H148" s="16">
        <v>17.93</v>
      </c>
      <c r="I148" s="16"/>
      <c r="J148" s="16">
        <v>6.7488526950418432E-2</v>
      </c>
      <c r="K148" s="16"/>
      <c r="L148" s="16"/>
      <c r="M148" s="16">
        <v>0.14199999999999999</v>
      </c>
      <c r="N148" s="16">
        <v>2.82</v>
      </c>
      <c r="O148" s="16">
        <v>13.1</v>
      </c>
      <c r="P148" s="16"/>
      <c r="Q148" s="16"/>
      <c r="R148" s="16"/>
      <c r="S148" s="16">
        <f t="shared" si="113"/>
        <v>99.4694885269504</v>
      </c>
      <c r="T148" s="16"/>
      <c r="U148" s="15"/>
      <c r="V148" s="15"/>
      <c r="W148" s="15"/>
      <c r="X148" s="15" t="s">
        <v>187</v>
      </c>
      <c r="Y148" s="15"/>
      <c r="Z148" s="37">
        <v>8</v>
      </c>
      <c r="AA148" s="37">
        <v>5</v>
      </c>
      <c r="AB148" s="15"/>
      <c r="AC148" s="38">
        <f t="shared" si="114"/>
        <v>3.0105921394691832</v>
      </c>
      <c r="AD148" s="38">
        <f t="shared" si="115"/>
        <v>0</v>
      </c>
      <c r="AE148" s="38">
        <f t="shared" si="116"/>
        <v>0.97256392562548322</v>
      </c>
      <c r="AF148" s="38">
        <f t="shared" si="117"/>
        <v>0</v>
      </c>
      <c r="AG148" s="38">
        <f t="shared" si="118"/>
        <v>2.5974121924320064E-3</v>
      </c>
      <c r="AH148" s="38">
        <f t="shared" si="119"/>
        <v>0</v>
      </c>
      <c r="AI148" s="38">
        <f t="shared" si="120"/>
        <v>0</v>
      </c>
      <c r="AJ148" s="38">
        <f t="shared" si="121"/>
        <v>7.0019344007713593E-3</v>
      </c>
      <c r="AK148" s="38">
        <f t="shared" si="122"/>
        <v>0.25163162968759278</v>
      </c>
      <c r="AL148" s="38">
        <f t="shared" si="123"/>
        <v>0.76910934237281736</v>
      </c>
      <c r="AM148" s="38">
        <f t="shared" si="124"/>
        <v>0</v>
      </c>
      <c r="AN148" s="38">
        <f t="shared" si="125"/>
        <v>0</v>
      </c>
      <c r="AO148" s="38">
        <f t="shared" si="126"/>
        <v>0</v>
      </c>
      <c r="AP148" s="38">
        <f t="shared" si="127"/>
        <v>5.0134963837482802</v>
      </c>
      <c r="AQ148" s="38">
        <f t="shared" si="128"/>
        <v>3.9831560650946667</v>
      </c>
      <c r="AR148" s="38">
        <f t="shared" si="129"/>
        <v>1.0277429064611816</v>
      </c>
      <c r="AS148" s="40"/>
      <c r="AT148" s="38">
        <f t="shared" si="130"/>
        <v>3.0024875945141805</v>
      </c>
      <c r="AU148" s="38">
        <f t="shared" si="131"/>
        <v>0</v>
      </c>
      <c r="AV148" s="38">
        <f t="shared" si="132"/>
        <v>0.96994577355051115</v>
      </c>
      <c r="AW148" s="38">
        <f t="shared" si="133"/>
        <v>0</v>
      </c>
      <c r="AX148" s="38">
        <f t="shared" si="134"/>
        <v>0</v>
      </c>
      <c r="AY148" s="38">
        <f t="shared" si="135"/>
        <v>2.5904199321373426E-3</v>
      </c>
      <c r="AZ148" s="38">
        <f t="shared" si="136"/>
        <v>0</v>
      </c>
      <c r="BA148" s="38">
        <f t="shared" si="137"/>
        <v>0</v>
      </c>
      <c r="BB148" s="38">
        <f t="shared" si="138"/>
        <v>6.9830851214621277E-3</v>
      </c>
      <c r="BC148" s="38">
        <f t="shared" si="139"/>
        <v>0.25095423475648687</v>
      </c>
      <c r="BD148" s="38">
        <f t="shared" si="140"/>
        <v>0.76703889212522181</v>
      </c>
      <c r="BE148" s="38">
        <f t="shared" si="141"/>
        <v>0</v>
      </c>
      <c r="BF148" s="38">
        <f t="shared" si="142"/>
        <v>0</v>
      </c>
      <c r="BG148" s="38">
        <f t="shared" si="143"/>
        <v>0</v>
      </c>
      <c r="BH148" s="41">
        <f t="shared" si="144"/>
        <v>5</v>
      </c>
      <c r="BI148" s="42">
        <f t="shared" si="145"/>
        <v>7.97975912781465</v>
      </c>
      <c r="BJ148" s="38">
        <f t="shared" si="146"/>
        <v>3.9724333680646917</v>
      </c>
      <c r="BK148" s="38">
        <f t="shared" si="147"/>
        <v>1.0249762120031707</v>
      </c>
      <c r="BL148" s="16"/>
      <c r="BM148" s="16">
        <f t="shared" si="148"/>
        <v>6.8129240851499137E-3</v>
      </c>
      <c r="BN148" s="16">
        <f t="shared" si="149"/>
        <v>0.24483908193930895</v>
      </c>
      <c r="BO148" s="16">
        <f t="shared" si="150"/>
        <v>0.74834799397554108</v>
      </c>
      <c r="BP148" s="15"/>
      <c r="BQ148" s="38">
        <f t="shared" si="151"/>
        <v>1.0887150466045272</v>
      </c>
      <c r="BR148" s="38">
        <f t="shared" si="152"/>
        <v>0</v>
      </c>
      <c r="BS148" s="38">
        <f t="shared" si="153"/>
        <v>0.35170655158885838</v>
      </c>
      <c r="BT148" s="38">
        <f t="shared" si="154"/>
        <v>0</v>
      </c>
      <c r="BU148" s="38">
        <f t="shared" si="155"/>
        <v>9.3929752192649179E-4</v>
      </c>
      <c r="BV148" s="38">
        <f t="shared" si="156"/>
        <v>0</v>
      </c>
      <c r="BW148" s="38">
        <f t="shared" si="157"/>
        <v>0</v>
      </c>
      <c r="BX148" s="38">
        <f t="shared" si="158"/>
        <v>2.5320970042796006E-3</v>
      </c>
      <c r="BY148" s="38">
        <f t="shared" si="159"/>
        <v>9.0997095837366898E-2</v>
      </c>
      <c r="BZ148" s="38">
        <f t="shared" si="160"/>
        <v>0.2781316348195329</v>
      </c>
      <c r="CA148" s="38">
        <f t="shared" si="161"/>
        <v>0</v>
      </c>
      <c r="CB148" s="38">
        <f t="shared" si="162"/>
        <v>0</v>
      </c>
      <c r="CC148" s="38">
        <f t="shared" si="163"/>
        <v>0</v>
      </c>
      <c r="CD148" s="38">
        <f t="shared" si="164"/>
        <v>1.8130217233764916</v>
      </c>
      <c r="CE148" s="38">
        <f t="shared" si="165"/>
        <v>2.893025680446998</v>
      </c>
      <c r="CF148" s="38">
        <f t="shared" si="166"/>
        <v>2.7578268564196908</v>
      </c>
      <c r="CG148" s="38">
        <f t="shared" si="167"/>
        <v>7.9784639178485817</v>
      </c>
      <c r="CH148" s="15"/>
      <c r="CI148" s="16"/>
      <c r="CJ148" s="13"/>
      <c r="CK148" s="104"/>
      <c r="CL148" s="13"/>
      <c r="CM148" s="13"/>
      <c r="CN148" s="13"/>
      <c r="CO148" s="16"/>
      <c r="CP148" s="16"/>
      <c r="CQ148" s="16"/>
      <c r="CR148" s="16"/>
      <c r="CS148" s="16"/>
      <c r="CT148" s="16"/>
      <c r="CU148" s="16"/>
      <c r="CV148" s="16"/>
      <c r="CW148" s="16"/>
      <c r="CX148" s="16"/>
      <c r="CY148" s="104"/>
      <c r="CZ148" s="104"/>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3"/>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row>
    <row r="149" spans="1:167" x14ac:dyDescent="0.25">
      <c r="A149" s="35" t="s">
        <v>87</v>
      </c>
      <c r="B149" s="15">
        <v>504</v>
      </c>
      <c r="C149" s="102" t="s">
        <v>99</v>
      </c>
      <c r="D149" s="102" t="s">
        <v>106</v>
      </c>
      <c r="E149" s="15">
        <v>157</v>
      </c>
      <c r="F149" s="16">
        <v>55.26</v>
      </c>
      <c r="G149" s="16"/>
      <c r="H149" s="16">
        <v>28.07</v>
      </c>
      <c r="I149" s="16"/>
      <c r="J149" s="16">
        <v>0.37433636281832089</v>
      </c>
      <c r="K149" s="16"/>
      <c r="L149" s="16"/>
      <c r="M149" s="16">
        <v>10.74</v>
      </c>
      <c r="N149" s="16">
        <v>5.53</v>
      </c>
      <c r="O149" s="16">
        <v>0.25700000000000001</v>
      </c>
      <c r="P149" s="16"/>
      <c r="Q149" s="16"/>
      <c r="R149" s="16"/>
      <c r="S149" s="16">
        <f t="shared" si="113"/>
        <v>100.23133636281833</v>
      </c>
      <c r="T149" s="16"/>
      <c r="U149" s="15"/>
      <c r="V149" s="15"/>
      <c r="W149" s="15"/>
      <c r="X149" s="15" t="s">
        <v>252</v>
      </c>
      <c r="Y149" s="15" t="s">
        <v>260</v>
      </c>
      <c r="Z149" s="37">
        <v>8</v>
      </c>
      <c r="AA149" s="37">
        <v>5</v>
      </c>
      <c r="AB149" s="15"/>
      <c r="AC149" s="38">
        <f t="shared" si="114"/>
        <v>2.4908125099210574</v>
      </c>
      <c r="AD149" s="38">
        <f t="shared" si="115"/>
        <v>0</v>
      </c>
      <c r="AE149" s="38">
        <f t="shared" si="116"/>
        <v>1.4910858990714049</v>
      </c>
      <c r="AF149" s="38">
        <f t="shared" si="117"/>
        <v>0</v>
      </c>
      <c r="AG149" s="38">
        <f t="shared" si="118"/>
        <v>1.4108970502498945E-2</v>
      </c>
      <c r="AH149" s="38">
        <f t="shared" si="119"/>
        <v>0</v>
      </c>
      <c r="AI149" s="38">
        <f t="shared" si="120"/>
        <v>0</v>
      </c>
      <c r="AJ149" s="38">
        <f t="shared" si="121"/>
        <v>0.51862847536895162</v>
      </c>
      <c r="AK149" s="38">
        <f t="shared" si="122"/>
        <v>0.48324084686944774</v>
      </c>
      <c r="AL149" s="38">
        <f t="shared" si="123"/>
        <v>1.4776524489207432E-2</v>
      </c>
      <c r="AM149" s="38">
        <f t="shared" si="124"/>
        <v>0</v>
      </c>
      <c r="AN149" s="38">
        <f t="shared" si="125"/>
        <v>0</v>
      </c>
      <c r="AO149" s="38">
        <f t="shared" si="126"/>
        <v>0</v>
      </c>
      <c r="AP149" s="38">
        <f t="shared" si="127"/>
        <v>5.012653226222568</v>
      </c>
      <c r="AQ149" s="38">
        <f t="shared" si="128"/>
        <v>3.9818984089924623</v>
      </c>
      <c r="AR149" s="38">
        <f t="shared" si="129"/>
        <v>1.0166458467276069</v>
      </c>
      <c r="AS149" s="40"/>
      <c r="AT149" s="38">
        <f t="shared" si="130"/>
        <v>2.4845250583971499</v>
      </c>
      <c r="AU149" s="38">
        <f t="shared" si="131"/>
        <v>0</v>
      </c>
      <c r="AV149" s="38">
        <f t="shared" si="132"/>
        <v>1.4873220146878747</v>
      </c>
      <c r="AW149" s="38">
        <f t="shared" si="133"/>
        <v>0</v>
      </c>
      <c r="AX149" s="38">
        <f t="shared" si="134"/>
        <v>0</v>
      </c>
      <c r="AY149" s="38">
        <f t="shared" si="135"/>
        <v>1.4073355831489638E-2</v>
      </c>
      <c r="AZ149" s="38">
        <f t="shared" si="136"/>
        <v>0</v>
      </c>
      <c r="BA149" s="38">
        <f t="shared" si="137"/>
        <v>0</v>
      </c>
      <c r="BB149" s="38">
        <f t="shared" si="138"/>
        <v>0.51731932368257927</v>
      </c>
      <c r="BC149" s="38">
        <f t="shared" si="139"/>
        <v>0.48202102266069585</v>
      </c>
      <c r="BD149" s="38">
        <f t="shared" si="140"/>
        <v>1.4739224740210801E-2</v>
      </c>
      <c r="BE149" s="38">
        <f t="shared" si="141"/>
        <v>0</v>
      </c>
      <c r="BF149" s="38">
        <f t="shared" si="142"/>
        <v>0</v>
      </c>
      <c r="BG149" s="38">
        <f t="shared" si="143"/>
        <v>0</v>
      </c>
      <c r="BH149" s="41">
        <f t="shared" si="144"/>
        <v>5.0000000000000009</v>
      </c>
      <c r="BI149" s="42">
        <f t="shared" si="145"/>
        <v>7.9868426199563789</v>
      </c>
      <c r="BJ149" s="38">
        <f t="shared" si="146"/>
        <v>3.9718470730850246</v>
      </c>
      <c r="BK149" s="38">
        <f t="shared" si="147"/>
        <v>1.0140795710834858</v>
      </c>
      <c r="BL149" s="16"/>
      <c r="BM149" s="16">
        <f t="shared" si="148"/>
        <v>0.51013681611774619</v>
      </c>
      <c r="BN149" s="16">
        <f t="shared" si="149"/>
        <v>0.47532859985107867</v>
      </c>
      <c r="BO149" s="16">
        <f t="shared" si="150"/>
        <v>1.453458403117497E-2</v>
      </c>
      <c r="BP149" s="15"/>
      <c r="BQ149" s="38">
        <f t="shared" si="151"/>
        <v>0.91977363515312915</v>
      </c>
      <c r="BR149" s="38">
        <f t="shared" si="152"/>
        <v>0</v>
      </c>
      <c r="BS149" s="38">
        <f t="shared" si="153"/>
        <v>0.55060808160062769</v>
      </c>
      <c r="BT149" s="38">
        <f t="shared" si="154"/>
        <v>0</v>
      </c>
      <c r="BU149" s="38">
        <f t="shared" si="155"/>
        <v>5.2099702549522741E-3</v>
      </c>
      <c r="BV149" s="38">
        <f t="shared" si="156"/>
        <v>0</v>
      </c>
      <c r="BW149" s="38">
        <f t="shared" si="157"/>
        <v>0</v>
      </c>
      <c r="BX149" s="38">
        <f t="shared" si="158"/>
        <v>0.19151212553495009</v>
      </c>
      <c r="BY149" s="38">
        <f t="shared" si="159"/>
        <v>0.17844465956760247</v>
      </c>
      <c r="BZ149" s="38">
        <f t="shared" si="160"/>
        <v>5.4564755838641191E-3</v>
      </c>
      <c r="CA149" s="38">
        <f t="shared" si="161"/>
        <v>0</v>
      </c>
      <c r="CB149" s="38">
        <f t="shared" si="162"/>
        <v>0</v>
      </c>
      <c r="CC149" s="38">
        <f t="shared" si="163"/>
        <v>0</v>
      </c>
      <c r="CD149" s="38">
        <f t="shared" si="164"/>
        <v>1.8510049476951258</v>
      </c>
      <c r="CE149" s="38">
        <f t="shared" si="165"/>
        <v>2.9541320560728352</v>
      </c>
      <c r="CF149" s="38">
        <f t="shared" si="166"/>
        <v>2.7012353512215124</v>
      </c>
      <c r="CG149" s="38">
        <f t="shared" si="167"/>
        <v>7.9798059420406338</v>
      </c>
      <c r="CH149" s="15"/>
      <c r="CI149" s="16"/>
      <c r="CJ149" s="13"/>
      <c r="CK149" s="104"/>
      <c r="CL149" s="13"/>
      <c r="CM149" s="13"/>
      <c r="CN149" s="13"/>
      <c r="CO149" s="16"/>
      <c r="CP149" s="16"/>
      <c r="CQ149" s="16"/>
      <c r="CR149" s="16"/>
      <c r="CS149" s="16"/>
      <c r="CT149" s="16"/>
      <c r="CU149" s="16"/>
      <c r="CV149" s="16"/>
      <c r="CW149" s="16"/>
      <c r="CX149" s="16"/>
      <c r="CY149" s="104"/>
      <c r="CZ149" s="104"/>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3"/>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row>
    <row r="150" spans="1:167" x14ac:dyDescent="0.25">
      <c r="A150" s="35" t="s">
        <v>87</v>
      </c>
      <c r="B150" s="15">
        <v>505</v>
      </c>
      <c r="C150" s="102" t="s">
        <v>99</v>
      </c>
      <c r="D150" s="102" t="s">
        <v>106</v>
      </c>
      <c r="E150" s="15">
        <v>158</v>
      </c>
      <c r="F150" s="16">
        <v>54.53</v>
      </c>
      <c r="G150" s="16"/>
      <c r="H150" s="16">
        <v>27.15</v>
      </c>
      <c r="I150" s="16"/>
      <c r="J150" s="16">
        <v>0.51471249887519122</v>
      </c>
      <c r="K150" s="16"/>
      <c r="L150" s="16"/>
      <c r="M150" s="16">
        <v>10.58</v>
      </c>
      <c r="N150" s="16">
        <v>5.67</v>
      </c>
      <c r="O150" s="16">
        <v>0.29399999999999998</v>
      </c>
      <c r="P150" s="16"/>
      <c r="Q150" s="16"/>
      <c r="R150" s="16"/>
      <c r="S150" s="16">
        <f t="shared" si="113"/>
        <v>98.738712498875188</v>
      </c>
      <c r="T150" s="16"/>
      <c r="U150" s="15"/>
      <c r="V150" s="15"/>
      <c r="W150" s="15"/>
      <c r="X150" s="15" t="s">
        <v>252</v>
      </c>
      <c r="Y150" s="15" t="s">
        <v>260</v>
      </c>
      <c r="Z150" s="37">
        <v>8</v>
      </c>
      <c r="AA150" s="37">
        <v>5</v>
      </c>
      <c r="AB150" s="15"/>
      <c r="AC150" s="38">
        <f t="shared" si="114"/>
        <v>2.4998968931478176</v>
      </c>
      <c r="AD150" s="38">
        <f t="shared" si="115"/>
        <v>0</v>
      </c>
      <c r="AE150" s="38">
        <f t="shared" si="116"/>
        <v>1.4668527720387401</v>
      </c>
      <c r="AF150" s="38">
        <f t="shared" si="117"/>
        <v>0</v>
      </c>
      <c r="AG150" s="38">
        <f t="shared" si="118"/>
        <v>1.9731243905448382E-2</v>
      </c>
      <c r="AH150" s="38">
        <f t="shared" si="119"/>
        <v>0</v>
      </c>
      <c r="AI150" s="38">
        <f t="shared" si="120"/>
        <v>0</v>
      </c>
      <c r="AJ150" s="38">
        <f t="shared" si="121"/>
        <v>0.51962996343693435</v>
      </c>
      <c r="AK150" s="38">
        <f t="shared" si="122"/>
        <v>0.50393904168705672</v>
      </c>
      <c r="AL150" s="38">
        <f t="shared" si="123"/>
        <v>1.7192654920684627E-2</v>
      </c>
      <c r="AM150" s="38">
        <f t="shared" si="124"/>
        <v>0</v>
      </c>
      <c r="AN150" s="38">
        <f t="shared" si="125"/>
        <v>0</v>
      </c>
      <c r="AO150" s="38">
        <f t="shared" si="126"/>
        <v>0</v>
      </c>
      <c r="AP150" s="38">
        <f t="shared" si="127"/>
        <v>5.0272425691366811</v>
      </c>
      <c r="AQ150" s="38">
        <f t="shared" si="128"/>
        <v>3.9667496651865575</v>
      </c>
      <c r="AR150" s="38">
        <f t="shared" si="129"/>
        <v>1.0407616600446759</v>
      </c>
      <c r="AS150" s="40"/>
      <c r="AT150" s="38">
        <f t="shared" si="130"/>
        <v>2.4863499808973013</v>
      </c>
      <c r="AU150" s="38">
        <f t="shared" si="131"/>
        <v>0</v>
      </c>
      <c r="AV150" s="38">
        <f t="shared" si="132"/>
        <v>1.4589039138911493</v>
      </c>
      <c r="AW150" s="38">
        <f t="shared" si="133"/>
        <v>0</v>
      </c>
      <c r="AX150" s="38">
        <f t="shared" si="134"/>
        <v>0</v>
      </c>
      <c r="AY150" s="38">
        <f t="shared" si="135"/>
        <v>1.9624320523722798E-2</v>
      </c>
      <c r="AZ150" s="38">
        <f t="shared" si="136"/>
        <v>0</v>
      </c>
      <c r="BA150" s="38">
        <f t="shared" si="137"/>
        <v>0</v>
      </c>
      <c r="BB150" s="38">
        <f t="shared" si="138"/>
        <v>0.51681409469582196</v>
      </c>
      <c r="BC150" s="38">
        <f t="shared" si="139"/>
        <v>0.50120820186880033</v>
      </c>
      <c r="BD150" s="38">
        <f t="shared" si="140"/>
        <v>1.7099488123204973E-2</v>
      </c>
      <c r="BE150" s="38">
        <f t="shared" si="141"/>
        <v>0</v>
      </c>
      <c r="BF150" s="38">
        <f t="shared" si="142"/>
        <v>0</v>
      </c>
      <c r="BG150" s="38">
        <f t="shared" si="143"/>
        <v>0</v>
      </c>
      <c r="BH150" s="41">
        <f t="shared" si="144"/>
        <v>5</v>
      </c>
      <c r="BI150" s="42">
        <f t="shared" si="145"/>
        <v>7.9664602531087354</v>
      </c>
      <c r="BJ150" s="38">
        <f t="shared" si="146"/>
        <v>3.9452538947884506</v>
      </c>
      <c r="BK150" s="38">
        <f t="shared" si="147"/>
        <v>1.0351217846878273</v>
      </c>
      <c r="BL150" s="16"/>
      <c r="BM150" s="16">
        <f t="shared" si="148"/>
        <v>0.49927854127008164</v>
      </c>
      <c r="BN150" s="16">
        <f t="shared" si="149"/>
        <v>0.4842021579325132</v>
      </c>
      <c r="BO150" s="16">
        <f t="shared" si="150"/>
        <v>1.6519300797405059E-2</v>
      </c>
      <c r="BP150" s="15"/>
      <c r="BQ150" s="38">
        <f t="shared" si="151"/>
        <v>0.90762316910785623</v>
      </c>
      <c r="BR150" s="38">
        <f t="shared" si="152"/>
        <v>0</v>
      </c>
      <c r="BS150" s="38">
        <f t="shared" si="153"/>
        <v>0.53256178893683803</v>
      </c>
      <c r="BT150" s="38">
        <f t="shared" si="154"/>
        <v>0</v>
      </c>
      <c r="BU150" s="38">
        <f t="shared" si="155"/>
        <v>7.1637091005593775E-3</v>
      </c>
      <c r="BV150" s="38">
        <f t="shared" si="156"/>
        <v>0</v>
      </c>
      <c r="BW150" s="38">
        <f t="shared" si="157"/>
        <v>0</v>
      </c>
      <c r="BX150" s="38">
        <f t="shared" si="158"/>
        <v>0.18865905848787448</v>
      </c>
      <c r="BY150" s="38">
        <f t="shared" si="159"/>
        <v>0.18296224588576962</v>
      </c>
      <c r="BZ150" s="38">
        <f t="shared" si="160"/>
        <v>6.2420382165605092E-3</v>
      </c>
      <c r="CA150" s="38">
        <f t="shared" si="161"/>
        <v>0</v>
      </c>
      <c r="CB150" s="38">
        <f t="shared" si="162"/>
        <v>0</v>
      </c>
      <c r="CC150" s="38">
        <f t="shared" si="163"/>
        <v>0</v>
      </c>
      <c r="CD150" s="38">
        <f t="shared" si="164"/>
        <v>1.8252120097354581</v>
      </c>
      <c r="CE150" s="38">
        <f t="shared" si="165"/>
        <v>2.9045139312605688</v>
      </c>
      <c r="CF150" s="38">
        <f t="shared" si="166"/>
        <v>2.7394077911665113</v>
      </c>
      <c r="CG150" s="38">
        <f t="shared" si="167"/>
        <v>7.9566480928468755</v>
      </c>
      <c r="CH150" s="15"/>
      <c r="CI150" s="16"/>
      <c r="CJ150" s="13"/>
      <c r="CK150" s="104"/>
      <c r="CL150" s="13"/>
      <c r="CM150" s="13"/>
      <c r="CN150" s="13"/>
      <c r="CO150" s="16"/>
      <c r="CP150" s="16"/>
      <c r="CQ150" s="16"/>
      <c r="CR150" s="16"/>
      <c r="CS150" s="16"/>
      <c r="CT150" s="16"/>
      <c r="CU150" s="16"/>
      <c r="CV150" s="16"/>
      <c r="CW150" s="16"/>
      <c r="CX150" s="16"/>
      <c r="CY150" s="104"/>
      <c r="CZ150" s="104"/>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3"/>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row>
    <row r="151" spans="1:167" x14ac:dyDescent="0.25">
      <c r="A151" s="35" t="s">
        <v>87</v>
      </c>
      <c r="B151" s="15">
        <v>506</v>
      </c>
      <c r="C151" s="102" t="s">
        <v>99</v>
      </c>
      <c r="D151" s="102" t="s">
        <v>106</v>
      </c>
      <c r="E151" s="15">
        <v>159</v>
      </c>
      <c r="F151" s="16">
        <v>58.63</v>
      </c>
      <c r="G151" s="16"/>
      <c r="H151" s="16">
        <v>24.13</v>
      </c>
      <c r="I151" s="16"/>
      <c r="J151" s="16">
        <v>0.35903896337622609</v>
      </c>
      <c r="K151" s="16"/>
      <c r="L151" s="16"/>
      <c r="M151" s="16">
        <v>7.14</v>
      </c>
      <c r="N151" s="16">
        <v>7.79</v>
      </c>
      <c r="O151" s="16">
        <v>0.32800000000000001</v>
      </c>
      <c r="P151" s="16"/>
      <c r="Q151" s="16"/>
      <c r="R151" s="16"/>
      <c r="S151" s="16">
        <f t="shared" si="113"/>
        <v>98.377038963376236</v>
      </c>
      <c r="T151" s="16"/>
      <c r="U151" s="15"/>
      <c r="V151" s="15"/>
      <c r="W151" s="15"/>
      <c r="X151" s="15" t="s">
        <v>252</v>
      </c>
      <c r="Y151" s="15" t="s">
        <v>260</v>
      </c>
      <c r="Z151" s="37">
        <v>8</v>
      </c>
      <c r="AA151" s="37">
        <v>5</v>
      </c>
      <c r="AB151" s="15"/>
      <c r="AC151" s="38">
        <f t="shared" si="114"/>
        <v>2.6706790455033249</v>
      </c>
      <c r="AD151" s="38">
        <f t="shared" si="115"/>
        <v>0</v>
      </c>
      <c r="AE151" s="38">
        <f t="shared" si="116"/>
        <v>1.29535623388582</v>
      </c>
      <c r="AF151" s="38">
        <f t="shared" si="117"/>
        <v>0</v>
      </c>
      <c r="AG151" s="38">
        <f t="shared" si="118"/>
        <v>1.3675604661189958E-2</v>
      </c>
      <c r="AH151" s="38">
        <f t="shared" si="119"/>
        <v>0</v>
      </c>
      <c r="AI151" s="38">
        <f t="shared" si="120"/>
        <v>0</v>
      </c>
      <c r="AJ151" s="38">
        <f t="shared" si="121"/>
        <v>0.34843513036626356</v>
      </c>
      <c r="AK151" s="38">
        <f t="shared" si="122"/>
        <v>0.68793532405512148</v>
      </c>
      <c r="AL151" s="38">
        <f t="shared" si="123"/>
        <v>1.9058322219213959E-2</v>
      </c>
      <c r="AM151" s="38">
        <f t="shared" si="124"/>
        <v>0</v>
      </c>
      <c r="AN151" s="38">
        <f t="shared" si="125"/>
        <v>0</v>
      </c>
      <c r="AO151" s="38">
        <f t="shared" si="126"/>
        <v>0</v>
      </c>
      <c r="AP151" s="38">
        <f t="shared" si="127"/>
        <v>5.0351396606909349</v>
      </c>
      <c r="AQ151" s="38">
        <f t="shared" si="128"/>
        <v>3.9660352793891449</v>
      </c>
      <c r="AR151" s="38">
        <f t="shared" si="129"/>
        <v>1.055428776640599</v>
      </c>
      <c r="AS151" s="40"/>
      <c r="AT151" s="38">
        <f t="shared" si="130"/>
        <v>2.6520406835516135</v>
      </c>
      <c r="AU151" s="38">
        <f t="shared" si="131"/>
        <v>0</v>
      </c>
      <c r="AV151" s="38">
        <f t="shared" si="132"/>
        <v>1.2863160916851988</v>
      </c>
      <c r="AW151" s="38">
        <f t="shared" si="133"/>
        <v>0</v>
      </c>
      <c r="AX151" s="38">
        <f t="shared" si="134"/>
        <v>0</v>
      </c>
      <c r="AY151" s="38">
        <f t="shared" si="135"/>
        <v>1.3580164188845318E-2</v>
      </c>
      <c r="AZ151" s="38">
        <f t="shared" si="136"/>
        <v>0</v>
      </c>
      <c r="BA151" s="38">
        <f t="shared" si="137"/>
        <v>0</v>
      </c>
      <c r="BB151" s="38">
        <f t="shared" si="138"/>
        <v>0.34600344165870706</v>
      </c>
      <c r="BC151" s="38">
        <f t="shared" si="139"/>
        <v>0.68313430253563356</v>
      </c>
      <c r="BD151" s="38">
        <f t="shared" si="140"/>
        <v>1.8925316380001594E-2</v>
      </c>
      <c r="BE151" s="38">
        <f t="shared" si="141"/>
        <v>0</v>
      </c>
      <c r="BF151" s="38">
        <f t="shared" si="142"/>
        <v>0</v>
      </c>
      <c r="BG151" s="38">
        <f t="shared" si="143"/>
        <v>0</v>
      </c>
      <c r="BH151" s="41">
        <f t="shared" si="144"/>
        <v>5</v>
      </c>
      <c r="BI151" s="42">
        <f t="shared" si="145"/>
        <v>7.9509590020308183</v>
      </c>
      <c r="BJ151" s="38">
        <f t="shared" si="146"/>
        <v>3.9383567752368123</v>
      </c>
      <c r="BK151" s="38">
        <f t="shared" si="147"/>
        <v>1.0480630605743422</v>
      </c>
      <c r="BL151" s="16"/>
      <c r="BM151" s="16">
        <f t="shared" si="148"/>
        <v>0.33013609073207484</v>
      </c>
      <c r="BN151" s="16">
        <f t="shared" si="149"/>
        <v>0.65180648782838846</v>
      </c>
      <c r="BO151" s="16">
        <f t="shared" si="150"/>
        <v>1.8057421439536713E-2</v>
      </c>
      <c r="BP151" s="15"/>
      <c r="BQ151" s="38">
        <f t="shared" si="151"/>
        <v>0.97586551264980037</v>
      </c>
      <c r="BR151" s="38">
        <f t="shared" si="152"/>
        <v>0</v>
      </c>
      <c r="BS151" s="38">
        <f t="shared" si="153"/>
        <v>0.4733228717143978</v>
      </c>
      <c r="BT151" s="38">
        <f t="shared" si="154"/>
        <v>0</v>
      </c>
      <c r="BU151" s="38">
        <f t="shared" si="155"/>
        <v>4.9970628166489369E-3</v>
      </c>
      <c r="BV151" s="38">
        <f t="shared" si="156"/>
        <v>0</v>
      </c>
      <c r="BW151" s="38">
        <f t="shared" si="157"/>
        <v>0</v>
      </c>
      <c r="BX151" s="38">
        <f t="shared" si="158"/>
        <v>0.12731811697574894</v>
      </c>
      <c r="BY151" s="38">
        <f t="shared" si="159"/>
        <v>0.25137141013230074</v>
      </c>
      <c r="BZ151" s="38">
        <f t="shared" si="160"/>
        <v>6.9639065817409763E-3</v>
      </c>
      <c r="CA151" s="38">
        <f t="shared" si="161"/>
        <v>0</v>
      </c>
      <c r="CB151" s="38">
        <f t="shared" si="162"/>
        <v>0</v>
      </c>
      <c r="CC151" s="38">
        <f t="shared" si="163"/>
        <v>0</v>
      </c>
      <c r="CD151" s="38">
        <f t="shared" si="164"/>
        <v>1.8398388808706378</v>
      </c>
      <c r="CE151" s="38">
        <f t="shared" si="165"/>
        <v>2.9231981710206161</v>
      </c>
      <c r="CF151" s="38">
        <f t="shared" si="166"/>
        <v>2.7176292728599849</v>
      </c>
      <c r="CG151" s="38">
        <f t="shared" si="167"/>
        <v>7.944168919936395</v>
      </c>
      <c r="CH151" s="15"/>
      <c r="CI151" s="16"/>
      <c r="CJ151" s="13"/>
      <c r="CK151" s="104"/>
      <c r="CL151" s="13"/>
      <c r="CM151" s="13"/>
      <c r="CN151" s="13"/>
      <c r="CO151" s="16"/>
      <c r="CP151" s="16"/>
      <c r="CQ151" s="16"/>
      <c r="CR151" s="16"/>
      <c r="CS151" s="16"/>
      <c r="CT151" s="16"/>
      <c r="CU151" s="16"/>
      <c r="CV151" s="16"/>
      <c r="CW151" s="16"/>
      <c r="CX151" s="16"/>
      <c r="CY151" s="104"/>
      <c r="CZ151" s="104"/>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3"/>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row>
    <row r="152" spans="1:167" x14ac:dyDescent="0.25">
      <c r="A152" s="35" t="s">
        <v>86</v>
      </c>
      <c r="B152" s="15">
        <v>550</v>
      </c>
      <c r="C152" s="102" t="s">
        <v>96</v>
      </c>
      <c r="D152" s="102" t="s">
        <v>105</v>
      </c>
      <c r="E152" s="15">
        <v>61</v>
      </c>
      <c r="F152" s="16">
        <v>66.8</v>
      </c>
      <c r="G152" s="16">
        <v>0</v>
      </c>
      <c r="H152" s="16">
        <v>18.77</v>
      </c>
      <c r="I152" s="16">
        <v>0</v>
      </c>
      <c r="J152" s="16">
        <v>0.21956267434536128</v>
      </c>
      <c r="K152" s="16">
        <v>0</v>
      </c>
      <c r="L152" s="16">
        <v>0</v>
      </c>
      <c r="M152" s="16">
        <v>0.23499999999999999</v>
      </c>
      <c r="N152" s="16">
        <v>6.26</v>
      </c>
      <c r="O152" s="16">
        <v>8.27</v>
      </c>
      <c r="P152" s="16"/>
      <c r="Q152" s="16"/>
      <c r="R152" s="16"/>
      <c r="S152" s="16">
        <f t="shared" si="113"/>
        <v>100.55456267434535</v>
      </c>
      <c r="T152" s="16"/>
      <c r="U152" s="15"/>
      <c r="V152" s="15"/>
      <c r="W152" s="15"/>
      <c r="X152" s="15" t="s">
        <v>187</v>
      </c>
      <c r="Y152" s="15"/>
      <c r="Z152" s="37">
        <v>8</v>
      </c>
      <c r="AA152" s="37">
        <v>5</v>
      </c>
      <c r="AB152" s="15"/>
      <c r="AC152" s="38">
        <f t="shared" si="114"/>
        <v>2.9928532981135567</v>
      </c>
      <c r="AD152" s="38">
        <f t="shared" si="115"/>
        <v>0</v>
      </c>
      <c r="AE152" s="38">
        <f t="shared" si="116"/>
        <v>0.9910677231789663</v>
      </c>
      <c r="AF152" s="38">
        <f t="shared" si="117"/>
        <v>0</v>
      </c>
      <c r="AG152" s="38">
        <f t="shared" si="118"/>
        <v>8.2256576519931773E-3</v>
      </c>
      <c r="AH152" s="38">
        <f t="shared" si="119"/>
        <v>0</v>
      </c>
      <c r="AI152" s="38">
        <f t="shared" si="120"/>
        <v>0</v>
      </c>
      <c r="AJ152" s="38">
        <f t="shared" si="121"/>
        <v>1.1279731143652163E-2</v>
      </c>
      <c r="AK152" s="38">
        <f t="shared" si="122"/>
        <v>0.5437404569868719</v>
      </c>
      <c r="AL152" s="38">
        <f t="shared" si="123"/>
        <v>0.47263240343071139</v>
      </c>
      <c r="AM152" s="38">
        <f t="shared" si="124"/>
        <v>0</v>
      </c>
      <c r="AN152" s="38">
        <f t="shared" si="125"/>
        <v>0</v>
      </c>
      <c r="AO152" s="38">
        <f t="shared" si="126"/>
        <v>0</v>
      </c>
      <c r="AP152" s="38">
        <f t="shared" si="127"/>
        <v>5.019799270505751</v>
      </c>
      <c r="AQ152" s="38">
        <f t="shared" si="128"/>
        <v>3.9839210212925229</v>
      </c>
      <c r="AR152" s="38">
        <f t="shared" si="129"/>
        <v>1.0276525915612356</v>
      </c>
      <c r="AS152" s="40"/>
      <c r="AT152" s="38">
        <f t="shared" si="130"/>
        <v>2.9810487798768319</v>
      </c>
      <c r="AU152" s="38">
        <f t="shared" si="131"/>
        <v>0</v>
      </c>
      <c r="AV152" s="38">
        <f t="shared" si="132"/>
        <v>0.98715871867832161</v>
      </c>
      <c r="AW152" s="38">
        <f t="shared" si="133"/>
        <v>0</v>
      </c>
      <c r="AX152" s="38">
        <f t="shared" si="134"/>
        <v>0</v>
      </c>
      <c r="AY152" s="38">
        <f t="shared" si="135"/>
        <v>8.1932137210383223E-3</v>
      </c>
      <c r="AZ152" s="38">
        <f t="shared" si="136"/>
        <v>0</v>
      </c>
      <c r="BA152" s="38">
        <f t="shared" si="137"/>
        <v>0</v>
      </c>
      <c r="BB152" s="38">
        <f t="shared" si="138"/>
        <v>1.1235241227599639E-2</v>
      </c>
      <c r="BC152" s="38">
        <f t="shared" si="139"/>
        <v>0.5415958165714555</v>
      </c>
      <c r="BD152" s="38">
        <f t="shared" si="140"/>
        <v>0.47076822992475259</v>
      </c>
      <c r="BE152" s="38">
        <f t="shared" si="141"/>
        <v>0</v>
      </c>
      <c r="BF152" s="38">
        <f t="shared" si="142"/>
        <v>0</v>
      </c>
      <c r="BG152" s="38">
        <f t="shared" si="143"/>
        <v>0</v>
      </c>
      <c r="BH152" s="41">
        <f t="shared" si="144"/>
        <v>5</v>
      </c>
      <c r="BI152" s="42">
        <f t="shared" si="145"/>
        <v>7.9725427228284076</v>
      </c>
      <c r="BJ152" s="38">
        <f t="shared" si="146"/>
        <v>3.9682074985551536</v>
      </c>
      <c r="BK152" s="38">
        <f t="shared" si="147"/>
        <v>1.0235992877238078</v>
      </c>
      <c r="BL152" s="16"/>
      <c r="BM152" s="16">
        <f t="shared" si="148"/>
        <v>1.0976210478402738E-2</v>
      </c>
      <c r="BN152" s="16">
        <f t="shared" si="149"/>
        <v>0.52910921594700377</v>
      </c>
      <c r="BO152" s="16">
        <f t="shared" si="150"/>
        <v>0.45991457357459331</v>
      </c>
      <c r="BP152" s="15"/>
      <c r="BQ152" s="38">
        <f t="shared" si="151"/>
        <v>1.1118508655126498</v>
      </c>
      <c r="BR152" s="38">
        <f t="shared" si="152"/>
        <v>0</v>
      </c>
      <c r="BS152" s="38">
        <f t="shared" si="153"/>
        <v>0.3681836014123186</v>
      </c>
      <c r="BT152" s="38">
        <f t="shared" si="154"/>
        <v>0</v>
      </c>
      <c r="BU152" s="38">
        <f t="shared" si="155"/>
        <v>3.0558479380008532E-3</v>
      </c>
      <c r="BV152" s="38">
        <f t="shared" si="156"/>
        <v>0</v>
      </c>
      <c r="BW152" s="38">
        <f t="shared" si="157"/>
        <v>0</v>
      </c>
      <c r="BX152" s="38">
        <f t="shared" si="158"/>
        <v>4.1904422253922968E-3</v>
      </c>
      <c r="BY152" s="38">
        <f t="shared" si="159"/>
        <v>0.20200064536947401</v>
      </c>
      <c r="BZ152" s="38">
        <f t="shared" si="160"/>
        <v>0.17558386411889595</v>
      </c>
      <c r="CA152" s="38">
        <f t="shared" si="161"/>
        <v>0</v>
      </c>
      <c r="CB152" s="38">
        <f t="shared" si="162"/>
        <v>0</v>
      </c>
      <c r="CC152" s="38">
        <f t="shared" si="163"/>
        <v>0</v>
      </c>
      <c r="CD152" s="38">
        <f t="shared" si="164"/>
        <v>1.8648652665767316</v>
      </c>
      <c r="CE152" s="38">
        <f t="shared" si="165"/>
        <v>2.9720156780513558</v>
      </c>
      <c r="CF152" s="38">
        <f t="shared" si="166"/>
        <v>2.6811588427395221</v>
      </c>
      <c r="CG152" s="38">
        <f t="shared" si="167"/>
        <v>7.9684461159678888</v>
      </c>
      <c r="CH152" s="15"/>
      <c r="CI152" s="16"/>
      <c r="CJ152" s="13"/>
      <c r="CK152" s="104"/>
      <c r="CL152" s="13"/>
      <c r="CM152" s="13"/>
      <c r="CN152" s="13"/>
      <c r="CO152" s="16"/>
      <c r="CP152" s="16"/>
      <c r="CQ152" s="16"/>
      <c r="CR152" s="16"/>
      <c r="CS152" s="16"/>
      <c r="CT152" s="16"/>
      <c r="CU152" s="16"/>
      <c r="CV152" s="16"/>
      <c r="CW152" s="16"/>
      <c r="CX152" s="16"/>
      <c r="CY152" s="104"/>
      <c r="CZ152" s="104"/>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3"/>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row>
    <row r="153" spans="1:167" x14ac:dyDescent="0.25">
      <c r="A153" s="35" t="s">
        <v>86</v>
      </c>
      <c r="B153" s="15">
        <v>551</v>
      </c>
      <c r="C153" s="102" t="s">
        <v>96</v>
      </c>
      <c r="D153" s="102" t="s">
        <v>105</v>
      </c>
      <c r="E153" s="15">
        <v>62</v>
      </c>
      <c r="F153" s="16">
        <v>66.63</v>
      </c>
      <c r="G153" s="16">
        <v>0</v>
      </c>
      <c r="H153" s="16">
        <v>18.79</v>
      </c>
      <c r="I153" s="16">
        <v>0</v>
      </c>
      <c r="J153" s="16">
        <v>0.14937460631692615</v>
      </c>
      <c r="K153" s="16">
        <v>0</v>
      </c>
      <c r="L153" s="16">
        <v>0</v>
      </c>
      <c r="M153" s="16">
        <v>0.188</v>
      </c>
      <c r="N153" s="16">
        <v>6.56</v>
      </c>
      <c r="O153" s="16">
        <v>8.0500000000000007</v>
      </c>
      <c r="P153" s="16"/>
      <c r="Q153" s="16"/>
      <c r="R153" s="16"/>
      <c r="S153" s="16">
        <f t="shared" si="113"/>
        <v>100.36737460631691</v>
      </c>
      <c r="T153" s="16"/>
      <c r="U153" s="15"/>
      <c r="V153" s="15"/>
      <c r="W153" s="15"/>
      <c r="X153" s="15" t="s">
        <v>187</v>
      </c>
      <c r="Y153" s="15"/>
      <c r="Z153" s="37">
        <v>8</v>
      </c>
      <c r="AA153" s="37">
        <v>5</v>
      </c>
      <c r="AB153" s="15"/>
      <c r="AC153" s="38">
        <f t="shared" si="114"/>
        <v>2.9896435374291368</v>
      </c>
      <c r="AD153" s="38">
        <f t="shared" si="115"/>
        <v>0</v>
      </c>
      <c r="AE153" s="38">
        <f t="shared" si="116"/>
        <v>0.99358830063372994</v>
      </c>
      <c r="AF153" s="38">
        <f t="shared" si="117"/>
        <v>0</v>
      </c>
      <c r="AG153" s="38">
        <f t="shared" si="118"/>
        <v>5.6044051226086036E-3</v>
      </c>
      <c r="AH153" s="38">
        <f t="shared" si="119"/>
        <v>0</v>
      </c>
      <c r="AI153" s="38">
        <f t="shared" si="120"/>
        <v>0</v>
      </c>
      <c r="AJ153" s="38">
        <f t="shared" si="121"/>
        <v>9.037105752583572E-3</v>
      </c>
      <c r="AK153" s="38">
        <f t="shared" si="122"/>
        <v>0.5706394379738241</v>
      </c>
      <c r="AL153" s="38">
        <f t="shared" si="123"/>
        <v>0.46073848865805417</v>
      </c>
      <c r="AM153" s="38">
        <f t="shared" si="124"/>
        <v>0</v>
      </c>
      <c r="AN153" s="38">
        <f t="shared" si="125"/>
        <v>0</v>
      </c>
      <c r="AO153" s="38">
        <f t="shared" si="126"/>
        <v>0</v>
      </c>
      <c r="AP153" s="38">
        <f t="shared" si="127"/>
        <v>5.0292512755699379</v>
      </c>
      <c r="AQ153" s="38">
        <f t="shared" si="128"/>
        <v>3.9832318380628666</v>
      </c>
      <c r="AR153" s="38">
        <f t="shared" si="129"/>
        <v>1.0404150323844619</v>
      </c>
      <c r="AS153" s="40"/>
      <c r="AT153" s="38">
        <f t="shared" si="130"/>
        <v>2.9722550869068849</v>
      </c>
      <c r="AU153" s="38">
        <f t="shared" si="131"/>
        <v>0</v>
      </c>
      <c r="AV153" s="38">
        <f t="shared" si="132"/>
        <v>0.98780936385121476</v>
      </c>
      <c r="AW153" s="38">
        <f t="shared" si="133"/>
        <v>0</v>
      </c>
      <c r="AX153" s="38">
        <f t="shared" si="134"/>
        <v>0</v>
      </c>
      <c r="AY153" s="38">
        <f t="shared" si="135"/>
        <v>5.5718086207310136E-3</v>
      </c>
      <c r="AZ153" s="38">
        <f t="shared" si="136"/>
        <v>0</v>
      </c>
      <c r="BA153" s="38">
        <f t="shared" si="137"/>
        <v>0</v>
      </c>
      <c r="BB153" s="38">
        <f t="shared" si="138"/>
        <v>8.9845438788097223E-3</v>
      </c>
      <c r="BC153" s="38">
        <f t="shared" si="139"/>
        <v>0.56732046850170237</v>
      </c>
      <c r="BD153" s="38">
        <f t="shared" si="140"/>
        <v>0.45805872824065774</v>
      </c>
      <c r="BE153" s="38">
        <f t="shared" si="141"/>
        <v>0</v>
      </c>
      <c r="BF153" s="38">
        <f t="shared" si="142"/>
        <v>0</v>
      </c>
      <c r="BG153" s="38">
        <f t="shared" si="143"/>
        <v>0</v>
      </c>
      <c r="BH153" s="41">
        <f t="shared" si="144"/>
        <v>5.0000000000000009</v>
      </c>
      <c r="BI153" s="42">
        <f t="shared" si="145"/>
        <v>7.9562560747716775</v>
      </c>
      <c r="BJ153" s="38">
        <f t="shared" si="146"/>
        <v>3.9600644507580998</v>
      </c>
      <c r="BK153" s="38">
        <f t="shared" si="147"/>
        <v>1.0343637406211699</v>
      </c>
      <c r="BL153" s="16"/>
      <c r="BM153" s="16">
        <f t="shared" si="148"/>
        <v>8.6860584202363908E-3</v>
      </c>
      <c r="BN153" s="16">
        <f t="shared" si="149"/>
        <v>0.54847288842608455</v>
      </c>
      <c r="BO153" s="16">
        <f t="shared" si="150"/>
        <v>0.44284105315367905</v>
      </c>
      <c r="BP153" s="15"/>
      <c r="BQ153" s="38">
        <f t="shared" si="151"/>
        <v>1.1090213049267643</v>
      </c>
      <c r="BR153" s="38">
        <f t="shared" si="152"/>
        <v>0</v>
      </c>
      <c r="BS153" s="38">
        <f t="shared" si="153"/>
        <v>0.36857591212240093</v>
      </c>
      <c r="BT153" s="38">
        <f t="shared" si="154"/>
        <v>0</v>
      </c>
      <c r="BU153" s="38">
        <f t="shared" si="155"/>
        <v>2.0789785151973019E-3</v>
      </c>
      <c r="BV153" s="38">
        <f t="shared" si="156"/>
        <v>0</v>
      </c>
      <c r="BW153" s="38">
        <f t="shared" si="157"/>
        <v>0</v>
      </c>
      <c r="BX153" s="38">
        <f t="shared" si="158"/>
        <v>3.3523537803138376E-3</v>
      </c>
      <c r="BY153" s="38">
        <f t="shared" si="159"/>
        <v>0.21168118747983219</v>
      </c>
      <c r="BZ153" s="38">
        <f t="shared" si="160"/>
        <v>0.17091295116772826</v>
      </c>
      <c r="CA153" s="38">
        <f t="shared" si="161"/>
        <v>0</v>
      </c>
      <c r="CB153" s="38">
        <f t="shared" si="162"/>
        <v>0</v>
      </c>
      <c r="CC153" s="38">
        <f t="shared" si="163"/>
        <v>0</v>
      </c>
      <c r="CD153" s="38">
        <f t="shared" si="164"/>
        <v>1.8656226879922366</v>
      </c>
      <c r="CE153" s="38">
        <f t="shared" si="165"/>
        <v>2.9676348796564214</v>
      </c>
      <c r="CF153" s="38">
        <f t="shared" si="166"/>
        <v>2.6800703229981337</v>
      </c>
      <c r="CG153" s="38">
        <f t="shared" si="167"/>
        <v>7.9534701704613129</v>
      </c>
      <c r="CH153" s="15"/>
      <c r="CI153" s="16"/>
      <c r="CJ153" s="13"/>
      <c r="CK153" s="104"/>
      <c r="CL153" s="13"/>
      <c r="CM153" s="13"/>
      <c r="CN153" s="13"/>
      <c r="CO153" s="16"/>
      <c r="CP153" s="16"/>
      <c r="CQ153" s="16"/>
      <c r="CR153" s="16"/>
      <c r="CS153" s="16"/>
      <c r="CT153" s="16"/>
      <c r="CU153" s="16"/>
      <c r="CV153" s="16"/>
      <c r="CW153" s="16"/>
      <c r="CX153" s="16"/>
      <c r="CY153" s="104"/>
      <c r="CZ153" s="104"/>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3"/>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row>
    <row r="154" spans="1:167" x14ac:dyDescent="0.25">
      <c r="A154" s="35" t="s">
        <v>86</v>
      </c>
      <c r="B154" s="15">
        <v>554</v>
      </c>
      <c r="C154" s="102" t="s">
        <v>96</v>
      </c>
      <c r="D154" s="102" t="s">
        <v>105</v>
      </c>
      <c r="E154" s="15">
        <v>65</v>
      </c>
      <c r="F154" s="16">
        <v>59.37</v>
      </c>
      <c r="G154" s="16">
        <v>0</v>
      </c>
      <c r="H154" s="16">
        <v>24.76</v>
      </c>
      <c r="I154" s="16">
        <v>0</v>
      </c>
      <c r="J154" s="16">
        <v>0.37703590389633762</v>
      </c>
      <c r="K154" s="16">
        <v>0</v>
      </c>
      <c r="L154" s="16">
        <v>0</v>
      </c>
      <c r="M154" s="16">
        <v>6.66</v>
      </c>
      <c r="N154" s="16">
        <v>8.07</v>
      </c>
      <c r="O154" s="16">
        <v>0.49099999999999999</v>
      </c>
      <c r="P154" s="16"/>
      <c r="Q154" s="16"/>
      <c r="R154" s="16"/>
      <c r="S154" s="16">
        <f t="shared" si="113"/>
        <v>99.728035903896327</v>
      </c>
      <c r="T154" s="16"/>
      <c r="U154" s="15"/>
      <c r="V154" s="15"/>
      <c r="W154" s="15"/>
      <c r="X154" s="15" t="s">
        <v>187</v>
      </c>
      <c r="Y154" s="15"/>
      <c r="Z154" s="37">
        <v>8</v>
      </c>
      <c r="AA154" s="37">
        <v>5</v>
      </c>
      <c r="AB154" s="15"/>
      <c r="AC154" s="38">
        <f t="shared" si="114"/>
        <v>2.6668820030135025</v>
      </c>
      <c r="AD154" s="38">
        <f t="shared" si="115"/>
        <v>0</v>
      </c>
      <c r="AE154" s="38">
        <f t="shared" si="116"/>
        <v>1.3107428124602261</v>
      </c>
      <c r="AF154" s="38">
        <f t="shared" si="117"/>
        <v>0</v>
      </c>
      <c r="AG154" s="38">
        <f t="shared" si="118"/>
        <v>1.4161935492420254E-2</v>
      </c>
      <c r="AH154" s="38">
        <f t="shared" si="119"/>
        <v>0</v>
      </c>
      <c r="AI154" s="38">
        <f t="shared" si="120"/>
        <v>0</v>
      </c>
      <c r="AJ154" s="38">
        <f t="shared" si="121"/>
        <v>0.32050359106309345</v>
      </c>
      <c r="AK154" s="38">
        <f t="shared" si="122"/>
        <v>0.70277877098600783</v>
      </c>
      <c r="AL154" s="38">
        <f t="shared" si="123"/>
        <v>2.8133726468276478E-2</v>
      </c>
      <c r="AM154" s="38">
        <f t="shared" si="124"/>
        <v>0</v>
      </c>
      <c r="AN154" s="38">
        <f t="shared" si="125"/>
        <v>0</v>
      </c>
      <c r="AO154" s="38">
        <f t="shared" si="126"/>
        <v>0</v>
      </c>
      <c r="AP154" s="38">
        <f t="shared" si="127"/>
        <v>5.0432028394835262</v>
      </c>
      <c r="AQ154" s="38">
        <f t="shared" si="128"/>
        <v>3.9776248154737286</v>
      </c>
      <c r="AR154" s="38">
        <f t="shared" si="129"/>
        <v>1.0514160885173778</v>
      </c>
      <c r="AS154" s="40"/>
      <c r="AT154" s="38">
        <f t="shared" si="130"/>
        <v>2.6440360301734538</v>
      </c>
      <c r="AU154" s="38">
        <f t="shared" si="131"/>
        <v>0</v>
      </c>
      <c r="AV154" s="38">
        <f t="shared" si="132"/>
        <v>1.2995142711674661</v>
      </c>
      <c r="AW154" s="38">
        <f t="shared" si="133"/>
        <v>0</v>
      </c>
      <c r="AX154" s="38">
        <f t="shared" si="134"/>
        <v>0</v>
      </c>
      <c r="AY154" s="38">
        <f t="shared" si="135"/>
        <v>1.4040616591450223E-2</v>
      </c>
      <c r="AZ154" s="38">
        <f t="shared" si="136"/>
        <v>0</v>
      </c>
      <c r="BA154" s="38">
        <f t="shared" si="137"/>
        <v>0</v>
      </c>
      <c r="BB154" s="38">
        <f t="shared" si="138"/>
        <v>0.31775798164794433</v>
      </c>
      <c r="BC154" s="38">
        <f t="shared" si="139"/>
        <v>0.69675838287121061</v>
      </c>
      <c r="BD154" s="38">
        <f t="shared" si="140"/>
        <v>2.7892717548475256E-2</v>
      </c>
      <c r="BE154" s="38">
        <f t="shared" si="141"/>
        <v>0</v>
      </c>
      <c r="BF154" s="38">
        <f t="shared" si="142"/>
        <v>0</v>
      </c>
      <c r="BG154" s="38">
        <f t="shared" si="143"/>
        <v>0</v>
      </c>
      <c r="BH154" s="41">
        <f t="shared" si="144"/>
        <v>5</v>
      </c>
      <c r="BI154" s="42">
        <f t="shared" si="145"/>
        <v>7.9384879238430699</v>
      </c>
      <c r="BJ154" s="38">
        <f t="shared" si="146"/>
        <v>3.9435503013409199</v>
      </c>
      <c r="BK154" s="38">
        <f t="shared" si="147"/>
        <v>1.0424090820676302</v>
      </c>
      <c r="BL154" s="16"/>
      <c r="BM154" s="16">
        <f t="shared" si="148"/>
        <v>0.30483040402686035</v>
      </c>
      <c r="BN154" s="16">
        <f t="shared" si="149"/>
        <v>0.66841165801163438</v>
      </c>
      <c r="BO154" s="16">
        <f t="shared" si="150"/>
        <v>2.6757937961505222E-2</v>
      </c>
      <c r="BP154" s="15"/>
      <c r="BQ154" s="38">
        <f t="shared" si="151"/>
        <v>0.9881824234354194</v>
      </c>
      <c r="BR154" s="38">
        <f t="shared" si="152"/>
        <v>0</v>
      </c>
      <c r="BS154" s="38">
        <f t="shared" si="153"/>
        <v>0.48568065908199298</v>
      </c>
      <c r="BT154" s="38">
        <f t="shared" si="154"/>
        <v>0</v>
      </c>
      <c r="BU154" s="38">
        <f t="shared" si="155"/>
        <v>5.2475421558293338E-3</v>
      </c>
      <c r="BV154" s="38">
        <f t="shared" si="156"/>
        <v>0</v>
      </c>
      <c r="BW154" s="38">
        <f t="shared" si="157"/>
        <v>0</v>
      </c>
      <c r="BX154" s="38">
        <f t="shared" si="158"/>
        <v>0.11875891583452211</v>
      </c>
      <c r="BY154" s="38">
        <f t="shared" si="159"/>
        <v>0.26040658276863504</v>
      </c>
      <c r="BZ154" s="38">
        <f t="shared" si="160"/>
        <v>1.0424628450106157E-2</v>
      </c>
      <c r="CA154" s="38">
        <f t="shared" si="161"/>
        <v>0</v>
      </c>
      <c r="CB154" s="38">
        <f t="shared" si="162"/>
        <v>0</v>
      </c>
      <c r="CC154" s="38">
        <f t="shared" si="163"/>
        <v>0</v>
      </c>
      <c r="CD154" s="38">
        <f t="shared" si="164"/>
        <v>1.8687007517265051</v>
      </c>
      <c r="CE154" s="38">
        <f t="shared" si="165"/>
        <v>2.9643078990935505</v>
      </c>
      <c r="CF154" s="38">
        <f t="shared" si="166"/>
        <v>2.6756557974199278</v>
      </c>
      <c r="CG154" s="38">
        <f t="shared" si="167"/>
        <v>7.9314676155473443</v>
      </c>
      <c r="CH154" s="15"/>
      <c r="CI154" s="16"/>
      <c r="CJ154" s="13"/>
      <c r="CK154" s="104"/>
      <c r="CL154" s="13"/>
      <c r="CM154" s="13"/>
      <c r="CN154" s="13"/>
      <c r="CO154" s="16"/>
      <c r="CP154" s="16"/>
      <c r="CQ154" s="16"/>
      <c r="CR154" s="16"/>
      <c r="CS154" s="16"/>
      <c r="CT154" s="16"/>
      <c r="CU154" s="16"/>
      <c r="CV154" s="16"/>
      <c r="CW154" s="16"/>
      <c r="CX154" s="16"/>
      <c r="CY154" s="104"/>
      <c r="CZ154" s="104"/>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3"/>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row>
    <row r="155" spans="1:167" x14ac:dyDescent="0.25">
      <c r="A155" s="35" t="s">
        <v>86</v>
      </c>
      <c r="B155" s="15">
        <v>555</v>
      </c>
      <c r="C155" s="102" t="s">
        <v>96</v>
      </c>
      <c r="D155" s="102" t="s">
        <v>105</v>
      </c>
      <c r="E155" s="15">
        <v>66</v>
      </c>
      <c r="F155" s="16">
        <v>67.400000000000006</v>
      </c>
      <c r="G155" s="16">
        <v>0</v>
      </c>
      <c r="H155" s="16">
        <v>18.61</v>
      </c>
      <c r="I155" s="16">
        <v>0</v>
      </c>
      <c r="J155" s="16">
        <v>0.28525150724376858</v>
      </c>
      <c r="K155" s="16">
        <v>0</v>
      </c>
      <c r="L155" s="16">
        <v>0</v>
      </c>
      <c r="M155" s="16">
        <v>0.40200000000000002</v>
      </c>
      <c r="N155" s="16">
        <v>7.01</v>
      </c>
      <c r="O155" s="16">
        <v>6.99</v>
      </c>
      <c r="P155" s="16"/>
      <c r="Q155" s="16"/>
      <c r="R155" s="16"/>
      <c r="S155" s="16">
        <f t="shared" si="113"/>
        <v>100.69725150724378</v>
      </c>
      <c r="T155" s="16"/>
      <c r="U155" s="15"/>
      <c r="V155" s="15"/>
      <c r="W155" s="15"/>
      <c r="X155" s="15" t="s">
        <v>187</v>
      </c>
      <c r="Y155" s="15"/>
      <c r="Z155" s="37">
        <v>8</v>
      </c>
      <c r="AA155" s="37">
        <v>5</v>
      </c>
      <c r="AB155" s="15"/>
      <c r="AC155" s="38">
        <f t="shared" si="114"/>
        <v>3.0018872642972063</v>
      </c>
      <c r="AD155" s="38">
        <f t="shared" si="115"/>
        <v>0</v>
      </c>
      <c r="AE155" s="38">
        <f t="shared" si="116"/>
        <v>0.97681191351974461</v>
      </c>
      <c r="AF155" s="38">
        <f t="shared" si="117"/>
        <v>0</v>
      </c>
      <c r="AG155" s="38">
        <f t="shared" si="118"/>
        <v>1.062345007265309E-2</v>
      </c>
      <c r="AH155" s="38">
        <f t="shared" si="119"/>
        <v>0</v>
      </c>
      <c r="AI155" s="38">
        <f t="shared" si="120"/>
        <v>0</v>
      </c>
      <c r="AJ155" s="38">
        <f t="shared" si="121"/>
        <v>1.9181495042390799E-2</v>
      </c>
      <c r="AK155" s="38">
        <f t="shared" si="122"/>
        <v>0.60528630454220533</v>
      </c>
      <c r="AL155" s="38">
        <f t="shared" si="123"/>
        <v>0.39711900747964834</v>
      </c>
      <c r="AM155" s="38">
        <f t="shared" si="124"/>
        <v>0</v>
      </c>
      <c r="AN155" s="38">
        <f t="shared" si="125"/>
        <v>0</v>
      </c>
      <c r="AO155" s="38">
        <f t="shared" si="126"/>
        <v>0</v>
      </c>
      <c r="AP155" s="38">
        <f t="shared" si="127"/>
        <v>5.0109094349538488</v>
      </c>
      <c r="AQ155" s="38">
        <f t="shared" si="128"/>
        <v>3.9786991778169511</v>
      </c>
      <c r="AR155" s="38">
        <f t="shared" si="129"/>
        <v>1.0215868070642444</v>
      </c>
      <c r="AS155" s="40"/>
      <c r="AT155" s="38">
        <f t="shared" si="130"/>
        <v>2.9953517452913756</v>
      </c>
      <c r="AU155" s="38">
        <f t="shared" si="131"/>
        <v>0</v>
      </c>
      <c r="AV155" s="38">
        <f t="shared" si="132"/>
        <v>0.97468526042991754</v>
      </c>
      <c r="AW155" s="38">
        <f t="shared" si="133"/>
        <v>0</v>
      </c>
      <c r="AX155" s="38">
        <f t="shared" si="134"/>
        <v>0</v>
      </c>
      <c r="AY155" s="38">
        <f t="shared" si="135"/>
        <v>1.0600321369359306E-2</v>
      </c>
      <c r="AZ155" s="38">
        <f t="shared" si="136"/>
        <v>0</v>
      </c>
      <c r="BA155" s="38">
        <f t="shared" si="137"/>
        <v>0</v>
      </c>
      <c r="BB155" s="38">
        <f t="shared" si="138"/>
        <v>1.9139734305103705E-2</v>
      </c>
      <c r="BC155" s="38">
        <f t="shared" si="139"/>
        <v>0.60396851349976577</v>
      </c>
      <c r="BD155" s="38">
        <f t="shared" si="140"/>
        <v>0.396254425104478</v>
      </c>
      <c r="BE155" s="38">
        <f t="shared" si="141"/>
        <v>0</v>
      </c>
      <c r="BF155" s="38">
        <f t="shared" si="142"/>
        <v>0</v>
      </c>
      <c r="BG155" s="38">
        <f t="shared" si="143"/>
        <v>0</v>
      </c>
      <c r="BH155" s="41">
        <f t="shared" si="144"/>
        <v>5</v>
      </c>
      <c r="BI155" s="42">
        <f t="shared" si="145"/>
        <v>7.9878830668888927</v>
      </c>
      <c r="BJ155" s="38">
        <f t="shared" si="146"/>
        <v>3.9700370057212933</v>
      </c>
      <c r="BK155" s="38">
        <f t="shared" si="147"/>
        <v>1.0193626729093475</v>
      </c>
      <c r="BL155" s="16"/>
      <c r="BM155" s="16">
        <f t="shared" si="148"/>
        <v>1.8776177325070462E-2</v>
      </c>
      <c r="BN155" s="16">
        <f t="shared" si="149"/>
        <v>0.59249620331494823</v>
      </c>
      <c r="BO155" s="16">
        <f t="shared" si="150"/>
        <v>0.3887276193599814</v>
      </c>
      <c r="BP155" s="15"/>
      <c r="BQ155" s="38">
        <f t="shared" si="151"/>
        <v>1.1218375499334223</v>
      </c>
      <c r="BR155" s="38">
        <f t="shared" si="152"/>
        <v>0</v>
      </c>
      <c r="BS155" s="38">
        <f t="shared" si="153"/>
        <v>0.36504511573165949</v>
      </c>
      <c r="BT155" s="38">
        <f t="shared" si="154"/>
        <v>0</v>
      </c>
      <c r="BU155" s="38">
        <f t="shared" si="155"/>
        <v>3.9700975260093052E-3</v>
      </c>
      <c r="BV155" s="38">
        <f t="shared" si="156"/>
        <v>0</v>
      </c>
      <c r="BW155" s="38">
        <f t="shared" si="157"/>
        <v>0</v>
      </c>
      <c r="BX155" s="38">
        <f t="shared" si="158"/>
        <v>7.1683309557774612E-3</v>
      </c>
      <c r="BY155" s="38">
        <f t="shared" si="159"/>
        <v>0.22620200064536947</v>
      </c>
      <c r="BZ155" s="38">
        <f t="shared" si="160"/>
        <v>0.14840764331210191</v>
      </c>
      <c r="CA155" s="38">
        <f t="shared" si="161"/>
        <v>0</v>
      </c>
      <c r="CB155" s="38">
        <f t="shared" si="162"/>
        <v>0</v>
      </c>
      <c r="CC155" s="38">
        <f t="shared" si="163"/>
        <v>0</v>
      </c>
      <c r="CD155" s="38">
        <f t="shared" si="164"/>
        <v>1.8726307381043401</v>
      </c>
      <c r="CE155" s="38">
        <f t="shared" si="165"/>
        <v>2.9896860239248566</v>
      </c>
      <c r="CF155" s="38">
        <f t="shared" si="166"/>
        <v>2.6700405468413324</v>
      </c>
      <c r="CG155" s="38">
        <f t="shared" si="167"/>
        <v>7.9825829062042128</v>
      </c>
      <c r="CH155" s="15"/>
      <c r="CI155" s="16"/>
      <c r="CJ155" s="13"/>
      <c r="CK155" s="104"/>
      <c r="CL155" s="13"/>
      <c r="CM155" s="13"/>
      <c r="CN155" s="13"/>
      <c r="CO155" s="16"/>
      <c r="CP155" s="16"/>
      <c r="CQ155" s="16"/>
      <c r="CR155" s="16"/>
      <c r="CS155" s="16"/>
      <c r="CT155" s="16"/>
      <c r="CU155" s="16"/>
      <c r="CV155" s="16"/>
      <c r="CW155" s="16"/>
      <c r="CX155" s="16"/>
      <c r="CY155" s="104"/>
      <c r="CZ155" s="104"/>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3"/>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row>
    <row r="156" spans="1:167" x14ac:dyDescent="0.25">
      <c r="A156" s="35" t="s">
        <v>86</v>
      </c>
      <c r="B156" s="15">
        <v>556</v>
      </c>
      <c r="C156" s="102" t="s">
        <v>96</v>
      </c>
      <c r="D156" s="102" t="s">
        <v>105</v>
      </c>
      <c r="E156" s="15">
        <v>67</v>
      </c>
      <c r="F156" s="16">
        <v>67.17</v>
      </c>
      <c r="G156" s="16">
        <v>0</v>
      </c>
      <c r="H156" s="16">
        <v>18.920000000000002</v>
      </c>
      <c r="I156" s="16">
        <v>0</v>
      </c>
      <c r="J156" s="16">
        <v>0.20426527490326646</v>
      </c>
      <c r="K156" s="16">
        <v>0</v>
      </c>
      <c r="L156" s="16">
        <v>0</v>
      </c>
      <c r="M156" s="16">
        <v>0.25600000000000001</v>
      </c>
      <c r="N156" s="16">
        <v>6.45</v>
      </c>
      <c r="O156" s="16">
        <v>8.14</v>
      </c>
      <c r="P156" s="16"/>
      <c r="Q156" s="16"/>
      <c r="R156" s="16"/>
      <c r="S156" s="16">
        <f t="shared" si="113"/>
        <v>101.14026527490327</v>
      </c>
      <c r="T156" s="16"/>
      <c r="U156" s="15"/>
      <c r="V156" s="15"/>
      <c r="W156" s="15"/>
      <c r="X156" s="15" t="s">
        <v>187</v>
      </c>
      <c r="Y156" s="15"/>
      <c r="Z156" s="37">
        <v>8</v>
      </c>
      <c r="AA156" s="37">
        <v>5</v>
      </c>
      <c r="AB156" s="15"/>
      <c r="AC156" s="38">
        <f t="shared" si="114"/>
        <v>2.9907360362256412</v>
      </c>
      <c r="AD156" s="38">
        <f t="shared" si="115"/>
        <v>0</v>
      </c>
      <c r="AE156" s="38">
        <f t="shared" si="116"/>
        <v>0.99278215062423647</v>
      </c>
      <c r="AF156" s="38">
        <f t="shared" si="117"/>
        <v>0</v>
      </c>
      <c r="AG156" s="38">
        <f t="shared" si="118"/>
        <v>7.6050212125285789E-3</v>
      </c>
      <c r="AH156" s="38">
        <f t="shared" si="119"/>
        <v>0</v>
      </c>
      <c r="AI156" s="38">
        <f t="shared" si="120"/>
        <v>0</v>
      </c>
      <c r="AJ156" s="38">
        <f t="shared" si="121"/>
        <v>1.2211376448341346E-2</v>
      </c>
      <c r="AK156" s="38">
        <f t="shared" si="122"/>
        <v>0.55676355318603776</v>
      </c>
      <c r="AL156" s="38">
        <f t="shared" si="123"/>
        <v>0.46231305471694867</v>
      </c>
      <c r="AM156" s="38">
        <f t="shared" si="124"/>
        <v>0</v>
      </c>
      <c r="AN156" s="38">
        <f t="shared" si="125"/>
        <v>0</v>
      </c>
      <c r="AO156" s="38">
        <f t="shared" si="126"/>
        <v>0</v>
      </c>
      <c r="AP156" s="38">
        <f t="shared" si="127"/>
        <v>5.0224111924137338</v>
      </c>
      <c r="AQ156" s="38">
        <f t="shared" si="128"/>
        <v>3.9835181868498779</v>
      </c>
      <c r="AR156" s="38">
        <f t="shared" si="129"/>
        <v>1.0312879843513278</v>
      </c>
      <c r="AS156" s="40"/>
      <c r="AT156" s="38">
        <f t="shared" si="130"/>
        <v>2.9773906612257246</v>
      </c>
      <c r="AU156" s="38">
        <f t="shared" si="131"/>
        <v>0</v>
      </c>
      <c r="AV156" s="38">
        <f t="shared" si="132"/>
        <v>0.9883521207142667</v>
      </c>
      <c r="AW156" s="38">
        <f t="shared" si="133"/>
        <v>0</v>
      </c>
      <c r="AX156" s="38">
        <f t="shared" si="134"/>
        <v>0</v>
      </c>
      <c r="AY156" s="38">
        <f t="shared" si="135"/>
        <v>7.5710858003978591E-3</v>
      </c>
      <c r="AZ156" s="38">
        <f t="shared" si="136"/>
        <v>0</v>
      </c>
      <c r="BA156" s="38">
        <f t="shared" si="137"/>
        <v>0</v>
      </c>
      <c r="BB156" s="38">
        <f t="shared" si="138"/>
        <v>1.2156886384358995E-2</v>
      </c>
      <c r="BC156" s="38">
        <f t="shared" si="139"/>
        <v>0.55427914188609206</v>
      </c>
      <c r="BD156" s="38">
        <f t="shared" si="140"/>
        <v>0.46025010398916028</v>
      </c>
      <c r="BE156" s="38">
        <f t="shared" si="141"/>
        <v>0</v>
      </c>
      <c r="BF156" s="38">
        <f t="shared" si="142"/>
        <v>0</v>
      </c>
      <c r="BG156" s="38">
        <f t="shared" si="143"/>
        <v>0</v>
      </c>
      <c r="BH156" s="41">
        <f t="shared" si="144"/>
        <v>5.0000000000000009</v>
      </c>
      <c r="BI156" s="42">
        <f t="shared" si="145"/>
        <v>7.9680876415454307</v>
      </c>
      <c r="BJ156" s="38">
        <f t="shared" si="146"/>
        <v>3.9657427819399915</v>
      </c>
      <c r="BK156" s="38">
        <f t="shared" si="147"/>
        <v>1.0266861322596113</v>
      </c>
      <c r="BL156" s="16"/>
      <c r="BM156" s="16">
        <f t="shared" si="148"/>
        <v>1.1840898598292316E-2</v>
      </c>
      <c r="BN156" s="16">
        <f t="shared" si="149"/>
        <v>0.53987204508761699</v>
      </c>
      <c r="BO156" s="16">
        <f t="shared" si="150"/>
        <v>0.4482870563140906</v>
      </c>
      <c r="BP156" s="15"/>
      <c r="BQ156" s="38">
        <f t="shared" si="151"/>
        <v>1.1180093209054593</v>
      </c>
      <c r="BR156" s="38">
        <f t="shared" si="152"/>
        <v>0</v>
      </c>
      <c r="BS156" s="38">
        <f t="shared" si="153"/>
        <v>0.37112593173793651</v>
      </c>
      <c r="BT156" s="38">
        <f t="shared" si="154"/>
        <v>0</v>
      </c>
      <c r="BU156" s="38">
        <f t="shared" si="155"/>
        <v>2.8429404996975151E-3</v>
      </c>
      <c r="BV156" s="38">
        <f t="shared" si="156"/>
        <v>0</v>
      </c>
      <c r="BW156" s="38">
        <f t="shared" si="157"/>
        <v>0</v>
      </c>
      <c r="BX156" s="38">
        <f t="shared" si="158"/>
        <v>4.56490727532097E-3</v>
      </c>
      <c r="BY156" s="38">
        <f t="shared" si="159"/>
        <v>0.2081316553727009</v>
      </c>
      <c r="BZ156" s="38">
        <f t="shared" si="160"/>
        <v>0.17282377919320596</v>
      </c>
      <c r="CA156" s="38">
        <f t="shared" si="161"/>
        <v>0</v>
      </c>
      <c r="CB156" s="38">
        <f t="shared" si="162"/>
        <v>0</v>
      </c>
      <c r="CC156" s="38">
        <f t="shared" si="163"/>
        <v>0</v>
      </c>
      <c r="CD156" s="38">
        <f t="shared" si="164"/>
        <v>1.877498534984321</v>
      </c>
      <c r="CE156" s="38">
        <f t="shared" si="165"/>
        <v>2.9905931044757952</v>
      </c>
      <c r="CF156" s="38">
        <f t="shared" si="166"/>
        <v>2.6631179235736422</v>
      </c>
      <c r="CG156" s="38">
        <f t="shared" si="167"/>
        <v>7.9643020986452324</v>
      </c>
      <c r="CH156" s="15"/>
      <c r="CI156" s="16"/>
      <c r="CJ156" s="13"/>
      <c r="CK156" s="104"/>
      <c r="CL156" s="13"/>
      <c r="CM156" s="13"/>
      <c r="CN156" s="13"/>
      <c r="CO156" s="16"/>
      <c r="CP156" s="16"/>
      <c r="CQ156" s="16"/>
      <c r="CR156" s="16"/>
      <c r="CS156" s="16"/>
      <c r="CT156" s="16"/>
      <c r="CU156" s="16"/>
      <c r="CV156" s="16"/>
      <c r="CW156" s="16"/>
      <c r="CX156" s="16"/>
      <c r="CY156" s="104"/>
      <c r="CZ156" s="104"/>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3"/>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row>
    <row r="157" spans="1:167" x14ac:dyDescent="0.25">
      <c r="A157" s="35" t="s">
        <v>86</v>
      </c>
      <c r="B157" s="15">
        <v>561</v>
      </c>
      <c r="C157" s="102" t="s">
        <v>96</v>
      </c>
      <c r="D157" s="102" t="s">
        <v>105</v>
      </c>
      <c r="E157" s="15">
        <v>72</v>
      </c>
      <c r="F157" s="16">
        <v>66.709999999999994</v>
      </c>
      <c r="G157" s="16">
        <v>0</v>
      </c>
      <c r="H157" s="16">
        <v>19.14</v>
      </c>
      <c r="I157" s="16">
        <v>0</v>
      </c>
      <c r="J157" s="16">
        <v>0.18356879330513812</v>
      </c>
      <c r="K157" s="16">
        <v>0</v>
      </c>
      <c r="L157" s="16">
        <v>0</v>
      </c>
      <c r="M157" s="16">
        <v>0.72</v>
      </c>
      <c r="N157" s="16">
        <v>8</v>
      </c>
      <c r="O157" s="16">
        <v>5.33</v>
      </c>
      <c r="P157" s="16"/>
      <c r="Q157" s="16"/>
      <c r="R157" s="16"/>
      <c r="S157" s="16">
        <f t="shared" si="113"/>
        <v>100.08356879330513</v>
      </c>
      <c r="T157" s="16"/>
      <c r="U157" s="15">
        <v>1</v>
      </c>
      <c r="V157" s="15">
        <v>21</v>
      </c>
      <c r="W157" s="15">
        <v>179.20000000000002</v>
      </c>
      <c r="X157" s="15" t="s">
        <v>186</v>
      </c>
      <c r="Y157" s="15"/>
      <c r="Z157" s="37">
        <v>8</v>
      </c>
      <c r="AA157" s="37">
        <v>5</v>
      </c>
      <c r="AB157" s="15"/>
      <c r="AC157" s="38">
        <f t="shared" si="114"/>
        <v>2.9759027384415186</v>
      </c>
      <c r="AD157" s="38">
        <f t="shared" si="115"/>
        <v>0</v>
      </c>
      <c r="AE157" s="38">
        <f t="shared" si="116"/>
        <v>1.0062359251988391</v>
      </c>
      <c r="AF157" s="38">
        <f t="shared" si="117"/>
        <v>0</v>
      </c>
      <c r="AG157" s="38">
        <f t="shared" si="118"/>
        <v>6.8474646200898598E-3</v>
      </c>
      <c r="AH157" s="38">
        <f t="shared" si="119"/>
        <v>0</v>
      </c>
      <c r="AI157" s="38">
        <f t="shared" si="120"/>
        <v>0</v>
      </c>
      <c r="AJ157" s="38">
        <f t="shared" si="121"/>
        <v>3.4409804712459684E-2</v>
      </c>
      <c r="AK157" s="38">
        <f t="shared" si="122"/>
        <v>0.69187259269109724</v>
      </c>
      <c r="AL157" s="38">
        <f t="shared" si="123"/>
        <v>0.30329413928120902</v>
      </c>
      <c r="AM157" s="38">
        <f t="shared" si="124"/>
        <v>0</v>
      </c>
      <c r="AN157" s="38">
        <f t="shared" si="125"/>
        <v>0</v>
      </c>
      <c r="AO157" s="38">
        <f t="shared" si="126"/>
        <v>0</v>
      </c>
      <c r="AP157" s="38">
        <f t="shared" si="127"/>
        <v>5.0185626649452137</v>
      </c>
      <c r="AQ157" s="38">
        <f t="shared" si="128"/>
        <v>3.9821386636403577</v>
      </c>
      <c r="AR157" s="38">
        <f t="shared" si="129"/>
        <v>1.029576536684766</v>
      </c>
      <c r="AS157" s="40"/>
      <c r="AT157" s="38">
        <f t="shared" si="130"/>
        <v>2.9648954662141351</v>
      </c>
      <c r="AU157" s="38">
        <f t="shared" si="131"/>
        <v>0</v>
      </c>
      <c r="AV157" s="38">
        <f t="shared" si="132"/>
        <v>1.0025140586839958</v>
      </c>
      <c r="AW157" s="38">
        <f t="shared" si="133"/>
        <v>0</v>
      </c>
      <c r="AX157" s="38">
        <f t="shared" si="134"/>
        <v>0</v>
      </c>
      <c r="AY157" s="38">
        <f t="shared" si="135"/>
        <v>6.8221372106395846E-3</v>
      </c>
      <c r="AZ157" s="38">
        <f t="shared" si="136"/>
        <v>0</v>
      </c>
      <c r="BA157" s="38">
        <f t="shared" si="137"/>
        <v>0</v>
      </c>
      <c r="BB157" s="38">
        <f t="shared" si="138"/>
        <v>3.4282529690037582E-2</v>
      </c>
      <c r="BC157" s="38">
        <f t="shared" si="139"/>
        <v>0.68931349360629157</v>
      </c>
      <c r="BD157" s="38">
        <f t="shared" si="140"/>
        <v>0.30217231459490002</v>
      </c>
      <c r="BE157" s="38">
        <f t="shared" si="141"/>
        <v>0</v>
      </c>
      <c r="BF157" s="38">
        <f t="shared" si="142"/>
        <v>0</v>
      </c>
      <c r="BG157" s="38">
        <f t="shared" si="143"/>
        <v>0</v>
      </c>
      <c r="BH157" s="41">
        <f t="shared" si="144"/>
        <v>4.9999999999999991</v>
      </c>
      <c r="BI157" s="42">
        <f t="shared" si="145"/>
        <v>7.9738206600608574</v>
      </c>
      <c r="BJ157" s="38">
        <f t="shared" si="146"/>
        <v>3.9674095248981311</v>
      </c>
      <c r="BK157" s="38">
        <f t="shared" si="147"/>
        <v>1.025768337891229</v>
      </c>
      <c r="BL157" s="16"/>
      <c r="BM157" s="16">
        <f t="shared" si="148"/>
        <v>3.3421317878182394E-2</v>
      </c>
      <c r="BN157" s="16">
        <f t="shared" si="149"/>
        <v>0.67199724162219676</v>
      </c>
      <c r="BO157" s="16">
        <f t="shared" si="150"/>
        <v>0.29458144049962076</v>
      </c>
      <c r="BP157" s="15"/>
      <c r="BQ157" s="38">
        <f t="shared" si="151"/>
        <v>1.1103528628495338</v>
      </c>
      <c r="BR157" s="38">
        <f t="shared" si="152"/>
        <v>0</v>
      </c>
      <c r="BS157" s="38">
        <f t="shared" si="153"/>
        <v>0.37544134954884273</v>
      </c>
      <c r="BT157" s="38">
        <f t="shared" si="154"/>
        <v>0</v>
      </c>
      <c r="BU157" s="38">
        <f t="shared" si="155"/>
        <v>2.5548892596400576E-3</v>
      </c>
      <c r="BV157" s="38">
        <f t="shared" si="156"/>
        <v>0</v>
      </c>
      <c r="BW157" s="38">
        <f t="shared" si="157"/>
        <v>0</v>
      </c>
      <c r="BX157" s="38">
        <f t="shared" si="158"/>
        <v>1.2838801711840228E-2</v>
      </c>
      <c r="BY157" s="38">
        <f t="shared" si="159"/>
        <v>0.25814778960955148</v>
      </c>
      <c r="BZ157" s="38">
        <f t="shared" si="160"/>
        <v>0.11316348195329087</v>
      </c>
      <c r="CA157" s="38">
        <f t="shared" si="161"/>
        <v>0</v>
      </c>
      <c r="CB157" s="38">
        <f t="shared" si="162"/>
        <v>0</v>
      </c>
      <c r="CC157" s="38">
        <f t="shared" si="163"/>
        <v>0</v>
      </c>
      <c r="CD157" s="38">
        <f t="shared" si="164"/>
        <v>1.8724991749326991</v>
      </c>
      <c r="CE157" s="38">
        <f t="shared" si="165"/>
        <v>2.9849170767752335</v>
      </c>
      <c r="CF157" s="38">
        <f t="shared" si="166"/>
        <v>2.6702281458573718</v>
      </c>
      <c r="CG157" s="38">
        <f t="shared" si="167"/>
        <v>7.970409591455538</v>
      </c>
      <c r="CH157" s="15"/>
      <c r="CI157" s="16"/>
      <c r="CJ157" s="13"/>
      <c r="CK157" s="104"/>
      <c r="CL157" s="13"/>
      <c r="CM157" s="13"/>
      <c r="CN157" s="13"/>
      <c r="CO157" s="16"/>
      <c r="CP157" s="16"/>
      <c r="CQ157" s="16"/>
      <c r="CR157" s="16"/>
      <c r="CS157" s="16"/>
      <c r="CT157" s="16"/>
      <c r="CU157" s="16"/>
      <c r="CV157" s="16"/>
      <c r="CW157" s="16"/>
      <c r="CX157" s="16"/>
      <c r="CY157" s="104"/>
      <c r="CZ157" s="104"/>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3"/>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row>
    <row r="158" spans="1:167" x14ac:dyDescent="0.25">
      <c r="A158" s="35" t="s">
        <v>86</v>
      </c>
      <c r="B158" s="15">
        <v>562</v>
      </c>
      <c r="C158" s="102" t="s">
        <v>96</v>
      </c>
      <c r="D158" s="102" t="s">
        <v>105</v>
      </c>
      <c r="E158" s="15">
        <v>73</v>
      </c>
      <c r="F158" s="16">
        <v>66.44</v>
      </c>
      <c r="G158" s="16">
        <v>0</v>
      </c>
      <c r="H158" s="16">
        <v>19.84</v>
      </c>
      <c r="I158" s="16">
        <v>0</v>
      </c>
      <c r="J158" s="16">
        <v>0.26365517861963467</v>
      </c>
      <c r="K158" s="16">
        <v>0</v>
      </c>
      <c r="L158" s="16">
        <v>0</v>
      </c>
      <c r="M158" s="16">
        <v>1.2789999999999999</v>
      </c>
      <c r="N158" s="16">
        <v>8.85</v>
      </c>
      <c r="O158" s="16">
        <v>3.61</v>
      </c>
      <c r="P158" s="16"/>
      <c r="Q158" s="16"/>
      <c r="R158" s="16"/>
      <c r="S158" s="16">
        <f t="shared" si="113"/>
        <v>100.28265517861962</v>
      </c>
      <c r="T158" s="16"/>
      <c r="U158" s="15">
        <v>1</v>
      </c>
      <c r="V158" s="15">
        <v>20</v>
      </c>
      <c r="W158" s="15">
        <v>166.4</v>
      </c>
      <c r="X158" s="15" t="s">
        <v>186</v>
      </c>
      <c r="Y158" s="15"/>
      <c r="Z158" s="37">
        <v>8</v>
      </c>
      <c r="AA158" s="37">
        <v>5</v>
      </c>
      <c r="AB158" s="15"/>
      <c r="AC158" s="38">
        <f t="shared" si="114"/>
        <v>2.9459491448850934</v>
      </c>
      <c r="AD158" s="38">
        <f t="shared" si="115"/>
        <v>0</v>
      </c>
      <c r="AE158" s="38">
        <f t="shared" si="116"/>
        <v>1.0367340973493804</v>
      </c>
      <c r="AF158" s="38">
        <f t="shared" si="117"/>
        <v>0</v>
      </c>
      <c r="AG158" s="38">
        <f t="shared" si="118"/>
        <v>9.77541219683087E-3</v>
      </c>
      <c r="AH158" s="38">
        <f t="shared" si="119"/>
        <v>0</v>
      </c>
      <c r="AI158" s="38">
        <f t="shared" si="120"/>
        <v>0</v>
      </c>
      <c r="AJ158" s="38">
        <f t="shared" si="121"/>
        <v>6.0755847760860536E-2</v>
      </c>
      <c r="AK158" s="38">
        <f t="shared" si="122"/>
        <v>0.76075924742797485</v>
      </c>
      <c r="AL158" s="38">
        <f t="shared" si="123"/>
        <v>0.20417936106812654</v>
      </c>
      <c r="AM158" s="38">
        <f t="shared" si="124"/>
        <v>0</v>
      </c>
      <c r="AN158" s="38">
        <f t="shared" si="125"/>
        <v>0</v>
      </c>
      <c r="AO158" s="38">
        <f t="shared" si="126"/>
        <v>0</v>
      </c>
      <c r="AP158" s="38">
        <f t="shared" si="127"/>
        <v>5.0181531106882673</v>
      </c>
      <c r="AQ158" s="38">
        <f t="shared" si="128"/>
        <v>3.982683242234474</v>
      </c>
      <c r="AR158" s="38">
        <f t="shared" si="129"/>
        <v>1.0256944562569619</v>
      </c>
      <c r="AS158" s="40"/>
      <c r="AT158" s="38">
        <f t="shared" si="130"/>
        <v>2.9352922080141957</v>
      </c>
      <c r="AU158" s="38">
        <f t="shared" si="131"/>
        <v>0</v>
      </c>
      <c r="AV158" s="38">
        <f t="shared" si="132"/>
        <v>1.0329837237740109</v>
      </c>
      <c r="AW158" s="38">
        <f t="shared" si="133"/>
        <v>0</v>
      </c>
      <c r="AX158" s="38">
        <f t="shared" si="134"/>
        <v>0</v>
      </c>
      <c r="AY158" s="38">
        <f t="shared" si="135"/>
        <v>9.7400497565628495E-3</v>
      </c>
      <c r="AZ158" s="38">
        <f t="shared" si="136"/>
        <v>0</v>
      </c>
      <c r="BA158" s="38">
        <f t="shared" si="137"/>
        <v>0</v>
      </c>
      <c r="BB158" s="38">
        <f t="shared" si="138"/>
        <v>6.053606418610008E-2</v>
      </c>
      <c r="BC158" s="38">
        <f t="shared" si="139"/>
        <v>0.75800720967203883</v>
      </c>
      <c r="BD158" s="38">
        <f t="shared" si="140"/>
        <v>0.20344074459709166</v>
      </c>
      <c r="BE158" s="38">
        <f t="shared" si="141"/>
        <v>0</v>
      </c>
      <c r="BF158" s="38">
        <f t="shared" si="142"/>
        <v>0</v>
      </c>
      <c r="BG158" s="38">
        <f t="shared" si="143"/>
        <v>0</v>
      </c>
      <c r="BH158" s="41">
        <f t="shared" si="144"/>
        <v>5.0000000000000009</v>
      </c>
      <c r="BI158" s="42">
        <f t="shared" si="145"/>
        <v>7.9759301176449178</v>
      </c>
      <c r="BJ158" s="38">
        <f t="shared" si="146"/>
        <v>3.9682759317882068</v>
      </c>
      <c r="BK158" s="38">
        <f t="shared" si="147"/>
        <v>1.0219840184552305</v>
      </c>
      <c r="BL158" s="16"/>
      <c r="BM158" s="16">
        <f t="shared" si="148"/>
        <v>5.923386578745405E-2</v>
      </c>
      <c r="BN158" s="16">
        <f t="shared" si="149"/>
        <v>0.74170162740685208</v>
      </c>
      <c r="BO158" s="16">
        <f t="shared" si="150"/>
        <v>0.19906450680569393</v>
      </c>
      <c r="BP158" s="15"/>
      <c r="BQ158" s="38">
        <f t="shared" si="151"/>
        <v>1.1058588548601864</v>
      </c>
      <c r="BR158" s="38">
        <f t="shared" si="152"/>
        <v>0</v>
      </c>
      <c r="BS158" s="38">
        <f t="shared" si="153"/>
        <v>0.38917222440172616</v>
      </c>
      <c r="BT158" s="38">
        <f t="shared" si="154"/>
        <v>0</v>
      </c>
      <c r="BU158" s="38">
        <f t="shared" si="155"/>
        <v>3.669522318992828E-3</v>
      </c>
      <c r="BV158" s="38">
        <f t="shared" si="156"/>
        <v>0</v>
      </c>
      <c r="BW158" s="38">
        <f t="shared" si="157"/>
        <v>0</v>
      </c>
      <c r="BX158" s="38">
        <f t="shared" si="158"/>
        <v>2.2806704707560625E-2</v>
      </c>
      <c r="BY158" s="38">
        <f t="shared" si="159"/>
        <v>0.28557599225556629</v>
      </c>
      <c r="BZ158" s="38">
        <f t="shared" si="160"/>
        <v>7.6645435244161356E-2</v>
      </c>
      <c r="CA158" s="38">
        <f t="shared" si="161"/>
        <v>0</v>
      </c>
      <c r="CB158" s="38">
        <f t="shared" si="162"/>
        <v>0</v>
      </c>
      <c r="CC158" s="38">
        <f t="shared" si="163"/>
        <v>0</v>
      </c>
      <c r="CD158" s="38">
        <f t="shared" si="164"/>
        <v>1.8837287337881938</v>
      </c>
      <c r="CE158" s="38">
        <f t="shared" si="165"/>
        <v>3.0030629870993795</v>
      </c>
      <c r="CF158" s="38">
        <f t="shared" si="166"/>
        <v>2.6543099918346309</v>
      </c>
      <c r="CG158" s="38">
        <f t="shared" si="167"/>
        <v>7.9710600927666366</v>
      </c>
      <c r="CH158" s="15"/>
      <c r="CI158" s="16"/>
      <c r="CJ158" s="13"/>
      <c r="CK158" s="104"/>
      <c r="CL158" s="13"/>
      <c r="CM158" s="13"/>
      <c r="CN158" s="13"/>
      <c r="CO158" s="16"/>
      <c r="CP158" s="16"/>
      <c r="CQ158" s="16"/>
      <c r="CR158" s="16"/>
      <c r="CS158" s="16"/>
      <c r="CT158" s="16"/>
      <c r="CU158" s="16"/>
      <c r="CV158" s="16"/>
      <c r="CW158" s="16"/>
      <c r="CX158" s="16"/>
      <c r="CY158" s="104"/>
      <c r="CZ158" s="104"/>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3"/>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row>
    <row r="159" spans="1:167" x14ac:dyDescent="0.25">
      <c r="A159" s="35" t="s">
        <v>86</v>
      </c>
      <c r="B159" s="15">
        <v>563</v>
      </c>
      <c r="C159" s="102" t="s">
        <v>96</v>
      </c>
      <c r="D159" s="102" t="s">
        <v>105</v>
      </c>
      <c r="E159" s="15">
        <v>74</v>
      </c>
      <c r="F159" s="16">
        <v>64</v>
      </c>
      <c r="G159" s="16">
        <v>0</v>
      </c>
      <c r="H159" s="16">
        <v>21.93</v>
      </c>
      <c r="I159" s="16">
        <v>0</v>
      </c>
      <c r="J159" s="16">
        <v>0.22496175650139477</v>
      </c>
      <c r="K159" s="16">
        <v>0</v>
      </c>
      <c r="L159" s="16">
        <v>0</v>
      </c>
      <c r="M159" s="16">
        <v>3.68</v>
      </c>
      <c r="N159" s="16">
        <v>9.6999999999999993</v>
      </c>
      <c r="O159" s="16">
        <v>0.88600000000000001</v>
      </c>
      <c r="P159" s="16"/>
      <c r="Q159" s="16"/>
      <c r="R159" s="16"/>
      <c r="S159" s="16">
        <f t="shared" si="113"/>
        <v>100.42096175650141</v>
      </c>
      <c r="T159" s="16"/>
      <c r="U159" s="15">
        <v>1</v>
      </c>
      <c r="V159" s="15">
        <v>19</v>
      </c>
      <c r="W159" s="15">
        <v>153.6</v>
      </c>
      <c r="X159" s="15" t="s">
        <v>186</v>
      </c>
      <c r="Y159" s="15"/>
      <c r="Z159" s="37">
        <v>8</v>
      </c>
      <c r="AA159" s="37">
        <v>5</v>
      </c>
      <c r="AB159" s="15"/>
      <c r="AC159" s="38">
        <f t="shared" si="114"/>
        <v>2.8308387338569125</v>
      </c>
      <c r="AD159" s="38">
        <f t="shared" si="115"/>
        <v>0</v>
      </c>
      <c r="AE159" s="38">
        <f t="shared" si="116"/>
        <v>1.1431517352036351</v>
      </c>
      <c r="AF159" s="38">
        <f t="shared" si="117"/>
        <v>0</v>
      </c>
      <c r="AG159" s="38">
        <f t="shared" si="118"/>
        <v>8.3204535648819973E-3</v>
      </c>
      <c r="AH159" s="38">
        <f t="shared" si="119"/>
        <v>0</v>
      </c>
      <c r="AI159" s="38">
        <f t="shared" si="120"/>
        <v>0</v>
      </c>
      <c r="AJ159" s="38">
        <f t="shared" si="121"/>
        <v>0.17438330046330403</v>
      </c>
      <c r="AK159" s="38">
        <f t="shared" si="122"/>
        <v>0.83179295436138467</v>
      </c>
      <c r="AL159" s="38">
        <f t="shared" si="123"/>
        <v>4.9989396543686719E-2</v>
      </c>
      <c r="AM159" s="38">
        <f t="shared" si="124"/>
        <v>0</v>
      </c>
      <c r="AN159" s="38">
        <f t="shared" si="125"/>
        <v>0</v>
      </c>
      <c r="AO159" s="38">
        <f t="shared" si="126"/>
        <v>0</v>
      </c>
      <c r="AP159" s="38">
        <f t="shared" si="127"/>
        <v>5.0384765739938047</v>
      </c>
      <c r="AQ159" s="38">
        <f t="shared" si="128"/>
        <v>3.9739904690605474</v>
      </c>
      <c r="AR159" s="38">
        <f t="shared" si="129"/>
        <v>1.0561656513683753</v>
      </c>
      <c r="AS159" s="40"/>
      <c r="AT159" s="38">
        <f t="shared" si="130"/>
        <v>2.8092208947326869</v>
      </c>
      <c r="AU159" s="38">
        <f t="shared" si="131"/>
        <v>0</v>
      </c>
      <c r="AV159" s="38">
        <f t="shared" si="132"/>
        <v>1.1344220007928931</v>
      </c>
      <c r="AW159" s="38">
        <f t="shared" si="133"/>
        <v>0</v>
      </c>
      <c r="AX159" s="38">
        <f t="shared" si="134"/>
        <v>0</v>
      </c>
      <c r="AY159" s="38">
        <f t="shared" si="135"/>
        <v>8.2569140122911149E-3</v>
      </c>
      <c r="AZ159" s="38">
        <f t="shared" si="136"/>
        <v>0</v>
      </c>
      <c r="BA159" s="38">
        <f t="shared" si="137"/>
        <v>0</v>
      </c>
      <c r="BB159" s="38">
        <f t="shared" si="138"/>
        <v>0.17305161381853673</v>
      </c>
      <c r="BC159" s="38">
        <f t="shared" si="139"/>
        <v>0.82544092658354329</v>
      </c>
      <c r="BD159" s="38">
        <f t="shared" si="140"/>
        <v>4.9607650060047866E-2</v>
      </c>
      <c r="BE159" s="38">
        <f t="shared" si="141"/>
        <v>0</v>
      </c>
      <c r="BF159" s="38">
        <f t="shared" si="142"/>
        <v>0</v>
      </c>
      <c r="BG159" s="38">
        <f t="shared" si="143"/>
        <v>0</v>
      </c>
      <c r="BH159" s="41">
        <f t="shared" si="144"/>
        <v>4.9999999999999991</v>
      </c>
      <c r="BI159" s="42">
        <f t="shared" si="145"/>
        <v>7.9430360638134818</v>
      </c>
      <c r="BJ159" s="38">
        <f t="shared" si="146"/>
        <v>3.94364289552558</v>
      </c>
      <c r="BK159" s="38">
        <f t="shared" si="147"/>
        <v>1.0481001904621279</v>
      </c>
      <c r="BL159" s="16"/>
      <c r="BM159" s="16">
        <f t="shared" si="148"/>
        <v>0.1651098009458761</v>
      </c>
      <c r="BN159" s="16">
        <f t="shared" si="149"/>
        <v>0.7875591800241829</v>
      </c>
      <c r="BO159" s="16">
        <f t="shared" si="150"/>
        <v>4.7331019029941114E-2</v>
      </c>
      <c r="BP159" s="15"/>
      <c r="BQ159" s="38">
        <f t="shared" si="151"/>
        <v>1.0652463382157125</v>
      </c>
      <c r="BR159" s="38">
        <f t="shared" si="152"/>
        <v>0</v>
      </c>
      <c r="BS159" s="38">
        <f t="shared" si="153"/>
        <v>0.43016869360533544</v>
      </c>
      <c r="BT159" s="38">
        <f t="shared" si="154"/>
        <v>0</v>
      </c>
      <c r="BU159" s="38">
        <f t="shared" si="155"/>
        <v>3.1309917397549726E-3</v>
      </c>
      <c r="BV159" s="38">
        <f t="shared" si="156"/>
        <v>0</v>
      </c>
      <c r="BW159" s="38">
        <f t="shared" si="157"/>
        <v>0</v>
      </c>
      <c r="BX159" s="38">
        <f t="shared" si="158"/>
        <v>6.5620542082738945E-2</v>
      </c>
      <c r="BY159" s="38">
        <f t="shared" si="159"/>
        <v>0.31300419490158116</v>
      </c>
      <c r="BZ159" s="38">
        <f t="shared" si="160"/>
        <v>1.881104033970276E-2</v>
      </c>
      <c r="CA159" s="38">
        <f t="shared" si="161"/>
        <v>0</v>
      </c>
      <c r="CB159" s="38">
        <f t="shared" si="162"/>
        <v>0</v>
      </c>
      <c r="CC159" s="38">
        <f t="shared" si="163"/>
        <v>0</v>
      </c>
      <c r="CD159" s="38">
        <f t="shared" si="164"/>
        <v>1.8959818008848259</v>
      </c>
      <c r="CE159" s="38">
        <f t="shared" si="165"/>
        <v>3.0104048682825639</v>
      </c>
      <c r="CF159" s="38">
        <f t="shared" si="166"/>
        <v>2.6371561149303098</v>
      </c>
      <c r="CG159" s="38">
        <f t="shared" si="167"/>
        <v>7.9389076068073372</v>
      </c>
      <c r="CH159" s="15"/>
      <c r="CI159" s="16"/>
      <c r="CJ159" s="13"/>
      <c r="CK159" s="104"/>
      <c r="CL159" s="13"/>
      <c r="CM159" s="13"/>
      <c r="CN159" s="13"/>
      <c r="CO159" s="16"/>
      <c r="CP159" s="16"/>
      <c r="CQ159" s="16"/>
      <c r="CR159" s="16"/>
      <c r="CS159" s="16"/>
      <c r="CT159" s="16"/>
      <c r="CU159" s="16"/>
      <c r="CV159" s="16"/>
      <c r="CW159" s="16"/>
      <c r="CX159" s="16"/>
      <c r="CY159" s="104"/>
      <c r="CZ159" s="104"/>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3"/>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row>
    <row r="160" spans="1:167" x14ac:dyDescent="0.25">
      <c r="A160" s="35" t="s">
        <v>86</v>
      </c>
      <c r="B160" s="15">
        <v>564</v>
      </c>
      <c r="C160" s="102" t="s">
        <v>96</v>
      </c>
      <c r="D160" s="102" t="s">
        <v>105</v>
      </c>
      <c r="E160" s="15">
        <v>75</v>
      </c>
      <c r="F160" s="16">
        <v>63.95</v>
      </c>
      <c r="G160" s="16">
        <v>0</v>
      </c>
      <c r="H160" s="16">
        <v>22.18</v>
      </c>
      <c r="I160" s="16">
        <v>0</v>
      </c>
      <c r="J160" s="16">
        <v>0.21866282731935571</v>
      </c>
      <c r="K160" s="16">
        <v>0</v>
      </c>
      <c r="L160" s="16">
        <v>0</v>
      </c>
      <c r="M160" s="16">
        <v>3.92</v>
      </c>
      <c r="N160" s="16">
        <v>9.4499999999999993</v>
      </c>
      <c r="O160" s="16">
        <v>0.86</v>
      </c>
      <c r="P160" s="16"/>
      <c r="Q160" s="16"/>
      <c r="R160" s="16"/>
      <c r="S160" s="16">
        <f t="shared" si="113"/>
        <v>100.57866282731935</v>
      </c>
      <c r="T160" s="16"/>
      <c r="U160" s="15">
        <v>1</v>
      </c>
      <c r="V160" s="15">
        <v>18</v>
      </c>
      <c r="W160" s="15">
        <v>140.79999999999998</v>
      </c>
      <c r="X160" s="15" t="s">
        <v>258</v>
      </c>
      <c r="Y160" s="15"/>
      <c r="Z160" s="37">
        <v>8</v>
      </c>
      <c r="AA160" s="37">
        <v>5</v>
      </c>
      <c r="AB160" s="15"/>
      <c r="AC160" s="38">
        <f t="shared" si="114"/>
        <v>2.8233996364644147</v>
      </c>
      <c r="AD160" s="38">
        <f t="shared" si="115"/>
        <v>0</v>
      </c>
      <c r="AE160" s="38">
        <f t="shared" si="116"/>
        <v>1.1540468510767643</v>
      </c>
      <c r="AF160" s="38">
        <f t="shared" si="117"/>
        <v>0</v>
      </c>
      <c r="AG160" s="38">
        <f t="shared" si="118"/>
        <v>8.0725346238069689E-3</v>
      </c>
      <c r="AH160" s="38">
        <f t="shared" si="119"/>
        <v>0</v>
      </c>
      <c r="AI160" s="38">
        <f t="shared" si="120"/>
        <v>0</v>
      </c>
      <c r="AJ160" s="38">
        <f t="shared" si="121"/>
        <v>0.1854128338446544</v>
      </c>
      <c r="AK160" s="38">
        <f t="shared" si="122"/>
        <v>0.80885739781905996</v>
      </c>
      <c r="AL160" s="38">
        <f t="shared" si="123"/>
        <v>4.8432766156067571E-2</v>
      </c>
      <c r="AM160" s="38">
        <f t="shared" si="124"/>
        <v>0</v>
      </c>
      <c r="AN160" s="38">
        <f t="shared" si="125"/>
        <v>0</v>
      </c>
      <c r="AO160" s="38">
        <f t="shared" si="126"/>
        <v>0</v>
      </c>
      <c r="AP160" s="38">
        <f t="shared" si="127"/>
        <v>5.028222019984768</v>
      </c>
      <c r="AQ160" s="38">
        <f t="shared" si="128"/>
        <v>3.977446487541179</v>
      </c>
      <c r="AR160" s="38">
        <f t="shared" si="129"/>
        <v>1.0427029978197819</v>
      </c>
      <c r="AS160" s="40"/>
      <c r="AT160" s="38">
        <f t="shared" si="130"/>
        <v>2.8075526749244135</v>
      </c>
      <c r="AU160" s="38">
        <f t="shared" si="131"/>
        <v>0</v>
      </c>
      <c r="AV160" s="38">
        <f t="shared" si="132"/>
        <v>1.1475695051749726</v>
      </c>
      <c r="AW160" s="38">
        <f t="shared" si="133"/>
        <v>0</v>
      </c>
      <c r="AX160" s="38">
        <f t="shared" si="134"/>
        <v>0</v>
      </c>
      <c r="AY160" s="38">
        <f t="shared" si="135"/>
        <v>8.027225718874903E-3</v>
      </c>
      <c r="AZ160" s="38">
        <f t="shared" si="136"/>
        <v>0</v>
      </c>
      <c r="BA160" s="38">
        <f t="shared" si="137"/>
        <v>0</v>
      </c>
      <c r="BB160" s="38">
        <f t="shared" si="138"/>
        <v>0.18437216287161487</v>
      </c>
      <c r="BC160" s="38">
        <f t="shared" si="139"/>
        <v>0.80431750487969722</v>
      </c>
      <c r="BD160" s="38">
        <f t="shared" si="140"/>
        <v>4.816092643042668E-2</v>
      </c>
      <c r="BE160" s="38">
        <f t="shared" si="141"/>
        <v>0</v>
      </c>
      <c r="BF160" s="38">
        <f t="shared" si="142"/>
        <v>0</v>
      </c>
      <c r="BG160" s="38">
        <f t="shared" si="143"/>
        <v>0</v>
      </c>
      <c r="BH160" s="41">
        <f t="shared" si="144"/>
        <v>5</v>
      </c>
      <c r="BI160" s="42">
        <f t="shared" si="145"/>
        <v>7.9591118247162749</v>
      </c>
      <c r="BJ160" s="38">
        <f t="shared" si="146"/>
        <v>3.9551221800993863</v>
      </c>
      <c r="BK160" s="38">
        <f t="shared" si="147"/>
        <v>1.0368505941817387</v>
      </c>
      <c r="BL160" s="16"/>
      <c r="BM160" s="16">
        <f t="shared" si="148"/>
        <v>0.17781941188654823</v>
      </c>
      <c r="BN160" s="16">
        <f t="shared" si="149"/>
        <v>0.77573134393046095</v>
      </c>
      <c r="BO160" s="16">
        <f t="shared" si="150"/>
        <v>4.6449244182990797E-2</v>
      </c>
      <c r="BP160" s="15"/>
      <c r="BQ160" s="38">
        <f t="shared" si="151"/>
        <v>1.0644141145139814</v>
      </c>
      <c r="BR160" s="38">
        <f t="shared" si="152"/>
        <v>0</v>
      </c>
      <c r="BS160" s="38">
        <f t="shared" si="153"/>
        <v>0.43507257748136524</v>
      </c>
      <c r="BT160" s="38">
        <f t="shared" si="154"/>
        <v>0</v>
      </c>
      <c r="BU160" s="38">
        <f t="shared" si="155"/>
        <v>3.0433239710418334E-3</v>
      </c>
      <c r="BV160" s="38">
        <f t="shared" si="156"/>
        <v>0</v>
      </c>
      <c r="BW160" s="38">
        <f t="shared" si="157"/>
        <v>0</v>
      </c>
      <c r="BX160" s="38">
        <f t="shared" si="158"/>
        <v>6.9900142653352357E-2</v>
      </c>
      <c r="BY160" s="38">
        <f t="shared" si="159"/>
        <v>0.30493707647628265</v>
      </c>
      <c r="BZ160" s="38">
        <f t="shared" si="160"/>
        <v>1.8259023354564755E-2</v>
      </c>
      <c r="CA160" s="38">
        <f t="shared" si="161"/>
        <v>0</v>
      </c>
      <c r="CB160" s="38">
        <f t="shared" si="162"/>
        <v>0</v>
      </c>
      <c r="CC160" s="38">
        <f t="shared" si="163"/>
        <v>0</v>
      </c>
      <c r="CD160" s="38">
        <f t="shared" si="164"/>
        <v>1.8956262584505883</v>
      </c>
      <c r="CE160" s="38">
        <f t="shared" si="165"/>
        <v>3.0159786117898282</v>
      </c>
      <c r="CF160" s="38">
        <f t="shared" si="166"/>
        <v>2.6376507382245311</v>
      </c>
      <c r="CG160" s="38">
        <f t="shared" si="167"/>
        <v>7.9550982118568365</v>
      </c>
      <c r="CH160" s="15"/>
      <c r="CI160" s="16"/>
      <c r="CJ160" s="13"/>
      <c r="CK160" s="104"/>
      <c r="CL160" s="13"/>
      <c r="CM160" s="13"/>
      <c r="CN160" s="13"/>
      <c r="CO160" s="16"/>
      <c r="CP160" s="16"/>
      <c r="CQ160" s="16"/>
      <c r="CR160" s="16"/>
      <c r="CS160" s="16"/>
      <c r="CT160" s="16"/>
      <c r="CU160" s="16"/>
      <c r="CV160" s="16"/>
      <c r="CW160" s="16"/>
      <c r="CX160" s="16"/>
      <c r="CY160" s="104"/>
      <c r="CZ160" s="104"/>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3"/>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row>
    <row r="161" spans="1:167" x14ac:dyDescent="0.25">
      <c r="A161" s="35" t="s">
        <v>86</v>
      </c>
      <c r="B161" s="15">
        <v>565</v>
      </c>
      <c r="C161" s="102" t="s">
        <v>96</v>
      </c>
      <c r="D161" s="102" t="s">
        <v>105</v>
      </c>
      <c r="E161" s="15">
        <v>76</v>
      </c>
      <c r="F161" s="16">
        <v>62.16</v>
      </c>
      <c r="G161" s="16">
        <v>0</v>
      </c>
      <c r="H161" s="16">
        <v>23.29</v>
      </c>
      <c r="I161" s="16">
        <v>0</v>
      </c>
      <c r="J161" s="16">
        <v>0.21956267434536128</v>
      </c>
      <c r="K161" s="16">
        <v>0</v>
      </c>
      <c r="L161" s="16">
        <v>0</v>
      </c>
      <c r="M161" s="16">
        <v>5.15</v>
      </c>
      <c r="N161" s="16">
        <v>8.77</v>
      </c>
      <c r="O161" s="16">
        <v>0.621</v>
      </c>
      <c r="P161" s="16"/>
      <c r="Q161" s="16"/>
      <c r="R161" s="16"/>
      <c r="S161" s="16">
        <f t="shared" si="113"/>
        <v>100.21056267434534</v>
      </c>
      <c r="T161" s="16"/>
      <c r="U161" s="15">
        <v>1</v>
      </c>
      <c r="V161" s="15">
        <v>17</v>
      </c>
      <c r="W161" s="15">
        <v>127.99999999999999</v>
      </c>
      <c r="X161" s="15" t="s">
        <v>258</v>
      </c>
      <c r="Y161" s="15"/>
      <c r="Z161" s="37">
        <v>8</v>
      </c>
      <c r="AA161" s="37">
        <v>5</v>
      </c>
      <c r="AB161" s="15"/>
      <c r="AC161" s="38">
        <f t="shared" si="114"/>
        <v>2.7612998662415831</v>
      </c>
      <c r="AD161" s="38">
        <f t="shared" si="115"/>
        <v>0</v>
      </c>
      <c r="AE161" s="38">
        <f t="shared" si="116"/>
        <v>1.2192763429436739</v>
      </c>
      <c r="AF161" s="38">
        <f t="shared" si="117"/>
        <v>0</v>
      </c>
      <c r="AG161" s="38">
        <f t="shared" si="118"/>
        <v>8.1557560995427769E-3</v>
      </c>
      <c r="AH161" s="38">
        <f t="shared" si="119"/>
        <v>0</v>
      </c>
      <c r="AI161" s="38">
        <f t="shared" si="120"/>
        <v>0</v>
      </c>
      <c r="AJ161" s="38">
        <f t="shared" si="121"/>
        <v>0.24509345510433847</v>
      </c>
      <c r="AK161" s="38">
        <f t="shared" si="122"/>
        <v>0.7552843870020326</v>
      </c>
      <c r="AL161" s="38">
        <f t="shared" si="123"/>
        <v>3.5188696792851637E-2</v>
      </c>
      <c r="AM161" s="38">
        <f t="shared" si="124"/>
        <v>0</v>
      </c>
      <c r="AN161" s="38">
        <f t="shared" si="125"/>
        <v>0</v>
      </c>
      <c r="AO161" s="38">
        <f t="shared" si="126"/>
        <v>0</v>
      </c>
      <c r="AP161" s="38">
        <f t="shared" si="127"/>
        <v>5.0242985041840225</v>
      </c>
      <c r="AQ161" s="38">
        <f t="shared" si="128"/>
        <v>3.9805762091852568</v>
      </c>
      <c r="AR161" s="38">
        <f t="shared" si="129"/>
        <v>1.0355665388992228</v>
      </c>
      <c r="AS161" s="40"/>
      <c r="AT161" s="38">
        <f t="shared" si="130"/>
        <v>2.747945672358131</v>
      </c>
      <c r="AU161" s="38">
        <f t="shared" si="131"/>
        <v>0</v>
      </c>
      <c r="AV161" s="38">
        <f t="shared" si="132"/>
        <v>1.2133796806940436</v>
      </c>
      <c r="AW161" s="38">
        <f t="shared" si="133"/>
        <v>0</v>
      </c>
      <c r="AX161" s="38">
        <f t="shared" si="134"/>
        <v>0</v>
      </c>
      <c r="AY161" s="38">
        <f t="shared" si="135"/>
        <v>8.1163132452729565E-3</v>
      </c>
      <c r="AZ161" s="38">
        <f t="shared" si="136"/>
        <v>0</v>
      </c>
      <c r="BA161" s="38">
        <f t="shared" si="137"/>
        <v>0</v>
      </c>
      <c r="BB161" s="38">
        <f t="shared" si="138"/>
        <v>0.24390813453881677</v>
      </c>
      <c r="BC161" s="38">
        <f t="shared" si="139"/>
        <v>0.75163168188858986</v>
      </c>
      <c r="BD161" s="38">
        <f t="shared" si="140"/>
        <v>3.5018517275145954E-2</v>
      </c>
      <c r="BE161" s="38">
        <f t="shared" si="141"/>
        <v>0</v>
      </c>
      <c r="BF161" s="38">
        <f t="shared" si="142"/>
        <v>0</v>
      </c>
      <c r="BG161" s="38">
        <f t="shared" si="143"/>
        <v>0</v>
      </c>
      <c r="BH161" s="41">
        <f t="shared" si="144"/>
        <v>5</v>
      </c>
      <c r="BI161" s="42">
        <f t="shared" si="145"/>
        <v>7.9653685697459222</v>
      </c>
      <c r="BJ161" s="38">
        <f t="shared" si="146"/>
        <v>3.9613253530521746</v>
      </c>
      <c r="BK161" s="38">
        <f t="shared" si="147"/>
        <v>1.0305583337025526</v>
      </c>
      <c r="BL161" s="16"/>
      <c r="BM161" s="16">
        <f t="shared" si="148"/>
        <v>0.23667571894015205</v>
      </c>
      <c r="BN161" s="16">
        <f t="shared" si="149"/>
        <v>0.72934414026632999</v>
      </c>
      <c r="BO161" s="16">
        <f t="shared" si="150"/>
        <v>3.3980140793517917E-2</v>
      </c>
      <c r="BP161" s="15"/>
      <c r="BQ161" s="38">
        <f t="shared" si="151"/>
        <v>1.0346205059920106</v>
      </c>
      <c r="BR161" s="38">
        <f t="shared" si="152"/>
        <v>0</v>
      </c>
      <c r="BS161" s="38">
        <f t="shared" si="153"/>
        <v>0.45684582189093764</v>
      </c>
      <c r="BT161" s="38">
        <f t="shared" si="154"/>
        <v>0</v>
      </c>
      <c r="BU161" s="38">
        <f t="shared" si="155"/>
        <v>3.0558479380008532E-3</v>
      </c>
      <c r="BV161" s="38">
        <f t="shared" si="156"/>
        <v>0</v>
      </c>
      <c r="BW161" s="38">
        <f t="shared" si="157"/>
        <v>0</v>
      </c>
      <c r="BX161" s="38">
        <f t="shared" si="158"/>
        <v>9.1833095577746091E-2</v>
      </c>
      <c r="BY161" s="38">
        <f t="shared" si="159"/>
        <v>0.28299451435947082</v>
      </c>
      <c r="BZ161" s="38">
        <f t="shared" si="160"/>
        <v>1.3184713375796178E-2</v>
      </c>
      <c r="CA161" s="38">
        <f t="shared" si="161"/>
        <v>0</v>
      </c>
      <c r="CB161" s="38">
        <f t="shared" si="162"/>
        <v>0</v>
      </c>
      <c r="CC161" s="38">
        <f t="shared" si="163"/>
        <v>0</v>
      </c>
      <c r="CD161" s="38">
        <f t="shared" si="164"/>
        <v>1.8825344991339621</v>
      </c>
      <c r="CE161" s="38">
        <f t="shared" si="165"/>
        <v>2.9974883022038079</v>
      </c>
      <c r="CF161" s="38">
        <f t="shared" si="166"/>
        <v>2.6559938223178334</v>
      </c>
      <c r="CG161" s="38">
        <f t="shared" si="167"/>
        <v>7.961310413123285</v>
      </c>
      <c r="CH161" s="15"/>
      <c r="CI161" s="16"/>
      <c r="CJ161" s="13"/>
      <c r="CK161" s="104"/>
      <c r="CL161" s="13"/>
      <c r="CM161" s="13"/>
      <c r="CN161" s="13"/>
      <c r="CO161" s="16"/>
      <c r="CP161" s="16"/>
      <c r="CQ161" s="16"/>
      <c r="CR161" s="16"/>
      <c r="CS161" s="16"/>
      <c r="CT161" s="16"/>
      <c r="CU161" s="16"/>
      <c r="CV161" s="16"/>
      <c r="CW161" s="16"/>
      <c r="CX161" s="16"/>
      <c r="CY161" s="104"/>
      <c r="CZ161" s="104"/>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3"/>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row>
    <row r="162" spans="1:167" x14ac:dyDescent="0.25">
      <c r="A162" s="35" t="s">
        <v>86</v>
      </c>
      <c r="B162" s="15">
        <v>566</v>
      </c>
      <c r="C162" s="102" t="s">
        <v>96</v>
      </c>
      <c r="D162" s="102" t="s">
        <v>105</v>
      </c>
      <c r="E162" s="15">
        <v>77</v>
      </c>
      <c r="F162" s="16">
        <v>60.06</v>
      </c>
      <c r="G162" s="16">
        <v>0</v>
      </c>
      <c r="H162" s="16">
        <v>24.62</v>
      </c>
      <c r="I162" s="16">
        <v>0</v>
      </c>
      <c r="J162" s="16">
        <v>0.2888508953477909</v>
      </c>
      <c r="K162" s="16">
        <v>0</v>
      </c>
      <c r="L162" s="16">
        <v>0</v>
      </c>
      <c r="M162" s="16">
        <v>6.89</v>
      </c>
      <c r="N162" s="16">
        <v>7.89</v>
      </c>
      <c r="O162" s="16">
        <v>0.42799999999999999</v>
      </c>
      <c r="P162" s="16"/>
      <c r="Q162" s="16"/>
      <c r="R162" s="16"/>
      <c r="S162" s="16">
        <f t="shared" si="113"/>
        <v>100.1768508953478</v>
      </c>
      <c r="T162" s="16"/>
      <c r="U162" s="15">
        <v>1</v>
      </c>
      <c r="V162" s="15">
        <v>16</v>
      </c>
      <c r="W162" s="15">
        <v>115.19999999999999</v>
      </c>
      <c r="X162" s="15" t="s">
        <v>258</v>
      </c>
      <c r="Y162" s="15"/>
      <c r="Z162" s="37">
        <v>8</v>
      </c>
      <c r="AA162" s="37">
        <v>5</v>
      </c>
      <c r="AB162" s="15"/>
      <c r="AC162" s="38">
        <f t="shared" si="114"/>
        <v>2.6814574489148741</v>
      </c>
      <c r="AD162" s="38">
        <f t="shared" si="115"/>
        <v>0</v>
      </c>
      <c r="AE162" s="38">
        <f t="shared" si="116"/>
        <v>1.2953994946234735</v>
      </c>
      <c r="AF162" s="38">
        <f t="shared" si="117"/>
        <v>0</v>
      </c>
      <c r="AG162" s="38">
        <f t="shared" si="118"/>
        <v>1.078356725810964E-2</v>
      </c>
      <c r="AH162" s="38">
        <f t="shared" si="119"/>
        <v>0</v>
      </c>
      <c r="AI162" s="38">
        <f t="shared" si="120"/>
        <v>0</v>
      </c>
      <c r="AJ162" s="38">
        <f t="shared" si="121"/>
        <v>0.32955410279427266</v>
      </c>
      <c r="AK162" s="38">
        <f t="shared" si="122"/>
        <v>0.68292173152117142</v>
      </c>
      <c r="AL162" s="38">
        <f t="shared" si="123"/>
        <v>2.4374648844144111E-2</v>
      </c>
      <c r="AM162" s="38">
        <f t="shared" si="124"/>
        <v>0</v>
      </c>
      <c r="AN162" s="38">
        <f t="shared" si="125"/>
        <v>0</v>
      </c>
      <c r="AO162" s="38">
        <f t="shared" si="126"/>
        <v>0</v>
      </c>
      <c r="AP162" s="38">
        <f t="shared" si="127"/>
        <v>5.0244909939560456</v>
      </c>
      <c r="AQ162" s="38">
        <f t="shared" si="128"/>
        <v>3.9768569435383476</v>
      </c>
      <c r="AR162" s="38">
        <f t="shared" si="129"/>
        <v>1.0368504831595882</v>
      </c>
      <c r="AS162" s="40"/>
      <c r="AT162" s="38">
        <f t="shared" si="130"/>
        <v>2.668387158162286</v>
      </c>
      <c r="AU162" s="38">
        <f t="shared" si="131"/>
        <v>0</v>
      </c>
      <c r="AV162" s="38">
        <f t="shared" si="132"/>
        <v>1.2890852985722416</v>
      </c>
      <c r="AW162" s="38">
        <f t="shared" si="133"/>
        <v>0</v>
      </c>
      <c r="AX162" s="38">
        <f t="shared" si="134"/>
        <v>0</v>
      </c>
      <c r="AY162" s="38">
        <f t="shared" si="135"/>
        <v>1.0731004664035801E-2</v>
      </c>
      <c r="AZ162" s="38">
        <f t="shared" si="136"/>
        <v>0</v>
      </c>
      <c r="BA162" s="38">
        <f t="shared" si="137"/>
        <v>0</v>
      </c>
      <c r="BB162" s="38">
        <f t="shared" si="138"/>
        <v>0.3279477495239746</v>
      </c>
      <c r="BC162" s="38">
        <f t="shared" si="139"/>
        <v>0.67959295015421184</v>
      </c>
      <c r="BD162" s="38">
        <f t="shared" si="140"/>
        <v>2.4255838923250485E-2</v>
      </c>
      <c r="BE162" s="38">
        <f t="shared" si="141"/>
        <v>0</v>
      </c>
      <c r="BF162" s="38">
        <f t="shared" si="142"/>
        <v>0</v>
      </c>
      <c r="BG162" s="38">
        <f t="shared" si="143"/>
        <v>0</v>
      </c>
      <c r="BH162" s="41">
        <f t="shared" si="144"/>
        <v>5</v>
      </c>
      <c r="BI162" s="42">
        <f t="shared" si="145"/>
        <v>7.9663709152416935</v>
      </c>
      <c r="BJ162" s="38">
        <f t="shared" si="146"/>
        <v>3.9574724567345276</v>
      </c>
      <c r="BK162" s="38">
        <f t="shared" si="147"/>
        <v>1.0317965386014369</v>
      </c>
      <c r="BL162" s="16"/>
      <c r="BM162" s="16">
        <f t="shared" si="148"/>
        <v>0.3178414903082501</v>
      </c>
      <c r="BN162" s="16">
        <f t="shared" si="149"/>
        <v>0.65865015507357261</v>
      </c>
      <c r="BO162" s="16">
        <f t="shared" si="150"/>
        <v>2.3508354618177341E-2</v>
      </c>
      <c r="BP162" s="15"/>
      <c r="BQ162" s="38">
        <f t="shared" si="151"/>
        <v>0.99966711051930768</v>
      </c>
      <c r="BR162" s="38">
        <f t="shared" si="152"/>
        <v>0</v>
      </c>
      <c r="BS162" s="38">
        <f t="shared" si="153"/>
        <v>0.48293448411141632</v>
      </c>
      <c r="BT162" s="38">
        <f t="shared" si="154"/>
        <v>0</v>
      </c>
      <c r="BU162" s="38">
        <f t="shared" si="155"/>
        <v>4.0201933938453852E-3</v>
      </c>
      <c r="BV162" s="38">
        <f t="shared" si="156"/>
        <v>0</v>
      </c>
      <c r="BW162" s="38">
        <f t="shared" si="157"/>
        <v>0</v>
      </c>
      <c r="BX162" s="38">
        <f t="shared" si="158"/>
        <v>0.12286019971469329</v>
      </c>
      <c r="BY162" s="38">
        <f t="shared" si="159"/>
        <v>0.25459825750242016</v>
      </c>
      <c r="BZ162" s="38">
        <f t="shared" si="160"/>
        <v>9.0870488322717623E-3</v>
      </c>
      <c r="CA162" s="38">
        <f t="shared" si="161"/>
        <v>0</v>
      </c>
      <c r="CB162" s="38">
        <f t="shared" si="162"/>
        <v>0</v>
      </c>
      <c r="CC162" s="38">
        <f t="shared" si="163"/>
        <v>0</v>
      </c>
      <c r="CD162" s="38">
        <f t="shared" si="164"/>
        <v>1.8731672940739545</v>
      </c>
      <c r="CE162" s="38">
        <f t="shared" si="165"/>
        <v>2.9824589934816248</v>
      </c>
      <c r="CF162" s="38">
        <f t="shared" si="166"/>
        <v>2.6692757319745275</v>
      </c>
      <c r="CG162" s="38">
        <f t="shared" si="167"/>
        <v>7.9610054129096763</v>
      </c>
      <c r="CH162" s="15"/>
      <c r="CI162" s="16"/>
      <c r="CJ162" s="13"/>
      <c r="CK162" s="104"/>
      <c r="CL162" s="13"/>
      <c r="CM162" s="13"/>
      <c r="CN162" s="13"/>
      <c r="CO162" s="16"/>
      <c r="CP162" s="16"/>
      <c r="CQ162" s="16"/>
      <c r="CR162" s="16"/>
      <c r="CS162" s="16"/>
      <c r="CT162" s="16"/>
      <c r="CU162" s="16"/>
      <c r="CV162" s="16"/>
      <c r="CW162" s="16"/>
      <c r="CX162" s="16"/>
      <c r="CY162" s="104"/>
      <c r="CZ162" s="104"/>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3"/>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row>
    <row r="163" spans="1:167" x14ac:dyDescent="0.25">
      <c r="A163" s="35" t="s">
        <v>86</v>
      </c>
      <c r="B163" s="15">
        <v>567</v>
      </c>
      <c r="C163" s="102" t="s">
        <v>96</v>
      </c>
      <c r="D163" s="102" t="s">
        <v>105</v>
      </c>
      <c r="E163" s="15">
        <v>78</v>
      </c>
      <c r="F163" s="16">
        <v>58.5</v>
      </c>
      <c r="G163" s="16">
        <v>0</v>
      </c>
      <c r="H163" s="16">
        <v>25.79</v>
      </c>
      <c r="I163" s="16">
        <v>0</v>
      </c>
      <c r="J163" s="16">
        <v>0.41033024385854405</v>
      </c>
      <c r="K163" s="16">
        <v>0</v>
      </c>
      <c r="L163" s="16">
        <v>0</v>
      </c>
      <c r="M163" s="16">
        <v>8.11</v>
      </c>
      <c r="N163" s="16">
        <v>7.18</v>
      </c>
      <c r="O163" s="16">
        <v>0.31</v>
      </c>
      <c r="P163" s="16"/>
      <c r="Q163" s="16"/>
      <c r="R163" s="16"/>
      <c r="S163" s="16">
        <f t="shared" si="113"/>
        <v>100.30033024385853</v>
      </c>
      <c r="T163" s="16"/>
      <c r="U163" s="15">
        <v>1</v>
      </c>
      <c r="V163" s="15">
        <v>15</v>
      </c>
      <c r="W163" s="15">
        <v>102.39999999999999</v>
      </c>
      <c r="X163" s="15" t="s">
        <v>258</v>
      </c>
      <c r="Y163" s="15"/>
      <c r="Z163" s="37">
        <v>8</v>
      </c>
      <c r="AA163" s="37">
        <v>5</v>
      </c>
      <c r="AB163" s="15"/>
      <c r="AC163" s="38">
        <f t="shared" si="114"/>
        <v>2.6177496542674725</v>
      </c>
      <c r="AD163" s="38">
        <f t="shared" si="115"/>
        <v>0</v>
      </c>
      <c r="AE163" s="38">
        <f t="shared" si="116"/>
        <v>1.360046257825315</v>
      </c>
      <c r="AF163" s="38">
        <f t="shared" si="117"/>
        <v>0</v>
      </c>
      <c r="AG163" s="38">
        <f t="shared" si="118"/>
        <v>1.5353554137142593E-2</v>
      </c>
      <c r="AH163" s="38">
        <f t="shared" si="119"/>
        <v>0</v>
      </c>
      <c r="AI163" s="38">
        <f t="shared" si="120"/>
        <v>0</v>
      </c>
      <c r="AJ163" s="38">
        <f t="shared" si="121"/>
        <v>0.38878993920231197</v>
      </c>
      <c r="AK163" s="38">
        <f t="shared" si="122"/>
        <v>0.62288093289527546</v>
      </c>
      <c r="AL163" s="38">
        <f t="shared" si="123"/>
        <v>1.7694689879979245E-2</v>
      </c>
      <c r="AM163" s="38">
        <f t="shared" si="124"/>
        <v>0</v>
      </c>
      <c r="AN163" s="38">
        <f t="shared" si="125"/>
        <v>0</v>
      </c>
      <c r="AO163" s="38">
        <f t="shared" si="126"/>
        <v>0</v>
      </c>
      <c r="AP163" s="38">
        <f t="shared" si="127"/>
        <v>5.0225150282074962</v>
      </c>
      <c r="AQ163" s="38">
        <f t="shared" si="128"/>
        <v>3.9777959120927875</v>
      </c>
      <c r="AR163" s="38">
        <f t="shared" si="129"/>
        <v>1.0293655619775668</v>
      </c>
      <c r="AS163" s="40"/>
      <c r="AT163" s="38">
        <f t="shared" si="130"/>
        <v>2.6060147551233213</v>
      </c>
      <c r="AU163" s="38">
        <f t="shared" si="131"/>
        <v>0</v>
      </c>
      <c r="AV163" s="38">
        <f t="shared" si="132"/>
        <v>1.353949415966911</v>
      </c>
      <c r="AW163" s="38">
        <f t="shared" si="133"/>
        <v>0</v>
      </c>
      <c r="AX163" s="38">
        <f t="shared" si="134"/>
        <v>0</v>
      </c>
      <c r="AY163" s="38">
        <f t="shared" si="135"/>
        <v>1.528472692556798E-2</v>
      </c>
      <c r="AZ163" s="38">
        <f t="shared" si="136"/>
        <v>0</v>
      </c>
      <c r="BA163" s="38">
        <f t="shared" si="137"/>
        <v>0</v>
      </c>
      <c r="BB163" s="38">
        <f t="shared" si="138"/>
        <v>0.38704706408919248</v>
      </c>
      <c r="BC163" s="38">
        <f t="shared" si="139"/>
        <v>0.62008867011551538</v>
      </c>
      <c r="BD163" s="38">
        <f t="shared" si="140"/>
        <v>1.7615367779491107E-2</v>
      </c>
      <c r="BE163" s="38">
        <f t="shared" si="141"/>
        <v>0</v>
      </c>
      <c r="BF163" s="38">
        <f t="shared" si="142"/>
        <v>0</v>
      </c>
      <c r="BG163" s="38">
        <f t="shared" si="143"/>
        <v>0</v>
      </c>
      <c r="BH163" s="41">
        <f t="shared" si="144"/>
        <v>4.9999999999999991</v>
      </c>
      <c r="BI163" s="42">
        <f t="shared" si="145"/>
        <v>7.9717798076220578</v>
      </c>
      <c r="BJ163" s="38">
        <f t="shared" si="146"/>
        <v>3.959964171090232</v>
      </c>
      <c r="BK163" s="38">
        <f t="shared" si="147"/>
        <v>1.0247511019841988</v>
      </c>
      <c r="BL163" s="16"/>
      <c r="BM163" s="16">
        <f t="shared" si="148"/>
        <v>0.37769860733963911</v>
      </c>
      <c r="BN163" s="16">
        <f t="shared" si="149"/>
        <v>0.60511149382016149</v>
      </c>
      <c r="BO163" s="16">
        <f t="shared" si="150"/>
        <v>1.718989884019927E-2</v>
      </c>
      <c r="BP163" s="15"/>
      <c r="BQ163" s="38">
        <f t="shared" si="151"/>
        <v>0.97370173102529967</v>
      </c>
      <c r="BR163" s="38">
        <f t="shared" si="152"/>
        <v>0</v>
      </c>
      <c r="BS163" s="38">
        <f t="shared" si="153"/>
        <v>0.50588466065123583</v>
      </c>
      <c r="BT163" s="38">
        <f t="shared" si="154"/>
        <v>0</v>
      </c>
      <c r="BU163" s="38">
        <f t="shared" si="155"/>
        <v>5.7109289333130697E-3</v>
      </c>
      <c r="BV163" s="38">
        <f t="shared" si="156"/>
        <v>0</v>
      </c>
      <c r="BW163" s="38">
        <f t="shared" si="157"/>
        <v>0</v>
      </c>
      <c r="BX163" s="38">
        <f t="shared" si="158"/>
        <v>0.1446148359486448</v>
      </c>
      <c r="BY163" s="38">
        <f t="shared" si="159"/>
        <v>0.23168764117457244</v>
      </c>
      <c r="BZ163" s="38">
        <f t="shared" si="160"/>
        <v>6.5817409766454347E-3</v>
      </c>
      <c r="CA163" s="38">
        <f t="shared" si="161"/>
        <v>0</v>
      </c>
      <c r="CB163" s="38">
        <f t="shared" si="162"/>
        <v>0</v>
      </c>
      <c r="CC163" s="38">
        <f t="shared" si="163"/>
        <v>0</v>
      </c>
      <c r="CD163" s="38">
        <f t="shared" si="164"/>
        <v>1.8681815387097114</v>
      </c>
      <c r="CE163" s="38">
        <f t="shared" si="165"/>
        <v>2.9756909089850199</v>
      </c>
      <c r="CF163" s="38">
        <f t="shared" si="166"/>
        <v>2.6763994271420364</v>
      </c>
      <c r="CG163" s="38">
        <f t="shared" si="167"/>
        <v>7.9641374441592729</v>
      </c>
      <c r="CH163" s="15"/>
      <c r="CI163" s="16">
        <v>25.057664277267808</v>
      </c>
      <c r="CJ163" s="13">
        <v>49014.408490113106</v>
      </c>
      <c r="CK163" s="104">
        <v>294.31878702576313</v>
      </c>
      <c r="CL163" s="13">
        <v>146098.87742586373</v>
      </c>
      <c r="CM163" s="13">
        <v>272986.19417106366</v>
      </c>
      <c r="CN163" s="13">
        <v>58696.350363965561</v>
      </c>
      <c r="CO163" s="16">
        <v>0.23500441219447143</v>
      </c>
      <c r="CP163" s="16">
        <v>240.85135689252093</v>
      </c>
      <c r="CQ163" s="16">
        <v>0.13090855443917981</v>
      </c>
      <c r="CR163" s="16"/>
      <c r="CS163" s="16">
        <v>34.167155755949828</v>
      </c>
      <c r="CT163" s="16">
        <v>0.47547531134990273</v>
      </c>
      <c r="CU163" s="16"/>
      <c r="CV163" s="16"/>
      <c r="CW163" s="16">
        <v>7.5522077818069535</v>
      </c>
      <c r="CX163" s="16"/>
      <c r="CY163" s="104">
        <v>547.25941758563317</v>
      </c>
      <c r="CZ163" s="104">
        <v>536.71240226221562</v>
      </c>
      <c r="DA163" s="16">
        <v>1.0170437356947586</v>
      </c>
      <c r="DB163" s="16"/>
      <c r="DC163" s="16"/>
      <c r="DD163" s="16"/>
      <c r="DE163" s="16">
        <v>185.04010297239273</v>
      </c>
      <c r="DF163" s="16">
        <v>4.7023395253844384</v>
      </c>
      <c r="DG163" s="16">
        <v>7.2580732662216771</v>
      </c>
      <c r="DH163" s="16">
        <v>0.67317139600467313</v>
      </c>
      <c r="DI163" s="16">
        <v>2.4722998854064735</v>
      </c>
      <c r="DJ163" s="16">
        <v>0.63959605784680196</v>
      </c>
      <c r="DK163" s="16">
        <v>1.9273666072193374</v>
      </c>
      <c r="DL163" s="16">
        <v>0.44704260304533144</v>
      </c>
      <c r="DM163" s="16">
        <v>2.1159429478897752E-2</v>
      </c>
      <c r="DN163" s="16">
        <v>0.24633553711806891</v>
      </c>
      <c r="DO163" s="16">
        <v>4.3723911595889217E-2</v>
      </c>
      <c r="DP163" s="16">
        <v>0.2123928400539635</v>
      </c>
      <c r="DQ163" s="16"/>
      <c r="DR163" s="16">
        <v>0.1052471024799224</v>
      </c>
      <c r="DS163" s="16"/>
      <c r="DT163" s="16"/>
      <c r="DU163" s="16"/>
      <c r="DV163" s="16">
        <v>2.8903520400047089</v>
      </c>
      <c r="DW163" s="16">
        <v>4.7538328522606456E-2</v>
      </c>
      <c r="DX163" s="16">
        <v>6.264145122424505E-3</v>
      </c>
      <c r="DY163" s="16">
        <f>(DK163/0.05883)/SQRT((DJ163/0.1536)*(DL163/0.2069))</f>
        <v>10.922297190662748</v>
      </c>
      <c r="DZ163" s="16"/>
      <c r="EA163" s="13">
        <f>1128+200*((BM163-0.4)/0.4) -273</f>
        <v>843.84930366981962</v>
      </c>
      <c r="EB163" s="16"/>
      <c r="EC163" s="16">
        <f>(-18.482 -16.353 * BM163)/(0.008314 * (EA163+273))</f>
        <v>-2.6555968839346193</v>
      </c>
      <c r="ED163" s="16"/>
      <c r="EE163" s="16"/>
      <c r="EF163" s="16"/>
      <c r="EG163" s="16"/>
      <c r="EH163" s="16"/>
      <c r="EI163" s="16"/>
      <c r="EJ163" s="16"/>
      <c r="EK163" s="16"/>
      <c r="EL163" s="16">
        <f>(23.856 -20.71 * BM163)/(0.008314 * (EA163+273))</f>
        <v>1.7267662002387887</v>
      </c>
      <c r="EM163" s="16"/>
      <c r="EN163" s="16">
        <f>(-4.5269  -51.811 * BM163)/(0.008314 * (EA163+273)) +N("eqn50a")</f>
        <v>-2.5950009350700802</v>
      </c>
      <c r="EO163" s="16" t="e">
        <f>(-187.27 + 2.26018 *#REF!)/(0.008314 * (EA163+273)) +N("fsp eqn35 from SiO2")</f>
        <v>#REF!</v>
      </c>
      <c r="EP163" s="16"/>
      <c r="EQ163" s="16"/>
      <c r="ER163" s="16">
        <f>(10.146 -35.204 * BM163)/(0.008314 * (EA163+273))</f>
        <v>-0.33929318018619464</v>
      </c>
      <c r="ES163" s="16">
        <f>(2.1146 -37.009 * BM163)/(0.008314 * (EA163+273))</f>
        <v>-1.2776551378395831</v>
      </c>
      <c r="ET163" s="16">
        <f>(-3.6812 -33.822 * BM163)/(0.008314 * (EA163+273))</f>
        <v>-1.7721984474951631</v>
      </c>
      <c r="EU163" s="16">
        <f>(-6.8025 -26.094 * BM163)/(0.008314 * (EA163+273))</f>
        <v>-1.7940007723134697</v>
      </c>
      <c r="EV163" s="16">
        <f>(-5.6996 -30.85 * BM163)/(0.008314 * (EA163+273))</f>
        <v>-1.8686801852078421</v>
      </c>
      <c r="EW163" s="16">
        <f>(-8.6767 -33.32 * BM163)/(0.008314 * (EA163+273))</f>
        <v>-2.2897691766293753</v>
      </c>
      <c r="EX163" s="16"/>
      <c r="EY163" s="16">
        <f>(-1.9714 -59.897 * BM163)/(0.008314 * (EA163+273))</f>
        <v>-2.6486945152119743</v>
      </c>
      <c r="EZ163" s="16">
        <f>(-4.3691 -44.528 * BM163)/(0.008314 * (EA163+273))</f>
        <v>-2.281761624191263</v>
      </c>
      <c r="FA163" s="16">
        <f>(-2.2521 -58.215 * BM163)/(0.008314 * (EA163+273))</f>
        <v>-2.610507058841359</v>
      </c>
      <c r="FB163" s="16"/>
      <c r="FC163" s="16">
        <f>(-8.5 - 57.253 * BM163)/(0.008314 * (EA163+273))</f>
        <v>-3.2442438932207915</v>
      </c>
      <c r="FD163" s="16"/>
      <c r="FE163" s="16">
        <f>(-9.2954 -52.923 * BM163)/(0.008314 * (EA163+273))</f>
        <v>-3.1537763560092302</v>
      </c>
      <c r="FF163" s="16">
        <f>(0.61501 -70.378 * BM163)/(0.008314 * (EA163+273))</f>
        <v>-2.7964788352733851</v>
      </c>
      <c r="FG163" s="16"/>
      <c r="FH163" s="16"/>
      <c r="FI163" s="16"/>
      <c r="FJ163" s="16"/>
      <c r="FK163" s="16"/>
    </row>
    <row r="164" spans="1:167" x14ac:dyDescent="0.25">
      <c r="A164" s="35" t="s">
        <v>86</v>
      </c>
      <c r="B164" s="15">
        <v>568</v>
      </c>
      <c r="C164" s="102" t="s">
        <v>96</v>
      </c>
      <c r="D164" s="102" t="s">
        <v>105</v>
      </c>
      <c r="E164" s="15">
        <v>79</v>
      </c>
      <c r="F164" s="16">
        <v>57.29</v>
      </c>
      <c r="G164" s="16">
        <v>0</v>
      </c>
      <c r="H164" s="16">
        <v>26.32</v>
      </c>
      <c r="I164" s="16">
        <v>0</v>
      </c>
      <c r="J164" s="16">
        <v>0.36353819850625396</v>
      </c>
      <c r="K164" s="16">
        <v>0</v>
      </c>
      <c r="L164" s="16">
        <v>0</v>
      </c>
      <c r="M164" s="16">
        <v>9.16</v>
      </c>
      <c r="N164" s="16">
        <v>6.59</v>
      </c>
      <c r="O164" s="16">
        <v>0.29299999999999998</v>
      </c>
      <c r="P164" s="16"/>
      <c r="Q164" s="16"/>
      <c r="R164" s="16"/>
      <c r="S164" s="16">
        <f t="shared" si="113"/>
        <v>100.01653819850625</v>
      </c>
      <c r="T164" s="16"/>
      <c r="U164" s="15">
        <v>1</v>
      </c>
      <c r="V164" s="15">
        <v>14</v>
      </c>
      <c r="W164" s="15">
        <v>89.6</v>
      </c>
      <c r="X164" s="15" t="s">
        <v>258</v>
      </c>
      <c r="Y164" s="15"/>
      <c r="Z164" s="37">
        <v>8</v>
      </c>
      <c r="AA164" s="37">
        <v>5</v>
      </c>
      <c r="AB164" s="15"/>
      <c r="AC164" s="38">
        <f t="shared" si="114"/>
        <v>2.5777360688321562</v>
      </c>
      <c r="AD164" s="38">
        <f t="shared" si="115"/>
        <v>0</v>
      </c>
      <c r="AE164" s="38">
        <f t="shared" si="116"/>
        <v>1.3956470565522068</v>
      </c>
      <c r="AF164" s="38">
        <f t="shared" si="117"/>
        <v>0</v>
      </c>
      <c r="AG164" s="38">
        <f t="shared" si="118"/>
        <v>1.367769227030362E-2</v>
      </c>
      <c r="AH164" s="38">
        <f t="shared" si="119"/>
        <v>0</v>
      </c>
      <c r="AI164" s="38">
        <f t="shared" si="120"/>
        <v>0</v>
      </c>
      <c r="AJ164" s="38">
        <f t="shared" si="121"/>
        <v>0.44154708183799013</v>
      </c>
      <c r="AK164" s="38">
        <f t="shared" si="122"/>
        <v>0.57484848156059942</v>
      </c>
      <c r="AL164" s="38">
        <f t="shared" si="123"/>
        <v>1.6816525237569473E-2</v>
      </c>
      <c r="AM164" s="38">
        <f t="shared" si="124"/>
        <v>0</v>
      </c>
      <c r="AN164" s="38">
        <f t="shared" si="125"/>
        <v>0</v>
      </c>
      <c r="AO164" s="38">
        <f t="shared" si="126"/>
        <v>0</v>
      </c>
      <c r="AP164" s="38">
        <f t="shared" si="127"/>
        <v>5.0202729062908258</v>
      </c>
      <c r="AQ164" s="38">
        <f t="shared" si="128"/>
        <v>3.973383125384363</v>
      </c>
      <c r="AR164" s="38">
        <f t="shared" si="129"/>
        <v>1.0332120886361589</v>
      </c>
      <c r="AS164" s="40"/>
      <c r="AT164" s="38">
        <f t="shared" si="130"/>
        <v>2.567326634376824</v>
      </c>
      <c r="AU164" s="38">
        <f t="shared" si="131"/>
        <v>0</v>
      </c>
      <c r="AV164" s="38">
        <f t="shared" si="132"/>
        <v>1.3900111434214495</v>
      </c>
      <c r="AW164" s="38">
        <f t="shared" si="133"/>
        <v>0</v>
      </c>
      <c r="AX164" s="38">
        <f t="shared" si="134"/>
        <v>0</v>
      </c>
      <c r="AY164" s="38">
        <f t="shared" si="135"/>
        <v>1.362245890374238E-2</v>
      </c>
      <c r="AZ164" s="38">
        <f t="shared" si="136"/>
        <v>0</v>
      </c>
      <c r="BA164" s="38">
        <f t="shared" si="137"/>
        <v>0</v>
      </c>
      <c r="BB164" s="38">
        <f t="shared" si="138"/>
        <v>0.43976402287283461</v>
      </c>
      <c r="BC164" s="38">
        <f t="shared" si="139"/>
        <v>0.57252712381458959</v>
      </c>
      <c r="BD164" s="38">
        <f t="shared" si="140"/>
        <v>1.6748616610560103E-2</v>
      </c>
      <c r="BE164" s="38">
        <f t="shared" si="141"/>
        <v>0</v>
      </c>
      <c r="BF164" s="38">
        <f t="shared" si="142"/>
        <v>0</v>
      </c>
      <c r="BG164" s="38">
        <f t="shared" si="143"/>
        <v>0</v>
      </c>
      <c r="BH164" s="41">
        <f t="shared" si="144"/>
        <v>5</v>
      </c>
      <c r="BI164" s="42">
        <f t="shared" si="145"/>
        <v>7.9745055653268446</v>
      </c>
      <c r="BJ164" s="38">
        <f t="shared" si="146"/>
        <v>3.9573377777982737</v>
      </c>
      <c r="BK164" s="38">
        <f t="shared" si="147"/>
        <v>1.0290397632979844</v>
      </c>
      <c r="BL164" s="16"/>
      <c r="BM164" s="16">
        <f t="shared" si="148"/>
        <v>0.4273537705320819</v>
      </c>
      <c r="BN164" s="16">
        <f t="shared" si="149"/>
        <v>0.55637026306902782</v>
      </c>
      <c r="BO164" s="16">
        <f t="shared" si="150"/>
        <v>1.6275966398890382E-2</v>
      </c>
      <c r="BP164" s="15"/>
      <c r="BQ164" s="38">
        <f t="shared" si="151"/>
        <v>0.95356191744340879</v>
      </c>
      <c r="BR164" s="38">
        <f t="shared" si="152"/>
        <v>0</v>
      </c>
      <c r="BS164" s="38">
        <f t="shared" si="153"/>
        <v>0.51628089446841907</v>
      </c>
      <c r="BT164" s="38">
        <f t="shared" si="154"/>
        <v>0</v>
      </c>
      <c r="BU164" s="38">
        <f t="shared" si="155"/>
        <v>5.0596826514440361E-3</v>
      </c>
      <c r="BV164" s="38">
        <f t="shared" si="156"/>
        <v>0</v>
      </c>
      <c r="BW164" s="38">
        <f t="shared" si="157"/>
        <v>0</v>
      </c>
      <c r="BX164" s="38">
        <f t="shared" si="158"/>
        <v>0.16333808844507847</v>
      </c>
      <c r="BY164" s="38">
        <f t="shared" si="159"/>
        <v>0.21264924169086802</v>
      </c>
      <c r="BZ164" s="38">
        <f t="shared" si="160"/>
        <v>6.2208067940552015E-3</v>
      </c>
      <c r="CA164" s="38">
        <f t="shared" si="161"/>
        <v>0</v>
      </c>
      <c r="CB164" s="38">
        <f t="shared" si="162"/>
        <v>0</v>
      </c>
      <c r="CC164" s="38">
        <f t="shared" si="163"/>
        <v>0</v>
      </c>
      <c r="CD164" s="38">
        <f t="shared" si="164"/>
        <v>1.8571106314932735</v>
      </c>
      <c r="CE164" s="38">
        <f t="shared" si="165"/>
        <v>2.9593779719284301</v>
      </c>
      <c r="CF164" s="38">
        <f t="shared" si="166"/>
        <v>2.6923544107760442</v>
      </c>
      <c r="CG164" s="38">
        <f t="shared" si="167"/>
        <v>7.967694335874973</v>
      </c>
      <c r="CH164" s="15"/>
      <c r="CI164" s="16"/>
      <c r="CJ164" s="13"/>
      <c r="CK164" s="104"/>
      <c r="CL164" s="13"/>
      <c r="CM164" s="13"/>
      <c r="CN164" s="13"/>
      <c r="CO164" s="16"/>
      <c r="CP164" s="16"/>
      <c r="CQ164" s="16"/>
      <c r="CR164" s="16"/>
      <c r="CS164" s="16"/>
      <c r="CT164" s="16"/>
      <c r="CU164" s="16"/>
      <c r="CV164" s="16"/>
      <c r="CW164" s="16"/>
      <c r="CX164" s="16"/>
      <c r="CY164" s="104"/>
      <c r="CZ164" s="104"/>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3"/>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row>
    <row r="165" spans="1:167" x14ac:dyDescent="0.25">
      <c r="A165" s="35" t="s">
        <v>86</v>
      </c>
      <c r="B165" s="15">
        <v>569</v>
      </c>
      <c r="C165" s="102" t="s">
        <v>96</v>
      </c>
      <c r="D165" s="102" t="s">
        <v>105</v>
      </c>
      <c r="E165" s="15">
        <v>80</v>
      </c>
      <c r="F165" s="16">
        <v>57.31</v>
      </c>
      <c r="G165" s="16">
        <v>0</v>
      </c>
      <c r="H165" s="16">
        <v>26.37</v>
      </c>
      <c r="I165" s="16">
        <v>0</v>
      </c>
      <c r="J165" s="16">
        <v>0.44362458382075048</v>
      </c>
      <c r="K165" s="16">
        <v>0</v>
      </c>
      <c r="L165" s="16">
        <v>0</v>
      </c>
      <c r="M165" s="16">
        <v>9.0299999999999994</v>
      </c>
      <c r="N165" s="16">
        <v>6.88</v>
      </c>
      <c r="O165" s="16">
        <v>0.27500000000000002</v>
      </c>
      <c r="P165" s="16"/>
      <c r="Q165" s="16"/>
      <c r="R165" s="16"/>
      <c r="S165" s="16">
        <f t="shared" si="113"/>
        <v>100.30862458382076</v>
      </c>
      <c r="T165" s="16"/>
      <c r="U165" s="15">
        <v>1</v>
      </c>
      <c r="V165" s="15">
        <v>13</v>
      </c>
      <c r="W165" s="15">
        <v>76.8</v>
      </c>
      <c r="X165" s="15" t="s">
        <v>258</v>
      </c>
      <c r="Y165" s="15"/>
      <c r="Z165" s="37">
        <v>8</v>
      </c>
      <c r="AA165" s="37">
        <v>5</v>
      </c>
      <c r="AB165" s="15"/>
      <c r="AC165" s="38">
        <f t="shared" si="114"/>
        <v>2.5739207749970392</v>
      </c>
      <c r="AD165" s="38">
        <f t="shared" si="115"/>
        <v>0</v>
      </c>
      <c r="AE165" s="38">
        <f t="shared" si="116"/>
        <v>1.3957414927300154</v>
      </c>
      <c r="AF165" s="38">
        <f t="shared" si="117"/>
        <v>0</v>
      </c>
      <c r="AG165" s="38">
        <f t="shared" si="118"/>
        <v>1.666032707595504E-2</v>
      </c>
      <c r="AH165" s="38">
        <f t="shared" si="119"/>
        <v>0</v>
      </c>
      <c r="AI165" s="38">
        <f t="shared" si="120"/>
        <v>0</v>
      </c>
      <c r="AJ165" s="38">
        <f t="shared" si="121"/>
        <v>0.43448464835527156</v>
      </c>
      <c r="AK165" s="38">
        <f t="shared" si="122"/>
        <v>0.59904790374194139</v>
      </c>
      <c r="AL165" s="38">
        <f t="shared" si="123"/>
        <v>1.5754567217402239E-2</v>
      </c>
      <c r="AM165" s="38">
        <f t="shared" si="124"/>
        <v>0</v>
      </c>
      <c r="AN165" s="38">
        <f t="shared" si="125"/>
        <v>0</v>
      </c>
      <c r="AO165" s="38">
        <f t="shared" si="126"/>
        <v>0</v>
      </c>
      <c r="AP165" s="38">
        <f t="shared" si="127"/>
        <v>5.0356097141176246</v>
      </c>
      <c r="AQ165" s="38">
        <f t="shared" si="128"/>
        <v>3.9696622677270543</v>
      </c>
      <c r="AR165" s="38">
        <f t="shared" si="129"/>
        <v>1.0492871193146152</v>
      </c>
      <c r="AS165" s="40"/>
      <c r="AT165" s="38">
        <f t="shared" si="130"/>
        <v>2.5557190897667295</v>
      </c>
      <c r="AU165" s="38">
        <f t="shared" si="131"/>
        <v>0</v>
      </c>
      <c r="AV165" s="38">
        <f t="shared" si="132"/>
        <v>1.3858713958877442</v>
      </c>
      <c r="AW165" s="38">
        <f t="shared" si="133"/>
        <v>0</v>
      </c>
      <c r="AX165" s="38">
        <f t="shared" si="134"/>
        <v>0</v>
      </c>
      <c r="AY165" s="38">
        <f t="shared" si="135"/>
        <v>1.6542512249556243E-2</v>
      </c>
      <c r="AZ165" s="38">
        <f t="shared" si="136"/>
        <v>0</v>
      </c>
      <c r="BA165" s="38">
        <f t="shared" si="137"/>
        <v>0</v>
      </c>
      <c r="BB165" s="38">
        <f t="shared" si="138"/>
        <v>0.43141215564936319</v>
      </c>
      <c r="BC165" s="38">
        <f t="shared" si="139"/>
        <v>0.59481168890281133</v>
      </c>
      <c r="BD165" s="38">
        <f t="shared" si="140"/>
        <v>1.5643157543795933E-2</v>
      </c>
      <c r="BE165" s="38">
        <f t="shared" si="141"/>
        <v>0</v>
      </c>
      <c r="BF165" s="38">
        <f t="shared" si="142"/>
        <v>0</v>
      </c>
      <c r="BG165" s="38">
        <f t="shared" si="143"/>
        <v>0</v>
      </c>
      <c r="BH165" s="41">
        <f t="shared" si="144"/>
        <v>5</v>
      </c>
      <c r="BI165" s="42">
        <f t="shared" si="145"/>
        <v>7.9516986206120768</v>
      </c>
      <c r="BJ165" s="38">
        <f t="shared" si="146"/>
        <v>3.9415904856544737</v>
      </c>
      <c r="BK165" s="38">
        <f t="shared" si="147"/>
        <v>1.0418670020959704</v>
      </c>
      <c r="BL165" s="16"/>
      <c r="BM165" s="16">
        <f t="shared" si="148"/>
        <v>0.41407603348745287</v>
      </c>
      <c r="BN165" s="16">
        <f t="shared" si="149"/>
        <v>0.57090942289774227</v>
      </c>
      <c r="BO165" s="16">
        <f t="shared" si="150"/>
        <v>1.5014543614804858E-2</v>
      </c>
      <c r="BP165" s="15"/>
      <c r="BQ165" s="38">
        <f t="shared" si="151"/>
        <v>0.95389480692410122</v>
      </c>
      <c r="BR165" s="38">
        <f t="shared" si="152"/>
        <v>0</v>
      </c>
      <c r="BS165" s="38">
        <f t="shared" si="153"/>
        <v>0.51726167124362499</v>
      </c>
      <c r="BT165" s="38">
        <f t="shared" si="154"/>
        <v>0</v>
      </c>
      <c r="BU165" s="38">
        <f t="shared" si="155"/>
        <v>6.1743157107968065E-3</v>
      </c>
      <c r="BV165" s="38">
        <f t="shared" si="156"/>
        <v>0</v>
      </c>
      <c r="BW165" s="38">
        <f t="shared" si="157"/>
        <v>0</v>
      </c>
      <c r="BX165" s="38">
        <f t="shared" si="158"/>
        <v>0.16101997146932953</v>
      </c>
      <c r="BY165" s="38">
        <f t="shared" si="159"/>
        <v>0.22200709906421426</v>
      </c>
      <c r="BZ165" s="38">
        <f t="shared" si="160"/>
        <v>5.8386411889596607E-3</v>
      </c>
      <c r="CA165" s="38">
        <f t="shared" si="161"/>
        <v>0</v>
      </c>
      <c r="CB165" s="38">
        <f t="shared" si="162"/>
        <v>0</v>
      </c>
      <c r="CC165" s="38">
        <f t="shared" si="163"/>
        <v>0</v>
      </c>
      <c r="CD165" s="38">
        <f t="shared" si="164"/>
        <v>1.8661965056010263</v>
      </c>
      <c r="CE165" s="38">
        <f t="shared" si="165"/>
        <v>2.9647992780203531</v>
      </c>
      <c r="CF165" s="38">
        <f t="shared" si="166"/>
        <v>2.6792462556828669</v>
      </c>
      <c r="CG165" s="38">
        <f t="shared" si="167"/>
        <v>7.9434273644872979</v>
      </c>
      <c r="CH165" s="15"/>
      <c r="CI165" s="16"/>
      <c r="CJ165" s="13"/>
      <c r="CK165" s="104"/>
      <c r="CL165" s="13"/>
      <c r="CM165" s="13"/>
      <c r="CN165" s="13"/>
      <c r="CO165" s="16"/>
      <c r="CP165" s="16"/>
      <c r="CQ165" s="16"/>
      <c r="CR165" s="16"/>
      <c r="CS165" s="16"/>
      <c r="CT165" s="16"/>
      <c r="CU165" s="16"/>
      <c r="CV165" s="16"/>
      <c r="CW165" s="16"/>
      <c r="CX165" s="16"/>
      <c r="CY165" s="104"/>
      <c r="CZ165" s="104"/>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3"/>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row>
    <row r="166" spans="1:167" x14ac:dyDescent="0.25">
      <c r="A166" s="35" t="s">
        <v>86</v>
      </c>
      <c r="B166" s="15">
        <v>570</v>
      </c>
      <c r="C166" s="102" t="s">
        <v>96</v>
      </c>
      <c r="D166" s="102" t="s">
        <v>105</v>
      </c>
      <c r="E166" s="15">
        <v>81</v>
      </c>
      <c r="F166" s="16">
        <v>55.03</v>
      </c>
      <c r="G166" s="16">
        <v>0</v>
      </c>
      <c r="H166" s="16">
        <v>27.73</v>
      </c>
      <c r="I166" s="16">
        <v>0</v>
      </c>
      <c r="J166" s="16">
        <v>0.46972014757491232</v>
      </c>
      <c r="K166" s="16">
        <v>0</v>
      </c>
      <c r="L166" s="16">
        <v>0</v>
      </c>
      <c r="M166" s="16">
        <v>10.66</v>
      </c>
      <c r="N166" s="16">
        <v>5.71</v>
      </c>
      <c r="O166" s="16">
        <v>0.20899999999999999</v>
      </c>
      <c r="P166" s="16"/>
      <c r="Q166" s="16"/>
      <c r="R166" s="16"/>
      <c r="S166" s="16">
        <f t="shared" si="113"/>
        <v>99.808720147574917</v>
      </c>
      <c r="T166" s="16"/>
      <c r="U166" s="15">
        <v>1</v>
      </c>
      <c r="V166" s="15">
        <v>12</v>
      </c>
      <c r="W166" s="15">
        <v>64</v>
      </c>
      <c r="X166" s="15" t="s">
        <v>185</v>
      </c>
      <c r="Y166" s="15"/>
      <c r="Z166" s="37">
        <v>8</v>
      </c>
      <c r="AA166" s="37">
        <v>5</v>
      </c>
      <c r="AB166" s="15"/>
      <c r="AC166" s="38">
        <f t="shared" si="114"/>
        <v>2.493413913036151</v>
      </c>
      <c r="AD166" s="38">
        <f t="shared" si="115"/>
        <v>0</v>
      </c>
      <c r="AE166" s="38">
        <f t="shared" si="116"/>
        <v>1.4807264292354771</v>
      </c>
      <c r="AF166" s="38">
        <f t="shared" si="117"/>
        <v>0</v>
      </c>
      <c r="AG166" s="38">
        <f t="shared" si="118"/>
        <v>1.7796606826313011E-2</v>
      </c>
      <c r="AH166" s="38">
        <f t="shared" si="119"/>
        <v>0</v>
      </c>
      <c r="AI166" s="38">
        <f t="shared" si="120"/>
        <v>0</v>
      </c>
      <c r="AJ166" s="38">
        <f t="shared" si="121"/>
        <v>0.5174566700367299</v>
      </c>
      <c r="AK166" s="38">
        <f t="shared" si="122"/>
        <v>0.50157897275407948</v>
      </c>
      <c r="AL166" s="38">
        <f t="shared" si="123"/>
        <v>1.2079533668799568E-2</v>
      </c>
      <c r="AM166" s="38">
        <f t="shared" si="124"/>
        <v>0</v>
      </c>
      <c r="AN166" s="38">
        <f t="shared" si="125"/>
        <v>0</v>
      </c>
      <c r="AO166" s="38">
        <f t="shared" si="126"/>
        <v>0</v>
      </c>
      <c r="AP166" s="38">
        <f t="shared" si="127"/>
        <v>5.02305212555755</v>
      </c>
      <c r="AQ166" s="38">
        <f t="shared" si="128"/>
        <v>3.9741403422716282</v>
      </c>
      <c r="AR166" s="38">
        <f t="shared" si="129"/>
        <v>1.0311151764596089</v>
      </c>
      <c r="AS166" s="40"/>
      <c r="AT166" s="38">
        <f t="shared" si="130"/>
        <v>2.4819709717419927</v>
      </c>
      <c r="AU166" s="38">
        <f t="shared" si="131"/>
        <v>0</v>
      </c>
      <c r="AV166" s="38">
        <f t="shared" si="132"/>
        <v>1.4739309808288312</v>
      </c>
      <c r="AW166" s="38">
        <f t="shared" si="133"/>
        <v>0</v>
      </c>
      <c r="AX166" s="38">
        <f t="shared" si="134"/>
        <v>0</v>
      </c>
      <c r="AY166" s="38">
        <f t="shared" si="135"/>
        <v>1.771493345227591E-2</v>
      </c>
      <c r="AZ166" s="38">
        <f t="shared" si="136"/>
        <v>0</v>
      </c>
      <c r="BA166" s="38">
        <f t="shared" si="137"/>
        <v>0</v>
      </c>
      <c r="BB166" s="38">
        <f t="shared" si="138"/>
        <v>0.51508192340258963</v>
      </c>
      <c r="BC166" s="38">
        <f t="shared" si="139"/>
        <v>0.49927709310641982</v>
      </c>
      <c r="BD166" s="38">
        <f t="shared" si="140"/>
        <v>1.2024097467890361E-2</v>
      </c>
      <c r="BE166" s="38">
        <f t="shared" si="141"/>
        <v>0</v>
      </c>
      <c r="BF166" s="38">
        <f t="shared" si="142"/>
        <v>0</v>
      </c>
      <c r="BG166" s="38">
        <f t="shared" si="143"/>
        <v>0</v>
      </c>
      <c r="BH166" s="41">
        <f t="shared" si="144"/>
        <v>4.9999999999999991</v>
      </c>
      <c r="BI166" s="42">
        <f t="shared" si="145"/>
        <v>7.9721433335953904</v>
      </c>
      <c r="BJ166" s="38">
        <f t="shared" si="146"/>
        <v>3.9559019525708239</v>
      </c>
      <c r="BK166" s="38">
        <f t="shared" si="147"/>
        <v>1.0263831139769</v>
      </c>
      <c r="BL166" s="16"/>
      <c r="BM166" s="16">
        <f t="shared" si="148"/>
        <v>0.50184177466327873</v>
      </c>
      <c r="BN166" s="16">
        <f t="shared" si="149"/>
        <v>0.48644320654485823</v>
      </c>
      <c r="BO166" s="16">
        <f t="shared" si="150"/>
        <v>1.1715018791863112E-2</v>
      </c>
      <c r="BP166" s="15"/>
      <c r="BQ166" s="38">
        <f t="shared" si="151"/>
        <v>0.91594540612516651</v>
      </c>
      <c r="BR166" s="38">
        <f t="shared" si="152"/>
        <v>0</v>
      </c>
      <c r="BS166" s="38">
        <f t="shared" si="153"/>
        <v>0.54393879952922719</v>
      </c>
      <c r="BT166" s="38">
        <f t="shared" si="154"/>
        <v>0</v>
      </c>
      <c r="BU166" s="38">
        <f t="shared" si="155"/>
        <v>6.5375107526083834E-3</v>
      </c>
      <c r="BV166" s="38">
        <f t="shared" si="156"/>
        <v>0</v>
      </c>
      <c r="BW166" s="38">
        <f t="shared" si="157"/>
        <v>0</v>
      </c>
      <c r="BX166" s="38">
        <f t="shared" si="158"/>
        <v>0.19008559201141229</v>
      </c>
      <c r="BY166" s="38">
        <f t="shared" si="159"/>
        <v>0.18425298483381736</v>
      </c>
      <c r="BZ166" s="38">
        <f t="shared" si="160"/>
        <v>4.4373673036093419E-3</v>
      </c>
      <c r="CA166" s="38">
        <f t="shared" si="161"/>
        <v>0</v>
      </c>
      <c r="CB166" s="38">
        <f t="shared" si="162"/>
        <v>0</v>
      </c>
      <c r="CC166" s="38">
        <f t="shared" si="163"/>
        <v>0</v>
      </c>
      <c r="CD166" s="38">
        <f t="shared" si="164"/>
        <v>1.8451976605558411</v>
      </c>
      <c r="CE166" s="38">
        <f t="shared" si="165"/>
        <v>2.9387672903769078</v>
      </c>
      <c r="CF166" s="38">
        <f t="shared" si="166"/>
        <v>2.7097367977877322</v>
      </c>
      <c r="CG166" s="38">
        <f t="shared" si="167"/>
        <v>7.9632858668692528</v>
      </c>
      <c r="CH166" s="15"/>
      <c r="CI166" s="16"/>
      <c r="CJ166" s="13"/>
      <c r="CK166" s="104"/>
      <c r="CL166" s="13"/>
      <c r="CM166" s="13"/>
      <c r="CN166" s="13"/>
      <c r="CO166" s="16"/>
      <c r="CP166" s="16"/>
      <c r="CQ166" s="16"/>
      <c r="CR166" s="16"/>
      <c r="CS166" s="16"/>
      <c r="CT166" s="16"/>
      <c r="CU166" s="16"/>
      <c r="CV166" s="16"/>
      <c r="CW166" s="16"/>
      <c r="CX166" s="16"/>
      <c r="CY166" s="104"/>
      <c r="CZ166" s="104"/>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3"/>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row>
    <row r="167" spans="1:167" x14ac:dyDescent="0.25">
      <c r="A167" s="35" t="s">
        <v>86</v>
      </c>
      <c r="B167" s="15">
        <v>571</v>
      </c>
      <c r="C167" s="102" t="s">
        <v>96</v>
      </c>
      <c r="D167" s="102" t="s">
        <v>105</v>
      </c>
      <c r="E167" s="15">
        <v>82</v>
      </c>
      <c r="F167" s="16">
        <v>55.03</v>
      </c>
      <c r="G167" s="16">
        <v>0</v>
      </c>
      <c r="H167" s="16">
        <v>27.69</v>
      </c>
      <c r="I167" s="16">
        <v>0</v>
      </c>
      <c r="J167" s="16">
        <v>0.48231800593899044</v>
      </c>
      <c r="K167" s="16">
        <v>0</v>
      </c>
      <c r="L167" s="16">
        <v>0</v>
      </c>
      <c r="M167" s="16">
        <v>11.04</v>
      </c>
      <c r="N167" s="16">
        <v>5.57</v>
      </c>
      <c r="O167" s="16">
        <v>0.189</v>
      </c>
      <c r="P167" s="16"/>
      <c r="Q167" s="16"/>
      <c r="R167" s="16"/>
      <c r="S167" s="16">
        <f t="shared" si="113"/>
        <v>100.00131800593897</v>
      </c>
      <c r="T167" s="16"/>
      <c r="U167" s="15">
        <v>1</v>
      </c>
      <c r="V167" s="15">
        <v>11</v>
      </c>
      <c r="W167" s="15">
        <v>51.2</v>
      </c>
      <c r="X167" s="15" t="s">
        <v>185</v>
      </c>
      <c r="Y167" s="15"/>
      <c r="Z167" s="37">
        <v>8</v>
      </c>
      <c r="AA167" s="37">
        <v>5</v>
      </c>
      <c r="AB167" s="15"/>
      <c r="AC167" s="38">
        <f t="shared" si="114"/>
        <v>2.4906143304661463</v>
      </c>
      <c r="AD167" s="38">
        <f t="shared" si="115"/>
        <v>0</v>
      </c>
      <c r="AE167" s="38">
        <f t="shared" si="116"/>
        <v>1.4769303613561988</v>
      </c>
      <c r="AF167" s="38">
        <f t="shared" si="117"/>
        <v>0</v>
      </c>
      <c r="AG167" s="38">
        <f t="shared" si="118"/>
        <v>1.8253392676432202E-2</v>
      </c>
      <c r="AH167" s="38">
        <f t="shared" si="119"/>
        <v>0</v>
      </c>
      <c r="AI167" s="38">
        <f t="shared" si="120"/>
        <v>0</v>
      </c>
      <c r="AJ167" s="38">
        <f t="shared" si="121"/>
        <v>0.53530088602865655</v>
      </c>
      <c r="AK167" s="38">
        <f t="shared" si="122"/>
        <v>0.48873170414039868</v>
      </c>
      <c r="AL167" s="38">
        <f t="shared" si="123"/>
        <v>1.0911332516239066E-2</v>
      </c>
      <c r="AM167" s="38">
        <f t="shared" si="124"/>
        <v>0</v>
      </c>
      <c r="AN167" s="38">
        <f t="shared" si="125"/>
        <v>0</v>
      </c>
      <c r="AO167" s="38">
        <f t="shared" si="126"/>
        <v>0</v>
      </c>
      <c r="AP167" s="38">
        <f t="shared" si="127"/>
        <v>5.0207420071840723</v>
      </c>
      <c r="AQ167" s="38">
        <f t="shared" si="128"/>
        <v>3.9675446918223454</v>
      </c>
      <c r="AR167" s="38">
        <f t="shared" si="129"/>
        <v>1.0349439226852943</v>
      </c>
      <c r="AS167" s="40"/>
      <c r="AT167" s="38">
        <f t="shared" si="130"/>
        <v>2.48032494689269</v>
      </c>
      <c r="AU167" s="38">
        <f t="shared" si="131"/>
        <v>0</v>
      </c>
      <c r="AV167" s="38">
        <f t="shared" si="132"/>
        <v>1.4708287731603127</v>
      </c>
      <c r="AW167" s="38">
        <f t="shared" si="133"/>
        <v>0</v>
      </c>
      <c r="AX167" s="38">
        <f t="shared" si="134"/>
        <v>0</v>
      </c>
      <c r="AY167" s="38">
        <f t="shared" si="135"/>
        <v>1.8177983105200201E-2</v>
      </c>
      <c r="AZ167" s="38">
        <f t="shared" si="136"/>
        <v>0</v>
      </c>
      <c r="BA167" s="38">
        <f t="shared" si="137"/>
        <v>0</v>
      </c>
      <c r="BB167" s="38">
        <f t="shared" si="138"/>
        <v>0.53308941712470581</v>
      </c>
      <c r="BC167" s="38">
        <f t="shared" si="139"/>
        <v>0.48671262478841076</v>
      </c>
      <c r="BD167" s="38">
        <f t="shared" si="140"/>
        <v>1.0866254928680139E-2</v>
      </c>
      <c r="BE167" s="38">
        <f t="shared" si="141"/>
        <v>0</v>
      </c>
      <c r="BF167" s="38">
        <f t="shared" si="142"/>
        <v>0</v>
      </c>
      <c r="BG167" s="38">
        <f t="shared" si="143"/>
        <v>0</v>
      </c>
      <c r="BH167" s="41">
        <f t="shared" si="144"/>
        <v>5</v>
      </c>
      <c r="BI167" s="42">
        <f t="shared" si="145"/>
        <v>7.9760388851669006</v>
      </c>
      <c r="BJ167" s="38">
        <f t="shared" si="146"/>
        <v>3.9511537200530027</v>
      </c>
      <c r="BK167" s="38">
        <f t="shared" si="147"/>
        <v>1.0306682968417968</v>
      </c>
      <c r="BL167" s="16"/>
      <c r="BM167" s="16">
        <f t="shared" si="148"/>
        <v>0.51722694756228915</v>
      </c>
      <c r="BN167" s="16">
        <f t="shared" si="149"/>
        <v>0.47223013095465288</v>
      </c>
      <c r="BO167" s="16">
        <f t="shared" si="150"/>
        <v>1.054292148305796E-2</v>
      </c>
      <c r="BP167" s="15"/>
      <c r="BQ167" s="38">
        <f t="shared" si="151"/>
        <v>0.91594540612516651</v>
      </c>
      <c r="BR167" s="38">
        <f t="shared" si="152"/>
        <v>0</v>
      </c>
      <c r="BS167" s="38">
        <f t="shared" si="153"/>
        <v>0.54315417810906241</v>
      </c>
      <c r="BT167" s="38">
        <f t="shared" si="154"/>
        <v>0</v>
      </c>
      <c r="BU167" s="38">
        <f t="shared" si="155"/>
        <v>6.7128462900346618E-3</v>
      </c>
      <c r="BV167" s="38">
        <f t="shared" si="156"/>
        <v>0</v>
      </c>
      <c r="BW167" s="38">
        <f t="shared" si="157"/>
        <v>0</v>
      </c>
      <c r="BX167" s="38">
        <f t="shared" si="158"/>
        <v>0.19686162624821682</v>
      </c>
      <c r="BY167" s="38">
        <f t="shared" si="159"/>
        <v>0.17973539851565024</v>
      </c>
      <c r="BZ167" s="38">
        <f t="shared" si="160"/>
        <v>4.0127388535031849E-3</v>
      </c>
      <c r="CA167" s="38">
        <f t="shared" si="161"/>
        <v>0</v>
      </c>
      <c r="CB167" s="38">
        <f t="shared" si="162"/>
        <v>0</v>
      </c>
      <c r="CC167" s="38">
        <f t="shared" si="163"/>
        <v>0</v>
      </c>
      <c r="CD167" s="38">
        <f t="shared" si="164"/>
        <v>1.8464221941416339</v>
      </c>
      <c r="CE167" s="38">
        <f t="shared" si="165"/>
        <v>2.9420706206367555</v>
      </c>
      <c r="CF167" s="38">
        <f t="shared" si="166"/>
        <v>2.7079397203218756</v>
      </c>
      <c r="CG167" s="38">
        <f t="shared" si="167"/>
        <v>7.9669498936143022</v>
      </c>
      <c r="CH167" s="15"/>
      <c r="CI167" s="16"/>
      <c r="CJ167" s="13"/>
      <c r="CK167" s="104"/>
      <c r="CL167" s="13"/>
      <c r="CM167" s="13"/>
      <c r="CN167" s="13"/>
      <c r="CO167" s="16"/>
      <c r="CP167" s="16"/>
      <c r="CQ167" s="16"/>
      <c r="CR167" s="16"/>
      <c r="CS167" s="16"/>
      <c r="CT167" s="16"/>
      <c r="CU167" s="16"/>
      <c r="CV167" s="16"/>
      <c r="CW167" s="16"/>
      <c r="CX167" s="16"/>
      <c r="CY167" s="104"/>
      <c r="CZ167" s="104"/>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3"/>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row>
    <row r="168" spans="1:167" x14ac:dyDescent="0.25">
      <c r="A168" s="35" t="s">
        <v>86</v>
      </c>
      <c r="B168" s="15">
        <v>572</v>
      </c>
      <c r="C168" s="102" t="s">
        <v>96</v>
      </c>
      <c r="D168" s="102" t="s">
        <v>105</v>
      </c>
      <c r="E168" s="15">
        <v>83</v>
      </c>
      <c r="F168" s="16">
        <v>55.41</v>
      </c>
      <c r="G168" s="16">
        <v>0</v>
      </c>
      <c r="H168" s="16">
        <v>27.44</v>
      </c>
      <c r="I168" s="16">
        <v>0</v>
      </c>
      <c r="J168" s="16">
        <v>0.48591739404301276</v>
      </c>
      <c r="K168" s="16">
        <v>0</v>
      </c>
      <c r="L168" s="16">
        <v>0</v>
      </c>
      <c r="M168" s="16">
        <v>10.54</v>
      </c>
      <c r="N168" s="16">
        <v>5.72</v>
      </c>
      <c r="O168" s="16">
        <v>0.19500000000000001</v>
      </c>
      <c r="P168" s="16"/>
      <c r="Q168" s="16"/>
      <c r="R168" s="16"/>
      <c r="S168" s="16">
        <f t="shared" si="113"/>
        <v>99.790917394042992</v>
      </c>
      <c r="T168" s="16"/>
      <c r="U168" s="15">
        <v>1</v>
      </c>
      <c r="V168" s="15">
        <v>10</v>
      </c>
      <c r="W168" s="15">
        <v>38.400000000000006</v>
      </c>
      <c r="X168" s="15" t="s">
        <v>185</v>
      </c>
      <c r="Y168" s="15"/>
      <c r="Z168" s="37">
        <v>8</v>
      </c>
      <c r="AA168" s="37">
        <v>5</v>
      </c>
      <c r="AB168" s="15"/>
      <c r="AC168" s="38">
        <f t="shared" si="114"/>
        <v>2.5087405256114925</v>
      </c>
      <c r="AD168" s="38">
        <f t="shared" si="115"/>
        <v>0</v>
      </c>
      <c r="AE168" s="38">
        <f t="shared" si="116"/>
        <v>1.4641372674601751</v>
      </c>
      <c r="AF168" s="38">
        <f t="shared" si="117"/>
        <v>0</v>
      </c>
      <c r="AG168" s="38">
        <f t="shared" si="118"/>
        <v>1.8396414748134117E-2</v>
      </c>
      <c r="AH168" s="38">
        <f t="shared" si="119"/>
        <v>0</v>
      </c>
      <c r="AI168" s="38">
        <f t="shared" si="120"/>
        <v>0</v>
      </c>
      <c r="AJ168" s="38">
        <f t="shared" si="121"/>
        <v>0.5112462378132252</v>
      </c>
      <c r="AK168" s="38">
        <f t="shared" si="122"/>
        <v>0.50207890154550561</v>
      </c>
      <c r="AL168" s="38">
        <f t="shared" si="123"/>
        <v>1.1261888505280268E-2</v>
      </c>
      <c r="AM168" s="38">
        <f t="shared" si="124"/>
        <v>0</v>
      </c>
      <c r="AN168" s="38">
        <f t="shared" si="125"/>
        <v>0</v>
      </c>
      <c r="AO168" s="38">
        <f t="shared" si="126"/>
        <v>0</v>
      </c>
      <c r="AP168" s="38">
        <f t="shared" si="127"/>
        <v>5.015861235683813</v>
      </c>
      <c r="AQ168" s="38">
        <f t="shared" si="128"/>
        <v>3.9728777930716674</v>
      </c>
      <c r="AR168" s="38">
        <f t="shared" si="129"/>
        <v>1.024587027864011</v>
      </c>
      <c r="AS168" s="40"/>
      <c r="AT168" s="38">
        <f t="shared" si="130"/>
        <v>2.5008073466664351</v>
      </c>
      <c r="AU168" s="38">
        <f t="shared" si="131"/>
        <v>0</v>
      </c>
      <c r="AV168" s="38">
        <f t="shared" si="132"/>
        <v>1.4595073494497992</v>
      </c>
      <c r="AW168" s="38">
        <f t="shared" si="133"/>
        <v>0</v>
      </c>
      <c r="AX168" s="38">
        <f t="shared" si="134"/>
        <v>0</v>
      </c>
      <c r="AY168" s="38">
        <f t="shared" si="135"/>
        <v>1.8338241314630518E-2</v>
      </c>
      <c r="AZ168" s="38">
        <f t="shared" si="136"/>
        <v>0</v>
      </c>
      <c r="BA168" s="38">
        <f t="shared" si="137"/>
        <v>0</v>
      </c>
      <c r="BB168" s="38">
        <f t="shared" si="138"/>
        <v>0.50962956687888405</v>
      </c>
      <c r="BC168" s="38">
        <f t="shared" si="139"/>
        <v>0.50049121970681587</v>
      </c>
      <c r="BD168" s="38">
        <f t="shared" si="140"/>
        <v>1.122627598343531E-2</v>
      </c>
      <c r="BE168" s="38">
        <f t="shared" si="141"/>
        <v>0</v>
      </c>
      <c r="BF168" s="38">
        <f t="shared" si="142"/>
        <v>0</v>
      </c>
      <c r="BG168" s="38">
        <f t="shared" si="143"/>
        <v>0</v>
      </c>
      <c r="BH168" s="41">
        <f t="shared" si="144"/>
        <v>4.9999999999999991</v>
      </c>
      <c r="BI168" s="42">
        <f t="shared" si="145"/>
        <v>7.9838713942035238</v>
      </c>
      <c r="BJ168" s="38">
        <f t="shared" si="146"/>
        <v>3.9603146961162343</v>
      </c>
      <c r="BK168" s="38">
        <f t="shared" si="147"/>
        <v>1.0213470625691352</v>
      </c>
      <c r="BL168" s="16"/>
      <c r="BM168" s="16">
        <f t="shared" si="148"/>
        <v>0.49897785537948536</v>
      </c>
      <c r="BN168" s="16">
        <f t="shared" si="149"/>
        <v>0.49003050779610724</v>
      </c>
      <c r="BO168" s="16">
        <f t="shared" si="150"/>
        <v>1.0991636824407472E-2</v>
      </c>
      <c r="BP168" s="15"/>
      <c r="BQ168" s="38">
        <f t="shared" si="151"/>
        <v>0.92227030625832218</v>
      </c>
      <c r="BR168" s="38">
        <f t="shared" si="152"/>
        <v>0</v>
      </c>
      <c r="BS168" s="38">
        <f t="shared" si="153"/>
        <v>0.53825029423303261</v>
      </c>
      <c r="BT168" s="38">
        <f t="shared" si="154"/>
        <v>0</v>
      </c>
      <c r="BU168" s="38">
        <f t="shared" si="155"/>
        <v>6.7629421578707417E-3</v>
      </c>
      <c r="BV168" s="38">
        <f t="shared" si="156"/>
        <v>0</v>
      </c>
      <c r="BW168" s="38">
        <f t="shared" si="157"/>
        <v>0</v>
      </c>
      <c r="BX168" s="38">
        <f t="shared" si="158"/>
        <v>0.18794579172610557</v>
      </c>
      <c r="BY168" s="38">
        <f t="shared" si="159"/>
        <v>0.1845756695708293</v>
      </c>
      <c r="BZ168" s="38">
        <f t="shared" si="160"/>
        <v>4.1401273885350318E-3</v>
      </c>
      <c r="CA168" s="38">
        <f t="shared" si="161"/>
        <v>0</v>
      </c>
      <c r="CB168" s="38">
        <f t="shared" si="162"/>
        <v>0</v>
      </c>
      <c r="CC168" s="38">
        <f t="shared" si="163"/>
        <v>0</v>
      </c>
      <c r="CD168" s="38">
        <f t="shared" si="164"/>
        <v>1.8439451313346955</v>
      </c>
      <c r="CE168" s="38">
        <f t="shared" si="165"/>
        <v>2.9409826862298516</v>
      </c>
      <c r="CF168" s="38">
        <f t="shared" si="166"/>
        <v>2.711577429845144</v>
      </c>
      <c r="CG168" s="38">
        <f t="shared" si="167"/>
        <v>7.9747022735462085</v>
      </c>
      <c r="CH168" s="15"/>
      <c r="CI168" s="16"/>
      <c r="CJ168" s="13"/>
      <c r="CK168" s="104"/>
      <c r="CL168" s="13"/>
      <c r="CM168" s="13"/>
      <c r="CN168" s="13"/>
      <c r="CO168" s="16"/>
      <c r="CP168" s="16"/>
      <c r="CQ168" s="16"/>
      <c r="CR168" s="16"/>
      <c r="CS168" s="16"/>
      <c r="CT168" s="16"/>
      <c r="CU168" s="16"/>
      <c r="CV168" s="16"/>
      <c r="CW168" s="16"/>
      <c r="CX168" s="16"/>
      <c r="CY168" s="104"/>
      <c r="CZ168" s="104"/>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3"/>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row>
    <row r="169" spans="1:167" x14ac:dyDescent="0.25">
      <c r="A169" s="35" t="s">
        <v>86</v>
      </c>
      <c r="B169" s="15">
        <v>573</v>
      </c>
      <c r="C169" s="102" t="s">
        <v>96</v>
      </c>
      <c r="D169" s="102" t="s">
        <v>105</v>
      </c>
      <c r="E169" s="15">
        <v>84</v>
      </c>
      <c r="F169" s="16">
        <v>55.56</v>
      </c>
      <c r="G169" s="16">
        <v>0</v>
      </c>
      <c r="H169" s="16">
        <v>27.45</v>
      </c>
      <c r="I169" s="16">
        <v>0</v>
      </c>
      <c r="J169" s="16">
        <v>0.41662917304058311</v>
      </c>
      <c r="K169" s="16">
        <v>0</v>
      </c>
      <c r="L169" s="16">
        <v>0</v>
      </c>
      <c r="M169" s="16">
        <v>10.51</v>
      </c>
      <c r="N169" s="16">
        <v>5.86</v>
      </c>
      <c r="O169" s="16">
        <v>0.193</v>
      </c>
      <c r="P169" s="16"/>
      <c r="Q169" s="16"/>
      <c r="R169" s="16"/>
      <c r="S169" s="16">
        <f t="shared" si="113"/>
        <v>99.989629173040598</v>
      </c>
      <c r="T169" s="16"/>
      <c r="U169" s="15">
        <v>1</v>
      </c>
      <c r="V169" s="15">
        <v>9</v>
      </c>
      <c r="W169" s="15">
        <v>25.6</v>
      </c>
      <c r="X169" s="15" t="s">
        <v>185</v>
      </c>
      <c r="Y169" s="15"/>
      <c r="Z169" s="37">
        <v>8</v>
      </c>
      <c r="AA169" s="37">
        <v>5</v>
      </c>
      <c r="AB169" s="15"/>
      <c r="AC169" s="38">
        <f t="shared" si="114"/>
        <v>2.5103883308836852</v>
      </c>
      <c r="AD169" s="38">
        <f t="shared" si="115"/>
        <v>0</v>
      </c>
      <c r="AE169" s="38">
        <f t="shared" si="116"/>
        <v>1.461675986425615</v>
      </c>
      <c r="AF169" s="38">
        <f t="shared" si="117"/>
        <v>0</v>
      </c>
      <c r="AG169" s="38">
        <f t="shared" si="118"/>
        <v>1.5740970268821711E-2</v>
      </c>
      <c r="AH169" s="38">
        <f t="shared" si="119"/>
        <v>0</v>
      </c>
      <c r="AI169" s="38">
        <f t="shared" si="120"/>
        <v>0</v>
      </c>
      <c r="AJ169" s="38">
        <f t="shared" si="121"/>
        <v>0.50874869181915972</v>
      </c>
      <c r="AK169" s="38">
        <f t="shared" si="122"/>
        <v>0.51331580241531616</v>
      </c>
      <c r="AL169" s="38">
        <f t="shared" si="123"/>
        <v>1.1123590597132579E-2</v>
      </c>
      <c r="AM169" s="38">
        <f t="shared" si="124"/>
        <v>0</v>
      </c>
      <c r="AN169" s="38">
        <f t="shared" si="125"/>
        <v>0</v>
      </c>
      <c r="AO169" s="38">
        <f t="shared" si="126"/>
        <v>0</v>
      </c>
      <c r="AP169" s="38">
        <f t="shared" si="127"/>
        <v>5.0209933724097304</v>
      </c>
      <c r="AQ169" s="38">
        <f t="shared" si="128"/>
        <v>3.9720643173093002</v>
      </c>
      <c r="AR169" s="38">
        <f t="shared" si="129"/>
        <v>1.0331880848316084</v>
      </c>
      <c r="AS169" s="40"/>
      <c r="AT169" s="38">
        <f t="shared" si="130"/>
        <v>2.4998920977253469</v>
      </c>
      <c r="AU169" s="38">
        <f t="shared" si="131"/>
        <v>0</v>
      </c>
      <c r="AV169" s="38">
        <f t="shared" si="132"/>
        <v>1.455564544714895</v>
      </c>
      <c r="AW169" s="38">
        <f t="shared" si="133"/>
        <v>0</v>
      </c>
      <c r="AX169" s="38">
        <f t="shared" si="134"/>
        <v>0</v>
      </c>
      <c r="AY169" s="38">
        <f t="shared" si="135"/>
        <v>1.5675155393868934E-2</v>
      </c>
      <c r="AZ169" s="38">
        <f t="shared" si="136"/>
        <v>0</v>
      </c>
      <c r="BA169" s="38">
        <f t="shared" si="137"/>
        <v>0</v>
      </c>
      <c r="BB169" s="38">
        <f t="shared" si="138"/>
        <v>0.50662155283327481</v>
      </c>
      <c r="BC169" s="38">
        <f t="shared" si="139"/>
        <v>0.51116956779506761</v>
      </c>
      <c r="BD169" s="38">
        <f t="shared" si="140"/>
        <v>1.1077081537546447E-2</v>
      </c>
      <c r="BE169" s="38">
        <f t="shared" si="141"/>
        <v>0</v>
      </c>
      <c r="BF169" s="38">
        <f t="shared" si="142"/>
        <v>0</v>
      </c>
      <c r="BG169" s="38">
        <f t="shared" si="143"/>
        <v>0</v>
      </c>
      <c r="BH169" s="41">
        <f t="shared" si="144"/>
        <v>5</v>
      </c>
      <c r="BI169" s="42">
        <f t="shared" si="145"/>
        <v>7.9743886231134216</v>
      </c>
      <c r="BJ169" s="38">
        <f t="shared" si="146"/>
        <v>3.9554566424402422</v>
      </c>
      <c r="BK169" s="38">
        <f t="shared" si="147"/>
        <v>1.0288682021658888</v>
      </c>
      <c r="BL169" s="16"/>
      <c r="BM169" s="16">
        <f t="shared" si="148"/>
        <v>0.4924066578856035</v>
      </c>
      <c r="BN169" s="16">
        <f t="shared" si="149"/>
        <v>0.49682706367928903</v>
      </c>
      <c r="BO169" s="16">
        <f t="shared" si="150"/>
        <v>1.0766278435107515E-2</v>
      </c>
      <c r="BP169" s="15"/>
      <c r="BQ169" s="38">
        <f t="shared" si="151"/>
        <v>0.92476697736351543</v>
      </c>
      <c r="BR169" s="38">
        <f t="shared" si="152"/>
        <v>0</v>
      </c>
      <c r="BS169" s="38">
        <f t="shared" si="153"/>
        <v>0.53844644958807375</v>
      </c>
      <c r="BT169" s="38">
        <f t="shared" si="154"/>
        <v>0</v>
      </c>
      <c r="BU169" s="38">
        <f t="shared" si="155"/>
        <v>5.7985967020262093E-3</v>
      </c>
      <c r="BV169" s="38">
        <f t="shared" si="156"/>
        <v>0</v>
      </c>
      <c r="BW169" s="38">
        <f t="shared" si="157"/>
        <v>0</v>
      </c>
      <c r="BX169" s="38">
        <f t="shared" si="158"/>
        <v>0.18741084165477889</v>
      </c>
      <c r="BY169" s="38">
        <f t="shared" si="159"/>
        <v>0.18909325588899648</v>
      </c>
      <c r="BZ169" s="38">
        <f t="shared" si="160"/>
        <v>4.0976645435244164E-3</v>
      </c>
      <c r="CA169" s="38">
        <f t="shared" si="161"/>
        <v>0</v>
      </c>
      <c r="CB169" s="38">
        <f t="shared" si="162"/>
        <v>0</v>
      </c>
      <c r="CC169" s="38">
        <f t="shared" si="163"/>
        <v>0</v>
      </c>
      <c r="CD169" s="38">
        <f t="shared" si="164"/>
        <v>1.8496137857409152</v>
      </c>
      <c r="CE169" s="38">
        <f t="shared" si="165"/>
        <v>2.9470085276822076</v>
      </c>
      <c r="CF169" s="38">
        <f t="shared" si="166"/>
        <v>2.7032670488001949</v>
      </c>
      <c r="CG169" s="38">
        <f t="shared" si="167"/>
        <v>7.9665510454164883</v>
      </c>
      <c r="CH169" s="15"/>
      <c r="CI169" s="16"/>
      <c r="CJ169" s="13"/>
      <c r="CK169" s="104"/>
      <c r="CL169" s="13"/>
      <c r="CM169" s="13"/>
      <c r="CN169" s="13"/>
      <c r="CO169" s="16"/>
      <c r="CP169" s="16"/>
      <c r="CQ169" s="16"/>
      <c r="CR169" s="16"/>
      <c r="CS169" s="16"/>
      <c r="CT169" s="16"/>
      <c r="CU169" s="16"/>
      <c r="CV169" s="16"/>
      <c r="CW169" s="16"/>
      <c r="CX169" s="16"/>
      <c r="CY169" s="104"/>
      <c r="CZ169" s="104"/>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3"/>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row>
    <row r="170" spans="1:167" x14ac:dyDescent="0.25">
      <c r="A170" s="35" t="s">
        <v>86</v>
      </c>
      <c r="B170" s="15">
        <v>574</v>
      </c>
      <c r="C170" s="102" t="s">
        <v>96</v>
      </c>
      <c r="D170" s="102" t="s">
        <v>105</v>
      </c>
      <c r="E170" s="15">
        <v>85</v>
      </c>
      <c r="F170" s="16">
        <v>55.58</v>
      </c>
      <c r="G170" s="16">
        <v>0</v>
      </c>
      <c r="H170" s="16">
        <v>27.47</v>
      </c>
      <c r="I170" s="16">
        <v>0</v>
      </c>
      <c r="J170" s="16">
        <v>0.46252137136686766</v>
      </c>
      <c r="K170" s="16">
        <v>0</v>
      </c>
      <c r="L170" s="16">
        <v>0</v>
      </c>
      <c r="M170" s="16">
        <v>10.55</v>
      </c>
      <c r="N170" s="16">
        <v>5.8</v>
      </c>
      <c r="O170" s="16">
        <v>0.189</v>
      </c>
      <c r="P170" s="16"/>
      <c r="Q170" s="16"/>
      <c r="R170" s="16"/>
      <c r="S170" s="16">
        <f t="shared" si="113"/>
        <v>100.05152137136685</v>
      </c>
      <c r="T170" s="16"/>
      <c r="U170" s="15">
        <v>1</v>
      </c>
      <c r="V170" s="15">
        <v>8</v>
      </c>
      <c r="W170" s="15">
        <v>12.8</v>
      </c>
      <c r="X170" s="15" t="s">
        <v>185</v>
      </c>
      <c r="Y170" s="15"/>
      <c r="Z170" s="37">
        <v>8</v>
      </c>
      <c r="AA170" s="37">
        <v>5</v>
      </c>
      <c r="AB170" s="15"/>
      <c r="AC170" s="38">
        <f t="shared" si="114"/>
        <v>2.5099329447085501</v>
      </c>
      <c r="AD170" s="38">
        <f t="shared" si="115"/>
        <v>0</v>
      </c>
      <c r="AE170" s="38">
        <f t="shared" si="116"/>
        <v>1.4619493579345808</v>
      </c>
      <c r="AF170" s="38">
        <f t="shared" si="117"/>
        <v>0</v>
      </c>
      <c r="AG170" s="38">
        <f t="shared" si="118"/>
        <v>1.7465399850639111E-2</v>
      </c>
      <c r="AH170" s="38">
        <f t="shared" si="119"/>
        <v>0</v>
      </c>
      <c r="AI170" s="38">
        <f t="shared" si="120"/>
        <v>0</v>
      </c>
      <c r="AJ170" s="38">
        <f t="shared" si="121"/>
        <v>0.51040856704407467</v>
      </c>
      <c r="AK170" s="38">
        <f t="shared" si="122"/>
        <v>0.50778505878222113</v>
      </c>
      <c r="AL170" s="38">
        <f t="shared" si="123"/>
        <v>1.0887154790409017E-2</v>
      </c>
      <c r="AM170" s="38">
        <f t="shared" si="124"/>
        <v>0</v>
      </c>
      <c r="AN170" s="38">
        <f t="shared" si="125"/>
        <v>0</v>
      </c>
      <c r="AO170" s="38">
        <f t="shared" si="126"/>
        <v>0</v>
      </c>
      <c r="AP170" s="38">
        <f t="shared" si="127"/>
        <v>5.0184284831104753</v>
      </c>
      <c r="AQ170" s="38">
        <f t="shared" si="128"/>
        <v>3.9718823026431309</v>
      </c>
      <c r="AR170" s="38">
        <f t="shared" si="129"/>
        <v>1.0290807806167048</v>
      </c>
      <c r="AS170" s="40"/>
      <c r="AT170" s="38">
        <f t="shared" si="130"/>
        <v>2.5007160639587984</v>
      </c>
      <c r="AU170" s="38">
        <f t="shared" si="131"/>
        <v>0</v>
      </c>
      <c r="AV170" s="38">
        <f t="shared" si="132"/>
        <v>1.4565808428423084</v>
      </c>
      <c r="AW170" s="38">
        <f t="shared" si="133"/>
        <v>0</v>
      </c>
      <c r="AX170" s="38">
        <f t="shared" si="134"/>
        <v>0</v>
      </c>
      <c r="AY170" s="38">
        <f t="shared" si="135"/>
        <v>1.7401264070434522E-2</v>
      </c>
      <c r="AZ170" s="38">
        <f t="shared" si="136"/>
        <v>0</v>
      </c>
      <c r="BA170" s="38">
        <f t="shared" si="137"/>
        <v>0</v>
      </c>
      <c r="BB170" s="38">
        <f t="shared" si="138"/>
        <v>0.5085342640249384</v>
      </c>
      <c r="BC170" s="38">
        <f t="shared" si="139"/>
        <v>0.50592038971081499</v>
      </c>
      <c r="BD170" s="38">
        <f t="shared" si="140"/>
        <v>1.0847175392704852E-2</v>
      </c>
      <c r="BE170" s="38">
        <f t="shared" si="141"/>
        <v>0</v>
      </c>
      <c r="BF170" s="38">
        <f t="shared" si="142"/>
        <v>0</v>
      </c>
      <c r="BG170" s="38">
        <f t="shared" si="143"/>
        <v>0</v>
      </c>
      <c r="BH170" s="41">
        <f t="shared" si="144"/>
        <v>4.9999999999999991</v>
      </c>
      <c r="BI170" s="42">
        <f t="shared" si="145"/>
        <v>7.9793233348634098</v>
      </c>
      <c r="BJ170" s="38">
        <f t="shared" si="146"/>
        <v>3.9572969068011066</v>
      </c>
      <c r="BK170" s="38">
        <f t="shared" si="147"/>
        <v>1.0253018291284581</v>
      </c>
      <c r="BL170" s="16"/>
      <c r="BM170" s="16">
        <f t="shared" si="148"/>
        <v>0.49598493787649828</v>
      </c>
      <c r="BN170" s="16">
        <f t="shared" si="149"/>
        <v>0.49343556730105975</v>
      </c>
      <c r="BO170" s="16">
        <f t="shared" si="150"/>
        <v>1.0579494822442017E-2</v>
      </c>
      <c r="BP170" s="15"/>
      <c r="BQ170" s="38">
        <f t="shared" si="151"/>
        <v>0.92509986684420775</v>
      </c>
      <c r="BR170" s="38">
        <f t="shared" si="152"/>
        <v>0</v>
      </c>
      <c r="BS170" s="38">
        <f t="shared" si="153"/>
        <v>0.53883876029815614</v>
      </c>
      <c r="BT170" s="38">
        <f t="shared" si="154"/>
        <v>0</v>
      </c>
      <c r="BU170" s="38">
        <f t="shared" si="155"/>
        <v>6.4373190169362236E-3</v>
      </c>
      <c r="BV170" s="38">
        <f t="shared" si="156"/>
        <v>0</v>
      </c>
      <c r="BW170" s="38">
        <f t="shared" si="157"/>
        <v>0</v>
      </c>
      <c r="BX170" s="38">
        <f t="shared" si="158"/>
        <v>0.18812410841654781</v>
      </c>
      <c r="BY170" s="38">
        <f t="shared" si="159"/>
        <v>0.18715714746692483</v>
      </c>
      <c r="BZ170" s="38">
        <f t="shared" si="160"/>
        <v>4.0127388535031849E-3</v>
      </c>
      <c r="CA170" s="38">
        <f t="shared" si="161"/>
        <v>0</v>
      </c>
      <c r="CB170" s="38">
        <f t="shared" si="162"/>
        <v>0</v>
      </c>
      <c r="CC170" s="38">
        <f t="shared" si="163"/>
        <v>0</v>
      </c>
      <c r="CD170" s="38">
        <f t="shared" si="164"/>
        <v>1.849669940896276</v>
      </c>
      <c r="CE170" s="38">
        <f t="shared" si="165"/>
        <v>2.9486042447293475</v>
      </c>
      <c r="CF170" s="38">
        <f t="shared" si="166"/>
        <v>2.7031849788169233</v>
      </c>
      <c r="CG170" s="38">
        <f t="shared" si="167"/>
        <v>7.9706227028281917</v>
      </c>
      <c r="CH170" s="15"/>
      <c r="CI170" s="16"/>
      <c r="CJ170" s="13"/>
      <c r="CK170" s="104"/>
      <c r="CL170" s="13"/>
      <c r="CM170" s="13"/>
      <c r="CN170" s="13"/>
      <c r="CO170" s="16"/>
      <c r="CP170" s="16"/>
      <c r="CQ170" s="16"/>
      <c r="CR170" s="16"/>
      <c r="CS170" s="16"/>
      <c r="CT170" s="16"/>
      <c r="CU170" s="16"/>
      <c r="CV170" s="16"/>
      <c r="CW170" s="16"/>
      <c r="CX170" s="16"/>
      <c r="CY170" s="104"/>
      <c r="CZ170" s="104"/>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3"/>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row>
    <row r="171" spans="1:167" x14ac:dyDescent="0.25">
      <c r="A171" s="35" t="s">
        <v>86</v>
      </c>
      <c r="B171" s="15">
        <v>575</v>
      </c>
      <c r="C171" s="102" t="s">
        <v>96</v>
      </c>
      <c r="D171" s="102" t="s">
        <v>105</v>
      </c>
      <c r="E171" s="15">
        <v>86</v>
      </c>
      <c r="F171" s="16">
        <v>55.47</v>
      </c>
      <c r="G171" s="16">
        <v>0</v>
      </c>
      <c r="H171" s="16">
        <v>27.3</v>
      </c>
      <c r="I171" s="16">
        <v>0</v>
      </c>
      <c r="J171" s="16">
        <v>0.55610546207144784</v>
      </c>
      <c r="K171" s="16">
        <v>0</v>
      </c>
      <c r="L171" s="16">
        <v>0</v>
      </c>
      <c r="M171" s="16">
        <v>10.5</v>
      </c>
      <c r="N171" s="16">
        <v>5.82</v>
      </c>
      <c r="O171" s="16">
        <v>0.17899999999999999</v>
      </c>
      <c r="P171" s="16"/>
      <c r="Q171" s="16"/>
      <c r="R171" s="16"/>
      <c r="S171" s="16">
        <f t="shared" si="113"/>
        <v>99.825105462071434</v>
      </c>
      <c r="T171" s="16"/>
      <c r="U171" s="15">
        <v>1</v>
      </c>
      <c r="V171" s="15">
        <v>7</v>
      </c>
      <c r="W171" s="15">
        <v>0</v>
      </c>
      <c r="X171" s="15" t="s">
        <v>185</v>
      </c>
      <c r="Y171" s="15"/>
      <c r="Z171" s="37">
        <v>8</v>
      </c>
      <c r="AA171" s="37">
        <v>5</v>
      </c>
      <c r="AB171" s="15"/>
      <c r="AC171" s="38">
        <f t="shared" si="114"/>
        <v>2.5118113096867938</v>
      </c>
      <c r="AD171" s="38">
        <f t="shared" si="115"/>
        <v>0</v>
      </c>
      <c r="AE171" s="38">
        <f t="shared" si="116"/>
        <v>1.4568726340921205</v>
      </c>
      <c r="AF171" s="38">
        <f t="shared" si="117"/>
        <v>0</v>
      </c>
      <c r="AG171" s="38">
        <f t="shared" si="118"/>
        <v>2.1056644158860736E-2</v>
      </c>
      <c r="AH171" s="38">
        <f t="shared" si="119"/>
        <v>0</v>
      </c>
      <c r="AI171" s="38">
        <f t="shared" si="120"/>
        <v>0</v>
      </c>
      <c r="AJ171" s="38">
        <f t="shared" si="121"/>
        <v>0.50937785914364309</v>
      </c>
      <c r="AK171" s="38">
        <f t="shared" si="122"/>
        <v>0.5109285581625822</v>
      </c>
      <c r="AL171" s="38">
        <f t="shared" si="123"/>
        <v>1.0339294208874359E-2</v>
      </c>
      <c r="AM171" s="38">
        <f t="shared" si="124"/>
        <v>0</v>
      </c>
      <c r="AN171" s="38">
        <f t="shared" si="125"/>
        <v>0</v>
      </c>
      <c r="AO171" s="38">
        <f t="shared" si="126"/>
        <v>0</v>
      </c>
      <c r="AP171" s="38">
        <f t="shared" si="127"/>
        <v>5.0203862994528752</v>
      </c>
      <c r="AQ171" s="38">
        <f t="shared" si="128"/>
        <v>3.9686839437789141</v>
      </c>
      <c r="AR171" s="38">
        <f t="shared" si="129"/>
        <v>1.0306457115150995</v>
      </c>
      <c r="AS171" s="40"/>
      <c r="AT171" s="38">
        <f t="shared" si="130"/>
        <v>2.5016115890927884</v>
      </c>
      <c r="AU171" s="38">
        <f t="shared" si="131"/>
        <v>0</v>
      </c>
      <c r="AV171" s="38">
        <f t="shared" si="132"/>
        <v>1.4509567065097078</v>
      </c>
      <c r="AW171" s="38">
        <f t="shared" si="133"/>
        <v>0</v>
      </c>
      <c r="AX171" s="38">
        <f t="shared" si="134"/>
        <v>0</v>
      </c>
      <c r="AY171" s="38">
        <f t="shared" si="135"/>
        <v>2.0971139373433777E-2</v>
      </c>
      <c r="AZ171" s="38">
        <f t="shared" si="136"/>
        <v>0</v>
      </c>
      <c r="BA171" s="38">
        <f t="shared" si="137"/>
        <v>0</v>
      </c>
      <c r="BB171" s="38">
        <f t="shared" si="138"/>
        <v>0.50730942676578028</v>
      </c>
      <c r="BC171" s="38">
        <f t="shared" si="139"/>
        <v>0.50885382885602204</v>
      </c>
      <c r="BD171" s="38">
        <f t="shared" si="140"/>
        <v>1.0297309402267652E-2</v>
      </c>
      <c r="BE171" s="38">
        <f t="shared" si="141"/>
        <v>0</v>
      </c>
      <c r="BF171" s="38">
        <f t="shared" si="142"/>
        <v>0</v>
      </c>
      <c r="BG171" s="38">
        <f t="shared" si="143"/>
        <v>0</v>
      </c>
      <c r="BH171" s="41">
        <f t="shared" si="144"/>
        <v>5.0000000000000009</v>
      </c>
      <c r="BI171" s="42">
        <f t="shared" si="145"/>
        <v>7.977999942905214</v>
      </c>
      <c r="BJ171" s="38">
        <f t="shared" si="146"/>
        <v>3.9525682956024961</v>
      </c>
      <c r="BK171" s="38">
        <f t="shared" si="147"/>
        <v>1.0264605650240699</v>
      </c>
      <c r="BL171" s="16"/>
      <c r="BM171" s="16">
        <f t="shared" si="148"/>
        <v>0.49423177475296798</v>
      </c>
      <c r="BN171" s="16">
        <f t="shared" si="149"/>
        <v>0.49573636454712672</v>
      </c>
      <c r="BO171" s="16">
        <f t="shared" si="150"/>
        <v>1.0031860699905394E-2</v>
      </c>
      <c r="BP171" s="15"/>
      <c r="BQ171" s="38">
        <f t="shared" si="151"/>
        <v>0.92326897470039948</v>
      </c>
      <c r="BR171" s="38">
        <f t="shared" si="152"/>
        <v>0</v>
      </c>
      <c r="BS171" s="38">
        <f t="shared" si="153"/>
        <v>0.53550411926245589</v>
      </c>
      <c r="BT171" s="38">
        <f t="shared" si="154"/>
        <v>0</v>
      </c>
      <c r="BU171" s="38">
        <f t="shared" si="155"/>
        <v>7.7398115806742917E-3</v>
      </c>
      <c r="BV171" s="38">
        <f t="shared" si="156"/>
        <v>0</v>
      </c>
      <c r="BW171" s="38">
        <f t="shared" si="157"/>
        <v>0</v>
      </c>
      <c r="BX171" s="38">
        <f t="shared" si="158"/>
        <v>0.18723252496433668</v>
      </c>
      <c r="BY171" s="38">
        <f t="shared" si="159"/>
        <v>0.18780251694094871</v>
      </c>
      <c r="BZ171" s="38">
        <f t="shared" si="160"/>
        <v>3.8004246284501059E-3</v>
      </c>
      <c r="CA171" s="38">
        <f t="shared" si="161"/>
        <v>0</v>
      </c>
      <c r="CB171" s="38">
        <f t="shared" si="162"/>
        <v>0</v>
      </c>
      <c r="CC171" s="38">
        <f t="shared" si="163"/>
        <v>0</v>
      </c>
      <c r="CD171" s="38">
        <f t="shared" si="164"/>
        <v>1.8453483720772654</v>
      </c>
      <c r="CE171" s="38">
        <f t="shared" si="165"/>
        <v>2.9405679356241929</v>
      </c>
      <c r="CF171" s="38">
        <f t="shared" si="166"/>
        <v>2.7095154907642818</v>
      </c>
      <c r="CG171" s="38">
        <f t="shared" si="167"/>
        <v>7.9675143732184956</v>
      </c>
      <c r="CH171" s="15"/>
      <c r="CI171" s="16">
        <v>16.820647611463052</v>
      </c>
      <c r="CJ171" s="13">
        <v>39337.483669146983</v>
      </c>
      <c r="CK171" s="104">
        <v>391.81357475937165</v>
      </c>
      <c r="CL171" s="13">
        <v>145756.60351038264</v>
      </c>
      <c r="CM171" s="13">
        <v>260977.31607222935</v>
      </c>
      <c r="CN171" s="13">
        <v>72482.365250348055</v>
      </c>
      <c r="CO171" s="16">
        <v>0.35515496672585917</v>
      </c>
      <c r="CP171" s="16">
        <v>255.43440841406576</v>
      </c>
      <c r="CQ171" s="16">
        <v>0.59269975524124441</v>
      </c>
      <c r="CR171" s="16">
        <v>1.1638957123703904</v>
      </c>
      <c r="CS171" s="16">
        <v>41.21442426942901</v>
      </c>
      <c r="CT171" s="16">
        <v>0.53559898123674843</v>
      </c>
      <c r="CU171" s="16">
        <v>0</v>
      </c>
      <c r="CV171" s="16">
        <v>0</v>
      </c>
      <c r="CW171" s="16">
        <v>8.0308270057683089</v>
      </c>
      <c r="CX171" s="16">
        <v>1.1486626991423241</v>
      </c>
      <c r="CY171" s="104">
        <v>476.24079804980471</v>
      </c>
      <c r="CZ171" s="104">
        <v>498.44403840805768</v>
      </c>
      <c r="DA171" s="16">
        <v>0</v>
      </c>
      <c r="DB171" s="16">
        <v>0</v>
      </c>
      <c r="DC171" s="16">
        <v>0.24390663529585505</v>
      </c>
      <c r="DD171" s="16">
        <v>0</v>
      </c>
      <c r="DE171" s="16">
        <v>74.762991563575824</v>
      </c>
      <c r="DF171" s="16">
        <v>2.5399643501639777</v>
      </c>
      <c r="DG171" s="16">
        <v>3.436954699823759</v>
      </c>
      <c r="DH171" s="16">
        <v>0.33054286589988807</v>
      </c>
      <c r="DI171" s="16">
        <v>1.2055383833019568</v>
      </c>
      <c r="DJ171" s="16">
        <v>0.11497326715061067</v>
      </c>
      <c r="DK171" s="16">
        <v>1.0514497506638454</v>
      </c>
      <c r="DL171" s="16">
        <v>0</v>
      </c>
      <c r="DM171" s="16">
        <v>1.9441165337959889E-2</v>
      </c>
      <c r="DN171" s="16">
        <v>0</v>
      </c>
      <c r="DO171" s="16">
        <v>0</v>
      </c>
      <c r="DP171" s="16">
        <v>0</v>
      </c>
      <c r="DQ171" s="16">
        <v>0</v>
      </c>
      <c r="DR171" s="16">
        <v>0</v>
      </c>
      <c r="DS171" s="16">
        <v>0</v>
      </c>
      <c r="DT171" s="16">
        <v>0</v>
      </c>
      <c r="DU171" s="16">
        <v>0</v>
      </c>
      <c r="DV171" s="16">
        <v>1.9441957037709672</v>
      </c>
      <c r="DW171" s="16">
        <v>0</v>
      </c>
      <c r="DX171" s="16">
        <v>0</v>
      </c>
      <c r="DY171" s="16" t="e">
        <f>(DK171/0.05883)/SQRT((DJ171/0.1536)*(DL171/0.2069))</f>
        <v>#DIV/0!</v>
      </c>
      <c r="DZ171" s="16"/>
      <c r="EA171" s="13">
        <f>1128+200*((BM171-0.4)/0.4) -273</f>
        <v>902.1158873764839</v>
      </c>
      <c r="EB171" s="16"/>
      <c r="EC171" s="16">
        <f>(-18.482 -16.353 * BM171)/(0.008314 * (EA171+273))</f>
        <v>-2.7189772198208151</v>
      </c>
      <c r="ED171" s="16"/>
      <c r="EE171" s="16"/>
      <c r="EF171" s="16"/>
      <c r="EG171" s="16"/>
      <c r="EH171" s="16"/>
      <c r="EI171" s="16"/>
      <c r="EJ171" s="16"/>
      <c r="EK171" s="16"/>
      <c r="EL171" s="16">
        <f>(23.856 -20.71 * BM171)/(0.008314 * (EA171+273))</f>
        <v>1.394122881649476</v>
      </c>
      <c r="EM171" s="16"/>
      <c r="EN171" s="16">
        <f>(-4.5269  -51.811 * BM171)/(0.008314 * (EA171+273)) +N("eqn50a")</f>
        <v>-3.0843202982117783</v>
      </c>
      <c r="EO171" s="16" t="e">
        <f>(-187.27 + 2.26018 *#REF!)/(0.008314 * (EA171+273)) +N("fsp eqn35 from SiO2")</f>
        <v>#REF!</v>
      </c>
      <c r="EP171" s="16"/>
      <c r="EQ171" s="16"/>
      <c r="ER171" s="16">
        <f>(10.146 -35.204 * BM171)/(0.008314 * (EA171+273))</f>
        <v>-0.74237457758180037</v>
      </c>
      <c r="ES171" s="16">
        <f>(2.1146 -37.009 * BM171)/(0.008314 * (EA171+273))</f>
        <v>-1.6557386892201382</v>
      </c>
      <c r="ET171" s="16">
        <f>(-3.6812 -33.822 * BM171)/(0.008314 * (EA171+273))</f>
        <v>-2.0877469500095933</v>
      </c>
      <c r="EU171" s="16">
        <f>(-6.8025 -26.094 * BM171)/(0.008314 * (EA171+273))</f>
        <v>-2.0162905183663082</v>
      </c>
      <c r="EV171" s="16">
        <f>(-5.6996 -30.85 * BM171)/(0.008314 * (EA171+273))</f>
        <v>-2.1439954691115237</v>
      </c>
      <c r="EW171" s="16">
        <f>(-8.6767 -33.32 * BM171)/(0.008314 * (EA171+273))</f>
        <v>-2.5736668770464139</v>
      </c>
      <c r="EX171" s="16"/>
      <c r="EY171" s="16">
        <f>(-1.9714 -59.897 * BM171)/(0.008314 * (EA171+273))</f>
        <v>-3.2317994066475024</v>
      </c>
      <c r="EZ171" s="16">
        <f>(-4.3691 -44.528 * BM171)/(0.008314 * (EA171+273))</f>
        <v>-2.699742684471786</v>
      </c>
      <c r="FA171" s="16">
        <f>(-2.2521 -58.215 * BM171)/(0.008314 * (EA171+273))</f>
        <v>-3.1754429357503344</v>
      </c>
      <c r="FB171" s="16"/>
      <c r="FC171" s="16">
        <f>(-8.5 - 57.253 * BM171)/(0.008314 * (EA171+273))</f>
        <v>-3.7662822548482606</v>
      </c>
      <c r="FD171" s="16"/>
      <c r="FE171" s="16">
        <f>(-9.2954 -52.923 * BM171)/(0.008314 * (EA171+273))</f>
        <v>-3.6286532383395342</v>
      </c>
      <c r="FF171" s="16">
        <f>(0.61501 -70.378 * BM171)/(0.008314 * (EA171+273))</f>
        <v>-3.4972708700811284</v>
      </c>
      <c r="FG171" s="16"/>
      <c r="FH171" s="16"/>
      <c r="FI171" s="16"/>
      <c r="FJ171" s="16"/>
      <c r="FK171" s="16"/>
    </row>
    <row r="172" spans="1:167" x14ac:dyDescent="0.25">
      <c r="A172" s="35" t="s">
        <v>86</v>
      </c>
      <c r="B172" s="15">
        <v>576</v>
      </c>
      <c r="C172" s="102" t="s">
        <v>96</v>
      </c>
      <c r="D172" s="102" t="s">
        <v>105</v>
      </c>
      <c r="E172" s="15">
        <v>87</v>
      </c>
      <c r="F172" s="16">
        <v>55.28</v>
      </c>
      <c r="G172" s="16">
        <v>0</v>
      </c>
      <c r="H172" s="16">
        <v>27.29</v>
      </c>
      <c r="I172" s="16">
        <v>0</v>
      </c>
      <c r="J172" s="16">
        <v>0.47151984162692345</v>
      </c>
      <c r="K172" s="16">
        <v>0</v>
      </c>
      <c r="L172" s="16">
        <v>0</v>
      </c>
      <c r="M172" s="16">
        <v>10.37</v>
      </c>
      <c r="N172" s="16">
        <v>5.85</v>
      </c>
      <c r="O172" s="16">
        <v>0.20399999999999999</v>
      </c>
      <c r="P172" s="16"/>
      <c r="Q172" s="16"/>
      <c r="R172" s="16"/>
      <c r="S172" s="16">
        <f t="shared" si="113"/>
        <v>99.465519841626914</v>
      </c>
      <c r="T172" s="16"/>
      <c r="U172" s="15"/>
      <c r="V172" s="15"/>
      <c r="W172" s="15"/>
      <c r="X172" s="15" t="s">
        <v>185</v>
      </c>
      <c r="Y172" s="15"/>
      <c r="Z172" s="37">
        <v>8</v>
      </c>
      <c r="AA172" s="37">
        <v>5</v>
      </c>
      <c r="AB172" s="15"/>
      <c r="AC172" s="38">
        <f t="shared" si="114"/>
        <v>2.5112053199778726</v>
      </c>
      <c r="AD172" s="38">
        <f t="shared" si="115"/>
        <v>0</v>
      </c>
      <c r="AE172" s="38">
        <f t="shared" si="116"/>
        <v>1.4609919295222977</v>
      </c>
      <c r="AF172" s="38">
        <f t="shared" si="117"/>
        <v>0</v>
      </c>
      <c r="AG172" s="38">
        <f t="shared" si="118"/>
        <v>1.7910896015905044E-2</v>
      </c>
      <c r="AH172" s="38">
        <f t="shared" si="119"/>
        <v>0</v>
      </c>
      <c r="AI172" s="38">
        <f t="shared" si="120"/>
        <v>0</v>
      </c>
      <c r="AJ172" s="38">
        <f t="shared" si="121"/>
        <v>0.50467856998003857</v>
      </c>
      <c r="AK172" s="38">
        <f t="shared" si="122"/>
        <v>0.51520302252044259</v>
      </c>
      <c r="AL172" s="38">
        <f t="shared" si="123"/>
        <v>1.1820977009284981E-2</v>
      </c>
      <c r="AM172" s="38">
        <f t="shared" si="124"/>
        <v>0</v>
      </c>
      <c r="AN172" s="38">
        <f t="shared" si="125"/>
        <v>0</v>
      </c>
      <c r="AO172" s="38">
        <f t="shared" si="126"/>
        <v>0</v>
      </c>
      <c r="AP172" s="38">
        <f t="shared" si="127"/>
        <v>5.0218107150258424</v>
      </c>
      <c r="AQ172" s="38">
        <f t="shared" si="128"/>
        <v>3.9721972495001703</v>
      </c>
      <c r="AR172" s="38">
        <f t="shared" si="129"/>
        <v>1.0317025695097661</v>
      </c>
      <c r="AS172" s="40"/>
      <c r="AT172" s="38">
        <f t="shared" si="130"/>
        <v>2.5002986596687671</v>
      </c>
      <c r="AU172" s="38">
        <f t="shared" si="131"/>
        <v>0</v>
      </c>
      <c r="AV172" s="38">
        <f t="shared" si="132"/>
        <v>1.4546465532351112</v>
      </c>
      <c r="AW172" s="38">
        <f t="shared" si="133"/>
        <v>0</v>
      </c>
      <c r="AX172" s="38">
        <f t="shared" si="134"/>
        <v>0</v>
      </c>
      <c r="AY172" s="38">
        <f t="shared" si="135"/>
        <v>1.7833105459663746E-2</v>
      </c>
      <c r="AZ172" s="38">
        <f t="shared" si="136"/>
        <v>0</v>
      </c>
      <c r="BA172" s="38">
        <f t="shared" si="137"/>
        <v>0</v>
      </c>
      <c r="BB172" s="38">
        <f t="shared" si="138"/>
        <v>0.50248665134866766</v>
      </c>
      <c r="BC172" s="38">
        <f t="shared" si="139"/>
        <v>0.51296539411461228</v>
      </c>
      <c r="BD172" s="38">
        <f t="shared" si="140"/>
        <v>1.1769636173178775E-2</v>
      </c>
      <c r="BE172" s="38">
        <f t="shared" si="141"/>
        <v>0</v>
      </c>
      <c r="BF172" s="38">
        <f t="shared" si="142"/>
        <v>0</v>
      </c>
      <c r="BG172" s="38">
        <f t="shared" si="143"/>
        <v>0</v>
      </c>
      <c r="BH172" s="41">
        <f t="shared" si="144"/>
        <v>5.0000000000000009</v>
      </c>
      <c r="BI172" s="42">
        <f t="shared" si="145"/>
        <v>7.9741709738722601</v>
      </c>
      <c r="BJ172" s="38">
        <f t="shared" si="146"/>
        <v>3.954945212903878</v>
      </c>
      <c r="BK172" s="38">
        <f t="shared" si="147"/>
        <v>1.0272216816364588</v>
      </c>
      <c r="BL172" s="16"/>
      <c r="BM172" s="16">
        <f t="shared" si="148"/>
        <v>0.48917060487679753</v>
      </c>
      <c r="BN172" s="16">
        <f t="shared" si="149"/>
        <v>0.49937165782697573</v>
      </c>
      <c r="BO172" s="16">
        <f t="shared" si="150"/>
        <v>1.1457737296226714E-2</v>
      </c>
      <c r="BP172" s="15"/>
      <c r="BQ172" s="38">
        <f t="shared" si="151"/>
        <v>0.92010652463382159</v>
      </c>
      <c r="BR172" s="38">
        <f t="shared" si="152"/>
        <v>0</v>
      </c>
      <c r="BS172" s="38">
        <f t="shared" si="153"/>
        <v>0.53530796390741464</v>
      </c>
      <c r="BT172" s="38">
        <f t="shared" si="154"/>
        <v>0</v>
      </c>
      <c r="BU172" s="38">
        <f t="shared" si="155"/>
        <v>6.562558686526423E-3</v>
      </c>
      <c r="BV172" s="38">
        <f t="shared" si="156"/>
        <v>0</v>
      </c>
      <c r="BW172" s="38">
        <f t="shared" si="157"/>
        <v>0</v>
      </c>
      <c r="BX172" s="38">
        <f t="shared" si="158"/>
        <v>0.18491440798858771</v>
      </c>
      <c r="BY172" s="38">
        <f t="shared" si="159"/>
        <v>0.18877057115198451</v>
      </c>
      <c r="BZ172" s="38">
        <f t="shared" si="160"/>
        <v>4.3312101910828018E-3</v>
      </c>
      <c r="CA172" s="38">
        <f t="shared" si="161"/>
        <v>0</v>
      </c>
      <c r="CB172" s="38">
        <f t="shared" si="162"/>
        <v>0</v>
      </c>
      <c r="CC172" s="38">
        <f t="shared" si="163"/>
        <v>0</v>
      </c>
      <c r="CD172" s="38">
        <f t="shared" si="164"/>
        <v>1.8399932365594174</v>
      </c>
      <c r="CE172" s="38">
        <f t="shared" si="165"/>
        <v>2.9312028524754132</v>
      </c>
      <c r="CF172" s="38">
        <f t="shared" si="166"/>
        <v>2.7174012929250999</v>
      </c>
      <c r="CG172" s="38">
        <f t="shared" si="167"/>
        <v>7.9652544211424292</v>
      </c>
      <c r="CH172" s="15"/>
      <c r="CI172" s="16"/>
      <c r="CJ172" s="13"/>
      <c r="CK172" s="104"/>
      <c r="CL172" s="13"/>
      <c r="CM172" s="13"/>
      <c r="CN172" s="13"/>
      <c r="CO172" s="16"/>
      <c r="CP172" s="16"/>
      <c r="CQ172" s="16"/>
      <c r="CR172" s="16"/>
      <c r="CS172" s="16"/>
      <c r="CT172" s="16"/>
      <c r="CU172" s="16"/>
      <c r="CV172" s="16"/>
      <c r="CW172" s="16"/>
      <c r="CX172" s="16"/>
      <c r="CY172" s="104"/>
      <c r="CZ172" s="104"/>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3"/>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row>
    <row r="173" spans="1:167" x14ac:dyDescent="0.25">
      <c r="A173" s="35" t="s">
        <v>86</v>
      </c>
      <c r="B173" s="15">
        <v>577</v>
      </c>
      <c r="C173" s="102" t="s">
        <v>96</v>
      </c>
      <c r="D173" s="102" t="s">
        <v>105</v>
      </c>
      <c r="E173" s="15">
        <v>88</v>
      </c>
      <c r="F173" s="16">
        <v>56.44</v>
      </c>
      <c r="G173" s="16">
        <v>0</v>
      </c>
      <c r="H173" s="16">
        <v>25.07</v>
      </c>
      <c r="I173" s="16">
        <v>0</v>
      </c>
      <c r="J173" s="16">
        <v>0.4643210654188788</v>
      </c>
      <c r="K173" s="16">
        <v>0</v>
      </c>
      <c r="L173" s="16">
        <v>0</v>
      </c>
      <c r="M173" s="16">
        <v>8.26</v>
      </c>
      <c r="N173" s="16">
        <v>6.68</v>
      </c>
      <c r="O173" s="16">
        <v>0.27600000000000002</v>
      </c>
      <c r="P173" s="16"/>
      <c r="Q173" s="16"/>
      <c r="R173" s="16"/>
      <c r="S173" s="16">
        <f t="shared" si="113"/>
        <v>97.190321065418871</v>
      </c>
      <c r="T173" s="16"/>
      <c r="U173" s="15"/>
      <c r="V173" s="15"/>
      <c r="W173" s="15"/>
      <c r="X173" s="15" t="s">
        <v>185</v>
      </c>
      <c r="Y173" s="15"/>
      <c r="Z173" s="37">
        <v>8</v>
      </c>
      <c r="AA173" s="37">
        <v>5</v>
      </c>
      <c r="AB173" s="15"/>
      <c r="AC173" s="38">
        <f t="shared" si="114"/>
        <v>2.6086421529389883</v>
      </c>
      <c r="AD173" s="38">
        <f t="shared" si="115"/>
        <v>0</v>
      </c>
      <c r="AE173" s="38">
        <f t="shared" si="116"/>
        <v>1.3655635925487519</v>
      </c>
      <c r="AF173" s="38">
        <f t="shared" si="117"/>
        <v>0</v>
      </c>
      <c r="AG173" s="38">
        <f t="shared" si="118"/>
        <v>1.7945230516873748E-2</v>
      </c>
      <c r="AH173" s="38">
        <f t="shared" si="119"/>
        <v>0</v>
      </c>
      <c r="AI173" s="38">
        <f t="shared" si="120"/>
        <v>0</v>
      </c>
      <c r="AJ173" s="38">
        <f t="shared" si="121"/>
        <v>0.40900580222139643</v>
      </c>
      <c r="AK173" s="38">
        <f t="shared" si="122"/>
        <v>0.5985663702955305</v>
      </c>
      <c r="AL173" s="38">
        <f t="shared" si="123"/>
        <v>1.6272174825719715E-2</v>
      </c>
      <c r="AM173" s="38">
        <f t="shared" si="124"/>
        <v>0</v>
      </c>
      <c r="AN173" s="38">
        <f t="shared" si="125"/>
        <v>0</v>
      </c>
      <c r="AO173" s="38">
        <f t="shared" si="126"/>
        <v>0</v>
      </c>
      <c r="AP173" s="38">
        <f t="shared" si="127"/>
        <v>5.0159953233472603</v>
      </c>
      <c r="AQ173" s="38">
        <f t="shared" si="128"/>
        <v>3.9742057454877404</v>
      </c>
      <c r="AR173" s="38">
        <f t="shared" si="129"/>
        <v>1.0238443473426466</v>
      </c>
      <c r="AS173" s="40"/>
      <c r="AT173" s="38">
        <f t="shared" si="130"/>
        <v>2.6003235497418644</v>
      </c>
      <c r="AU173" s="38">
        <f t="shared" si="131"/>
        <v>0</v>
      </c>
      <c r="AV173" s="38">
        <f t="shared" si="132"/>
        <v>1.3612089969389043</v>
      </c>
      <c r="AW173" s="38">
        <f t="shared" si="133"/>
        <v>0</v>
      </c>
      <c r="AX173" s="38">
        <f t="shared" si="134"/>
        <v>0</v>
      </c>
      <c r="AY173" s="38">
        <f t="shared" si="135"/>
        <v>1.7888005630055676E-2</v>
      </c>
      <c r="AZ173" s="38">
        <f t="shared" si="136"/>
        <v>0</v>
      </c>
      <c r="BA173" s="38">
        <f t="shared" si="137"/>
        <v>0</v>
      </c>
      <c r="BB173" s="38">
        <f t="shared" si="138"/>
        <v>0.4077015386334728</v>
      </c>
      <c r="BC173" s="38">
        <f t="shared" si="139"/>
        <v>0.59665762397092581</v>
      </c>
      <c r="BD173" s="38">
        <f t="shared" si="140"/>
        <v>1.6220285084776565E-2</v>
      </c>
      <c r="BE173" s="38">
        <f t="shared" si="141"/>
        <v>0</v>
      </c>
      <c r="BF173" s="38">
        <f t="shared" si="142"/>
        <v>0</v>
      </c>
      <c r="BG173" s="38">
        <f t="shared" si="143"/>
        <v>0</v>
      </c>
      <c r="BH173" s="41">
        <f t="shared" si="144"/>
        <v>5</v>
      </c>
      <c r="BI173" s="42">
        <f t="shared" si="145"/>
        <v>7.9834330964984934</v>
      </c>
      <c r="BJ173" s="38">
        <f t="shared" si="146"/>
        <v>3.9615325466807687</v>
      </c>
      <c r="BK173" s="38">
        <f t="shared" si="147"/>
        <v>1.0205794476891752</v>
      </c>
      <c r="BL173" s="16"/>
      <c r="BM173" s="16">
        <f t="shared" si="148"/>
        <v>0.39948045157738787</v>
      </c>
      <c r="BN173" s="16">
        <f t="shared" si="149"/>
        <v>0.5846263368539264</v>
      </c>
      <c r="BO173" s="16">
        <f t="shared" si="150"/>
        <v>1.5893211568685801E-2</v>
      </c>
      <c r="BP173" s="15"/>
      <c r="BQ173" s="38">
        <f t="shared" si="151"/>
        <v>0.93941411451398138</v>
      </c>
      <c r="BR173" s="38">
        <f t="shared" si="152"/>
        <v>0</v>
      </c>
      <c r="BS173" s="38">
        <f t="shared" si="153"/>
        <v>0.49176147508826995</v>
      </c>
      <c r="BT173" s="38">
        <f t="shared" si="154"/>
        <v>0</v>
      </c>
      <c r="BU173" s="38">
        <f t="shared" si="155"/>
        <v>6.4623669508542632E-3</v>
      </c>
      <c r="BV173" s="38">
        <f t="shared" si="156"/>
        <v>0</v>
      </c>
      <c r="BW173" s="38">
        <f t="shared" si="157"/>
        <v>0</v>
      </c>
      <c r="BX173" s="38">
        <f t="shared" si="158"/>
        <v>0.14728958630527816</v>
      </c>
      <c r="BY173" s="38">
        <f t="shared" si="159"/>
        <v>0.21555340432397549</v>
      </c>
      <c r="BZ173" s="38">
        <f t="shared" si="160"/>
        <v>5.8598726114649684E-3</v>
      </c>
      <c r="CA173" s="38">
        <f t="shared" si="161"/>
        <v>0</v>
      </c>
      <c r="CB173" s="38">
        <f t="shared" si="162"/>
        <v>0</v>
      </c>
      <c r="CC173" s="38">
        <f t="shared" si="163"/>
        <v>0</v>
      </c>
      <c r="CD173" s="38">
        <f t="shared" si="164"/>
        <v>1.8063408197938242</v>
      </c>
      <c r="CE173" s="38">
        <f t="shared" si="165"/>
        <v>2.8809290333842204</v>
      </c>
      <c r="CF173" s="38">
        <f t="shared" si="166"/>
        <v>2.7680269112064355</v>
      </c>
      <c r="CG173" s="38">
        <f t="shared" si="167"/>
        <v>7.9744890936834656</v>
      </c>
      <c r="CH173" s="15"/>
      <c r="CI173" s="16"/>
      <c r="CJ173" s="13"/>
      <c r="CK173" s="104"/>
      <c r="CL173" s="13"/>
      <c r="CM173" s="13"/>
      <c r="CN173" s="13"/>
      <c r="CO173" s="16"/>
      <c r="CP173" s="16"/>
      <c r="CQ173" s="16"/>
      <c r="CR173" s="16"/>
      <c r="CS173" s="16"/>
      <c r="CT173" s="16"/>
      <c r="CU173" s="16"/>
      <c r="CV173" s="16"/>
      <c r="CW173" s="16"/>
      <c r="CX173" s="16"/>
      <c r="CY173" s="104"/>
      <c r="CZ173" s="104"/>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3"/>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row>
    <row r="174" spans="1:167" x14ac:dyDescent="0.25">
      <c r="A174" s="35" t="s">
        <v>86</v>
      </c>
      <c r="B174" s="15">
        <v>578</v>
      </c>
      <c r="C174" s="102" t="s">
        <v>96</v>
      </c>
      <c r="D174" s="102" t="s">
        <v>105</v>
      </c>
      <c r="E174" s="15">
        <v>89</v>
      </c>
      <c r="F174" s="16">
        <v>56.88</v>
      </c>
      <c r="G174" s="16">
        <v>0</v>
      </c>
      <c r="H174" s="16">
        <v>25.93</v>
      </c>
      <c r="I174" s="16">
        <v>0</v>
      </c>
      <c r="J174" s="16">
        <v>0.32304508233600288</v>
      </c>
      <c r="K174" s="16">
        <v>0</v>
      </c>
      <c r="L174" s="16">
        <v>0</v>
      </c>
      <c r="M174" s="16">
        <v>8.9700000000000006</v>
      </c>
      <c r="N174" s="16">
        <v>6.7</v>
      </c>
      <c r="O174" s="16">
        <v>0.29499999999999998</v>
      </c>
      <c r="P174" s="16"/>
      <c r="Q174" s="16"/>
      <c r="R174" s="16"/>
      <c r="S174" s="16">
        <f t="shared" si="113"/>
        <v>99.098045082336014</v>
      </c>
      <c r="T174" s="16"/>
      <c r="U174" s="15">
        <v>2</v>
      </c>
      <c r="V174" s="15">
        <v>1</v>
      </c>
      <c r="W174" s="15">
        <v>0</v>
      </c>
      <c r="X174" s="15" t="s">
        <v>185</v>
      </c>
      <c r="Y174" s="15"/>
      <c r="Z174" s="37">
        <v>8</v>
      </c>
      <c r="AA174" s="37">
        <v>5</v>
      </c>
      <c r="AB174" s="15"/>
      <c r="AC174" s="38">
        <f t="shared" si="114"/>
        <v>2.5830989806112554</v>
      </c>
      <c r="AD174" s="38">
        <f t="shared" si="115"/>
        <v>0</v>
      </c>
      <c r="AE174" s="38">
        <f t="shared" si="116"/>
        <v>1.3877590556183099</v>
      </c>
      <c r="AF174" s="38">
        <f t="shared" si="117"/>
        <v>0</v>
      </c>
      <c r="AG174" s="38">
        <f t="shared" si="118"/>
        <v>1.2267264970839579E-2</v>
      </c>
      <c r="AH174" s="38">
        <f t="shared" si="119"/>
        <v>0</v>
      </c>
      <c r="AI174" s="38">
        <f t="shared" si="120"/>
        <v>0</v>
      </c>
      <c r="AJ174" s="38">
        <f t="shared" si="121"/>
        <v>0.43641113433286743</v>
      </c>
      <c r="AK174" s="38">
        <f t="shared" si="122"/>
        <v>0.58988127565044823</v>
      </c>
      <c r="AL174" s="38">
        <f t="shared" si="123"/>
        <v>1.7088836442184552E-2</v>
      </c>
      <c r="AM174" s="38">
        <f t="shared" si="124"/>
        <v>0</v>
      </c>
      <c r="AN174" s="38">
        <f t="shared" si="125"/>
        <v>0</v>
      </c>
      <c r="AO174" s="38">
        <f t="shared" si="126"/>
        <v>0</v>
      </c>
      <c r="AP174" s="38">
        <f t="shared" si="127"/>
        <v>5.026506547625905</v>
      </c>
      <c r="AQ174" s="38">
        <f t="shared" si="128"/>
        <v>3.9708580362295653</v>
      </c>
      <c r="AR174" s="38">
        <f t="shared" si="129"/>
        <v>1.0433812464255003</v>
      </c>
      <c r="AS174" s="40"/>
      <c r="AT174" s="38">
        <f t="shared" si="130"/>
        <v>2.5694773856718562</v>
      </c>
      <c r="AU174" s="38">
        <f t="shared" si="131"/>
        <v>0</v>
      </c>
      <c r="AV174" s="38">
        <f t="shared" si="132"/>
        <v>1.3804409110675182</v>
      </c>
      <c r="AW174" s="38">
        <f t="shared" si="133"/>
        <v>0</v>
      </c>
      <c r="AX174" s="38">
        <f t="shared" si="134"/>
        <v>0</v>
      </c>
      <c r="AY174" s="38">
        <f t="shared" si="135"/>
        <v>1.2202575341947573E-2</v>
      </c>
      <c r="AZ174" s="38">
        <f t="shared" si="136"/>
        <v>0</v>
      </c>
      <c r="BA174" s="38">
        <f t="shared" si="137"/>
        <v>0</v>
      </c>
      <c r="BB174" s="38">
        <f t="shared" si="138"/>
        <v>0.43410978399997413</v>
      </c>
      <c r="BC174" s="38">
        <f t="shared" si="139"/>
        <v>0.58677062295786531</v>
      </c>
      <c r="BD174" s="38">
        <f t="shared" si="140"/>
        <v>1.6998720960838962E-2</v>
      </c>
      <c r="BE174" s="38">
        <f t="shared" si="141"/>
        <v>0</v>
      </c>
      <c r="BF174" s="38">
        <f t="shared" si="142"/>
        <v>0</v>
      </c>
      <c r="BG174" s="38">
        <f t="shared" si="143"/>
        <v>0</v>
      </c>
      <c r="BH174" s="41">
        <f t="shared" si="144"/>
        <v>5.0000000000000009</v>
      </c>
      <c r="BI174" s="42">
        <f t="shared" si="145"/>
        <v>7.9639144569172382</v>
      </c>
      <c r="BJ174" s="38">
        <f t="shared" si="146"/>
        <v>3.9499182967393747</v>
      </c>
      <c r="BK174" s="38">
        <f t="shared" si="147"/>
        <v>1.0378791279186783</v>
      </c>
      <c r="BL174" s="16"/>
      <c r="BM174" s="16">
        <f t="shared" si="148"/>
        <v>0.41826622418982506</v>
      </c>
      <c r="BN174" s="16">
        <f t="shared" si="149"/>
        <v>0.56535545149130395</v>
      </c>
      <c r="BO174" s="16">
        <f t="shared" si="150"/>
        <v>1.637832431887085E-2</v>
      </c>
      <c r="BP174" s="15"/>
      <c r="BQ174" s="38">
        <f t="shared" si="151"/>
        <v>0.94673768308921447</v>
      </c>
      <c r="BR174" s="38">
        <f t="shared" si="152"/>
        <v>0</v>
      </c>
      <c r="BS174" s="38">
        <f t="shared" si="153"/>
        <v>0.50863083562181255</v>
      </c>
      <c r="BT174" s="38">
        <f t="shared" si="154"/>
        <v>0</v>
      </c>
      <c r="BU174" s="38">
        <f t="shared" si="155"/>
        <v>4.4961041382881404E-3</v>
      </c>
      <c r="BV174" s="38">
        <f t="shared" si="156"/>
        <v>0</v>
      </c>
      <c r="BW174" s="38">
        <f t="shared" si="157"/>
        <v>0</v>
      </c>
      <c r="BX174" s="38">
        <f t="shared" si="158"/>
        <v>0.15995007132667619</v>
      </c>
      <c r="BY174" s="38">
        <f t="shared" si="159"/>
        <v>0.21619877379799937</v>
      </c>
      <c r="BZ174" s="38">
        <f t="shared" si="160"/>
        <v>6.2632696390658169E-3</v>
      </c>
      <c r="CA174" s="38">
        <f t="shared" si="161"/>
        <v>0</v>
      </c>
      <c r="CB174" s="38">
        <f t="shared" si="162"/>
        <v>0</v>
      </c>
      <c r="CC174" s="38">
        <f t="shared" si="163"/>
        <v>0</v>
      </c>
      <c r="CD174" s="38">
        <f t="shared" si="164"/>
        <v>1.8422767376130564</v>
      </c>
      <c r="CE174" s="38">
        <f t="shared" si="165"/>
        <v>2.9320988167946447</v>
      </c>
      <c r="CF174" s="38">
        <f t="shared" si="166"/>
        <v>2.7140330754424244</v>
      </c>
      <c r="CG174" s="38">
        <f t="shared" si="167"/>
        <v>7.957813169246263</v>
      </c>
      <c r="CH174" s="15"/>
      <c r="CI174" s="16"/>
      <c r="CJ174" s="13"/>
      <c r="CK174" s="104"/>
      <c r="CL174" s="13"/>
      <c r="CM174" s="13"/>
      <c r="CN174" s="13"/>
      <c r="CO174" s="16"/>
      <c r="CP174" s="16"/>
      <c r="CQ174" s="16"/>
      <c r="CR174" s="16"/>
      <c r="CS174" s="16"/>
      <c r="CT174" s="16"/>
      <c r="CU174" s="16"/>
      <c r="CV174" s="16"/>
      <c r="CW174" s="16"/>
      <c r="CX174" s="16"/>
      <c r="CY174" s="104"/>
      <c r="CZ174" s="104"/>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3"/>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row>
    <row r="175" spans="1:167" x14ac:dyDescent="0.25">
      <c r="A175" s="35" t="s">
        <v>86</v>
      </c>
      <c r="B175" s="15">
        <v>579</v>
      </c>
      <c r="C175" s="102" t="s">
        <v>96</v>
      </c>
      <c r="D175" s="102" t="s">
        <v>105</v>
      </c>
      <c r="E175" s="15">
        <v>90</v>
      </c>
      <c r="F175" s="16">
        <v>57.18</v>
      </c>
      <c r="G175" s="16">
        <v>0</v>
      </c>
      <c r="H175" s="16">
        <v>26.2</v>
      </c>
      <c r="I175" s="16">
        <v>0</v>
      </c>
      <c r="J175" s="16">
        <v>0.39863223252047153</v>
      </c>
      <c r="K175" s="16">
        <v>0</v>
      </c>
      <c r="L175" s="16">
        <v>0</v>
      </c>
      <c r="M175" s="16">
        <v>8.89</v>
      </c>
      <c r="N175" s="16">
        <v>6.68</v>
      </c>
      <c r="O175" s="16">
        <v>0.25700000000000001</v>
      </c>
      <c r="P175" s="16"/>
      <c r="Q175" s="16"/>
      <c r="R175" s="16"/>
      <c r="S175" s="16">
        <f t="shared" si="113"/>
        <v>99.605632232520463</v>
      </c>
      <c r="T175" s="16"/>
      <c r="U175" s="15">
        <v>2</v>
      </c>
      <c r="V175" s="15">
        <v>2</v>
      </c>
      <c r="W175" s="15">
        <v>7.1</v>
      </c>
      <c r="X175" s="15" t="s">
        <v>185</v>
      </c>
      <c r="Y175" s="15"/>
      <c r="Z175" s="37">
        <v>8</v>
      </c>
      <c r="AA175" s="37">
        <v>5</v>
      </c>
      <c r="AB175" s="15"/>
      <c r="AC175" s="38">
        <f t="shared" si="114"/>
        <v>2.5819026871021218</v>
      </c>
      <c r="AD175" s="38">
        <f t="shared" si="115"/>
        <v>0</v>
      </c>
      <c r="AE175" s="38">
        <f t="shared" si="116"/>
        <v>1.3942064984700371</v>
      </c>
      <c r="AF175" s="38">
        <f t="shared" si="117"/>
        <v>0</v>
      </c>
      <c r="AG175" s="38">
        <f t="shared" si="118"/>
        <v>1.5051205379146056E-2</v>
      </c>
      <c r="AH175" s="38">
        <f t="shared" si="119"/>
        <v>0</v>
      </c>
      <c r="AI175" s="38">
        <f t="shared" si="120"/>
        <v>0</v>
      </c>
      <c r="AJ175" s="38">
        <f t="shared" si="121"/>
        <v>0.43005044213412552</v>
      </c>
      <c r="AK175" s="38">
        <f t="shared" si="122"/>
        <v>0.58476386609639719</v>
      </c>
      <c r="AL175" s="38">
        <f t="shared" si="123"/>
        <v>1.4802595058463102E-2</v>
      </c>
      <c r="AM175" s="38">
        <f t="shared" si="124"/>
        <v>0</v>
      </c>
      <c r="AN175" s="38">
        <f t="shared" si="125"/>
        <v>0</v>
      </c>
      <c r="AO175" s="38">
        <f t="shared" si="126"/>
        <v>0</v>
      </c>
      <c r="AP175" s="38">
        <f t="shared" si="127"/>
        <v>5.0207772942402906</v>
      </c>
      <c r="AQ175" s="38">
        <f t="shared" si="128"/>
        <v>3.9761091855721586</v>
      </c>
      <c r="AR175" s="38">
        <f t="shared" si="129"/>
        <v>1.0296169032889859</v>
      </c>
      <c r="AS175" s="40"/>
      <c r="AT175" s="38">
        <f t="shared" si="130"/>
        <v>2.571218096114336</v>
      </c>
      <c r="AU175" s="38">
        <f t="shared" si="131"/>
        <v>0</v>
      </c>
      <c r="AV175" s="38">
        <f t="shared" si="132"/>
        <v>1.3884369060438466</v>
      </c>
      <c r="AW175" s="38">
        <f t="shared" si="133"/>
        <v>0</v>
      </c>
      <c r="AX175" s="38">
        <f t="shared" si="134"/>
        <v>0</v>
      </c>
      <c r="AY175" s="38">
        <f t="shared" si="135"/>
        <v>1.4988919540817335E-2</v>
      </c>
      <c r="AZ175" s="38">
        <f t="shared" si="136"/>
        <v>0</v>
      </c>
      <c r="BA175" s="38">
        <f t="shared" si="137"/>
        <v>0</v>
      </c>
      <c r="BB175" s="38">
        <f t="shared" si="138"/>
        <v>0.4282707805298081</v>
      </c>
      <c r="BC175" s="38">
        <f t="shared" si="139"/>
        <v>0.58234395973629782</v>
      </c>
      <c r="BD175" s="38">
        <f t="shared" si="140"/>
        <v>1.4741338034893785E-2</v>
      </c>
      <c r="BE175" s="38">
        <f t="shared" si="141"/>
        <v>0</v>
      </c>
      <c r="BF175" s="38">
        <f t="shared" si="142"/>
        <v>0</v>
      </c>
      <c r="BG175" s="38">
        <f t="shared" si="143"/>
        <v>0</v>
      </c>
      <c r="BH175" s="41">
        <f t="shared" si="144"/>
        <v>5.0000000000000009</v>
      </c>
      <c r="BI175" s="42">
        <f t="shared" si="145"/>
        <v>7.9743883600210719</v>
      </c>
      <c r="BJ175" s="38">
        <f t="shared" si="146"/>
        <v>3.9596550021581827</v>
      </c>
      <c r="BK175" s="38">
        <f t="shared" si="147"/>
        <v>1.0253560783009996</v>
      </c>
      <c r="BL175" s="16"/>
      <c r="BM175" s="16">
        <f t="shared" si="148"/>
        <v>0.41768005241598277</v>
      </c>
      <c r="BN175" s="16">
        <f t="shared" si="149"/>
        <v>0.56794314878518426</v>
      </c>
      <c r="BO175" s="16">
        <f t="shared" si="150"/>
        <v>1.4376798798832861E-2</v>
      </c>
      <c r="BP175" s="15"/>
      <c r="BQ175" s="38">
        <f t="shared" si="151"/>
        <v>0.95173102529960052</v>
      </c>
      <c r="BR175" s="38">
        <f t="shared" si="152"/>
        <v>0</v>
      </c>
      <c r="BS175" s="38">
        <f t="shared" si="153"/>
        <v>0.51392703020792474</v>
      </c>
      <c r="BT175" s="38">
        <f t="shared" si="154"/>
        <v>0</v>
      </c>
      <c r="BU175" s="38">
        <f t="shared" si="155"/>
        <v>5.5481173628458115E-3</v>
      </c>
      <c r="BV175" s="38">
        <f t="shared" si="156"/>
        <v>0</v>
      </c>
      <c r="BW175" s="38">
        <f t="shared" si="157"/>
        <v>0</v>
      </c>
      <c r="BX175" s="38">
        <f t="shared" si="158"/>
        <v>0.15852353780313838</v>
      </c>
      <c r="BY175" s="38">
        <f t="shared" si="159"/>
        <v>0.21555340432397549</v>
      </c>
      <c r="BZ175" s="38">
        <f t="shared" si="160"/>
        <v>5.4564755838641191E-3</v>
      </c>
      <c r="CA175" s="38">
        <f t="shared" si="161"/>
        <v>0</v>
      </c>
      <c r="CB175" s="38">
        <f t="shared" si="162"/>
        <v>0</v>
      </c>
      <c r="CC175" s="38">
        <f t="shared" si="163"/>
        <v>0</v>
      </c>
      <c r="CD175" s="38">
        <f t="shared" si="164"/>
        <v>1.8507395905813491</v>
      </c>
      <c r="CE175" s="38">
        <f t="shared" si="165"/>
        <v>2.948929191030992</v>
      </c>
      <c r="CF175" s="38">
        <f t="shared" si="166"/>
        <v>2.7016226515311179</v>
      </c>
      <c r="CG175" s="38">
        <f t="shared" si="167"/>
        <v>7.9668939002506631</v>
      </c>
      <c r="CH175" s="15"/>
      <c r="CI175" s="16"/>
      <c r="CJ175" s="13"/>
      <c r="CK175" s="104"/>
      <c r="CL175" s="13"/>
      <c r="CM175" s="13"/>
      <c r="CN175" s="13"/>
      <c r="CO175" s="16"/>
      <c r="CP175" s="16"/>
      <c r="CQ175" s="16"/>
      <c r="CR175" s="16"/>
      <c r="CS175" s="16"/>
      <c r="CT175" s="16"/>
      <c r="CU175" s="16"/>
      <c r="CV175" s="16"/>
      <c r="CW175" s="16"/>
      <c r="CX175" s="16"/>
      <c r="CY175" s="104"/>
      <c r="CZ175" s="104"/>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3"/>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row>
    <row r="176" spans="1:167" x14ac:dyDescent="0.25">
      <c r="A176" s="35" t="s">
        <v>86</v>
      </c>
      <c r="B176" s="15">
        <v>580</v>
      </c>
      <c r="C176" s="102" t="s">
        <v>96</v>
      </c>
      <c r="D176" s="102" t="s">
        <v>105</v>
      </c>
      <c r="E176" s="15">
        <v>91</v>
      </c>
      <c r="F176" s="16">
        <v>57.46</v>
      </c>
      <c r="G176" s="16">
        <v>0</v>
      </c>
      <c r="H176" s="16">
        <v>26.1</v>
      </c>
      <c r="I176" s="16">
        <v>0</v>
      </c>
      <c r="J176" s="16">
        <v>0.44452443084675608</v>
      </c>
      <c r="K176" s="16">
        <v>0</v>
      </c>
      <c r="L176" s="16">
        <v>0</v>
      </c>
      <c r="M176" s="16">
        <v>8.84</v>
      </c>
      <c r="N176" s="16">
        <v>6.83</v>
      </c>
      <c r="O176" s="16">
        <v>0.26700000000000002</v>
      </c>
      <c r="P176" s="16"/>
      <c r="Q176" s="16"/>
      <c r="R176" s="16"/>
      <c r="S176" s="16">
        <f t="shared" si="113"/>
        <v>99.941524430846755</v>
      </c>
      <c r="T176" s="16"/>
      <c r="U176" s="15">
        <v>2</v>
      </c>
      <c r="V176" s="15">
        <v>3</v>
      </c>
      <c r="W176" s="15">
        <v>14.2</v>
      </c>
      <c r="X176" s="15" t="s">
        <v>185</v>
      </c>
      <c r="Y176" s="15"/>
      <c r="Z176" s="37">
        <v>8</v>
      </c>
      <c r="AA176" s="37">
        <v>5</v>
      </c>
      <c r="AB176" s="15"/>
      <c r="AC176" s="38">
        <f t="shared" si="114"/>
        <v>2.5869557969425254</v>
      </c>
      <c r="AD176" s="38">
        <f t="shared" si="115"/>
        <v>0</v>
      </c>
      <c r="AE176" s="38">
        <f t="shared" si="116"/>
        <v>1.3848221027676582</v>
      </c>
      <c r="AF176" s="38">
        <f t="shared" si="117"/>
        <v>0</v>
      </c>
      <c r="AG176" s="38">
        <f t="shared" si="118"/>
        <v>1.6734863428628569E-2</v>
      </c>
      <c r="AH176" s="38">
        <f t="shared" si="119"/>
        <v>0</v>
      </c>
      <c r="AI176" s="38">
        <f t="shared" si="120"/>
        <v>0</v>
      </c>
      <c r="AJ176" s="38">
        <f t="shared" si="121"/>
        <v>0.42638073159307288</v>
      </c>
      <c r="AK176" s="38">
        <f t="shared" si="122"/>
        <v>0.59614573030951812</v>
      </c>
      <c r="AL176" s="38">
        <f t="shared" si="123"/>
        <v>1.5333583574003645E-2</v>
      </c>
      <c r="AM176" s="38">
        <f t="shared" si="124"/>
        <v>0</v>
      </c>
      <c r="AN176" s="38">
        <f t="shared" si="125"/>
        <v>0</v>
      </c>
      <c r="AO176" s="38">
        <f t="shared" si="126"/>
        <v>0</v>
      </c>
      <c r="AP176" s="38">
        <f t="shared" si="127"/>
        <v>5.026372808615406</v>
      </c>
      <c r="AQ176" s="38">
        <f t="shared" si="128"/>
        <v>3.9717778997101836</v>
      </c>
      <c r="AR176" s="38">
        <f t="shared" si="129"/>
        <v>1.0378600454765945</v>
      </c>
      <c r="AS176" s="40"/>
      <c r="AT176" s="38">
        <f t="shared" si="130"/>
        <v>2.5733823329900822</v>
      </c>
      <c r="AU176" s="38">
        <f t="shared" si="131"/>
        <v>0</v>
      </c>
      <c r="AV176" s="38">
        <f t="shared" si="132"/>
        <v>1.377556098101216</v>
      </c>
      <c r="AW176" s="38">
        <f t="shared" si="133"/>
        <v>0</v>
      </c>
      <c r="AX176" s="38">
        <f t="shared" si="134"/>
        <v>0</v>
      </c>
      <c r="AY176" s="38">
        <f t="shared" si="135"/>
        <v>1.6647057496356352E-2</v>
      </c>
      <c r="AZ176" s="38">
        <f t="shared" si="136"/>
        <v>0</v>
      </c>
      <c r="BA176" s="38">
        <f t="shared" si="137"/>
        <v>0</v>
      </c>
      <c r="BB176" s="38">
        <f t="shared" si="138"/>
        <v>0.4241435602053224</v>
      </c>
      <c r="BC176" s="38">
        <f t="shared" si="139"/>
        <v>0.59301782120866575</v>
      </c>
      <c r="BD176" s="38">
        <f t="shared" si="140"/>
        <v>1.5253129998357125E-2</v>
      </c>
      <c r="BE176" s="38">
        <f t="shared" si="141"/>
        <v>0</v>
      </c>
      <c r="BF176" s="38">
        <f t="shared" si="142"/>
        <v>0</v>
      </c>
      <c r="BG176" s="38">
        <f t="shared" si="143"/>
        <v>0</v>
      </c>
      <c r="BH176" s="41">
        <f t="shared" si="144"/>
        <v>5.0000000000000009</v>
      </c>
      <c r="BI176" s="42">
        <f t="shared" si="145"/>
        <v>7.9663484351853571</v>
      </c>
      <c r="BJ176" s="38">
        <f t="shared" si="146"/>
        <v>3.9509384310912985</v>
      </c>
      <c r="BK176" s="38">
        <f t="shared" si="147"/>
        <v>1.0324145114123453</v>
      </c>
      <c r="BL176" s="16"/>
      <c r="BM176" s="16">
        <f t="shared" si="148"/>
        <v>0.41082680988771958</v>
      </c>
      <c r="BN176" s="16">
        <f t="shared" si="149"/>
        <v>0.57439895957817966</v>
      </c>
      <c r="BO176" s="16">
        <f t="shared" si="150"/>
        <v>1.4774230534100893E-2</v>
      </c>
      <c r="BP176" s="15"/>
      <c r="BQ176" s="38">
        <f t="shared" si="151"/>
        <v>0.95639147802929436</v>
      </c>
      <c r="BR176" s="38">
        <f t="shared" si="152"/>
        <v>0</v>
      </c>
      <c r="BS176" s="38">
        <f t="shared" si="153"/>
        <v>0.5119654766575128</v>
      </c>
      <c r="BT176" s="38">
        <f t="shared" si="154"/>
        <v>0</v>
      </c>
      <c r="BU176" s="38">
        <f t="shared" si="155"/>
        <v>6.1868396777558258E-3</v>
      </c>
      <c r="BV176" s="38">
        <f t="shared" si="156"/>
        <v>0</v>
      </c>
      <c r="BW176" s="38">
        <f t="shared" si="157"/>
        <v>0</v>
      </c>
      <c r="BX176" s="38">
        <f t="shared" si="158"/>
        <v>0.15763195435092725</v>
      </c>
      <c r="BY176" s="38">
        <f t="shared" si="159"/>
        <v>0.22039367537915458</v>
      </c>
      <c r="BZ176" s="38">
        <f t="shared" si="160"/>
        <v>5.6687898089171976E-3</v>
      </c>
      <c r="CA176" s="38">
        <f t="shared" si="161"/>
        <v>0</v>
      </c>
      <c r="CB176" s="38">
        <f t="shared" si="162"/>
        <v>0</v>
      </c>
      <c r="CC176" s="38">
        <f t="shared" si="163"/>
        <v>0</v>
      </c>
      <c r="CD176" s="38">
        <f t="shared" si="164"/>
        <v>1.858238213903562</v>
      </c>
      <c r="CE176" s="38">
        <f t="shared" si="165"/>
        <v>2.9575811976675768</v>
      </c>
      <c r="CF176" s="38">
        <f t="shared" si="166"/>
        <v>2.690720685103448</v>
      </c>
      <c r="CG176" s="38">
        <f t="shared" si="167"/>
        <v>7.9580249064371786</v>
      </c>
      <c r="CH176" s="15"/>
      <c r="CI176" s="16"/>
      <c r="CJ176" s="13"/>
      <c r="CK176" s="104"/>
      <c r="CL176" s="13"/>
      <c r="CM176" s="13"/>
      <c r="CN176" s="13"/>
      <c r="CO176" s="16"/>
      <c r="CP176" s="16"/>
      <c r="CQ176" s="16"/>
      <c r="CR176" s="16"/>
      <c r="CS176" s="16"/>
      <c r="CT176" s="16"/>
      <c r="CU176" s="16"/>
      <c r="CV176" s="16"/>
      <c r="CW176" s="16"/>
      <c r="CX176" s="16"/>
      <c r="CY176" s="104"/>
      <c r="CZ176" s="104"/>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3"/>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row>
    <row r="177" spans="1:167" x14ac:dyDescent="0.25">
      <c r="A177" s="35" t="s">
        <v>86</v>
      </c>
      <c r="B177" s="15">
        <v>581</v>
      </c>
      <c r="C177" s="102" t="s">
        <v>96</v>
      </c>
      <c r="D177" s="102" t="s">
        <v>105</v>
      </c>
      <c r="E177" s="15">
        <v>92</v>
      </c>
      <c r="F177" s="16">
        <v>56.94</v>
      </c>
      <c r="G177" s="16">
        <v>0</v>
      </c>
      <c r="H177" s="16">
        <v>25.63</v>
      </c>
      <c r="I177" s="16">
        <v>0</v>
      </c>
      <c r="J177" s="16">
        <v>0.40223162062449386</v>
      </c>
      <c r="K177" s="16">
        <v>0</v>
      </c>
      <c r="L177" s="16">
        <v>0</v>
      </c>
      <c r="M177" s="16">
        <v>8.93</v>
      </c>
      <c r="N177" s="16">
        <v>6.67</v>
      </c>
      <c r="O177" s="16">
        <v>0.28399999999999997</v>
      </c>
      <c r="P177" s="16"/>
      <c r="Q177" s="16"/>
      <c r="R177" s="16"/>
      <c r="S177" s="16">
        <f t="shared" si="113"/>
        <v>98.856231620624499</v>
      </c>
      <c r="T177" s="16"/>
      <c r="U177" s="15">
        <v>2</v>
      </c>
      <c r="V177" s="15">
        <v>4</v>
      </c>
      <c r="W177" s="15">
        <v>21.299999999999997</v>
      </c>
      <c r="X177" s="15" t="s">
        <v>185</v>
      </c>
      <c r="Y177" s="15"/>
      <c r="Z177" s="37">
        <v>8</v>
      </c>
      <c r="AA177" s="37">
        <v>5</v>
      </c>
      <c r="AB177" s="15"/>
      <c r="AC177" s="38">
        <f t="shared" si="114"/>
        <v>2.5920487295162644</v>
      </c>
      <c r="AD177" s="38">
        <f t="shared" si="115"/>
        <v>0</v>
      </c>
      <c r="AE177" s="38">
        <f t="shared" si="116"/>
        <v>1.3750053820306785</v>
      </c>
      <c r="AF177" s="38">
        <f t="shared" si="117"/>
        <v>0</v>
      </c>
      <c r="AG177" s="38">
        <f t="shared" si="118"/>
        <v>1.5311052982936078E-2</v>
      </c>
      <c r="AH177" s="38">
        <f t="shared" si="119"/>
        <v>0</v>
      </c>
      <c r="AI177" s="38">
        <f t="shared" si="120"/>
        <v>0</v>
      </c>
      <c r="AJ177" s="38">
        <f t="shared" si="121"/>
        <v>0.43551094805828994</v>
      </c>
      <c r="AK177" s="38">
        <f t="shared" si="122"/>
        <v>0.58865370348711399</v>
      </c>
      <c r="AL177" s="38">
        <f t="shared" si="123"/>
        <v>1.6491230273343101E-2</v>
      </c>
      <c r="AM177" s="38">
        <f t="shared" si="124"/>
        <v>0</v>
      </c>
      <c r="AN177" s="38">
        <f t="shared" si="125"/>
        <v>0</v>
      </c>
      <c r="AO177" s="38">
        <f t="shared" si="126"/>
        <v>0</v>
      </c>
      <c r="AP177" s="38">
        <f t="shared" si="127"/>
        <v>5.0230210463486253</v>
      </c>
      <c r="AQ177" s="38">
        <f t="shared" si="128"/>
        <v>3.9670541115469429</v>
      </c>
      <c r="AR177" s="38">
        <f t="shared" si="129"/>
        <v>1.040655881818747</v>
      </c>
      <c r="AS177" s="40"/>
      <c r="AT177" s="38">
        <f t="shared" si="130"/>
        <v>2.5801690910697026</v>
      </c>
      <c r="AU177" s="38">
        <f t="shared" si="131"/>
        <v>0</v>
      </c>
      <c r="AV177" s="38">
        <f t="shared" si="132"/>
        <v>1.3687035843003366</v>
      </c>
      <c r="AW177" s="38">
        <f t="shared" si="133"/>
        <v>0</v>
      </c>
      <c r="AX177" s="38">
        <f t="shared" si="134"/>
        <v>0</v>
      </c>
      <c r="AY177" s="38">
        <f t="shared" si="135"/>
        <v>1.5240880778377494E-2</v>
      </c>
      <c r="AZ177" s="38">
        <f t="shared" si="136"/>
        <v>0</v>
      </c>
      <c r="BA177" s="38">
        <f t="shared" si="137"/>
        <v>0</v>
      </c>
      <c r="BB177" s="38">
        <f t="shared" si="138"/>
        <v>0.43351495448627969</v>
      </c>
      <c r="BC177" s="38">
        <f t="shared" si="139"/>
        <v>0.58595584017612545</v>
      </c>
      <c r="BD177" s="38">
        <f t="shared" si="140"/>
        <v>1.641564918917773E-2</v>
      </c>
      <c r="BE177" s="38">
        <f t="shared" si="141"/>
        <v>0</v>
      </c>
      <c r="BF177" s="38">
        <f t="shared" si="142"/>
        <v>0</v>
      </c>
      <c r="BG177" s="38">
        <f t="shared" si="143"/>
        <v>0</v>
      </c>
      <c r="BH177" s="41">
        <f t="shared" si="144"/>
        <v>4.9999999999999991</v>
      </c>
      <c r="BI177" s="42">
        <f t="shared" si="145"/>
        <v>7.9709555789264082</v>
      </c>
      <c r="BJ177" s="38">
        <f t="shared" si="146"/>
        <v>3.9488726753700392</v>
      </c>
      <c r="BK177" s="38">
        <f t="shared" si="147"/>
        <v>1.0358864438515829</v>
      </c>
      <c r="BL177" s="16"/>
      <c r="BM177" s="16">
        <f t="shared" si="148"/>
        <v>0.41849659975702103</v>
      </c>
      <c r="BN177" s="16">
        <f t="shared" si="149"/>
        <v>0.56565644202993215</v>
      </c>
      <c r="BO177" s="16">
        <f t="shared" si="150"/>
        <v>1.5846958213046845E-2</v>
      </c>
      <c r="BP177" s="15"/>
      <c r="BQ177" s="38">
        <f t="shared" si="151"/>
        <v>0.94773635153129165</v>
      </c>
      <c r="BR177" s="38">
        <f t="shared" si="152"/>
        <v>0</v>
      </c>
      <c r="BS177" s="38">
        <f t="shared" si="153"/>
        <v>0.50274617497057672</v>
      </c>
      <c r="BT177" s="38">
        <f t="shared" si="154"/>
        <v>0</v>
      </c>
      <c r="BU177" s="38">
        <f t="shared" si="155"/>
        <v>5.5982132306818914E-3</v>
      </c>
      <c r="BV177" s="38">
        <f t="shared" si="156"/>
        <v>0</v>
      </c>
      <c r="BW177" s="38">
        <f t="shared" si="157"/>
        <v>0</v>
      </c>
      <c r="BX177" s="38">
        <f t="shared" si="158"/>
        <v>0.15923680456490727</v>
      </c>
      <c r="BY177" s="38">
        <f t="shared" si="159"/>
        <v>0.21523071958696355</v>
      </c>
      <c r="BZ177" s="38">
        <f t="shared" si="160"/>
        <v>6.0297239915074307E-3</v>
      </c>
      <c r="CA177" s="38">
        <f t="shared" si="161"/>
        <v>0</v>
      </c>
      <c r="CB177" s="38">
        <f t="shared" si="162"/>
        <v>0</v>
      </c>
      <c r="CC177" s="38">
        <f t="shared" si="163"/>
        <v>0</v>
      </c>
      <c r="CD177" s="38">
        <f t="shared" si="164"/>
        <v>1.8365779878759287</v>
      </c>
      <c r="CE177" s="38">
        <f t="shared" si="165"/>
        <v>2.9250572051032728</v>
      </c>
      <c r="CF177" s="38">
        <f t="shared" si="166"/>
        <v>2.7224544958108137</v>
      </c>
      <c r="CG177" s="38">
        <f t="shared" si="167"/>
        <v>7.963335138537218</v>
      </c>
      <c r="CH177" s="15"/>
      <c r="CI177" s="16"/>
      <c r="CJ177" s="13"/>
      <c r="CK177" s="104"/>
      <c r="CL177" s="13"/>
      <c r="CM177" s="13"/>
      <c r="CN177" s="13"/>
      <c r="CO177" s="16"/>
      <c r="CP177" s="16"/>
      <c r="CQ177" s="16"/>
      <c r="CR177" s="16"/>
      <c r="CS177" s="16"/>
      <c r="CT177" s="16"/>
      <c r="CU177" s="16"/>
      <c r="CV177" s="16"/>
      <c r="CW177" s="16"/>
      <c r="CX177" s="16"/>
      <c r="CY177" s="104"/>
      <c r="CZ177" s="104"/>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3"/>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row>
    <row r="178" spans="1:167" x14ac:dyDescent="0.25">
      <c r="A178" s="35" t="s">
        <v>86</v>
      </c>
      <c r="B178" s="15">
        <v>582</v>
      </c>
      <c r="C178" s="102" t="s">
        <v>96</v>
      </c>
      <c r="D178" s="102" t="s">
        <v>105</v>
      </c>
      <c r="E178" s="15">
        <v>93</v>
      </c>
      <c r="F178" s="16">
        <v>57.14</v>
      </c>
      <c r="G178" s="16">
        <v>0</v>
      </c>
      <c r="H178" s="16">
        <v>26.77</v>
      </c>
      <c r="I178" s="16">
        <v>0</v>
      </c>
      <c r="J178" s="16">
        <v>0.37613605687033203</v>
      </c>
      <c r="K178" s="16">
        <v>0</v>
      </c>
      <c r="L178" s="16">
        <v>0</v>
      </c>
      <c r="M178" s="16">
        <v>9.1199999999999992</v>
      </c>
      <c r="N178" s="16">
        <v>6.41</v>
      </c>
      <c r="O178" s="16">
        <v>0.27500000000000002</v>
      </c>
      <c r="P178" s="16"/>
      <c r="Q178" s="16"/>
      <c r="R178" s="16"/>
      <c r="S178" s="16">
        <f t="shared" si="113"/>
        <v>100.09113605687034</v>
      </c>
      <c r="T178" s="16"/>
      <c r="U178" s="15">
        <v>2</v>
      </c>
      <c r="V178" s="15">
        <v>5</v>
      </c>
      <c r="W178" s="15">
        <v>28.4</v>
      </c>
      <c r="X178" s="15" t="s">
        <v>185</v>
      </c>
      <c r="Y178" s="15"/>
      <c r="Z178" s="37">
        <v>8</v>
      </c>
      <c r="AA178" s="37">
        <v>5</v>
      </c>
      <c r="AB178" s="15"/>
      <c r="AC178" s="38">
        <f t="shared" si="114"/>
        <v>2.56698470371999</v>
      </c>
      <c r="AD178" s="38">
        <f t="shared" si="115"/>
        <v>0</v>
      </c>
      <c r="AE178" s="38">
        <f t="shared" si="116"/>
        <v>1.4172990916560217</v>
      </c>
      <c r="AF178" s="38">
        <f t="shared" si="117"/>
        <v>0</v>
      </c>
      <c r="AG178" s="38">
        <f t="shared" si="118"/>
        <v>1.4129642173621339E-2</v>
      </c>
      <c r="AH178" s="38">
        <f t="shared" si="119"/>
        <v>0</v>
      </c>
      <c r="AI178" s="38">
        <f t="shared" si="120"/>
        <v>0</v>
      </c>
      <c r="AJ178" s="38">
        <f t="shared" si="121"/>
        <v>0.43893458552242376</v>
      </c>
      <c r="AK178" s="38">
        <f t="shared" si="122"/>
        <v>0.55827659627959059</v>
      </c>
      <c r="AL178" s="38">
        <f t="shared" si="123"/>
        <v>1.5758858480293004E-2</v>
      </c>
      <c r="AM178" s="38">
        <f t="shared" si="124"/>
        <v>0</v>
      </c>
      <c r="AN178" s="38">
        <f t="shared" si="125"/>
        <v>0</v>
      </c>
      <c r="AO178" s="38">
        <f t="shared" si="126"/>
        <v>0</v>
      </c>
      <c r="AP178" s="38">
        <f t="shared" si="127"/>
        <v>5.0113834778319406</v>
      </c>
      <c r="AQ178" s="38">
        <f t="shared" si="128"/>
        <v>3.9842837953760117</v>
      </c>
      <c r="AR178" s="38">
        <f t="shared" si="129"/>
        <v>1.0129700402823074</v>
      </c>
      <c r="AS178" s="40"/>
      <c r="AT178" s="38">
        <f t="shared" si="130"/>
        <v>2.5611537363635732</v>
      </c>
      <c r="AU178" s="38">
        <f t="shared" si="131"/>
        <v>0</v>
      </c>
      <c r="AV178" s="38">
        <f t="shared" si="132"/>
        <v>1.4140796627573027</v>
      </c>
      <c r="AW178" s="38">
        <f t="shared" si="133"/>
        <v>0</v>
      </c>
      <c r="AX178" s="38">
        <f t="shared" si="134"/>
        <v>0</v>
      </c>
      <c r="AY178" s="38">
        <f t="shared" si="135"/>
        <v>1.4097546352344009E-2</v>
      </c>
      <c r="AZ178" s="38">
        <f t="shared" si="136"/>
        <v>0</v>
      </c>
      <c r="BA178" s="38">
        <f t="shared" si="137"/>
        <v>0</v>
      </c>
      <c r="BB178" s="38">
        <f t="shared" si="138"/>
        <v>0.43793753507795691</v>
      </c>
      <c r="BC178" s="38">
        <f t="shared" si="139"/>
        <v>0.55700845759374629</v>
      </c>
      <c r="BD178" s="38">
        <f t="shared" si="140"/>
        <v>1.5723061855077505E-2</v>
      </c>
      <c r="BE178" s="38">
        <f t="shared" si="141"/>
        <v>0</v>
      </c>
      <c r="BF178" s="38">
        <f t="shared" si="142"/>
        <v>0</v>
      </c>
      <c r="BG178" s="38">
        <f t="shared" si="143"/>
        <v>0</v>
      </c>
      <c r="BH178" s="41">
        <f t="shared" si="144"/>
        <v>5.0000000000000018</v>
      </c>
      <c r="BI178" s="42">
        <f t="shared" si="145"/>
        <v>7.9888765811939857</v>
      </c>
      <c r="BJ178" s="38">
        <f t="shared" si="146"/>
        <v>3.9752333991208761</v>
      </c>
      <c r="BK178" s="38">
        <f t="shared" si="147"/>
        <v>1.0106690545267807</v>
      </c>
      <c r="BL178" s="16"/>
      <c r="BM178" s="16">
        <f t="shared" si="148"/>
        <v>0.43331447927136707</v>
      </c>
      <c r="BN178" s="16">
        <f t="shared" si="149"/>
        <v>0.55112843823495805</v>
      </c>
      <c r="BO178" s="16">
        <f t="shared" si="150"/>
        <v>1.5557082493674861E-2</v>
      </c>
      <c r="BP178" s="15"/>
      <c r="BQ178" s="38">
        <f t="shared" si="151"/>
        <v>0.95106524633821576</v>
      </c>
      <c r="BR178" s="38">
        <f t="shared" si="152"/>
        <v>0</v>
      </c>
      <c r="BS178" s="38">
        <f t="shared" si="153"/>
        <v>0.52510788544527265</v>
      </c>
      <c r="BT178" s="38">
        <f t="shared" si="154"/>
        <v>0</v>
      </c>
      <c r="BU178" s="38">
        <f t="shared" si="155"/>
        <v>5.2350181888703136E-3</v>
      </c>
      <c r="BV178" s="38">
        <f t="shared" si="156"/>
        <v>0</v>
      </c>
      <c r="BW178" s="38">
        <f t="shared" si="157"/>
        <v>0</v>
      </c>
      <c r="BX178" s="38">
        <f t="shared" si="158"/>
        <v>0.16262482168330955</v>
      </c>
      <c r="BY178" s="38">
        <f t="shared" si="159"/>
        <v>0.20684091642465313</v>
      </c>
      <c r="BZ178" s="38">
        <f t="shared" si="160"/>
        <v>5.8386411889596607E-3</v>
      </c>
      <c r="CA178" s="38">
        <f t="shared" si="161"/>
        <v>0</v>
      </c>
      <c r="CB178" s="38">
        <f t="shared" si="162"/>
        <v>0</v>
      </c>
      <c r="CC178" s="38">
        <f t="shared" si="163"/>
        <v>0</v>
      </c>
      <c r="CD178" s="38">
        <f t="shared" si="164"/>
        <v>1.856712529269281</v>
      </c>
      <c r="CE178" s="38">
        <f t="shared" si="165"/>
        <v>2.9639919395233267</v>
      </c>
      <c r="CF178" s="38">
        <f t="shared" si="166"/>
        <v>2.6929316849969105</v>
      </c>
      <c r="CG178" s="38">
        <f t="shared" si="167"/>
        <v>7.9818278080178127</v>
      </c>
      <c r="CH178" s="15"/>
      <c r="CI178" s="16"/>
      <c r="CJ178" s="13"/>
      <c r="CK178" s="104"/>
      <c r="CL178" s="13"/>
      <c r="CM178" s="13"/>
      <c r="CN178" s="13"/>
      <c r="CO178" s="16"/>
      <c r="CP178" s="16"/>
      <c r="CQ178" s="16"/>
      <c r="CR178" s="16"/>
      <c r="CS178" s="16"/>
      <c r="CT178" s="16"/>
      <c r="CU178" s="16"/>
      <c r="CV178" s="16"/>
      <c r="CW178" s="16"/>
      <c r="CX178" s="16"/>
      <c r="CY178" s="104"/>
      <c r="CZ178" s="104"/>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3"/>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row>
    <row r="179" spans="1:167" x14ac:dyDescent="0.25">
      <c r="A179" s="35" t="s">
        <v>86</v>
      </c>
      <c r="B179" s="15">
        <v>583</v>
      </c>
      <c r="C179" s="102" t="s">
        <v>96</v>
      </c>
      <c r="D179" s="102" t="s">
        <v>105</v>
      </c>
      <c r="E179" s="15">
        <v>94</v>
      </c>
      <c r="F179" s="16">
        <v>58.36</v>
      </c>
      <c r="G179" s="16">
        <v>0</v>
      </c>
      <c r="H179" s="16">
        <v>26.15</v>
      </c>
      <c r="I179" s="16">
        <v>0</v>
      </c>
      <c r="J179" s="16">
        <v>0.34464141096013678</v>
      </c>
      <c r="K179" s="16">
        <v>0</v>
      </c>
      <c r="L179" s="16">
        <v>0</v>
      </c>
      <c r="M179" s="16">
        <v>8.44</v>
      </c>
      <c r="N179" s="16">
        <v>6.91</v>
      </c>
      <c r="O179" s="16">
        <v>0.29899999999999999</v>
      </c>
      <c r="P179" s="16"/>
      <c r="Q179" s="16"/>
      <c r="R179" s="16"/>
      <c r="S179" s="16">
        <f t="shared" si="113"/>
        <v>100.50364141096013</v>
      </c>
      <c r="T179" s="16"/>
      <c r="U179" s="15">
        <v>2</v>
      </c>
      <c r="V179" s="15">
        <v>6</v>
      </c>
      <c r="W179" s="15">
        <v>35.5</v>
      </c>
      <c r="X179" s="15" t="s">
        <v>185</v>
      </c>
      <c r="Y179" s="15"/>
      <c r="Z179" s="37">
        <v>8</v>
      </c>
      <c r="AA179" s="37">
        <v>5</v>
      </c>
      <c r="AB179" s="15"/>
      <c r="AC179" s="38">
        <f t="shared" si="114"/>
        <v>2.6058548815933098</v>
      </c>
      <c r="AD179" s="38">
        <f t="shared" si="115"/>
        <v>0</v>
      </c>
      <c r="AE179" s="38">
        <f t="shared" si="116"/>
        <v>1.3760579676154756</v>
      </c>
      <c r="AF179" s="38">
        <f t="shared" si="117"/>
        <v>0</v>
      </c>
      <c r="AG179" s="38">
        <f t="shared" si="118"/>
        <v>1.2867837101901687E-2</v>
      </c>
      <c r="AH179" s="38">
        <f t="shared" si="119"/>
        <v>0</v>
      </c>
      <c r="AI179" s="38">
        <f t="shared" si="120"/>
        <v>0</v>
      </c>
      <c r="AJ179" s="38">
        <f t="shared" si="121"/>
        <v>0.40373770398711473</v>
      </c>
      <c r="AK179" s="38">
        <f t="shared" si="122"/>
        <v>0.59816546897721945</v>
      </c>
      <c r="AL179" s="38">
        <f t="shared" si="123"/>
        <v>1.7030019625078285E-2</v>
      </c>
      <c r="AM179" s="38">
        <f t="shared" si="124"/>
        <v>0</v>
      </c>
      <c r="AN179" s="38">
        <f t="shared" si="125"/>
        <v>0</v>
      </c>
      <c r="AO179" s="38">
        <f t="shared" si="126"/>
        <v>0</v>
      </c>
      <c r="AP179" s="38">
        <f t="shared" si="127"/>
        <v>5.0137138789000995</v>
      </c>
      <c r="AQ179" s="38">
        <f t="shared" si="128"/>
        <v>3.9819128492087854</v>
      </c>
      <c r="AR179" s="38">
        <f t="shared" si="129"/>
        <v>1.0189331925894125</v>
      </c>
      <c r="AS179" s="40"/>
      <c r="AT179" s="38">
        <f t="shared" si="130"/>
        <v>2.5987271556917984</v>
      </c>
      <c r="AU179" s="38">
        <f t="shared" si="131"/>
        <v>0</v>
      </c>
      <c r="AV179" s="38">
        <f t="shared" si="132"/>
        <v>1.3722940726698918</v>
      </c>
      <c r="AW179" s="38">
        <f t="shared" si="133"/>
        <v>0</v>
      </c>
      <c r="AX179" s="38">
        <f t="shared" si="134"/>
        <v>0</v>
      </c>
      <c r="AY179" s="38">
        <f t="shared" si="135"/>
        <v>1.2832640047585454E-2</v>
      </c>
      <c r="AZ179" s="38">
        <f t="shared" si="136"/>
        <v>0</v>
      </c>
      <c r="BA179" s="38">
        <f t="shared" si="137"/>
        <v>0</v>
      </c>
      <c r="BB179" s="38">
        <f t="shared" si="138"/>
        <v>0.40263337092910256</v>
      </c>
      <c r="BC179" s="38">
        <f t="shared" si="139"/>
        <v>0.59652932279857573</v>
      </c>
      <c r="BD179" s="38">
        <f t="shared" si="140"/>
        <v>1.6983437863046048E-2</v>
      </c>
      <c r="BE179" s="38">
        <f t="shared" si="141"/>
        <v>0</v>
      </c>
      <c r="BF179" s="38">
        <f t="shared" si="142"/>
        <v>0</v>
      </c>
      <c r="BG179" s="38">
        <f t="shared" si="143"/>
        <v>0</v>
      </c>
      <c r="BH179" s="41">
        <f t="shared" si="144"/>
        <v>5</v>
      </c>
      <c r="BI179" s="42">
        <f t="shared" si="145"/>
        <v>7.9845341317197249</v>
      </c>
      <c r="BJ179" s="38">
        <f t="shared" si="146"/>
        <v>3.9710212283616899</v>
      </c>
      <c r="BK179" s="38">
        <f t="shared" si="147"/>
        <v>1.0161461315907243</v>
      </c>
      <c r="BL179" s="16"/>
      <c r="BM179" s="16">
        <f t="shared" si="148"/>
        <v>0.39623569722083257</v>
      </c>
      <c r="BN179" s="16">
        <f t="shared" si="149"/>
        <v>0.5870507245495683</v>
      </c>
      <c r="BO179" s="16">
        <f t="shared" si="150"/>
        <v>1.6713578229599072E-2</v>
      </c>
      <c r="BP179" s="15"/>
      <c r="BQ179" s="38">
        <f t="shared" si="151"/>
        <v>0.97137150466045274</v>
      </c>
      <c r="BR179" s="38">
        <f t="shared" si="152"/>
        <v>0</v>
      </c>
      <c r="BS179" s="38">
        <f t="shared" si="153"/>
        <v>0.51294625343271871</v>
      </c>
      <c r="BT179" s="38">
        <f t="shared" si="154"/>
        <v>0</v>
      </c>
      <c r="BU179" s="38">
        <f t="shared" si="155"/>
        <v>4.7966793453046181E-3</v>
      </c>
      <c r="BV179" s="38">
        <f t="shared" si="156"/>
        <v>0</v>
      </c>
      <c r="BW179" s="38">
        <f t="shared" si="157"/>
        <v>0</v>
      </c>
      <c r="BX179" s="38">
        <f t="shared" si="158"/>
        <v>0.15049928673323823</v>
      </c>
      <c r="BY179" s="38">
        <f t="shared" si="159"/>
        <v>0.22297515327525011</v>
      </c>
      <c r="BZ179" s="38">
        <f t="shared" si="160"/>
        <v>6.3481953290870485E-3</v>
      </c>
      <c r="CA179" s="38">
        <f t="shared" si="161"/>
        <v>0</v>
      </c>
      <c r="CB179" s="38">
        <f t="shared" si="162"/>
        <v>0</v>
      </c>
      <c r="CC179" s="38">
        <f t="shared" si="163"/>
        <v>0</v>
      </c>
      <c r="CD179" s="38">
        <f t="shared" si="164"/>
        <v>1.8689370727760517</v>
      </c>
      <c r="CE179" s="38">
        <f t="shared" si="165"/>
        <v>2.9821200298506954</v>
      </c>
      <c r="CF179" s="38">
        <f t="shared" si="166"/>
        <v>2.6753174693962172</v>
      </c>
      <c r="CG179" s="38">
        <f t="shared" si="167"/>
        <v>7.9781178116959337</v>
      </c>
      <c r="CH179" s="15"/>
      <c r="CI179" s="16"/>
      <c r="CJ179" s="13"/>
      <c r="CK179" s="104"/>
      <c r="CL179" s="13"/>
      <c r="CM179" s="13"/>
      <c r="CN179" s="13"/>
      <c r="CO179" s="16"/>
      <c r="CP179" s="16"/>
      <c r="CQ179" s="16"/>
      <c r="CR179" s="16"/>
      <c r="CS179" s="16"/>
      <c r="CT179" s="16"/>
      <c r="CU179" s="16"/>
      <c r="CV179" s="16"/>
      <c r="CW179" s="16"/>
      <c r="CX179" s="16"/>
      <c r="CY179" s="104"/>
      <c r="CZ179" s="104"/>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3"/>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row>
    <row r="180" spans="1:167" x14ac:dyDescent="0.25">
      <c r="A180" s="35" t="s">
        <v>86</v>
      </c>
      <c r="B180" s="15">
        <v>584</v>
      </c>
      <c r="C180" s="102" t="s">
        <v>96</v>
      </c>
      <c r="D180" s="102" t="s">
        <v>105</v>
      </c>
      <c r="E180" s="15">
        <v>95</v>
      </c>
      <c r="F180" s="16">
        <v>58.51</v>
      </c>
      <c r="G180" s="16">
        <v>0</v>
      </c>
      <c r="H180" s="16">
        <v>26.11</v>
      </c>
      <c r="I180" s="16">
        <v>0</v>
      </c>
      <c r="J180" s="16">
        <v>0.31584630612795822</v>
      </c>
      <c r="K180" s="16">
        <v>0</v>
      </c>
      <c r="L180" s="16">
        <v>0</v>
      </c>
      <c r="M180" s="16">
        <v>8.2799999999999994</v>
      </c>
      <c r="N180" s="16">
        <v>7.14</v>
      </c>
      <c r="O180" s="16">
        <v>0.31900000000000001</v>
      </c>
      <c r="P180" s="16"/>
      <c r="Q180" s="16"/>
      <c r="R180" s="16"/>
      <c r="S180" s="16">
        <f t="shared" si="113"/>
        <v>100.67484630612796</v>
      </c>
      <c r="T180" s="16"/>
      <c r="U180" s="15">
        <v>2</v>
      </c>
      <c r="V180" s="15">
        <v>7</v>
      </c>
      <c r="W180" s="15">
        <v>42.6</v>
      </c>
      <c r="X180" s="15" t="s">
        <v>185</v>
      </c>
      <c r="Y180" s="15"/>
      <c r="Z180" s="37">
        <v>8</v>
      </c>
      <c r="AA180" s="37">
        <v>5</v>
      </c>
      <c r="AB180" s="15"/>
      <c r="AC180" s="38">
        <f t="shared" si="114"/>
        <v>2.6086286379350181</v>
      </c>
      <c r="AD180" s="38">
        <f t="shared" si="115"/>
        <v>0</v>
      </c>
      <c r="AE180" s="38">
        <f t="shared" si="116"/>
        <v>1.3718894751531472</v>
      </c>
      <c r="AF180" s="38">
        <f t="shared" si="117"/>
        <v>0</v>
      </c>
      <c r="AG180" s="38">
        <f t="shared" si="118"/>
        <v>1.177500535357601E-2</v>
      </c>
      <c r="AH180" s="38">
        <f t="shared" si="119"/>
        <v>0</v>
      </c>
      <c r="AI180" s="38">
        <f t="shared" si="120"/>
        <v>0</v>
      </c>
      <c r="AJ180" s="38">
        <f t="shared" si="121"/>
        <v>0.39548900615154037</v>
      </c>
      <c r="AK180" s="38">
        <f t="shared" si="122"/>
        <v>0.61714713777058228</v>
      </c>
      <c r="AL180" s="38">
        <f t="shared" si="123"/>
        <v>1.8141862019672668E-2</v>
      </c>
      <c r="AM180" s="38">
        <f t="shared" si="124"/>
        <v>0</v>
      </c>
      <c r="AN180" s="38">
        <f t="shared" si="125"/>
        <v>0</v>
      </c>
      <c r="AO180" s="38">
        <f t="shared" si="126"/>
        <v>0</v>
      </c>
      <c r="AP180" s="38">
        <f t="shared" si="127"/>
        <v>5.0230711243835371</v>
      </c>
      <c r="AQ180" s="38">
        <f t="shared" si="128"/>
        <v>3.9805181130881655</v>
      </c>
      <c r="AR180" s="38">
        <f t="shared" si="129"/>
        <v>1.0307780059417955</v>
      </c>
      <c r="AS180" s="40"/>
      <c r="AT180" s="38">
        <f t="shared" si="130"/>
        <v>2.5966471241786024</v>
      </c>
      <c r="AU180" s="38">
        <f t="shared" si="131"/>
        <v>0</v>
      </c>
      <c r="AV180" s="38">
        <f t="shared" si="132"/>
        <v>1.36558834344747</v>
      </c>
      <c r="AW180" s="38">
        <f t="shared" si="133"/>
        <v>0</v>
      </c>
      <c r="AX180" s="38">
        <f t="shared" si="134"/>
        <v>0</v>
      </c>
      <c r="AY180" s="38">
        <f t="shared" si="135"/>
        <v>1.1720922381943289E-2</v>
      </c>
      <c r="AZ180" s="38">
        <f t="shared" si="136"/>
        <v>0</v>
      </c>
      <c r="BA180" s="38">
        <f t="shared" si="137"/>
        <v>0</v>
      </c>
      <c r="BB180" s="38">
        <f t="shared" si="138"/>
        <v>0.39367251265039299</v>
      </c>
      <c r="BC180" s="38">
        <f t="shared" si="139"/>
        <v>0.61431256146738566</v>
      </c>
      <c r="BD180" s="38">
        <f t="shared" si="140"/>
        <v>1.8058535874204997E-2</v>
      </c>
      <c r="BE180" s="38">
        <f t="shared" si="141"/>
        <v>0</v>
      </c>
      <c r="BF180" s="38">
        <f t="shared" si="142"/>
        <v>0</v>
      </c>
      <c r="BG180" s="38">
        <f t="shared" si="143"/>
        <v>0</v>
      </c>
      <c r="BH180" s="41">
        <f t="shared" si="144"/>
        <v>5</v>
      </c>
      <c r="BI180" s="42">
        <f t="shared" si="145"/>
        <v>7.9691162084225127</v>
      </c>
      <c r="BJ180" s="38">
        <f t="shared" si="146"/>
        <v>3.9622354676260727</v>
      </c>
      <c r="BK180" s="38">
        <f t="shared" si="147"/>
        <v>1.0260436099919836</v>
      </c>
      <c r="BL180" s="16"/>
      <c r="BM180" s="16">
        <f t="shared" si="148"/>
        <v>0.38368009782105528</v>
      </c>
      <c r="BN180" s="16">
        <f t="shared" si="149"/>
        <v>0.59871973811345613</v>
      </c>
      <c r="BO180" s="16">
        <f t="shared" si="150"/>
        <v>1.7600164065488488E-2</v>
      </c>
      <c r="BP180" s="15"/>
      <c r="BQ180" s="38">
        <f t="shared" si="151"/>
        <v>0.97386817576564577</v>
      </c>
      <c r="BR180" s="38">
        <f t="shared" si="152"/>
        <v>0</v>
      </c>
      <c r="BS180" s="38">
        <f t="shared" si="153"/>
        <v>0.51216163201255394</v>
      </c>
      <c r="BT180" s="38">
        <f t="shared" si="154"/>
        <v>0</v>
      </c>
      <c r="BU180" s="38">
        <f t="shared" si="155"/>
        <v>4.3959124026159814E-3</v>
      </c>
      <c r="BV180" s="38">
        <f t="shared" si="156"/>
        <v>0</v>
      </c>
      <c r="BW180" s="38">
        <f t="shared" si="157"/>
        <v>0</v>
      </c>
      <c r="BX180" s="38">
        <f t="shared" si="158"/>
        <v>0.14764621968616262</v>
      </c>
      <c r="BY180" s="38">
        <f t="shared" si="159"/>
        <v>0.23039690222652467</v>
      </c>
      <c r="BZ180" s="38">
        <f t="shared" si="160"/>
        <v>6.7728237791932055E-3</v>
      </c>
      <c r="CA180" s="38">
        <f t="shared" si="161"/>
        <v>0</v>
      </c>
      <c r="CB180" s="38">
        <f t="shared" si="162"/>
        <v>0</v>
      </c>
      <c r="CC180" s="38">
        <f t="shared" si="163"/>
        <v>0</v>
      </c>
      <c r="CD180" s="38">
        <f t="shared" si="164"/>
        <v>1.8752416658726963</v>
      </c>
      <c r="CE180" s="38">
        <f t="shared" si="165"/>
        <v>2.9866057946417595</v>
      </c>
      <c r="CF180" s="38">
        <f t="shared" si="166"/>
        <v>2.6663230083857536</v>
      </c>
      <c r="CG180" s="38">
        <f t="shared" si="167"/>
        <v>7.9632557472315408</v>
      </c>
      <c r="CH180" s="15"/>
      <c r="CI180" s="16"/>
      <c r="CJ180" s="13"/>
      <c r="CK180" s="104"/>
      <c r="CL180" s="13"/>
      <c r="CM180" s="13"/>
      <c r="CN180" s="13"/>
      <c r="CO180" s="16"/>
      <c r="CP180" s="16"/>
      <c r="CQ180" s="16"/>
      <c r="CR180" s="16"/>
      <c r="CS180" s="16"/>
      <c r="CT180" s="16"/>
      <c r="CU180" s="16"/>
      <c r="CV180" s="16"/>
      <c r="CW180" s="16"/>
      <c r="CX180" s="16"/>
      <c r="CY180" s="104"/>
      <c r="CZ180" s="104"/>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3"/>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row>
    <row r="181" spans="1:167" x14ac:dyDescent="0.25">
      <c r="A181" s="35" t="s">
        <v>86</v>
      </c>
      <c r="B181" s="15">
        <v>585</v>
      </c>
      <c r="C181" s="102" t="s">
        <v>96</v>
      </c>
      <c r="D181" s="102" t="s">
        <v>105</v>
      </c>
      <c r="E181" s="15">
        <v>96</v>
      </c>
      <c r="F181" s="16">
        <v>58.76</v>
      </c>
      <c r="G181" s="16">
        <v>0</v>
      </c>
      <c r="H181" s="16">
        <v>25.86</v>
      </c>
      <c r="I181" s="16">
        <v>0</v>
      </c>
      <c r="J181" s="16">
        <v>0.30864752991991368</v>
      </c>
      <c r="K181" s="16">
        <v>0</v>
      </c>
      <c r="L181" s="16">
        <v>0</v>
      </c>
      <c r="M181" s="16">
        <v>8.0500000000000007</v>
      </c>
      <c r="N181" s="16">
        <v>7.37</v>
      </c>
      <c r="O181" s="16">
        <v>0.28399999999999997</v>
      </c>
      <c r="P181" s="16"/>
      <c r="Q181" s="16"/>
      <c r="R181" s="16"/>
      <c r="S181" s="16">
        <f t="shared" si="113"/>
        <v>100.63264752991992</v>
      </c>
      <c r="T181" s="16"/>
      <c r="U181" s="15">
        <v>2</v>
      </c>
      <c r="V181" s="15">
        <v>8</v>
      </c>
      <c r="W181" s="15">
        <v>49.7</v>
      </c>
      <c r="X181" s="15" t="s">
        <v>185</v>
      </c>
      <c r="Y181" s="15"/>
      <c r="Z181" s="37">
        <v>8</v>
      </c>
      <c r="AA181" s="37">
        <v>5</v>
      </c>
      <c r="AB181" s="15"/>
      <c r="AC181" s="38">
        <f t="shared" si="114"/>
        <v>2.6196832670754806</v>
      </c>
      <c r="AD181" s="38">
        <f t="shared" si="115"/>
        <v>0</v>
      </c>
      <c r="AE181" s="38">
        <f t="shared" si="116"/>
        <v>1.3587063727714341</v>
      </c>
      <c r="AF181" s="38">
        <f t="shared" si="117"/>
        <v>0</v>
      </c>
      <c r="AG181" s="38">
        <f t="shared" si="118"/>
        <v>1.1506227489405741E-2</v>
      </c>
      <c r="AH181" s="38">
        <f t="shared" si="119"/>
        <v>0</v>
      </c>
      <c r="AI181" s="38">
        <f t="shared" si="120"/>
        <v>0</v>
      </c>
      <c r="AJ181" s="38">
        <f t="shared" si="121"/>
        <v>0.38448977817520663</v>
      </c>
      <c r="AK181" s="38">
        <f t="shared" si="122"/>
        <v>0.63700499027609936</v>
      </c>
      <c r="AL181" s="38">
        <f t="shared" si="123"/>
        <v>1.6150811778451096E-2</v>
      </c>
      <c r="AM181" s="38">
        <f t="shared" si="124"/>
        <v>0</v>
      </c>
      <c r="AN181" s="38">
        <f t="shared" si="125"/>
        <v>0</v>
      </c>
      <c r="AO181" s="38">
        <f t="shared" si="126"/>
        <v>0</v>
      </c>
      <c r="AP181" s="38">
        <f t="shared" si="127"/>
        <v>5.0275414475660778</v>
      </c>
      <c r="AQ181" s="38">
        <f t="shared" si="128"/>
        <v>3.978389639846915</v>
      </c>
      <c r="AR181" s="38">
        <f t="shared" si="129"/>
        <v>1.0376455802297571</v>
      </c>
      <c r="AS181" s="40"/>
      <c r="AT181" s="38">
        <f t="shared" si="130"/>
        <v>2.6053323422561898</v>
      </c>
      <c r="AU181" s="38">
        <f t="shared" si="131"/>
        <v>0</v>
      </c>
      <c r="AV181" s="38">
        <f t="shared" si="132"/>
        <v>1.3512632237265871</v>
      </c>
      <c r="AW181" s="38">
        <f t="shared" si="133"/>
        <v>0</v>
      </c>
      <c r="AX181" s="38">
        <f t="shared" si="134"/>
        <v>0</v>
      </c>
      <c r="AY181" s="38">
        <f t="shared" si="135"/>
        <v>1.1443195058069696E-2</v>
      </c>
      <c r="AZ181" s="38">
        <f t="shared" si="136"/>
        <v>0</v>
      </c>
      <c r="BA181" s="38">
        <f t="shared" si="137"/>
        <v>0</v>
      </c>
      <c r="BB181" s="38">
        <f t="shared" si="138"/>
        <v>0.38238349915677472</v>
      </c>
      <c r="BC181" s="38">
        <f t="shared" si="139"/>
        <v>0.63351540401967721</v>
      </c>
      <c r="BD181" s="38">
        <f t="shared" si="140"/>
        <v>1.6062335782701498E-2</v>
      </c>
      <c r="BE181" s="38">
        <f t="shared" si="141"/>
        <v>0</v>
      </c>
      <c r="BF181" s="38">
        <f t="shared" si="142"/>
        <v>0</v>
      </c>
      <c r="BG181" s="38">
        <f t="shared" si="143"/>
        <v>0</v>
      </c>
      <c r="BH181" s="41">
        <f t="shared" si="144"/>
        <v>5.0000000000000009</v>
      </c>
      <c r="BI181" s="42">
        <f t="shared" si="145"/>
        <v>7.9618966817473291</v>
      </c>
      <c r="BJ181" s="38">
        <f t="shared" si="146"/>
        <v>3.9565955659827772</v>
      </c>
      <c r="BK181" s="38">
        <f t="shared" si="147"/>
        <v>1.0319612389591533</v>
      </c>
      <c r="BL181" s="16"/>
      <c r="BM181" s="16">
        <f t="shared" si="148"/>
        <v>0.37054056365765303</v>
      </c>
      <c r="BN181" s="16">
        <f t="shared" si="149"/>
        <v>0.61389457288012805</v>
      </c>
      <c r="BO181" s="16">
        <f t="shared" si="150"/>
        <v>1.5564863462218919E-2</v>
      </c>
      <c r="BP181" s="15"/>
      <c r="BQ181" s="38">
        <f t="shared" si="151"/>
        <v>0.97802929427430096</v>
      </c>
      <c r="BR181" s="38">
        <f t="shared" si="152"/>
        <v>0</v>
      </c>
      <c r="BS181" s="38">
        <f t="shared" si="153"/>
        <v>0.50725774813652413</v>
      </c>
      <c r="BT181" s="38">
        <f t="shared" si="154"/>
        <v>0</v>
      </c>
      <c r="BU181" s="38">
        <f t="shared" si="155"/>
        <v>4.2957206669438234E-3</v>
      </c>
      <c r="BV181" s="38">
        <f t="shared" si="156"/>
        <v>0</v>
      </c>
      <c r="BW181" s="38">
        <f t="shared" si="157"/>
        <v>0</v>
      </c>
      <c r="BX181" s="38">
        <f t="shared" si="158"/>
        <v>0.14354493580599145</v>
      </c>
      <c r="BY181" s="38">
        <f t="shared" si="159"/>
        <v>0.2378186511777993</v>
      </c>
      <c r="BZ181" s="38">
        <f t="shared" si="160"/>
        <v>6.0297239915074307E-3</v>
      </c>
      <c r="CA181" s="38">
        <f t="shared" si="161"/>
        <v>0</v>
      </c>
      <c r="CB181" s="38">
        <f t="shared" si="162"/>
        <v>0</v>
      </c>
      <c r="CC181" s="38">
        <f t="shared" si="163"/>
        <v>0</v>
      </c>
      <c r="CD181" s="38">
        <f t="shared" si="164"/>
        <v>1.8769760740530672</v>
      </c>
      <c r="CE181" s="38">
        <f t="shared" si="165"/>
        <v>2.9867100548109766</v>
      </c>
      <c r="CF181" s="38">
        <f t="shared" si="166"/>
        <v>2.663859209032537</v>
      </c>
      <c r="CG181" s="38">
        <f t="shared" si="167"/>
        <v>7.9561750842182937</v>
      </c>
      <c r="CH181" s="15"/>
      <c r="CI181" s="16"/>
      <c r="CJ181" s="13"/>
      <c r="CK181" s="104"/>
      <c r="CL181" s="13"/>
      <c r="CM181" s="13"/>
      <c r="CN181" s="13"/>
      <c r="CO181" s="16"/>
      <c r="CP181" s="16"/>
      <c r="CQ181" s="16"/>
      <c r="CR181" s="16"/>
      <c r="CS181" s="16"/>
      <c r="CT181" s="16"/>
      <c r="CU181" s="16"/>
      <c r="CV181" s="16"/>
      <c r="CW181" s="16"/>
      <c r="CX181" s="16"/>
      <c r="CY181" s="104"/>
      <c r="CZ181" s="104"/>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3"/>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row>
    <row r="182" spans="1:167" x14ac:dyDescent="0.25">
      <c r="A182" s="35" t="s">
        <v>86</v>
      </c>
      <c r="B182" s="15">
        <v>586</v>
      </c>
      <c r="C182" s="102" t="s">
        <v>96</v>
      </c>
      <c r="D182" s="102" t="s">
        <v>105</v>
      </c>
      <c r="E182" s="15">
        <v>97</v>
      </c>
      <c r="F182" s="16">
        <v>61.11</v>
      </c>
      <c r="G182" s="16">
        <v>0</v>
      </c>
      <c r="H182" s="16">
        <v>23.85</v>
      </c>
      <c r="I182" s="16">
        <v>0</v>
      </c>
      <c r="J182" s="16">
        <v>0.32124538828399174</v>
      </c>
      <c r="K182" s="16">
        <v>0</v>
      </c>
      <c r="L182" s="16">
        <v>0</v>
      </c>
      <c r="M182" s="16">
        <v>5.89</v>
      </c>
      <c r="N182" s="16">
        <v>8.52</v>
      </c>
      <c r="O182" s="16">
        <v>0.44900000000000001</v>
      </c>
      <c r="P182" s="16"/>
      <c r="Q182" s="16"/>
      <c r="R182" s="16"/>
      <c r="S182" s="16">
        <f t="shared" si="113"/>
        <v>100.140245388284</v>
      </c>
      <c r="T182" s="16"/>
      <c r="U182" s="15">
        <v>2</v>
      </c>
      <c r="V182" s="15">
        <v>9</v>
      </c>
      <c r="W182" s="15">
        <v>56.800000000000004</v>
      </c>
      <c r="X182" s="15" t="s">
        <v>258</v>
      </c>
      <c r="Y182" s="15"/>
      <c r="Z182" s="37">
        <v>8</v>
      </c>
      <c r="AA182" s="37">
        <v>5</v>
      </c>
      <c r="AB182" s="15"/>
      <c r="AC182" s="38">
        <f t="shared" si="114"/>
        <v>2.723492488931595</v>
      </c>
      <c r="AD182" s="38">
        <f t="shared" si="115"/>
        <v>0</v>
      </c>
      <c r="AE182" s="38">
        <f t="shared" si="116"/>
        <v>1.2526575905991524</v>
      </c>
      <c r="AF182" s="38">
        <f t="shared" si="117"/>
        <v>0</v>
      </c>
      <c r="AG182" s="38">
        <f t="shared" si="118"/>
        <v>1.1971648346437472E-2</v>
      </c>
      <c r="AH182" s="38">
        <f t="shared" si="119"/>
        <v>0</v>
      </c>
      <c r="AI182" s="38">
        <f t="shared" si="120"/>
        <v>0</v>
      </c>
      <c r="AJ182" s="38">
        <f t="shared" si="121"/>
        <v>0.28122317816110765</v>
      </c>
      <c r="AK182" s="38">
        <f t="shared" si="122"/>
        <v>0.73614241344331066</v>
      </c>
      <c r="AL182" s="38">
        <f t="shared" si="123"/>
        <v>2.5525206017765322E-2</v>
      </c>
      <c r="AM182" s="38">
        <f t="shared" si="124"/>
        <v>0</v>
      </c>
      <c r="AN182" s="38">
        <f t="shared" si="125"/>
        <v>0</v>
      </c>
      <c r="AO182" s="38">
        <f t="shared" si="126"/>
        <v>0</v>
      </c>
      <c r="AP182" s="38">
        <f t="shared" si="127"/>
        <v>5.0310125254993689</v>
      </c>
      <c r="AQ182" s="38">
        <f t="shared" si="128"/>
        <v>3.9761500795307474</v>
      </c>
      <c r="AR182" s="38">
        <f t="shared" si="129"/>
        <v>1.0428907976221835</v>
      </c>
      <c r="AS182" s="40"/>
      <c r="AT182" s="38">
        <f t="shared" si="130"/>
        <v>2.7067041426827561</v>
      </c>
      <c r="AU182" s="38">
        <f t="shared" si="131"/>
        <v>0</v>
      </c>
      <c r="AV182" s="38">
        <f t="shared" si="132"/>
        <v>1.2449358695194426</v>
      </c>
      <c r="AW182" s="38">
        <f t="shared" si="133"/>
        <v>0</v>
      </c>
      <c r="AX182" s="38">
        <f t="shared" si="134"/>
        <v>0</v>
      </c>
      <c r="AY182" s="38">
        <f t="shared" si="135"/>
        <v>1.1897851859600758E-2</v>
      </c>
      <c r="AZ182" s="38">
        <f t="shared" si="136"/>
        <v>0</v>
      </c>
      <c r="BA182" s="38">
        <f t="shared" si="137"/>
        <v>0</v>
      </c>
      <c r="BB182" s="38">
        <f t="shared" si="138"/>
        <v>0.27948964222981537</v>
      </c>
      <c r="BC182" s="38">
        <f t="shared" si="139"/>
        <v>0.73160463198234904</v>
      </c>
      <c r="BD182" s="38">
        <f t="shared" si="140"/>
        <v>2.5367861726036691E-2</v>
      </c>
      <c r="BE182" s="38">
        <f t="shared" si="141"/>
        <v>0</v>
      </c>
      <c r="BF182" s="38">
        <f t="shared" si="142"/>
        <v>0</v>
      </c>
      <c r="BG182" s="38">
        <f t="shared" si="143"/>
        <v>0</v>
      </c>
      <c r="BH182" s="41">
        <f t="shared" si="144"/>
        <v>5</v>
      </c>
      <c r="BI182" s="42">
        <f t="shared" si="145"/>
        <v>7.9566347565180848</v>
      </c>
      <c r="BJ182" s="38">
        <f t="shared" si="146"/>
        <v>3.9516400122021986</v>
      </c>
      <c r="BK182" s="38">
        <f t="shared" si="147"/>
        <v>1.0364621359382011</v>
      </c>
      <c r="BL182" s="16"/>
      <c r="BM182" s="16">
        <f t="shared" si="148"/>
        <v>0.26965735895100751</v>
      </c>
      <c r="BN182" s="16">
        <f t="shared" si="149"/>
        <v>0.70586720596416552</v>
      </c>
      <c r="BO182" s="16">
        <f t="shared" si="150"/>
        <v>2.4475435084827114E-2</v>
      </c>
      <c r="BP182" s="15"/>
      <c r="BQ182" s="38">
        <f t="shared" si="151"/>
        <v>1.0171438082556592</v>
      </c>
      <c r="BR182" s="38">
        <f t="shared" si="152"/>
        <v>0</v>
      </c>
      <c r="BS182" s="38">
        <f t="shared" si="153"/>
        <v>0.46783052177324447</v>
      </c>
      <c r="BT182" s="38">
        <f t="shared" si="154"/>
        <v>0</v>
      </c>
      <c r="BU182" s="38">
        <f t="shared" si="155"/>
        <v>4.4710562043701009E-3</v>
      </c>
      <c r="BV182" s="38">
        <f t="shared" si="156"/>
        <v>0</v>
      </c>
      <c r="BW182" s="38">
        <f t="shared" si="157"/>
        <v>0</v>
      </c>
      <c r="BX182" s="38">
        <f t="shared" si="158"/>
        <v>0.10502853067047076</v>
      </c>
      <c r="BY182" s="38">
        <f t="shared" si="159"/>
        <v>0.27492739593417231</v>
      </c>
      <c r="BZ182" s="38">
        <f t="shared" si="160"/>
        <v>9.5329087048832278E-3</v>
      </c>
      <c r="CA182" s="38">
        <f t="shared" si="161"/>
        <v>0</v>
      </c>
      <c r="CB182" s="38">
        <f t="shared" si="162"/>
        <v>0</v>
      </c>
      <c r="CC182" s="38">
        <f t="shared" si="163"/>
        <v>0</v>
      </c>
      <c r="CD182" s="38">
        <f t="shared" si="164"/>
        <v>1.8789342215428</v>
      </c>
      <c r="CE182" s="38">
        <f t="shared" si="165"/>
        <v>2.9877631383655534</v>
      </c>
      <c r="CF182" s="38">
        <f t="shared" si="166"/>
        <v>2.6610830452034033</v>
      </c>
      <c r="CG182" s="38">
        <f t="shared" si="167"/>
        <v>7.9506858305882844</v>
      </c>
      <c r="CH182" s="15"/>
      <c r="CI182" s="16"/>
      <c r="CJ182" s="13"/>
      <c r="CK182" s="104"/>
      <c r="CL182" s="13"/>
      <c r="CM182" s="13"/>
      <c r="CN182" s="13"/>
      <c r="CO182" s="16"/>
      <c r="CP182" s="16"/>
      <c r="CQ182" s="16"/>
      <c r="CR182" s="16"/>
      <c r="CS182" s="16"/>
      <c r="CT182" s="16"/>
      <c r="CU182" s="16"/>
      <c r="CV182" s="16"/>
      <c r="CW182" s="16"/>
      <c r="CX182" s="16"/>
      <c r="CY182" s="104"/>
      <c r="CZ182" s="104"/>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3"/>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row>
    <row r="183" spans="1:167" x14ac:dyDescent="0.25">
      <c r="A183" s="35" t="s">
        <v>86</v>
      </c>
      <c r="B183" s="15">
        <v>587</v>
      </c>
      <c r="C183" s="102" t="s">
        <v>96</v>
      </c>
      <c r="D183" s="102" t="s">
        <v>105</v>
      </c>
      <c r="E183" s="15">
        <v>98</v>
      </c>
      <c r="F183" s="16">
        <v>64.55</v>
      </c>
      <c r="G183" s="16">
        <v>0</v>
      </c>
      <c r="H183" s="16">
        <v>21.78</v>
      </c>
      <c r="I183" s="16">
        <v>0</v>
      </c>
      <c r="J183" s="16">
        <v>0.21956267434536128</v>
      </c>
      <c r="K183" s="16">
        <v>0</v>
      </c>
      <c r="L183" s="16">
        <v>0</v>
      </c>
      <c r="M183" s="16">
        <v>3.28</v>
      </c>
      <c r="N183" s="16">
        <v>9.69</v>
      </c>
      <c r="O183" s="16">
        <v>0.83399999999999996</v>
      </c>
      <c r="P183" s="16"/>
      <c r="Q183" s="16"/>
      <c r="R183" s="16"/>
      <c r="S183" s="16">
        <f t="shared" si="113"/>
        <v>100.35356267434535</v>
      </c>
      <c r="T183" s="16"/>
      <c r="U183" s="15">
        <v>2</v>
      </c>
      <c r="V183" s="15">
        <v>10</v>
      </c>
      <c r="W183" s="15">
        <v>63.900000000000006</v>
      </c>
      <c r="X183" s="15" t="s">
        <v>258</v>
      </c>
      <c r="Y183" s="15"/>
      <c r="Z183" s="37">
        <v>8</v>
      </c>
      <c r="AA183" s="37">
        <v>5</v>
      </c>
      <c r="AB183" s="15"/>
      <c r="AC183" s="38">
        <f t="shared" si="114"/>
        <v>2.8495112980430628</v>
      </c>
      <c r="AD183" s="38">
        <f t="shared" si="115"/>
        <v>0</v>
      </c>
      <c r="AE183" s="38">
        <f t="shared" si="116"/>
        <v>1.1330839945339009</v>
      </c>
      <c r="AF183" s="38">
        <f t="shared" si="117"/>
        <v>0</v>
      </c>
      <c r="AG183" s="38">
        <f t="shared" si="118"/>
        <v>8.10467865722783E-3</v>
      </c>
      <c r="AH183" s="38">
        <f t="shared" si="119"/>
        <v>0</v>
      </c>
      <c r="AI183" s="38">
        <f t="shared" si="120"/>
        <v>0</v>
      </c>
      <c r="AJ183" s="38">
        <f t="shared" si="121"/>
        <v>0.15512075126147143</v>
      </c>
      <c r="AK183" s="38">
        <f t="shared" si="122"/>
        <v>0.82928968108224099</v>
      </c>
      <c r="AL183" s="38">
        <f t="shared" si="123"/>
        <v>4.6962283306405207E-2</v>
      </c>
      <c r="AM183" s="38">
        <f t="shared" si="124"/>
        <v>0</v>
      </c>
      <c r="AN183" s="38">
        <f t="shared" si="125"/>
        <v>0</v>
      </c>
      <c r="AO183" s="38">
        <f t="shared" si="126"/>
        <v>0</v>
      </c>
      <c r="AP183" s="38">
        <f t="shared" si="127"/>
        <v>5.02207268688431</v>
      </c>
      <c r="AQ183" s="38">
        <f t="shared" si="128"/>
        <v>3.9825952925769634</v>
      </c>
      <c r="AR183" s="38">
        <f t="shared" si="129"/>
        <v>1.0313727156501176</v>
      </c>
      <c r="AS183" s="40"/>
      <c r="AT183" s="38">
        <f t="shared" si="130"/>
        <v>2.8369873115186812</v>
      </c>
      <c r="AU183" s="38">
        <f t="shared" si="131"/>
        <v>0</v>
      </c>
      <c r="AV183" s="38">
        <f t="shared" si="132"/>
        <v>1.1281039375366604</v>
      </c>
      <c r="AW183" s="38">
        <f t="shared" si="133"/>
        <v>0</v>
      </c>
      <c r="AX183" s="38">
        <f t="shared" si="134"/>
        <v>0</v>
      </c>
      <c r="AY183" s="38">
        <f t="shared" si="135"/>
        <v>8.0690575012923298E-3</v>
      </c>
      <c r="AZ183" s="38">
        <f t="shared" si="136"/>
        <v>0</v>
      </c>
      <c r="BA183" s="38">
        <f t="shared" si="137"/>
        <v>0</v>
      </c>
      <c r="BB183" s="38">
        <f t="shared" si="138"/>
        <v>0.15443897463549883</v>
      </c>
      <c r="BC183" s="38">
        <f t="shared" si="139"/>
        <v>0.82564484107131864</v>
      </c>
      <c r="BD183" s="38">
        <f t="shared" si="140"/>
        <v>4.6755877736549233E-2</v>
      </c>
      <c r="BE183" s="38">
        <f t="shared" si="141"/>
        <v>0</v>
      </c>
      <c r="BF183" s="38">
        <f t="shared" si="142"/>
        <v>0</v>
      </c>
      <c r="BG183" s="38">
        <f t="shared" si="143"/>
        <v>0</v>
      </c>
      <c r="BH183" s="41">
        <f t="shared" si="144"/>
        <v>5.0000000000000009</v>
      </c>
      <c r="BI183" s="42">
        <f t="shared" si="145"/>
        <v>7.9688734496337243</v>
      </c>
      <c r="BJ183" s="38">
        <f t="shared" si="146"/>
        <v>3.9650912490553418</v>
      </c>
      <c r="BK183" s="38">
        <f t="shared" si="147"/>
        <v>1.0268396934433668</v>
      </c>
      <c r="BL183" s="16"/>
      <c r="BM183" s="16">
        <f t="shared" si="148"/>
        <v>0.1504022250226896</v>
      </c>
      <c r="BN183" s="16">
        <f t="shared" si="149"/>
        <v>0.80406400954625301</v>
      </c>
      <c r="BO183" s="16">
        <f t="shared" si="150"/>
        <v>4.5533765431057485E-2</v>
      </c>
      <c r="BP183" s="15"/>
      <c r="BQ183" s="38">
        <f t="shared" si="151"/>
        <v>1.0744007989347537</v>
      </c>
      <c r="BR183" s="38">
        <f t="shared" si="152"/>
        <v>0</v>
      </c>
      <c r="BS183" s="38">
        <f t="shared" si="153"/>
        <v>0.42722636327971758</v>
      </c>
      <c r="BT183" s="38">
        <f t="shared" si="154"/>
        <v>0</v>
      </c>
      <c r="BU183" s="38">
        <f t="shared" si="155"/>
        <v>3.0558479380008532E-3</v>
      </c>
      <c r="BV183" s="38">
        <f t="shared" si="156"/>
        <v>0</v>
      </c>
      <c r="BW183" s="38">
        <f t="shared" si="157"/>
        <v>0</v>
      </c>
      <c r="BX183" s="38">
        <f t="shared" si="158"/>
        <v>5.8487874465049924E-2</v>
      </c>
      <c r="BY183" s="38">
        <f t="shared" si="159"/>
        <v>0.31268151016456924</v>
      </c>
      <c r="BZ183" s="38">
        <f t="shared" si="160"/>
        <v>1.770700636942675E-2</v>
      </c>
      <c r="CA183" s="38">
        <f t="shared" si="161"/>
        <v>0</v>
      </c>
      <c r="CB183" s="38">
        <f t="shared" si="162"/>
        <v>0</v>
      </c>
      <c r="CC183" s="38">
        <f t="shared" si="163"/>
        <v>0</v>
      </c>
      <c r="CD183" s="38">
        <f t="shared" si="164"/>
        <v>1.893559401151518</v>
      </c>
      <c r="CE183" s="38">
        <f t="shared" si="165"/>
        <v>3.0163791234591328</v>
      </c>
      <c r="CF183" s="38">
        <f t="shared" si="166"/>
        <v>2.6405297858410899</v>
      </c>
      <c r="CG183" s="38">
        <f t="shared" si="167"/>
        <v>7.9648389208830785</v>
      </c>
      <c r="CH183" s="15"/>
      <c r="CI183" s="16"/>
      <c r="CJ183" s="13"/>
      <c r="CK183" s="104"/>
      <c r="CL183" s="13"/>
      <c r="CM183" s="13"/>
      <c r="CN183" s="13"/>
      <c r="CO183" s="16"/>
      <c r="CP183" s="16"/>
      <c r="CQ183" s="16"/>
      <c r="CR183" s="16"/>
      <c r="CS183" s="16"/>
      <c r="CT183" s="16"/>
      <c r="CU183" s="16"/>
      <c r="CV183" s="16"/>
      <c r="CW183" s="16"/>
      <c r="CX183" s="16"/>
      <c r="CY183" s="104"/>
      <c r="CZ183" s="104"/>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3"/>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row>
    <row r="184" spans="1:167" x14ac:dyDescent="0.25">
      <c r="A184" s="35" t="s">
        <v>86</v>
      </c>
      <c r="B184" s="15">
        <v>588</v>
      </c>
      <c r="C184" s="102" t="s">
        <v>96</v>
      </c>
      <c r="D184" s="102" t="s">
        <v>105</v>
      </c>
      <c r="E184" s="15">
        <v>99</v>
      </c>
      <c r="F184" s="16">
        <v>65.849999999999994</v>
      </c>
      <c r="G184" s="16">
        <v>0</v>
      </c>
      <c r="H184" s="16">
        <v>20.84</v>
      </c>
      <c r="I184" s="16">
        <v>0</v>
      </c>
      <c r="J184" s="16">
        <v>0.31494645910195268</v>
      </c>
      <c r="K184" s="16">
        <v>0</v>
      </c>
      <c r="L184" s="16">
        <v>0</v>
      </c>
      <c r="M184" s="16">
        <v>2.4</v>
      </c>
      <c r="N184" s="16">
        <v>10.09</v>
      </c>
      <c r="O184" s="16">
        <v>1.157</v>
      </c>
      <c r="P184" s="16"/>
      <c r="Q184" s="16"/>
      <c r="R184" s="16"/>
      <c r="S184" s="16">
        <f t="shared" si="113"/>
        <v>100.65194645910195</v>
      </c>
      <c r="T184" s="16"/>
      <c r="U184" s="15">
        <v>2</v>
      </c>
      <c r="V184" s="15">
        <v>11</v>
      </c>
      <c r="W184" s="15">
        <v>71</v>
      </c>
      <c r="X184" s="15" t="s">
        <v>186</v>
      </c>
      <c r="Y184" s="15"/>
      <c r="Z184" s="37">
        <v>8</v>
      </c>
      <c r="AA184" s="37">
        <v>5</v>
      </c>
      <c r="AB184" s="15"/>
      <c r="AC184" s="38">
        <f t="shared" si="114"/>
        <v>2.8962065108486299</v>
      </c>
      <c r="AD184" s="38">
        <f t="shared" si="115"/>
        <v>0</v>
      </c>
      <c r="AE184" s="38">
        <f t="shared" si="116"/>
        <v>1.0801934853366093</v>
      </c>
      <c r="AF184" s="38">
        <f t="shared" si="117"/>
        <v>0</v>
      </c>
      <c r="AG184" s="38">
        <f t="shared" si="118"/>
        <v>1.1582801874955981E-2</v>
      </c>
      <c r="AH184" s="38">
        <f t="shared" si="119"/>
        <v>0</v>
      </c>
      <c r="AI184" s="38">
        <f t="shared" si="120"/>
        <v>0</v>
      </c>
      <c r="AJ184" s="38">
        <f t="shared" si="121"/>
        <v>0.11308549593765216</v>
      </c>
      <c r="AK184" s="38">
        <f t="shared" si="122"/>
        <v>0.8603462304632119</v>
      </c>
      <c r="AL184" s="38">
        <f t="shared" si="123"/>
        <v>6.4910674507221752E-2</v>
      </c>
      <c r="AM184" s="38">
        <f t="shared" si="124"/>
        <v>0</v>
      </c>
      <c r="AN184" s="38">
        <f t="shared" si="125"/>
        <v>0</v>
      </c>
      <c r="AO184" s="38">
        <f t="shared" si="126"/>
        <v>0</v>
      </c>
      <c r="AP184" s="38">
        <f t="shared" si="127"/>
        <v>5.0263251989682809</v>
      </c>
      <c r="AQ184" s="38">
        <f t="shared" si="128"/>
        <v>3.976399996185239</v>
      </c>
      <c r="AR184" s="38">
        <f t="shared" si="129"/>
        <v>1.0383424009080857</v>
      </c>
      <c r="AS184" s="40"/>
      <c r="AT184" s="38">
        <f t="shared" si="130"/>
        <v>2.8810377325397831</v>
      </c>
      <c r="AU184" s="38">
        <f t="shared" si="131"/>
        <v>0</v>
      </c>
      <c r="AV184" s="38">
        <f t="shared" si="132"/>
        <v>1.0745360104817068</v>
      </c>
      <c r="AW184" s="38">
        <f t="shared" si="133"/>
        <v>0</v>
      </c>
      <c r="AX184" s="38">
        <f t="shared" si="134"/>
        <v>0</v>
      </c>
      <c r="AY184" s="38">
        <f t="shared" si="135"/>
        <v>1.15221373632306E-2</v>
      </c>
      <c r="AZ184" s="38">
        <f t="shared" si="136"/>
        <v>0</v>
      </c>
      <c r="BA184" s="38">
        <f t="shared" si="137"/>
        <v>0</v>
      </c>
      <c r="BB184" s="38">
        <f t="shared" si="138"/>
        <v>0.11249321468581504</v>
      </c>
      <c r="BC184" s="38">
        <f t="shared" si="139"/>
        <v>0.85584019776496878</v>
      </c>
      <c r="BD184" s="38">
        <f t="shared" si="140"/>
        <v>6.4570707164496172E-2</v>
      </c>
      <c r="BE184" s="38">
        <f t="shared" si="141"/>
        <v>0</v>
      </c>
      <c r="BF184" s="38">
        <f t="shared" si="142"/>
        <v>0</v>
      </c>
      <c r="BG184" s="38">
        <f t="shared" si="143"/>
        <v>0</v>
      </c>
      <c r="BH184" s="41">
        <f t="shared" si="144"/>
        <v>5</v>
      </c>
      <c r="BI184" s="42">
        <f t="shared" si="145"/>
        <v>7.9638613539975189</v>
      </c>
      <c r="BJ184" s="38">
        <f t="shared" si="146"/>
        <v>3.9555737430214899</v>
      </c>
      <c r="BK184" s="38">
        <f t="shared" si="147"/>
        <v>1.0329041196152799</v>
      </c>
      <c r="BL184" s="16"/>
      <c r="BM184" s="16">
        <f t="shared" si="148"/>
        <v>0.10890963890018636</v>
      </c>
      <c r="BN184" s="16">
        <f t="shared" si="149"/>
        <v>0.82857661375553315</v>
      </c>
      <c r="BO184" s="16">
        <f t="shared" si="150"/>
        <v>6.2513747344280571E-2</v>
      </c>
      <c r="BP184" s="15"/>
      <c r="BQ184" s="38">
        <f t="shared" si="151"/>
        <v>1.0960386151797603</v>
      </c>
      <c r="BR184" s="38">
        <f t="shared" si="152"/>
        <v>0</v>
      </c>
      <c r="BS184" s="38">
        <f t="shared" si="153"/>
        <v>0.40878775990584543</v>
      </c>
      <c r="BT184" s="38">
        <f t="shared" si="154"/>
        <v>0</v>
      </c>
      <c r="BU184" s="38">
        <f t="shared" si="155"/>
        <v>4.3833884356569621E-3</v>
      </c>
      <c r="BV184" s="38">
        <f t="shared" si="156"/>
        <v>0</v>
      </c>
      <c r="BW184" s="38">
        <f t="shared" si="157"/>
        <v>0</v>
      </c>
      <c r="BX184" s="38">
        <f t="shared" si="158"/>
        <v>4.2796005706134094E-2</v>
      </c>
      <c r="BY184" s="38">
        <f t="shared" si="159"/>
        <v>0.32558889964504678</v>
      </c>
      <c r="BZ184" s="38">
        <f t="shared" si="160"/>
        <v>2.4564755838641188E-2</v>
      </c>
      <c r="CA184" s="38">
        <f t="shared" si="161"/>
        <v>0</v>
      </c>
      <c r="CB184" s="38">
        <f t="shared" si="162"/>
        <v>0</v>
      </c>
      <c r="CC184" s="38">
        <f t="shared" si="163"/>
        <v>0</v>
      </c>
      <c r="CD184" s="38">
        <f t="shared" si="164"/>
        <v>1.9021594247110847</v>
      </c>
      <c r="CE184" s="38">
        <f t="shared" si="165"/>
        <v>3.027515092101924</v>
      </c>
      <c r="CF184" s="38">
        <f t="shared" si="166"/>
        <v>2.6285914498252114</v>
      </c>
      <c r="CG184" s="38">
        <f t="shared" si="167"/>
        <v>7.9581002853159051</v>
      </c>
      <c r="CH184" s="15"/>
      <c r="CI184" s="16"/>
      <c r="CJ184" s="13"/>
      <c r="CK184" s="104"/>
      <c r="CL184" s="13"/>
      <c r="CM184" s="13"/>
      <c r="CN184" s="13"/>
      <c r="CO184" s="16"/>
      <c r="CP184" s="16"/>
      <c r="CQ184" s="16"/>
      <c r="CR184" s="16"/>
      <c r="CS184" s="16"/>
      <c r="CT184" s="16"/>
      <c r="CU184" s="16"/>
      <c r="CV184" s="16"/>
      <c r="CW184" s="16"/>
      <c r="CX184" s="16"/>
      <c r="CY184" s="104"/>
      <c r="CZ184" s="104"/>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3"/>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row>
    <row r="185" spans="1:167" x14ac:dyDescent="0.25">
      <c r="A185" s="35" t="s">
        <v>86</v>
      </c>
      <c r="B185" s="15">
        <v>589</v>
      </c>
      <c r="C185" s="102" t="s">
        <v>96</v>
      </c>
      <c r="D185" s="102" t="s">
        <v>105</v>
      </c>
      <c r="E185" s="15">
        <v>100</v>
      </c>
      <c r="F185" s="16">
        <v>66.95</v>
      </c>
      <c r="G185" s="16">
        <v>0</v>
      </c>
      <c r="H185" s="16">
        <v>19.29</v>
      </c>
      <c r="I185" s="16">
        <v>0</v>
      </c>
      <c r="J185" s="16">
        <v>0.25465670835957888</v>
      </c>
      <c r="K185" s="16">
        <v>0</v>
      </c>
      <c r="L185" s="16">
        <v>0</v>
      </c>
      <c r="M185" s="16">
        <v>0.77</v>
      </c>
      <c r="N185" s="16">
        <v>8.35</v>
      </c>
      <c r="O185" s="16">
        <v>4.75</v>
      </c>
      <c r="P185" s="16"/>
      <c r="Q185" s="16"/>
      <c r="R185" s="16"/>
      <c r="S185" s="16">
        <f t="shared" si="113"/>
        <v>100.36465670835958</v>
      </c>
      <c r="T185" s="16"/>
      <c r="U185" s="15">
        <v>2</v>
      </c>
      <c r="V185" s="15">
        <v>12</v>
      </c>
      <c r="W185" s="15">
        <v>78.099999999999994</v>
      </c>
      <c r="X185" s="15" t="s">
        <v>187</v>
      </c>
      <c r="Y185" s="15"/>
      <c r="Z185" s="37">
        <v>8</v>
      </c>
      <c r="AA185" s="37">
        <v>5</v>
      </c>
      <c r="AB185" s="15"/>
      <c r="AC185" s="38">
        <f t="shared" si="114"/>
        <v>2.9728908332290347</v>
      </c>
      <c r="AD185" s="38">
        <f t="shared" si="115"/>
        <v>0</v>
      </c>
      <c r="AE185" s="38">
        <f t="shared" si="116"/>
        <v>1.0094636873846539</v>
      </c>
      <c r="AF185" s="38">
        <f t="shared" si="117"/>
        <v>0</v>
      </c>
      <c r="AG185" s="38">
        <f t="shared" si="118"/>
        <v>9.455546903044211E-3</v>
      </c>
      <c r="AH185" s="38">
        <f t="shared" si="119"/>
        <v>0</v>
      </c>
      <c r="AI185" s="38">
        <f t="shared" si="120"/>
        <v>0</v>
      </c>
      <c r="AJ185" s="38">
        <f t="shared" si="121"/>
        <v>3.663034632337573E-2</v>
      </c>
      <c r="AK185" s="38">
        <f t="shared" si="122"/>
        <v>0.71882505090265836</v>
      </c>
      <c r="AL185" s="38">
        <f t="shared" si="123"/>
        <v>0.26904876757440166</v>
      </c>
      <c r="AM185" s="38">
        <f t="shared" si="124"/>
        <v>0</v>
      </c>
      <c r="AN185" s="38">
        <f t="shared" si="125"/>
        <v>0</v>
      </c>
      <c r="AO185" s="38">
        <f t="shared" si="126"/>
        <v>0</v>
      </c>
      <c r="AP185" s="38">
        <f t="shared" si="127"/>
        <v>5.0163142323171694</v>
      </c>
      <c r="AQ185" s="38">
        <f t="shared" si="128"/>
        <v>3.9823545206136886</v>
      </c>
      <c r="AR185" s="38">
        <f t="shared" si="129"/>
        <v>1.0245041648004358</v>
      </c>
      <c r="AS185" s="40"/>
      <c r="AT185" s="38">
        <f t="shared" si="130"/>
        <v>2.9632222938471875</v>
      </c>
      <c r="AU185" s="38">
        <f t="shared" si="131"/>
        <v>0</v>
      </c>
      <c r="AV185" s="38">
        <f t="shared" si="132"/>
        <v>1.0061806743298414</v>
      </c>
      <c r="AW185" s="38">
        <f t="shared" si="133"/>
        <v>0</v>
      </c>
      <c r="AX185" s="38">
        <f t="shared" si="134"/>
        <v>0</v>
      </c>
      <c r="AY185" s="38">
        <f t="shared" si="135"/>
        <v>9.4247952432162975E-3</v>
      </c>
      <c r="AZ185" s="38">
        <f t="shared" si="136"/>
        <v>0</v>
      </c>
      <c r="BA185" s="38">
        <f t="shared" si="137"/>
        <v>0</v>
      </c>
      <c r="BB185" s="38">
        <f t="shared" si="138"/>
        <v>3.6511215831922877E-2</v>
      </c>
      <c r="BC185" s="38">
        <f t="shared" si="139"/>
        <v>0.71648726297057963</v>
      </c>
      <c r="BD185" s="38">
        <f t="shared" si="140"/>
        <v>0.2681737577772525</v>
      </c>
      <c r="BE185" s="38">
        <f t="shared" si="141"/>
        <v>0</v>
      </c>
      <c r="BF185" s="38">
        <f t="shared" si="142"/>
        <v>0</v>
      </c>
      <c r="BG185" s="38">
        <f t="shared" si="143"/>
        <v>0</v>
      </c>
      <c r="BH185" s="41">
        <f t="shared" si="144"/>
        <v>5</v>
      </c>
      <c r="BI185" s="42">
        <f t="shared" si="145"/>
        <v>7.9786945182598012</v>
      </c>
      <c r="BJ185" s="38">
        <f t="shared" si="146"/>
        <v>3.9694029681770289</v>
      </c>
      <c r="BK185" s="38">
        <f t="shared" si="147"/>
        <v>1.0211722365797549</v>
      </c>
      <c r="BL185" s="16"/>
      <c r="BM185" s="16">
        <f t="shared" si="148"/>
        <v>3.5754219047524315E-2</v>
      </c>
      <c r="BN185" s="16">
        <f t="shared" si="149"/>
        <v>0.70163214128336804</v>
      </c>
      <c r="BO185" s="16">
        <f t="shared" si="150"/>
        <v>0.26261363966910756</v>
      </c>
      <c r="BP185" s="15"/>
      <c r="BQ185" s="38">
        <f t="shared" si="151"/>
        <v>1.114347536617843</v>
      </c>
      <c r="BR185" s="38">
        <f t="shared" si="152"/>
        <v>0</v>
      </c>
      <c r="BS185" s="38">
        <f t="shared" si="153"/>
        <v>0.37838367987446059</v>
      </c>
      <c r="BT185" s="38">
        <f t="shared" si="154"/>
        <v>0</v>
      </c>
      <c r="BU185" s="38">
        <f t="shared" si="155"/>
        <v>3.5442826494026291E-3</v>
      </c>
      <c r="BV185" s="38">
        <f t="shared" si="156"/>
        <v>0</v>
      </c>
      <c r="BW185" s="38">
        <f t="shared" si="157"/>
        <v>0</v>
      </c>
      <c r="BX185" s="38">
        <f t="shared" si="158"/>
        <v>1.3730385164051355E-2</v>
      </c>
      <c r="BY185" s="38">
        <f t="shared" si="159"/>
        <v>0.26944175540496934</v>
      </c>
      <c r="BZ185" s="38">
        <f t="shared" si="160"/>
        <v>0.10084925690021231</v>
      </c>
      <c r="CA185" s="38">
        <f t="shared" si="161"/>
        <v>0</v>
      </c>
      <c r="CB185" s="38">
        <f t="shared" si="162"/>
        <v>0</v>
      </c>
      <c r="CC185" s="38">
        <f t="shared" si="163"/>
        <v>0</v>
      </c>
      <c r="CD185" s="38">
        <f t="shared" si="164"/>
        <v>1.8802968966109392</v>
      </c>
      <c r="CE185" s="38">
        <f t="shared" si="165"/>
        <v>2.998690767013422</v>
      </c>
      <c r="CF185" s="38">
        <f t="shared" si="166"/>
        <v>2.6591545244860195</v>
      </c>
      <c r="CG185" s="38">
        <f t="shared" si="167"/>
        <v>7.9739821206381931</v>
      </c>
      <c r="CH185" s="15"/>
      <c r="CI185" s="16"/>
      <c r="CJ185" s="13"/>
      <c r="CK185" s="104"/>
      <c r="CL185" s="13"/>
      <c r="CM185" s="13"/>
      <c r="CN185" s="13"/>
      <c r="CO185" s="16"/>
      <c r="CP185" s="16"/>
      <c r="CQ185" s="16"/>
      <c r="CR185" s="16"/>
      <c r="CS185" s="16"/>
      <c r="CT185" s="16"/>
      <c r="CU185" s="16"/>
      <c r="CV185" s="16"/>
      <c r="CW185" s="16"/>
      <c r="CX185" s="16"/>
      <c r="CY185" s="104"/>
      <c r="CZ185" s="104"/>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3"/>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row>
    <row r="186" spans="1:167" x14ac:dyDescent="0.25">
      <c r="A186" s="35" t="s">
        <v>86</v>
      </c>
      <c r="B186" s="15">
        <v>590</v>
      </c>
      <c r="C186" s="102" t="s">
        <v>96</v>
      </c>
      <c r="D186" s="102" t="s">
        <v>105</v>
      </c>
      <c r="E186" s="15">
        <v>101</v>
      </c>
      <c r="F186" s="16">
        <v>67.040000000000006</v>
      </c>
      <c r="G186" s="16">
        <v>0</v>
      </c>
      <c r="H186" s="16">
        <v>19.100000000000001</v>
      </c>
      <c r="I186" s="16">
        <v>0</v>
      </c>
      <c r="J186" s="16">
        <v>0.21326374516332222</v>
      </c>
      <c r="K186" s="16">
        <v>0</v>
      </c>
      <c r="L186" s="16">
        <v>0</v>
      </c>
      <c r="M186" s="16">
        <v>0.72199999999999998</v>
      </c>
      <c r="N186" s="16">
        <v>8.2799999999999994</v>
      </c>
      <c r="O186" s="16">
        <v>4.83</v>
      </c>
      <c r="P186" s="16"/>
      <c r="Q186" s="16"/>
      <c r="R186" s="16"/>
      <c r="S186" s="16">
        <f t="shared" si="113"/>
        <v>100.18526374516333</v>
      </c>
      <c r="T186" s="16"/>
      <c r="U186" s="15">
        <v>2</v>
      </c>
      <c r="V186" s="15">
        <v>13</v>
      </c>
      <c r="W186" s="15">
        <v>85.199999999999989</v>
      </c>
      <c r="X186" s="15" t="s">
        <v>187</v>
      </c>
      <c r="Y186" s="15"/>
      <c r="Z186" s="37">
        <v>8</v>
      </c>
      <c r="AA186" s="37">
        <v>5</v>
      </c>
      <c r="AB186" s="15"/>
      <c r="AC186" s="38">
        <f t="shared" si="114"/>
        <v>2.9811686711995393</v>
      </c>
      <c r="AD186" s="38">
        <f t="shared" si="115"/>
        <v>0</v>
      </c>
      <c r="AE186" s="38">
        <f t="shared" si="116"/>
        <v>1.0009583414843135</v>
      </c>
      <c r="AF186" s="38">
        <f t="shared" si="117"/>
        <v>0</v>
      </c>
      <c r="AG186" s="38">
        <f t="shared" si="118"/>
        <v>7.9299915800696476E-3</v>
      </c>
      <c r="AH186" s="38">
        <f t="shared" si="119"/>
        <v>0</v>
      </c>
      <c r="AI186" s="38">
        <f t="shared" si="120"/>
        <v>0</v>
      </c>
      <c r="AJ186" s="38">
        <f t="shared" si="121"/>
        <v>3.4396294571409164E-2</v>
      </c>
      <c r="AK186" s="38">
        <f t="shared" si="122"/>
        <v>0.71382413469071437</v>
      </c>
      <c r="AL186" s="38">
        <f t="shared" si="123"/>
        <v>0.27397358375523118</v>
      </c>
      <c r="AM186" s="38">
        <f t="shared" si="124"/>
        <v>0</v>
      </c>
      <c r="AN186" s="38">
        <f t="shared" si="125"/>
        <v>0</v>
      </c>
      <c r="AO186" s="38">
        <f t="shared" si="126"/>
        <v>0</v>
      </c>
      <c r="AP186" s="38">
        <f t="shared" si="127"/>
        <v>5.0122510172812778</v>
      </c>
      <c r="AQ186" s="38">
        <f t="shared" si="128"/>
        <v>3.9821270126838528</v>
      </c>
      <c r="AR186" s="38">
        <f t="shared" si="129"/>
        <v>1.0221940130173546</v>
      </c>
      <c r="AS186" s="40"/>
      <c r="AT186" s="38">
        <f t="shared" si="130"/>
        <v>2.9738820551096135</v>
      </c>
      <c r="AU186" s="38">
        <f t="shared" si="131"/>
        <v>0</v>
      </c>
      <c r="AV186" s="38">
        <f t="shared" si="132"/>
        <v>0.99851178445892042</v>
      </c>
      <c r="AW186" s="38">
        <f t="shared" si="133"/>
        <v>0</v>
      </c>
      <c r="AX186" s="38">
        <f t="shared" si="134"/>
        <v>0</v>
      </c>
      <c r="AY186" s="38">
        <f t="shared" si="135"/>
        <v>7.9106089786091741E-3</v>
      </c>
      <c r="AZ186" s="38">
        <f t="shared" si="136"/>
        <v>0</v>
      </c>
      <c r="BA186" s="38">
        <f t="shared" si="137"/>
        <v>0</v>
      </c>
      <c r="BB186" s="38">
        <f t="shared" si="138"/>
        <v>3.4312222644892844E-2</v>
      </c>
      <c r="BC186" s="38">
        <f t="shared" si="139"/>
        <v>0.71207939529523367</v>
      </c>
      <c r="BD186" s="38">
        <f t="shared" si="140"/>
        <v>0.27330393351273008</v>
      </c>
      <c r="BE186" s="38">
        <f t="shared" si="141"/>
        <v>0</v>
      </c>
      <c r="BF186" s="38">
        <f t="shared" si="142"/>
        <v>0</v>
      </c>
      <c r="BG186" s="38">
        <f t="shared" si="143"/>
        <v>0</v>
      </c>
      <c r="BH186" s="41">
        <f t="shared" si="144"/>
        <v>5</v>
      </c>
      <c r="BI186" s="42">
        <f t="shared" si="145"/>
        <v>7.9844015874243963</v>
      </c>
      <c r="BJ186" s="38">
        <f t="shared" si="146"/>
        <v>3.9723938395685341</v>
      </c>
      <c r="BK186" s="38">
        <f t="shared" si="147"/>
        <v>1.0196955514528567</v>
      </c>
      <c r="BL186" s="16"/>
      <c r="BM186" s="16">
        <f t="shared" si="148"/>
        <v>3.3649477626929901E-2</v>
      </c>
      <c r="BN186" s="16">
        <f t="shared" si="149"/>
        <v>0.69832548968235375</v>
      </c>
      <c r="BO186" s="16">
        <f t="shared" si="150"/>
        <v>0.26802503269071654</v>
      </c>
      <c r="BP186" s="15"/>
      <c r="BQ186" s="38">
        <f t="shared" si="151"/>
        <v>1.1158455392809588</v>
      </c>
      <c r="BR186" s="38">
        <f t="shared" si="152"/>
        <v>0</v>
      </c>
      <c r="BS186" s="38">
        <f t="shared" si="153"/>
        <v>0.37465672812867795</v>
      </c>
      <c r="BT186" s="38">
        <f t="shared" si="154"/>
        <v>0</v>
      </c>
      <c r="BU186" s="38">
        <f t="shared" si="155"/>
        <v>2.968180169287714E-3</v>
      </c>
      <c r="BV186" s="38">
        <f t="shared" si="156"/>
        <v>0</v>
      </c>
      <c r="BW186" s="38">
        <f t="shared" si="157"/>
        <v>0</v>
      </c>
      <c r="BX186" s="38">
        <f t="shared" si="158"/>
        <v>1.2874465049928674E-2</v>
      </c>
      <c r="BY186" s="38">
        <f t="shared" si="159"/>
        <v>0.26718296224588578</v>
      </c>
      <c r="BZ186" s="38">
        <f t="shared" si="160"/>
        <v>0.10254777070063695</v>
      </c>
      <c r="CA186" s="38">
        <f t="shared" si="161"/>
        <v>0</v>
      </c>
      <c r="CB186" s="38">
        <f t="shared" si="162"/>
        <v>0</v>
      </c>
      <c r="CC186" s="38">
        <f t="shared" si="163"/>
        <v>0</v>
      </c>
      <c r="CD186" s="38">
        <f t="shared" si="164"/>
        <v>1.876075645575376</v>
      </c>
      <c r="CE186" s="38">
        <f t="shared" si="165"/>
        <v>2.994384182447412</v>
      </c>
      <c r="CF186" s="38">
        <f t="shared" si="166"/>
        <v>2.665137736739045</v>
      </c>
      <c r="CG186" s="38">
        <f t="shared" si="167"/>
        <v>7.9804462829350911</v>
      </c>
      <c r="CH186" s="15"/>
      <c r="CI186" s="16"/>
      <c r="CJ186" s="13"/>
      <c r="CK186" s="104"/>
      <c r="CL186" s="13"/>
      <c r="CM186" s="13"/>
      <c r="CN186" s="13"/>
      <c r="CO186" s="16"/>
      <c r="CP186" s="16"/>
      <c r="CQ186" s="16"/>
      <c r="CR186" s="16"/>
      <c r="CS186" s="16"/>
      <c r="CT186" s="16"/>
      <c r="CU186" s="16"/>
      <c r="CV186" s="16"/>
      <c r="CW186" s="16"/>
      <c r="CX186" s="16"/>
      <c r="CY186" s="104"/>
      <c r="CZ186" s="104"/>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3"/>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row>
    <row r="187" spans="1:167" x14ac:dyDescent="0.25">
      <c r="A187" s="35" t="s">
        <v>86</v>
      </c>
      <c r="B187" s="15">
        <v>591</v>
      </c>
      <c r="C187" s="102" t="s">
        <v>96</v>
      </c>
      <c r="D187" s="102" t="s">
        <v>105</v>
      </c>
      <c r="E187" s="15">
        <v>102</v>
      </c>
      <c r="F187" s="16">
        <v>67.25</v>
      </c>
      <c r="G187" s="16">
        <v>0</v>
      </c>
      <c r="H187" s="16">
        <v>19.010000000000002</v>
      </c>
      <c r="I187" s="16">
        <v>0</v>
      </c>
      <c r="J187" s="16">
        <v>0.23575992081346173</v>
      </c>
      <c r="K187" s="16">
        <v>0</v>
      </c>
      <c r="L187" s="16">
        <v>0</v>
      </c>
      <c r="M187" s="16">
        <v>0.58699999999999997</v>
      </c>
      <c r="N187" s="16">
        <v>7.92</v>
      </c>
      <c r="O187" s="16">
        <v>5.57</v>
      </c>
      <c r="P187" s="16"/>
      <c r="Q187" s="16"/>
      <c r="R187" s="16"/>
      <c r="S187" s="16">
        <f t="shared" si="113"/>
        <v>100.57275992081347</v>
      </c>
      <c r="T187" s="16"/>
      <c r="U187" s="15">
        <v>2</v>
      </c>
      <c r="V187" s="15">
        <v>14</v>
      </c>
      <c r="W187" s="15">
        <v>92.299999999999983</v>
      </c>
      <c r="X187" s="15" t="s">
        <v>187</v>
      </c>
      <c r="Y187" s="15"/>
      <c r="Z187" s="37">
        <v>8</v>
      </c>
      <c r="AA187" s="37">
        <v>5</v>
      </c>
      <c r="AB187" s="15"/>
      <c r="AC187" s="38">
        <f t="shared" si="114"/>
        <v>2.9862230586827807</v>
      </c>
      <c r="AD187" s="38">
        <f t="shared" si="115"/>
        <v>0</v>
      </c>
      <c r="AE187" s="38">
        <f t="shared" si="116"/>
        <v>0.99481463501576539</v>
      </c>
      <c r="AF187" s="38">
        <f t="shared" si="117"/>
        <v>0</v>
      </c>
      <c r="AG187" s="38">
        <f t="shared" si="118"/>
        <v>8.7539303014553486E-3</v>
      </c>
      <c r="AH187" s="38">
        <f t="shared" si="119"/>
        <v>0</v>
      </c>
      <c r="AI187" s="38">
        <f t="shared" si="120"/>
        <v>0</v>
      </c>
      <c r="AJ187" s="38">
        <f t="shared" si="121"/>
        <v>2.7924793884902415E-2</v>
      </c>
      <c r="AK187" s="38">
        <f t="shared" si="122"/>
        <v>0.68181018624117329</v>
      </c>
      <c r="AL187" s="38">
        <f t="shared" si="123"/>
        <v>0.31549622560769519</v>
      </c>
      <c r="AM187" s="38">
        <f t="shared" si="124"/>
        <v>0</v>
      </c>
      <c r="AN187" s="38">
        <f t="shared" si="125"/>
        <v>0</v>
      </c>
      <c r="AO187" s="38">
        <f t="shared" si="126"/>
        <v>0</v>
      </c>
      <c r="AP187" s="38">
        <f t="shared" si="127"/>
        <v>5.0150228297337733</v>
      </c>
      <c r="AQ187" s="38">
        <f t="shared" si="128"/>
        <v>3.9810376936985463</v>
      </c>
      <c r="AR187" s="38">
        <f t="shared" si="129"/>
        <v>1.0252312057337709</v>
      </c>
      <c r="AS187" s="40"/>
      <c r="AT187" s="38">
        <f t="shared" si="130"/>
        <v>2.9772776316965515</v>
      </c>
      <c r="AU187" s="38">
        <f t="shared" si="131"/>
        <v>0</v>
      </c>
      <c r="AV187" s="38">
        <f t="shared" si="132"/>
        <v>0.99183460254414846</v>
      </c>
      <c r="AW187" s="38">
        <f t="shared" si="133"/>
        <v>0</v>
      </c>
      <c r="AX187" s="38">
        <f t="shared" si="134"/>
        <v>0</v>
      </c>
      <c r="AY187" s="38">
        <f t="shared" si="135"/>
        <v>8.7277073292207318E-3</v>
      </c>
      <c r="AZ187" s="38">
        <f t="shared" si="136"/>
        <v>0</v>
      </c>
      <c r="BA187" s="38">
        <f t="shared" si="137"/>
        <v>0</v>
      </c>
      <c r="BB187" s="38">
        <f t="shared" si="138"/>
        <v>2.7841143333723201E-2</v>
      </c>
      <c r="BC187" s="38">
        <f t="shared" si="139"/>
        <v>0.67976777912032738</v>
      </c>
      <c r="BD187" s="38">
        <f t="shared" si="140"/>
        <v>0.31455113597602868</v>
      </c>
      <c r="BE187" s="38">
        <f t="shared" si="141"/>
        <v>0</v>
      </c>
      <c r="BF187" s="38">
        <f t="shared" si="142"/>
        <v>0</v>
      </c>
      <c r="BG187" s="38">
        <f t="shared" si="143"/>
        <v>0</v>
      </c>
      <c r="BH187" s="41">
        <f t="shared" si="144"/>
        <v>5</v>
      </c>
      <c r="BI187" s="42">
        <f t="shared" si="145"/>
        <v>7.9803993290850581</v>
      </c>
      <c r="BJ187" s="38">
        <f t="shared" si="146"/>
        <v>3.9691122342406997</v>
      </c>
      <c r="BK187" s="38">
        <f t="shared" si="147"/>
        <v>1.0221600584300794</v>
      </c>
      <c r="BL187" s="16"/>
      <c r="BM187" s="16">
        <f t="shared" si="148"/>
        <v>2.7237557468723639E-2</v>
      </c>
      <c r="BN187" s="16">
        <f t="shared" si="149"/>
        <v>0.66503066081878881</v>
      </c>
      <c r="BO187" s="16">
        <f t="shared" si="150"/>
        <v>0.30773178171248755</v>
      </c>
      <c r="BP187" s="15"/>
      <c r="BQ187" s="38">
        <f t="shared" si="151"/>
        <v>1.1193408788282291</v>
      </c>
      <c r="BR187" s="38">
        <f t="shared" si="152"/>
        <v>0</v>
      </c>
      <c r="BS187" s="38">
        <f t="shared" si="153"/>
        <v>0.37289132993330726</v>
      </c>
      <c r="BT187" s="38">
        <f t="shared" si="154"/>
        <v>0</v>
      </c>
      <c r="BU187" s="38">
        <f t="shared" si="155"/>
        <v>3.2812793432632115E-3</v>
      </c>
      <c r="BV187" s="38">
        <f t="shared" si="156"/>
        <v>0</v>
      </c>
      <c r="BW187" s="38">
        <f t="shared" si="157"/>
        <v>0</v>
      </c>
      <c r="BX187" s="38">
        <f t="shared" si="158"/>
        <v>1.046718972895863E-2</v>
      </c>
      <c r="BY187" s="38">
        <f t="shared" si="159"/>
        <v>0.25556631171345595</v>
      </c>
      <c r="BZ187" s="38">
        <f t="shared" si="160"/>
        <v>0.11825902335456476</v>
      </c>
      <c r="CA187" s="38">
        <f t="shared" si="161"/>
        <v>0</v>
      </c>
      <c r="CB187" s="38">
        <f t="shared" si="162"/>
        <v>0</v>
      </c>
      <c r="CC187" s="38">
        <f t="shared" si="163"/>
        <v>0</v>
      </c>
      <c r="CD187" s="38">
        <f t="shared" si="164"/>
        <v>1.8798060129017788</v>
      </c>
      <c r="CE187" s="38">
        <f t="shared" si="165"/>
        <v>2.9986798891626507</v>
      </c>
      <c r="CF187" s="38">
        <f t="shared" si="166"/>
        <v>2.6598489236034024</v>
      </c>
      <c r="CG187" s="38">
        <f t="shared" si="167"/>
        <v>7.9760354754204466</v>
      </c>
      <c r="CH187" s="15"/>
      <c r="CI187" s="16"/>
      <c r="CJ187" s="13"/>
      <c r="CK187" s="104"/>
      <c r="CL187" s="13"/>
      <c r="CM187" s="13"/>
      <c r="CN187" s="13"/>
      <c r="CO187" s="16"/>
      <c r="CP187" s="16"/>
      <c r="CQ187" s="16"/>
      <c r="CR187" s="16"/>
      <c r="CS187" s="16"/>
      <c r="CT187" s="16"/>
      <c r="CU187" s="16"/>
      <c r="CV187" s="16"/>
      <c r="CW187" s="16"/>
      <c r="CX187" s="16"/>
      <c r="CY187" s="104"/>
      <c r="CZ187" s="104"/>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3"/>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row>
    <row r="188" spans="1:167" x14ac:dyDescent="0.25">
      <c r="A188" s="35" t="s">
        <v>86</v>
      </c>
      <c r="B188" s="15">
        <v>592</v>
      </c>
      <c r="C188" s="102" t="s">
        <v>96</v>
      </c>
      <c r="D188" s="102" t="s">
        <v>105</v>
      </c>
      <c r="E188" s="15">
        <v>103</v>
      </c>
      <c r="F188" s="16">
        <v>67.150000000000006</v>
      </c>
      <c r="G188" s="16">
        <v>0</v>
      </c>
      <c r="H188" s="16">
        <v>19.07</v>
      </c>
      <c r="I188" s="16">
        <v>0</v>
      </c>
      <c r="J188" s="16">
        <v>0.21056420408530552</v>
      </c>
      <c r="K188" s="16">
        <v>0</v>
      </c>
      <c r="L188" s="16">
        <v>0</v>
      </c>
      <c r="M188" s="16">
        <v>0.50700000000000001</v>
      </c>
      <c r="N188" s="16">
        <v>7.53</v>
      </c>
      <c r="O188" s="16">
        <v>6.12</v>
      </c>
      <c r="P188" s="16"/>
      <c r="Q188" s="16"/>
      <c r="R188" s="16"/>
      <c r="S188" s="16">
        <f t="shared" si="113"/>
        <v>100.58756420408531</v>
      </c>
      <c r="T188" s="16"/>
      <c r="U188" s="15">
        <v>2</v>
      </c>
      <c r="V188" s="15">
        <v>15</v>
      </c>
      <c r="W188" s="15">
        <v>99.399999999999977</v>
      </c>
      <c r="X188" s="15" t="s">
        <v>187</v>
      </c>
      <c r="Y188" s="15"/>
      <c r="Z188" s="37">
        <v>8</v>
      </c>
      <c r="AA188" s="37">
        <v>5</v>
      </c>
      <c r="AB188" s="15"/>
      <c r="AC188" s="38">
        <f t="shared" si="114"/>
        <v>2.9855603897888243</v>
      </c>
      <c r="AD188" s="38">
        <f t="shared" si="115"/>
        <v>0</v>
      </c>
      <c r="AE188" s="38">
        <f t="shared" si="116"/>
        <v>0.99921887488531835</v>
      </c>
      <c r="AF188" s="38">
        <f t="shared" si="117"/>
        <v>0</v>
      </c>
      <c r="AG188" s="38">
        <f t="shared" si="118"/>
        <v>7.8283013922025354E-3</v>
      </c>
      <c r="AH188" s="38">
        <f t="shared" si="119"/>
        <v>0</v>
      </c>
      <c r="AI188" s="38">
        <f t="shared" si="120"/>
        <v>0</v>
      </c>
      <c r="AJ188" s="38">
        <f t="shared" si="121"/>
        <v>2.4149587756982064E-2</v>
      </c>
      <c r="AK188" s="38">
        <f t="shared" si="122"/>
        <v>0.64905749179311534</v>
      </c>
      <c r="AL188" s="38">
        <f t="shared" si="123"/>
        <v>0.34708854609725881</v>
      </c>
      <c r="AM188" s="38">
        <f t="shared" si="124"/>
        <v>0</v>
      </c>
      <c r="AN188" s="38">
        <f t="shared" si="125"/>
        <v>0</v>
      </c>
      <c r="AO188" s="38">
        <f t="shared" si="126"/>
        <v>0</v>
      </c>
      <c r="AP188" s="38">
        <f t="shared" si="127"/>
        <v>5.0129031917137024</v>
      </c>
      <c r="AQ188" s="38">
        <f t="shared" si="128"/>
        <v>3.9847792646741427</v>
      </c>
      <c r="AR188" s="38">
        <f t="shared" si="129"/>
        <v>1.0202956256473561</v>
      </c>
      <c r="AS188" s="40"/>
      <c r="AT188" s="38">
        <f t="shared" si="130"/>
        <v>2.9778755699131967</v>
      </c>
      <c r="AU188" s="38">
        <f t="shared" si="131"/>
        <v>0</v>
      </c>
      <c r="AV188" s="38">
        <f t="shared" si="132"/>
        <v>0.99664688970756621</v>
      </c>
      <c r="AW188" s="38">
        <f t="shared" si="133"/>
        <v>0</v>
      </c>
      <c r="AX188" s="38">
        <f t="shared" si="134"/>
        <v>0</v>
      </c>
      <c r="AY188" s="38">
        <f t="shared" si="135"/>
        <v>7.8081513773721684E-3</v>
      </c>
      <c r="AZ188" s="38">
        <f t="shared" si="136"/>
        <v>0</v>
      </c>
      <c r="BA188" s="38">
        <f t="shared" si="137"/>
        <v>0</v>
      </c>
      <c r="BB188" s="38">
        <f t="shared" si="138"/>
        <v>2.4087426819753059E-2</v>
      </c>
      <c r="BC188" s="38">
        <f t="shared" si="139"/>
        <v>0.64738682054144137</v>
      </c>
      <c r="BD188" s="38">
        <f t="shared" si="140"/>
        <v>0.3461951416406705</v>
      </c>
      <c r="BE188" s="38">
        <f t="shared" si="141"/>
        <v>0</v>
      </c>
      <c r="BF188" s="38">
        <f t="shared" si="142"/>
        <v>0</v>
      </c>
      <c r="BG188" s="38">
        <f t="shared" si="143"/>
        <v>0</v>
      </c>
      <c r="BH188" s="41">
        <f t="shared" si="144"/>
        <v>5</v>
      </c>
      <c r="BI188" s="42">
        <f t="shared" si="145"/>
        <v>7.9833121093646096</v>
      </c>
      <c r="BJ188" s="38">
        <f t="shared" si="146"/>
        <v>3.9745224596207631</v>
      </c>
      <c r="BK188" s="38">
        <f t="shared" si="147"/>
        <v>1.0176693890018649</v>
      </c>
      <c r="BL188" s="16"/>
      <c r="BM188" s="16">
        <f t="shared" si="148"/>
        <v>2.3669206404427795E-2</v>
      </c>
      <c r="BN188" s="16">
        <f t="shared" si="149"/>
        <v>0.63614650056085653</v>
      </c>
      <c r="BO188" s="16">
        <f t="shared" si="150"/>
        <v>0.34018429303471576</v>
      </c>
      <c r="BP188" s="15"/>
      <c r="BQ188" s="38">
        <f t="shared" si="151"/>
        <v>1.1176764314247671</v>
      </c>
      <c r="BR188" s="38">
        <f t="shared" si="152"/>
        <v>0</v>
      </c>
      <c r="BS188" s="38">
        <f t="shared" si="153"/>
        <v>0.37406826206355437</v>
      </c>
      <c r="BT188" s="38">
        <f t="shared" si="154"/>
        <v>0</v>
      </c>
      <c r="BU188" s="38">
        <f t="shared" si="155"/>
        <v>2.9306082684106547E-3</v>
      </c>
      <c r="BV188" s="38">
        <f t="shared" si="156"/>
        <v>0</v>
      </c>
      <c r="BW188" s="38">
        <f t="shared" si="157"/>
        <v>0</v>
      </c>
      <c r="BX188" s="38">
        <f t="shared" si="158"/>
        <v>9.0406562054208273E-3</v>
      </c>
      <c r="BY188" s="38">
        <f t="shared" si="159"/>
        <v>0.24298160696999033</v>
      </c>
      <c r="BZ188" s="38">
        <f t="shared" si="160"/>
        <v>0.12993630573248408</v>
      </c>
      <c r="CA188" s="38">
        <f t="shared" si="161"/>
        <v>0</v>
      </c>
      <c r="CB188" s="38">
        <f t="shared" si="162"/>
        <v>0</v>
      </c>
      <c r="CC188" s="38">
        <f t="shared" si="163"/>
        <v>0</v>
      </c>
      <c r="CD188" s="38">
        <f t="shared" si="164"/>
        <v>1.8766338706646275</v>
      </c>
      <c r="CE188" s="38">
        <f t="shared" si="165"/>
        <v>2.9948854767699351</v>
      </c>
      <c r="CF188" s="38">
        <f t="shared" si="166"/>
        <v>2.6643449626267288</v>
      </c>
      <c r="CG188" s="38">
        <f t="shared" si="167"/>
        <v>7.9794080336759254</v>
      </c>
      <c r="CH188" s="15"/>
      <c r="CI188" s="16"/>
      <c r="CJ188" s="13"/>
      <c r="CK188" s="104"/>
      <c r="CL188" s="13"/>
      <c r="CM188" s="13"/>
      <c r="CN188" s="13"/>
      <c r="CO188" s="16"/>
      <c r="CP188" s="16"/>
      <c r="CQ188" s="16"/>
      <c r="CR188" s="16"/>
      <c r="CS188" s="16"/>
      <c r="CT188" s="16"/>
      <c r="CU188" s="16"/>
      <c r="CV188" s="16"/>
      <c r="CW188" s="16"/>
      <c r="CX188" s="16"/>
      <c r="CY188" s="104"/>
      <c r="CZ188" s="104"/>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3"/>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row>
    <row r="189" spans="1:167" x14ac:dyDescent="0.25">
      <c r="A189" s="35" t="s">
        <v>89</v>
      </c>
      <c r="B189" s="15">
        <v>652</v>
      </c>
      <c r="C189" s="102" t="s">
        <v>97</v>
      </c>
      <c r="D189" s="102" t="s">
        <v>106</v>
      </c>
      <c r="E189" s="15">
        <v>163</v>
      </c>
      <c r="F189" s="16">
        <v>59.33</v>
      </c>
      <c r="G189" s="16">
        <v>0</v>
      </c>
      <c r="H189" s="16">
        <v>25.04</v>
      </c>
      <c r="I189" s="16">
        <v>0</v>
      </c>
      <c r="J189" s="16">
        <v>0.30144875371186902</v>
      </c>
      <c r="K189" s="16">
        <v>0</v>
      </c>
      <c r="L189" s="16">
        <v>0</v>
      </c>
      <c r="M189" s="16">
        <v>7.45</v>
      </c>
      <c r="N189" s="16">
        <v>7.45</v>
      </c>
      <c r="O189" s="16">
        <v>0.53600000000000003</v>
      </c>
      <c r="P189" s="16"/>
      <c r="Q189" s="16"/>
      <c r="R189" s="16"/>
      <c r="S189" s="16">
        <f t="shared" si="113"/>
        <v>100.10744875371188</v>
      </c>
      <c r="T189" s="16"/>
      <c r="U189" s="15">
        <v>1</v>
      </c>
      <c r="V189" s="15">
        <v>1</v>
      </c>
      <c r="W189" s="15">
        <v>0</v>
      </c>
      <c r="X189" s="15" t="s">
        <v>185</v>
      </c>
      <c r="Y189" s="15"/>
      <c r="Z189" s="37">
        <v>8</v>
      </c>
      <c r="AA189" s="37">
        <v>5</v>
      </c>
      <c r="AB189" s="15"/>
      <c r="AC189" s="38">
        <f t="shared" si="114"/>
        <v>2.655753011751925</v>
      </c>
      <c r="AD189" s="38">
        <f t="shared" si="115"/>
        <v>0</v>
      </c>
      <c r="AE189" s="38">
        <f t="shared" si="116"/>
        <v>1.3209237589096401</v>
      </c>
      <c r="AF189" s="38">
        <f t="shared" si="117"/>
        <v>0</v>
      </c>
      <c r="AG189" s="38">
        <f t="shared" si="118"/>
        <v>1.1283140043732221E-2</v>
      </c>
      <c r="AH189" s="38">
        <f t="shared" si="119"/>
        <v>0</v>
      </c>
      <c r="AI189" s="38">
        <f t="shared" si="120"/>
        <v>0</v>
      </c>
      <c r="AJ189" s="38">
        <f t="shared" si="121"/>
        <v>0.35726586716434888</v>
      </c>
      <c r="AK189" s="38">
        <f t="shared" si="122"/>
        <v>0.64651403131902829</v>
      </c>
      <c r="AL189" s="38">
        <f t="shared" si="123"/>
        <v>3.0604630528189635E-2</v>
      </c>
      <c r="AM189" s="38">
        <f t="shared" si="124"/>
        <v>0</v>
      </c>
      <c r="AN189" s="38">
        <f t="shared" si="125"/>
        <v>0</v>
      </c>
      <c r="AO189" s="38">
        <f t="shared" si="126"/>
        <v>0</v>
      </c>
      <c r="AP189" s="38">
        <f t="shared" si="127"/>
        <v>5.0223444397168642</v>
      </c>
      <c r="AQ189" s="38">
        <f t="shared" si="128"/>
        <v>3.9766767706615651</v>
      </c>
      <c r="AR189" s="38">
        <f t="shared" si="129"/>
        <v>1.034384529011567</v>
      </c>
      <c r="AS189" s="40"/>
      <c r="AT189" s="38">
        <f t="shared" si="130"/>
        <v>2.6439375511067538</v>
      </c>
      <c r="AU189" s="38">
        <f t="shared" si="131"/>
        <v>0</v>
      </c>
      <c r="AV189" s="38">
        <f t="shared" si="132"/>
        <v>1.3150469613988756</v>
      </c>
      <c r="AW189" s="38">
        <f t="shared" si="133"/>
        <v>0</v>
      </c>
      <c r="AX189" s="38">
        <f t="shared" si="134"/>
        <v>0</v>
      </c>
      <c r="AY189" s="38">
        <f t="shared" si="135"/>
        <v>1.1232941287842369E-2</v>
      </c>
      <c r="AZ189" s="38">
        <f t="shared" si="136"/>
        <v>0</v>
      </c>
      <c r="BA189" s="38">
        <f t="shared" si="137"/>
        <v>0</v>
      </c>
      <c r="BB189" s="38">
        <f t="shared" si="138"/>
        <v>0.35567638923674644</v>
      </c>
      <c r="BC189" s="38">
        <f t="shared" si="139"/>
        <v>0.64363768662138565</v>
      </c>
      <c r="BD189" s="38">
        <f t="shared" si="140"/>
        <v>3.0468470348396677E-2</v>
      </c>
      <c r="BE189" s="38">
        <f t="shared" si="141"/>
        <v>0</v>
      </c>
      <c r="BF189" s="38">
        <f t="shared" si="142"/>
        <v>0</v>
      </c>
      <c r="BG189" s="38">
        <f t="shared" si="143"/>
        <v>0</v>
      </c>
      <c r="BH189" s="41">
        <f t="shared" si="144"/>
        <v>5</v>
      </c>
      <c r="BI189" s="42">
        <f t="shared" si="145"/>
        <v>7.9700244239652234</v>
      </c>
      <c r="BJ189" s="38">
        <f t="shared" si="146"/>
        <v>3.9589845125056291</v>
      </c>
      <c r="BK189" s="38">
        <f t="shared" si="147"/>
        <v>1.0297825462065286</v>
      </c>
      <c r="BL189" s="16"/>
      <c r="BM189" s="16">
        <f t="shared" si="148"/>
        <v>0.34538980151389498</v>
      </c>
      <c r="BN189" s="16">
        <f t="shared" si="149"/>
        <v>0.62502291283960099</v>
      </c>
      <c r="BO189" s="16">
        <f t="shared" si="150"/>
        <v>2.9587285646503904E-2</v>
      </c>
      <c r="BP189" s="15"/>
      <c r="BQ189" s="38">
        <f t="shared" si="151"/>
        <v>0.98751664447403464</v>
      </c>
      <c r="BR189" s="38">
        <f t="shared" si="152"/>
        <v>0</v>
      </c>
      <c r="BS189" s="38">
        <f t="shared" si="153"/>
        <v>0.49117300902314637</v>
      </c>
      <c r="BT189" s="38">
        <f t="shared" si="154"/>
        <v>0</v>
      </c>
      <c r="BU189" s="38">
        <f t="shared" si="155"/>
        <v>4.1955289312716635E-3</v>
      </c>
      <c r="BV189" s="38">
        <f t="shared" si="156"/>
        <v>0</v>
      </c>
      <c r="BW189" s="38">
        <f t="shared" si="157"/>
        <v>0</v>
      </c>
      <c r="BX189" s="38">
        <f t="shared" si="158"/>
        <v>0.13284593437945794</v>
      </c>
      <c r="BY189" s="38">
        <f t="shared" si="159"/>
        <v>0.24040012907389482</v>
      </c>
      <c r="BZ189" s="38">
        <f t="shared" si="160"/>
        <v>1.1380042462845011E-2</v>
      </c>
      <c r="CA189" s="38">
        <f t="shared" si="161"/>
        <v>0</v>
      </c>
      <c r="CB189" s="38">
        <f t="shared" si="162"/>
        <v>0</v>
      </c>
      <c r="CC189" s="38">
        <f t="shared" si="163"/>
        <v>0</v>
      </c>
      <c r="CD189" s="38">
        <f t="shared" si="164"/>
        <v>1.8675112883446503</v>
      </c>
      <c r="CE189" s="38">
        <f t="shared" si="165"/>
        <v>2.9747243515618882</v>
      </c>
      <c r="CF189" s="38">
        <f t="shared" si="166"/>
        <v>2.6773599877042602</v>
      </c>
      <c r="CG189" s="38">
        <f t="shared" si="167"/>
        <v>7.9644079533213006</v>
      </c>
      <c r="CH189" s="15"/>
      <c r="CI189" s="16"/>
      <c r="CJ189" s="13"/>
      <c r="CK189" s="104"/>
      <c r="CL189" s="13"/>
      <c r="CM189" s="13"/>
      <c r="CN189" s="13"/>
      <c r="CO189" s="16"/>
      <c r="CP189" s="16"/>
      <c r="CQ189" s="16"/>
      <c r="CR189" s="16"/>
      <c r="CS189" s="16"/>
      <c r="CT189" s="16"/>
      <c r="CU189" s="16"/>
      <c r="CV189" s="16"/>
      <c r="CW189" s="16"/>
      <c r="CX189" s="16"/>
      <c r="CY189" s="104"/>
      <c r="CZ189" s="104"/>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3"/>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row>
    <row r="190" spans="1:167" x14ac:dyDescent="0.25">
      <c r="A190" s="35" t="s">
        <v>89</v>
      </c>
      <c r="B190" s="15">
        <v>653</v>
      </c>
      <c r="C190" s="102" t="s">
        <v>97</v>
      </c>
      <c r="D190" s="102" t="s">
        <v>106</v>
      </c>
      <c r="E190" s="15">
        <v>164</v>
      </c>
      <c r="F190" s="16">
        <v>59.83</v>
      </c>
      <c r="G190" s="16">
        <v>0</v>
      </c>
      <c r="H190" s="16">
        <v>24.6</v>
      </c>
      <c r="I190" s="16">
        <v>0</v>
      </c>
      <c r="J190" s="16">
        <v>0.29784936560784669</v>
      </c>
      <c r="K190" s="16">
        <v>0</v>
      </c>
      <c r="L190" s="16">
        <v>0</v>
      </c>
      <c r="M190" s="16">
        <v>7.09</v>
      </c>
      <c r="N190" s="16">
        <v>7.46</v>
      </c>
      <c r="O190" s="16">
        <v>0.58599999999999997</v>
      </c>
      <c r="P190" s="16"/>
      <c r="Q190" s="16"/>
      <c r="R190" s="16"/>
      <c r="S190" s="16">
        <f t="shared" si="113"/>
        <v>99.863849365607848</v>
      </c>
      <c r="T190" s="16"/>
      <c r="U190" s="15">
        <v>1</v>
      </c>
      <c r="V190" s="15">
        <v>2</v>
      </c>
      <c r="W190" s="15">
        <v>15.3</v>
      </c>
      <c r="X190" s="15" t="s">
        <v>185</v>
      </c>
      <c r="Y190" s="15"/>
      <c r="Z190" s="37">
        <v>8</v>
      </c>
      <c r="AA190" s="37">
        <v>5</v>
      </c>
      <c r="AB190" s="15"/>
      <c r="AC190" s="38">
        <f t="shared" si="114"/>
        <v>2.6800073694956907</v>
      </c>
      <c r="AD190" s="38">
        <f t="shared" si="115"/>
        <v>0</v>
      </c>
      <c r="AE190" s="38">
        <f t="shared" si="116"/>
        <v>1.2986202937480726</v>
      </c>
      <c r="AF190" s="38">
        <f t="shared" si="117"/>
        <v>0</v>
      </c>
      <c r="AG190" s="38">
        <f t="shared" si="118"/>
        <v>1.1156213486182323E-2</v>
      </c>
      <c r="AH190" s="38">
        <f t="shared" si="119"/>
        <v>0</v>
      </c>
      <c r="AI190" s="38">
        <f t="shared" si="120"/>
        <v>0</v>
      </c>
      <c r="AJ190" s="38">
        <f t="shared" si="121"/>
        <v>0.34023981975423612</v>
      </c>
      <c r="AK190" s="38">
        <f t="shared" si="122"/>
        <v>0.64783463169546485</v>
      </c>
      <c r="AL190" s="38">
        <f t="shared" si="123"/>
        <v>3.3482942596717039E-2</v>
      </c>
      <c r="AM190" s="38">
        <f t="shared" si="124"/>
        <v>0</v>
      </c>
      <c r="AN190" s="38">
        <f t="shared" si="125"/>
        <v>0</v>
      </c>
      <c r="AO190" s="38">
        <f t="shared" si="126"/>
        <v>0</v>
      </c>
      <c r="AP190" s="38">
        <f t="shared" si="127"/>
        <v>5.0113412707763638</v>
      </c>
      <c r="AQ190" s="38">
        <f t="shared" si="128"/>
        <v>3.9786276632437634</v>
      </c>
      <c r="AR190" s="38">
        <f t="shared" si="129"/>
        <v>1.021557394046418</v>
      </c>
      <c r="AS190" s="40"/>
      <c r="AT190" s="38">
        <f t="shared" si="130"/>
        <v>2.6739421890144999</v>
      </c>
      <c r="AU190" s="38">
        <f t="shared" si="131"/>
        <v>0</v>
      </c>
      <c r="AV190" s="38">
        <f t="shared" si="132"/>
        <v>1.2956813591213363</v>
      </c>
      <c r="AW190" s="38">
        <f t="shared" si="133"/>
        <v>0</v>
      </c>
      <c r="AX190" s="38">
        <f t="shared" si="134"/>
        <v>0</v>
      </c>
      <c r="AY190" s="38">
        <f t="shared" si="135"/>
        <v>1.1130965627146352E-2</v>
      </c>
      <c r="AZ190" s="38">
        <f t="shared" si="136"/>
        <v>0</v>
      </c>
      <c r="BA190" s="38">
        <f t="shared" si="137"/>
        <v>0</v>
      </c>
      <c r="BB190" s="38">
        <f t="shared" si="138"/>
        <v>0.33946981593365499</v>
      </c>
      <c r="BC190" s="38">
        <f t="shared" si="139"/>
        <v>0.64636850365122067</v>
      </c>
      <c r="BD190" s="38">
        <f t="shared" si="140"/>
        <v>3.3407166652142432E-2</v>
      </c>
      <c r="BE190" s="38">
        <f t="shared" si="141"/>
        <v>0</v>
      </c>
      <c r="BF190" s="38">
        <f t="shared" si="142"/>
        <v>0</v>
      </c>
      <c r="BG190" s="38">
        <f t="shared" si="143"/>
        <v>0</v>
      </c>
      <c r="BH190" s="41">
        <f t="shared" si="144"/>
        <v>5.0000000000000009</v>
      </c>
      <c r="BI190" s="42">
        <f t="shared" si="145"/>
        <v>7.9874605162370598</v>
      </c>
      <c r="BJ190" s="38">
        <f t="shared" si="146"/>
        <v>3.9696235481358362</v>
      </c>
      <c r="BK190" s="38">
        <f t="shared" si="147"/>
        <v>1.0192454862370182</v>
      </c>
      <c r="BL190" s="16"/>
      <c r="BM190" s="16">
        <f t="shared" si="148"/>
        <v>0.33305991590598399</v>
      </c>
      <c r="BN190" s="16">
        <f t="shared" si="149"/>
        <v>0.63416371460968368</v>
      </c>
      <c r="BO190" s="16">
        <f t="shared" si="150"/>
        <v>3.2776369484332296E-2</v>
      </c>
      <c r="BP190" s="15"/>
      <c r="BQ190" s="38">
        <f t="shared" si="151"/>
        <v>0.99583888149134492</v>
      </c>
      <c r="BR190" s="38">
        <f t="shared" si="152"/>
        <v>0</v>
      </c>
      <c r="BS190" s="38">
        <f t="shared" si="153"/>
        <v>0.48254217340133393</v>
      </c>
      <c r="BT190" s="38">
        <f t="shared" si="154"/>
        <v>0</v>
      </c>
      <c r="BU190" s="38">
        <f t="shared" si="155"/>
        <v>4.1454330634355845E-3</v>
      </c>
      <c r="BV190" s="38">
        <f t="shared" si="156"/>
        <v>0</v>
      </c>
      <c r="BW190" s="38">
        <f t="shared" si="157"/>
        <v>0</v>
      </c>
      <c r="BX190" s="38">
        <f t="shared" si="158"/>
        <v>0.1264265335235378</v>
      </c>
      <c r="BY190" s="38">
        <f t="shared" si="159"/>
        <v>0.24072281381090677</v>
      </c>
      <c r="BZ190" s="38">
        <f t="shared" si="160"/>
        <v>1.2441613588110403E-2</v>
      </c>
      <c r="CA190" s="38">
        <f t="shared" si="161"/>
        <v>0</v>
      </c>
      <c r="CB190" s="38">
        <f t="shared" si="162"/>
        <v>0</v>
      </c>
      <c r="CC190" s="38">
        <f t="shared" si="163"/>
        <v>0</v>
      </c>
      <c r="CD190" s="38">
        <f t="shared" si="164"/>
        <v>1.8621174488786694</v>
      </c>
      <c r="CE190" s="38">
        <f t="shared" si="165"/>
        <v>2.9726452033711728</v>
      </c>
      <c r="CF190" s="38">
        <f t="shared" si="166"/>
        <v>2.685115271870151</v>
      </c>
      <c r="CG190" s="38">
        <f t="shared" si="167"/>
        <v>7.9818950334234868</v>
      </c>
      <c r="CH190" s="15"/>
      <c r="CI190" s="16"/>
      <c r="CJ190" s="13"/>
      <c r="CK190" s="104"/>
      <c r="CL190" s="13"/>
      <c r="CM190" s="13"/>
      <c r="CN190" s="13"/>
      <c r="CO190" s="16"/>
      <c r="CP190" s="16"/>
      <c r="CQ190" s="16"/>
      <c r="CR190" s="16"/>
      <c r="CS190" s="16"/>
      <c r="CT190" s="16"/>
      <c r="CU190" s="16"/>
      <c r="CV190" s="16"/>
      <c r="CW190" s="16"/>
      <c r="CX190" s="16"/>
      <c r="CY190" s="104"/>
      <c r="CZ190" s="104"/>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3"/>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row>
    <row r="191" spans="1:167" x14ac:dyDescent="0.25">
      <c r="A191" s="35" t="s">
        <v>89</v>
      </c>
      <c r="B191" s="15">
        <v>654</v>
      </c>
      <c r="C191" s="102" t="s">
        <v>97</v>
      </c>
      <c r="D191" s="102" t="s">
        <v>106</v>
      </c>
      <c r="E191" s="15">
        <v>165</v>
      </c>
      <c r="F191" s="16">
        <v>58.78</v>
      </c>
      <c r="G191" s="16">
        <v>0</v>
      </c>
      <c r="H191" s="16">
        <v>25.32</v>
      </c>
      <c r="I191" s="16">
        <v>0</v>
      </c>
      <c r="J191" s="16">
        <v>0.41123009088454965</v>
      </c>
      <c r="K191" s="16">
        <v>0</v>
      </c>
      <c r="L191" s="16">
        <v>0</v>
      </c>
      <c r="M191" s="16">
        <v>7.89</v>
      </c>
      <c r="N191" s="16">
        <v>7.14</v>
      </c>
      <c r="O191" s="16">
        <v>0.49099999999999999</v>
      </c>
      <c r="P191" s="16"/>
      <c r="Q191" s="16"/>
      <c r="R191" s="16"/>
      <c r="S191" s="16">
        <f t="shared" si="113"/>
        <v>100.03223009088454</v>
      </c>
      <c r="T191" s="16"/>
      <c r="U191" s="15">
        <v>1</v>
      </c>
      <c r="V191" s="15">
        <v>3</v>
      </c>
      <c r="W191" s="15">
        <v>30.6</v>
      </c>
      <c r="X191" s="15" t="s">
        <v>185</v>
      </c>
      <c r="Y191" s="15"/>
      <c r="Z191" s="37">
        <v>8</v>
      </c>
      <c r="AA191" s="37">
        <v>5</v>
      </c>
      <c r="AB191" s="15"/>
      <c r="AC191" s="38">
        <f t="shared" si="114"/>
        <v>2.6366075840154344</v>
      </c>
      <c r="AD191" s="38">
        <f t="shared" si="115"/>
        <v>0</v>
      </c>
      <c r="AE191" s="38">
        <f t="shared" si="116"/>
        <v>1.3384732912887767</v>
      </c>
      <c r="AF191" s="38">
        <f t="shared" si="117"/>
        <v>0</v>
      </c>
      <c r="AG191" s="38">
        <f t="shared" si="118"/>
        <v>1.5424246331450163E-2</v>
      </c>
      <c r="AH191" s="38">
        <f t="shared" si="119"/>
        <v>0</v>
      </c>
      <c r="AI191" s="38">
        <f t="shared" si="120"/>
        <v>0</v>
      </c>
      <c r="AJ191" s="38">
        <f t="shared" si="121"/>
        <v>0.37915329756036109</v>
      </c>
      <c r="AK191" s="38">
        <f t="shared" si="122"/>
        <v>0.62090116505999626</v>
      </c>
      <c r="AL191" s="38">
        <f t="shared" si="123"/>
        <v>2.8093537228311413E-2</v>
      </c>
      <c r="AM191" s="38">
        <f t="shared" si="124"/>
        <v>0</v>
      </c>
      <c r="AN191" s="38">
        <f t="shared" si="125"/>
        <v>0</v>
      </c>
      <c r="AO191" s="38">
        <f t="shared" si="126"/>
        <v>0</v>
      </c>
      <c r="AP191" s="38">
        <f t="shared" si="127"/>
        <v>5.0186531214843306</v>
      </c>
      <c r="AQ191" s="38">
        <f t="shared" si="128"/>
        <v>3.9750808753042111</v>
      </c>
      <c r="AR191" s="38">
        <f t="shared" si="129"/>
        <v>1.0281479998486687</v>
      </c>
      <c r="AS191" s="40"/>
      <c r="AT191" s="38">
        <f t="shared" si="130"/>
        <v>2.6268079504522768</v>
      </c>
      <c r="AU191" s="38">
        <f t="shared" si="131"/>
        <v>0</v>
      </c>
      <c r="AV191" s="38">
        <f t="shared" si="132"/>
        <v>1.3334985093499612</v>
      </c>
      <c r="AW191" s="38">
        <f t="shared" si="133"/>
        <v>0</v>
      </c>
      <c r="AX191" s="38">
        <f t="shared" si="134"/>
        <v>0</v>
      </c>
      <c r="AY191" s="38">
        <f t="shared" si="135"/>
        <v>1.5366918133294145E-2</v>
      </c>
      <c r="AZ191" s="38">
        <f t="shared" si="136"/>
        <v>0</v>
      </c>
      <c r="BA191" s="38">
        <f t="shared" si="137"/>
        <v>0</v>
      </c>
      <c r="BB191" s="38">
        <f t="shared" si="138"/>
        <v>0.37774407633120272</v>
      </c>
      <c r="BC191" s="38">
        <f t="shared" si="139"/>
        <v>0.61859342539732742</v>
      </c>
      <c r="BD191" s="38">
        <f t="shared" si="140"/>
        <v>2.7989120335938259E-2</v>
      </c>
      <c r="BE191" s="38">
        <f t="shared" si="141"/>
        <v>0</v>
      </c>
      <c r="BF191" s="38">
        <f t="shared" si="142"/>
        <v>0</v>
      </c>
      <c r="BG191" s="38">
        <f t="shared" si="143"/>
        <v>0</v>
      </c>
      <c r="BH191" s="41">
        <f t="shared" si="144"/>
        <v>5.0000000000000009</v>
      </c>
      <c r="BI191" s="42">
        <f t="shared" si="145"/>
        <v>7.9779493913272717</v>
      </c>
      <c r="BJ191" s="38">
        <f t="shared" si="146"/>
        <v>3.9603064598022382</v>
      </c>
      <c r="BK191" s="38">
        <f t="shared" si="147"/>
        <v>1.0243266220644685</v>
      </c>
      <c r="BL191" s="16"/>
      <c r="BM191" s="16">
        <f t="shared" si="148"/>
        <v>0.3687730731530558</v>
      </c>
      <c r="BN191" s="16">
        <f t="shared" si="149"/>
        <v>0.60390251710005338</v>
      </c>
      <c r="BO191" s="16">
        <f t="shared" si="150"/>
        <v>2.7324409746890967E-2</v>
      </c>
      <c r="BP191" s="15"/>
      <c r="BQ191" s="38">
        <f t="shared" si="151"/>
        <v>0.9783621837549934</v>
      </c>
      <c r="BR191" s="38">
        <f t="shared" si="152"/>
        <v>0</v>
      </c>
      <c r="BS191" s="38">
        <f t="shared" si="153"/>
        <v>0.49666535896429975</v>
      </c>
      <c r="BT191" s="38">
        <f t="shared" si="154"/>
        <v>0</v>
      </c>
      <c r="BU191" s="38">
        <f t="shared" si="155"/>
        <v>5.7234529002720899E-3</v>
      </c>
      <c r="BV191" s="38">
        <f t="shared" si="156"/>
        <v>0</v>
      </c>
      <c r="BW191" s="38">
        <f t="shared" si="157"/>
        <v>0</v>
      </c>
      <c r="BX191" s="38">
        <f t="shared" si="158"/>
        <v>0.14069186875891584</v>
      </c>
      <c r="BY191" s="38">
        <f t="shared" si="159"/>
        <v>0.23039690222652467</v>
      </c>
      <c r="BZ191" s="38">
        <f t="shared" si="160"/>
        <v>1.0424628450106157E-2</v>
      </c>
      <c r="CA191" s="38">
        <f t="shared" si="161"/>
        <v>0</v>
      </c>
      <c r="CB191" s="38">
        <f t="shared" si="162"/>
        <v>0</v>
      </c>
      <c r="CC191" s="38">
        <f t="shared" si="163"/>
        <v>0</v>
      </c>
      <c r="CD191" s="38">
        <f t="shared" si="164"/>
        <v>1.8622643950551119</v>
      </c>
      <c r="CE191" s="38">
        <f t="shared" si="165"/>
        <v>2.9685484929539401</v>
      </c>
      <c r="CF191" s="38">
        <f t="shared" si="166"/>
        <v>2.68490339678756</v>
      </c>
      <c r="CG191" s="38">
        <f t="shared" si="167"/>
        <v>7.9702659322606255</v>
      </c>
      <c r="CH191" s="15"/>
      <c r="CI191" s="16"/>
      <c r="CJ191" s="13"/>
      <c r="CK191" s="104"/>
      <c r="CL191" s="13"/>
      <c r="CM191" s="13"/>
      <c r="CN191" s="13"/>
      <c r="CO191" s="16"/>
      <c r="CP191" s="16"/>
      <c r="CQ191" s="16"/>
      <c r="CR191" s="16"/>
      <c r="CS191" s="16"/>
      <c r="CT191" s="16"/>
      <c r="CU191" s="16"/>
      <c r="CV191" s="16"/>
      <c r="CW191" s="16"/>
      <c r="CX191" s="16"/>
      <c r="CY191" s="104"/>
      <c r="CZ191" s="104"/>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3"/>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row>
    <row r="192" spans="1:167" x14ac:dyDescent="0.25">
      <c r="A192" s="35" t="s">
        <v>89</v>
      </c>
      <c r="B192" s="15">
        <v>655</v>
      </c>
      <c r="C192" s="102" t="s">
        <v>97</v>
      </c>
      <c r="D192" s="102" t="s">
        <v>106</v>
      </c>
      <c r="E192" s="15">
        <v>166</v>
      </c>
      <c r="F192" s="16">
        <v>47.57</v>
      </c>
      <c r="G192" s="16">
        <v>0</v>
      </c>
      <c r="H192" s="16">
        <v>32.409999999999997</v>
      </c>
      <c r="I192" s="16">
        <v>0</v>
      </c>
      <c r="J192" s="16">
        <v>0.67398542247817872</v>
      </c>
      <c r="K192" s="16">
        <v>0</v>
      </c>
      <c r="L192" s="16">
        <v>0</v>
      </c>
      <c r="M192" s="16">
        <v>16.59</v>
      </c>
      <c r="N192" s="16">
        <v>2.15</v>
      </c>
      <c r="O192" s="16">
        <v>4.3999999999999997E-2</v>
      </c>
      <c r="P192" s="16"/>
      <c r="Q192" s="16"/>
      <c r="R192" s="16"/>
      <c r="S192" s="16">
        <f t="shared" si="113"/>
        <v>99.437985422478178</v>
      </c>
      <c r="T192" s="16"/>
      <c r="U192" s="15">
        <v>1</v>
      </c>
      <c r="V192" s="15">
        <v>4</v>
      </c>
      <c r="W192" s="15">
        <v>45.900000000000006</v>
      </c>
      <c r="X192" s="15" t="s">
        <v>185</v>
      </c>
      <c r="Y192" s="15"/>
      <c r="Z192" s="37">
        <v>8</v>
      </c>
      <c r="AA192" s="37">
        <v>5</v>
      </c>
      <c r="AB192" s="15"/>
      <c r="AC192" s="38">
        <f t="shared" si="114"/>
        <v>2.2012716845311426</v>
      </c>
      <c r="AD192" s="38">
        <f t="shared" si="115"/>
        <v>0</v>
      </c>
      <c r="AE192" s="38">
        <f t="shared" si="116"/>
        <v>1.7674601048224658</v>
      </c>
      <c r="AF192" s="38">
        <f t="shared" si="117"/>
        <v>0</v>
      </c>
      <c r="AG192" s="38">
        <f t="shared" si="118"/>
        <v>2.6079193137017578E-2</v>
      </c>
      <c r="AH192" s="38">
        <f t="shared" si="119"/>
        <v>0</v>
      </c>
      <c r="AI192" s="38">
        <f t="shared" si="120"/>
        <v>0</v>
      </c>
      <c r="AJ192" s="38">
        <f t="shared" si="121"/>
        <v>0.8224486665952484</v>
      </c>
      <c r="AK192" s="38">
        <f t="shared" si="122"/>
        <v>0.19288004711065343</v>
      </c>
      <c r="AL192" s="38">
        <f t="shared" si="123"/>
        <v>2.5971808328465172E-3</v>
      </c>
      <c r="AM192" s="38">
        <f t="shared" si="124"/>
        <v>0</v>
      </c>
      <c r="AN192" s="38">
        <f t="shared" si="125"/>
        <v>0</v>
      </c>
      <c r="AO192" s="38">
        <f t="shared" si="126"/>
        <v>0</v>
      </c>
      <c r="AP192" s="38">
        <f t="shared" si="127"/>
        <v>5.0127368770293748</v>
      </c>
      <c r="AQ192" s="38">
        <f t="shared" si="128"/>
        <v>3.9687317893536083</v>
      </c>
      <c r="AR192" s="38">
        <f t="shared" si="129"/>
        <v>1.0179258945387482</v>
      </c>
      <c r="AS192" s="40"/>
      <c r="AT192" s="38">
        <f t="shared" si="130"/>
        <v>2.1956784672045764</v>
      </c>
      <c r="AU192" s="38">
        <f t="shared" si="131"/>
        <v>0</v>
      </c>
      <c r="AV192" s="38">
        <f t="shared" si="132"/>
        <v>1.7629691605415863</v>
      </c>
      <c r="AW192" s="38">
        <f t="shared" si="133"/>
        <v>0</v>
      </c>
      <c r="AX192" s="38">
        <f t="shared" si="134"/>
        <v>0</v>
      </c>
      <c r="AY192" s="38">
        <f t="shared" si="135"/>
        <v>2.6012928442867435E-2</v>
      </c>
      <c r="AZ192" s="38">
        <f t="shared" si="136"/>
        <v>0</v>
      </c>
      <c r="BA192" s="38">
        <f t="shared" si="137"/>
        <v>0</v>
      </c>
      <c r="BB192" s="38">
        <f t="shared" si="138"/>
        <v>0.82035890449793991</v>
      </c>
      <c r="BC192" s="38">
        <f t="shared" si="139"/>
        <v>0.19238995766416242</v>
      </c>
      <c r="BD192" s="38">
        <f t="shared" si="140"/>
        <v>2.5905816488672817E-3</v>
      </c>
      <c r="BE192" s="38">
        <f t="shared" si="141"/>
        <v>0</v>
      </c>
      <c r="BF192" s="38">
        <f t="shared" si="142"/>
        <v>0</v>
      </c>
      <c r="BG192" s="38">
        <f t="shared" si="143"/>
        <v>0</v>
      </c>
      <c r="BH192" s="41">
        <f t="shared" si="144"/>
        <v>5</v>
      </c>
      <c r="BI192" s="42">
        <f t="shared" si="145"/>
        <v>7.9926792420402881</v>
      </c>
      <c r="BJ192" s="38">
        <f t="shared" si="146"/>
        <v>3.9586476277461626</v>
      </c>
      <c r="BK192" s="38">
        <f t="shared" si="147"/>
        <v>1.0153394438109697</v>
      </c>
      <c r="BL192" s="16"/>
      <c r="BM192" s="16">
        <f t="shared" si="148"/>
        <v>0.80796516819912889</v>
      </c>
      <c r="BN192" s="16">
        <f t="shared" si="149"/>
        <v>0.18948338788262478</v>
      </c>
      <c r="BO192" s="16">
        <f t="shared" si="150"/>
        <v>2.5514439182465001E-3</v>
      </c>
      <c r="BP192" s="15"/>
      <c r="BQ192" s="38">
        <f t="shared" si="151"/>
        <v>0.79177762982689748</v>
      </c>
      <c r="BR192" s="38">
        <f t="shared" si="152"/>
        <v>0</v>
      </c>
      <c r="BS192" s="38">
        <f t="shared" si="153"/>
        <v>0.63573950568850524</v>
      </c>
      <c r="BT192" s="38">
        <f t="shared" si="154"/>
        <v>0</v>
      </c>
      <c r="BU192" s="38">
        <f t="shared" si="155"/>
        <v>9.3804512523058981E-3</v>
      </c>
      <c r="BV192" s="38">
        <f t="shared" si="156"/>
        <v>0</v>
      </c>
      <c r="BW192" s="38">
        <f t="shared" si="157"/>
        <v>0</v>
      </c>
      <c r="BX192" s="38">
        <f t="shared" si="158"/>
        <v>0.29582738944365194</v>
      </c>
      <c r="BY192" s="38">
        <f t="shared" si="159"/>
        <v>6.9377218457566961E-2</v>
      </c>
      <c r="BZ192" s="38">
        <f t="shared" si="160"/>
        <v>9.3418259023354561E-4</v>
      </c>
      <c r="CA192" s="38">
        <f t="shared" si="161"/>
        <v>0</v>
      </c>
      <c r="CB192" s="38">
        <f t="shared" si="162"/>
        <v>0</v>
      </c>
      <c r="CC192" s="38">
        <f t="shared" si="163"/>
        <v>0</v>
      </c>
      <c r="CD192" s="38">
        <f t="shared" si="164"/>
        <v>1.8030363772591613</v>
      </c>
      <c r="CE192" s="38">
        <f t="shared" si="165"/>
        <v>2.8775280594064112</v>
      </c>
      <c r="CF192" s="38">
        <f t="shared" si="166"/>
        <v>2.7730999014011131</v>
      </c>
      <c r="CG192" s="38">
        <f t="shared" si="167"/>
        <v>7.9796727778188554</v>
      </c>
      <c r="CH192" s="15"/>
      <c r="CI192" s="16"/>
      <c r="CJ192" s="13"/>
      <c r="CK192" s="104"/>
      <c r="CL192" s="13"/>
      <c r="CM192" s="13"/>
      <c r="CN192" s="13"/>
      <c r="CO192" s="16"/>
      <c r="CP192" s="16"/>
      <c r="CQ192" s="16"/>
      <c r="CR192" s="16"/>
      <c r="CS192" s="16"/>
      <c r="CT192" s="16"/>
      <c r="CU192" s="16"/>
      <c r="CV192" s="16"/>
      <c r="CW192" s="16"/>
      <c r="CX192" s="16"/>
      <c r="CY192" s="104"/>
      <c r="CZ192" s="104"/>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3"/>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row>
    <row r="193" spans="1:167" x14ac:dyDescent="0.25">
      <c r="A193" s="35" t="s">
        <v>89</v>
      </c>
      <c r="B193" s="15">
        <v>656</v>
      </c>
      <c r="C193" s="102" t="s">
        <v>97</v>
      </c>
      <c r="D193" s="102" t="s">
        <v>106</v>
      </c>
      <c r="E193" s="15">
        <v>167</v>
      </c>
      <c r="F193" s="16">
        <v>48</v>
      </c>
      <c r="G193" s="16">
        <v>0</v>
      </c>
      <c r="H193" s="16">
        <v>31.97</v>
      </c>
      <c r="I193" s="16">
        <v>0</v>
      </c>
      <c r="J193" s="16">
        <v>0.61819490686583289</v>
      </c>
      <c r="K193" s="16">
        <v>0</v>
      </c>
      <c r="L193" s="16">
        <v>0</v>
      </c>
      <c r="M193" s="16">
        <v>16.309999999999999</v>
      </c>
      <c r="N193" s="16">
        <v>2.2799999999999998</v>
      </c>
      <c r="O193" s="16">
        <v>4.4999999999999998E-2</v>
      </c>
      <c r="P193" s="16"/>
      <c r="Q193" s="16"/>
      <c r="R193" s="16"/>
      <c r="S193" s="16">
        <f t="shared" si="113"/>
        <v>99.223194906865842</v>
      </c>
      <c r="T193" s="16"/>
      <c r="U193" s="15">
        <v>1</v>
      </c>
      <c r="V193" s="15">
        <v>5</v>
      </c>
      <c r="W193" s="15">
        <v>61.2</v>
      </c>
      <c r="X193" s="15" t="s">
        <v>185</v>
      </c>
      <c r="Y193" s="15"/>
      <c r="Z193" s="37">
        <v>8</v>
      </c>
      <c r="AA193" s="37">
        <v>5</v>
      </c>
      <c r="AB193" s="15"/>
      <c r="AC193" s="38">
        <f t="shared" si="114"/>
        <v>2.2229412717734616</v>
      </c>
      <c r="AD193" s="38">
        <f t="shared" si="115"/>
        <v>0</v>
      </c>
      <c r="AE193" s="38">
        <f t="shared" si="116"/>
        <v>1.7448555569637365</v>
      </c>
      <c r="AF193" s="38">
        <f t="shared" si="117"/>
        <v>0</v>
      </c>
      <c r="AG193" s="38">
        <f t="shared" si="118"/>
        <v>2.3939513809478789E-2</v>
      </c>
      <c r="AH193" s="38">
        <f t="shared" si="119"/>
        <v>0</v>
      </c>
      <c r="AI193" s="38">
        <f t="shared" si="120"/>
        <v>0</v>
      </c>
      <c r="AJ193" s="38">
        <f t="shared" si="121"/>
        <v>0.80921259150949509</v>
      </c>
      <c r="AK193" s="38">
        <f t="shared" si="122"/>
        <v>0.20470570511091013</v>
      </c>
      <c r="AL193" s="38">
        <f t="shared" si="123"/>
        <v>2.6583262660857792E-3</v>
      </c>
      <c r="AM193" s="38">
        <f t="shared" si="124"/>
        <v>0</v>
      </c>
      <c r="AN193" s="38">
        <f t="shared" si="125"/>
        <v>0</v>
      </c>
      <c r="AO193" s="38">
        <f t="shared" si="126"/>
        <v>0</v>
      </c>
      <c r="AP193" s="38">
        <f t="shared" si="127"/>
        <v>5.0083129654331673</v>
      </c>
      <c r="AQ193" s="38">
        <f t="shared" si="128"/>
        <v>3.9677968287371979</v>
      </c>
      <c r="AR193" s="38">
        <f t="shared" si="129"/>
        <v>1.016576622886491</v>
      </c>
      <c r="AS193" s="40"/>
      <c r="AT193" s="38">
        <f t="shared" si="130"/>
        <v>2.219251559473181</v>
      </c>
      <c r="AU193" s="38">
        <f t="shared" si="131"/>
        <v>0</v>
      </c>
      <c r="AV193" s="38">
        <f t="shared" si="132"/>
        <v>1.7419593873291666</v>
      </c>
      <c r="AW193" s="38">
        <f t="shared" si="133"/>
        <v>0</v>
      </c>
      <c r="AX193" s="38">
        <f t="shared" si="134"/>
        <v>0</v>
      </c>
      <c r="AY193" s="38">
        <f t="shared" si="135"/>
        <v>2.389977820346563E-2</v>
      </c>
      <c r="AZ193" s="38">
        <f t="shared" si="136"/>
        <v>0</v>
      </c>
      <c r="BA193" s="38">
        <f t="shared" si="137"/>
        <v>0</v>
      </c>
      <c r="BB193" s="38">
        <f t="shared" si="138"/>
        <v>0.80786943337466377</v>
      </c>
      <c r="BC193" s="38">
        <f t="shared" si="139"/>
        <v>0.2043659277323189</v>
      </c>
      <c r="BD193" s="38">
        <f t="shared" si="140"/>
        <v>2.6539138872043923E-3</v>
      </c>
      <c r="BE193" s="38">
        <f t="shared" si="141"/>
        <v>0</v>
      </c>
      <c r="BF193" s="38">
        <f t="shared" si="142"/>
        <v>0</v>
      </c>
      <c r="BG193" s="38">
        <f t="shared" si="143"/>
        <v>0</v>
      </c>
      <c r="BH193" s="41">
        <f t="shared" si="144"/>
        <v>5</v>
      </c>
      <c r="BI193" s="42">
        <f t="shared" si="145"/>
        <v>7.9986712214297357</v>
      </c>
      <c r="BJ193" s="38">
        <f t="shared" si="146"/>
        <v>3.9612109468023475</v>
      </c>
      <c r="BK193" s="38">
        <f t="shared" si="147"/>
        <v>1.0148892749941871</v>
      </c>
      <c r="BL193" s="16"/>
      <c r="BM193" s="16">
        <f t="shared" si="148"/>
        <v>0.79601731270565546</v>
      </c>
      <c r="BN193" s="16">
        <f t="shared" si="149"/>
        <v>0.2013677085448454</v>
      </c>
      <c r="BO193" s="16">
        <f t="shared" si="150"/>
        <v>2.6149787494991442E-3</v>
      </c>
      <c r="BP193" s="15"/>
      <c r="BQ193" s="38">
        <f t="shared" si="151"/>
        <v>0.79893475366178435</v>
      </c>
      <c r="BR193" s="38">
        <f t="shared" si="152"/>
        <v>0</v>
      </c>
      <c r="BS193" s="38">
        <f t="shared" si="153"/>
        <v>0.6271086700666928</v>
      </c>
      <c r="BT193" s="38">
        <f t="shared" si="154"/>
        <v>0</v>
      </c>
      <c r="BU193" s="38">
        <f t="shared" si="155"/>
        <v>8.6039653008466652E-3</v>
      </c>
      <c r="BV193" s="38">
        <f t="shared" si="156"/>
        <v>0</v>
      </c>
      <c r="BW193" s="38">
        <f t="shared" si="157"/>
        <v>0</v>
      </c>
      <c r="BX193" s="38">
        <f t="shared" si="158"/>
        <v>0.29083452211126959</v>
      </c>
      <c r="BY193" s="38">
        <f t="shared" si="159"/>
        <v>7.3572120038722169E-2</v>
      </c>
      <c r="BZ193" s="38">
        <f t="shared" si="160"/>
        <v>9.554140127388534E-4</v>
      </c>
      <c r="CA193" s="38">
        <f t="shared" si="161"/>
        <v>0</v>
      </c>
      <c r="CB193" s="38">
        <f t="shared" si="162"/>
        <v>0</v>
      </c>
      <c r="CC193" s="38">
        <f t="shared" si="163"/>
        <v>0</v>
      </c>
      <c r="CD193" s="38">
        <f t="shared" si="164"/>
        <v>1.8000094451920545</v>
      </c>
      <c r="CE193" s="38">
        <f t="shared" si="165"/>
        <v>2.8752347668614546</v>
      </c>
      <c r="CF193" s="38">
        <f t="shared" si="166"/>
        <v>2.7777632019405978</v>
      </c>
      <c r="CG193" s="38">
        <f t="shared" si="167"/>
        <v>7.9867213323280026</v>
      </c>
      <c r="CH193" s="15"/>
      <c r="CI193" s="16"/>
      <c r="CJ193" s="13"/>
      <c r="CK193" s="104"/>
      <c r="CL193" s="13"/>
      <c r="CM193" s="13"/>
      <c r="CN193" s="13"/>
      <c r="CO193" s="16"/>
      <c r="CP193" s="16"/>
      <c r="CQ193" s="16"/>
      <c r="CR193" s="16"/>
      <c r="CS193" s="16"/>
      <c r="CT193" s="16"/>
      <c r="CU193" s="16"/>
      <c r="CV193" s="16"/>
      <c r="CW193" s="16"/>
      <c r="CX193" s="16"/>
      <c r="CY193" s="104"/>
      <c r="CZ193" s="104"/>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3"/>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row>
    <row r="194" spans="1:167" x14ac:dyDescent="0.25">
      <c r="A194" s="35" t="s">
        <v>89</v>
      </c>
      <c r="B194" s="15">
        <v>657</v>
      </c>
      <c r="C194" s="102" t="s">
        <v>97</v>
      </c>
      <c r="D194" s="102" t="s">
        <v>106</v>
      </c>
      <c r="E194" s="15">
        <v>168</v>
      </c>
      <c r="F194" s="16">
        <v>48.5</v>
      </c>
      <c r="G194" s="16">
        <v>0</v>
      </c>
      <c r="H194" s="16">
        <v>31.9</v>
      </c>
      <c r="I194" s="16">
        <v>0</v>
      </c>
      <c r="J194" s="16">
        <v>0.65148924682803921</v>
      </c>
      <c r="K194" s="16">
        <v>0</v>
      </c>
      <c r="L194" s="16">
        <v>0</v>
      </c>
      <c r="M194" s="16">
        <v>15.68</v>
      </c>
      <c r="N194" s="16">
        <v>2.65</v>
      </c>
      <c r="O194" s="16">
        <v>8.3000000000000004E-2</v>
      </c>
      <c r="P194" s="16"/>
      <c r="Q194" s="16"/>
      <c r="R194" s="16"/>
      <c r="S194" s="16">
        <f t="shared" ref="S194:S257" si="168">SUM(F194:R194)</f>
        <v>99.464489246828037</v>
      </c>
      <c r="T194" s="16"/>
      <c r="U194" s="15">
        <v>1</v>
      </c>
      <c r="V194" s="15">
        <v>6</v>
      </c>
      <c r="W194" s="15">
        <v>76.5</v>
      </c>
      <c r="X194" s="15" t="s">
        <v>185</v>
      </c>
      <c r="Y194" s="15"/>
      <c r="Z194" s="37">
        <v>8</v>
      </c>
      <c r="AA194" s="37">
        <v>5</v>
      </c>
      <c r="AB194" s="15"/>
      <c r="AC194" s="38">
        <f t="shared" ref="AC194:AC257" si="169">BQ194*($Z194/$CE194)</f>
        <v>2.238166784653024</v>
      </c>
      <c r="AD194" s="38">
        <f t="shared" ref="AD194:AD257" si="170">BR194*($Z194/$CE194)</f>
        <v>0</v>
      </c>
      <c r="AE194" s="38">
        <f t="shared" ref="AE194:AE257" si="171">BS194*($Z194/$CE194)</f>
        <v>1.734888162109387</v>
      </c>
      <c r="AF194" s="38">
        <f t="shared" ref="AF194:AF257" si="172">BT194*($Z194/$CE194)</f>
        <v>0</v>
      </c>
      <c r="AG194" s="38">
        <f t="shared" ref="AG194:AG257" si="173">BU194*($Z194/$CE194)</f>
        <v>2.5139759061611092E-2</v>
      </c>
      <c r="AH194" s="38">
        <f t="shared" ref="AH194:AH257" si="174">BV194*($Z194/$CE194)</f>
        <v>0</v>
      </c>
      <c r="AI194" s="38">
        <f t="shared" ref="AI194:AI257" si="175">BW194*($Z194/$CE194)</f>
        <v>0</v>
      </c>
      <c r="AJ194" s="38">
        <f t="shared" ref="AJ194:AJ257" si="176">BX194*($Z194/$CE194)</f>
        <v>0.77520878399643878</v>
      </c>
      <c r="AK194" s="38">
        <f t="shared" ref="AK194:AK257" si="177">BY194*($Z194/$CE194)</f>
        <v>0.23708546496088015</v>
      </c>
      <c r="AL194" s="38">
        <f t="shared" ref="AL194:AL257" si="178">BZ194*($Z194/$CE194)</f>
        <v>4.885823982761904E-3</v>
      </c>
      <c r="AM194" s="38">
        <f t="shared" ref="AM194:AM257" si="179">CA194*($Z194/$CE194)</f>
        <v>0</v>
      </c>
      <c r="AN194" s="38">
        <f t="shared" ref="AN194:AN257" si="180">CB194*($Z194/$CE194)</f>
        <v>0</v>
      </c>
      <c r="AO194" s="38">
        <f t="shared" ref="AO194:AO257" si="181">CC194*($Z194/$CE194)</f>
        <v>0</v>
      </c>
      <c r="AP194" s="38">
        <f t="shared" ref="AP194:AP257" si="182">SUM(AC194:AN194)</f>
        <v>5.0153747787641025</v>
      </c>
      <c r="AQ194" s="38">
        <f t="shared" ref="AQ194:AQ257" si="183">AC194+AE194</f>
        <v>3.973054946762411</v>
      </c>
      <c r="AR194" s="38">
        <f t="shared" ref="AR194:AR257" si="184">SUM(AJ194:AL194)</f>
        <v>1.0171800729400808</v>
      </c>
      <c r="AS194" s="40"/>
      <c r="AT194" s="38">
        <f t="shared" ref="AT194:AT257" si="185">IF($AA194&gt;0,BQ194*$CF194,"")</f>
        <v>2.2313056186047944</v>
      </c>
      <c r="AU194" s="38">
        <f t="shared" ref="AU194:AU257" si="186">IF($AA194&gt;0,BR194*$CF194,"")</f>
        <v>0</v>
      </c>
      <c r="AV194" s="38">
        <f t="shared" ref="AV194:AV257" si="187">IF($AA194&gt;0,BS194*$CF194,"")</f>
        <v>1.7295698114677096</v>
      </c>
      <c r="AW194" s="38">
        <f t="shared" ref="AW194:AW257" si="188">IF($AA194&gt;0,BT194*$CF194,"")</f>
        <v>0</v>
      </c>
      <c r="AX194" s="38">
        <f t="shared" ref="AX194:AX257" si="189">IF($AA194&gt;0 +N("so a blank cell if no ideal cations set"),                         BU194*CF194-AY194,"")</f>
        <v>0</v>
      </c>
      <c r="AY194" s="38">
        <f t="shared" ref="AY194:AY257" si="190">IF($AA194&gt;0 +N("so a blank cell if no ideal cations set"),                                                                     IF(AP194&gt;AA194,                          IF(  2*Z194*(1-(AA194/AP194))   &lt;   BU194*CF194,    2*Z194*(1-(AA194/AP194)),    BU194*CF194),0),"")</f>
        <v>2.5062692391460795E-2</v>
      </c>
      <c r="AZ194" s="38">
        <f t="shared" ref="AZ194:AZ257" si="191">IF($AA194&gt;0,BV194*$CF194,"")</f>
        <v>0</v>
      </c>
      <c r="BA194" s="38">
        <f t="shared" ref="BA194:BA257" si="192">IF($AA194&gt;0,BW194*$CF194,"")</f>
        <v>0</v>
      </c>
      <c r="BB194" s="38">
        <f t="shared" ref="BB194:BB257" si="193">IF($AA194&gt;0,BX194*$CF194,"")</f>
        <v>0.7728323586891217</v>
      </c>
      <c r="BC194" s="38">
        <f t="shared" ref="BC194:BC257" si="194">IF($AA194&gt;0,BY194*$CF194,"")</f>
        <v>0.2363586725011437</v>
      </c>
      <c r="BD194" s="38">
        <f t="shared" ref="BD194:BD257" si="195">IF($AA194&gt;0,BZ194*$CF194,"")</f>
        <v>4.8708463457698735E-3</v>
      </c>
      <c r="BE194" s="38">
        <f t="shared" ref="BE194:BE257" si="196">IF($AA194&gt;0,CA194*$CF194,"")</f>
        <v>0</v>
      </c>
      <c r="BF194" s="38">
        <f t="shared" ref="BF194:BF257" si="197">IF($AA194&gt;0,CB194*$CF194,"")</f>
        <v>0</v>
      </c>
      <c r="BG194" s="38">
        <f t="shared" ref="BG194:BG257" si="198">IF($AA194&gt;0,CC194*$CF194,"")</f>
        <v>0</v>
      </c>
      <c r="BH194" s="41">
        <f t="shared" ref="BH194:BH257" si="199">IF(AA194&gt;0,SUM(AT194:BF194),"")</f>
        <v>5</v>
      </c>
      <c r="BI194" s="42">
        <f t="shared" ref="BI194:BI257" si="200">(AT194+AU194)*2+(AV194+AW194+AY194)*1.5+AX194+AZ194+BA194+BB194+(BC194+BD194)*0.5+BE194*2.5+BF194*3  -(0.5*(BG194))</f>
        <v>7.9880071111109228</v>
      </c>
      <c r="BJ194" s="38">
        <f t="shared" ref="BJ194:BJ257" si="201">IF(AA194&gt;0,AT194+AV194,"")</f>
        <v>3.960875430072504</v>
      </c>
      <c r="BK194" s="38">
        <f t="shared" ref="BK194:BK257" si="202">IF(AA194&gt;0,SUM(BB194:BD194),"")</f>
        <v>1.0140618775360353</v>
      </c>
      <c r="BL194" s="16"/>
      <c r="BM194" s="16">
        <f t="shared" ref="BM194:BM257" si="203">AJ194/(AJ194+AK194+AL194)</f>
        <v>0.76211558269693325</v>
      </c>
      <c r="BN194" s="16">
        <f t="shared" ref="BN194:BN257" si="204">AK194/(AK194+AJ194+AL194)</f>
        <v>0.23308111441428736</v>
      </c>
      <c r="BO194" s="16">
        <f t="shared" ref="BO194:BO257" si="205">AL194/(AJ194+AK194+AL194)</f>
        <v>4.8033028887793736E-3</v>
      </c>
      <c r="BP194" s="15"/>
      <c r="BQ194" s="38">
        <f t="shared" ref="BQ194:BQ257" si="206">F194/60.08</f>
        <v>0.80725699067909451</v>
      </c>
      <c r="BR194" s="38">
        <f t="shared" ref="BR194:BR257" si="207">G194/79.88</f>
        <v>0</v>
      </c>
      <c r="BS194" s="38">
        <f t="shared" ref="BS194:BS257" si="208">H194/101.96*2</f>
        <v>0.62573558258140449</v>
      </c>
      <c r="BT194" s="38">
        <f t="shared" ref="BT194:BT257" si="209">I194/151.99*2</f>
        <v>0</v>
      </c>
      <c r="BU194" s="38">
        <f t="shared" ref="BU194:BU257" si="210">J194/71.85</f>
        <v>9.0673520783304002E-3</v>
      </c>
      <c r="BV194" s="38">
        <f t="shared" ref="BV194:BV257" si="211">K194/70.94</f>
        <v>0</v>
      </c>
      <c r="BW194" s="38">
        <f t="shared" ref="BW194:BW257" si="212">L194/40.3</f>
        <v>0</v>
      </c>
      <c r="BX194" s="38">
        <f t="shared" ref="BX194:BX257" si="213">M194/56.08</f>
        <v>0.27960057061340943</v>
      </c>
      <c r="BY194" s="38">
        <f t="shared" ref="BY194:BY257" si="214">N194/61.98*2</f>
        <v>8.5511455308163925E-2</v>
      </c>
      <c r="BZ194" s="38">
        <f t="shared" ref="BZ194:BZ257" si="215">O194/94.2*2</f>
        <v>1.762208067940552E-3</v>
      </c>
      <c r="CA194" s="38">
        <f t="shared" ref="CA194:CA257" si="216">P194/141.94*2</f>
        <v>0</v>
      </c>
      <c r="CB194" s="38">
        <f t="shared" ref="CB194:CB257" si="217">Q194/80.06</f>
        <v>0</v>
      </c>
      <c r="CC194" s="38">
        <f t="shared" ref="CC194:CC257" si="218">R194/35.45</f>
        <v>0</v>
      </c>
      <c r="CD194" s="38">
        <f t="shared" ref="CD194:CD257" si="219">SUM(BQ194:CB194)</f>
        <v>1.8089341593283434</v>
      </c>
      <c r="CE194" s="38">
        <f t="shared" ref="CE194:CE257" si="220">(BQ194+BR194)*2+(BS194+BT194)*1.5+BU194+BV194+BW194+BX194+(BY194+BZ194)*0.5+CA194*2.5+CB194*3+     -(0.5*(CC194))</f>
        <v>2.8854221096100878</v>
      </c>
      <c r="CF194" s="38">
        <f t="shared" ref="CF194:CF257" si="221">AA194/CD194</f>
        <v>2.7640585889850731</v>
      </c>
      <c r="CG194" s="38">
        <f t="shared" ref="CG194:CG257" si="222">CE194*CF194</f>
        <v>7.9754757649151919</v>
      </c>
      <c r="CH194" s="15"/>
      <c r="CI194" s="16"/>
      <c r="CJ194" s="13"/>
      <c r="CK194" s="104"/>
      <c r="CL194" s="13"/>
      <c r="CM194" s="13"/>
      <c r="CN194" s="13"/>
      <c r="CO194" s="16"/>
      <c r="CP194" s="16"/>
      <c r="CQ194" s="16"/>
      <c r="CR194" s="16"/>
      <c r="CS194" s="16"/>
      <c r="CT194" s="16"/>
      <c r="CU194" s="16"/>
      <c r="CV194" s="16"/>
      <c r="CW194" s="16"/>
      <c r="CX194" s="16"/>
      <c r="CY194" s="104"/>
      <c r="CZ194" s="104"/>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3"/>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row>
    <row r="195" spans="1:167" x14ac:dyDescent="0.25">
      <c r="A195" s="35" t="s">
        <v>89</v>
      </c>
      <c r="B195" s="15">
        <v>658</v>
      </c>
      <c r="C195" s="102" t="s">
        <v>97</v>
      </c>
      <c r="D195" s="102" t="s">
        <v>106</v>
      </c>
      <c r="E195" s="15">
        <v>169</v>
      </c>
      <c r="F195" s="16">
        <v>48.23</v>
      </c>
      <c r="G195" s="16">
        <v>0</v>
      </c>
      <c r="H195" s="16">
        <v>32.06</v>
      </c>
      <c r="I195" s="16">
        <v>0</v>
      </c>
      <c r="J195" s="16">
        <v>0.60739674255376597</v>
      </c>
      <c r="K195" s="16">
        <v>0</v>
      </c>
      <c r="L195" s="16">
        <v>0</v>
      </c>
      <c r="M195" s="16">
        <v>16.100000000000001</v>
      </c>
      <c r="N195" s="16">
        <v>2.5</v>
      </c>
      <c r="O195" s="16">
        <v>7.9000000000000001E-2</v>
      </c>
      <c r="P195" s="16"/>
      <c r="Q195" s="16"/>
      <c r="R195" s="16"/>
      <c r="S195" s="16">
        <f t="shared" si="168"/>
        <v>99.57639674255374</v>
      </c>
      <c r="T195" s="16"/>
      <c r="U195" s="15">
        <v>1</v>
      </c>
      <c r="V195" s="15">
        <v>7</v>
      </c>
      <c r="W195" s="15">
        <v>91.8</v>
      </c>
      <c r="X195" s="15" t="s">
        <v>185</v>
      </c>
      <c r="Y195" s="15"/>
      <c r="Z195" s="37">
        <v>8</v>
      </c>
      <c r="AA195" s="37">
        <v>5</v>
      </c>
      <c r="AB195" s="15"/>
      <c r="AC195" s="38">
        <f t="shared" si="169"/>
        <v>2.2256045005117833</v>
      </c>
      <c r="AD195" s="38">
        <f t="shared" si="170"/>
        <v>0</v>
      </c>
      <c r="AE195" s="38">
        <f t="shared" si="171"/>
        <v>1.7435095872129074</v>
      </c>
      <c r="AF195" s="38">
        <f t="shared" si="172"/>
        <v>0</v>
      </c>
      <c r="AG195" s="38">
        <f t="shared" si="173"/>
        <v>2.3437233074739279E-2</v>
      </c>
      <c r="AH195" s="38">
        <f t="shared" si="174"/>
        <v>0</v>
      </c>
      <c r="AI195" s="38">
        <f t="shared" si="175"/>
        <v>0</v>
      </c>
      <c r="AJ195" s="38">
        <f t="shared" si="176"/>
        <v>0.7959366887722088</v>
      </c>
      <c r="AK195" s="38">
        <f t="shared" si="177"/>
        <v>0.22365524395940919</v>
      </c>
      <c r="AL195" s="38">
        <f t="shared" si="178"/>
        <v>4.6501486608396189E-3</v>
      </c>
      <c r="AM195" s="38">
        <f t="shared" si="179"/>
        <v>0</v>
      </c>
      <c r="AN195" s="38">
        <f t="shared" si="180"/>
        <v>0</v>
      </c>
      <c r="AO195" s="38">
        <f t="shared" si="181"/>
        <v>0</v>
      </c>
      <c r="AP195" s="38">
        <f t="shared" si="182"/>
        <v>5.0167934021918876</v>
      </c>
      <c r="AQ195" s="38">
        <f t="shared" si="183"/>
        <v>3.9691140877246909</v>
      </c>
      <c r="AR195" s="38">
        <f t="shared" si="184"/>
        <v>1.0242420813924578</v>
      </c>
      <c r="AS195" s="40"/>
      <c r="AT195" s="38">
        <f t="shared" si="185"/>
        <v>2.2181544286230661</v>
      </c>
      <c r="AU195" s="38">
        <f t="shared" si="186"/>
        <v>0</v>
      </c>
      <c r="AV195" s="38">
        <f t="shared" si="187"/>
        <v>1.7376732978989629</v>
      </c>
      <c r="AW195" s="38">
        <f t="shared" si="188"/>
        <v>0</v>
      </c>
      <c r="AX195" s="38">
        <f t="shared" si="189"/>
        <v>0</v>
      </c>
      <c r="AY195" s="38">
        <f t="shared" si="190"/>
        <v>2.3358778402653886E-2</v>
      </c>
      <c r="AZ195" s="38">
        <f t="shared" si="191"/>
        <v>0</v>
      </c>
      <c r="BA195" s="38">
        <f t="shared" si="192"/>
        <v>0</v>
      </c>
      <c r="BB195" s="38">
        <f t="shared" si="193"/>
        <v>0.79327234047993278</v>
      </c>
      <c r="BC195" s="38">
        <f t="shared" si="194"/>
        <v>0.22290657201639191</v>
      </c>
      <c r="BD195" s="38">
        <f t="shared" si="195"/>
        <v>4.6345825789915144E-3</v>
      </c>
      <c r="BE195" s="38">
        <f t="shared" si="196"/>
        <v>0</v>
      </c>
      <c r="BF195" s="38">
        <f t="shared" si="197"/>
        <v>0</v>
      </c>
      <c r="BG195" s="38">
        <f t="shared" si="198"/>
        <v>0</v>
      </c>
      <c r="BH195" s="41">
        <f t="shared" si="199"/>
        <v>4.9999999999999991</v>
      </c>
      <c r="BI195" s="42">
        <f t="shared" si="200"/>
        <v>7.984899889476182</v>
      </c>
      <c r="BJ195" s="38">
        <f t="shared" si="201"/>
        <v>3.955827726522029</v>
      </c>
      <c r="BK195" s="38">
        <f t="shared" si="202"/>
        <v>1.0208134950753163</v>
      </c>
      <c r="BL195" s="16"/>
      <c r="BM195" s="16">
        <f t="shared" si="203"/>
        <v>0.77709821069852192</v>
      </c>
      <c r="BN195" s="16">
        <f t="shared" si="204"/>
        <v>0.2183617018111087</v>
      </c>
      <c r="BO195" s="16">
        <f t="shared" si="205"/>
        <v>4.5400874903692096E-3</v>
      </c>
      <c r="BP195" s="15"/>
      <c r="BQ195" s="38">
        <f t="shared" si="206"/>
        <v>0.802762982689747</v>
      </c>
      <c r="BR195" s="38">
        <f t="shared" si="207"/>
        <v>0</v>
      </c>
      <c r="BS195" s="38">
        <f t="shared" si="208"/>
        <v>0.6288740682620636</v>
      </c>
      <c r="BT195" s="38">
        <f t="shared" si="209"/>
        <v>0</v>
      </c>
      <c r="BU195" s="38">
        <f t="shared" si="210"/>
        <v>8.453677697338428E-3</v>
      </c>
      <c r="BV195" s="38">
        <f t="shared" si="211"/>
        <v>0</v>
      </c>
      <c r="BW195" s="38">
        <f t="shared" si="212"/>
        <v>0</v>
      </c>
      <c r="BX195" s="38">
        <f t="shared" si="213"/>
        <v>0.28708987161198291</v>
      </c>
      <c r="BY195" s="38">
        <f t="shared" si="214"/>
        <v>8.0671184252984834E-2</v>
      </c>
      <c r="BZ195" s="38">
        <f t="shared" si="215"/>
        <v>1.6772823779193206E-3</v>
      </c>
      <c r="CA195" s="38">
        <f t="shared" si="216"/>
        <v>0</v>
      </c>
      <c r="CB195" s="38">
        <f t="shared" si="217"/>
        <v>0</v>
      </c>
      <c r="CC195" s="38">
        <f t="shared" si="218"/>
        <v>0</v>
      </c>
      <c r="CD195" s="38">
        <f t="shared" si="219"/>
        <v>1.8095290668920363</v>
      </c>
      <c r="CE195" s="38">
        <f t="shared" si="220"/>
        <v>2.8855548503973627</v>
      </c>
      <c r="CF195" s="38">
        <f t="shared" si="221"/>
        <v>2.7631498667151941</v>
      </c>
      <c r="CG195" s="38">
        <f t="shared" si="222"/>
        <v>7.9732205002748548</v>
      </c>
      <c r="CH195" s="15"/>
      <c r="CI195" s="16"/>
      <c r="CJ195" s="13"/>
      <c r="CK195" s="104"/>
      <c r="CL195" s="13"/>
      <c r="CM195" s="13"/>
      <c r="CN195" s="13"/>
      <c r="CO195" s="16"/>
      <c r="CP195" s="16"/>
      <c r="CQ195" s="16"/>
      <c r="CR195" s="16"/>
      <c r="CS195" s="16"/>
      <c r="CT195" s="16"/>
      <c r="CU195" s="16"/>
      <c r="CV195" s="16"/>
      <c r="CW195" s="16"/>
      <c r="CX195" s="16"/>
      <c r="CY195" s="104"/>
      <c r="CZ195" s="104"/>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3"/>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row>
    <row r="196" spans="1:167" x14ac:dyDescent="0.25">
      <c r="A196" s="35" t="s">
        <v>89</v>
      </c>
      <c r="B196" s="15">
        <v>659</v>
      </c>
      <c r="C196" s="102" t="s">
        <v>97</v>
      </c>
      <c r="D196" s="102" t="s">
        <v>106</v>
      </c>
      <c r="E196" s="15">
        <v>170</v>
      </c>
      <c r="F196" s="16">
        <v>48.68</v>
      </c>
      <c r="G196" s="16">
        <v>0</v>
      </c>
      <c r="H196" s="16">
        <v>31.79</v>
      </c>
      <c r="I196" s="16">
        <v>0</v>
      </c>
      <c r="J196" s="16">
        <v>0.59659857824169893</v>
      </c>
      <c r="K196" s="16">
        <v>0</v>
      </c>
      <c r="L196" s="16">
        <v>0</v>
      </c>
      <c r="M196" s="16">
        <v>15.66</v>
      </c>
      <c r="N196" s="16">
        <v>2.74</v>
      </c>
      <c r="O196" s="16">
        <v>0.06</v>
      </c>
      <c r="P196" s="16"/>
      <c r="Q196" s="16"/>
      <c r="R196" s="16"/>
      <c r="S196" s="16">
        <f t="shared" si="168"/>
        <v>99.526598578241689</v>
      </c>
      <c r="T196" s="16"/>
      <c r="U196" s="15">
        <v>1</v>
      </c>
      <c r="V196" s="15">
        <v>8</v>
      </c>
      <c r="W196" s="15">
        <v>107.1</v>
      </c>
      <c r="X196" s="15" t="s">
        <v>185</v>
      </c>
      <c r="Y196" s="15"/>
      <c r="Z196" s="37">
        <v>8</v>
      </c>
      <c r="AA196" s="37">
        <v>5</v>
      </c>
      <c r="AB196" s="15"/>
      <c r="AC196" s="38">
        <f t="shared" si="169"/>
        <v>2.2442622937974983</v>
      </c>
      <c r="AD196" s="38">
        <f t="shared" si="170"/>
        <v>0</v>
      </c>
      <c r="AE196" s="38">
        <f t="shared" si="171"/>
        <v>1.7272041153034599</v>
      </c>
      <c r="AF196" s="38">
        <f t="shared" si="172"/>
        <v>0</v>
      </c>
      <c r="AG196" s="38">
        <f t="shared" si="173"/>
        <v>2.2998971173384297E-2</v>
      </c>
      <c r="AH196" s="38">
        <f t="shared" si="174"/>
        <v>0</v>
      </c>
      <c r="AI196" s="38">
        <f t="shared" si="175"/>
        <v>0</v>
      </c>
      <c r="AJ196" s="38">
        <f t="shared" si="176"/>
        <v>0.77345797200655031</v>
      </c>
      <c r="AK196" s="38">
        <f t="shared" si="177"/>
        <v>0.24489614787810868</v>
      </c>
      <c r="AL196" s="38">
        <f t="shared" si="178"/>
        <v>3.5284446616498143E-3</v>
      </c>
      <c r="AM196" s="38">
        <f t="shared" si="179"/>
        <v>0</v>
      </c>
      <c r="AN196" s="38">
        <f t="shared" si="180"/>
        <v>0</v>
      </c>
      <c r="AO196" s="38">
        <f t="shared" si="181"/>
        <v>0</v>
      </c>
      <c r="AP196" s="38">
        <f t="shared" si="182"/>
        <v>5.0163479448206507</v>
      </c>
      <c r="AQ196" s="38">
        <f t="shared" si="183"/>
        <v>3.9714664091009579</v>
      </c>
      <c r="AR196" s="38">
        <f t="shared" si="184"/>
        <v>1.021882564546309</v>
      </c>
      <c r="AS196" s="40"/>
      <c r="AT196" s="38">
        <f t="shared" si="185"/>
        <v>2.2369483920216156</v>
      </c>
      <c r="AU196" s="38">
        <f t="shared" si="186"/>
        <v>0</v>
      </c>
      <c r="AV196" s="38">
        <f t="shared" si="187"/>
        <v>1.721575271793883</v>
      </c>
      <c r="AW196" s="38">
        <f t="shared" si="188"/>
        <v>0</v>
      </c>
      <c r="AX196" s="38">
        <f t="shared" si="189"/>
        <v>0</v>
      </c>
      <c r="AY196" s="38">
        <f t="shared" si="190"/>
        <v>2.2924019053672896E-2</v>
      </c>
      <c r="AZ196" s="38">
        <f t="shared" si="191"/>
        <v>0</v>
      </c>
      <c r="BA196" s="38">
        <f t="shared" si="192"/>
        <v>0</v>
      </c>
      <c r="BB196" s="38">
        <f t="shared" si="193"/>
        <v>0.7709373238404853</v>
      </c>
      <c r="BC196" s="38">
        <f t="shared" si="194"/>
        <v>0.24409804759552461</v>
      </c>
      <c r="BD196" s="38">
        <f t="shared" si="195"/>
        <v>3.5169456948185903E-3</v>
      </c>
      <c r="BE196" s="38">
        <f t="shared" si="196"/>
        <v>0</v>
      </c>
      <c r="BF196" s="38">
        <f t="shared" si="197"/>
        <v>0</v>
      </c>
      <c r="BG196" s="38">
        <f t="shared" si="198"/>
        <v>0</v>
      </c>
      <c r="BH196" s="41">
        <f t="shared" si="199"/>
        <v>5.0000000000000009</v>
      </c>
      <c r="BI196" s="42">
        <f t="shared" si="200"/>
        <v>7.9853905408002213</v>
      </c>
      <c r="BJ196" s="38">
        <f t="shared" si="201"/>
        <v>3.9585236638154986</v>
      </c>
      <c r="BK196" s="38">
        <f t="shared" si="202"/>
        <v>1.0185523171308284</v>
      </c>
      <c r="BL196" s="16"/>
      <c r="BM196" s="16">
        <f t="shared" si="203"/>
        <v>0.75689516470999463</v>
      </c>
      <c r="BN196" s="16">
        <f t="shared" si="204"/>
        <v>0.23965194864327352</v>
      </c>
      <c r="BO196" s="16">
        <f t="shared" si="205"/>
        <v>3.452886646731621E-3</v>
      </c>
      <c r="BP196" s="15"/>
      <c r="BQ196" s="38">
        <f t="shared" si="206"/>
        <v>0.8102529960053263</v>
      </c>
      <c r="BR196" s="38">
        <f t="shared" si="207"/>
        <v>0</v>
      </c>
      <c r="BS196" s="38">
        <f t="shared" si="208"/>
        <v>0.62357787367595141</v>
      </c>
      <c r="BT196" s="38">
        <f t="shared" si="209"/>
        <v>0</v>
      </c>
      <c r="BU196" s="38">
        <f t="shared" si="210"/>
        <v>8.3033900938301874E-3</v>
      </c>
      <c r="BV196" s="38">
        <f t="shared" si="211"/>
        <v>0</v>
      </c>
      <c r="BW196" s="38">
        <f t="shared" si="212"/>
        <v>0</v>
      </c>
      <c r="BX196" s="38">
        <f t="shared" si="213"/>
        <v>0.279243937232525</v>
      </c>
      <c r="BY196" s="38">
        <f t="shared" si="214"/>
        <v>8.8415617941271396E-2</v>
      </c>
      <c r="BZ196" s="38">
        <f t="shared" si="215"/>
        <v>1.2738853503184713E-3</v>
      </c>
      <c r="CA196" s="38">
        <f t="shared" si="216"/>
        <v>0</v>
      </c>
      <c r="CB196" s="38">
        <f t="shared" si="217"/>
        <v>0</v>
      </c>
      <c r="CC196" s="38">
        <f t="shared" si="218"/>
        <v>0</v>
      </c>
      <c r="CD196" s="38">
        <f t="shared" si="219"/>
        <v>1.8110677002992228</v>
      </c>
      <c r="CE196" s="38">
        <f t="shared" si="220"/>
        <v>2.8882648814967298</v>
      </c>
      <c r="CF196" s="38">
        <f t="shared" si="221"/>
        <v>2.7608023704325935</v>
      </c>
      <c r="CG196" s="38">
        <f t="shared" si="222"/>
        <v>7.9739285312733852</v>
      </c>
      <c r="CH196" s="15"/>
      <c r="CI196" s="16"/>
      <c r="CJ196" s="13"/>
      <c r="CK196" s="104"/>
      <c r="CL196" s="13"/>
      <c r="CM196" s="13"/>
      <c r="CN196" s="13"/>
      <c r="CO196" s="16"/>
      <c r="CP196" s="16"/>
      <c r="CQ196" s="16"/>
      <c r="CR196" s="16"/>
      <c r="CS196" s="16"/>
      <c r="CT196" s="16"/>
      <c r="CU196" s="16"/>
      <c r="CV196" s="16"/>
      <c r="CW196" s="16"/>
      <c r="CX196" s="16"/>
      <c r="CY196" s="104"/>
      <c r="CZ196" s="104"/>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3"/>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row>
    <row r="197" spans="1:167" x14ac:dyDescent="0.25">
      <c r="A197" s="35" t="s">
        <v>89</v>
      </c>
      <c r="B197" s="15">
        <v>660</v>
      </c>
      <c r="C197" s="102" t="s">
        <v>97</v>
      </c>
      <c r="D197" s="102" t="s">
        <v>106</v>
      </c>
      <c r="E197" s="15">
        <v>171</v>
      </c>
      <c r="F197" s="16">
        <v>49.59</v>
      </c>
      <c r="G197" s="16">
        <v>0</v>
      </c>
      <c r="H197" s="16">
        <v>30.99</v>
      </c>
      <c r="I197" s="16">
        <v>0</v>
      </c>
      <c r="J197" s="16">
        <v>0.64609016467200575</v>
      </c>
      <c r="K197" s="16">
        <v>0</v>
      </c>
      <c r="L197" s="16">
        <v>0</v>
      </c>
      <c r="M197" s="16">
        <v>14.95</v>
      </c>
      <c r="N197" s="16">
        <v>3.01</v>
      </c>
      <c r="O197" s="16">
        <v>6.5000000000000002E-2</v>
      </c>
      <c r="P197" s="16"/>
      <c r="Q197" s="16"/>
      <c r="R197" s="16"/>
      <c r="S197" s="16">
        <f t="shared" si="168"/>
        <v>99.251090164672007</v>
      </c>
      <c r="T197" s="16"/>
      <c r="U197" s="15">
        <v>1</v>
      </c>
      <c r="V197" s="15">
        <v>9</v>
      </c>
      <c r="W197" s="15">
        <v>122.39999999999999</v>
      </c>
      <c r="X197" s="15" t="s">
        <v>185</v>
      </c>
      <c r="Y197" s="15"/>
      <c r="Z197" s="37">
        <v>8</v>
      </c>
      <c r="AA197" s="37">
        <v>5</v>
      </c>
      <c r="AB197" s="15"/>
      <c r="AC197" s="38">
        <f t="shared" si="169"/>
        <v>2.2868552193439631</v>
      </c>
      <c r="AD197" s="38">
        <f t="shared" si="170"/>
        <v>0</v>
      </c>
      <c r="AE197" s="38">
        <f t="shared" si="171"/>
        <v>1.6842099592128037</v>
      </c>
      <c r="AF197" s="38">
        <f t="shared" si="172"/>
        <v>0</v>
      </c>
      <c r="AG197" s="38">
        <f t="shared" si="173"/>
        <v>2.4913849891458846E-2</v>
      </c>
      <c r="AH197" s="38">
        <f t="shared" si="174"/>
        <v>0</v>
      </c>
      <c r="AI197" s="38">
        <f t="shared" si="175"/>
        <v>0</v>
      </c>
      <c r="AJ197" s="38">
        <f t="shared" si="176"/>
        <v>0.73859722858461851</v>
      </c>
      <c r="AK197" s="38">
        <f t="shared" si="177"/>
        <v>0.26910353660932046</v>
      </c>
      <c r="AL197" s="38">
        <f t="shared" si="178"/>
        <v>3.8235514242615535E-3</v>
      </c>
      <c r="AM197" s="38">
        <f t="shared" si="179"/>
        <v>0</v>
      </c>
      <c r="AN197" s="38">
        <f t="shared" si="180"/>
        <v>0</v>
      </c>
      <c r="AO197" s="38">
        <f t="shared" si="181"/>
        <v>0</v>
      </c>
      <c r="AP197" s="38">
        <f t="shared" si="182"/>
        <v>5.0075033450664268</v>
      </c>
      <c r="AQ197" s="38">
        <f t="shared" si="183"/>
        <v>3.971065178556767</v>
      </c>
      <c r="AR197" s="38">
        <f t="shared" si="184"/>
        <v>1.0115243166182004</v>
      </c>
      <c r="AS197" s="40"/>
      <c r="AT197" s="38">
        <f t="shared" si="185"/>
        <v>2.2834285488766128</v>
      </c>
      <c r="AU197" s="38">
        <f t="shared" si="186"/>
        <v>0</v>
      </c>
      <c r="AV197" s="38">
        <f t="shared" si="187"/>
        <v>1.6816863046852961</v>
      </c>
      <c r="AW197" s="38">
        <f t="shared" si="188"/>
        <v>0</v>
      </c>
      <c r="AX197" s="38">
        <f t="shared" si="189"/>
        <v>9.0179238700166531E-4</v>
      </c>
      <c r="AY197" s="38">
        <f t="shared" si="190"/>
        <v>2.3974726084029285E-2</v>
      </c>
      <c r="AZ197" s="38">
        <f t="shared" si="191"/>
        <v>0</v>
      </c>
      <c r="BA197" s="38">
        <f t="shared" si="192"/>
        <v>0</v>
      </c>
      <c r="BB197" s="38">
        <f t="shared" si="193"/>
        <v>0.73749049944450984</v>
      </c>
      <c r="BC197" s="38">
        <f t="shared" si="194"/>
        <v>0.26870030638566722</v>
      </c>
      <c r="BD197" s="38">
        <f t="shared" si="195"/>
        <v>3.8178221368824991E-3</v>
      </c>
      <c r="BE197" s="38">
        <f t="shared" si="196"/>
        <v>0</v>
      </c>
      <c r="BF197" s="38">
        <f t="shared" si="197"/>
        <v>0</v>
      </c>
      <c r="BG197" s="38">
        <f t="shared" si="198"/>
        <v>0</v>
      </c>
      <c r="BH197" s="41">
        <f t="shared" si="199"/>
        <v>4.9999999999999991</v>
      </c>
      <c r="BI197" s="42">
        <f t="shared" si="200"/>
        <v>8</v>
      </c>
      <c r="BJ197" s="38">
        <f t="shared" si="201"/>
        <v>3.965114853561909</v>
      </c>
      <c r="BK197" s="38">
        <f t="shared" si="202"/>
        <v>1.0100086279670595</v>
      </c>
      <c r="BL197" s="16"/>
      <c r="BM197" s="16">
        <f t="shared" si="203"/>
        <v>0.73018237569804445</v>
      </c>
      <c r="BN197" s="16">
        <f t="shared" si="204"/>
        <v>0.26603763467496899</v>
      </c>
      <c r="BO197" s="16">
        <f t="shared" si="205"/>
        <v>3.7799896269866463E-3</v>
      </c>
      <c r="BP197" s="15"/>
      <c r="BQ197" s="38">
        <f t="shared" si="206"/>
        <v>0.82539946737683101</v>
      </c>
      <c r="BR197" s="38">
        <f t="shared" si="207"/>
        <v>0</v>
      </c>
      <c r="BS197" s="38">
        <f t="shared" si="208"/>
        <v>0.60788544527265598</v>
      </c>
      <c r="BT197" s="38">
        <f t="shared" si="209"/>
        <v>0</v>
      </c>
      <c r="BU197" s="38">
        <f t="shared" si="210"/>
        <v>8.9922082765762808E-3</v>
      </c>
      <c r="BV197" s="38">
        <f t="shared" si="211"/>
        <v>0</v>
      </c>
      <c r="BW197" s="38">
        <f t="shared" si="212"/>
        <v>0</v>
      </c>
      <c r="BX197" s="38">
        <f t="shared" si="213"/>
        <v>0.26658345221112695</v>
      </c>
      <c r="BY197" s="38">
        <f t="shared" si="214"/>
        <v>9.712810584059374E-2</v>
      </c>
      <c r="BZ197" s="38">
        <f t="shared" si="215"/>
        <v>1.3800424628450105E-3</v>
      </c>
      <c r="CA197" s="38">
        <f t="shared" si="216"/>
        <v>0</v>
      </c>
      <c r="CB197" s="38">
        <f t="shared" si="217"/>
        <v>0</v>
      </c>
      <c r="CC197" s="38">
        <f t="shared" si="218"/>
        <v>0</v>
      </c>
      <c r="CD197" s="38">
        <f t="shared" si="219"/>
        <v>1.8073687214406291</v>
      </c>
      <c r="CE197" s="38">
        <f t="shared" si="220"/>
        <v>2.8874568373020684</v>
      </c>
      <c r="CF197" s="38">
        <f t="shared" si="221"/>
        <v>2.7664526561102418</v>
      </c>
      <c r="CG197" s="38">
        <f t="shared" si="222"/>
        <v>7.9880126369579854</v>
      </c>
      <c r="CH197" s="15"/>
      <c r="CI197" s="16"/>
      <c r="CJ197" s="13"/>
      <c r="CK197" s="104"/>
      <c r="CL197" s="13"/>
      <c r="CM197" s="13"/>
      <c r="CN197" s="13"/>
      <c r="CO197" s="16"/>
      <c r="CP197" s="16"/>
      <c r="CQ197" s="16"/>
      <c r="CR197" s="16"/>
      <c r="CS197" s="16"/>
      <c r="CT197" s="16"/>
      <c r="CU197" s="16"/>
      <c r="CV197" s="16"/>
      <c r="CW197" s="16"/>
      <c r="CX197" s="16"/>
      <c r="CY197" s="104"/>
      <c r="CZ197" s="104"/>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3"/>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row>
    <row r="198" spans="1:167" x14ac:dyDescent="0.25">
      <c r="A198" s="35" t="s">
        <v>89</v>
      </c>
      <c r="B198" s="15">
        <v>661</v>
      </c>
      <c r="C198" s="102" t="s">
        <v>97</v>
      </c>
      <c r="D198" s="102" t="s">
        <v>106</v>
      </c>
      <c r="E198" s="15">
        <v>172</v>
      </c>
      <c r="F198" s="16">
        <v>48.94</v>
      </c>
      <c r="G198" s="16">
        <v>0</v>
      </c>
      <c r="H198" s="16">
        <v>31.49</v>
      </c>
      <c r="I198" s="16">
        <v>0</v>
      </c>
      <c r="J198" s="16">
        <v>0.53540898047331953</v>
      </c>
      <c r="K198" s="16">
        <v>0</v>
      </c>
      <c r="L198" s="16">
        <v>0</v>
      </c>
      <c r="M198" s="16">
        <v>15.41</v>
      </c>
      <c r="N198" s="16">
        <v>2.85</v>
      </c>
      <c r="O198" s="16">
        <v>0.1</v>
      </c>
      <c r="P198" s="16"/>
      <c r="Q198" s="16"/>
      <c r="R198" s="16"/>
      <c r="S198" s="16">
        <f t="shared" si="168"/>
        <v>99.325408980473298</v>
      </c>
      <c r="T198" s="16"/>
      <c r="U198" s="15">
        <v>1</v>
      </c>
      <c r="V198" s="15">
        <v>10</v>
      </c>
      <c r="W198" s="15">
        <v>137.69999999999999</v>
      </c>
      <c r="X198" s="15" t="s">
        <v>185</v>
      </c>
      <c r="Y198" s="15"/>
      <c r="Z198" s="37">
        <v>8</v>
      </c>
      <c r="AA198" s="37">
        <v>5</v>
      </c>
      <c r="AB198" s="15"/>
      <c r="AC198" s="38">
        <f t="shared" si="169"/>
        <v>2.2588156602959861</v>
      </c>
      <c r="AD198" s="38">
        <f t="shared" si="170"/>
        <v>0</v>
      </c>
      <c r="AE198" s="38">
        <f t="shared" si="171"/>
        <v>1.7128509721813125</v>
      </c>
      <c r="AF198" s="38">
        <f t="shared" si="172"/>
        <v>0</v>
      </c>
      <c r="AG198" s="38">
        <f t="shared" si="173"/>
        <v>2.0663582948218313E-2</v>
      </c>
      <c r="AH198" s="38">
        <f t="shared" si="174"/>
        <v>0</v>
      </c>
      <c r="AI198" s="38">
        <f t="shared" si="175"/>
        <v>0</v>
      </c>
      <c r="AJ198" s="38">
        <f t="shared" si="176"/>
        <v>0.76197615826990173</v>
      </c>
      <c r="AK198" s="38">
        <f t="shared" si="177"/>
        <v>0.25501752867876171</v>
      </c>
      <c r="AL198" s="38">
        <f t="shared" si="178"/>
        <v>5.8874311571161207E-3</v>
      </c>
      <c r="AM198" s="38">
        <f t="shared" si="179"/>
        <v>0</v>
      </c>
      <c r="AN198" s="38">
        <f t="shared" si="180"/>
        <v>0</v>
      </c>
      <c r="AO198" s="38">
        <f t="shared" si="181"/>
        <v>0</v>
      </c>
      <c r="AP198" s="38">
        <f t="shared" si="182"/>
        <v>5.0152113335312967</v>
      </c>
      <c r="AQ198" s="38">
        <f t="shared" si="183"/>
        <v>3.9716666324772989</v>
      </c>
      <c r="AR198" s="38">
        <f t="shared" si="184"/>
        <v>1.0228811181057798</v>
      </c>
      <c r="AS198" s="40"/>
      <c r="AT198" s="38">
        <f t="shared" si="185"/>
        <v>2.2519645834201718</v>
      </c>
      <c r="AU198" s="38">
        <f t="shared" si="186"/>
        <v>0</v>
      </c>
      <c r="AV198" s="38">
        <f t="shared" si="187"/>
        <v>1.707655827710918</v>
      </c>
      <c r="AW198" s="38">
        <f t="shared" si="188"/>
        <v>0</v>
      </c>
      <c r="AX198" s="38">
        <f t="shared" si="189"/>
        <v>0</v>
      </c>
      <c r="AY198" s="38">
        <f t="shared" si="190"/>
        <v>2.0600909487166842E-2</v>
      </c>
      <c r="AZ198" s="38">
        <f t="shared" si="191"/>
        <v>0</v>
      </c>
      <c r="BA198" s="38">
        <f t="shared" si="192"/>
        <v>0</v>
      </c>
      <c r="BB198" s="38">
        <f t="shared" si="193"/>
        <v>0.75966505456648548</v>
      </c>
      <c r="BC198" s="38">
        <f t="shared" si="194"/>
        <v>0.25424405046875609</v>
      </c>
      <c r="BD198" s="38">
        <f t="shared" si="195"/>
        <v>5.8695743465018444E-3</v>
      </c>
      <c r="BE198" s="38">
        <f t="shared" si="196"/>
        <v>0</v>
      </c>
      <c r="BF198" s="38">
        <f t="shared" si="197"/>
        <v>0</v>
      </c>
      <c r="BG198" s="38">
        <f t="shared" si="198"/>
        <v>0</v>
      </c>
      <c r="BH198" s="41">
        <f t="shared" si="199"/>
        <v>5</v>
      </c>
      <c r="BI198" s="42">
        <f t="shared" si="200"/>
        <v>7.9860361396115858</v>
      </c>
      <c r="BJ198" s="38">
        <f t="shared" si="201"/>
        <v>3.9596204111310898</v>
      </c>
      <c r="BK198" s="38">
        <f t="shared" si="202"/>
        <v>1.0197786793817434</v>
      </c>
      <c r="BL198" s="16"/>
      <c r="BM198" s="16">
        <f t="shared" si="203"/>
        <v>0.74493129727623253</v>
      </c>
      <c r="BN198" s="16">
        <f t="shared" si="204"/>
        <v>0.24931296918552509</v>
      </c>
      <c r="BO198" s="16">
        <f t="shared" si="205"/>
        <v>5.7557335382422033E-3</v>
      </c>
      <c r="BP198" s="15"/>
      <c r="BQ198" s="38">
        <f t="shared" si="206"/>
        <v>0.8145805592543276</v>
      </c>
      <c r="BR198" s="38">
        <f t="shared" si="207"/>
        <v>0</v>
      </c>
      <c r="BS198" s="38">
        <f t="shared" si="208"/>
        <v>0.61769321302471558</v>
      </c>
      <c r="BT198" s="38">
        <f t="shared" si="209"/>
        <v>0</v>
      </c>
      <c r="BU198" s="38">
        <f t="shared" si="210"/>
        <v>7.4517603406168351E-3</v>
      </c>
      <c r="BV198" s="38">
        <f t="shared" si="211"/>
        <v>0</v>
      </c>
      <c r="BW198" s="38">
        <f t="shared" si="212"/>
        <v>0</v>
      </c>
      <c r="BX198" s="38">
        <f t="shared" si="213"/>
        <v>0.27478601997146934</v>
      </c>
      <c r="BY198" s="38">
        <f t="shared" si="214"/>
        <v>9.1965150048402722E-2</v>
      </c>
      <c r="BZ198" s="38">
        <f t="shared" si="215"/>
        <v>2.1231422505307855E-3</v>
      </c>
      <c r="CA198" s="38">
        <f t="shared" si="216"/>
        <v>0</v>
      </c>
      <c r="CB198" s="38">
        <f t="shared" si="217"/>
        <v>0</v>
      </c>
      <c r="CC198" s="38">
        <f t="shared" si="218"/>
        <v>0</v>
      </c>
      <c r="CD198" s="38">
        <f t="shared" si="219"/>
        <v>1.8085998448900629</v>
      </c>
      <c r="CE198" s="38">
        <f t="shared" si="220"/>
        <v>2.8849828645072813</v>
      </c>
      <c r="CF198" s="38">
        <f t="shared" si="221"/>
        <v>2.7645695172023688</v>
      </c>
      <c r="CG198" s="38">
        <f t="shared" si="222"/>
        <v>7.9757356848680017</v>
      </c>
      <c r="CH198" s="15"/>
      <c r="CI198" s="16"/>
      <c r="CJ198" s="13"/>
      <c r="CK198" s="104"/>
      <c r="CL198" s="13"/>
      <c r="CM198" s="13"/>
      <c r="CN198" s="13"/>
      <c r="CO198" s="16"/>
      <c r="CP198" s="16"/>
      <c r="CQ198" s="16"/>
      <c r="CR198" s="16"/>
      <c r="CS198" s="16"/>
      <c r="CT198" s="16"/>
      <c r="CU198" s="16"/>
      <c r="CV198" s="16"/>
      <c r="CW198" s="16"/>
      <c r="CX198" s="16"/>
      <c r="CY198" s="104"/>
      <c r="CZ198" s="104"/>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3"/>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row>
    <row r="199" spans="1:167" x14ac:dyDescent="0.25">
      <c r="A199" s="35" t="s">
        <v>89</v>
      </c>
      <c r="B199" s="15">
        <v>662</v>
      </c>
      <c r="C199" s="102" t="s">
        <v>97</v>
      </c>
      <c r="D199" s="102" t="s">
        <v>106</v>
      </c>
      <c r="E199" s="15">
        <v>173</v>
      </c>
      <c r="F199" s="16">
        <v>49.04</v>
      </c>
      <c r="G199" s="16">
        <v>0</v>
      </c>
      <c r="H199" s="16">
        <v>31.7</v>
      </c>
      <c r="I199" s="16">
        <v>0</v>
      </c>
      <c r="J199" s="16">
        <v>0.6100962836317827</v>
      </c>
      <c r="K199" s="16">
        <v>0</v>
      </c>
      <c r="L199" s="16">
        <v>0</v>
      </c>
      <c r="M199" s="16">
        <v>15.5</v>
      </c>
      <c r="N199" s="16">
        <v>2.94</v>
      </c>
      <c r="O199" s="16">
        <v>4.2999999999999997E-2</v>
      </c>
      <c r="P199" s="16"/>
      <c r="Q199" s="16"/>
      <c r="R199" s="16"/>
      <c r="S199" s="16">
        <f t="shared" si="168"/>
        <v>99.833096283631775</v>
      </c>
      <c r="T199" s="16"/>
      <c r="U199" s="15">
        <v>1</v>
      </c>
      <c r="V199" s="15">
        <v>11</v>
      </c>
      <c r="W199" s="15">
        <v>153</v>
      </c>
      <c r="X199" s="15" t="s">
        <v>258</v>
      </c>
      <c r="Y199" s="15"/>
      <c r="Z199" s="37">
        <v>8</v>
      </c>
      <c r="AA199" s="37">
        <v>5</v>
      </c>
      <c r="AB199" s="15"/>
      <c r="AC199" s="38">
        <f t="shared" si="169"/>
        <v>2.2532783510328867</v>
      </c>
      <c r="AD199" s="38">
        <f t="shared" si="170"/>
        <v>0</v>
      </c>
      <c r="AE199" s="38">
        <f t="shared" si="171"/>
        <v>1.7165392473757297</v>
      </c>
      <c r="AF199" s="38">
        <f t="shared" si="172"/>
        <v>0</v>
      </c>
      <c r="AG199" s="38">
        <f t="shared" si="173"/>
        <v>2.3440448317372943E-2</v>
      </c>
      <c r="AH199" s="38">
        <f t="shared" si="174"/>
        <v>0</v>
      </c>
      <c r="AI199" s="38">
        <f t="shared" si="175"/>
        <v>0</v>
      </c>
      <c r="AJ199" s="38">
        <f t="shared" si="176"/>
        <v>0.76298851341471852</v>
      </c>
      <c r="AK199" s="38">
        <f t="shared" si="177"/>
        <v>0.26189069053899672</v>
      </c>
      <c r="AL199" s="38">
        <f t="shared" si="178"/>
        <v>2.5202397380847731E-3</v>
      </c>
      <c r="AM199" s="38">
        <f t="shared" si="179"/>
        <v>0</v>
      </c>
      <c r="AN199" s="38">
        <f t="shared" si="180"/>
        <v>0</v>
      </c>
      <c r="AO199" s="38">
        <f t="shared" si="181"/>
        <v>0</v>
      </c>
      <c r="AP199" s="38">
        <f t="shared" si="182"/>
        <v>5.0206574904177899</v>
      </c>
      <c r="AQ199" s="38">
        <f t="shared" si="183"/>
        <v>3.9698175984086164</v>
      </c>
      <c r="AR199" s="38">
        <f t="shared" si="184"/>
        <v>1.0273994436917999</v>
      </c>
      <c r="AS199" s="40"/>
      <c r="AT199" s="38">
        <f t="shared" si="185"/>
        <v>2.2440072394237176</v>
      </c>
      <c r="AU199" s="38">
        <f t="shared" si="186"/>
        <v>0</v>
      </c>
      <c r="AV199" s="38">
        <f t="shared" si="187"/>
        <v>1.709476548292572</v>
      </c>
      <c r="AW199" s="38">
        <f t="shared" si="188"/>
        <v>0</v>
      </c>
      <c r="AX199" s="38">
        <f t="shared" si="189"/>
        <v>0</v>
      </c>
      <c r="AY199" s="38">
        <f t="shared" si="190"/>
        <v>2.334400261530524E-2</v>
      </c>
      <c r="AZ199" s="38">
        <f t="shared" si="191"/>
        <v>0</v>
      </c>
      <c r="BA199" s="38">
        <f t="shared" si="192"/>
        <v>0</v>
      </c>
      <c r="BB199" s="38">
        <f t="shared" si="193"/>
        <v>0.75984919790976146</v>
      </c>
      <c r="BC199" s="38">
        <f t="shared" si="194"/>
        <v>0.26081314154453877</v>
      </c>
      <c r="BD199" s="38">
        <f t="shared" si="195"/>
        <v>2.5098702141052188E-3</v>
      </c>
      <c r="BE199" s="38">
        <f t="shared" si="196"/>
        <v>0</v>
      </c>
      <c r="BF199" s="38">
        <f t="shared" si="197"/>
        <v>0</v>
      </c>
      <c r="BG199" s="38">
        <f t="shared" si="198"/>
        <v>0</v>
      </c>
      <c r="BH199" s="41">
        <f t="shared" si="199"/>
        <v>5</v>
      </c>
      <c r="BI199" s="42">
        <f t="shared" si="200"/>
        <v>7.9787560089983343</v>
      </c>
      <c r="BJ199" s="38">
        <f t="shared" si="201"/>
        <v>3.9534837877162898</v>
      </c>
      <c r="BK199" s="38">
        <f t="shared" si="202"/>
        <v>1.0231722096684055</v>
      </c>
      <c r="BL199" s="16"/>
      <c r="BM199" s="16">
        <f t="shared" si="203"/>
        <v>0.74264057480218026</v>
      </c>
      <c r="BN199" s="16">
        <f t="shared" si="204"/>
        <v>0.25490639706590973</v>
      </c>
      <c r="BO199" s="16">
        <f t="shared" si="205"/>
        <v>2.4530281319101012E-3</v>
      </c>
      <c r="BP199" s="15"/>
      <c r="BQ199" s="38">
        <f t="shared" si="206"/>
        <v>0.81624500665778965</v>
      </c>
      <c r="BR199" s="38">
        <f t="shared" si="207"/>
        <v>0</v>
      </c>
      <c r="BS199" s="38">
        <f t="shared" si="208"/>
        <v>0.62181247548058061</v>
      </c>
      <c r="BT199" s="38">
        <f t="shared" si="209"/>
        <v>0</v>
      </c>
      <c r="BU199" s="38">
        <f t="shared" si="210"/>
        <v>8.4912495982154869E-3</v>
      </c>
      <c r="BV199" s="38">
        <f t="shared" si="211"/>
        <v>0</v>
      </c>
      <c r="BW199" s="38">
        <f t="shared" si="212"/>
        <v>0</v>
      </c>
      <c r="BX199" s="38">
        <f t="shared" si="213"/>
        <v>0.27639087018544939</v>
      </c>
      <c r="BY199" s="38">
        <f t="shared" si="214"/>
        <v>9.4869312681510165E-2</v>
      </c>
      <c r="BZ199" s="38">
        <f t="shared" si="215"/>
        <v>9.1295116772823772E-4</v>
      </c>
      <c r="CA199" s="38">
        <f t="shared" si="216"/>
        <v>0</v>
      </c>
      <c r="CB199" s="38">
        <f t="shared" si="217"/>
        <v>0</v>
      </c>
      <c r="CC199" s="38">
        <f t="shared" si="218"/>
        <v>0</v>
      </c>
      <c r="CD199" s="38">
        <f t="shared" si="219"/>
        <v>1.8187218657712734</v>
      </c>
      <c r="CE199" s="38">
        <f t="shared" si="220"/>
        <v>2.8979819782447342</v>
      </c>
      <c r="CF199" s="38">
        <f t="shared" si="221"/>
        <v>2.7491834205664141</v>
      </c>
      <c r="CG199" s="38">
        <f t="shared" si="222"/>
        <v>7.9670840076906817</v>
      </c>
      <c r="CH199" s="15"/>
      <c r="CI199" s="16"/>
      <c r="CJ199" s="13"/>
      <c r="CK199" s="104"/>
      <c r="CL199" s="13"/>
      <c r="CM199" s="13"/>
      <c r="CN199" s="13"/>
      <c r="CO199" s="16"/>
      <c r="CP199" s="16"/>
      <c r="CQ199" s="16"/>
      <c r="CR199" s="16"/>
      <c r="CS199" s="16"/>
      <c r="CT199" s="16"/>
      <c r="CU199" s="16"/>
      <c r="CV199" s="16"/>
      <c r="CW199" s="16"/>
      <c r="CX199" s="16"/>
      <c r="CY199" s="104"/>
      <c r="CZ199" s="104"/>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3"/>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row>
    <row r="200" spans="1:167" x14ac:dyDescent="0.25">
      <c r="A200" s="35" t="s">
        <v>89</v>
      </c>
      <c r="B200" s="15">
        <v>663</v>
      </c>
      <c r="C200" s="102" t="s">
        <v>97</v>
      </c>
      <c r="D200" s="102" t="s">
        <v>106</v>
      </c>
      <c r="E200" s="15">
        <v>174</v>
      </c>
      <c r="F200" s="16">
        <v>50.95</v>
      </c>
      <c r="G200" s="16">
        <v>0</v>
      </c>
      <c r="H200" s="16">
        <v>30.34</v>
      </c>
      <c r="I200" s="16">
        <v>0</v>
      </c>
      <c r="J200" s="16">
        <v>0.59479888418968785</v>
      </c>
      <c r="K200" s="16">
        <v>0</v>
      </c>
      <c r="L200" s="16">
        <v>0</v>
      </c>
      <c r="M200" s="16">
        <v>13.99</v>
      </c>
      <c r="N200" s="16">
        <v>3.79</v>
      </c>
      <c r="O200" s="16">
        <v>0.109</v>
      </c>
      <c r="P200" s="16"/>
      <c r="Q200" s="16"/>
      <c r="R200" s="16"/>
      <c r="S200" s="16">
        <f t="shared" si="168"/>
        <v>99.773798884189688</v>
      </c>
      <c r="T200" s="16"/>
      <c r="U200" s="15">
        <v>1</v>
      </c>
      <c r="V200" s="15">
        <v>12</v>
      </c>
      <c r="W200" s="15">
        <v>168.3</v>
      </c>
      <c r="X200" s="15" t="s">
        <v>258</v>
      </c>
      <c r="Y200" s="15"/>
      <c r="Z200" s="37">
        <v>8</v>
      </c>
      <c r="AA200" s="37">
        <v>5</v>
      </c>
      <c r="AB200" s="15"/>
      <c r="AC200" s="38">
        <f t="shared" si="169"/>
        <v>2.3323127077830357</v>
      </c>
      <c r="AD200" s="38">
        <f t="shared" si="170"/>
        <v>0</v>
      </c>
      <c r="AE200" s="38">
        <f t="shared" si="171"/>
        <v>1.6367722733164305</v>
      </c>
      <c r="AF200" s="38">
        <f t="shared" si="172"/>
        <v>0</v>
      </c>
      <c r="AG200" s="38">
        <f t="shared" si="173"/>
        <v>2.2767528395404617E-2</v>
      </c>
      <c r="AH200" s="38">
        <f t="shared" si="174"/>
        <v>0</v>
      </c>
      <c r="AI200" s="38">
        <f t="shared" si="175"/>
        <v>0</v>
      </c>
      <c r="AJ200" s="38">
        <f t="shared" si="176"/>
        <v>0.68609179207596016</v>
      </c>
      <c r="AK200" s="38">
        <f t="shared" si="177"/>
        <v>0.3363490055279868</v>
      </c>
      <c r="AL200" s="38">
        <f t="shared" si="178"/>
        <v>6.3647024478488022E-3</v>
      </c>
      <c r="AM200" s="38">
        <f t="shared" si="179"/>
        <v>0</v>
      </c>
      <c r="AN200" s="38">
        <f t="shared" si="180"/>
        <v>0</v>
      </c>
      <c r="AO200" s="38">
        <f t="shared" si="181"/>
        <v>0</v>
      </c>
      <c r="AP200" s="38">
        <f t="shared" si="182"/>
        <v>5.0206580095466666</v>
      </c>
      <c r="AQ200" s="38">
        <f t="shared" si="183"/>
        <v>3.9690849810994662</v>
      </c>
      <c r="AR200" s="38">
        <f t="shared" si="184"/>
        <v>1.0288055000517957</v>
      </c>
      <c r="AS200" s="40"/>
      <c r="AT200" s="38">
        <f t="shared" si="185"/>
        <v>2.3227161692234333</v>
      </c>
      <c r="AU200" s="38">
        <f t="shared" si="186"/>
        <v>0</v>
      </c>
      <c r="AV200" s="38">
        <f t="shared" si="187"/>
        <v>1.6300376068277758</v>
      </c>
      <c r="AW200" s="38">
        <f t="shared" si="188"/>
        <v>0</v>
      </c>
      <c r="AX200" s="38">
        <f t="shared" si="189"/>
        <v>0</v>
      </c>
      <c r="AY200" s="38">
        <f t="shared" si="190"/>
        <v>2.2673849077265055E-2</v>
      </c>
      <c r="AZ200" s="38">
        <f t="shared" si="191"/>
        <v>0</v>
      </c>
      <c r="BA200" s="38">
        <f t="shared" si="192"/>
        <v>0</v>
      </c>
      <c r="BB200" s="38">
        <f t="shared" si="193"/>
        <v>0.68326879740800139</v>
      </c>
      <c r="BC200" s="38">
        <f t="shared" si="194"/>
        <v>0.33496506323317266</v>
      </c>
      <c r="BD200" s="38">
        <f t="shared" si="195"/>
        <v>6.3385142303523422E-3</v>
      </c>
      <c r="BE200" s="38">
        <f t="shared" si="196"/>
        <v>0</v>
      </c>
      <c r="BF200" s="38">
        <f t="shared" si="197"/>
        <v>0</v>
      </c>
      <c r="BG200" s="38">
        <f t="shared" si="198"/>
        <v>0</v>
      </c>
      <c r="BH200" s="41">
        <f t="shared" si="199"/>
        <v>5.0000000000000009</v>
      </c>
      <c r="BI200" s="42">
        <f t="shared" si="200"/>
        <v>7.9784201084441912</v>
      </c>
      <c r="BJ200" s="38">
        <f t="shared" si="201"/>
        <v>3.952753776051209</v>
      </c>
      <c r="BK200" s="38">
        <f t="shared" si="202"/>
        <v>1.0245723748715263</v>
      </c>
      <c r="BL200" s="16"/>
      <c r="BM200" s="16">
        <f t="shared" si="203"/>
        <v>0.6668819247578075</v>
      </c>
      <c r="BN200" s="16">
        <f t="shared" si="204"/>
        <v>0.32693157794262678</v>
      </c>
      <c r="BO200" s="16">
        <f t="shared" si="205"/>
        <v>6.1864972995657273E-3</v>
      </c>
      <c r="BP200" s="15"/>
      <c r="BQ200" s="38">
        <f t="shared" si="206"/>
        <v>0.8480359520639148</v>
      </c>
      <c r="BR200" s="38">
        <f t="shared" si="207"/>
        <v>0</v>
      </c>
      <c r="BS200" s="38">
        <f t="shared" si="208"/>
        <v>0.5951353471949784</v>
      </c>
      <c r="BT200" s="38">
        <f t="shared" si="209"/>
        <v>0</v>
      </c>
      <c r="BU200" s="38">
        <f t="shared" si="210"/>
        <v>8.2783421599121488E-3</v>
      </c>
      <c r="BV200" s="38">
        <f t="shared" si="211"/>
        <v>0</v>
      </c>
      <c r="BW200" s="38">
        <f t="shared" si="212"/>
        <v>0</v>
      </c>
      <c r="BX200" s="38">
        <f t="shared" si="213"/>
        <v>0.24946504992867333</v>
      </c>
      <c r="BY200" s="38">
        <f t="shared" si="214"/>
        <v>0.12229751532752502</v>
      </c>
      <c r="BZ200" s="38">
        <f t="shared" si="215"/>
        <v>2.3142250530785564E-3</v>
      </c>
      <c r="CA200" s="38">
        <f t="shared" si="216"/>
        <v>0</v>
      </c>
      <c r="CB200" s="38">
        <f t="shared" si="217"/>
        <v>0</v>
      </c>
      <c r="CC200" s="38">
        <f t="shared" si="218"/>
        <v>0</v>
      </c>
      <c r="CD200" s="38">
        <f t="shared" si="219"/>
        <v>1.8255264317280822</v>
      </c>
      <c r="CE200" s="38">
        <f t="shared" si="220"/>
        <v>2.9088241871991847</v>
      </c>
      <c r="CF200" s="38">
        <f t="shared" si="221"/>
        <v>2.7389359655926175</v>
      </c>
      <c r="CG200" s="38">
        <f t="shared" si="222"/>
        <v>7.9670831839055598</v>
      </c>
      <c r="CH200" s="15"/>
      <c r="CI200" s="16"/>
      <c r="CJ200" s="13"/>
      <c r="CK200" s="104"/>
      <c r="CL200" s="13"/>
      <c r="CM200" s="13"/>
      <c r="CN200" s="13"/>
      <c r="CO200" s="16"/>
      <c r="CP200" s="16"/>
      <c r="CQ200" s="16"/>
      <c r="CR200" s="16"/>
      <c r="CS200" s="16"/>
      <c r="CT200" s="16"/>
      <c r="CU200" s="16"/>
      <c r="CV200" s="16"/>
      <c r="CW200" s="16"/>
      <c r="CX200" s="16"/>
      <c r="CY200" s="104"/>
      <c r="CZ200" s="104"/>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3"/>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row>
    <row r="201" spans="1:167" x14ac:dyDescent="0.25">
      <c r="A201" s="35" t="s">
        <v>89</v>
      </c>
      <c r="B201" s="15">
        <v>664</v>
      </c>
      <c r="C201" s="102" t="s">
        <v>97</v>
      </c>
      <c r="D201" s="102" t="s">
        <v>106</v>
      </c>
      <c r="E201" s="15">
        <v>175</v>
      </c>
      <c r="F201" s="16">
        <v>54.46</v>
      </c>
      <c r="G201" s="16">
        <v>0</v>
      </c>
      <c r="H201" s="16">
        <v>27.94</v>
      </c>
      <c r="I201" s="16">
        <v>0</v>
      </c>
      <c r="J201" s="16">
        <v>0.35274003419418704</v>
      </c>
      <c r="K201" s="16">
        <v>0</v>
      </c>
      <c r="L201" s="16">
        <v>0</v>
      </c>
      <c r="M201" s="16">
        <v>10.82</v>
      </c>
      <c r="N201" s="16">
        <v>5.61</v>
      </c>
      <c r="O201" s="16">
        <v>0.20499999999999999</v>
      </c>
      <c r="P201" s="16"/>
      <c r="Q201" s="16"/>
      <c r="R201" s="16"/>
      <c r="S201" s="16">
        <f t="shared" si="168"/>
        <v>99.387740034194195</v>
      </c>
      <c r="T201" s="16"/>
      <c r="U201" s="15">
        <v>1</v>
      </c>
      <c r="V201" s="15">
        <v>13</v>
      </c>
      <c r="W201" s="15">
        <v>183.60000000000002</v>
      </c>
      <c r="X201" s="15" t="s">
        <v>258</v>
      </c>
      <c r="Y201" s="15"/>
      <c r="Z201" s="37">
        <v>8</v>
      </c>
      <c r="AA201" s="37">
        <v>5</v>
      </c>
      <c r="AB201" s="15"/>
      <c r="AC201" s="38">
        <f t="shared" si="169"/>
        <v>2.4787434415110363</v>
      </c>
      <c r="AD201" s="38">
        <f t="shared" si="170"/>
        <v>0</v>
      </c>
      <c r="AE201" s="38">
        <f t="shared" si="171"/>
        <v>1.4986852594363715</v>
      </c>
      <c r="AF201" s="38">
        <f t="shared" si="172"/>
        <v>0</v>
      </c>
      <c r="AG201" s="38">
        <f t="shared" si="173"/>
        <v>1.3424924294410678E-2</v>
      </c>
      <c r="AH201" s="38">
        <f t="shared" si="174"/>
        <v>0</v>
      </c>
      <c r="AI201" s="38">
        <f t="shared" si="175"/>
        <v>0</v>
      </c>
      <c r="AJ201" s="38">
        <f t="shared" si="176"/>
        <v>0.52759797613239179</v>
      </c>
      <c r="AK201" s="38">
        <f t="shared" si="177"/>
        <v>0.49502274048643807</v>
      </c>
      <c r="AL201" s="38">
        <f t="shared" si="178"/>
        <v>1.1901914306698744E-2</v>
      </c>
      <c r="AM201" s="38">
        <f t="shared" si="179"/>
        <v>0</v>
      </c>
      <c r="AN201" s="38">
        <f t="shared" si="180"/>
        <v>0</v>
      </c>
      <c r="AO201" s="38">
        <f t="shared" si="181"/>
        <v>0</v>
      </c>
      <c r="AP201" s="38">
        <f t="shared" si="182"/>
        <v>5.0253762561673474</v>
      </c>
      <c r="AQ201" s="38">
        <f t="shared" si="183"/>
        <v>3.9774287009474079</v>
      </c>
      <c r="AR201" s="38">
        <f t="shared" si="184"/>
        <v>1.0345226309255287</v>
      </c>
      <c r="AS201" s="40"/>
      <c r="AT201" s="38">
        <f t="shared" si="185"/>
        <v>2.4662267213017346</v>
      </c>
      <c r="AU201" s="38">
        <f t="shared" si="186"/>
        <v>0</v>
      </c>
      <c r="AV201" s="38">
        <f t="shared" si="187"/>
        <v>1.4911174636895337</v>
      </c>
      <c r="AW201" s="38">
        <f t="shared" si="188"/>
        <v>0</v>
      </c>
      <c r="AX201" s="38">
        <f t="shared" si="189"/>
        <v>0</v>
      </c>
      <c r="AY201" s="38">
        <f t="shared" si="190"/>
        <v>1.3357133486209182E-2</v>
      </c>
      <c r="AZ201" s="38">
        <f t="shared" si="191"/>
        <v>0</v>
      </c>
      <c r="BA201" s="38">
        <f t="shared" si="192"/>
        <v>0</v>
      </c>
      <c r="BB201" s="38">
        <f t="shared" si="193"/>
        <v>0.5249338051901109</v>
      </c>
      <c r="BC201" s="38">
        <f t="shared" si="194"/>
        <v>0.49252306220745762</v>
      </c>
      <c r="BD201" s="38">
        <f t="shared" si="195"/>
        <v>1.1841814124954556E-2</v>
      </c>
      <c r="BE201" s="38">
        <f t="shared" si="196"/>
        <v>0</v>
      </c>
      <c r="BF201" s="38">
        <f t="shared" si="197"/>
        <v>0</v>
      </c>
      <c r="BG201" s="38">
        <f t="shared" si="198"/>
        <v>0</v>
      </c>
      <c r="BH201" s="41">
        <f t="shared" si="199"/>
        <v>5</v>
      </c>
      <c r="BI201" s="42">
        <f t="shared" si="200"/>
        <v>7.9662815817234005</v>
      </c>
      <c r="BJ201" s="38">
        <f t="shared" si="201"/>
        <v>3.9573441849912685</v>
      </c>
      <c r="BK201" s="38">
        <f t="shared" si="202"/>
        <v>1.0292986815225231</v>
      </c>
      <c r="BL201" s="16"/>
      <c r="BM201" s="16">
        <f t="shared" si="203"/>
        <v>0.50999172020082328</v>
      </c>
      <c r="BN201" s="16">
        <f t="shared" si="204"/>
        <v>0.47850353939920032</v>
      </c>
      <c r="BO201" s="16">
        <f t="shared" si="205"/>
        <v>1.1504740399976341E-2</v>
      </c>
      <c r="BP201" s="15"/>
      <c r="BQ201" s="38">
        <f t="shared" si="206"/>
        <v>0.90645805592543283</v>
      </c>
      <c r="BR201" s="38">
        <f t="shared" si="207"/>
        <v>0</v>
      </c>
      <c r="BS201" s="38">
        <f t="shared" si="208"/>
        <v>0.54805806198509222</v>
      </c>
      <c r="BT201" s="38">
        <f t="shared" si="209"/>
        <v>0</v>
      </c>
      <c r="BU201" s="38">
        <f t="shared" si="210"/>
        <v>4.9093950479357973E-3</v>
      </c>
      <c r="BV201" s="38">
        <f t="shared" si="211"/>
        <v>0</v>
      </c>
      <c r="BW201" s="38">
        <f t="shared" si="212"/>
        <v>0</v>
      </c>
      <c r="BX201" s="38">
        <f t="shared" si="213"/>
        <v>0.19293865905848789</v>
      </c>
      <c r="BY201" s="38">
        <f t="shared" si="214"/>
        <v>0.181026137463698</v>
      </c>
      <c r="BZ201" s="38">
        <f t="shared" si="215"/>
        <v>4.3524416135881103E-3</v>
      </c>
      <c r="CA201" s="38">
        <f t="shared" si="216"/>
        <v>0</v>
      </c>
      <c r="CB201" s="38">
        <f t="shared" si="217"/>
        <v>0</v>
      </c>
      <c r="CC201" s="38">
        <f t="shared" si="218"/>
        <v>0</v>
      </c>
      <c r="CD201" s="38">
        <f t="shared" si="219"/>
        <v>1.8377427510942346</v>
      </c>
      <c r="CE201" s="38">
        <f t="shared" si="220"/>
        <v>2.9255405484735704</v>
      </c>
      <c r="CF201" s="38">
        <f t="shared" si="221"/>
        <v>2.720729001391998</v>
      </c>
      <c r="CG201" s="38">
        <f t="shared" si="222"/>
        <v>7.9596030149802957</v>
      </c>
      <c r="CH201" s="15"/>
      <c r="CI201" s="16"/>
      <c r="CJ201" s="13"/>
      <c r="CK201" s="104"/>
      <c r="CL201" s="13"/>
      <c r="CM201" s="13"/>
      <c r="CN201" s="13"/>
      <c r="CO201" s="16"/>
      <c r="CP201" s="16"/>
      <c r="CQ201" s="16"/>
      <c r="CR201" s="16"/>
      <c r="CS201" s="16"/>
      <c r="CT201" s="16"/>
      <c r="CU201" s="16"/>
      <c r="CV201" s="16"/>
      <c r="CW201" s="16"/>
      <c r="CX201" s="16"/>
      <c r="CY201" s="104"/>
      <c r="CZ201" s="104"/>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3"/>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row>
    <row r="202" spans="1:167" x14ac:dyDescent="0.25">
      <c r="A202" s="35" t="s">
        <v>89</v>
      </c>
      <c r="B202" s="15">
        <v>665</v>
      </c>
      <c r="C202" s="102" t="s">
        <v>97</v>
      </c>
      <c r="D202" s="102" t="s">
        <v>106</v>
      </c>
      <c r="E202" s="15">
        <v>176</v>
      </c>
      <c r="F202" s="16">
        <v>58.41</v>
      </c>
      <c r="G202" s="16">
        <v>0</v>
      </c>
      <c r="H202" s="16">
        <v>25.68</v>
      </c>
      <c r="I202" s="16">
        <v>0</v>
      </c>
      <c r="J202" s="16">
        <v>0.23845946189147846</v>
      </c>
      <c r="K202" s="16">
        <v>0</v>
      </c>
      <c r="L202" s="16">
        <v>0</v>
      </c>
      <c r="M202" s="16">
        <v>8.1199999999999992</v>
      </c>
      <c r="N202" s="16">
        <v>7.06</v>
      </c>
      <c r="O202" s="16">
        <v>0.36599999999999999</v>
      </c>
      <c r="P202" s="16"/>
      <c r="Q202" s="16"/>
      <c r="R202" s="16"/>
      <c r="S202" s="16">
        <f t="shared" si="168"/>
        <v>99.87445946189149</v>
      </c>
      <c r="T202" s="16"/>
      <c r="U202" s="15">
        <v>1</v>
      </c>
      <c r="V202" s="15">
        <v>14</v>
      </c>
      <c r="W202" s="15">
        <v>198.90000000000003</v>
      </c>
      <c r="X202" s="15" t="s">
        <v>258</v>
      </c>
      <c r="Y202" s="15"/>
      <c r="Z202" s="37">
        <v>8</v>
      </c>
      <c r="AA202" s="37">
        <v>5</v>
      </c>
      <c r="AB202" s="15"/>
      <c r="AC202" s="38">
        <f t="shared" si="169"/>
        <v>2.622348052567169</v>
      </c>
      <c r="AD202" s="38">
        <f t="shared" si="170"/>
        <v>0</v>
      </c>
      <c r="AE202" s="38">
        <f t="shared" si="171"/>
        <v>1.3587145907797271</v>
      </c>
      <c r="AF202" s="38">
        <f t="shared" si="172"/>
        <v>0</v>
      </c>
      <c r="AG202" s="38">
        <f t="shared" si="173"/>
        <v>8.9520157585623768E-3</v>
      </c>
      <c r="AH202" s="38">
        <f t="shared" si="174"/>
        <v>0</v>
      </c>
      <c r="AI202" s="38">
        <f t="shared" si="175"/>
        <v>0</v>
      </c>
      <c r="AJ202" s="38">
        <f t="shared" si="176"/>
        <v>0.39055398654747636</v>
      </c>
      <c r="AK202" s="38">
        <f t="shared" si="177"/>
        <v>0.61449191862706498</v>
      </c>
      <c r="AL202" s="38">
        <f t="shared" si="178"/>
        <v>2.0960094153000076E-2</v>
      </c>
      <c r="AM202" s="38">
        <f t="shared" si="179"/>
        <v>0</v>
      </c>
      <c r="AN202" s="38">
        <f t="shared" si="180"/>
        <v>0</v>
      </c>
      <c r="AO202" s="38">
        <f t="shared" si="181"/>
        <v>0</v>
      </c>
      <c r="AP202" s="38">
        <f t="shared" si="182"/>
        <v>5.0160206584329998</v>
      </c>
      <c r="AQ202" s="38">
        <f t="shared" si="183"/>
        <v>3.9810626433468963</v>
      </c>
      <c r="AR202" s="38">
        <f t="shared" si="184"/>
        <v>1.0260059993275414</v>
      </c>
      <c r="AS202" s="40"/>
      <c r="AT202" s="38">
        <f t="shared" si="185"/>
        <v>2.613972540322818</v>
      </c>
      <c r="AU202" s="38">
        <f t="shared" si="186"/>
        <v>0</v>
      </c>
      <c r="AV202" s="38">
        <f t="shared" si="187"/>
        <v>1.3543749949428918</v>
      </c>
      <c r="AW202" s="38">
        <f t="shared" si="188"/>
        <v>0</v>
      </c>
      <c r="AX202" s="38">
        <f t="shared" si="189"/>
        <v>0</v>
      </c>
      <c r="AY202" s="38">
        <f t="shared" si="190"/>
        <v>8.9234239331850949E-3</v>
      </c>
      <c r="AZ202" s="38">
        <f t="shared" si="191"/>
        <v>0</v>
      </c>
      <c r="BA202" s="38">
        <f t="shared" si="192"/>
        <v>0</v>
      </c>
      <c r="BB202" s="38">
        <f t="shared" si="193"/>
        <v>0.38930659694440439</v>
      </c>
      <c r="BC202" s="38">
        <f t="shared" si="194"/>
        <v>0.61252929410684642</v>
      </c>
      <c r="BD202" s="38">
        <f t="shared" si="195"/>
        <v>2.0893149749853693E-2</v>
      </c>
      <c r="BE202" s="38">
        <f t="shared" si="196"/>
        <v>0</v>
      </c>
      <c r="BF202" s="38">
        <f t="shared" si="197"/>
        <v>0</v>
      </c>
      <c r="BG202" s="38">
        <f t="shared" si="198"/>
        <v>0</v>
      </c>
      <c r="BH202" s="41">
        <f t="shared" si="199"/>
        <v>4.9999999999999991</v>
      </c>
      <c r="BI202" s="42">
        <f t="shared" si="200"/>
        <v>7.9789105278325057</v>
      </c>
      <c r="BJ202" s="38">
        <f t="shared" si="201"/>
        <v>3.9683475352657096</v>
      </c>
      <c r="BK202" s="38">
        <f t="shared" si="202"/>
        <v>1.0227290408011045</v>
      </c>
      <c r="BL202" s="16"/>
      <c r="BM202" s="16">
        <f t="shared" si="203"/>
        <v>0.38065468116507201</v>
      </c>
      <c r="BN202" s="16">
        <f t="shared" si="204"/>
        <v>0.59891649661874446</v>
      </c>
      <c r="BO202" s="16">
        <f t="shared" si="205"/>
        <v>2.0428822216183543E-2</v>
      </c>
      <c r="BP202" s="15"/>
      <c r="BQ202" s="38">
        <f t="shared" si="206"/>
        <v>0.97220372836218372</v>
      </c>
      <c r="BR202" s="38">
        <f t="shared" si="207"/>
        <v>0</v>
      </c>
      <c r="BS202" s="38">
        <f t="shared" si="208"/>
        <v>0.50372695174578264</v>
      </c>
      <c r="BT202" s="38">
        <f t="shared" si="209"/>
        <v>0</v>
      </c>
      <c r="BU202" s="38">
        <f t="shared" si="210"/>
        <v>3.3188512441402712E-3</v>
      </c>
      <c r="BV202" s="38">
        <f t="shared" si="211"/>
        <v>0</v>
      </c>
      <c r="BW202" s="38">
        <f t="shared" si="212"/>
        <v>0</v>
      </c>
      <c r="BX202" s="38">
        <f t="shared" si="213"/>
        <v>0.14479315263908701</v>
      </c>
      <c r="BY202" s="38">
        <f t="shared" si="214"/>
        <v>0.22781542433042917</v>
      </c>
      <c r="BZ202" s="38">
        <f t="shared" si="215"/>
        <v>7.770700636942675E-3</v>
      </c>
      <c r="CA202" s="38">
        <f t="shared" si="216"/>
        <v>0</v>
      </c>
      <c r="CB202" s="38">
        <f t="shared" si="217"/>
        <v>0</v>
      </c>
      <c r="CC202" s="38">
        <f t="shared" si="218"/>
        <v>0</v>
      </c>
      <c r="CD202" s="38">
        <f t="shared" si="219"/>
        <v>1.8596288089585655</v>
      </c>
      <c r="CE202" s="38">
        <f t="shared" si="220"/>
        <v>2.9659029507099546</v>
      </c>
      <c r="CF202" s="38">
        <f t="shared" si="221"/>
        <v>2.6887086153500244</v>
      </c>
      <c r="CG202" s="38">
        <f t="shared" si="222"/>
        <v>7.9744488158659133</v>
      </c>
      <c r="CH202" s="15"/>
      <c r="CI202" s="16"/>
      <c r="CJ202" s="13"/>
      <c r="CK202" s="104"/>
      <c r="CL202" s="13"/>
      <c r="CM202" s="13"/>
      <c r="CN202" s="13"/>
      <c r="CO202" s="16"/>
      <c r="CP202" s="16"/>
      <c r="CQ202" s="16"/>
      <c r="CR202" s="16"/>
      <c r="CS202" s="16"/>
      <c r="CT202" s="16"/>
      <c r="CU202" s="16"/>
      <c r="CV202" s="16"/>
      <c r="CW202" s="16"/>
      <c r="CX202" s="16"/>
      <c r="CY202" s="104"/>
      <c r="CZ202" s="104"/>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3"/>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row>
    <row r="203" spans="1:167" x14ac:dyDescent="0.25">
      <c r="A203" s="35" t="s">
        <v>89</v>
      </c>
      <c r="B203" s="15">
        <v>666</v>
      </c>
      <c r="C203" s="102" t="s">
        <v>97</v>
      </c>
      <c r="D203" s="102" t="s">
        <v>106</v>
      </c>
      <c r="E203" s="15">
        <v>177</v>
      </c>
      <c r="F203" s="16">
        <v>63.04</v>
      </c>
      <c r="G203" s="16">
        <v>0</v>
      </c>
      <c r="H203" s="16">
        <v>22.59</v>
      </c>
      <c r="I203" s="16">
        <v>0</v>
      </c>
      <c r="J203" s="16">
        <v>0.28345181319175744</v>
      </c>
      <c r="K203" s="16">
        <v>0</v>
      </c>
      <c r="L203" s="16">
        <v>0</v>
      </c>
      <c r="M203" s="16">
        <v>4.3600000000000003</v>
      </c>
      <c r="N203" s="16">
        <v>9.01</v>
      </c>
      <c r="O203" s="16">
        <v>0.77800000000000002</v>
      </c>
      <c r="P203" s="16"/>
      <c r="Q203" s="16"/>
      <c r="R203" s="16"/>
      <c r="S203" s="16">
        <f t="shared" si="168"/>
        <v>100.06145181319177</v>
      </c>
      <c r="T203" s="16"/>
      <c r="U203" s="15">
        <v>1</v>
      </c>
      <c r="V203" s="15">
        <v>15</v>
      </c>
      <c r="W203" s="15">
        <v>214.20000000000005</v>
      </c>
      <c r="X203" s="15" t="s">
        <v>186</v>
      </c>
      <c r="Y203" s="15"/>
      <c r="Z203" s="37">
        <v>8</v>
      </c>
      <c r="AA203" s="37">
        <v>5</v>
      </c>
      <c r="AB203" s="15"/>
      <c r="AC203" s="38">
        <f t="shared" si="169"/>
        <v>2.7994212554911884</v>
      </c>
      <c r="AD203" s="38">
        <f t="shared" si="170"/>
        <v>0</v>
      </c>
      <c r="AE203" s="38">
        <f t="shared" si="171"/>
        <v>1.1822201985082486</v>
      </c>
      <c r="AF203" s="38">
        <f t="shared" si="172"/>
        <v>0</v>
      </c>
      <c r="AG203" s="38">
        <f t="shared" si="173"/>
        <v>1.0525299006640121E-2</v>
      </c>
      <c r="AH203" s="38">
        <f t="shared" si="174"/>
        <v>0</v>
      </c>
      <c r="AI203" s="38">
        <f t="shared" si="175"/>
        <v>0</v>
      </c>
      <c r="AJ203" s="38">
        <f t="shared" si="176"/>
        <v>0.20742469473744288</v>
      </c>
      <c r="AK203" s="38">
        <f t="shared" si="177"/>
        <v>0.77568463707359669</v>
      </c>
      <c r="AL203" s="38">
        <f t="shared" si="178"/>
        <v>4.4069757948739595E-2</v>
      </c>
      <c r="AM203" s="38">
        <f t="shared" si="179"/>
        <v>0</v>
      </c>
      <c r="AN203" s="38">
        <f t="shared" si="180"/>
        <v>0</v>
      </c>
      <c r="AO203" s="38">
        <f t="shared" si="181"/>
        <v>0</v>
      </c>
      <c r="AP203" s="38">
        <f t="shared" si="182"/>
        <v>5.0193458427658566</v>
      </c>
      <c r="AQ203" s="38">
        <f t="shared" si="183"/>
        <v>3.9816414539994369</v>
      </c>
      <c r="AR203" s="38">
        <f t="shared" si="184"/>
        <v>1.0271790897597792</v>
      </c>
      <c r="AS203" s="40"/>
      <c r="AT203" s="38">
        <f t="shared" si="185"/>
        <v>2.7886315699144948</v>
      </c>
      <c r="AU203" s="38">
        <f t="shared" si="186"/>
        <v>0</v>
      </c>
      <c r="AV203" s="38">
        <f t="shared" si="187"/>
        <v>1.1776636194655985</v>
      </c>
      <c r="AW203" s="38">
        <f t="shared" si="188"/>
        <v>0</v>
      </c>
      <c r="AX203" s="38">
        <f t="shared" si="189"/>
        <v>0</v>
      </c>
      <c r="AY203" s="38">
        <f t="shared" si="190"/>
        <v>1.0484731812024601E-2</v>
      </c>
      <c r="AZ203" s="38">
        <f t="shared" si="191"/>
        <v>0</v>
      </c>
      <c r="BA203" s="38">
        <f t="shared" si="192"/>
        <v>0</v>
      </c>
      <c r="BB203" s="38">
        <f t="shared" si="193"/>
        <v>0.20662522690720167</v>
      </c>
      <c r="BC203" s="38">
        <f t="shared" si="194"/>
        <v>0.77269495007158551</v>
      </c>
      <c r="BD203" s="38">
        <f t="shared" si="195"/>
        <v>4.3899901829095159E-2</v>
      </c>
      <c r="BE203" s="38">
        <f t="shared" si="196"/>
        <v>0</v>
      </c>
      <c r="BF203" s="38">
        <f t="shared" si="197"/>
        <v>0</v>
      </c>
      <c r="BG203" s="38">
        <f t="shared" si="198"/>
        <v>0</v>
      </c>
      <c r="BH203" s="41">
        <f t="shared" si="199"/>
        <v>5.0000000000000009</v>
      </c>
      <c r="BI203" s="42">
        <f t="shared" si="200"/>
        <v>7.9744083196029658</v>
      </c>
      <c r="BJ203" s="38">
        <f t="shared" si="201"/>
        <v>3.9662951893800935</v>
      </c>
      <c r="BK203" s="38">
        <f t="shared" si="202"/>
        <v>1.0232200788078822</v>
      </c>
      <c r="BL203" s="16"/>
      <c r="BM203" s="16">
        <f t="shared" si="203"/>
        <v>0.20193625123925776</v>
      </c>
      <c r="BN203" s="16">
        <f t="shared" si="204"/>
        <v>0.75516007364889193</v>
      </c>
      <c r="BO203" s="16">
        <f t="shared" si="205"/>
        <v>4.2903675111850212E-2</v>
      </c>
      <c r="BP203" s="15"/>
      <c r="BQ203" s="38">
        <f t="shared" si="206"/>
        <v>1.0492676431424768</v>
      </c>
      <c r="BR203" s="38">
        <f t="shared" si="207"/>
        <v>0</v>
      </c>
      <c r="BS203" s="38">
        <f t="shared" si="208"/>
        <v>0.44311494703805415</v>
      </c>
      <c r="BT203" s="38">
        <f t="shared" si="209"/>
        <v>0</v>
      </c>
      <c r="BU203" s="38">
        <f t="shared" si="210"/>
        <v>3.9450495920912657E-3</v>
      </c>
      <c r="BV203" s="38">
        <f t="shared" si="211"/>
        <v>0</v>
      </c>
      <c r="BW203" s="38">
        <f t="shared" si="212"/>
        <v>0</v>
      </c>
      <c r="BX203" s="38">
        <f t="shared" si="213"/>
        <v>7.7746077032810279E-2</v>
      </c>
      <c r="BY203" s="38">
        <f t="shared" si="214"/>
        <v>0.29073894804775735</v>
      </c>
      <c r="BZ203" s="38">
        <f t="shared" si="215"/>
        <v>1.651804670912951E-2</v>
      </c>
      <c r="CA203" s="38">
        <f t="shared" si="216"/>
        <v>0</v>
      </c>
      <c r="CB203" s="38">
        <f t="shared" si="217"/>
        <v>0</v>
      </c>
      <c r="CC203" s="38">
        <f t="shared" si="218"/>
        <v>0</v>
      </c>
      <c r="CD203" s="38">
        <f t="shared" si="219"/>
        <v>1.8813307115623192</v>
      </c>
      <c r="CE203" s="38">
        <f t="shared" si="220"/>
        <v>2.9985273308453797</v>
      </c>
      <c r="CF203" s="38">
        <f t="shared" si="221"/>
        <v>2.6576932855403368</v>
      </c>
      <c r="CG203" s="38">
        <f t="shared" si="222"/>
        <v>7.9691659536969537</v>
      </c>
      <c r="CH203" s="15"/>
      <c r="CI203" s="16"/>
      <c r="CJ203" s="13"/>
      <c r="CK203" s="104"/>
      <c r="CL203" s="13"/>
      <c r="CM203" s="13"/>
      <c r="CN203" s="13"/>
      <c r="CO203" s="16"/>
      <c r="CP203" s="16"/>
      <c r="CQ203" s="16"/>
      <c r="CR203" s="16"/>
      <c r="CS203" s="16"/>
      <c r="CT203" s="16"/>
      <c r="CU203" s="16"/>
      <c r="CV203" s="16"/>
      <c r="CW203" s="16"/>
      <c r="CX203" s="16"/>
      <c r="CY203" s="104"/>
      <c r="CZ203" s="104"/>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3"/>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row>
    <row r="204" spans="1:167" x14ac:dyDescent="0.25">
      <c r="A204" s="35" t="s">
        <v>89</v>
      </c>
      <c r="B204" s="15">
        <v>667</v>
      </c>
      <c r="C204" s="102" t="s">
        <v>97</v>
      </c>
      <c r="D204" s="102" t="s">
        <v>106</v>
      </c>
      <c r="E204" s="15">
        <v>178</v>
      </c>
      <c r="F204" s="16">
        <v>64.77</v>
      </c>
      <c r="G204" s="16">
        <v>0</v>
      </c>
      <c r="H204" s="16">
        <v>21.34</v>
      </c>
      <c r="I204" s="16">
        <v>0</v>
      </c>
      <c r="J204" s="16">
        <v>0.1979663457212274</v>
      </c>
      <c r="K204" s="16">
        <v>0</v>
      </c>
      <c r="L204" s="16">
        <v>0</v>
      </c>
      <c r="M204" s="16">
        <v>3.03</v>
      </c>
      <c r="N204" s="16">
        <v>9.59</v>
      </c>
      <c r="O204" s="16">
        <v>1.1359999999999999</v>
      </c>
      <c r="P204" s="16"/>
      <c r="Q204" s="16"/>
      <c r="R204" s="16"/>
      <c r="S204" s="16">
        <f t="shared" si="168"/>
        <v>100.06396634572123</v>
      </c>
      <c r="T204" s="16"/>
      <c r="U204" s="15">
        <v>1</v>
      </c>
      <c r="V204" s="15">
        <v>16</v>
      </c>
      <c r="W204" s="15">
        <v>229.50000000000006</v>
      </c>
      <c r="X204" s="15" t="s">
        <v>186</v>
      </c>
      <c r="Y204" s="15"/>
      <c r="Z204" s="37">
        <v>8</v>
      </c>
      <c r="AA204" s="37">
        <v>5</v>
      </c>
      <c r="AB204" s="15"/>
      <c r="AC204" s="38">
        <f t="shared" si="169"/>
        <v>2.86757813595344</v>
      </c>
      <c r="AD204" s="38">
        <f t="shared" si="170"/>
        <v>0</v>
      </c>
      <c r="AE204" s="38">
        <f t="shared" si="171"/>
        <v>1.1134375699523811</v>
      </c>
      <c r="AF204" s="38">
        <f t="shared" si="172"/>
        <v>0</v>
      </c>
      <c r="AG204" s="38">
        <f t="shared" si="173"/>
        <v>7.3288508152683047E-3</v>
      </c>
      <c r="AH204" s="38">
        <f t="shared" si="174"/>
        <v>0</v>
      </c>
      <c r="AI204" s="38">
        <f t="shared" si="175"/>
        <v>0</v>
      </c>
      <c r="AJ204" s="38">
        <f t="shared" si="176"/>
        <v>0.14371626135244125</v>
      </c>
      <c r="AK204" s="38">
        <f t="shared" si="177"/>
        <v>0.82312978755442945</v>
      </c>
      <c r="AL204" s="38">
        <f t="shared" si="178"/>
        <v>6.4154734439249503E-2</v>
      </c>
      <c r="AM204" s="38">
        <f t="shared" si="179"/>
        <v>0</v>
      </c>
      <c r="AN204" s="38">
        <f t="shared" si="180"/>
        <v>0</v>
      </c>
      <c r="AO204" s="38">
        <f t="shared" si="181"/>
        <v>0</v>
      </c>
      <c r="AP204" s="38">
        <f t="shared" si="182"/>
        <v>5.0193453400672094</v>
      </c>
      <c r="AQ204" s="38">
        <f t="shared" si="183"/>
        <v>3.9810157059058211</v>
      </c>
      <c r="AR204" s="38">
        <f t="shared" si="184"/>
        <v>1.0310007833461201</v>
      </c>
      <c r="AS204" s="40"/>
      <c r="AT204" s="38">
        <f t="shared" si="185"/>
        <v>2.8565260424131753</v>
      </c>
      <c r="AU204" s="38">
        <f t="shared" si="186"/>
        <v>0</v>
      </c>
      <c r="AV204" s="38">
        <f t="shared" si="187"/>
        <v>1.1091462078374068</v>
      </c>
      <c r="AW204" s="38">
        <f t="shared" si="188"/>
        <v>0</v>
      </c>
      <c r="AX204" s="38">
        <f t="shared" si="189"/>
        <v>0</v>
      </c>
      <c r="AY204" s="38">
        <f t="shared" si="190"/>
        <v>7.3006042807667922E-3</v>
      </c>
      <c r="AZ204" s="38">
        <f t="shared" si="191"/>
        <v>0</v>
      </c>
      <c r="BA204" s="38">
        <f t="shared" si="192"/>
        <v>0</v>
      </c>
      <c r="BB204" s="38">
        <f t="shared" si="193"/>
        <v>0.14316235645833933</v>
      </c>
      <c r="BC204" s="38">
        <f t="shared" si="194"/>
        <v>0.81995731692711904</v>
      </c>
      <c r="BD204" s="38">
        <f t="shared" si="195"/>
        <v>6.3907472083192488E-2</v>
      </c>
      <c r="BE204" s="38">
        <f t="shared" si="196"/>
        <v>0</v>
      </c>
      <c r="BF204" s="38">
        <f t="shared" si="197"/>
        <v>0</v>
      </c>
      <c r="BG204" s="38">
        <f t="shared" si="198"/>
        <v>0</v>
      </c>
      <c r="BH204" s="41">
        <f t="shared" si="199"/>
        <v>4.9999999999999991</v>
      </c>
      <c r="BI204" s="42">
        <f t="shared" si="200"/>
        <v>7.9728170539671073</v>
      </c>
      <c r="BJ204" s="38">
        <f t="shared" si="201"/>
        <v>3.9656722502505821</v>
      </c>
      <c r="BK204" s="38">
        <f t="shared" si="202"/>
        <v>1.0270271454686508</v>
      </c>
      <c r="BL204" s="16"/>
      <c r="BM204" s="16">
        <f t="shared" si="203"/>
        <v>0.13939490994954354</v>
      </c>
      <c r="BN204" s="16">
        <f t="shared" si="204"/>
        <v>0.79837940072456204</v>
      </c>
      <c r="BO204" s="16">
        <f t="shared" si="205"/>
        <v>6.2225689325894472E-2</v>
      </c>
      <c r="BP204" s="15"/>
      <c r="BQ204" s="38">
        <f t="shared" si="206"/>
        <v>1.07806258322237</v>
      </c>
      <c r="BR204" s="38">
        <f t="shared" si="207"/>
        <v>0</v>
      </c>
      <c r="BS204" s="38">
        <f t="shared" si="208"/>
        <v>0.41859552765790509</v>
      </c>
      <c r="BT204" s="38">
        <f t="shared" si="209"/>
        <v>0</v>
      </c>
      <c r="BU204" s="38">
        <f t="shared" si="210"/>
        <v>2.7552727309843759E-3</v>
      </c>
      <c r="BV204" s="38">
        <f t="shared" si="211"/>
        <v>0</v>
      </c>
      <c r="BW204" s="38">
        <f t="shared" si="212"/>
        <v>0</v>
      </c>
      <c r="BX204" s="38">
        <f t="shared" si="213"/>
        <v>5.402995720399429E-2</v>
      </c>
      <c r="BY204" s="38">
        <f t="shared" si="214"/>
        <v>0.30945466279444983</v>
      </c>
      <c r="BZ204" s="38">
        <f t="shared" si="215"/>
        <v>2.4118895966029723E-2</v>
      </c>
      <c r="CA204" s="38">
        <f t="shared" si="216"/>
        <v>0</v>
      </c>
      <c r="CB204" s="38">
        <f t="shared" si="217"/>
        <v>0</v>
      </c>
      <c r="CC204" s="38">
        <f t="shared" si="218"/>
        <v>0</v>
      </c>
      <c r="CD204" s="38">
        <f t="shared" si="219"/>
        <v>1.8870168995757335</v>
      </c>
      <c r="CE204" s="38">
        <f t="shared" si="220"/>
        <v>3.0075904672468159</v>
      </c>
      <c r="CF204" s="38">
        <f t="shared" si="221"/>
        <v>2.6496848020408152</v>
      </c>
      <c r="CG204" s="38">
        <f t="shared" si="222"/>
        <v>7.9691667518267222</v>
      </c>
      <c r="CH204" s="15"/>
      <c r="CI204" s="16"/>
      <c r="CJ204" s="13"/>
      <c r="CK204" s="104"/>
      <c r="CL204" s="13"/>
      <c r="CM204" s="13"/>
      <c r="CN204" s="13"/>
      <c r="CO204" s="16"/>
      <c r="CP204" s="16"/>
      <c r="CQ204" s="16"/>
      <c r="CR204" s="16"/>
      <c r="CS204" s="16"/>
      <c r="CT204" s="16"/>
      <c r="CU204" s="16"/>
      <c r="CV204" s="16"/>
      <c r="CW204" s="16"/>
      <c r="CX204" s="16"/>
      <c r="CY204" s="104"/>
      <c r="CZ204" s="104"/>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3"/>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row>
    <row r="205" spans="1:167" x14ac:dyDescent="0.25">
      <c r="A205" s="35" t="s">
        <v>89</v>
      </c>
      <c r="B205" s="15">
        <v>668</v>
      </c>
      <c r="C205" s="102" t="s">
        <v>97</v>
      </c>
      <c r="D205" s="102" t="s">
        <v>106</v>
      </c>
      <c r="E205" s="15">
        <v>179</v>
      </c>
      <c r="F205" s="16">
        <v>66.88</v>
      </c>
      <c r="G205" s="16">
        <v>0</v>
      </c>
      <c r="H205" s="16">
        <v>18.989999999999998</v>
      </c>
      <c r="I205" s="16">
        <v>0</v>
      </c>
      <c r="J205" s="16">
        <v>0.11967965445874203</v>
      </c>
      <c r="K205" s="16">
        <v>0</v>
      </c>
      <c r="L205" s="16">
        <v>0</v>
      </c>
      <c r="M205" s="16">
        <v>0.47699999999999998</v>
      </c>
      <c r="N205" s="16">
        <v>6.82</v>
      </c>
      <c r="O205" s="16">
        <v>7.12</v>
      </c>
      <c r="P205" s="16"/>
      <c r="Q205" s="16"/>
      <c r="R205" s="16"/>
      <c r="S205" s="16">
        <f t="shared" si="168"/>
        <v>100.40667965445874</v>
      </c>
      <c r="T205" s="16"/>
      <c r="U205" s="15">
        <v>1</v>
      </c>
      <c r="V205" s="15">
        <v>17</v>
      </c>
      <c r="W205" s="15">
        <v>244.80000000000007</v>
      </c>
      <c r="X205" s="15" t="s">
        <v>187</v>
      </c>
      <c r="Y205" s="15"/>
      <c r="Z205" s="37">
        <v>8</v>
      </c>
      <c r="AA205" s="37">
        <v>5</v>
      </c>
      <c r="AB205" s="15"/>
      <c r="AC205" s="38">
        <f t="shared" si="169"/>
        <v>2.9875027852081786</v>
      </c>
      <c r="AD205" s="38">
        <f t="shared" si="170"/>
        <v>0</v>
      </c>
      <c r="AE205" s="38">
        <f t="shared" si="171"/>
        <v>0.99969406090902024</v>
      </c>
      <c r="AF205" s="38">
        <f t="shared" si="172"/>
        <v>0</v>
      </c>
      <c r="AG205" s="38">
        <f t="shared" si="173"/>
        <v>4.4702882978595671E-3</v>
      </c>
      <c r="AH205" s="38">
        <f t="shared" si="174"/>
        <v>0</v>
      </c>
      <c r="AI205" s="38">
        <f t="shared" si="175"/>
        <v>0</v>
      </c>
      <c r="AJ205" s="38">
        <f t="shared" si="176"/>
        <v>2.2827184683124634E-2</v>
      </c>
      <c r="AK205" s="38">
        <f t="shared" si="177"/>
        <v>0.59061541365153114</v>
      </c>
      <c r="AL205" s="38">
        <f t="shared" si="178"/>
        <v>0.40569631682672408</v>
      </c>
      <c r="AM205" s="38">
        <f t="shared" si="179"/>
        <v>0</v>
      </c>
      <c r="AN205" s="38">
        <f t="shared" si="180"/>
        <v>0</v>
      </c>
      <c r="AO205" s="38">
        <f t="shared" si="181"/>
        <v>0</v>
      </c>
      <c r="AP205" s="38">
        <f t="shared" si="182"/>
        <v>5.0108060495764386</v>
      </c>
      <c r="AQ205" s="38">
        <f t="shared" si="183"/>
        <v>3.9871968461171989</v>
      </c>
      <c r="AR205" s="38">
        <f t="shared" si="184"/>
        <v>1.0191389151613799</v>
      </c>
      <c r="AS205" s="40"/>
      <c r="AT205" s="38">
        <f t="shared" si="185"/>
        <v>2.9810600885866569</v>
      </c>
      <c r="AU205" s="38">
        <f t="shared" si="186"/>
        <v>0</v>
      </c>
      <c r="AV205" s="38">
        <f t="shared" si="187"/>
        <v>0.99753817152184932</v>
      </c>
      <c r="AW205" s="38">
        <f t="shared" si="188"/>
        <v>0</v>
      </c>
      <c r="AX205" s="38">
        <f t="shared" si="189"/>
        <v>0</v>
      </c>
      <c r="AY205" s="38">
        <f t="shared" si="190"/>
        <v>4.4606479013864836E-3</v>
      </c>
      <c r="AZ205" s="38">
        <f t="shared" si="191"/>
        <v>0</v>
      </c>
      <c r="BA205" s="38">
        <f t="shared" si="192"/>
        <v>0</v>
      </c>
      <c r="BB205" s="38">
        <f t="shared" si="193"/>
        <v>2.2777956737174261E-2</v>
      </c>
      <c r="BC205" s="38">
        <f t="shared" si="194"/>
        <v>0.58934172247742034</v>
      </c>
      <c r="BD205" s="38">
        <f t="shared" si="195"/>
        <v>0.40482141277551287</v>
      </c>
      <c r="BE205" s="38">
        <f t="shared" si="196"/>
        <v>0</v>
      </c>
      <c r="BF205" s="38">
        <f t="shared" si="197"/>
        <v>0</v>
      </c>
      <c r="BG205" s="38">
        <f t="shared" si="198"/>
        <v>0</v>
      </c>
      <c r="BH205" s="41">
        <f t="shared" si="199"/>
        <v>5</v>
      </c>
      <c r="BI205" s="42">
        <f t="shared" si="200"/>
        <v>7.9849779306718087</v>
      </c>
      <c r="BJ205" s="38">
        <f t="shared" si="201"/>
        <v>3.9785982601085061</v>
      </c>
      <c r="BK205" s="38">
        <f t="shared" si="202"/>
        <v>1.0169410919901076</v>
      </c>
      <c r="BL205" s="16"/>
      <c r="BM205" s="16">
        <f t="shared" si="203"/>
        <v>2.2398501660109767E-2</v>
      </c>
      <c r="BN205" s="16">
        <f t="shared" si="204"/>
        <v>0.57952395386453048</v>
      </c>
      <c r="BO205" s="16">
        <f t="shared" si="205"/>
        <v>0.39807754447535976</v>
      </c>
      <c r="BP205" s="15"/>
      <c r="BQ205" s="38">
        <f t="shared" si="206"/>
        <v>1.1131824234354193</v>
      </c>
      <c r="BR205" s="38">
        <f t="shared" si="207"/>
        <v>0</v>
      </c>
      <c r="BS205" s="38">
        <f t="shared" si="208"/>
        <v>0.37249901922322476</v>
      </c>
      <c r="BT205" s="38">
        <f t="shared" si="209"/>
        <v>0</v>
      </c>
      <c r="BU205" s="38">
        <f t="shared" si="210"/>
        <v>1.6656876055496457E-3</v>
      </c>
      <c r="BV205" s="38">
        <f t="shared" si="211"/>
        <v>0</v>
      </c>
      <c r="BW205" s="38">
        <f t="shared" si="212"/>
        <v>0</v>
      </c>
      <c r="BX205" s="38">
        <f t="shared" si="213"/>
        <v>8.5057061340941507E-3</v>
      </c>
      <c r="BY205" s="38">
        <f t="shared" si="214"/>
        <v>0.22007099064214264</v>
      </c>
      <c r="BZ205" s="38">
        <f t="shared" si="215"/>
        <v>0.15116772823779193</v>
      </c>
      <c r="CA205" s="38">
        <f t="shared" si="216"/>
        <v>0</v>
      </c>
      <c r="CB205" s="38">
        <f t="shared" si="217"/>
        <v>0</v>
      </c>
      <c r="CC205" s="38">
        <f t="shared" si="218"/>
        <v>0</v>
      </c>
      <c r="CD205" s="38">
        <f t="shared" si="219"/>
        <v>1.8670915552782223</v>
      </c>
      <c r="CE205" s="38">
        <f t="shared" si="220"/>
        <v>2.9809041288852871</v>
      </c>
      <c r="CF205" s="38">
        <f t="shared" si="221"/>
        <v>2.6779618738380138</v>
      </c>
      <c r="CG205" s="38">
        <f t="shared" si="222"/>
        <v>7.9827476067211158</v>
      </c>
      <c r="CH205" s="15"/>
      <c r="CI205" s="16"/>
      <c r="CJ205" s="13"/>
      <c r="CK205" s="104"/>
      <c r="CL205" s="13"/>
      <c r="CM205" s="13"/>
      <c r="CN205" s="13"/>
      <c r="CO205" s="16"/>
      <c r="CP205" s="16"/>
      <c r="CQ205" s="16"/>
      <c r="CR205" s="16"/>
      <c r="CS205" s="16"/>
      <c r="CT205" s="16"/>
      <c r="CU205" s="16"/>
      <c r="CV205" s="16"/>
      <c r="CW205" s="16"/>
      <c r="CX205" s="16"/>
      <c r="CY205" s="104"/>
      <c r="CZ205" s="104"/>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3"/>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row>
    <row r="206" spans="1:167" x14ac:dyDescent="0.25">
      <c r="A206" s="35" t="s">
        <v>89</v>
      </c>
      <c r="B206" s="15">
        <v>669</v>
      </c>
      <c r="C206" s="102" t="s">
        <v>97</v>
      </c>
      <c r="D206" s="102" t="s">
        <v>106</v>
      </c>
      <c r="E206" s="15">
        <v>180</v>
      </c>
      <c r="F206" s="16">
        <v>67.03</v>
      </c>
      <c r="G206" s="16">
        <v>0</v>
      </c>
      <c r="H206" s="16">
        <v>18.87</v>
      </c>
      <c r="I206" s="16">
        <v>0</v>
      </c>
      <c r="J206" s="16">
        <v>0.15567353549896518</v>
      </c>
      <c r="K206" s="16">
        <v>0</v>
      </c>
      <c r="L206" s="16">
        <v>0</v>
      </c>
      <c r="M206" s="16">
        <v>0.42799999999999999</v>
      </c>
      <c r="N206" s="16">
        <v>6.41</v>
      </c>
      <c r="O206" s="16">
        <v>7.71</v>
      </c>
      <c r="P206" s="16"/>
      <c r="Q206" s="16"/>
      <c r="R206" s="16"/>
      <c r="S206" s="16">
        <f t="shared" si="168"/>
        <v>100.60367353549896</v>
      </c>
      <c r="T206" s="16"/>
      <c r="U206" s="15">
        <v>1</v>
      </c>
      <c r="V206" s="15">
        <v>18</v>
      </c>
      <c r="W206" s="15">
        <v>260.10000000000008</v>
      </c>
      <c r="X206" s="15" t="s">
        <v>187</v>
      </c>
      <c r="Y206" s="15"/>
      <c r="Z206" s="37">
        <v>8</v>
      </c>
      <c r="AA206" s="37">
        <v>5</v>
      </c>
      <c r="AB206" s="15"/>
      <c r="AC206" s="38">
        <f t="shared" si="169"/>
        <v>2.9934621308258103</v>
      </c>
      <c r="AD206" s="38">
        <f t="shared" si="170"/>
        <v>0</v>
      </c>
      <c r="AE206" s="38">
        <f t="shared" si="171"/>
        <v>0.99313100846961466</v>
      </c>
      <c r="AF206" s="38">
        <f t="shared" si="172"/>
        <v>0</v>
      </c>
      <c r="AG206" s="38">
        <f t="shared" si="173"/>
        <v>5.8132967028937006E-3</v>
      </c>
      <c r="AH206" s="38">
        <f t="shared" si="174"/>
        <v>0</v>
      </c>
      <c r="AI206" s="38">
        <f t="shared" si="175"/>
        <v>0</v>
      </c>
      <c r="AJ206" s="38">
        <f t="shared" si="176"/>
        <v>2.0477184206000518E-2</v>
      </c>
      <c r="AK206" s="38">
        <f t="shared" si="177"/>
        <v>0.55497181353698533</v>
      </c>
      <c r="AL206" s="38">
        <f t="shared" si="178"/>
        <v>0.43920567593314302</v>
      </c>
      <c r="AM206" s="38">
        <f t="shared" si="179"/>
        <v>0</v>
      </c>
      <c r="AN206" s="38">
        <f t="shared" si="180"/>
        <v>0</v>
      </c>
      <c r="AO206" s="38">
        <f t="shared" si="181"/>
        <v>0</v>
      </c>
      <c r="AP206" s="38">
        <f t="shared" si="182"/>
        <v>5.0070611096744475</v>
      </c>
      <c r="AQ206" s="38">
        <f t="shared" si="183"/>
        <v>3.986593139295425</v>
      </c>
      <c r="AR206" s="38">
        <f t="shared" si="184"/>
        <v>1.0146546736761288</v>
      </c>
      <c r="AS206" s="40"/>
      <c r="AT206" s="38">
        <f t="shared" si="185"/>
        <v>2.9892406595976619</v>
      </c>
      <c r="AU206" s="38">
        <f t="shared" si="186"/>
        <v>0</v>
      </c>
      <c r="AV206" s="38">
        <f t="shared" si="187"/>
        <v>0.99173046495350892</v>
      </c>
      <c r="AW206" s="38">
        <f t="shared" si="188"/>
        <v>0</v>
      </c>
      <c r="AX206" s="38">
        <f t="shared" si="189"/>
        <v>0</v>
      </c>
      <c r="AY206" s="38">
        <f t="shared" si="190"/>
        <v>5.8050986152949832E-3</v>
      </c>
      <c r="AZ206" s="38">
        <f t="shared" si="191"/>
        <v>0</v>
      </c>
      <c r="BA206" s="38">
        <f t="shared" si="192"/>
        <v>0</v>
      </c>
      <c r="BB206" s="38">
        <f t="shared" si="193"/>
        <v>2.04483066588056E-2</v>
      </c>
      <c r="BC206" s="38">
        <f t="shared" si="194"/>
        <v>0.55418917542736834</v>
      </c>
      <c r="BD206" s="38">
        <f t="shared" si="195"/>
        <v>0.43858629474735883</v>
      </c>
      <c r="BE206" s="38">
        <f t="shared" si="196"/>
        <v>0</v>
      </c>
      <c r="BF206" s="38">
        <f t="shared" si="197"/>
        <v>0</v>
      </c>
      <c r="BG206" s="38">
        <f t="shared" si="198"/>
        <v>0</v>
      </c>
      <c r="BH206" s="41">
        <f t="shared" si="199"/>
        <v>4.9999999999999991</v>
      </c>
      <c r="BI206" s="42">
        <f t="shared" si="200"/>
        <v>7.9916207062946993</v>
      </c>
      <c r="BJ206" s="38">
        <f t="shared" si="201"/>
        <v>3.980971124551171</v>
      </c>
      <c r="BK206" s="38">
        <f t="shared" si="202"/>
        <v>1.0132237768335328</v>
      </c>
      <c r="BL206" s="16"/>
      <c r="BM206" s="16">
        <f t="shared" si="203"/>
        <v>2.0181431907085171E-2</v>
      </c>
      <c r="BN206" s="16">
        <f t="shared" si="204"/>
        <v>0.54695634676012805</v>
      </c>
      <c r="BO206" s="16">
        <f t="shared" si="205"/>
        <v>0.43286222133278679</v>
      </c>
      <c r="BP206" s="15"/>
      <c r="BQ206" s="38">
        <f t="shared" si="206"/>
        <v>1.1156790945406125</v>
      </c>
      <c r="BR206" s="38">
        <f t="shared" si="207"/>
        <v>0</v>
      </c>
      <c r="BS206" s="38">
        <f t="shared" si="208"/>
        <v>0.37014515496273054</v>
      </c>
      <c r="BT206" s="38">
        <f t="shared" si="209"/>
        <v>0</v>
      </c>
      <c r="BU206" s="38">
        <f t="shared" si="210"/>
        <v>2.1666462839104411E-3</v>
      </c>
      <c r="BV206" s="38">
        <f t="shared" si="211"/>
        <v>0</v>
      </c>
      <c r="BW206" s="38">
        <f t="shared" si="212"/>
        <v>0</v>
      </c>
      <c r="BX206" s="38">
        <f t="shared" si="213"/>
        <v>7.6319543509272472E-3</v>
      </c>
      <c r="BY206" s="38">
        <f t="shared" si="214"/>
        <v>0.20684091642465313</v>
      </c>
      <c r="BZ206" s="38">
        <f t="shared" si="215"/>
        <v>0.16369426751592356</v>
      </c>
      <c r="CA206" s="38">
        <f t="shared" si="216"/>
        <v>0</v>
      </c>
      <c r="CB206" s="38">
        <f t="shared" si="217"/>
        <v>0</v>
      </c>
      <c r="CC206" s="38">
        <f t="shared" si="218"/>
        <v>0</v>
      </c>
      <c r="CD206" s="38">
        <f t="shared" si="219"/>
        <v>1.8661580340787578</v>
      </c>
      <c r="CE206" s="38">
        <f t="shared" si="220"/>
        <v>2.9816421141304468</v>
      </c>
      <c r="CF206" s="38">
        <f t="shared" si="221"/>
        <v>2.679301489312659</v>
      </c>
      <c r="CG206" s="38">
        <f t="shared" si="222"/>
        <v>7.9887181569870513</v>
      </c>
      <c r="CH206" s="15"/>
      <c r="CI206" s="16"/>
      <c r="CJ206" s="13"/>
      <c r="CK206" s="104"/>
      <c r="CL206" s="13"/>
      <c r="CM206" s="13"/>
      <c r="CN206" s="13"/>
      <c r="CO206" s="16"/>
      <c r="CP206" s="16"/>
      <c r="CQ206" s="16"/>
      <c r="CR206" s="16"/>
      <c r="CS206" s="16"/>
      <c r="CT206" s="16"/>
      <c r="CU206" s="16"/>
      <c r="CV206" s="16"/>
      <c r="CW206" s="16"/>
      <c r="CX206" s="16"/>
      <c r="CY206" s="104"/>
      <c r="CZ206" s="104"/>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3"/>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row>
    <row r="207" spans="1:167" x14ac:dyDescent="0.25">
      <c r="A207" s="35" t="s">
        <v>89</v>
      </c>
      <c r="B207" s="15">
        <v>670</v>
      </c>
      <c r="C207" s="102" t="s">
        <v>97</v>
      </c>
      <c r="D207" s="102" t="s">
        <v>106</v>
      </c>
      <c r="E207" s="15">
        <v>181</v>
      </c>
      <c r="F207" s="16">
        <v>65.06</v>
      </c>
      <c r="G207" s="16">
        <v>0</v>
      </c>
      <c r="H207" s="16">
        <v>18.809999999999999</v>
      </c>
      <c r="I207" s="16">
        <v>0</v>
      </c>
      <c r="J207" s="16">
        <v>0.16107261765499864</v>
      </c>
      <c r="K207" s="16">
        <v>0</v>
      </c>
      <c r="L207" s="16">
        <v>0</v>
      </c>
      <c r="M207" s="16">
        <v>0.35199999999999998</v>
      </c>
      <c r="N207" s="16">
        <v>5.48</v>
      </c>
      <c r="O207" s="16">
        <v>8.41</v>
      </c>
      <c r="P207" s="16"/>
      <c r="Q207" s="16"/>
      <c r="R207" s="16"/>
      <c r="S207" s="16">
        <f t="shared" si="168"/>
        <v>98.273072617655004</v>
      </c>
      <c r="T207" s="16"/>
      <c r="U207" s="15">
        <v>1</v>
      </c>
      <c r="V207" s="15">
        <v>19</v>
      </c>
      <c r="W207" s="15">
        <v>275.40000000000009</v>
      </c>
      <c r="X207" s="15" t="s">
        <v>187</v>
      </c>
      <c r="Y207" s="15"/>
      <c r="Z207" s="37">
        <v>8</v>
      </c>
      <c r="AA207" s="37">
        <v>5</v>
      </c>
      <c r="AB207" s="15"/>
      <c r="AC207" s="38">
        <f t="shared" si="169"/>
        <v>2.9816844136391536</v>
      </c>
      <c r="AD207" s="38">
        <f t="shared" si="170"/>
        <v>0</v>
      </c>
      <c r="AE207" s="38">
        <f t="shared" si="171"/>
        <v>1.0159363617091459</v>
      </c>
      <c r="AF207" s="38">
        <f t="shared" si="172"/>
        <v>0</v>
      </c>
      <c r="AG207" s="38">
        <f t="shared" si="173"/>
        <v>6.1726618239959152E-3</v>
      </c>
      <c r="AH207" s="38">
        <f t="shared" si="174"/>
        <v>0</v>
      </c>
      <c r="AI207" s="38">
        <f t="shared" si="175"/>
        <v>0</v>
      </c>
      <c r="AJ207" s="38">
        <f t="shared" si="176"/>
        <v>1.7282724168458514E-2</v>
      </c>
      <c r="AK207" s="38">
        <f t="shared" si="177"/>
        <v>0.48689635394592118</v>
      </c>
      <c r="AL207" s="38">
        <f t="shared" si="178"/>
        <v>0.49164613438511873</v>
      </c>
      <c r="AM207" s="38">
        <f t="shared" si="179"/>
        <v>0</v>
      </c>
      <c r="AN207" s="38">
        <f t="shared" si="180"/>
        <v>0</v>
      </c>
      <c r="AO207" s="38">
        <f t="shared" si="181"/>
        <v>0</v>
      </c>
      <c r="AP207" s="38">
        <f t="shared" si="182"/>
        <v>4.9996186496717936</v>
      </c>
      <c r="AQ207" s="38">
        <f t="shared" si="183"/>
        <v>3.9976207753482997</v>
      </c>
      <c r="AR207" s="38">
        <f t="shared" si="184"/>
        <v>0.9958252124994984</v>
      </c>
      <c r="AS207" s="40"/>
      <c r="AT207" s="38">
        <f t="shared" si="185"/>
        <v>2.9819118442512504</v>
      </c>
      <c r="AU207" s="38">
        <f t="shared" si="186"/>
        <v>0</v>
      </c>
      <c r="AV207" s="38">
        <f t="shared" si="187"/>
        <v>1.0160138531524181</v>
      </c>
      <c r="AW207" s="38">
        <f t="shared" si="188"/>
        <v>0</v>
      </c>
      <c r="AX207" s="38">
        <f t="shared" si="189"/>
        <v>6.1731326492282836E-3</v>
      </c>
      <c r="AY207" s="38">
        <f t="shared" si="190"/>
        <v>0</v>
      </c>
      <c r="AZ207" s="38">
        <f t="shared" si="191"/>
        <v>0</v>
      </c>
      <c r="BA207" s="38">
        <f t="shared" si="192"/>
        <v>0</v>
      </c>
      <c r="BB207" s="38">
        <f t="shared" si="193"/>
        <v>1.72840424235087E-2</v>
      </c>
      <c r="BC207" s="38">
        <f t="shared" si="194"/>
        <v>0.486933492395349</v>
      </c>
      <c r="BD207" s="38">
        <f t="shared" si="195"/>
        <v>0.49168363512824459</v>
      </c>
      <c r="BE207" s="38">
        <f t="shared" si="196"/>
        <v>0</v>
      </c>
      <c r="BF207" s="38">
        <f t="shared" si="197"/>
        <v>0</v>
      </c>
      <c r="BG207" s="38">
        <f t="shared" si="198"/>
        <v>0</v>
      </c>
      <c r="BH207" s="41">
        <f t="shared" si="199"/>
        <v>4.9999999999999982</v>
      </c>
      <c r="BI207" s="42">
        <f t="shared" si="200"/>
        <v>8.0006102070656606</v>
      </c>
      <c r="BJ207" s="38">
        <f t="shared" si="201"/>
        <v>3.9979256974036685</v>
      </c>
      <c r="BK207" s="38">
        <f t="shared" si="202"/>
        <v>0.99590116994710232</v>
      </c>
      <c r="BL207" s="16"/>
      <c r="BM207" s="16">
        <f t="shared" si="203"/>
        <v>1.7355178350103501E-2</v>
      </c>
      <c r="BN207" s="16">
        <f t="shared" si="204"/>
        <v>0.48893756437821306</v>
      </c>
      <c r="BO207" s="16">
        <f t="shared" si="205"/>
        <v>0.49370725727168346</v>
      </c>
      <c r="BP207" s="15"/>
      <c r="BQ207" s="38">
        <f t="shared" si="206"/>
        <v>1.0828894806924101</v>
      </c>
      <c r="BR207" s="38">
        <f t="shared" si="207"/>
        <v>0</v>
      </c>
      <c r="BS207" s="38">
        <f t="shared" si="208"/>
        <v>0.36896822283248332</v>
      </c>
      <c r="BT207" s="38">
        <f t="shared" si="209"/>
        <v>0</v>
      </c>
      <c r="BU207" s="38">
        <f t="shared" si="210"/>
        <v>2.2417900856645601E-3</v>
      </c>
      <c r="BV207" s="38">
        <f t="shared" si="211"/>
        <v>0</v>
      </c>
      <c r="BW207" s="38">
        <f t="shared" si="212"/>
        <v>0</v>
      </c>
      <c r="BX207" s="38">
        <f t="shared" si="213"/>
        <v>6.2767475035663337E-3</v>
      </c>
      <c r="BY207" s="38">
        <f t="shared" si="214"/>
        <v>0.17683123588254279</v>
      </c>
      <c r="BZ207" s="38">
        <f t="shared" si="215"/>
        <v>0.17855626326963905</v>
      </c>
      <c r="CA207" s="38">
        <f t="shared" si="216"/>
        <v>0</v>
      </c>
      <c r="CB207" s="38">
        <f t="shared" si="217"/>
        <v>0</v>
      </c>
      <c r="CC207" s="38">
        <f t="shared" si="218"/>
        <v>0</v>
      </c>
      <c r="CD207" s="38">
        <f t="shared" si="219"/>
        <v>1.8157637402663063</v>
      </c>
      <c r="CE207" s="38">
        <f t="shared" si="220"/>
        <v>2.9054435827988669</v>
      </c>
      <c r="CF207" s="38">
        <f t="shared" si="221"/>
        <v>2.7536622133817268</v>
      </c>
      <c r="CG207" s="38">
        <f t="shared" si="222"/>
        <v>8.0006102070656624</v>
      </c>
      <c r="CH207" s="15"/>
      <c r="CI207" s="16"/>
      <c r="CJ207" s="13"/>
      <c r="CK207" s="104"/>
      <c r="CL207" s="13"/>
      <c r="CM207" s="13"/>
      <c r="CN207" s="13"/>
      <c r="CO207" s="16"/>
      <c r="CP207" s="16"/>
      <c r="CQ207" s="16"/>
      <c r="CR207" s="16"/>
      <c r="CS207" s="16"/>
      <c r="CT207" s="16"/>
      <c r="CU207" s="16"/>
      <c r="CV207" s="16"/>
      <c r="CW207" s="16"/>
      <c r="CX207" s="16"/>
      <c r="CY207" s="104"/>
      <c r="CZ207" s="104"/>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3"/>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row>
    <row r="208" spans="1:167" x14ac:dyDescent="0.25">
      <c r="A208" s="35" t="s">
        <v>89</v>
      </c>
      <c r="B208" s="15">
        <v>671</v>
      </c>
      <c r="C208" s="102" t="s">
        <v>97</v>
      </c>
      <c r="D208" s="102" t="s">
        <v>106</v>
      </c>
      <c r="E208" s="15">
        <v>182</v>
      </c>
      <c r="F208" s="16">
        <v>48.25</v>
      </c>
      <c r="G208" s="16">
        <v>0</v>
      </c>
      <c r="H208" s="16">
        <v>32.08</v>
      </c>
      <c r="I208" s="16">
        <v>0</v>
      </c>
      <c r="J208" s="16">
        <v>0.64069108251597229</v>
      </c>
      <c r="K208" s="16">
        <v>0</v>
      </c>
      <c r="L208" s="16">
        <v>0</v>
      </c>
      <c r="M208" s="16">
        <v>15.83</v>
      </c>
      <c r="N208" s="16">
        <v>2.72</v>
      </c>
      <c r="O208" s="16">
        <v>5.8999999999999997E-2</v>
      </c>
      <c r="P208" s="16"/>
      <c r="Q208" s="16"/>
      <c r="R208" s="16"/>
      <c r="S208" s="16">
        <f t="shared" si="168"/>
        <v>99.579691082515964</v>
      </c>
      <c r="T208" s="16"/>
      <c r="U208" s="15"/>
      <c r="V208" s="15"/>
      <c r="W208" s="15"/>
      <c r="X208" s="15" t="s">
        <v>185</v>
      </c>
      <c r="Y208" s="15"/>
      <c r="Z208" s="37">
        <v>8</v>
      </c>
      <c r="AA208" s="37">
        <v>5</v>
      </c>
      <c r="AB208" s="15"/>
      <c r="AC208" s="38">
        <f t="shared" si="169"/>
        <v>2.2263420113541121</v>
      </c>
      <c r="AD208" s="38">
        <f t="shared" si="170"/>
        <v>0</v>
      </c>
      <c r="AE208" s="38">
        <f t="shared" si="171"/>
        <v>1.7444519694169753</v>
      </c>
      <c r="AF208" s="38">
        <f t="shared" si="172"/>
        <v>0</v>
      </c>
      <c r="AG208" s="38">
        <f t="shared" si="173"/>
        <v>2.4719882079080876E-2</v>
      </c>
      <c r="AH208" s="38">
        <f t="shared" si="174"/>
        <v>0</v>
      </c>
      <c r="AI208" s="38">
        <f t="shared" si="175"/>
        <v>0</v>
      </c>
      <c r="AJ208" s="38">
        <f t="shared" si="176"/>
        <v>0.78252351633392525</v>
      </c>
      <c r="AK208" s="38">
        <f t="shared" si="177"/>
        <v>0.24331664285799151</v>
      </c>
      <c r="AL208" s="38">
        <f t="shared" si="178"/>
        <v>3.4726066486198029E-3</v>
      </c>
      <c r="AM208" s="38">
        <f t="shared" si="179"/>
        <v>0</v>
      </c>
      <c r="AN208" s="38">
        <f t="shared" si="180"/>
        <v>0</v>
      </c>
      <c r="AO208" s="38">
        <f t="shared" si="181"/>
        <v>0</v>
      </c>
      <c r="AP208" s="38">
        <f t="shared" si="182"/>
        <v>5.0248266286907048</v>
      </c>
      <c r="AQ208" s="38">
        <f t="shared" si="183"/>
        <v>3.9707939807710875</v>
      </c>
      <c r="AR208" s="38">
        <f t="shared" si="184"/>
        <v>1.0293127658405365</v>
      </c>
      <c r="AS208" s="40"/>
      <c r="AT208" s="38">
        <f t="shared" si="185"/>
        <v>2.2153421161261235</v>
      </c>
      <c r="AU208" s="38">
        <f t="shared" si="186"/>
        <v>0</v>
      </c>
      <c r="AV208" s="38">
        <f t="shared" si="187"/>
        <v>1.7358329931788301</v>
      </c>
      <c r="AW208" s="38">
        <f t="shared" si="188"/>
        <v>0</v>
      </c>
      <c r="AX208" s="38">
        <f t="shared" si="189"/>
        <v>0</v>
      </c>
      <c r="AY208" s="38">
        <f t="shared" si="190"/>
        <v>2.4597746256493247E-2</v>
      </c>
      <c r="AZ208" s="38">
        <f t="shared" si="191"/>
        <v>0</v>
      </c>
      <c r="BA208" s="38">
        <f t="shared" si="192"/>
        <v>0</v>
      </c>
      <c r="BB208" s="38">
        <f t="shared" si="193"/>
        <v>0.77865722955084682</v>
      </c>
      <c r="BC208" s="38">
        <f t="shared" si="194"/>
        <v>0.24211446567002387</v>
      </c>
      <c r="BD208" s="38">
        <f t="shared" si="195"/>
        <v>3.4554492176824048E-3</v>
      </c>
      <c r="BE208" s="38">
        <f t="shared" si="196"/>
        <v>0</v>
      </c>
      <c r="BF208" s="38">
        <f t="shared" si="197"/>
        <v>0</v>
      </c>
      <c r="BG208" s="38">
        <f t="shared" si="198"/>
        <v>0</v>
      </c>
      <c r="BH208" s="41">
        <f t="shared" si="199"/>
        <v>5</v>
      </c>
      <c r="BI208" s="42">
        <f t="shared" si="200"/>
        <v>7.9727725283999327</v>
      </c>
      <c r="BJ208" s="38">
        <f t="shared" si="201"/>
        <v>3.9511751093049536</v>
      </c>
      <c r="BK208" s="38">
        <f t="shared" si="202"/>
        <v>1.0242271444385531</v>
      </c>
      <c r="BL208" s="16"/>
      <c r="BM208" s="16">
        <f t="shared" si="203"/>
        <v>0.76023881399636262</v>
      </c>
      <c r="BN208" s="16">
        <f t="shared" si="204"/>
        <v>0.23638747223668133</v>
      </c>
      <c r="BO208" s="16">
        <f t="shared" si="205"/>
        <v>3.3737137669560264E-3</v>
      </c>
      <c r="BP208" s="15"/>
      <c r="BQ208" s="38">
        <f t="shared" si="206"/>
        <v>0.80309587217043943</v>
      </c>
      <c r="BR208" s="38">
        <f t="shared" si="207"/>
        <v>0</v>
      </c>
      <c r="BS208" s="38">
        <f t="shared" si="208"/>
        <v>0.62926637897214599</v>
      </c>
      <c r="BT208" s="38">
        <f t="shared" si="209"/>
        <v>0</v>
      </c>
      <c r="BU208" s="38">
        <f t="shared" si="210"/>
        <v>8.9170644748221613E-3</v>
      </c>
      <c r="BV208" s="38">
        <f t="shared" si="211"/>
        <v>0</v>
      </c>
      <c r="BW208" s="38">
        <f t="shared" si="212"/>
        <v>0</v>
      </c>
      <c r="BX208" s="38">
        <f t="shared" si="213"/>
        <v>0.28227532097004282</v>
      </c>
      <c r="BY208" s="38">
        <f t="shared" si="214"/>
        <v>8.7770248467247514E-2</v>
      </c>
      <c r="BZ208" s="38">
        <f t="shared" si="215"/>
        <v>1.2526539278131634E-3</v>
      </c>
      <c r="CA208" s="38">
        <f t="shared" si="216"/>
        <v>0</v>
      </c>
      <c r="CB208" s="38">
        <f t="shared" si="217"/>
        <v>0</v>
      </c>
      <c r="CC208" s="38">
        <f t="shared" si="218"/>
        <v>0</v>
      </c>
      <c r="CD208" s="38">
        <f t="shared" si="219"/>
        <v>1.8125775389825112</v>
      </c>
      <c r="CE208" s="38">
        <f t="shared" si="220"/>
        <v>2.8857951494414933</v>
      </c>
      <c r="CF208" s="38">
        <f t="shared" si="221"/>
        <v>2.7585026805566319</v>
      </c>
      <c r="CG208" s="38">
        <f t="shared" si="222"/>
        <v>7.9604736552716853</v>
      </c>
      <c r="CH208" s="15"/>
      <c r="CI208" s="16">
        <v>13.835849489634372</v>
      </c>
      <c r="CJ208" s="13">
        <v>22049.463276649949</v>
      </c>
      <c r="CK208" s="104">
        <v>425.55477533415637</v>
      </c>
      <c r="CL208" s="13">
        <v>160927.42017055134</v>
      </c>
      <c r="CM208" s="13">
        <v>240289.21746561781</v>
      </c>
      <c r="CN208" s="13">
        <v>90604.135218375028</v>
      </c>
      <c r="CO208" s="16">
        <v>0</v>
      </c>
      <c r="CP208" s="16">
        <v>130.31409550648948</v>
      </c>
      <c r="CQ208" s="16">
        <v>1.8499377005367375</v>
      </c>
      <c r="CR208" s="16">
        <v>0</v>
      </c>
      <c r="CS208" s="16">
        <v>52.349070204518938</v>
      </c>
      <c r="CT208" s="16">
        <v>0.51628598199413578</v>
      </c>
      <c r="CU208" s="16">
        <v>0</v>
      </c>
      <c r="CV208" s="16">
        <v>3.4619593199386576</v>
      </c>
      <c r="CW208" s="16">
        <v>6.1746839762216403</v>
      </c>
      <c r="CX208" s="16">
        <v>0</v>
      </c>
      <c r="CY208" s="104">
        <v>447.55478867291765</v>
      </c>
      <c r="CZ208" s="104">
        <v>439.7187923946658</v>
      </c>
      <c r="DA208" s="16">
        <v>0.5698621998773965</v>
      </c>
      <c r="DB208" s="16">
        <v>0</v>
      </c>
      <c r="DC208" s="16">
        <v>0.13455223489501239</v>
      </c>
      <c r="DD208" s="16">
        <v>0.2486566295136044</v>
      </c>
      <c r="DE208" s="16">
        <v>68.279672866247381</v>
      </c>
      <c r="DF208" s="16">
        <v>2.2161136543136699</v>
      </c>
      <c r="DG208" s="16">
        <v>3.0008666976106566</v>
      </c>
      <c r="DH208" s="16">
        <v>0.42749885387319331</v>
      </c>
      <c r="DI208" s="16">
        <v>0.97737181513305438</v>
      </c>
      <c r="DJ208" s="16">
        <v>0</v>
      </c>
      <c r="DK208" s="16">
        <v>0.28214685990764821</v>
      </c>
      <c r="DL208" s="16">
        <v>0</v>
      </c>
      <c r="DM208" s="16">
        <v>0</v>
      </c>
      <c r="DN208" s="16">
        <v>0.1008474779228716</v>
      </c>
      <c r="DO208" s="16">
        <v>0.16031540199783745</v>
      </c>
      <c r="DP208" s="16">
        <v>0.42233930150030652</v>
      </c>
      <c r="DQ208" s="16">
        <v>4.5102860808100324E-2</v>
      </c>
      <c r="DR208" s="16">
        <v>0.18452026402627356</v>
      </c>
      <c r="DS208" s="16">
        <v>4.6691006816377792E-2</v>
      </c>
      <c r="DT208" s="16">
        <v>0</v>
      </c>
      <c r="DU208" s="16">
        <v>0</v>
      </c>
      <c r="DV208" s="16">
        <v>1.4415430309379589</v>
      </c>
      <c r="DW208" s="16">
        <v>5.8204489104117581E-2</v>
      </c>
      <c r="DX208" s="16">
        <v>6.7604550369312441E-2</v>
      </c>
      <c r="DY208" s="16" t="e">
        <f>(DK208/0.05883)/SQRT((DJ208/0.1536)*(DL208/0.2069))</f>
        <v>#DIV/0!</v>
      </c>
      <c r="DZ208" s="16"/>
      <c r="EA208" s="13">
        <f>1128+200*((BM208-0.4)/0.4) -273</f>
        <v>1035.1194069981814</v>
      </c>
      <c r="EB208" s="16"/>
      <c r="EC208" s="16">
        <f>(-18.482 -16.353 * BM208)/(0.008314 * (EA208+273))</f>
        <v>-2.8424995010920724</v>
      </c>
      <c r="ED208" s="16"/>
      <c r="EE208" s="16"/>
      <c r="EF208" s="16"/>
      <c r="EG208" s="16"/>
      <c r="EH208" s="16"/>
      <c r="EI208" s="16"/>
      <c r="EJ208" s="16"/>
      <c r="EK208" s="16"/>
      <c r="EL208" s="16">
        <f>(23.856 -20.71 * BM208)/(0.008314 * (EA208+273))</f>
        <v>0.74583250913438659</v>
      </c>
      <c r="EM208" s="16"/>
      <c r="EN208" s="16">
        <f>(-4.5269  -51.811 * BM208)/(0.008314 * (EA208+273)) +N("eqn50a")</f>
        <v>-4.0379574659602877</v>
      </c>
      <c r="EO208" s="16" t="e">
        <f>(-187.27 + 2.26018 *#REF!)/(0.008314 * (EA208+273)) +N("fsp eqn35 from SiO2")</f>
        <v>#REF!</v>
      </c>
      <c r="EP208" s="16"/>
      <c r="EQ208" s="16"/>
      <c r="ER208" s="16">
        <f>(10.146 -35.204 * BM208)/(0.008314 * (EA208+273))</f>
        <v>-1.5279421049251725</v>
      </c>
      <c r="ES208" s="16">
        <f>(2.1146 -37.009 * BM208)/(0.008314 * (EA208+273))</f>
        <v>-2.3925877785263401</v>
      </c>
      <c r="ET208" s="16">
        <f>(-3.6812 -33.822 * BM208)/(0.008314 * (EA208+273))</f>
        <v>-2.7027211425146302</v>
      </c>
      <c r="EU208" s="16">
        <f>(-6.8025 -26.094 * BM208)/(0.008314 * (EA208+273))</f>
        <v>-2.4495122132616669</v>
      </c>
      <c r="EV208" s="16">
        <f>(-5.6996 -30.85 * BM208)/(0.008314 * (EA208+273))</f>
        <v>-2.6805589230775864</v>
      </c>
      <c r="EW208" s="16">
        <f>(-8.6767 -33.32 * BM208)/(0.008314 * (EA208+273))</f>
        <v>-3.1269566492265914</v>
      </c>
      <c r="EX208" s="16"/>
      <c r="EY208" s="16">
        <f>(-1.9714 -59.897 * BM208)/(0.008314 * (EA208+273))</f>
        <v>-4.3682157004941278</v>
      </c>
      <c r="EZ208" s="16">
        <f>(-4.3691 -44.528 * BM208)/(0.008314 * (EA208+273))</f>
        <v>-3.5143482458360293</v>
      </c>
      <c r="FA208" s="16">
        <f>(-2.2521 -58.215 * BM208)/(0.008314 * (EA208+273))</f>
        <v>-4.2764495383829493</v>
      </c>
      <c r="FB208" s="16"/>
      <c r="FC208" s="16">
        <f>(-8.5 - 57.253 * BM208)/(0.008314 * (EA208+273))</f>
        <v>-4.7836856566718016</v>
      </c>
      <c r="FD208" s="16"/>
      <c r="FE208" s="16">
        <f>(-9.2954 -52.923 * BM208)/(0.008314 * (EA208+273))</f>
        <v>-4.5541433766964206</v>
      </c>
      <c r="FF208" s="16">
        <f>(0.61501 -70.378 * BM208)/(0.008314 * (EA208+273))</f>
        <v>-4.8630482776292618</v>
      </c>
      <c r="FG208" s="16"/>
      <c r="FH208" s="16"/>
      <c r="FI208" s="16"/>
      <c r="FJ208" s="16"/>
      <c r="FK208" s="16"/>
    </row>
    <row r="209" spans="1:167" x14ac:dyDescent="0.25">
      <c r="A209" s="35" t="s">
        <v>89</v>
      </c>
      <c r="B209" s="15">
        <v>672</v>
      </c>
      <c r="C209" s="102" t="s">
        <v>97</v>
      </c>
      <c r="D209" s="102" t="s">
        <v>106</v>
      </c>
      <c r="E209" s="15">
        <v>183</v>
      </c>
      <c r="F209" s="16">
        <v>51.27</v>
      </c>
      <c r="G209" s="16">
        <v>0</v>
      </c>
      <c r="H209" s="16">
        <v>29.67</v>
      </c>
      <c r="I209" s="16">
        <v>0</v>
      </c>
      <c r="J209" s="16">
        <v>0.60109781337172685</v>
      </c>
      <c r="K209" s="16">
        <v>0</v>
      </c>
      <c r="L209" s="16">
        <v>0</v>
      </c>
      <c r="M209" s="16">
        <v>13.23</v>
      </c>
      <c r="N209" s="16">
        <v>4.08</v>
      </c>
      <c r="O209" s="16">
        <v>0.13900000000000001</v>
      </c>
      <c r="P209" s="16"/>
      <c r="Q209" s="16"/>
      <c r="R209" s="16"/>
      <c r="S209" s="16">
        <f t="shared" si="168"/>
        <v>98.990097813371719</v>
      </c>
      <c r="T209" s="16"/>
      <c r="U209" s="15"/>
      <c r="V209" s="15"/>
      <c r="W209" s="15"/>
      <c r="X209" s="15" t="s">
        <v>185</v>
      </c>
      <c r="Y209" s="15"/>
      <c r="Z209" s="37">
        <v>8</v>
      </c>
      <c r="AA209" s="37">
        <v>5</v>
      </c>
      <c r="AB209" s="15"/>
      <c r="AC209" s="38">
        <f t="shared" si="169"/>
        <v>2.3611893709047074</v>
      </c>
      <c r="AD209" s="38">
        <f t="shared" si="170"/>
        <v>0</v>
      </c>
      <c r="AE209" s="38">
        <f t="shared" si="171"/>
        <v>1.6103309547441396</v>
      </c>
      <c r="AF209" s="38">
        <f t="shared" si="172"/>
        <v>0</v>
      </c>
      <c r="AG209" s="38">
        <f t="shared" si="173"/>
        <v>2.3148124086577428E-2</v>
      </c>
      <c r="AH209" s="38">
        <f t="shared" si="174"/>
        <v>0</v>
      </c>
      <c r="AI209" s="38">
        <f t="shared" si="175"/>
        <v>0</v>
      </c>
      <c r="AJ209" s="38">
        <f t="shared" si="176"/>
        <v>0.65275358443826459</v>
      </c>
      <c r="AK209" s="38">
        <f t="shared" si="177"/>
        <v>0.36428057460423646</v>
      </c>
      <c r="AL209" s="38">
        <f t="shared" si="178"/>
        <v>8.1656604948324128E-3</v>
      </c>
      <c r="AM209" s="38">
        <f t="shared" si="179"/>
        <v>0</v>
      </c>
      <c r="AN209" s="38">
        <f t="shared" si="180"/>
        <v>0</v>
      </c>
      <c r="AO209" s="38">
        <f t="shared" si="181"/>
        <v>0</v>
      </c>
      <c r="AP209" s="38">
        <f t="shared" si="182"/>
        <v>5.0198682692727568</v>
      </c>
      <c r="AQ209" s="38">
        <f t="shared" si="183"/>
        <v>3.9715203256488469</v>
      </c>
      <c r="AR209" s="38">
        <f t="shared" si="184"/>
        <v>1.0251998195373335</v>
      </c>
      <c r="AS209" s="40"/>
      <c r="AT209" s="38">
        <f t="shared" si="185"/>
        <v>2.351843957099276</v>
      </c>
      <c r="AU209" s="38">
        <f t="shared" si="186"/>
        <v>0</v>
      </c>
      <c r="AV209" s="38">
        <f t="shared" si="187"/>
        <v>1.6039573833054315</v>
      </c>
      <c r="AW209" s="38">
        <f t="shared" si="188"/>
        <v>0</v>
      </c>
      <c r="AX209" s="38">
        <f t="shared" si="189"/>
        <v>0</v>
      </c>
      <c r="AY209" s="38">
        <f t="shared" si="190"/>
        <v>2.3056505514566977E-2</v>
      </c>
      <c r="AZ209" s="38">
        <f t="shared" si="191"/>
        <v>0</v>
      </c>
      <c r="BA209" s="38">
        <f t="shared" si="192"/>
        <v>0</v>
      </c>
      <c r="BB209" s="38">
        <f t="shared" si="193"/>
        <v>0.65017003377743088</v>
      </c>
      <c r="BC209" s="38">
        <f t="shared" si="194"/>
        <v>0.3628387788919118</v>
      </c>
      <c r="BD209" s="38">
        <f t="shared" si="195"/>
        <v>8.1333414113826871E-3</v>
      </c>
      <c r="BE209" s="38">
        <f t="shared" si="196"/>
        <v>0</v>
      </c>
      <c r="BF209" s="38">
        <f t="shared" si="197"/>
        <v>0</v>
      </c>
      <c r="BG209" s="38">
        <f t="shared" si="198"/>
        <v>0</v>
      </c>
      <c r="BH209" s="41">
        <f t="shared" si="199"/>
        <v>5</v>
      </c>
      <c r="BI209" s="42">
        <f t="shared" si="200"/>
        <v>7.9798648413576281</v>
      </c>
      <c r="BJ209" s="38">
        <f t="shared" si="201"/>
        <v>3.9558013404047072</v>
      </c>
      <c r="BK209" s="38">
        <f t="shared" si="202"/>
        <v>1.0211421540807253</v>
      </c>
      <c r="BL209" s="16"/>
      <c r="BM209" s="16">
        <f t="shared" si="203"/>
        <v>0.63670864157276996</v>
      </c>
      <c r="BN209" s="16">
        <f t="shared" si="204"/>
        <v>0.35532641311684399</v>
      </c>
      <c r="BO209" s="16">
        <f t="shared" si="205"/>
        <v>7.9649453103859558E-3</v>
      </c>
      <c r="BP209" s="15"/>
      <c r="BQ209" s="38">
        <f t="shared" si="206"/>
        <v>0.8533621837549934</v>
      </c>
      <c r="BR209" s="38">
        <f t="shared" si="207"/>
        <v>0</v>
      </c>
      <c r="BS209" s="38">
        <f t="shared" si="208"/>
        <v>0.58199293840721855</v>
      </c>
      <c r="BT209" s="38">
        <f t="shared" si="209"/>
        <v>0</v>
      </c>
      <c r="BU209" s="38">
        <f t="shared" si="210"/>
        <v>8.3660099286252867E-3</v>
      </c>
      <c r="BV209" s="38">
        <f t="shared" si="211"/>
        <v>0</v>
      </c>
      <c r="BW209" s="38">
        <f t="shared" si="212"/>
        <v>0</v>
      </c>
      <c r="BX209" s="38">
        <f t="shared" si="213"/>
        <v>0.2359129814550642</v>
      </c>
      <c r="BY209" s="38">
        <f t="shared" si="214"/>
        <v>0.13165537270087127</v>
      </c>
      <c r="BZ209" s="38">
        <f t="shared" si="215"/>
        <v>2.9511677282377923E-3</v>
      </c>
      <c r="CA209" s="38">
        <f t="shared" si="216"/>
        <v>0</v>
      </c>
      <c r="CB209" s="38">
        <f t="shared" si="217"/>
        <v>0</v>
      </c>
      <c r="CC209" s="38">
        <f t="shared" si="218"/>
        <v>0</v>
      </c>
      <c r="CD209" s="38">
        <f t="shared" si="219"/>
        <v>1.8142406539750107</v>
      </c>
      <c r="CE209" s="38">
        <f t="shared" si="220"/>
        <v>2.8912960367190585</v>
      </c>
      <c r="CF209" s="38">
        <f t="shared" si="221"/>
        <v>2.7559739602598885</v>
      </c>
      <c r="CG209" s="38">
        <f t="shared" si="222"/>
        <v>7.9683365886003434</v>
      </c>
      <c r="CH209" s="15"/>
      <c r="CI209" s="16"/>
      <c r="CJ209" s="13"/>
      <c r="CK209" s="104"/>
      <c r="CL209" s="13"/>
      <c r="CM209" s="13"/>
      <c r="CN209" s="13"/>
      <c r="CO209" s="16"/>
      <c r="CP209" s="16"/>
      <c r="CQ209" s="16"/>
      <c r="CR209" s="16"/>
      <c r="CS209" s="16"/>
      <c r="CT209" s="16"/>
      <c r="CU209" s="16"/>
      <c r="CV209" s="16"/>
      <c r="CW209" s="16"/>
      <c r="CX209" s="16"/>
      <c r="CY209" s="104"/>
      <c r="CZ209" s="104"/>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3"/>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row>
    <row r="210" spans="1:167" x14ac:dyDescent="0.25">
      <c r="A210" s="35" t="s">
        <v>89</v>
      </c>
      <c r="B210" s="15">
        <v>673</v>
      </c>
      <c r="C210" s="102" t="s">
        <v>97</v>
      </c>
      <c r="D210" s="102" t="s">
        <v>106</v>
      </c>
      <c r="E210" s="15">
        <v>184</v>
      </c>
      <c r="F210" s="16">
        <v>53.17</v>
      </c>
      <c r="G210" s="16">
        <v>0</v>
      </c>
      <c r="H210" s="16">
        <v>29.14</v>
      </c>
      <c r="I210" s="16">
        <v>0</v>
      </c>
      <c r="J210" s="16">
        <v>0.45352290110681187</v>
      </c>
      <c r="K210" s="16">
        <v>0</v>
      </c>
      <c r="L210" s="16">
        <v>0</v>
      </c>
      <c r="M210" s="16">
        <v>12.3</v>
      </c>
      <c r="N210" s="16">
        <v>4.7</v>
      </c>
      <c r="O210" s="16">
        <v>0.17699999999999999</v>
      </c>
      <c r="P210" s="16"/>
      <c r="Q210" s="16"/>
      <c r="R210" s="16"/>
      <c r="S210" s="16">
        <f t="shared" si="168"/>
        <v>99.940522901106817</v>
      </c>
      <c r="T210" s="16"/>
      <c r="U210" s="15"/>
      <c r="V210" s="15"/>
      <c r="W210" s="15"/>
      <c r="X210" s="15" t="s">
        <v>185</v>
      </c>
      <c r="Y210" s="15"/>
      <c r="Z210" s="37">
        <v>8</v>
      </c>
      <c r="AA210" s="37">
        <v>5</v>
      </c>
      <c r="AB210" s="15"/>
      <c r="AC210" s="38">
        <f t="shared" si="169"/>
        <v>2.4157523230865294</v>
      </c>
      <c r="AD210" s="38">
        <f t="shared" si="170"/>
        <v>0</v>
      </c>
      <c r="AE210" s="38">
        <f t="shared" si="171"/>
        <v>1.5602902182485896</v>
      </c>
      <c r="AF210" s="38">
        <f t="shared" si="172"/>
        <v>0</v>
      </c>
      <c r="AG210" s="38">
        <f t="shared" si="173"/>
        <v>1.7230112741004486E-2</v>
      </c>
      <c r="AH210" s="38">
        <f t="shared" si="174"/>
        <v>0</v>
      </c>
      <c r="AI210" s="38">
        <f t="shared" si="175"/>
        <v>0</v>
      </c>
      <c r="AJ210" s="38">
        <f t="shared" si="176"/>
        <v>0.59870484959816395</v>
      </c>
      <c r="AK210" s="38">
        <f t="shared" si="177"/>
        <v>0.41399200223960431</v>
      </c>
      <c r="AL210" s="38">
        <f t="shared" si="178"/>
        <v>1.0258125990173667E-2</v>
      </c>
      <c r="AM210" s="38">
        <f t="shared" si="179"/>
        <v>0</v>
      </c>
      <c r="AN210" s="38">
        <f t="shared" si="180"/>
        <v>0</v>
      </c>
      <c r="AO210" s="38">
        <f t="shared" si="181"/>
        <v>0</v>
      </c>
      <c r="AP210" s="38">
        <f t="shared" si="182"/>
        <v>5.0162276319040657</v>
      </c>
      <c r="AQ210" s="38">
        <f t="shared" si="183"/>
        <v>3.976042541335119</v>
      </c>
      <c r="AR210" s="38">
        <f t="shared" si="184"/>
        <v>1.0229549778279421</v>
      </c>
      <c r="AS210" s="40"/>
      <c r="AT210" s="38">
        <f t="shared" si="185"/>
        <v>2.407937299059089</v>
      </c>
      <c r="AU210" s="38">
        <f t="shared" si="186"/>
        <v>0</v>
      </c>
      <c r="AV210" s="38">
        <f t="shared" si="187"/>
        <v>1.5552426372408588</v>
      </c>
      <c r="AW210" s="38">
        <f t="shared" si="188"/>
        <v>0</v>
      </c>
      <c r="AX210" s="38">
        <f t="shared" si="189"/>
        <v>0</v>
      </c>
      <c r="AY210" s="38">
        <f t="shared" si="190"/>
        <v>1.7174372860810801E-2</v>
      </c>
      <c r="AZ210" s="38">
        <f t="shared" si="191"/>
        <v>0</v>
      </c>
      <c r="BA210" s="38">
        <f t="shared" si="192"/>
        <v>0</v>
      </c>
      <c r="BB210" s="38">
        <f t="shared" si="193"/>
        <v>0.59676802323552736</v>
      </c>
      <c r="BC210" s="38">
        <f t="shared" si="194"/>
        <v>0.41265272692824417</v>
      </c>
      <c r="BD210" s="38">
        <f t="shared" si="195"/>
        <v>1.0224940675469181E-2</v>
      </c>
      <c r="BE210" s="38">
        <f t="shared" si="196"/>
        <v>0</v>
      </c>
      <c r="BF210" s="38">
        <f t="shared" si="197"/>
        <v>0</v>
      </c>
      <c r="BG210" s="38">
        <f t="shared" si="198"/>
        <v>0</v>
      </c>
      <c r="BH210" s="41">
        <f t="shared" si="199"/>
        <v>5</v>
      </c>
      <c r="BI210" s="42">
        <f t="shared" si="200"/>
        <v>7.9827069703080653</v>
      </c>
      <c r="BJ210" s="38">
        <f t="shared" si="201"/>
        <v>3.963179936299948</v>
      </c>
      <c r="BK210" s="38">
        <f t="shared" si="202"/>
        <v>1.0196456908392406</v>
      </c>
      <c r="BL210" s="16"/>
      <c r="BM210" s="16">
        <f t="shared" si="203"/>
        <v>0.58526998995537838</v>
      </c>
      <c r="BN210" s="16">
        <f t="shared" si="204"/>
        <v>0.40470207507923822</v>
      </c>
      <c r="BO210" s="16">
        <f t="shared" si="205"/>
        <v>1.002793496538325E-2</v>
      </c>
      <c r="BP210" s="15"/>
      <c r="BQ210" s="38">
        <f t="shared" si="206"/>
        <v>0.88498668442077233</v>
      </c>
      <c r="BR210" s="38">
        <f t="shared" si="207"/>
        <v>0</v>
      </c>
      <c r="BS210" s="38">
        <f t="shared" si="208"/>
        <v>0.57159670459003531</v>
      </c>
      <c r="BT210" s="38">
        <f t="shared" si="209"/>
        <v>0</v>
      </c>
      <c r="BU210" s="38">
        <f t="shared" si="210"/>
        <v>6.3120793473460252E-3</v>
      </c>
      <c r="BV210" s="38">
        <f t="shared" si="211"/>
        <v>0</v>
      </c>
      <c r="BW210" s="38">
        <f t="shared" si="212"/>
        <v>0</v>
      </c>
      <c r="BX210" s="38">
        <f t="shared" si="213"/>
        <v>0.21932952924393725</v>
      </c>
      <c r="BY210" s="38">
        <f t="shared" si="214"/>
        <v>0.15166182639561149</v>
      </c>
      <c r="BZ210" s="38">
        <f t="shared" si="215"/>
        <v>3.7579617834394901E-3</v>
      </c>
      <c r="CA210" s="38">
        <f t="shared" si="216"/>
        <v>0</v>
      </c>
      <c r="CB210" s="38">
        <f t="shared" si="217"/>
        <v>0</v>
      </c>
      <c r="CC210" s="38">
        <f t="shared" si="218"/>
        <v>0</v>
      </c>
      <c r="CD210" s="38">
        <f t="shared" si="219"/>
        <v>1.8376447857811422</v>
      </c>
      <c r="CE210" s="38">
        <f t="shared" si="220"/>
        <v>2.9307199284074064</v>
      </c>
      <c r="CF210" s="38">
        <f t="shared" si="221"/>
        <v>2.7208740441502739</v>
      </c>
      <c r="CG210" s="38">
        <f t="shared" si="222"/>
        <v>7.9741197838776605</v>
      </c>
      <c r="CH210" s="15"/>
      <c r="CI210" s="16"/>
      <c r="CJ210" s="13"/>
      <c r="CK210" s="104"/>
      <c r="CL210" s="13"/>
      <c r="CM210" s="13"/>
      <c r="CN210" s="13"/>
      <c r="CO210" s="16"/>
      <c r="CP210" s="16"/>
      <c r="CQ210" s="16"/>
      <c r="CR210" s="16"/>
      <c r="CS210" s="16"/>
      <c r="CT210" s="16"/>
      <c r="CU210" s="16"/>
      <c r="CV210" s="16"/>
      <c r="CW210" s="16"/>
      <c r="CX210" s="16"/>
      <c r="CY210" s="104"/>
      <c r="CZ210" s="104"/>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3"/>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row>
    <row r="211" spans="1:167" x14ac:dyDescent="0.25">
      <c r="A211" s="35" t="s">
        <v>89</v>
      </c>
      <c r="B211" s="15">
        <v>674</v>
      </c>
      <c r="C211" s="102" t="s">
        <v>97</v>
      </c>
      <c r="D211" s="102" t="s">
        <v>106</v>
      </c>
      <c r="E211" s="15">
        <v>185</v>
      </c>
      <c r="F211" s="16">
        <v>48.4</v>
      </c>
      <c r="G211" s="16">
        <v>0</v>
      </c>
      <c r="H211" s="16">
        <v>31.82</v>
      </c>
      <c r="I211" s="16">
        <v>0</v>
      </c>
      <c r="J211" s="16">
        <v>0.58040133177359854</v>
      </c>
      <c r="K211" s="16">
        <v>0</v>
      </c>
      <c r="L211" s="16">
        <v>0</v>
      </c>
      <c r="M211" s="16">
        <v>15.77</v>
      </c>
      <c r="N211" s="16">
        <v>2.5099999999999998</v>
      </c>
      <c r="O211" s="16">
        <v>6.9000000000000006E-2</v>
      </c>
      <c r="P211" s="16"/>
      <c r="Q211" s="16"/>
      <c r="R211" s="16"/>
      <c r="S211" s="16">
        <f t="shared" si="168"/>
        <v>99.149401331773603</v>
      </c>
      <c r="T211" s="16"/>
      <c r="U211" s="15"/>
      <c r="V211" s="15"/>
      <c r="W211" s="15"/>
      <c r="X211" s="15" t="s">
        <v>185</v>
      </c>
      <c r="Y211" s="15"/>
      <c r="Z211" s="37">
        <v>8</v>
      </c>
      <c r="AA211" s="37">
        <v>5</v>
      </c>
      <c r="AB211" s="15"/>
      <c r="AC211" s="38">
        <f t="shared" si="169"/>
        <v>2.2393530747228891</v>
      </c>
      <c r="AD211" s="38">
        <f t="shared" si="170"/>
        <v>0</v>
      </c>
      <c r="AE211" s="38">
        <f t="shared" si="171"/>
        <v>1.7350319633724272</v>
      </c>
      <c r="AF211" s="38">
        <f t="shared" si="172"/>
        <v>0</v>
      </c>
      <c r="AG211" s="38">
        <f t="shared" si="173"/>
        <v>2.2454777887063411E-2</v>
      </c>
      <c r="AH211" s="38">
        <f t="shared" si="174"/>
        <v>0</v>
      </c>
      <c r="AI211" s="38">
        <f t="shared" si="175"/>
        <v>0</v>
      </c>
      <c r="AJ211" s="38">
        <f t="shared" si="176"/>
        <v>0.78168328271516929</v>
      </c>
      <c r="AK211" s="38">
        <f t="shared" si="177"/>
        <v>0.22514343146594307</v>
      </c>
      <c r="AL211" s="38">
        <f t="shared" si="178"/>
        <v>4.0722583207546941E-3</v>
      </c>
      <c r="AM211" s="38">
        <f t="shared" si="179"/>
        <v>0</v>
      </c>
      <c r="AN211" s="38">
        <f t="shared" si="180"/>
        <v>0</v>
      </c>
      <c r="AO211" s="38">
        <f t="shared" si="181"/>
        <v>0</v>
      </c>
      <c r="AP211" s="38">
        <f t="shared" si="182"/>
        <v>5.0077387884842466</v>
      </c>
      <c r="AQ211" s="38">
        <f t="shared" si="183"/>
        <v>3.9743850380953161</v>
      </c>
      <c r="AR211" s="38">
        <f t="shared" si="184"/>
        <v>1.0108989725018669</v>
      </c>
      <c r="AS211" s="40"/>
      <c r="AT211" s="38">
        <f t="shared" si="185"/>
        <v>2.2358924549663879</v>
      </c>
      <c r="AU211" s="38">
        <f t="shared" si="186"/>
        <v>0</v>
      </c>
      <c r="AV211" s="38">
        <f t="shared" si="187"/>
        <v>1.7323507042363033</v>
      </c>
      <c r="AW211" s="38">
        <f t="shared" si="188"/>
        <v>0</v>
      </c>
      <c r="AX211" s="38">
        <f t="shared" si="189"/>
        <v>0</v>
      </c>
      <c r="AY211" s="38">
        <f t="shared" si="190"/>
        <v>2.2420077040260396E-2</v>
      </c>
      <c r="AZ211" s="38">
        <f t="shared" si="191"/>
        <v>0</v>
      </c>
      <c r="BA211" s="38">
        <f t="shared" si="192"/>
        <v>0</v>
      </c>
      <c r="BB211" s="38">
        <f t="shared" si="193"/>
        <v>0.78047529606847865</v>
      </c>
      <c r="BC211" s="38">
        <f t="shared" si="194"/>
        <v>0.22479550249673666</v>
      </c>
      <c r="BD211" s="38">
        <f t="shared" si="195"/>
        <v>4.0659651918339128E-3</v>
      </c>
      <c r="BE211" s="38">
        <f t="shared" si="196"/>
        <v>0</v>
      </c>
      <c r="BF211" s="38">
        <f t="shared" si="197"/>
        <v>0</v>
      </c>
      <c r="BG211" s="38">
        <f t="shared" si="198"/>
        <v>0</v>
      </c>
      <c r="BH211" s="41">
        <f t="shared" si="199"/>
        <v>5.0000000000000009</v>
      </c>
      <c r="BI211" s="42">
        <f t="shared" si="200"/>
        <v>7.9988471117603854</v>
      </c>
      <c r="BJ211" s="38">
        <f t="shared" si="201"/>
        <v>3.9682431592026912</v>
      </c>
      <c r="BK211" s="38">
        <f t="shared" si="202"/>
        <v>1.0093367637570494</v>
      </c>
      <c r="BL211" s="16"/>
      <c r="BM211" s="16">
        <f t="shared" si="203"/>
        <v>0.77325559128879784</v>
      </c>
      <c r="BN211" s="16">
        <f t="shared" si="204"/>
        <v>0.22271605530346633</v>
      </c>
      <c r="BO211" s="16">
        <f t="shared" si="205"/>
        <v>4.0283534077359779E-3</v>
      </c>
      <c r="BP211" s="15"/>
      <c r="BQ211" s="38">
        <f t="shared" si="206"/>
        <v>0.80559254327563246</v>
      </c>
      <c r="BR211" s="38">
        <f t="shared" si="207"/>
        <v>0</v>
      </c>
      <c r="BS211" s="38">
        <f t="shared" si="208"/>
        <v>0.62416633974107494</v>
      </c>
      <c r="BT211" s="38">
        <f t="shared" si="209"/>
        <v>0</v>
      </c>
      <c r="BU211" s="38">
        <f t="shared" si="210"/>
        <v>8.0779586885678292E-3</v>
      </c>
      <c r="BV211" s="38">
        <f t="shared" si="211"/>
        <v>0</v>
      </c>
      <c r="BW211" s="38">
        <f t="shared" si="212"/>
        <v>0</v>
      </c>
      <c r="BX211" s="38">
        <f t="shared" si="213"/>
        <v>0.28120542082738942</v>
      </c>
      <c r="BY211" s="38">
        <f t="shared" si="214"/>
        <v>8.0993868989996776E-2</v>
      </c>
      <c r="BZ211" s="38">
        <f t="shared" si="215"/>
        <v>1.4649681528662421E-3</v>
      </c>
      <c r="CA211" s="38">
        <f t="shared" si="216"/>
        <v>0</v>
      </c>
      <c r="CB211" s="38">
        <f t="shared" si="217"/>
        <v>0</v>
      </c>
      <c r="CC211" s="38">
        <f t="shared" si="218"/>
        <v>0</v>
      </c>
      <c r="CD211" s="38">
        <f t="shared" si="219"/>
        <v>1.8015010996755274</v>
      </c>
      <c r="CE211" s="38">
        <f t="shared" si="220"/>
        <v>2.877947394250266</v>
      </c>
      <c r="CF211" s="38">
        <f t="shared" si="221"/>
        <v>2.7754631961648881</v>
      </c>
      <c r="CG211" s="38">
        <f t="shared" si="222"/>
        <v>7.9876370732402551</v>
      </c>
      <c r="CH211" s="15"/>
      <c r="CI211" s="16">
        <v>11.330523154529111</v>
      </c>
      <c r="CJ211" s="13">
        <v>20041.340593729903</v>
      </c>
      <c r="CK211" s="104">
        <v>487.2113271987958</v>
      </c>
      <c r="CL211" s="13">
        <v>159012.35288111347</v>
      </c>
      <c r="CM211" s="13">
        <v>238942.70490075779</v>
      </c>
      <c r="CN211" s="13">
        <v>93306.007487349154</v>
      </c>
      <c r="CO211" s="16">
        <v>0</v>
      </c>
      <c r="CP211" s="16">
        <v>116.57356880934418</v>
      </c>
      <c r="CQ211" s="16">
        <v>1.2079703542850717</v>
      </c>
      <c r="CR211" s="16">
        <v>1.737877878974186</v>
      </c>
      <c r="CS211" s="16">
        <v>46.554033538612963</v>
      </c>
      <c r="CT211" s="16">
        <v>0.36008864729623746</v>
      </c>
      <c r="CU211" s="16">
        <v>30.533495740235509</v>
      </c>
      <c r="CV211" s="16">
        <v>0</v>
      </c>
      <c r="CW211" s="16">
        <v>2.9592152525275215</v>
      </c>
      <c r="CX211" s="16">
        <v>0</v>
      </c>
      <c r="CY211" s="104">
        <v>423.18643650571784</v>
      </c>
      <c r="CZ211" s="104">
        <v>431.54285656772436</v>
      </c>
      <c r="DA211" s="16">
        <v>0.63779769306670864</v>
      </c>
      <c r="DB211" s="16">
        <v>0</v>
      </c>
      <c r="DC211" s="16">
        <v>0</v>
      </c>
      <c r="DD211" s="16">
        <v>0</v>
      </c>
      <c r="DE211" s="16">
        <v>58.958394759963596</v>
      </c>
      <c r="DF211" s="16">
        <v>2.0672161692648037</v>
      </c>
      <c r="DG211" s="16">
        <v>2.9442301672173978</v>
      </c>
      <c r="DH211" s="16">
        <v>0.24625097228993617</v>
      </c>
      <c r="DI211" s="16">
        <v>0.71753858718475061</v>
      </c>
      <c r="DJ211" s="16">
        <v>0.11351452374764066</v>
      </c>
      <c r="DK211" s="16">
        <v>0.30249998162130193</v>
      </c>
      <c r="DL211" s="16">
        <v>0</v>
      </c>
      <c r="DM211" s="16">
        <v>2.4547772063419439E-2</v>
      </c>
      <c r="DN211" s="16">
        <v>0</v>
      </c>
      <c r="DO211" s="16">
        <v>0.10860879935966568</v>
      </c>
      <c r="DP211" s="16">
        <v>0</v>
      </c>
      <c r="DQ211" s="16">
        <v>0</v>
      </c>
      <c r="DR211" s="16">
        <v>0</v>
      </c>
      <c r="DS211" s="16">
        <v>0</v>
      </c>
      <c r="DT211" s="16">
        <v>0</v>
      </c>
      <c r="DU211" s="16">
        <v>0</v>
      </c>
      <c r="DV211" s="16">
        <v>2.283609424538168</v>
      </c>
      <c r="DW211" s="16">
        <v>8.2608631159510823E-3</v>
      </c>
      <c r="DX211" s="16">
        <v>1.8109960502919863E-2</v>
      </c>
      <c r="DY211" s="16" t="e">
        <f>(DK211/0.05883)/SQRT((DJ211/0.1536)*(DL211/0.2069))</f>
        <v>#DIV/0!</v>
      </c>
      <c r="DZ211" s="16"/>
      <c r="EA211" s="13">
        <f>1128+200*((BM211-0.4)/0.4) -273</f>
        <v>1041.6277956443989</v>
      </c>
      <c r="EB211" s="16"/>
      <c r="EC211" s="16">
        <f>(-18.482 -16.353 * BM211)/(0.008314 * (EA211+273))</f>
        <v>-2.8479024832867976</v>
      </c>
      <c r="ED211" s="16"/>
      <c r="EE211" s="16"/>
      <c r="EF211" s="16"/>
      <c r="EG211" s="16"/>
      <c r="EH211" s="16"/>
      <c r="EI211" s="16"/>
      <c r="EJ211" s="16"/>
      <c r="EK211" s="16"/>
      <c r="EL211" s="16">
        <f>(23.856 -20.71 * BM211)/(0.008314 * (EA211+273))</f>
        <v>0.71747567096995102</v>
      </c>
      <c r="EM211" s="16"/>
      <c r="EN211" s="16">
        <f>(-4.5269  -51.811 * BM211)/(0.008314 * (EA211+273)) +N("eqn50a")</f>
        <v>-4.0796704636846295</v>
      </c>
      <c r="EO211" s="16" t="e">
        <f>(-187.27 + 2.26018 *#REF!)/(0.008314 * (EA211+273)) +N("fsp eqn35 from SiO2")</f>
        <v>#REF!</v>
      </c>
      <c r="EP211" s="16"/>
      <c r="EQ211" s="16"/>
      <c r="ER211" s="16">
        <f>(10.146 -35.204 * BM211)/(0.008314 * (EA211+273))</f>
        <v>-1.5623035765504405</v>
      </c>
      <c r="ES211" s="16">
        <f>(2.1146 -37.009 * BM211)/(0.008314 * (EA211+273))</f>
        <v>-2.4248182592845304</v>
      </c>
      <c r="ET211" s="16">
        <f>(-3.6812 -33.822 * BM211)/(0.008314 * (EA211+273))</f>
        <v>-2.7296206992433767</v>
      </c>
      <c r="EU211" s="16">
        <f>(-6.8025 -26.094 * BM211)/(0.008314 * (EA211+273))</f>
        <v>-2.4684617426890596</v>
      </c>
      <c r="EV211" s="16">
        <f>(-5.6996 -30.85 * BM211)/(0.008314 * (EA211+273))</f>
        <v>-2.7040287194437389</v>
      </c>
      <c r="EW211" s="16">
        <f>(-8.6767 -33.32 * BM211)/(0.008314 * (EA211+273))</f>
        <v>-3.1511580706774174</v>
      </c>
      <c r="EX211" s="16"/>
      <c r="EY211" s="16">
        <f>(-1.9714 -59.897 * BM211)/(0.008314 * (EA211+273))</f>
        <v>-4.4179236312274135</v>
      </c>
      <c r="EZ211" s="16">
        <f>(-4.3691 -44.528 * BM211)/(0.008314 * (EA211+273))</f>
        <v>-3.5499798687179767</v>
      </c>
      <c r="FA211" s="16">
        <f>(-2.2521 -58.215 * BM211)/(0.008314 * (EA211+273))</f>
        <v>-4.3246086155071461</v>
      </c>
      <c r="FB211" s="16"/>
      <c r="FC211" s="16">
        <f>(-8.5 - 57.253 * BM211)/(0.008314 * (EA211+273))</f>
        <v>-4.8281878501896989</v>
      </c>
      <c r="FD211" s="16"/>
      <c r="FE211" s="16">
        <f>(-9.2954 -52.923 * BM211)/(0.008314 * (EA211+273))</f>
        <v>-4.5946251965549374</v>
      </c>
      <c r="FF211" s="16">
        <f>(0.61501 -70.378 * BM211)/(0.008314 * (EA211+273))</f>
        <v>-4.9227886818623707</v>
      </c>
      <c r="FG211" s="16"/>
      <c r="FH211" s="16"/>
      <c r="FI211" s="16"/>
      <c r="FJ211" s="16"/>
      <c r="FK211" s="16"/>
    </row>
    <row r="212" spans="1:167" x14ac:dyDescent="0.25">
      <c r="A212" s="35" t="s">
        <v>89</v>
      </c>
      <c r="B212" s="15">
        <v>675</v>
      </c>
      <c r="C212" s="102" t="s">
        <v>97</v>
      </c>
      <c r="D212" s="102" t="s">
        <v>106</v>
      </c>
      <c r="E212" s="15">
        <v>186</v>
      </c>
      <c r="F212" s="16">
        <v>48.56</v>
      </c>
      <c r="G212" s="16">
        <v>0</v>
      </c>
      <c r="H212" s="16">
        <v>31.84</v>
      </c>
      <c r="I212" s="16">
        <v>0</v>
      </c>
      <c r="J212" s="16">
        <v>0.53360928642130834</v>
      </c>
      <c r="K212" s="16">
        <v>0</v>
      </c>
      <c r="L212" s="16">
        <v>0</v>
      </c>
      <c r="M212" s="16">
        <v>15.6</v>
      </c>
      <c r="N212" s="16">
        <v>2.78</v>
      </c>
      <c r="O212" s="16">
        <v>7.0999999999999994E-2</v>
      </c>
      <c r="P212" s="16"/>
      <c r="Q212" s="16"/>
      <c r="R212" s="16"/>
      <c r="S212" s="16">
        <f t="shared" si="168"/>
        <v>99.384609286421309</v>
      </c>
      <c r="T212" s="16"/>
      <c r="U212" s="15">
        <v>2</v>
      </c>
      <c r="V212" s="15"/>
      <c r="W212" s="15"/>
      <c r="X212" s="15"/>
      <c r="Y212" s="15" t="s">
        <v>267</v>
      </c>
      <c r="Z212" s="37">
        <v>8</v>
      </c>
      <c r="AA212" s="37">
        <v>5</v>
      </c>
      <c r="AB212" s="15"/>
      <c r="AC212" s="38">
        <f t="shared" si="169"/>
        <v>2.2416077801150651</v>
      </c>
      <c r="AD212" s="38">
        <f t="shared" si="170"/>
        <v>0</v>
      </c>
      <c r="AE212" s="38">
        <f t="shared" si="171"/>
        <v>1.732144420135254</v>
      </c>
      <c r="AF212" s="38">
        <f t="shared" si="172"/>
        <v>0</v>
      </c>
      <c r="AG212" s="38">
        <f t="shared" si="173"/>
        <v>2.0597166408503058E-2</v>
      </c>
      <c r="AH212" s="38">
        <f t="shared" si="174"/>
        <v>0</v>
      </c>
      <c r="AI212" s="38">
        <f t="shared" si="175"/>
        <v>0</v>
      </c>
      <c r="AJ212" s="38">
        <f t="shared" si="176"/>
        <v>0.7714849611380088</v>
      </c>
      <c r="AK212" s="38">
        <f t="shared" si="177"/>
        <v>0.24879067069882407</v>
      </c>
      <c r="AL212" s="38">
        <f t="shared" si="178"/>
        <v>4.1806933421307457E-3</v>
      </c>
      <c r="AM212" s="38">
        <f t="shared" si="179"/>
        <v>0</v>
      </c>
      <c r="AN212" s="38">
        <f t="shared" si="180"/>
        <v>0</v>
      </c>
      <c r="AO212" s="38">
        <f t="shared" si="181"/>
        <v>0</v>
      </c>
      <c r="AP212" s="38">
        <f t="shared" si="182"/>
        <v>5.0188056918377866</v>
      </c>
      <c r="AQ212" s="38">
        <f t="shared" si="183"/>
        <v>3.9737522002503192</v>
      </c>
      <c r="AR212" s="38">
        <f t="shared" si="184"/>
        <v>1.0244563251789636</v>
      </c>
      <c r="AS212" s="40"/>
      <c r="AT212" s="38">
        <f t="shared" si="185"/>
        <v>2.2332083744153017</v>
      </c>
      <c r="AU212" s="38">
        <f t="shared" si="186"/>
        <v>0</v>
      </c>
      <c r="AV212" s="38">
        <f t="shared" si="187"/>
        <v>1.7256539966792155</v>
      </c>
      <c r="AW212" s="38">
        <f t="shared" si="188"/>
        <v>0</v>
      </c>
      <c r="AX212" s="38">
        <f t="shared" si="189"/>
        <v>0</v>
      </c>
      <c r="AY212" s="38">
        <f t="shared" si="190"/>
        <v>2.0519987894730377E-2</v>
      </c>
      <c r="AZ212" s="38">
        <f t="shared" si="191"/>
        <v>0</v>
      </c>
      <c r="BA212" s="38">
        <f t="shared" si="192"/>
        <v>0</v>
      </c>
      <c r="BB212" s="38">
        <f t="shared" si="193"/>
        <v>0.76859417210821168</v>
      </c>
      <c r="BC212" s="38">
        <f t="shared" si="194"/>
        <v>0.24785844080738051</v>
      </c>
      <c r="BD212" s="38">
        <f t="shared" si="195"/>
        <v>4.165028095160085E-3</v>
      </c>
      <c r="BE212" s="38">
        <f t="shared" si="196"/>
        <v>0</v>
      </c>
      <c r="BF212" s="38">
        <f t="shared" si="197"/>
        <v>0</v>
      </c>
      <c r="BG212" s="38">
        <f t="shared" si="198"/>
        <v>0</v>
      </c>
      <c r="BH212" s="41">
        <f t="shared" si="199"/>
        <v>5</v>
      </c>
      <c r="BI212" s="42">
        <f t="shared" si="200"/>
        <v>7.9802836322510045</v>
      </c>
      <c r="BJ212" s="38">
        <f t="shared" si="201"/>
        <v>3.9588623710945172</v>
      </c>
      <c r="BK212" s="38">
        <f t="shared" si="202"/>
        <v>1.0206176410107524</v>
      </c>
      <c r="BL212" s="16"/>
      <c r="BM212" s="16">
        <f t="shared" si="203"/>
        <v>0.75306769276204832</v>
      </c>
      <c r="BN212" s="16">
        <f t="shared" si="204"/>
        <v>0.24285141746317249</v>
      </c>
      <c r="BO212" s="16">
        <f t="shared" si="205"/>
        <v>4.0808897747792372E-3</v>
      </c>
      <c r="BP212" s="15"/>
      <c r="BQ212" s="38">
        <f t="shared" si="206"/>
        <v>0.80825565912117181</v>
      </c>
      <c r="BR212" s="38">
        <f t="shared" si="207"/>
        <v>0</v>
      </c>
      <c r="BS212" s="38">
        <f t="shared" si="208"/>
        <v>0.62455865045115733</v>
      </c>
      <c r="BT212" s="38">
        <f t="shared" si="209"/>
        <v>0</v>
      </c>
      <c r="BU212" s="38">
        <f t="shared" si="210"/>
        <v>7.4267124066987947E-3</v>
      </c>
      <c r="BV212" s="38">
        <f t="shared" si="211"/>
        <v>0</v>
      </c>
      <c r="BW212" s="38">
        <f t="shared" si="212"/>
        <v>0</v>
      </c>
      <c r="BX212" s="38">
        <f t="shared" si="213"/>
        <v>0.2781740370898716</v>
      </c>
      <c r="BY212" s="38">
        <f t="shared" si="214"/>
        <v>8.9706356889319133E-2</v>
      </c>
      <c r="BZ212" s="38">
        <f t="shared" si="215"/>
        <v>1.5074309978768577E-3</v>
      </c>
      <c r="CA212" s="38">
        <f t="shared" si="216"/>
        <v>0</v>
      </c>
      <c r="CB212" s="38">
        <f t="shared" si="217"/>
        <v>0</v>
      </c>
      <c r="CC212" s="38">
        <f t="shared" si="218"/>
        <v>0</v>
      </c>
      <c r="CD212" s="38">
        <f t="shared" si="219"/>
        <v>1.8096288469560955</v>
      </c>
      <c r="CE212" s="38">
        <f t="shared" si="220"/>
        <v>2.8845569373592479</v>
      </c>
      <c r="CF212" s="38">
        <f t="shared" si="221"/>
        <v>2.7629975110146483</v>
      </c>
      <c r="CG212" s="38">
        <f t="shared" si="222"/>
        <v>7.9700236383036387</v>
      </c>
      <c r="CH212" s="15"/>
      <c r="CI212" s="16"/>
      <c r="CJ212" s="13"/>
      <c r="CK212" s="104"/>
      <c r="CL212" s="13"/>
      <c r="CM212" s="13"/>
      <c r="CN212" s="13"/>
      <c r="CO212" s="16"/>
      <c r="CP212" s="16"/>
      <c r="CQ212" s="16"/>
      <c r="CR212" s="16"/>
      <c r="CS212" s="16"/>
      <c r="CT212" s="16"/>
      <c r="CU212" s="16"/>
      <c r="CV212" s="16"/>
      <c r="CW212" s="16"/>
      <c r="CX212" s="16"/>
      <c r="CY212" s="104"/>
      <c r="CZ212" s="104"/>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3"/>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row>
    <row r="213" spans="1:167" x14ac:dyDescent="0.25">
      <c r="A213" s="35" t="s">
        <v>89</v>
      </c>
      <c r="B213" s="15">
        <v>676</v>
      </c>
      <c r="C213" s="102" t="s">
        <v>97</v>
      </c>
      <c r="D213" s="102" t="s">
        <v>106</v>
      </c>
      <c r="E213" s="15">
        <v>187</v>
      </c>
      <c r="F213" s="16">
        <v>59.26</v>
      </c>
      <c r="G213" s="16">
        <v>0</v>
      </c>
      <c r="H213" s="16">
        <v>24.78</v>
      </c>
      <c r="I213" s="16">
        <v>0</v>
      </c>
      <c r="J213" s="16">
        <v>0.3266444704400252</v>
      </c>
      <c r="K213" s="16">
        <v>0</v>
      </c>
      <c r="L213" s="16">
        <v>0</v>
      </c>
      <c r="M213" s="16">
        <v>7.09</v>
      </c>
      <c r="N213" s="16">
        <v>7.54</v>
      </c>
      <c r="O213" s="16">
        <v>0.53400000000000003</v>
      </c>
      <c r="P213" s="16"/>
      <c r="Q213" s="16"/>
      <c r="R213" s="16"/>
      <c r="S213" s="16">
        <f t="shared" si="168"/>
        <v>99.530644470440038</v>
      </c>
      <c r="T213" s="16"/>
      <c r="U213" s="15">
        <v>3</v>
      </c>
      <c r="V213" s="15"/>
      <c r="W213" s="15"/>
      <c r="X213" s="15"/>
      <c r="Y213" s="15" t="s">
        <v>267</v>
      </c>
      <c r="Z213" s="37">
        <v>8</v>
      </c>
      <c r="AA213" s="37">
        <v>5</v>
      </c>
      <c r="AB213" s="15"/>
      <c r="AC213" s="38">
        <f t="shared" si="169"/>
        <v>2.6657193199411644</v>
      </c>
      <c r="AD213" s="38">
        <f t="shared" si="170"/>
        <v>0</v>
      </c>
      <c r="AE213" s="38">
        <f t="shared" si="171"/>
        <v>1.3136636030555666</v>
      </c>
      <c r="AF213" s="38">
        <f t="shared" si="172"/>
        <v>0</v>
      </c>
      <c r="AG213" s="38">
        <f t="shared" si="173"/>
        <v>1.2286586276976203E-2</v>
      </c>
      <c r="AH213" s="38">
        <f t="shared" si="174"/>
        <v>0</v>
      </c>
      <c r="AI213" s="38">
        <f t="shared" si="175"/>
        <v>0</v>
      </c>
      <c r="AJ213" s="38">
        <f t="shared" si="176"/>
        <v>0.34168107644701978</v>
      </c>
      <c r="AK213" s="38">
        <f t="shared" si="177"/>
        <v>0.65755557775497209</v>
      </c>
      <c r="AL213" s="38">
        <f t="shared" si="178"/>
        <v>3.0641007865680546E-2</v>
      </c>
      <c r="AM213" s="38">
        <f t="shared" si="179"/>
        <v>0</v>
      </c>
      <c r="AN213" s="38">
        <f t="shared" si="180"/>
        <v>0</v>
      </c>
      <c r="AO213" s="38">
        <f t="shared" si="181"/>
        <v>0</v>
      </c>
      <c r="AP213" s="38">
        <f t="shared" si="182"/>
        <v>5.0215471713413802</v>
      </c>
      <c r="AQ213" s="38">
        <f t="shared" si="183"/>
        <v>3.9793829229967308</v>
      </c>
      <c r="AR213" s="38">
        <f t="shared" si="184"/>
        <v>1.0298776620676724</v>
      </c>
      <c r="AS213" s="40"/>
      <c r="AT213" s="38">
        <f t="shared" si="185"/>
        <v>2.6542808709980563</v>
      </c>
      <c r="AU213" s="38">
        <f t="shared" si="186"/>
        <v>0</v>
      </c>
      <c r="AV213" s="38">
        <f t="shared" si="187"/>
        <v>1.308026747764927</v>
      </c>
      <c r="AW213" s="38">
        <f t="shared" si="188"/>
        <v>0</v>
      </c>
      <c r="AX213" s="38">
        <f t="shared" si="189"/>
        <v>0</v>
      </c>
      <c r="AY213" s="38">
        <f t="shared" si="190"/>
        <v>1.2233865238882296E-2</v>
      </c>
      <c r="AZ213" s="38">
        <f t="shared" si="191"/>
        <v>0</v>
      </c>
      <c r="BA213" s="38">
        <f t="shared" si="192"/>
        <v>0</v>
      </c>
      <c r="BB213" s="38">
        <f t="shared" si="193"/>
        <v>0.34021494251516543</v>
      </c>
      <c r="BC213" s="38">
        <f t="shared" si="194"/>
        <v>0.6547340444273102</v>
      </c>
      <c r="BD213" s="38">
        <f t="shared" si="195"/>
        <v>3.0509529055659134E-2</v>
      </c>
      <c r="BE213" s="38">
        <f t="shared" si="196"/>
        <v>0</v>
      </c>
      <c r="BF213" s="38">
        <f t="shared" si="197"/>
        <v>0</v>
      </c>
      <c r="BG213" s="38">
        <f t="shared" si="198"/>
        <v>0</v>
      </c>
      <c r="BH213" s="41">
        <f t="shared" si="199"/>
        <v>5</v>
      </c>
      <c r="BI213" s="42">
        <f t="shared" si="200"/>
        <v>7.9717893907584765</v>
      </c>
      <c r="BJ213" s="38">
        <f t="shared" si="201"/>
        <v>3.9623076187629831</v>
      </c>
      <c r="BK213" s="38">
        <f t="shared" si="202"/>
        <v>1.0254585159981349</v>
      </c>
      <c r="BL213" s="16"/>
      <c r="BM213" s="16">
        <f t="shared" si="203"/>
        <v>0.33176860614787101</v>
      </c>
      <c r="BN213" s="16">
        <f t="shared" si="204"/>
        <v>0.6384793087314915</v>
      </c>
      <c r="BO213" s="16">
        <f t="shared" si="205"/>
        <v>2.9752085120637515E-2</v>
      </c>
      <c r="BP213" s="15"/>
      <c r="BQ213" s="38">
        <f t="shared" si="206"/>
        <v>0.98635153129161113</v>
      </c>
      <c r="BR213" s="38">
        <f t="shared" si="207"/>
        <v>0</v>
      </c>
      <c r="BS213" s="38">
        <f t="shared" si="208"/>
        <v>0.48607296979207537</v>
      </c>
      <c r="BT213" s="38">
        <f t="shared" si="209"/>
        <v>0</v>
      </c>
      <c r="BU213" s="38">
        <f t="shared" si="210"/>
        <v>4.5462000061242203E-3</v>
      </c>
      <c r="BV213" s="38">
        <f t="shared" si="211"/>
        <v>0</v>
      </c>
      <c r="BW213" s="38">
        <f t="shared" si="212"/>
        <v>0</v>
      </c>
      <c r="BX213" s="38">
        <f t="shared" si="213"/>
        <v>0.1264265335235378</v>
      </c>
      <c r="BY213" s="38">
        <f t="shared" si="214"/>
        <v>0.24330429170700227</v>
      </c>
      <c r="BZ213" s="38">
        <f t="shared" si="215"/>
        <v>1.1337579617834395E-2</v>
      </c>
      <c r="CA213" s="38">
        <f t="shared" si="216"/>
        <v>0</v>
      </c>
      <c r="CB213" s="38">
        <f t="shared" si="217"/>
        <v>0</v>
      </c>
      <c r="CC213" s="38">
        <f t="shared" si="218"/>
        <v>0</v>
      </c>
      <c r="CD213" s="38">
        <f t="shared" si="219"/>
        <v>1.8580391059381851</v>
      </c>
      <c r="CE213" s="38">
        <f t="shared" si="220"/>
        <v>2.9601061864634155</v>
      </c>
      <c r="CF213" s="38">
        <f t="shared" si="221"/>
        <v>2.6910090234485864</v>
      </c>
      <c r="CG213" s="38">
        <f t="shared" si="222"/>
        <v>7.9656724581390348</v>
      </c>
      <c r="CH213" s="15"/>
      <c r="CI213" s="16"/>
      <c r="CJ213" s="13"/>
      <c r="CK213" s="104"/>
      <c r="CL213" s="13"/>
      <c r="CM213" s="13"/>
      <c r="CN213" s="13"/>
      <c r="CO213" s="16"/>
      <c r="CP213" s="16"/>
      <c r="CQ213" s="16"/>
      <c r="CR213" s="16"/>
      <c r="CS213" s="16"/>
      <c r="CT213" s="16"/>
      <c r="CU213" s="16"/>
      <c r="CV213" s="16"/>
      <c r="CW213" s="16"/>
      <c r="CX213" s="16"/>
      <c r="CY213" s="104"/>
      <c r="CZ213" s="104"/>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3"/>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row>
    <row r="214" spans="1:167" x14ac:dyDescent="0.25">
      <c r="A214" s="35" t="s">
        <v>89</v>
      </c>
      <c r="B214" s="15">
        <v>679</v>
      </c>
      <c r="C214" s="102" t="s">
        <v>97</v>
      </c>
      <c r="D214" s="102" t="s">
        <v>106</v>
      </c>
      <c r="E214" s="15">
        <v>190</v>
      </c>
      <c r="F214" s="16">
        <v>66.52</v>
      </c>
      <c r="G214" s="16">
        <v>0</v>
      </c>
      <c r="H214" s="16">
        <v>18.78</v>
      </c>
      <c r="I214" s="16">
        <v>0</v>
      </c>
      <c r="J214" s="16">
        <v>0.20156573382524973</v>
      </c>
      <c r="K214" s="16">
        <v>0</v>
      </c>
      <c r="L214" s="16">
        <v>0</v>
      </c>
      <c r="M214" s="16">
        <v>0.36399999999999999</v>
      </c>
      <c r="N214" s="16">
        <v>5.92</v>
      </c>
      <c r="O214" s="16">
        <v>8.32</v>
      </c>
      <c r="P214" s="16"/>
      <c r="Q214" s="16"/>
      <c r="R214" s="16"/>
      <c r="S214" s="16">
        <f t="shared" si="168"/>
        <v>100.10556573382524</v>
      </c>
      <c r="T214" s="16"/>
      <c r="U214" s="15"/>
      <c r="V214" s="15"/>
      <c r="W214" s="15"/>
      <c r="X214" s="15" t="s">
        <v>187</v>
      </c>
      <c r="Y214" s="15"/>
      <c r="Z214" s="37">
        <v>8</v>
      </c>
      <c r="AA214" s="37">
        <v>5</v>
      </c>
      <c r="AB214" s="15"/>
      <c r="AC214" s="38">
        <f t="shared" si="169"/>
        <v>2.9923216476472128</v>
      </c>
      <c r="AD214" s="38">
        <f t="shared" si="170"/>
        <v>0</v>
      </c>
      <c r="AE214" s="38">
        <f t="shared" si="171"/>
        <v>0.99559272551800271</v>
      </c>
      <c r="AF214" s="38">
        <f t="shared" si="172"/>
        <v>0</v>
      </c>
      <c r="AG214" s="38">
        <f t="shared" si="173"/>
        <v>7.5818622442549791E-3</v>
      </c>
      <c r="AH214" s="38">
        <f t="shared" si="174"/>
        <v>0</v>
      </c>
      <c r="AI214" s="38">
        <f t="shared" si="175"/>
        <v>0</v>
      </c>
      <c r="AJ214" s="38">
        <f t="shared" si="176"/>
        <v>1.754200928678112E-2</v>
      </c>
      <c r="AK214" s="38">
        <f t="shared" si="177"/>
        <v>0.51628093556871391</v>
      </c>
      <c r="AL214" s="38">
        <f t="shared" si="178"/>
        <v>0.47740655422635619</v>
      </c>
      <c r="AM214" s="38">
        <f t="shared" si="179"/>
        <v>0</v>
      </c>
      <c r="AN214" s="38">
        <f t="shared" si="180"/>
        <v>0</v>
      </c>
      <c r="AO214" s="38">
        <f t="shared" si="181"/>
        <v>0</v>
      </c>
      <c r="AP214" s="38">
        <f t="shared" si="182"/>
        <v>5.0067257344913223</v>
      </c>
      <c r="AQ214" s="38">
        <f t="shared" si="183"/>
        <v>3.9879143731652156</v>
      </c>
      <c r="AR214" s="38">
        <f t="shared" si="184"/>
        <v>1.0112294990818511</v>
      </c>
      <c r="AS214" s="40"/>
      <c r="AT214" s="38">
        <f t="shared" si="185"/>
        <v>2.9883019425581034</v>
      </c>
      <c r="AU214" s="38">
        <f t="shared" si="186"/>
        <v>0</v>
      </c>
      <c r="AV214" s="38">
        <f t="shared" si="187"/>
        <v>0.99425530607695045</v>
      </c>
      <c r="AW214" s="38">
        <f t="shared" si="188"/>
        <v>0</v>
      </c>
      <c r="AX214" s="38">
        <f t="shared" si="189"/>
        <v>0</v>
      </c>
      <c r="AY214" s="38">
        <f t="shared" si="190"/>
        <v>7.5716772261196063E-3</v>
      </c>
      <c r="AZ214" s="38">
        <f t="shared" si="191"/>
        <v>0</v>
      </c>
      <c r="BA214" s="38">
        <f t="shared" si="192"/>
        <v>0</v>
      </c>
      <c r="BB214" s="38">
        <f t="shared" si="193"/>
        <v>1.7518444405626478E-2</v>
      </c>
      <c r="BC214" s="38">
        <f t="shared" si="194"/>
        <v>0.51558739478383619</v>
      </c>
      <c r="BD214" s="38">
        <f t="shared" si="195"/>
        <v>0.47676523494936379</v>
      </c>
      <c r="BE214" s="38">
        <f t="shared" si="196"/>
        <v>0</v>
      </c>
      <c r="BF214" s="38">
        <f t="shared" si="197"/>
        <v>0</v>
      </c>
      <c r="BG214" s="38">
        <f t="shared" si="198"/>
        <v>0</v>
      </c>
      <c r="BH214" s="41">
        <f t="shared" si="199"/>
        <v>4.9999999999999991</v>
      </c>
      <c r="BI214" s="42">
        <f t="shared" si="200"/>
        <v>7.9930391193430381</v>
      </c>
      <c r="BJ214" s="38">
        <f t="shared" si="201"/>
        <v>3.9825572486350538</v>
      </c>
      <c r="BK214" s="38">
        <f t="shared" si="202"/>
        <v>1.0098710741388264</v>
      </c>
      <c r="BL214" s="16"/>
      <c r="BM214" s="16">
        <f t="shared" si="203"/>
        <v>1.7347208821250213E-2</v>
      </c>
      <c r="BN214" s="16">
        <f t="shared" si="204"/>
        <v>0.51054774018902016</v>
      </c>
      <c r="BO214" s="16">
        <f t="shared" si="205"/>
        <v>0.47210505098972977</v>
      </c>
      <c r="BP214" s="15"/>
      <c r="BQ214" s="38">
        <f t="shared" si="206"/>
        <v>1.1071904127829559</v>
      </c>
      <c r="BR214" s="38">
        <f t="shared" si="207"/>
        <v>0</v>
      </c>
      <c r="BS214" s="38">
        <f t="shared" si="208"/>
        <v>0.36837975676735979</v>
      </c>
      <c r="BT214" s="38">
        <f t="shared" si="209"/>
        <v>0</v>
      </c>
      <c r="BU214" s="38">
        <f t="shared" si="210"/>
        <v>2.8053685988204558E-3</v>
      </c>
      <c r="BV214" s="38">
        <f t="shared" si="211"/>
        <v>0</v>
      </c>
      <c r="BW214" s="38">
        <f t="shared" si="212"/>
        <v>0</v>
      </c>
      <c r="BX214" s="38">
        <f t="shared" si="213"/>
        <v>6.4907275320970044E-3</v>
      </c>
      <c r="BY214" s="38">
        <f t="shared" si="214"/>
        <v>0.1910293643110681</v>
      </c>
      <c r="BZ214" s="38">
        <f t="shared" si="215"/>
        <v>0.17664543524416135</v>
      </c>
      <c r="CA214" s="38">
        <f t="shared" si="216"/>
        <v>0</v>
      </c>
      <c r="CB214" s="38">
        <f t="shared" si="217"/>
        <v>0</v>
      </c>
      <c r="CC214" s="38">
        <f t="shared" si="218"/>
        <v>0</v>
      </c>
      <c r="CD214" s="38">
        <f t="shared" si="219"/>
        <v>1.8525410652364627</v>
      </c>
      <c r="CE214" s="38">
        <f t="shared" si="220"/>
        <v>2.9600839566254833</v>
      </c>
      <c r="CF214" s="38">
        <f t="shared" si="221"/>
        <v>2.6989955007349802</v>
      </c>
      <c r="CG214" s="38">
        <f t="shared" si="222"/>
        <v>7.9892532807299776</v>
      </c>
      <c r="CH214" s="15"/>
      <c r="CI214" s="16"/>
      <c r="CJ214" s="13"/>
      <c r="CK214" s="104"/>
      <c r="CL214" s="13"/>
      <c r="CM214" s="13"/>
      <c r="CN214" s="13"/>
      <c r="CO214" s="16"/>
      <c r="CP214" s="16"/>
      <c r="CQ214" s="16"/>
      <c r="CR214" s="16"/>
      <c r="CS214" s="16"/>
      <c r="CT214" s="16"/>
      <c r="CU214" s="16"/>
      <c r="CV214" s="16"/>
      <c r="CW214" s="16"/>
      <c r="CX214" s="16"/>
      <c r="CY214" s="104"/>
      <c r="CZ214" s="104"/>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3"/>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row>
    <row r="215" spans="1:167" x14ac:dyDescent="0.25">
      <c r="A215" s="35" t="s">
        <v>89</v>
      </c>
      <c r="B215" s="15">
        <v>680</v>
      </c>
      <c r="C215" s="102" t="s">
        <v>97</v>
      </c>
      <c r="D215" s="102" t="s">
        <v>106</v>
      </c>
      <c r="E215" s="15">
        <v>191</v>
      </c>
      <c r="F215" s="16">
        <v>66.86</v>
      </c>
      <c r="G215" s="16">
        <v>0</v>
      </c>
      <c r="H215" s="16">
        <v>18.78</v>
      </c>
      <c r="I215" s="16">
        <v>0</v>
      </c>
      <c r="J215" s="16">
        <v>0.20516512192927203</v>
      </c>
      <c r="K215" s="16">
        <v>0</v>
      </c>
      <c r="L215" s="16">
        <v>0</v>
      </c>
      <c r="M215" s="16">
        <v>0.39300000000000002</v>
      </c>
      <c r="N215" s="16">
        <v>6.38</v>
      </c>
      <c r="O215" s="16">
        <v>7.91</v>
      </c>
      <c r="P215" s="16"/>
      <c r="Q215" s="16"/>
      <c r="R215" s="16"/>
      <c r="S215" s="16">
        <f t="shared" si="168"/>
        <v>100.52816512192926</v>
      </c>
      <c r="T215" s="16"/>
      <c r="U215" s="15"/>
      <c r="V215" s="15"/>
      <c r="W215" s="15"/>
      <c r="X215" s="15" t="s">
        <v>187</v>
      </c>
      <c r="Y215" s="15"/>
      <c r="Z215" s="37">
        <v>8</v>
      </c>
      <c r="AA215" s="37">
        <v>5</v>
      </c>
      <c r="AB215" s="15"/>
      <c r="AC215" s="38">
        <f t="shared" si="169"/>
        <v>2.992497613581194</v>
      </c>
      <c r="AD215" s="38">
        <f t="shared" si="170"/>
        <v>0</v>
      </c>
      <c r="AE215" s="38">
        <f t="shared" si="171"/>
        <v>0.99058813377981048</v>
      </c>
      <c r="AF215" s="38">
        <f t="shared" si="172"/>
        <v>0</v>
      </c>
      <c r="AG215" s="38">
        <f t="shared" si="173"/>
        <v>7.6784599727236832E-3</v>
      </c>
      <c r="AH215" s="38">
        <f t="shared" si="174"/>
        <v>0</v>
      </c>
      <c r="AI215" s="38">
        <f t="shared" si="175"/>
        <v>0</v>
      </c>
      <c r="AJ215" s="38">
        <f t="shared" si="176"/>
        <v>1.8844382457034254E-2</v>
      </c>
      <c r="AK215" s="38">
        <f t="shared" si="177"/>
        <v>0.55360049142137024</v>
      </c>
      <c r="AL215" s="38">
        <f t="shared" si="178"/>
        <v>0.45159896805490468</v>
      </c>
      <c r="AM215" s="38">
        <f t="shared" si="179"/>
        <v>0</v>
      </c>
      <c r="AN215" s="38">
        <f t="shared" si="180"/>
        <v>0</v>
      </c>
      <c r="AO215" s="38">
        <f t="shared" si="181"/>
        <v>0</v>
      </c>
      <c r="AP215" s="38">
        <f t="shared" si="182"/>
        <v>5.0148080492670379</v>
      </c>
      <c r="AQ215" s="38">
        <f t="shared" si="183"/>
        <v>3.9830857473610046</v>
      </c>
      <c r="AR215" s="38">
        <f t="shared" si="184"/>
        <v>1.0240438419333091</v>
      </c>
      <c r="AS215" s="40"/>
      <c r="AT215" s="38">
        <f t="shared" si="185"/>
        <v>2.9836611732512641</v>
      </c>
      <c r="AU215" s="38">
        <f t="shared" si="186"/>
        <v>0</v>
      </c>
      <c r="AV215" s="38">
        <f t="shared" si="187"/>
        <v>0.98766306112613278</v>
      </c>
      <c r="AW215" s="38">
        <f t="shared" si="188"/>
        <v>0</v>
      </c>
      <c r="AX215" s="38">
        <f t="shared" si="189"/>
        <v>0</v>
      </c>
      <c r="AY215" s="38">
        <f t="shared" si="190"/>
        <v>7.6557865199306735E-3</v>
      </c>
      <c r="AZ215" s="38">
        <f t="shared" si="191"/>
        <v>0</v>
      </c>
      <c r="BA215" s="38">
        <f t="shared" si="192"/>
        <v>0</v>
      </c>
      <c r="BB215" s="38">
        <f t="shared" si="193"/>
        <v>1.8788737546782616E-2</v>
      </c>
      <c r="BC215" s="38">
        <f t="shared" si="194"/>
        <v>0.55196578411638741</v>
      </c>
      <c r="BD215" s="38">
        <f t="shared" si="195"/>
        <v>0.45026545743950286</v>
      </c>
      <c r="BE215" s="38">
        <f t="shared" si="196"/>
        <v>0</v>
      </c>
      <c r="BF215" s="38">
        <f t="shared" si="197"/>
        <v>0</v>
      </c>
      <c r="BG215" s="38">
        <f t="shared" si="198"/>
        <v>0</v>
      </c>
      <c r="BH215" s="41">
        <f t="shared" si="199"/>
        <v>5</v>
      </c>
      <c r="BI215" s="42">
        <f t="shared" si="200"/>
        <v>7.9802049762963509</v>
      </c>
      <c r="BJ215" s="38">
        <f t="shared" si="201"/>
        <v>3.9713242343773967</v>
      </c>
      <c r="BK215" s="38">
        <f t="shared" si="202"/>
        <v>1.0210199791026728</v>
      </c>
      <c r="BL215" s="16"/>
      <c r="BM215" s="16">
        <f t="shared" si="203"/>
        <v>1.8401929375853318E-2</v>
      </c>
      <c r="BN215" s="16">
        <f t="shared" si="204"/>
        <v>0.54060233434558702</v>
      </c>
      <c r="BO215" s="16">
        <f t="shared" si="205"/>
        <v>0.4409957362785597</v>
      </c>
      <c r="BP215" s="15"/>
      <c r="BQ215" s="38">
        <f t="shared" si="206"/>
        <v>1.1128495339547271</v>
      </c>
      <c r="BR215" s="38">
        <f t="shared" si="207"/>
        <v>0</v>
      </c>
      <c r="BS215" s="38">
        <f t="shared" si="208"/>
        <v>0.36837975676735979</v>
      </c>
      <c r="BT215" s="38">
        <f t="shared" si="209"/>
        <v>0</v>
      </c>
      <c r="BU215" s="38">
        <f t="shared" si="210"/>
        <v>2.8554644666565349E-3</v>
      </c>
      <c r="BV215" s="38">
        <f t="shared" si="211"/>
        <v>0</v>
      </c>
      <c r="BW215" s="38">
        <f t="shared" si="212"/>
        <v>0</v>
      </c>
      <c r="BX215" s="38">
        <f t="shared" si="213"/>
        <v>7.0078459343794587E-3</v>
      </c>
      <c r="BY215" s="38">
        <f t="shared" si="214"/>
        <v>0.20587286221361731</v>
      </c>
      <c r="BZ215" s="38">
        <f t="shared" si="215"/>
        <v>0.16794055201698513</v>
      </c>
      <c r="CA215" s="38">
        <f t="shared" si="216"/>
        <v>0</v>
      </c>
      <c r="CB215" s="38">
        <f t="shared" si="217"/>
        <v>0</v>
      </c>
      <c r="CC215" s="38">
        <f t="shared" si="218"/>
        <v>0</v>
      </c>
      <c r="CD215" s="38">
        <f t="shared" si="219"/>
        <v>1.8649060153537251</v>
      </c>
      <c r="CE215" s="38">
        <f t="shared" si="220"/>
        <v>2.9750387205768316</v>
      </c>
      <c r="CF215" s="38">
        <f t="shared" si="221"/>
        <v>2.681100258584145</v>
      </c>
      <c r="CG215" s="38">
        <f t="shared" si="222"/>
        <v>7.9763770830363869</v>
      </c>
      <c r="CH215" s="15"/>
      <c r="CI215" s="16"/>
      <c r="CJ215" s="13"/>
      <c r="CK215" s="104"/>
      <c r="CL215" s="13"/>
      <c r="CM215" s="13"/>
      <c r="CN215" s="13"/>
      <c r="CO215" s="16"/>
      <c r="CP215" s="16"/>
      <c r="CQ215" s="16"/>
      <c r="CR215" s="16"/>
      <c r="CS215" s="16"/>
      <c r="CT215" s="16"/>
      <c r="CU215" s="16"/>
      <c r="CV215" s="16"/>
      <c r="CW215" s="16"/>
      <c r="CX215" s="16"/>
      <c r="CY215" s="104"/>
      <c r="CZ215" s="104"/>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3"/>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row>
    <row r="216" spans="1:167" x14ac:dyDescent="0.25">
      <c r="A216" s="35" t="s">
        <v>89</v>
      </c>
      <c r="B216" s="15">
        <v>681</v>
      </c>
      <c r="C216" s="102" t="s">
        <v>97</v>
      </c>
      <c r="D216" s="102" t="s">
        <v>106</v>
      </c>
      <c r="E216" s="15">
        <v>192</v>
      </c>
      <c r="F216" s="16">
        <v>65.55</v>
      </c>
      <c r="G216" s="16">
        <v>0</v>
      </c>
      <c r="H216" s="16">
        <v>18.91</v>
      </c>
      <c r="I216" s="16">
        <v>0</v>
      </c>
      <c r="J216" s="16">
        <v>0.18446864033114371</v>
      </c>
      <c r="K216" s="16">
        <v>0</v>
      </c>
      <c r="L216" s="16">
        <v>0</v>
      </c>
      <c r="M216" s="16">
        <v>0.26600000000000001</v>
      </c>
      <c r="N216" s="16">
        <v>5.34</v>
      </c>
      <c r="O216" s="16">
        <v>8.7899999999999991</v>
      </c>
      <c r="P216" s="16"/>
      <c r="Q216" s="16"/>
      <c r="R216" s="16"/>
      <c r="S216" s="16">
        <f t="shared" si="168"/>
        <v>99.040468640331142</v>
      </c>
      <c r="T216" s="16"/>
      <c r="U216" s="15"/>
      <c r="V216" s="15"/>
      <c r="W216" s="15"/>
      <c r="X216" s="15" t="s">
        <v>187</v>
      </c>
      <c r="Y216" s="15"/>
      <c r="Z216" s="37">
        <v>8</v>
      </c>
      <c r="AA216" s="37">
        <v>5</v>
      </c>
      <c r="AB216" s="15"/>
      <c r="AC216" s="38">
        <f t="shared" si="169"/>
        <v>2.9837853517207971</v>
      </c>
      <c r="AD216" s="38">
        <f t="shared" si="170"/>
        <v>0</v>
      </c>
      <c r="AE216" s="38">
        <f t="shared" si="171"/>
        <v>1.0144169639048708</v>
      </c>
      <c r="AF216" s="38">
        <f t="shared" si="172"/>
        <v>0</v>
      </c>
      <c r="AG216" s="38">
        <f t="shared" si="173"/>
        <v>7.021349312564768E-3</v>
      </c>
      <c r="AH216" s="38">
        <f t="shared" si="174"/>
        <v>0</v>
      </c>
      <c r="AI216" s="38">
        <f t="shared" si="175"/>
        <v>0</v>
      </c>
      <c r="AJ216" s="38">
        <f t="shared" si="176"/>
        <v>1.2971746030719038E-2</v>
      </c>
      <c r="AK216" s="38">
        <f t="shared" si="177"/>
        <v>0.471242537967686</v>
      </c>
      <c r="AL216" s="38">
        <f t="shared" si="178"/>
        <v>0.51037897274794797</v>
      </c>
      <c r="AM216" s="38">
        <f t="shared" si="179"/>
        <v>0</v>
      </c>
      <c r="AN216" s="38">
        <f t="shared" si="180"/>
        <v>0</v>
      </c>
      <c r="AO216" s="38">
        <f t="shared" si="181"/>
        <v>0</v>
      </c>
      <c r="AP216" s="38">
        <f t="shared" si="182"/>
        <v>4.9998169216845856</v>
      </c>
      <c r="AQ216" s="38">
        <f t="shared" si="183"/>
        <v>3.9982023156256679</v>
      </c>
      <c r="AR216" s="38">
        <f t="shared" si="184"/>
        <v>0.99459325674635302</v>
      </c>
      <c r="AS216" s="40"/>
      <c r="AT216" s="38">
        <f t="shared" si="185"/>
        <v>2.9838946090004743</v>
      </c>
      <c r="AU216" s="38">
        <f t="shared" si="186"/>
        <v>0</v>
      </c>
      <c r="AV216" s="38">
        <f t="shared" si="187"/>
        <v>1.0144541088147321</v>
      </c>
      <c r="AW216" s="38">
        <f t="shared" si="188"/>
        <v>0</v>
      </c>
      <c r="AX216" s="38">
        <f t="shared" si="189"/>
        <v>7.0216064133394986E-3</v>
      </c>
      <c r="AY216" s="38">
        <f t="shared" si="190"/>
        <v>0</v>
      </c>
      <c r="AZ216" s="38">
        <f t="shared" si="191"/>
        <v>0</v>
      </c>
      <c r="BA216" s="38">
        <f t="shared" si="192"/>
        <v>0</v>
      </c>
      <c r="BB216" s="38">
        <f t="shared" si="193"/>
        <v>1.2972221017193237E-2</v>
      </c>
      <c r="BC216" s="38">
        <f t="shared" si="194"/>
        <v>0.47125979345750763</v>
      </c>
      <c r="BD216" s="38">
        <f t="shared" si="195"/>
        <v>0.51039766129675213</v>
      </c>
      <c r="BE216" s="38">
        <f t="shared" si="196"/>
        <v>0</v>
      </c>
      <c r="BF216" s="38">
        <f t="shared" si="197"/>
        <v>0</v>
      </c>
      <c r="BG216" s="38">
        <f t="shared" si="198"/>
        <v>0</v>
      </c>
      <c r="BH216" s="41">
        <f t="shared" si="199"/>
        <v>4.9999999999999991</v>
      </c>
      <c r="BI216" s="42">
        <f t="shared" si="200"/>
        <v>8.0002929360307107</v>
      </c>
      <c r="BJ216" s="38">
        <f t="shared" si="201"/>
        <v>3.9983487178152064</v>
      </c>
      <c r="BK216" s="38">
        <f t="shared" si="202"/>
        <v>0.994629675771453</v>
      </c>
      <c r="BL216" s="16"/>
      <c r="BM216" s="16">
        <f t="shared" si="203"/>
        <v>1.3042262193847919E-2</v>
      </c>
      <c r="BN216" s="16">
        <f t="shared" si="204"/>
        <v>0.47380427604071823</v>
      </c>
      <c r="BO216" s="16">
        <f t="shared" si="205"/>
        <v>0.51315346176543386</v>
      </c>
      <c r="BP216" s="15"/>
      <c r="BQ216" s="38">
        <f t="shared" si="206"/>
        <v>1.0910452729693743</v>
      </c>
      <c r="BR216" s="38">
        <f t="shared" si="207"/>
        <v>0</v>
      </c>
      <c r="BS216" s="38">
        <f t="shared" si="208"/>
        <v>0.37092977638289526</v>
      </c>
      <c r="BT216" s="38">
        <f t="shared" si="209"/>
        <v>0</v>
      </c>
      <c r="BU216" s="38">
        <f t="shared" si="210"/>
        <v>2.5674132265990778E-3</v>
      </c>
      <c r="BV216" s="38">
        <f t="shared" si="211"/>
        <v>0</v>
      </c>
      <c r="BW216" s="38">
        <f t="shared" si="212"/>
        <v>0</v>
      </c>
      <c r="BX216" s="38">
        <f t="shared" si="213"/>
        <v>4.7432239657631955E-3</v>
      </c>
      <c r="BY216" s="38">
        <f t="shared" si="214"/>
        <v>0.17231364956437561</v>
      </c>
      <c r="BZ216" s="38">
        <f t="shared" si="215"/>
        <v>0.18662420382165604</v>
      </c>
      <c r="CA216" s="38">
        <f t="shared" si="216"/>
        <v>0</v>
      </c>
      <c r="CB216" s="38">
        <f t="shared" si="217"/>
        <v>0</v>
      </c>
      <c r="CC216" s="38">
        <f t="shared" si="218"/>
        <v>0</v>
      </c>
      <c r="CD216" s="38">
        <f t="shared" si="219"/>
        <v>1.8282235399306637</v>
      </c>
      <c r="CE216" s="38">
        <f t="shared" si="220"/>
        <v>2.9252647743984692</v>
      </c>
      <c r="CF216" s="38">
        <f t="shared" si="221"/>
        <v>2.7348953182112661</v>
      </c>
      <c r="CG216" s="38">
        <f t="shared" si="222"/>
        <v>8.0002929360307089</v>
      </c>
      <c r="CH216" s="15"/>
      <c r="CI216" s="16"/>
      <c r="CJ216" s="13"/>
      <c r="CK216" s="104"/>
      <c r="CL216" s="13"/>
      <c r="CM216" s="13"/>
      <c r="CN216" s="13"/>
      <c r="CO216" s="16"/>
      <c r="CP216" s="16"/>
      <c r="CQ216" s="16"/>
      <c r="CR216" s="16"/>
      <c r="CS216" s="16"/>
      <c r="CT216" s="16"/>
      <c r="CU216" s="16"/>
      <c r="CV216" s="16"/>
      <c r="CW216" s="16"/>
      <c r="CX216" s="16"/>
      <c r="CY216" s="104"/>
      <c r="CZ216" s="104"/>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3"/>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row>
    <row r="217" spans="1:167" x14ac:dyDescent="0.25">
      <c r="A217" s="35" t="s">
        <v>89</v>
      </c>
      <c r="B217" s="15">
        <v>682</v>
      </c>
      <c r="C217" s="102" t="s">
        <v>97</v>
      </c>
      <c r="D217" s="102" t="s">
        <v>106</v>
      </c>
      <c r="E217" s="15">
        <v>193</v>
      </c>
      <c r="F217" s="16">
        <v>50.25</v>
      </c>
      <c r="G217" s="16">
        <v>0</v>
      </c>
      <c r="H217" s="16">
        <v>29.5</v>
      </c>
      <c r="I217" s="16">
        <v>0</v>
      </c>
      <c r="J217" s="16">
        <v>0.89084855574552324</v>
      </c>
      <c r="K217" s="16">
        <v>0</v>
      </c>
      <c r="L217" s="16">
        <v>0</v>
      </c>
      <c r="M217" s="16">
        <v>14.65</v>
      </c>
      <c r="N217" s="16">
        <v>3.36</v>
      </c>
      <c r="O217" s="16">
        <v>0.10299999999999999</v>
      </c>
      <c r="P217" s="16"/>
      <c r="Q217" s="16"/>
      <c r="R217" s="16"/>
      <c r="S217" s="16">
        <f t="shared" si="168"/>
        <v>98.75384855574552</v>
      </c>
      <c r="T217" s="16"/>
      <c r="U217" s="15"/>
      <c r="V217" s="15"/>
      <c r="W217" s="15"/>
      <c r="X217" s="15" t="s">
        <v>252</v>
      </c>
      <c r="Y217" s="15" t="s">
        <v>268</v>
      </c>
      <c r="Z217" s="37">
        <v>8</v>
      </c>
      <c r="AA217" s="37">
        <v>5</v>
      </c>
      <c r="AB217" s="15"/>
      <c r="AC217" s="38">
        <f t="shared" si="169"/>
        <v>2.3316346796399063</v>
      </c>
      <c r="AD217" s="38">
        <f t="shared" si="170"/>
        <v>0</v>
      </c>
      <c r="AE217" s="38">
        <f t="shared" si="171"/>
        <v>1.6131566728173898</v>
      </c>
      <c r="AF217" s="38">
        <f t="shared" si="172"/>
        <v>0</v>
      </c>
      <c r="AG217" s="38">
        <f t="shared" si="173"/>
        <v>3.4564594947033477E-2</v>
      </c>
      <c r="AH217" s="38">
        <f t="shared" si="174"/>
        <v>0</v>
      </c>
      <c r="AI217" s="38">
        <f t="shared" si="175"/>
        <v>0</v>
      </c>
      <c r="AJ217" s="38">
        <f t="shared" si="176"/>
        <v>0.72825585313376617</v>
      </c>
      <c r="AK217" s="38">
        <f t="shared" si="177"/>
        <v>0.30225400574879219</v>
      </c>
      <c r="AL217" s="38">
        <f t="shared" si="178"/>
        <v>6.0963610778104601E-3</v>
      </c>
      <c r="AM217" s="38">
        <f t="shared" si="179"/>
        <v>0</v>
      </c>
      <c r="AN217" s="38">
        <f t="shared" si="180"/>
        <v>0</v>
      </c>
      <c r="AO217" s="38">
        <f t="shared" si="181"/>
        <v>0</v>
      </c>
      <c r="AP217" s="38">
        <f t="shared" si="182"/>
        <v>5.015962167364699</v>
      </c>
      <c r="AQ217" s="38">
        <f t="shared" si="183"/>
        <v>3.9447913524572962</v>
      </c>
      <c r="AR217" s="38">
        <f t="shared" si="184"/>
        <v>1.0366062199603687</v>
      </c>
      <c r="AS217" s="40"/>
      <c r="AT217" s="38">
        <f t="shared" si="185"/>
        <v>2.3242147785824581</v>
      </c>
      <c r="AU217" s="38">
        <f t="shared" si="186"/>
        <v>0</v>
      </c>
      <c r="AV217" s="38">
        <f t="shared" si="187"/>
        <v>1.6080231658375077</v>
      </c>
      <c r="AW217" s="38">
        <f t="shared" si="188"/>
        <v>0</v>
      </c>
      <c r="AX217" s="38">
        <f t="shared" si="189"/>
        <v>0</v>
      </c>
      <c r="AY217" s="38">
        <f t="shared" si="190"/>
        <v>3.445460092574136E-2</v>
      </c>
      <c r="AZ217" s="38">
        <f t="shared" si="191"/>
        <v>0</v>
      </c>
      <c r="BA217" s="38">
        <f t="shared" si="192"/>
        <v>0</v>
      </c>
      <c r="BB217" s="38">
        <f t="shared" si="193"/>
        <v>0.72593834326742879</v>
      </c>
      <c r="BC217" s="38">
        <f t="shared" si="194"/>
        <v>0.30129215060207609</v>
      </c>
      <c r="BD217" s="38">
        <f t="shared" si="195"/>
        <v>6.0769607847873629E-3</v>
      </c>
      <c r="BE217" s="38">
        <f t="shared" si="196"/>
        <v>0</v>
      </c>
      <c r="BF217" s="38">
        <f t="shared" si="197"/>
        <v>0</v>
      </c>
      <c r="BG217" s="38">
        <f t="shared" si="198"/>
        <v>0</v>
      </c>
      <c r="BH217" s="41">
        <f t="shared" si="199"/>
        <v>4.9999999999999991</v>
      </c>
      <c r="BI217" s="42">
        <f t="shared" si="200"/>
        <v>7.9917691062706506</v>
      </c>
      <c r="BJ217" s="38">
        <f t="shared" si="201"/>
        <v>3.932237944419966</v>
      </c>
      <c r="BK217" s="38">
        <f t="shared" si="202"/>
        <v>1.0333074546542922</v>
      </c>
      <c r="BL217" s="16"/>
      <c r="BM217" s="16">
        <f t="shared" si="203"/>
        <v>0.70253857164932765</v>
      </c>
      <c r="BN217" s="16">
        <f t="shared" si="204"/>
        <v>0.29158035127393689</v>
      </c>
      <c r="BO217" s="16">
        <f t="shared" si="205"/>
        <v>5.8810770767355946E-3</v>
      </c>
      <c r="BP217" s="15"/>
      <c r="BQ217" s="38">
        <f t="shared" si="206"/>
        <v>0.83638482023968042</v>
      </c>
      <c r="BR217" s="38">
        <f t="shared" si="207"/>
        <v>0</v>
      </c>
      <c r="BS217" s="38">
        <f t="shared" si="208"/>
        <v>0.5786582973715183</v>
      </c>
      <c r="BT217" s="38">
        <f t="shared" si="209"/>
        <v>0</v>
      </c>
      <c r="BU217" s="38">
        <f t="shared" si="210"/>
        <v>1.2398727289429692E-2</v>
      </c>
      <c r="BV217" s="38">
        <f t="shared" si="211"/>
        <v>0</v>
      </c>
      <c r="BW217" s="38">
        <f t="shared" si="212"/>
        <v>0</v>
      </c>
      <c r="BX217" s="38">
        <f t="shared" si="213"/>
        <v>0.26123395149786022</v>
      </c>
      <c r="BY217" s="38">
        <f t="shared" si="214"/>
        <v>0.10842207163601161</v>
      </c>
      <c r="BZ217" s="38">
        <f t="shared" si="215"/>
        <v>2.186836518046709E-3</v>
      </c>
      <c r="CA217" s="38">
        <f t="shared" si="216"/>
        <v>0</v>
      </c>
      <c r="CB217" s="38">
        <f t="shared" si="217"/>
        <v>0</v>
      </c>
      <c r="CC217" s="38">
        <f t="shared" si="218"/>
        <v>0</v>
      </c>
      <c r="CD217" s="38">
        <f t="shared" si="219"/>
        <v>1.7992847045525471</v>
      </c>
      <c r="CE217" s="38">
        <f t="shared" si="220"/>
        <v>2.8696942194009578</v>
      </c>
      <c r="CF217" s="38">
        <f t="shared" si="221"/>
        <v>2.7788820676066486</v>
      </c>
      <c r="CG217" s="38">
        <f t="shared" si="222"/>
        <v>7.9745418058077808</v>
      </c>
      <c r="CH217" s="15"/>
      <c r="CI217" s="16"/>
      <c r="CJ217" s="13"/>
      <c r="CK217" s="104"/>
      <c r="CL217" s="13"/>
      <c r="CM217" s="13"/>
      <c r="CN217" s="13"/>
      <c r="CO217" s="16"/>
      <c r="CP217" s="16"/>
      <c r="CQ217" s="16"/>
      <c r="CR217" s="16"/>
      <c r="CS217" s="16"/>
      <c r="CT217" s="16"/>
      <c r="CU217" s="16"/>
      <c r="CV217" s="16"/>
      <c r="CW217" s="16"/>
      <c r="CX217" s="16"/>
      <c r="CY217" s="104"/>
      <c r="CZ217" s="104"/>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3"/>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row>
    <row r="218" spans="1:167" x14ac:dyDescent="0.25">
      <c r="A218" s="35" t="s">
        <v>89</v>
      </c>
      <c r="B218" s="15">
        <v>683</v>
      </c>
      <c r="C218" s="102" t="s">
        <v>97</v>
      </c>
      <c r="D218" s="102" t="s">
        <v>106</v>
      </c>
      <c r="E218" s="15">
        <v>194</v>
      </c>
      <c r="F218" s="16">
        <v>52.27</v>
      </c>
      <c r="G218" s="16">
        <v>0</v>
      </c>
      <c r="H218" s="16">
        <v>28.7</v>
      </c>
      <c r="I218" s="16">
        <v>0</v>
      </c>
      <c r="J218" s="16">
        <v>0.77836767749482594</v>
      </c>
      <c r="K218" s="16">
        <v>0</v>
      </c>
      <c r="L218" s="16">
        <v>0</v>
      </c>
      <c r="M218" s="16">
        <v>12.66</v>
      </c>
      <c r="N218" s="16">
        <v>4.5599999999999996</v>
      </c>
      <c r="O218" s="16">
        <v>0.13600000000000001</v>
      </c>
      <c r="P218" s="16"/>
      <c r="Q218" s="16"/>
      <c r="R218" s="16"/>
      <c r="S218" s="16">
        <f t="shared" si="168"/>
        <v>99.104367677494821</v>
      </c>
      <c r="T218" s="16"/>
      <c r="U218" s="15"/>
      <c r="V218" s="15"/>
      <c r="W218" s="15"/>
      <c r="X218" s="15" t="s">
        <v>252</v>
      </c>
      <c r="Y218" s="15" t="s">
        <v>268</v>
      </c>
      <c r="Z218" s="37">
        <v>8</v>
      </c>
      <c r="AA218" s="37">
        <v>5</v>
      </c>
      <c r="AB218" s="15"/>
      <c r="AC218" s="38">
        <f t="shared" si="169"/>
        <v>2.4032834030710353</v>
      </c>
      <c r="AD218" s="38">
        <f t="shared" si="170"/>
        <v>0</v>
      </c>
      <c r="AE218" s="38">
        <f t="shared" si="171"/>
        <v>1.555122041047609</v>
      </c>
      <c r="AF218" s="38">
        <f t="shared" si="172"/>
        <v>0</v>
      </c>
      <c r="AG218" s="38">
        <f t="shared" si="173"/>
        <v>2.9925432224144406E-2</v>
      </c>
      <c r="AH218" s="38">
        <f t="shared" si="174"/>
        <v>0</v>
      </c>
      <c r="AI218" s="38">
        <f t="shared" si="175"/>
        <v>0</v>
      </c>
      <c r="AJ218" s="38">
        <f t="shared" si="176"/>
        <v>0.62360287948650139</v>
      </c>
      <c r="AK218" s="38">
        <f t="shared" si="177"/>
        <v>0.40646736076028617</v>
      </c>
      <c r="AL218" s="38">
        <f t="shared" si="178"/>
        <v>7.9762803914531066E-3</v>
      </c>
      <c r="AM218" s="38">
        <f t="shared" si="179"/>
        <v>0</v>
      </c>
      <c r="AN218" s="38">
        <f t="shared" si="180"/>
        <v>0</v>
      </c>
      <c r="AO218" s="38">
        <f t="shared" si="181"/>
        <v>0</v>
      </c>
      <c r="AP218" s="38">
        <f t="shared" si="182"/>
        <v>5.0263773969810286</v>
      </c>
      <c r="AQ218" s="38">
        <f t="shared" si="183"/>
        <v>3.958405444118644</v>
      </c>
      <c r="AR218" s="38">
        <f t="shared" si="184"/>
        <v>1.0380465206382408</v>
      </c>
      <c r="AS218" s="40"/>
      <c r="AT218" s="38">
        <f t="shared" si="185"/>
        <v>2.3906714650142553</v>
      </c>
      <c r="AU218" s="38">
        <f t="shared" si="186"/>
        <v>0</v>
      </c>
      <c r="AV218" s="38">
        <f t="shared" si="187"/>
        <v>1.5469610797446836</v>
      </c>
      <c r="AW218" s="38">
        <f t="shared" si="188"/>
        <v>0</v>
      </c>
      <c r="AX218" s="38">
        <f t="shared" si="189"/>
        <v>0</v>
      </c>
      <c r="AY218" s="38">
        <f t="shared" si="190"/>
        <v>2.9768389697636299E-2</v>
      </c>
      <c r="AZ218" s="38">
        <f t="shared" si="191"/>
        <v>0</v>
      </c>
      <c r="BA218" s="38">
        <f t="shared" si="192"/>
        <v>0</v>
      </c>
      <c r="BB218" s="38">
        <f t="shared" si="193"/>
        <v>0.62033033956130434</v>
      </c>
      <c r="BC218" s="38">
        <f t="shared" si="194"/>
        <v>0.40433430347313437</v>
      </c>
      <c r="BD218" s="38">
        <f t="shared" si="195"/>
        <v>7.9344225089861588E-3</v>
      </c>
      <c r="BE218" s="38">
        <f t="shared" si="196"/>
        <v>0</v>
      </c>
      <c r="BF218" s="38">
        <f t="shared" si="197"/>
        <v>0</v>
      </c>
      <c r="BG218" s="38">
        <f t="shared" si="198"/>
        <v>0</v>
      </c>
      <c r="BH218" s="41">
        <f t="shared" si="199"/>
        <v>5</v>
      </c>
      <c r="BI218" s="42">
        <f t="shared" si="200"/>
        <v>7.9729018367443549</v>
      </c>
      <c r="BJ218" s="38">
        <f t="shared" si="201"/>
        <v>3.9376325447589391</v>
      </c>
      <c r="BK218" s="38">
        <f t="shared" si="202"/>
        <v>1.0325990655434247</v>
      </c>
      <c r="BL218" s="16"/>
      <c r="BM218" s="16">
        <f t="shared" si="203"/>
        <v>0.60074656297974049</v>
      </c>
      <c r="BN218" s="16">
        <f t="shared" si="204"/>
        <v>0.39156950356171949</v>
      </c>
      <c r="BO218" s="16">
        <f t="shared" si="205"/>
        <v>7.6839334585398992E-3</v>
      </c>
      <c r="BP218" s="15"/>
      <c r="BQ218" s="38">
        <f t="shared" si="206"/>
        <v>0.87000665778961395</v>
      </c>
      <c r="BR218" s="38">
        <f t="shared" si="207"/>
        <v>0</v>
      </c>
      <c r="BS218" s="38">
        <f t="shared" si="208"/>
        <v>0.56296586896822287</v>
      </c>
      <c r="BT218" s="38">
        <f t="shared" si="209"/>
        <v>0</v>
      </c>
      <c r="BU218" s="38">
        <f t="shared" si="210"/>
        <v>1.0833231419552206E-2</v>
      </c>
      <c r="BV218" s="38">
        <f t="shared" si="211"/>
        <v>0</v>
      </c>
      <c r="BW218" s="38">
        <f t="shared" si="212"/>
        <v>0</v>
      </c>
      <c r="BX218" s="38">
        <f t="shared" si="213"/>
        <v>0.22574893009985736</v>
      </c>
      <c r="BY218" s="38">
        <f t="shared" si="214"/>
        <v>0.14714424007744434</v>
      </c>
      <c r="BZ218" s="38">
        <f t="shared" si="215"/>
        <v>2.8874734607218684E-3</v>
      </c>
      <c r="CA218" s="38">
        <f t="shared" si="216"/>
        <v>0</v>
      </c>
      <c r="CB218" s="38">
        <f t="shared" si="217"/>
        <v>0</v>
      </c>
      <c r="CC218" s="38">
        <f t="shared" si="218"/>
        <v>0</v>
      </c>
      <c r="CD218" s="38">
        <f t="shared" si="219"/>
        <v>1.8195864018154126</v>
      </c>
      <c r="CE218" s="38">
        <f t="shared" si="220"/>
        <v>2.8960601373200552</v>
      </c>
      <c r="CF218" s="38">
        <f t="shared" si="221"/>
        <v>2.7478772071562356</v>
      </c>
      <c r="CG218" s="38">
        <f t="shared" si="222"/>
        <v>7.9580176418955375</v>
      </c>
      <c r="CH218" s="15"/>
      <c r="CI218" s="16"/>
      <c r="CJ218" s="13"/>
      <c r="CK218" s="104"/>
      <c r="CL218" s="13"/>
      <c r="CM218" s="13"/>
      <c r="CN218" s="13"/>
      <c r="CO218" s="16"/>
      <c r="CP218" s="16"/>
      <c r="CQ218" s="16"/>
      <c r="CR218" s="16"/>
      <c r="CS218" s="16"/>
      <c r="CT218" s="16"/>
      <c r="CU218" s="16"/>
      <c r="CV218" s="16"/>
      <c r="CW218" s="16"/>
      <c r="CX218" s="16"/>
      <c r="CY218" s="104"/>
      <c r="CZ218" s="104"/>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3"/>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row>
    <row r="219" spans="1:167" x14ac:dyDescent="0.25">
      <c r="A219" s="35" t="s">
        <v>89</v>
      </c>
      <c r="B219" s="15">
        <v>684</v>
      </c>
      <c r="C219" s="102" t="s">
        <v>97</v>
      </c>
      <c r="D219" s="102" t="s">
        <v>106</v>
      </c>
      <c r="E219" s="15">
        <v>195</v>
      </c>
      <c r="F219" s="16">
        <v>48.82</v>
      </c>
      <c r="G219" s="16">
        <v>0</v>
      </c>
      <c r="H219" s="16">
        <v>31.27</v>
      </c>
      <c r="I219" s="16">
        <v>0</v>
      </c>
      <c r="J219" s="16">
        <v>0.7450733375326194</v>
      </c>
      <c r="K219" s="16">
        <v>0</v>
      </c>
      <c r="L219" s="16">
        <v>0</v>
      </c>
      <c r="M219" s="16">
        <v>15.3</v>
      </c>
      <c r="N219" s="16">
        <v>2.86</v>
      </c>
      <c r="O219" s="16">
        <v>5.0999999999999997E-2</v>
      </c>
      <c r="P219" s="16"/>
      <c r="Q219" s="16"/>
      <c r="R219" s="16"/>
      <c r="S219" s="16">
        <f t="shared" si="168"/>
        <v>99.046073337532619</v>
      </c>
      <c r="T219" s="16"/>
      <c r="U219" s="15"/>
      <c r="V219" s="15"/>
      <c r="W219" s="15"/>
      <c r="X219" s="15" t="s">
        <v>252</v>
      </c>
      <c r="Y219" s="15" t="s">
        <v>260</v>
      </c>
      <c r="Z219" s="37">
        <v>8</v>
      </c>
      <c r="AA219" s="37">
        <v>5</v>
      </c>
      <c r="AB219" s="15"/>
      <c r="AC219" s="38">
        <f t="shared" si="169"/>
        <v>2.2610124008863162</v>
      </c>
      <c r="AD219" s="38">
        <f t="shared" si="170"/>
        <v>0</v>
      </c>
      <c r="AE219" s="38">
        <f t="shared" si="171"/>
        <v>1.7067234016492494</v>
      </c>
      <c r="AF219" s="38">
        <f t="shared" si="172"/>
        <v>0</v>
      </c>
      <c r="AG219" s="38">
        <f t="shared" si="173"/>
        <v>2.8854087415922949E-2</v>
      </c>
      <c r="AH219" s="38">
        <f t="shared" si="174"/>
        <v>0</v>
      </c>
      <c r="AI219" s="38">
        <f t="shared" si="175"/>
        <v>0</v>
      </c>
      <c r="AJ219" s="38">
        <f t="shared" si="176"/>
        <v>0.75913413301136601</v>
      </c>
      <c r="AK219" s="38">
        <f t="shared" si="177"/>
        <v>0.2567908531167199</v>
      </c>
      <c r="AL219" s="38">
        <f t="shared" si="178"/>
        <v>3.0128975356884216E-3</v>
      </c>
      <c r="AM219" s="38">
        <f t="shared" si="179"/>
        <v>0</v>
      </c>
      <c r="AN219" s="38">
        <f t="shared" si="180"/>
        <v>0</v>
      </c>
      <c r="AO219" s="38">
        <f t="shared" si="181"/>
        <v>0</v>
      </c>
      <c r="AP219" s="38">
        <f t="shared" si="182"/>
        <v>5.015527773615263</v>
      </c>
      <c r="AQ219" s="38">
        <f t="shared" si="183"/>
        <v>3.9677358025355653</v>
      </c>
      <c r="AR219" s="38">
        <f t="shared" si="184"/>
        <v>1.0189378836637744</v>
      </c>
      <c r="AS219" s="40"/>
      <c r="AT219" s="38">
        <f t="shared" si="185"/>
        <v>2.2540124419015499</v>
      </c>
      <c r="AU219" s="38">
        <f t="shared" si="186"/>
        <v>0</v>
      </c>
      <c r="AV219" s="38">
        <f t="shared" si="187"/>
        <v>1.7014394882106489</v>
      </c>
      <c r="AW219" s="38">
        <f t="shared" si="188"/>
        <v>0</v>
      </c>
      <c r="AX219" s="38">
        <f t="shared" si="189"/>
        <v>0</v>
      </c>
      <c r="AY219" s="38">
        <f t="shared" si="190"/>
        <v>2.8764756889307904E-2</v>
      </c>
      <c r="AZ219" s="38">
        <f t="shared" si="191"/>
        <v>0</v>
      </c>
      <c r="BA219" s="38">
        <f t="shared" si="192"/>
        <v>0</v>
      </c>
      <c r="BB219" s="38">
        <f t="shared" si="193"/>
        <v>0.75678389919887901</v>
      </c>
      <c r="BC219" s="38">
        <f t="shared" si="194"/>
        <v>0.25599584401425962</v>
      </c>
      <c r="BD219" s="38">
        <f t="shared" si="195"/>
        <v>3.0035697853554935E-3</v>
      </c>
      <c r="BE219" s="38">
        <f t="shared" si="196"/>
        <v>0</v>
      </c>
      <c r="BF219" s="38">
        <f t="shared" si="197"/>
        <v>0</v>
      </c>
      <c r="BG219" s="38">
        <f t="shared" si="198"/>
        <v>0</v>
      </c>
      <c r="BH219" s="41">
        <f t="shared" si="199"/>
        <v>5.0000000000000009</v>
      </c>
      <c r="BI219" s="42">
        <f t="shared" si="200"/>
        <v>7.9896148575517216</v>
      </c>
      <c r="BJ219" s="38">
        <f t="shared" si="201"/>
        <v>3.9554519301121989</v>
      </c>
      <c r="BK219" s="38">
        <f t="shared" si="202"/>
        <v>1.0157833129984941</v>
      </c>
      <c r="BL219" s="16"/>
      <c r="BM219" s="16">
        <f t="shared" si="203"/>
        <v>0.74502493741989717</v>
      </c>
      <c r="BN219" s="16">
        <f t="shared" si="204"/>
        <v>0.25201816247461739</v>
      </c>
      <c r="BO219" s="16">
        <f t="shared" si="205"/>
        <v>2.9569001054853381E-3</v>
      </c>
      <c r="BP219" s="15"/>
      <c r="BQ219" s="38">
        <f t="shared" si="206"/>
        <v>0.81258322237017311</v>
      </c>
      <c r="BR219" s="38">
        <f t="shared" si="207"/>
        <v>0</v>
      </c>
      <c r="BS219" s="38">
        <f t="shared" si="208"/>
        <v>0.61337779521380942</v>
      </c>
      <c r="BT219" s="38">
        <f t="shared" si="209"/>
        <v>0</v>
      </c>
      <c r="BU219" s="38">
        <f t="shared" si="210"/>
        <v>1.0369844642068469E-2</v>
      </c>
      <c r="BV219" s="38">
        <f t="shared" si="211"/>
        <v>0</v>
      </c>
      <c r="BW219" s="38">
        <f t="shared" si="212"/>
        <v>0</v>
      </c>
      <c r="BX219" s="38">
        <f t="shared" si="213"/>
        <v>0.27282453637660486</v>
      </c>
      <c r="BY219" s="38">
        <f t="shared" si="214"/>
        <v>9.2287834785414649E-2</v>
      </c>
      <c r="BZ219" s="38">
        <f t="shared" si="215"/>
        <v>1.0828025477707004E-3</v>
      </c>
      <c r="CA219" s="38">
        <f t="shared" si="216"/>
        <v>0</v>
      </c>
      <c r="CB219" s="38">
        <f t="shared" si="217"/>
        <v>0</v>
      </c>
      <c r="CC219" s="38">
        <f t="shared" si="218"/>
        <v>0</v>
      </c>
      <c r="CD219" s="38">
        <f t="shared" si="219"/>
        <v>1.802526035935841</v>
      </c>
      <c r="CE219" s="38">
        <f t="shared" si="220"/>
        <v>2.8751128372463266</v>
      </c>
      <c r="CF219" s="38">
        <f t="shared" si="221"/>
        <v>2.7738850370636032</v>
      </c>
      <c r="CG219" s="38">
        <f t="shared" si="222"/>
        <v>7.9752324791070679</v>
      </c>
      <c r="CH219" s="15"/>
      <c r="CI219" s="16"/>
      <c r="CJ219" s="13"/>
      <c r="CK219" s="104"/>
      <c r="CL219" s="13"/>
      <c r="CM219" s="13"/>
      <c r="CN219" s="13"/>
      <c r="CO219" s="16"/>
      <c r="CP219" s="16"/>
      <c r="CQ219" s="16"/>
      <c r="CR219" s="16"/>
      <c r="CS219" s="16"/>
      <c r="CT219" s="16"/>
      <c r="CU219" s="16"/>
      <c r="CV219" s="16"/>
      <c r="CW219" s="16"/>
      <c r="CX219" s="16"/>
      <c r="CY219" s="104"/>
      <c r="CZ219" s="104"/>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3"/>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row>
    <row r="220" spans="1:167" x14ac:dyDescent="0.25">
      <c r="A220" s="35" t="s">
        <v>89</v>
      </c>
      <c r="B220" s="15">
        <v>685</v>
      </c>
      <c r="C220" s="102" t="s">
        <v>97</v>
      </c>
      <c r="D220" s="102" t="s">
        <v>106</v>
      </c>
      <c r="E220" s="15">
        <v>196</v>
      </c>
      <c r="F220" s="16">
        <v>52.59</v>
      </c>
      <c r="G220" s="16">
        <v>0</v>
      </c>
      <c r="H220" s="16">
        <v>29.39</v>
      </c>
      <c r="I220" s="16">
        <v>0</v>
      </c>
      <c r="J220" s="16">
        <v>0.65328894088005041</v>
      </c>
      <c r="K220" s="16">
        <v>0</v>
      </c>
      <c r="L220" s="16">
        <v>0</v>
      </c>
      <c r="M220" s="16">
        <v>12.89</v>
      </c>
      <c r="N220" s="16">
        <v>4.29</v>
      </c>
      <c r="O220" s="16">
        <v>0.13300000000000001</v>
      </c>
      <c r="P220" s="16"/>
      <c r="Q220" s="16"/>
      <c r="R220" s="16"/>
      <c r="S220" s="16">
        <f t="shared" si="168"/>
        <v>99.946288940880052</v>
      </c>
      <c r="T220" s="16"/>
      <c r="U220" s="15">
        <v>4</v>
      </c>
      <c r="V220" s="15"/>
      <c r="W220" s="15"/>
      <c r="X220" s="15" t="s">
        <v>185</v>
      </c>
      <c r="Y220" s="15"/>
      <c r="Z220" s="37">
        <v>8</v>
      </c>
      <c r="AA220" s="37">
        <v>5</v>
      </c>
      <c r="AB220" s="15"/>
      <c r="AC220" s="38">
        <f t="shared" si="169"/>
        <v>2.3940834666540067</v>
      </c>
      <c r="AD220" s="38">
        <f t="shared" si="170"/>
        <v>0</v>
      </c>
      <c r="AE220" s="38">
        <f t="shared" si="171"/>
        <v>1.5767607317734122</v>
      </c>
      <c r="AF220" s="38">
        <f t="shared" si="172"/>
        <v>0</v>
      </c>
      <c r="AG220" s="38">
        <f t="shared" si="173"/>
        <v>2.4868212771535326E-2</v>
      </c>
      <c r="AH220" s="38">
        <f t="shared" si="174"/>
        <v>0</v>
      </c>
      <c r="AI220" s="38">
        <f t="shared" si="175"/>
        <v>0</v>
      </c>
      <c r="AJ220" s="38">
        <f t="shared" si="176"/>
        <v>0.62865294302255237</v>
      </c>
      <c r="AK220" s="38">
        <f t="shared" si="177"/>
        <v>0.37861843549167445</v>
      </c>
      <c r="AL220" s="38">
        <f t="shared" si="178"/>
        <v>7.7231909838857459E-3</v>
      </c>
      <c r="AM220" s="38">
        <f t="shared" si="179"/>
        <v>0</v>
      </c>
      <c r="AN220" s="38">
        <f t="shared" si="180"/>
        <v>0</v>
      </c>
      <c r="AO220" s="38">
        <f t="shared" si="181"/>
        <v>0</v>
      </c>
      <c r="AP220" s="38">
        <f t="shared" si="182"/>
        <v>5.0107069806970665</v>
      </c>
      <c r="AQ220" s="38">
        <f t="shared" si="183"/>
        <v>3.970844198427419</v>
      </c>
      <c r="AR220" s="38">
        <f t="shared" si="184"/>
        <v>1.0149945694981126</v>
      </c>
      <c r="AS220" s="40"/>
      <c r="AT220" s="38">
        <f t="shared" si="185"/>
        <v>2.3889677403576215</v>
      </c>
      <c r="AU220" s="38">
        <f t="shared" si="186"/>
        <v>0</v>
      </c>
      <c r="AV220" s="38">
        <f t="shared" si="187"/>
        <v>1.5733914773380546</v>
      </c>
      <c r="AW220" s="38">
        <f t="shared" si="188"/>
        <v>0</v>
      </c>
      <c r="AX220" s="38">
        <f t="shared" si="189"/>
        <v>0</v>
      </c>
      <c r="AY220" s="38">
        <f t="shared" si="190"/>
        <v>2.4815073868154802E-2</v>
      </c>
      <c r="AZ220" s="38">
        <f t="shared" si="191"/>
        <v>0</v>
      </c>
      <c r="BA220" s="38">
        <f t="shared" si="192"/>
        <v>0</v>
      </c>
      <c r="BB220" s="38">
        <f t="shared" si="193"/>
        <v>0.62730962461418671</v>
      </c>
      <c r="BC220" s="38">
        <f t="shared" si="194"/>
        <v>0.37780939590983903</v>
      </c>
      <c r="BD220" s="38">
        <f t="shared" si="195"/>
        <v>7.7066879121430185E-3</v>
      </c>
      <c r="BE220" s="38">
        <f t="shared" si="196"/>
        <v>0</v>
      </c>
      <c r="BF220" s="38">
        <f t="shared" si="197"/>
        <v>0</v>
      </c>
      <c r="BG220" s="38">
        <f t="shared" si="198"/>
        <v>0</v>
      </c>
      <c r="BH220" s="41">
        <f t="shared" si="199"/>
        <v>5</v>
      </c>
      <c r="BI220" s="42">
        <f t="shared" si="200"/>
        <v>7.9953129740497344</v>
      </c>
      <c r="BJ220" s="38">
        <f t="shared" si="201"/>
        <v>3.9623592176956759</v>
      </c>
      <c r="BK220" s="38">
        <f t="shared" si="202"/>
        <v>1.0128257084361687</v>
      </c>
      <c r="BL220" s="16"/>
      <c r="BM220" s="16">
        <f t="shared" si="203"/>
        <v>0.61936581920177591</v>
      </c>
      <c r="BN220" s="16">
        <f t="shared" si="204"/>
        <v>0.37302508493113518</v>
      </c>
      <c r="BO220" s="16">
        <f t="shared" si="205"/>
        <v>7.6090958670888805E-3</v>
      </c>
      <c r="BP220" s="15"/>
      <c r="BQ220" s="38">
        <f t="shared" si="206"/>
        <v>0.87533288948069254</v>
      </c>
      <c r="BR220" s="38">
        <f t="shared" si="207"/>
        <v>0</v>
      </c>
      <c r="BS220" s="38">
        <f t="shared" si="208"/>
        <v>0.57650058846606522</v>
      </c>
      <c r="BT220" s="38">
        <f t="shared" si="209"/>
        <v>0</v>
      </c>
      <c r="BU220" s="38">
        <f t="shared" si="210"/>
        <v>9.0924000122484406E-3</v>
      </c>
      <c r="BV220" s="38">
        <f t="shared" si="211"/>
        <v>0</v>
      </c>
      <c r="BW220" s="38">
        <f t="shared" si="212"/>
        <v>0</v>
      </c>
      <c r="BX220" s="38">
        <f t="shared" si="213"/>
        <v>0.22985021398002856</v>
      </c>
      <c r="BY220" s="38">
        <f t="shared" si="214"/>
        <v>0.13843175217812198</v>
      </c>
      <c r="BZ220" s="38">
        <f t="shared" si="215"/>
        <v>2.823779193205945E-3</v>
      </c>
      <c r="CA220" s="38">
        <f t="shared" si="216"/>
        <v>0</v>
      </c>
      <c r="CB220" s="38">
        <f t="shared" si="217"/>
        <v>0</v>
      </c>
      <c r="CC220" s="38">
        <f t="shared" si="218"/>
        <v>0</v>
      </c>
      <c r="CD220" s="38">
        <f t="shared" si="219"/>
        <v>1.8320316233103628</v>
      </c>
      <c r="CE220" s="38">
        <f t="shared" si="220"/>
        <v>2.924987041338424</v>
      </c>
      <c r="CF220" s="38">
        <f t="shared" si="221"/>
        <v>2.729210531292753</v>
      </c>
      <c r="CG220" s="38">
        <f t="shared" si="222"/>
        <v>7.982905437115658</v>
      </c>
      <c r="CH220" s="15"/>
      <c r="CI220" s="16"/>
      <c r="CJ220" s="13"/>
      <c r="CK220" s="104"/>
      <c r="CL220" s="13"/>
      <c r="CM220" s="13"/>
      <c r="CN220" s="13"/>
      <c r="CO220" s="16"/>
      <c r="CP220" s="16"/>
      <c r="CQ220" s="16"/>
      <c r="CR220" s="16"/>
      <c r="CS220" s="16"/>
      <c r="CT220" s="16"/>
      <c r="CU220" s="16"/>
      <c r="CV220" s="16"/>
      <c r="CW220" s="16"/>
      <c r="CX220" s="16"/>
      <c r="CY220" s="104"/>
      <c r="CZ220" s="104"/>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3"/>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row>
    <row r="221" spans="1:167" x14ac:dyDescent="0.25">
      <c r="A221" s="35" t="s">
        <v>89</v>
      </c>
      <c r="B221" s="15">
        <v>686</v>
      </c>
      <c r="C221" s="102" t="s">
        <v>97</v>
      </c>
      <c r="D221" s="102" t="s">
        <v>106</v>
      </c>
      <c r="E221" s="15">
        <v>197</v>
      </c>
      <c r="F221" s="16">
        <v>60.2</v>
      </c>
      <c r="G221" s="16">
        <v>0</v>
      </c>
      <c r="H221" s="16">
        <v>24.57</v>
      </c>
      <c r="I221" s="16">
        <v>0</v>
      </c>
      <c r="J221" s="16">
        <v>0.2888508953477909</v>
      </c>
      <c r="K221" s="16">
        <v>0</v>
      </c>
      <c r="L221" s="16">
        <v>0</v>
      </c>
      <c r="M221" s="16">
        <v>6.66</v>
      </c>
      <c r="N221" s="16">
        <v>7.89</v>
      </c>
      <c r="O221" s="16">
        <v>0.57199999999999995</v>
      </c>
      <c r="P221" s="16"/>
      <c r="Q221" s="16"/>
      <c r="R221" s="16"/>
      <c r="S221" s="16">
        <f t="shared" si="168"/>
        <v>100.1808508953478</v>
      </c>
      <c r="T221" s="16"/>
      <c r="U221" s="15">
        <v>4</v>
      </c>
      <c r="V221" s="15"/>
      <c r="W221" s="15"/>
      <c r="X221" s="15" t="s">
        <v>186</v>
      </c>
      <c r="Y221" s="15"/>
      <c r="Z221" s="37">
        <v>8</v>
      </c>
      <c r="AA221" s="37">
        <v>5</v>
      </c>
      <c r="AB221" s="15"/>
      <c r="AC221" s="38">
        <f t="shared" si="169"/>
        <v>2.6871523252542673</v>
      </c>
      <c r="AD221" s="38">
        <f t="shared" si="170"/>
        <v>0</v>
      </c>
      <c r="AE221" s="38">
        <f t="shared" si="171"/>
        <v>1.2925014644855712</v>
      </c>
      <c r="AF221" s="38">
        <f t="shared" si="172"/>
        <v>0</v>
      </c>
      <c r="AG221" s="38">
        <f t="shared" si="173"/>
        <v>1.0781338062071556E-2</v>
      </c>
      <c r="AH221" s="38">
        <f t="shared" si="174"/>
        <v>0</v>
      </c>
      <c r="AI221" s="38">
        <f t="shared" si="175"/>
        <v>0</v>
      </c>
      <c r="AJ221" s="38">
        <f t="shared" si="176"/>
        <v>0.31848717065632998</v>
      </c>
      <c r="AK221" s="38">
        <f t="shared" si="177"/>
        <v>0.6827805568633063</v>
      </c>
      <c r="AL221" s="38">
        <f t="shared" si="178"/>
        <v>3.2568731226107622E-2</v>
      </c>
      <c r="AM221" s="38">
        <f t="shared" si="179"/>
        <v>0</v>
      </c>
      <c r="AN221" s="38">
        <f t="shared" si="180"/>
        <v>0</v>
      </c>
      <c r="AO221" s="38">
        <f t="shared" si="181"/>
        <v>0</v>
      </c>
      <c r="AP221" s="38">
        <f t="shared" si="182"/>
        <v>5.0242715865476546</v>
      </c>
      <c r="AQ221" s="38">
        <f t="shared" si="183"/>
        <v>3.9796537897398387</v>
      </c>
      <c r="AR221" s="38">
        <f t="shared" si="184"/>
        <v>1.0338364587457438</v>
      </c>
      <c r="AS221" s="40"/>
      <c r="AT221" s="38">
        <f t="shared" si="185"/>
        <v>2.6741710504354921</v>
      </c>
      <c r="AU221" s="38">
        <f t="shared" si="186"/>
        <v>0</v>
      </c>
      <c r="AV221" s="38">
        <f t="shared" si="187"/>
        <v>1.2862575621371739</v>
      </c>
      <c r="AW221" s="38">
        <f t="shared" si="188"/>
        <v>0</v>
      </c>
      <c r="AX221" s="38">
        <f t="shared" si="189"/>
        <v>0</v>
      </c>
      <c r="AY221" s="38">
        <f t="shared" si="190"/>
        <v>1.0729254854512926E-2</v>
      </c>
      <c r="AZ221" s="38">
        <f t="shared" si="191"/>
        <v>0</v>
      </c>
      <c r="BA221" s="38">
        <f t="shared" si="192"/>
        <v>0</v>
      </c>
      <c r="BB221" s="38">
        <f t="shared" si="193"/>
        <v>0.31694860157348026</v>
      </c>
      <c r="BC221" s="38">
        <f t="shared" si="194"/>
        <v>0.67948213497398513</v>
      </c>
      <c r="BD221" s="38">
        <f t="shared" si="195"/>
        <v>3.2411396025355678E-2</v>
      </c>
      <c r="BE221" s="38">
        <f t="shared" si="196"/>
        <v>0</v>
      </c>
      <c r="BF221" s="38">
        <f t="shared" si="197"/>
        <v>0</v>
      </c>
      <c r="BG221" s="38">
        <f t="shared" si="198"/>
        <v>0</v>
      </c>
      <c r="BH221" s="41">
        <f t="shared" si="199"/>
        <v>4.9999999999999991</v>
      </c>
      <c r="BI221" s="42">
        <f t="shared" si="200"/>
        <v>7.9667176934316641</v>
      </c>
      <c r="BJ221" s="38">
        <f t="shared" si="201"/>
        <v>3.9604286125726658</v>
      </c>
      <c r="BK221" s="38">
        <f t="shared" si="202"/>
        <v>1.028842132572821</v>
      </c>
      <c r="BL221" s="16"/>
      <c r="BM221" s="16">
        <f t="shared" si="203"/>
        <v>0.3080633962577799</v>
      </c>
      <c r="BN221" s="16">
        <f t="shared" si="204"/>
        <v>0.66043381531703715</v>
      </c>
      <c r="BO221" s="16">
        <f t="shared" si="205"/>
        <v>3.1502788425183025E-2</v>
      </c>
      <c r="BP221" s="15"/>
      <c r="BQ221" s="38">
        <f t="shared" si="206"/>
        <v>1.0019973368841546</v>
      </c>
      <c r="BR221" s="38">
        <f t="shared" si="207"/>
        <v>0</v>
      </c>
      <c r="BS221" s="38">
        <f t="shared" si="208"/>
        <v>0.48195370733621029</v>
      </c>
      <c r="BT221" s="38">
        <f t="shared" si="209"/>
        <v>0</v>
      </c>
      <c r="BU221" s="38">
        <f t="shared" si="210"/>
        <v>4.0201933938453852E-3</v>
      </c>
      <c r="BV221" s="38">
        <f t="shared" si="211"/>
        <v>0</v>
      </c>
      <c r="BW221" s="38">
        <f t="shared" si="212"/>
        <v>0</v>
      </c>
      <c r="BX221" s="38">
        <f t="shared" si="213"/>
        <v>0.11875891583452211</v>
      </c>
      <c r="BY221" s="38">
        <f t="shared" si="214"/>
        <v>0.25459825750242016</v>
      </c>
      <c r="BZ221" s="38">
        <f t="shared" si="215"/>
        <v>1.2144373673036092E-2</v>
      </c>
      <c r="CA221" s="38">
        <f t="shared" si="216"/>
        <v>0</v>
      </c>
      <c r="CB221" s="38">
        <f t="shared" si="217"/>
        <v>0</v>
      </c>
      <c r="CC221" s="38">
        <f t="shared" si="218"/>
        <v>0</v>
      </c>
      <c r="CD221" s="38">
        <f t="shared" si="219"/>
        <v>1.8734727846241885</v>
      </c>
      <c r="CE221" s="38">
        <f t="shared" si="220"/>
        <v>2.9830756595887205</v>
      </c>
      <c r="CF221" s="38">
        <f t="shared" si="221"/>
        <v>2.6688404769130289</v>
      </c>
      <c r="CG221" s="38">
        <f t="shared" si="222"/>
        <v>7.961353066004409</v>
      </c>
      <c r="CH221" s="15"/>
      <c r="CI221" s="16"/>
      <c r="CJ221" s="13"/>
      <c r="CK221" s="104"/>
      <c r="CL221" s="13"/>
      <c r="CM221" s="13"/>
      <c r="CN221" s="13"/>
      <c r="CO221" s="16"/>
      <c r="CP221" s="16"/>
      <c r="CQ221" s="16"/>
      <c r="CR221" s="16"/>
      <c r="CS221" s="16"/>
      <c r="CT221" s="16"/>
      <c r="CU221" s="16"/>
      <c r="CV221" s="16"/>
      <c r="CW221" s="16"/>
      <c r="CX221" s="16"/>
      <c r="CY221" s="104"/>
      <c r="CZ221" s="104"/>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3"/>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row>
    <row r="222" spans="1:167" x14ac:dyDescent="0.25">
      <c r="A222" s="35" t="s">
        <v>89</v>
      </c>
      <c r="B222" s="15">
        <v>687</v>
      </c>
      <c r="C222" s="102" t="s">
        <v>97</v>
      </c>
      <c r="D222" s="102" t="s">
        <v>106</v>
      </c>
      <c r="E222" s="15">
        <v>198</v>
      </c>
      <c r="F222" s="16">
        <v>66.650000000000006</v>
      </c>
      <c r="G222" s="16">
        <v>0</v>
      </c>
      <c r="H222" s="16">
        <v>18.48</v>
      </c>
      <c r="I222" s="16">
        <v>0</v>
      </c>
      <c r="J222" s="16">
        <v>0.16917124088904886</v>
      </c>
      <c r="K222" s="16">
        <v>0</v>
      </c>
      <c r="L222" s="16">
        <v>0</v>
      </c>
      <c r="M222" s="16">
        <v>0.21099999999999999</v>
      </c>
      <c r="N222" s="16">
        <v>5.27</v>
      </c>
      <c r="O222" s="16">
        <v>9.6199999999999992</v>
      </c>
      <c r="P222" s="16"/>
      <c r="Q222" s="16"/>
      <c r="R222" s="16"/>
      <c r="S222" s="16">
        <f t="shared" si="168"/>
        <v>100.40017124088905</v>
      </c>
      <c r="T222" s="16"/>
      <c r="U222" s="15"/>
      <c r="V222" s="15"/>
      <c r="W222" s="15"/>
      <c r="X222" s="15" t="s">
        <v>187</v>
      </c>
      <c r="Y222" s="15"/>
      <c r="Z222" s="37">
        <v>8</v>
      </c>
      <c r="AA222" s="37">
        <v>5</v>
      </c>
      <c r="AB222" s="15"/>
      <c r="AC222" s="38">
        <f t="shared" si="169"/>
        <v>3.0025976021821861</v>
      </c>
      <c r="AD222" s="38">
        <f t="shared" si="170"/>
        <v>0</v>
      </c>
      <c r="AE222" s="38">
        <f t="shared" si="171"/>
        <v>0.98113561195163668</v>
      </c>
      <c r="AF222" s="38">
        <f t="shared" si="172"/>
        <v>0</v>
      </c>
      <c r="AG222" s="38">
        <f t="shared" si="173"/>
        <v>6.3727468376653072E-3</v>
      </c>
      <c r="AH222" s="38">
        <f t="shared" si="174"/>
        <v>0</v>
      </c>
      <c r="AI222" s="38">
        <f t="shared" si="175"/>
        <v>0</v>
      </c>
      <c r="AJ222" s="38">
        <f t="shared" si="176"/>
        <v>1.0183600507246456E-2</v>
      </c>
      <c r="AK222" s="38">
        <f t="shared" si="177"/>
        <v>0.46027346960606907</v>
      </c>
      <c r="AL222" s="38">
        <f t="shared" si="178"/>
        <v>0.55281659112045434</v>
      </c>
      <c r="AM222" s="38">
        <f t="shared" si="179"/>
        <v>0</v>
      </c>
      <c r="AN222" s="38">
        <f t="shared" si="180"/>
        <v>0</v>
      </c>
      <c r="AO222" s="38">
        <f t="shared" si="181"/>
        <v>0</v>
      </c>
      <c r="AP222" s="38">
        <f t="shared" si="182"/>
        <v>5.0133796222052567</v>
      </c>
      <c r="AQ222" s="38">
        <f t="shared" si="183"/>
        <v>3.9837332141338226</v>
      </c>
      <c r="AR222" s="38">
        <f t="shared" si="184"/>
        <v>1.0232736612337698</v>
      </c>
      <c r="AS222" s="40"/>
      <c r="AT222" s="38">
        <f t="shared" si="185"/>
        <v>2.9945843208073484</v>
      </c>
      <c r="AU222" s="38">
        <f t="shared" si="186"/>
        <v>0</v>
      </c>
      <c r="AV222" s="38">
        <f t="shared" si="187"/>
        <v>0.97851717392992899</v>
      </c>
      <c r="AW222" s="38">
        <f t="shared" si="188"/>
        <v>0</v>
      </c>
      <c r="AX222" s="38">
        <f t="shared" si="189"/>
        <v>0</v>
      </c>
      <c r="AY222" s="38">
        <f t="shared" si="190"/>
        <v>6.3557393593726098E-3</v>
      </c>
      <c r="AZ222" s="38">
        <f t="shared" si="191"/>
        <v>0</v>
      </c>
      <c r="BA222" s="38">
        <f t="shared" si="192"/>
        <v>0</v>
      </c>
      <c r="BB222" s="38">
        <f t="shared" si="193"/>
        <v>1.015642268754321E-2</v>
      </c>
      <c r="BC222" s="38">
        <f t="shared" si="194"/>
        <v>0.45904509960449252</v>
      </c>
      <c r="BD222" s="38">
        <f t="shared" si="195"/>
        <v>0.55134124361131509</v>
      </c>
      <c r="BE222" s="38">
        <f t="shared" si="196"/>
        <v>0</v>
      </c>
      <c r="BF222" s="38">
        <f t="shared" si="197"/>
        <v>0</v>
      </c>
      <c r="BG222" s="38">
        <f t="shared" si="198"/>
        <v>0</v>
      </c>
      <c r="BH222" s="41">
        <f t="shared" si="199"/>
        <v>5.0000000000000009</v>
      </c>
      <c r="BI222" s="42">
        <f t="shared" si="200"/>
        <v>7.9818276058440958</v>
      </c>
      <c r="BJ222" s="38">
        <f t="shared" si="201"/>
        <v>3.9731014947372776</v>
      </c>
      <c r="BK222" s="38">
        <f t="shared" si="202"/>
        <v>1.0205427659033508</v>
      </c>
      <c r="BL222" s="16"/>
      <c r="BM222" s="16">
        <f t="shared" si="203"/>
        <v>9.9519814620929476E-3</v>
      </c>
      <c r="BN222" s="16">
        <f t="shared" si="204"/>
        <v>0.44980486358958305</v>
      </c>
      <c r="BO222" s="16">
        <f t="shared" si="205"/>
        <v>0.54024315494832398</v>
      </c>
      <c r="BP222" s="15"/>
      <c r="BQ222" s="38">
        <f t="shared" si="206"/>
        <v>1.1093541944074568</v>
      </c>
      <c r="BR222" s="38">
        <f t="shared" si="207"/>
        <v>0</v>
      </c>
      <c r="BS222" s="38">
        <f t="shared" si="208"/>
        <v>0.36249509611612402</v>
      </c>
      <c r="BT222" s="38">
        <f t="shared" si="209"/>
        <v>0</v>
      </c>
      <c r="BU222" s="38">
        <f t="shared" si="210"/>
        <v>2.3545057882957392E-3</v>
      </c>
      <c r="BV222" s="38">
        <f t="shared" si="211"/>
        <v>0</v>
      </c>
      <c r="BW222" s="38">
        <f t="shared" si="212"/>
        <v>0</v>
      </c>
      <c r="BX222" s="38">
        <f t="shared" si="213"/>
        <v>3.7624821683309557E-3</v>
      </c>
      <c r="BY222" s="38">
        <f t="shared" si="214"/>
        <v>0.17005485640529203</v>
      </c>
      <c r="BZ222" s="38">
        <f t="shared" si="215"/>
        <v>0.20424628450106155</v>
      </c>
      <c r="CA222" s="38">
        <f t="shared" si="216"/>
        <v>0</v>
      </c>
      <c r="CB222" s="38">
        <f t="shared" si="217"/>
        <v>0</v>
      </c>
      <c r="CC222" s="38">
        <f t="shared" si="218"/>
        <v>0</v>
      </c>
      <c r="CD222" s="38">
        <f t="shared" si="219"/>
        <v>1.8522674193865607</v>
      </c>
      <c r="CE222" s="38">
        <f t="shared" si="220"/>
        <v>2.9557185913989028</v>
      </c>
      <c r="CF222" s="38">
        <f t="shared" si="221"/>
        <v>2.6993942384712</v>
      </c>
      <c r="CG222" s="38">
        <f t="shared" si="222"/>
        <v>7.9786497361644093</v>
      </c>
      <c r="CH222" s="15"/>
      <c r="CI222" s="16"/>
      <c r="CJ222" s="13"/>
      <c r="CK222" s="104"/>
      <c r="CL222" s="13"/>
      <c r="CM222" s="13"/>
      <c r="CN222" s="13"/>
      <c r="CO222" s="16"/>
      <c r="CP222" s="16"/>
      <c r="CQ222" s="16"/>
      <c r="CR222" s="16"/>
      <c r="CS222" s="16"/>
      <c r="CT222" s="16"/>
      <c r="CU222" s="16"/>
      <c r="CV222" s="16"/>
      <c r="CW222" s="16"/>
      <c r="CX222" s="16"/>
      <c r="CY222" s="104"/>
      <c r="CZ222" s="104"/>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3"/>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row>
    <row r="223" spans="1:167" x14ac:dyDescent="0.25">
      <c r="A223" s="35" t="s">
        <v>89</v>
      </c>
      <c r="B223" s="15">
        <v>688</v>
      </c>
      <c r="C223" s="102" t="s">
        <v>97</v>
      </c>
      <c r="D223" s="102" t="s">
        <v>106</v>
      </c>
      <c r="E223" s="15">
        <v>199</v>
      </c>
      <c r="F223" s="16">
        <v>56.94</v>
      </c>
      <c r="G223" s="16">
        <v>0</v>
      </c>
      <c r="H223" s="16">
        <v>26.59</v>
      </c>
      <c r="I223" s="16">
        <v>0</v>
      </c>
      <c r="J223" s="16">
        <v>0.41123009088454965</v>
      </c>
      <c r="K223" s="16">
        <v>0</v>
      </c>
      <c r="L223" s="16">
        <v>0</v>
      </c>
      <c r="M223" s="16">
        <v>9.16</v>
      </c>
      <c r="N223" s="16">
        <v>6.62</v>
      </c>
      <c r="O223" s="16">
        <v>0.27</v>
      </c>
      <c r="P223" s="16"/>
      <c r="Q223" s="16"/>
      <c r="R223" s="16"/>
      <c r="S223" s="16">
        <f t="shared" si="168"/>
        <v>99.991230090884542</v>
      </c>
      <c r="T223" s="16"/>
      <c r="U223" s="15"/>
      <c r="V223" s="15"/>
      <c r="W223" s="15"/>
      <c r="X223" s="15" t="s">
        <v>186</v>
      </c>
      <c r="Y223" s="15"/>
      <c r="Z223" s="37">
        <v>8</v>
      </c>
      <c r="AA223" s="37">
        <v>5</v>
      </c>
      <c r="AB223" s="15"/>
      <c r="AC223" s="38">
        <f t="shared" si="169"/>
        <v>2.5644170728796682</v>
      </c>
      <c r="AD223" s="38">
        <f t="shared" si="170"/>
        <v>0</v>
      </c>
      <c r="AE223" s="38">
        <f t="shared" si="171"/>
        <v>1.4113009275556496</v>
      </c>
      <c r="AF223" s="38">
        <f t="shared" si="172"/>
        <v>0</v>
      </c>
      <c r="AG223" s="38">
        <f t="shared" si="173"/>
        <v>1.548671242752874E-2</v>
      </c>
      <c r="AH223" s="38">
        <f t="shared" si="174"/>
        <v>0</v>
      </c>
      <c r="AI223" s="38">
        <f t="shared" si="175"/>
        <v>0</v>
      </c>
      <c r="AJ223" s="38">
        <f t="shared" si="176"/>
        <v>0.4419657238886216</v>
      </c>
      <c r="AK223" s="38">
        <f t="shared" si="177"/>
        <v>0.57801290389265314</v>
      </c>
      <c r="AL223" s="38">
        <f t="shared" si="178"/>
        <v>1.5511149289424047E-2</v>
      </c>
      <c r="AM223" s="38">
        <f t="shared" si="179"/>
        <v>0</v>
      </c>
      <c r="AN223" s="38">
        <f t="shared" si="180"/>
        <v>0</v>
      </c>
      <c r="AO223" s="38">
        <f t="shared" si="181"/>
        <v>0</v>
      </c>
      <c r="AP223" s="38">
        <f t="shared" si="182"/>
        <v>5.0266944899335462</v>
      </c>
      <c r="AQ223" s="38">
        <f t="shared" si="183"/>
        <v>3.9757180004353181</v>
      </c>
      <c r="AR223" s="38">
        <f t="shared" si="184"/>
        <v>1.0354897770706988</v>
      </c>
      <c r="AS223" s="40"/>
      <c r="AT223" s="38">
        <f t="shared" si="185"/>
        <v>2.5507986192667644</v>
      </c>
      <c r="AU223" s="38">
        <f t="shared" si="186"/>
        <v>0</v>
      </c>
      <c r="AV223" s="38">
        <f t="shared" si="187"/>
        <v>1.4038061497291308</v>
      </c>
      <c r="AW223" s="38">
        <f t="shared" si="188"/>
        <v>0</v>
      </c>
      <c r="AX223" s="38">
        <f t="shared" si="189"/>
        <v>0</v>
      </c>
      <c r="AY223" s="38">
        <f t="shared" si="190"/>
        <v>1.540446953613594E-2</v>
      </c>
      <c r="AZ223" s="38">
        <f t="shared" si="191"/>
        <v>0</v>
      </c>
      <c r="BA223" s="38">
        <f t="shared" si="192"/>
        <v>0</v>
      </c>
      <c r="BB223" s="38">
        <f t="shared" si="193"/>
        <v>0.43961864479102697</v>
      </c>
      <c r="BC223" s="38">
        <f t="shared" si="194"/>
        <v>0.57494334005197778</v>
      </c>
      <c r="BD223" s="38">
        <f t="shared" si="195"/>
        <v>1.5428776624963643E-2</v>
      </c>
      <c r="BE223" s="38">
        <f t="shared" si="196"/>
        <v>0</v>
      </c>
      <c r="BF223" s="38">
        <f t="shared" si="197"/>
        <v>0</v>
      </c>
      <c r="BG223" s="38">
        <f t="shared" si="198"/>
        <v>0</v>
      </c>
      <c r="BH223" s="41">
        <f t="shared" si="199"/>
        <v>4.9999999999999991</v>
      </c>
      <c r="BI223" s="42">
        <f t="shared" si="200"/>
        <v>7.9652178705609273</v>
      </c>
      <c r="BJ223" s="38">
        <f t="shared" si="201"/>
        <v>3.9546047689958952</v>
      </c>
      <c r="BK223" s="38">
        <f t="shared" si="202"/>
        <v>1.0299907614679684</v>
      </c>
      <c r="BL223" s="16"/>
      <c r="BM223" s="16">
        <f t="shared" si="203"/>
        <v>0.42681804656623479</v>
      </c>
      <c r="BN223" s="16">
        <f t="shared" si="204"/>
        <v>0.55820242429413081</v>
      </c>
      <c r="BO223" s="16">
        <f t="shared" si="205"/>
        <v>1.4979529139634387E-2</v>
      </c>
      <c r="BP223" s="15"/>
      <c r="BQ223" s="38">
        <f t="shared" si="206"/>
        <v>0.94773635153129165</v>
      </c>
      <c r="BR223" s="38">
        <f t="shared" si="207"/>
        <v>0</v>
      </c>
      <c r="BS223" s="38">
        <f t="shared" si="208"/>
        <v>0.52157708905453126</v>
      </c>
      <c r="BT223" s="38">
        <f t="shared" si="209"/>
        <v>0</v>
      </c>
      <c r="BU223" s="38">
        <f t="shared" si="210"/>
        <v>5.7234529002720899E-3</v>
      </c>
      <c r="BV223" s="38">
        <f t="shared" si="211"/>
        <v>0</v>
      </c>
      <c r="BW223" s="38">
        <f t="shared" si="212"/>
        <v>0</v>
      </c>
      <c r="BX223" s="38">
        <f t="shared" si="213"/>
        <v>0.16333808844507847</v>
      </c>
      <c r="BY223" s="38">
        <f t="shared" si="214"/>
        <v>0.21361729590190384</v>
      </c>
      <c r="BZ223" s="38">
        <f t="shared" si="215"/>
        <v>5.7324840764331215E-3</v>
      </c>
      <c r="CA223" s="38">
        <f t="shared" si="216"/>
        <v>0</v>
      </c>
      <c r="CB223" s="38">
        <f t="shared" si="217"/>
        <v>0</v>
      </c>
      <c r="CC223" s="38">
        <f t="shared" si="218"/>
        <v>0</v>
      </c>
      <c r="CD223" s="38">
        <f t="shared" si="219"/>
        <v>1.8577247619095105</v>
      </c>
      <c r="CE223" s="38">
        <f t="shared" si="220"/>
        <v>2.9565747679788994</v>
      </c>
      <c r="CF223" s="38">
        <f t="shared" si="221"/>
        <v>2.6914643667992131</v>
      </c>
      <c r="CG223" s="38">
        <f t="shared" si="222"/>
        <v>7.9575156357928591</v>
      </c>
      <c r="CH223" s="15"/>
      <c r="CI223" s="16"/>
      <c r="CJ223" s="13"/>
      <c r="CK223" s="104"/>
      <c r="CL223" s="13"/>
      <c r="CM223" s="13"/>
      <c r="CN223" s="13"/>
      <c r="CO223" s="16"/>
      <c r="CP223" s="16"/>
      <c r="CQ223" s="16"/>
      <c r="CR223" s="16"/>
      <c r="CS223" s="16"/>
      <c r="CT223" s="16"/>
      <c r="CU223" s="16"/>
      <c r="CV223" s="16"/>
      <c r="CW223" s="16"/>
      <c r="CX223" s="16"/>
      <c r="CY223" s="104"/>
      <c r="CZ223" s="104"/>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3"/>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row>
    <row r="224" spans="1:167" x14ac:dyDescent="0.25">
      <c r="A224" s="35" t="s">
        <v>89</v>
      </c>
      <c r="B224" s="15">
        <v>689</v>
      </c>
      <c r="C224" s="102" t="s">
        <v>97</v>
      </c>
      <c r="D224" s="102" t="s">
        <v>106</v>
      </c>
      <c r="E224" s="15">
        <v>200</v>
      </c>
      <c r="F224" s="16">
        <v>52.79</v>
      </c>
      <c r="G224" s="16">
        <v>0</v>
      </c>
      <c r="H224" s="16">
        <v>29.19</v>
      </c>
      <c r="I224" s="16">
        <v>0</v>
      </c>
      <c r="J224" s="16">
        <v>0.45352290110681187</v>
      </c>
      <c r="K224" s="16">
        <v>0</v>
      </c>
      <c r="L224" s="16">
        <v>0</v>
      </c>
      <c r="M224" s="16">
        <v>12.42</v>
      </c>
      <c r="N224" s="16">
        <v>4.67</v>
      </c>
      <c r="O224" s="16">
        <v>0.16900000000000001</v>
      </c>
      <c r="P224" s="16"/>
      <c r="Q224" s="16"/>
      <c r="R224" s="16"/>
      <c r="S224" s="16">
        <f t="shared" si="168"/>
        <v>99.692522901106813</v>
      </c>
      <c r="T224" s="16"/>
      <c r="U224" s="15"/>
      <c r="V224" s="15"/>
      <c r="W224" s="15"/>
      <c r="X224" s="15" t="s">
        <v>186</v>
      </c>
      <c r="Y224" s="15"/>
      <c r="Z224" s="37">
        <v>8</v>
      </c>
      <c r="AA224" s="37">
        <v>5</v>
      </c>
      <c r="AB224" s="15"/>
      <c r="AC224" s="38">
        <f t="shared" si="169"/>
        <v>2.4063760429242067</v>
      </c>
      <c r="AD224" s="38">
        <f t="shared" si="170"/>
        <v>0</v>
      </c>
      <c r="AE224" s="38">
        <f t="shared" si="171"/>
        <v>1.5681081828229191</v>
      </c>
      <c r="AF224" s="38">
        <f t="shared" si="172"/>
        <v>0</v>
      </c>
      <c r="AG224" s="38">
        <f t="shared" si="173"/>
        <v>1.7286784055146949E-2</v>
      </c>
      <c r="AH224" s="38">
        <f t="shared" si="174"/>
        <v>0</v>
      </c>
      <c r="AI224" s="38">
        <f t="shared" si="175"/>
        <v>0</v>
      </c>
      <c r="AJ224" s="38">
        <f t="shared" si="176"/>
        <v>0.60653427559017392</v>
      </c>
      <c r="AK224" s="38">
        <f t="shared" si="177"/>
        <v>0.41270246377773612</v>
      </c>
      <c r="AL224" s="38">
        <f t="shared" si="178"/>
        <v>9.826696766039613E-3</v>
      </c>
      <c r="AM224" s="38">
        <f t="shared" si="179"/>
        <v>0</v>
      </c>
      <c r="AN224" s="38">
        <f t="shared" si="180"/>
        <v>0</v>
      </c>
      <c r="AO224" s="38">
        <f t="shared" si="181"/>
        <v>0</v>
      </c>
      <c r="AP224" s="38">
        <f t="shared" si="182"/>
        <v>5.0208344459362229</v>
      </c>
      <c r="AQ224" s="38">
        <f t="shared" si="183"/>
        <v>3.9744842257471258</v>
      </c>
      <c r="AR224" s="38">
        <f t="shared" si="184"/>
        <v>1.0290634361339497</v>
      </c>
      <c r="AS224" s="40"/>
      <c r="AT224" s="38">
        <f t="shared" si="185"/>
        <v>2.3963905490569264</v>
      </c>
      <c r="AU224" s="38">
        <f t="shared" si="186"/>
        <v>0</v>
      </c>
      <c r="AV224" s="38">
        <f t="shared" si="187"/>
        <v>1.5616011638186149</v>
      </c>
      <c r="AW224" s="38">
        <f t="shared" si="188"/>
        <v>0</v>
      </c>
      <c r="AX224" s="38">
        <f t="shared" si="189"/>
        <v>0</v>
      </c>
      <c r="AY224" s="38">
        <f t="shared" si="190"/>
        <v>1.7215050845919223E-2</v>
      </c>
      <c r="AZ224" s="38">
        <f t="shared" si="191"/>
        <v>0</v>
      </c>
      <c r="BA224" s="38">
        <f t="shared" si="192"/>
        <v>0</v>
      </c>
      <c r="BB224" s="38">
        <f t="shared" si="193"/>
        <v>0.6040174020088358</v>
      </c>
      <c r="BC224" s="38">
        <f t="shared" si="194"/>
        <v>0.4109899143475747</v>
      </c>
      <c r="BD224" s="38">
        <f t="shared" si="195"/>
        <v>9.7859199221288547E-3</v>
      </c>
      <c r="BE224" s="38">
        <f t="shared" si="196"/>
        <v>0</v>
      </c>
      <c r="BF224" s="38">
        <f t="shared" si="197"/>
        <v>0</v>
      </c>
      <c r="BG224" s="38">
        <f t="shared" si="198"/>
        <v>0</v>
      </c>
      <c r="BH224" s="41">
        <f t="shared" si="199"/>
        <v>5</v>
      </c>
      <c r="BI224" s="42">
        <f t="shared" si="200"/>
        <v>7.9754107392543414</v>
      </c>
      <c r="BJ224" s="38">
        <f t="shared" si="201"/>
        <v>3.9579917128755415</v>
      </c>
      <c r="BK224" s="38">
        <f t="shared" si="202"/>
        <v>1.0247932362785395</v>
      </c>
      <c r="BL224" s="16"/>
      <c r="BM224" s="16">
        <f t="shared" si="203"/>
        <v>0.58940416527560258</v>
      </c>
      <c r="BN224" s="16">
        <f t="shared" si="204"/>
        <v>0.40104666951165102</v>
      </c>
      <c r="BO224" s="16">
        <f t="shared" si="205"/>
        <v>9.549165212746423E-3</v>
      </c>
      <c r="BP224" s="15"/>
      <c r="BQ224" s="38">
        <f t="shared" si="206"/>
        <v>0.87866178428761654</v>
      </c>
      <c r="BR224" s="38">
        <f t="shared" si="207"/>
        <v>0</v>
      </c>
      <c r="BS224" s="38">
        <f t="shared" si="208"/>
        <v>0.57257748136524134</v>
      </c>
      <c r="BT224" s="38">
        <f t="shared" si="209"/>
        <v>0</v>
      </c>
      <c r="BU224" s="38">
        <f t="shared" si="210"/>
        <v>6.3120793473460252E-3</v>
      </c>
      <c r="BV224" s="38">
        <f t="shared" si="211"/>
        <v>0</v>
      </c>
      <c r="BW224" s="38">
        <f t="shared" si="212"/>
        <v>0</v>
      </c>
      <c r="BX224" s="38">
        <f t="shared" si="213"/>
        <v>0.22146932952924395</v>
      </c>
      <c r="BY224" s="38">
        <f t="shared" si="214"/>
        <v>0.15069377218457566</v>
      </c>
      <c r="BZ224" s="38">
        <f t="shared" si="215"/>
        <v>3.5881104033970278E-3</v>
      </c>
      <c r="CA224" s="38">
        <f t="shared" si="216"/>
        <v>0</v>
      </c>
      <c r="CB224" s="38">
        <f t="shared" si="217"/>
        <v>0</v>
      </c>
      <c r="CC224" s="38">
        <f t="shared" si="218"/>
        <v>0</v>
      </c>
      <c r="CD224" s="38">
        <f t="shared" si="219"/>
        <v>1.8333025571174206</v>
      </c>
      <c r="CE224" s="38">
        <f t="shared" si="220"/>
        <v>2.9211121407936713</v>
      </c>
      <c r="CF224" s="38">
        <f t="shared" si="221"/>
        <v>2.7273185108418287</v>
      </c>
      <c r="CG224" s="38">
        <f t="shared" si="222"/>
        <v>7.9668032138313825</v>
      </c>
      <c r="CH224" s="15"/>
      <c r="CI224" s="16"/>
      <c r="CJ224" s="13"/>
      <c r="CK224" s="104"/>
      <c r="CL224" s="13"/>
      <c r="CM224" s="13"/>
      <c r="CN224" s="13"/>
      <c r="CO224" s="16"/>
      <c r="CP224" s="16"/>
      <c r="CQ224" s="16"/>
      <c r="CR224" s="16"/>
      <c r="CS224" s="16"/>
      <c r="CT224" s="16"/>
      <c r="CU224" s="16"/>
      <c r="CV224" s="16"/>
      <c r="CW224" s="16"/>
      <c r="CX224" s="16"/>
      <c r="CY224" s="104"/>
      <c r="CZ224" s="104"/>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3"/>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row>
    <row r="225" spans="1:167" x14ac:dyDescent="0.25">
      <c r="A225" s="35" t="s">
        <v>254</v>
      </c>
      <c r="B225" s="15">
        <v>731</v>
      </c>
      <c r="C225" s="102" t="s">
        <v>95</v>
      </c>
      <c r="D225" s="102" t="s">
        <v>106</v>
      </c>
      <c r="E225" s="15">
        <v>242</v>
      </c>
      <c r="F225" s="16">
        <v>53.3</v>
      </c>
      <c r="G225" s="16">
        <v>0</v>
      </c>
      <c r="H225" s="16">
        <v>28.44</v>
      </c>
      <c r="I225" s="16">
        <v>0</v>
      </c>
      <c r="J225" s="16">
        <v>0.49761540538108529</v>
      </c>
      <c r="K225" s="16">
        <v>0</v>
      </c>
      <c r="L225" s="16">
        <v>0</v>
      </c>
      <c r="M225" s="16">
        <v>11.61</v>
      </c>
      <c r="N225" s="16">
        <v>5.09</v>
      </c>
      <c r="O225" s="16">
        <v>0.19400000000000001</v>
      </c>
      <c r="P225" s="16"/>
      <c r="Q225" s="16"/>
      <c r="R225" s="16"/>
      <c r="S225" s="16">
        <f t="shared" si="168"/>
        <v>99.131615405381083</v>
      </c>
      <c r="T225" s="16"/>
      <c r="U225" s="15">
        <v>1</v>
      </c>
      <c r="V225" s="15">
        <v>1</v>
      </c>
      <c r="W225" s="15">
        <v>0</v>
      </c>
      <c r="X225" s="15" t="s">
        <v>185</v>
      </c>
      <c r="Y225" s="15"/>
      <c r="Z225" s="37">
        <v>8</v>
      </c>
      <c r="AA225" s="37">
        <v>5</v>
      </c>
      <c r="AB225" s="15"/>
      <c r="AC225" s="38">
        <f t="shared" si="169"/>
        <v>2.4395439361784503</v>
      </c>
      <c r="AD225" s="38">
        <f t="shared" si="170"/>
        <v>0</v>
      </c>
      <c r="AE225" s="38">
        <f t="shared" si="171"/>
        <v>1.5340556695001246</v>
      </c>
      <c r="AF225" s="38">
        <f t="shared" si="172"/>
        <v>0</v>
      </c>
      <c r="AG225" s="38">
        <f t="shared" si="173"/>
        <v>1.9044887150597566E-2</v>
      </c>
      <c r="AH225" s="38">
        <f t="shared" si="174"/>
        <v>0</v>
      </c>
      <c r="AI225" s="38">
        <f t="shared" si="175"/>
        <v>0</v>
      </c>
      <c r="AJ225" s="38">
        <f t="shared" si="176"/>
        <v>0.56929264624304832</v>
      </c>
      <c r="AK225" s="38">
        <f t="shared" si="177"/>
        <v>0.45165577251495553</v>
      </c>
      <c r="AL225" s="38">
        <f t="shared" si="178"/>
        <v>1.1326407483581161E-2</v>
      </c>
      <c r="AM225" s="38">
        <f t="shared" si="179"/>
        <v>0</v>
      </c>
      <c r="AN225" s="38">
        <f t="shared" si="180"/>
        <v>0</v>
      </c>
      <c r="AO225" s="38">
        <f t="shared" si="181"/>
        <v>0</v>
      </c>
      <c r="AP225" s="38">
        <f t="shared" si="182"/>
        <v>5.024919319070758</v>
      </c>
      <c r="AQ225" s="38">
        <f t="shared" si="183"/>
        <v>3.973599605678575</v>
      </c>
      <c r="AR225" s="38">
        <f t="shared" si="184"/>
        <v>1.0322748262415851</v>
      </c>
      <c r="AS225" s="40"/>
      <c r="AT225" s="38">
        <f t="shared" si="185"/>
        <v>2.4274458765136826</v>
      </c>
      <c r="AU225" s="38">
        <f t="shared" si="186"/>
        <v>0</v>
      </c>
      <c r="AV225" s="38">
        <f t="shared" si="187"/>
        <v>1.5264480602484707</v>
      </c>
      <c r="AW225" s="38">
        <f t="shared" si="188"/>
        <v>0</v>
      </c>
      <c r="AX225" s="38">
        <f t="shared" si="189"/>
        <v>0</v>
      </c>
      <c r="AY225" s="38">
        <f t="shared" si="190"/>
        <v>1.8950440734757389E-2</v>
      </c>
      <c r="AZ225" s="38">
        <f t="shared" si="191"/>
        <v>0</v>
      </c>
      <c r="BA225" s="38">
        <f t="shared" si="192"/>
        <v>0</v>
      </c>
      <c r="BB225" s="38">
        <f t="shared" si="193"/>
        <v>0.56646943970070129</v>
      </c>
      <c r="BC225" s="38">
        <f t="shared" si="194"/>
        <v>0.44941594465090717</v>
      </c>
      <c r="BD225" s="38">
        <f t="shared" si="195"/>
        <v>1.1270238151481125E-2</v>
      </c>
      <c r="BE225" s="38">
        <f t="shared" si="196"/>
        <v>0</v>
      </c>
      <c r="BF225" s="38">
        <f t="shared" si="197"/>
        <v>0</v>
      </c>
      <c r="BG225" s="38">
        <f t="shared" si="198"/>
        <v>0</v>
      </c>
      <c r="BH225" s="41">
        <f t="shared" si="199"/>
        <v>5</v>
      </c>
      <c r="BI225" s="42">
        <f t="shared" si="200"/>
        <v>7.9698020356041033</v>
      </c>
      <c r="BJ225" s="38">
        <f t="shared" si="201"/>
        <v>3.9538939367621531</v>
      </c>
      <c r="BK225" s="38">
        <f t="shared" si="202"/>
        <v>1.0271556225030896</v>
      </c>
      <c r="BL225" s="16"/>
      <c r="BM225" s="16">
        <f t="shared" si="203"/>
        <v>0.55149329594308616</v>
      </c>
      <c r="BN225" s="16">
        <f t="shared" si="204"/>
        <v>0.43753442497420136</v>
      </c>
      <c r="BO225" s="16">
        <f t="shared" si="205"/>
        <v>1.0972279082712439E-2</v>
      </c>
      <c r="BP225" s="15"/>
      <c r="BQ225" s="38">
        <f t="shared" si="206"/>
        <v>0.88715046604527292</v>
      </c>
      <c r="BR225" s="38">
        <f t="shared" si="207"/>
        <v>0</v>
      </c>
      <c r="BS225" s="38">
        <f t="shared" si="208"/>
        <v>0.55786582973715193</v>
      </c>
      <c r="BT225" s="38">
        <f t="shared" si="209"/>
        <v>0</v>
      </c>
      <c r="BU225" s="38">
        <f t="shared" si="210"/>
        <v>6.9257537283379999E-3</v>
      </c>
      <c r="BV225" s="38">
        <f t="shared" si="211"/>
        <v>0</v>
      </c>
      <c r="BW225" s="38">
        <f t="shared" si="212"/>
        <v>0</v>
      </c>
      <c r="BX225" s="38">
        <f t="shared" si="213"/>
        <v>0.20702567760342366</v>
      </c>
      <c r="BY225" s="38">
        <f t="shared" si="214"/>
        <v>0.16424653113907711</v>
      </c>
      <c r="BZ225" s="38">
        <f t="shared" si="215"/>
        <v>4.1188959660297241E-3</v>
      </c>
      <c r="CA225" s="38">
        <f t="shared" si="216"/>
        <v>0</v>
      </c>
      <c r="CB225" s="38">
        <f t="shared" si="217"/>
        <v>0</v>
      </c>
      <c r="CC225" s="38">
        <f t="shared" si="218"/>
        <v>0</v>
      </c>
      <c r="CD225" s="38">
        <f t="shared" si="219"/>
        <v>1.8273331542192932</v>
      </c>
      <c r="CE225" s="38">
        <f t="shared" si="220"/>
        <v>2.9092338215805884</v>
      </c>
      <c r="CF225" s="38">
        <f t="shared" si="221"/>
        <v>2.7362279223441286</v>
      </c>
      <c r="CG225" s="38">
        <f t="shared" si="222"/>
        <v>7.9603268152367228</v>
      </c>
      <c r="CH225" s="15"/>
      <c r="CI225" s="16"/>
      <c r="CJ225" s="13"/>
      <c r="CK225" s="104"/>
      <c r="CL225" s="13"/>
      <c r="CM225" s="13"/>
      <c r="CN225" s="13"/>
      <c r="CO225" s="16"/>
      <c r="CP225" s="16"/>
      <c r="CQ225" s="16"/>
      <c r="CR225" s="16"/>
      <c r="CS225" s="16"/>
      <c r="CT225" s="16"/>
      <c r="CU225" s="16"/>
      <c r="CV225" s="16"/>
      <c r="CW225" s="16"/>
      <c r="CX225" s="16"/>
      <c r="CY225" s="104"/>
      <c r="CZ225" s="104"/>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3"/>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row>
    <row r="226" spans="1:167" x14ac:dyDescent="0.25">
      <c r="A226" s="35" t="s">
        <v>254</v>
      </c>
      <c r="B226" s="15">
        <v>732</v>
      </c>
      <c r="C226" s="102" t="s">
        <v>95</v>
      </c>
      <c r="D226" s="102" t="s">
        <v>106</v>
      </c>
      <c r="E226" s="15">
        <v>243</v>
      </c>
      <c r="F226" s="16">
        <v>53.57</v>
      </c>
      <c r="G226" s="16">
        <v>0</v>
      </c>
      <c r="H226" s="16">
        <v>28.9</v>
      </c>
      <c r="I226" s="16">
        <v>0</v>
      </c>
      <c r="J226" s="16">
        <v>0.45982183028885093</v>
      </c>
      <c r="K226" s="16">
        <v>0</v>
      </c>
      <c r="L226" s="16">
        <v>0</v>
      </c>
      <c r="M226" s="16">
        <v>11.46</v>
      </c>
      <c r="N226" s="16">
        <v>5.08</v>
      </c>
      <c r="O226" s="16">
        <v>0.26800000000000002</v>
      </c>
      <c r="P226" s="16"/>
      <c r="Q226" s="16"/>
      <c r="R226" s="16"/>
      <c r="S226" s="16">
        <f t="shared" si="168"/>
        <v>99.737821830288837</v>
      </c>
      <c r="T226" s="16"/>
      <c r="U226" s="15">
        <v>1</v>
      </c>
      <c r="V226" s="15">
        <v>2</v>
      </c>
      <c r="W226" s="15">
        <v>10.8</v>
      </c>
      <c r="X226" s="15" t="s">
        <v>185</v>
      </c>
      <c r="Y226" s="15"/>
      <c r="Z226" s="37">
        <v>8</v>
      </c>
      <c r="AA226" s="37">
        <v>5</v>
      </c>
      <c r="AB226" s="15"/>
      <c r="AC226" s="38">
        <f t="shared" si="169"/>
        <v>2.4352056694073676</v>
      </c>
      <c r="AD226" s="38">
        <f t="shared" si="170"/>
        <v>0</v>
      </c>
      <c r="AE226" s="38">
        <f t="shared" si="171"/>
        <v>1.5482530186064702</v>
      </c>
      <c r="AF226" s="38">
        <f t="shared" si="172"/>
        <v>0</v>
      </c>
      <c r="AG226" s="38">
        <f t="shared" si="173"/>
        <v>1.7478603763763818E-2</v>
      </c>
      <c r="AH226" s="38">
        <f t="shared" si="174"/>
        <v>0</v>
      </c>
      <c r="AI226" s="38">
        <f t="shared" si="175"/>
        <v>0</v>
      </c>
      <c r="AJ226" s="38">
        <f t="shared" si="176"/>
        <v>0.55811094115603099</v>
      </c>
      <c r="AK226" s="38">
        <f t="shared" si="177"/>
        <v>0.4476989335256869</v>
      </c>
      <c r="AL226" s="38">
        <f t="shared" si="178"/>
        <v>1.5540243185839969E-2</v>
      </c>
      <c r="AM226" s="38">
        <f t="shared" si="179"/>
        <v>0</v>
      </c>
      <c r="AN226" s="38">
        <f t="shared" si="180"/>
        <v>0</v>
      </c>
      <c r="AO226" s="38">
        <f t="shared" si="181"/>
        <v>0</v>
      </c>
      <c r="AP226" s="38">
        <f t="shared" si="182"/>
        <v>5.0222874096451591</v>
      </c>
      <c r="AQ226" s="38">
        <f t="shared" si="183"/>
        <v>3.9834586880138376</v>
      </c>
      <c r="AR226" s="38">
        <f t="shared" si="184"/>
        <v>1.0213501178675579</v>
      </c>
      <c r="AS226" s="40"/>
      <c r="AT226" s="38">
        <f t="shared" si="185"/>
        <v>2.4243989548772382</v>
      </c>
      <c r="AU226" s="38">
        <f t="shared" si="186"/>
        <v>0</v>
      </c>
      <c r="AV226" s="38">
        <f t="shared" si="187"/>
        <v>1.5413823347037992</v>
      </c>
      <c r="AW226" s="38">
        <f t="shared" si="188"/>
        <v>0</v>
      </c>
      <c r="AX226" s="38">
        <f t="shared" si="189"/>
        <v>0</v>
      </c>
      <c r="AY226" s="38">
        <f t="shared" si="190"/>
        <v>1.7401038947110689E-2</v>
      </c>
      <c r="AZ226" s="38">
        <f t="shared" si="191"/>
        <v>0</v>
      </c>
      <c r="BA226" s="38">
        <f t="shared" si="192"/>
        <v>0</v>
      </c>
      <c r="BB226" s="38">
        <f t="shared" si="193"/>
        <v>0.55563421169823413</v>
      </c>
      <c r="BC226" s="38">
        <f t="shared" si="194"/>
        <v>0.44571217953983866</v>
      </c>
      <c r="BD226" s="38">
        <f t="shared" si="195"/>
        <v>1.547128023377891E-2</v>
      </c>
      <c r="BE226" s="38">
        <f t="shared" si="196"/>
        <v>0</v>
      </c>
      <c r="BF226" s="38">
        <f t="shared" si="197"/>
        <v>0</v>
      </c>
      <c r="BG226" s="38">
        <f t="shared" si="198"/>
        <v>0</v>
      </c>
      <c r="BH226" s="41">
        <f t="shared" si="199"/>
        <v>5</v>
      </c>
      <c r="BI226" s="42">
        <f t="shared" si="200"/>
        <v>7.973198911815885</v>
      </c>
      <c r="BJ226" s="38">
        <f t="shared" si="201"/>
        <v>3.9657812895810372</v>
      </c>
      <c r="BK226" s="38">
        <f t="shared" si="202"/>
        <v>1.0168176714718518</v>
      </c>
      <c r="BL226" s="16"/>
      <c r="BM226" s="16">
        <f t="shared" si="203"/>
        <v>0.5464442911323022</v>
      </c>
      <c r="BN226" s="16">
        <f t="shared" si="204"/>
        <v>0.43834031611062252</v>
      </c>
      <c r="BO226" s="16">
        <f t="shared" si="205"/>
        <v>1.5215392757075227E-2</v>
      </c>
      <c r="BP226" s="15"/>
      <c r="BQ226" s="38">
        <f t="shared" si="206"/>
        <v>0.89164447403462055</v>
      </c>
      <c r="BR226" s="38">
        <f t="shared" si="207"/>
        <v>0</v>
      </c>
      <c r="BS226" s="38">
        <f t="shared" si="208"/>
        <v>0.56688897606904665</v>
      </c>
      <c r="BT226" s="38">
        <f t="shared" si="209"/>
        <v>0</v>
      </c>
      <c r="BU226" s="38">
        <f t="shared" si="210"/>
        <v>6.3997471160591648E-3</v>
      </c>
      <c r="BV226" s="38">
        <f t="shared" si="211"/>
        <v>0</v>
      </c>
      <c r="BW226" s="38">
        <f t="shared" si="212"/>
        <v>0</v>
      </c>
      <c r="BX226" s="38">
        <f t="shared" si="213"/>
        <v>0.20435092724679033</v>
      </c>
      <c r="BY226" s="38">
        <f t="shared" si="214"/>
        <v>0.1639238464020652</v>
      </c>
      <c r="BZ226" s="38">
        <f t="shared" si="215"/>
        <v>5.6900212314225053E-3</v>
      </c>
      <c r="CA226" s="38">
        <f t="shared" si="216"/>
        <v>0</v>
      </c>
      <c r="CB226" s="38">
        <f t="shared" si="217"/>
        <v>0</v>
      </c>
      <c r="CC226" s="38">
        <f t="shared" si="218"/>
        <v>0</v>
      </c>
      <c r="CD226" s="38">
        <f t="shared" si="219"/>
        <v>1.8388979921000044</v>
      </c>
      <c r="CE226" s="38">
        <f t="shared" si="220"/>
        <v>2.9291800203524048</v>
      </c>
      <c r="CF226" s="38">
        <f t="shared" si="221"/>
        <v>2.7190197724290548</v>
      </c>
      <c r="CG226" s="38">
        <f t="shared" si="222"/>
        <v>7.96449839234233</v>
      </c>
      <c r="CH226" s="15"/>
      <c r="CI226" s="16"/>
      <c r="CJ226" s="13"/>
      <c r="CK226" s="104"/>
      <c r="CL226" s="13"/>
      <c r="CM226" s="13"/>
      <c r="CN226" s="13"/>
      <c r="CO226" s="16"/>
      <c r="CP226" s="16"/>
      <c r="CQ226" s="16"/>
      <c r="CR226" s="16"/>
      <c r="CS226" s="16"/>
      <c r="CT226" s="16"/>
      <c r="CU226" s="16"/>
      <c r="CV226" s="16"/>
      <c r="CW226" s="16"/>
      <c r="CX226" s="16"/>
      <c r="CY226" s="104"/>
      <c r="CZ226" s="104"/>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3"/>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row>
    <row r="227" spans="1:167" x14ac:dyDescent="0.25">
      <c r="A227" s="35" t="s">
        <v>254</v>
      </c>
      <c r="B227" s="15">
        <v>733</v>
      </c>
      <c r="C227" s="102" t="s">
        <v>95</v>
      </c>
      <c r="D227" s="102" t="s">
        <v>106</v>
      </c>
      <c r="E227" s="15">
        <v>244</v>
      </c>
      <c r="F227" s="16">
        <v>52.83</v>
      </c>
      <c r="G227" s="16">
        <v>0</v>
      </c>
      <c r="H227" s="16">
        <v>28.1</v>
      </c>
      <c r="I227" s="16">
        <v>0</v>
      </c>
      <c r="J227" s="16">
        <v>0.51921173400521914</v>
      </c>
      <c r="K227" s="16">
        <v>0</v>
      </c>
      <c r="L227" s="16">
        <v>0</v>
      </c>
      <c r="M227" s="16">
        <v>11.61</v>
      </c>
      <c r="N227" s="16">
        <v>4.84</v>
      </c>
      <c r="O227" s="16">
        <v>0.23400000000000001</v>
      </c>
      <c r="P227" s="16"/>
      <c r="Q227" s="16"/>
      <c r="R227" s="16"/>
      <c r="S227" s="16">
        <f t="shared" si="168"/>
        <v>98.133211734005229</v>
      </c>
      <c r="T227" s="16"/>
      <c r="U227" s="15">
        <v>1</v>
      </c>
      <c r="V227" s="15">
        <v>3</v>
      </c>
      <c r="W227" s="15">
        <v>21.6</v>
      </c>
      <c r="X227" s="15" t="s">
        <v>185</v>
      </c>
      <c r="Y227" s="15"/>
      <c r="Z227" s="37">
        <v>8</v>
      </c>
      <c r="AA227" s="37">
        <v>5</v>
      </c>
      <c r="AB227" s="15"/>
      <c r="AC227" s="38">
        <f t="shared" si="169"/>
        <v>2.4423427294930642</v>
      </c>
      <c r="AD227" s="38">
        <f t="shared" si="170"/>
        <v>0</v>
      </c>
      <c r="AE227" s="38">
        <f t="shared" si="171"/>
        <v>1.5309549444112163</v>
      </c>
      <c r="AF227" s="38">
        <f t="shared" si="172"/>
        <v>0</v>
      </c>
      <c r="AG227" s="38">
        <f t="shared" si="173"/>
        <v>2.0071214270796837E-2</v>
      </c>
      <c r="AH227" s="38">
        <f t="shared" si="174"/>
        <v>0</v>
      </c>
      <c r="AI227" s="38">
        <f t="shared" si="175"/>
        <v>0</v>
      </c>
      <c r="AJ227" s="38">
        <f t="shared" si="176"/>
        <v>0.57501627339517059</v>
      </c>
      <c r="AK227" s="38">
        <f t="shared" si="177"/>
        <v>0.43379016998922348</v>
      </c>
      <c r="AL227" s="38">
        <f t="shared" si="178"/>
        <v>1.3799103472934553E-2</v>
      </c>
      <c r="AM227" s="38">
        <f t="shared" si="179"/>
        <v>0</v>
      </c>
      <c r="AN227" s="38">
        <f t="shared" si="180"/>
        <v>0</v>
      </c>
      <c r="AO227" s="38">
        <f t="shared" si="181"/>
        <v>0</v>
      </c>
      <c r="AP227" s="38">
        <f t="shared" si="182"/>
        <v>5.0159744350324065</v>
      </c>
      <c r="AQ227" s="38">
        <f t="shared" si="183"/>
        <v>3.9732976739042805</v>
      </c>
      <c r="AR227" s="38">
        <f t="shared" si="184"/>
        <v>1.0226055468573285</v>
      </c>
      <c r="AS227" s="40"/>
      <c r="AT227" s="38">
        <f t="shared" si="185"/>
        <v>2.4345645707794419</v>
      </c>
      <c r="AU227" s="38">
        <f t="shared" si="186"/>
        <v>0</v>
      </c>
      <c r="AV227" s="38">
        <f t="shared" si="187"/>
        <v>1.5260792935055354</v>
      </c>
      <c r="AW227" s="38">
        <f t="shared" si="188"/>
        <v>0</v>
      </c>
      <c r="AX227" s="38">
        <f t="shared" si="189"/>
        <v>0</v>
      </c>
      <c r="AY227" s="38">
        <f t="shared" si="190"/>
        <v>2.0007293229622657E-2</v>
      </c>
      <c r="AZ227" s="38">
        <f t="shared" si="191"/>
        <v>0</v>
      </c>
      <c r="BA227" s="38">
        <f t="shared" si="192"/>
        <v>0</v>
      </c>
      <c r="BB227" s="38">
        <f t="shared" si="193"/>
        <v>0.57318501204786909</v>
      </c>
      <c r="BC227" s="38">
        <f t="shared" si="194"/>
        <v>0.43240867313792536</v>
      </c>
      <c r="BD227" s="38">
        <f t="shared" si="195"/>
        <v>1.3755157299605936E-2</v>
      </c>
      <c r="BE227" s="38">
        <f t="shared" si="196"/>
        <v>0</v>
      </c>
      <c r="BF227" s="38">
        <f t="shared" si="197"/>
        <v>0</v>
      </c>
      <c r="BG227" s="38">
        <f t="shared" si="198"/>
        <v>0</v>
      </c>
      <c r="BH227" s="41">
        <f t="shared" si="199"/>
        <v>5</v>
      </c>
      <c r="BI227" s="42">
        <f t="shared" si="200"/>
        <v>7.9845259489282547</v>
      </c>
      <c r="BJ227" s="38">
        <f t="shared" si="201"/>
        <v>3.9606438642849771</v>
      </c>
      <c r="BK227" s="38">
        <f t="shared" si="202"/>
        <v>1.0193488424854005</v>
      </c>
      <c r="BL227" s="16"/>
      <c r="BM227" s="16">
        <f t="shared" si="203"/>
        <v>0.56230506001293523</v>
      </c>
      <c r="BN227" s="16">
        <f t="shared" si="204"/>
        <v>0.42420087718314015</v>
      </c>
      <c r="BO227" s="16">
        <f t="shared" si="205"/>
        <v>1.3494062803924699E-2</v>
      </c>
      <c r="BP227" s="15"/>
      <c r="BQ227" s="38">
        <f t="shared" si="206"/>
        <v>0.8793275632490013</v>
      </c>
      <c r="BR227" s="38">
        <f t="shared" si="207"/>
        <v>0</v>
      </c>
      <c r="BS227" s="38">
        <f t="shared" si="208"/>
        <v>0.55119654766575132</v>
      </c>
      <c r="BT227" s="38">
        <f t="shared" si="209"/>
        <v>0</v>
      </c>
      <c r="BU227" s="38">
        <f t="shared" si="210"/>
        <v>7.2263289353544768E-3</v>
      </c>
      <c r="BV227" s="38">
        <f t="shared" si="211"/>
        <v>0</v>
      </c>
      <c r="BW227" s="38">
        <f t="shared" si="212"/>
        <v>0</v>
      </c>
      <c r="BX227" s="38">
        <f t="shared" si="213"/>
        <v>0.20702567760342366</v>
      </c>
      <c r="BY227" s="38">
        <f t="shared" si="214"/>
        <v>0.15617941271377864</v>
      </c>
      <c r="BZ227" s="38">
        <f t="shared" si="215"/>
        <v>4.9681528662420382E-3</v>
      </c>
      <c r="CA227" s="38">
        <f t="shared" si="216"/>
        <v>0</v>
      </c>
      <c r="CB227" s="38">
        <f t="shared" si="217"/>
        <v>0</v>
      </c>
      <c r="CC227" s="38">
        <f t="shared" si="218"/>
        <v>0</v>
      </c>
      <c r="CD227" s="38">
        <f t="shared" si="219"/>
        <v>1.8059236830335512</v>
      </c>
      <c r="CE227" s="38">
        <f t="shared" si="220"/>
        <v>2.8802757373254182</v>
      </c>
      <c r="CF227" s="38">
        <f t="shared" si="221"/>
        <v>2.7686662769719641</v>
      </c>
      <c r="CG227" s="38">
        <f t="shared" si="222"/>
        <v>7.9745223023134448</v>
      </c>
      <c r="CH227" s="15"/>
      <c r="CI227" s="16"/>
      <c r="CJ227" s="13"/>
      <c r="CK227" s="104"/>
      <c r="CL227" s="13"/>
      <c r="CM227" s="13"/>
      <c r="CN227" s="13"/>
      <c r="CO227" s="16"/>
      <c r="CP227" s="16"/>
      <c r="CQ227" s="16"/>
      <c r="CR227" s="16"/>
      <c r="CS227" s="16"/>
      <c r="CT227" s="16"/>
      <c r="CU227" s="16"/>
      <c r="CV227" s="16"/>
      <c r="CW227" s="16"/>
      <c r="CX227" s="16"/>
      <c r="CY227" s="104"/>
      <c r="CZ227" s="104"/>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3"/>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row>
    <row r="228" spans="1:167" x14ac:dyDescent="0.25">
      <c r="A228" s="35" t="s">
        <v>254</v>
      </c>
      <c r="B228" s="15">
        <v>734</v>
      </c>
      <c r="C228" s="102" t="s">
        <v>95</v>
      </c>
      <c r="D228" s="102" t="s">
        <v>106</v>
      </c>
      <c r="E228" s="15">
        <v>245</v>
      </c>
      <c r="F228" s="16">
        <v>53.74</v>
      </c>
      <c r="G228" s="16">
        <v>0</v>
      </c>
      <c r="H228" s="16">
        <v>28.85</v>
      </c>
      <c r="I228" s="16">
        <v>0</v>
      </c>
      <c r="J228" s="16">
        <v>0.36533789255826515</v>
      </c>
      <c r="K228" s="16">
        <v>0</v>
      </c>
      <c r="L228" s="16">
        <v>0</v>
      </c>
      <c r="M228" s="16">
        <v>11.61</v>
      </c>
      <c r="N228" s="16">
        <v>4.9400000000000004</v>
      </c>
      <c r="O228" s="16">
        <v>0.184</v>
      </c>
      <c r="P228" s="16"/>
      <c r="Q228" s="16"/>
      <c r="R228" s="16"/>
      <c r="S228" s="16">
        <f t="shared" si="168"/>
        <v>99.689337892558257</v>
      </c>
      <c r="T228" s="16"/>
      <c r="U228" s="15">
        <v>1</v>
      </c>
      <c r="V228" s="15">
        <v>4</v>
      </c>
      <c r="W228" s="15">
        <v>32.400000000000006</v>
      </c>
      <c r="X228" s="15" t="s">
        <v>185</v>
      </c>
      <c r="Y228" s="15"/>
      <c r="Z228" s="37">
        <v>8</v>
      </c>
      <c r="AA228" s="37">
        <v>5</v>
      </c>
      <c r="AB228" s="15"/>
      <c r="AC228" s="38">
        <f t="shared" si="169"/>
        <v>2.4409359861292685</v>
      </c>
      <c r="AD228" s="38">
        <f t="shared" si="170"/>
        <v>0</v>
      </c>
      <c r="AE228" s="38">
        <f t="shared" si="171"/>
        <v>1.5443105501525334</v>
      </c>
      <c r="AF228" s="38">
        <f t="shared" si="172"/>
        <v>0</v>
      </c>
      <c r="AG228" s="38">
        <f t="shared" si="173"/>
        <v>1.3875754225608347E-2</v>
      </c>
      <c r="AH228" s="38">
        <f t="shared" si="174"/>
        <v>0</v>
      </c>
      <c r="AI228" s="38">
        <f t="shared" si="175"/>
        <v>0</v>
      </c>
      <c r="AJ228" s="38">
        <f t="shared" si="176"/>
        <v>0.5649537124119981</v>
      </c>
      <c r="AK228" s="38">
        <f t="shared" si="177"/>
        <v>0.4350047755362178</v>
      </c>
      <c r="AL228" s="38">
        <f t="shared" si="178"/>
        <v>1.0660696213894117E-2</v>
      </c>
      <c r="AM228" s="38">
        <f t="shared" si="179"/>
        <v>0</v>
      </c>
      <c r="AN228" s="38">
        <f t="shared" si="180"/>
        <v>0</v>
      </c>
      <c r="AO228" s="38">
        <f t="shared" si="181"/>
        <v>0</v>
      </c>
      <c r="AP228" s="38">
        <f t="shared" si="182"/>
        <v>5.0097414746695206</v>
      </c>
      <c r="AQ228" s="38">
        <f t="shared" si="183"/>
        <v>3.9852465362818021</v>
      </c>
      <c r="AR228" s="38">
        <f t="shared" si="184"/>
        <v>1.0106191841621102</v>
      </c>
      <c r="AS228" s="40"/>
      <c r="AT228" s="38">
        <f t="shared" si="185"/>
        <v>2.4361895703313623</v>
      </c>
      <c r="AU228" s="38">
        <f t="shared" si="186"/>
        <v>0</v>
      </c>
      <c r="AV228" s="38">
        <f t="shared" si="187"/>
        <v>1.5413076283087119</v>
      </c>
      <c r="AW228" s="38">
        <f t="shared" si="188"/>
        <v>0</v>
      </c>
      <c r="AX228" s="38">
        <f t="shared" si="189"/>
        <v>0</v>
      </c>
      <c r="AY228" s="38">
        <f t="shared" si="190"/>
        <v>1.3848772731854088E-2</v>
      </c>
      <c r="AZ228" s="38">
        <f t="shared" si="191"/>
        <v>0</v>
      </c>
      <c r="BA228" s="38">
        <f t="shared" si="192"/>
        <v>0</v>
      </c>
      <c r="BB228" s="38">
        <f t="shared" si="193"/>
        <v>0.56385515626758631</v>
      </c>
      <c r="BC228" s="38">
        <f t="shared" si="194"/>
        <v>0.43415890593926704</v>
      </c>
      <c r="BD228" s="38">
        <f t="shared" si="195"/>
        <v>1.0639966421218746E-2</v>
      </c>
      <c r="BE228" s="38">
        <f t="shared" si="196"/>
        <v>0</v>
      </c>
      <c r="BF228" s="38">
        <f t="shared" si="197"/>
        <v>0</v>
      </c>
      <c r="BG228" s="38">
        <f t="shared" si="198"/>
        <v>0</v>
      </c>
      <c r="BH228" s="41">
        <f t="shared" si="199"/>
        <v>5</v>
      </c>
      <c r="BI228" s="42">
        <f t="shared" si="200"/>
        <v>7.991368334671404</v>
      </c>
      <c r="BJ228" s="38">
        <f t="shared" si="201"/>
        <v>3.9774971986400742</v>
      </c>
      <c r="BK228" s="38">
        <f t="shared" si="202"/>
        <v>1.0086540286280721</v>
      </c>
      <c r="BL228" s="16"/>
      <c r="BM228" s="16">
        <f t="shared" si="203"/>
        <v>0.55901740365278452</v>
      </c>
      <c r="BN228" s="16">
        <f t="shared" si="204"/>
        <v>0.43043391848619417</v>
      </c>
      <c r="BO228" s="16">
        <f t="shared" si="205"/>
        <v>1.0548677861021158E-2</v>
      </c>
      <c r="BP228" s="15"/>
      <c r="BQ228" s="38">
        <f t="shared" si="206"/>
        <v>0.89447403462050601</v>
      </c>
      <c r="BR228" s="38">
        <f t="shared" si="207"/>
        <v>0</v>
      </c>
      <c r="BS228" s="38">
        <f t="shared" si="208"/>
        <v>0.56590819929384073</v>
      </c>
      <c r="BT228" s="38">
        <f t="shared" si="209"/>
        <v>0</v>
      </c>
      <c r="BU228" s="38">
        <f t="shared" si="210"/>
        <v>5.0847305853620765E-3</v>
      </c>
      <c r="BV228" s="38">
        <f t="shared" si="211"/>
        <v>0</v>
      </c>
      <c r="BW228" s="38">
        <f t="shared" si="212"/>
        <v>0</v>
      </c>
      <c r="BX228" s="38">
        <f t="shared" si="213"/>
        <v>0.20702567760342366</v>
      </c>
      <c r="BY228" s="38">
        <f t="shared" si="214"/>
        <v>0.15940626008389805</v>
      </c>
      <c r="BZ228" s="38">
        <f t="shared" si="215"/>
        <v>3.9065817409766456E-3</v>
      </c>
      <c r="CA228" s="38">
        <f t="shared" si="216"/>
        <v>0</v>
      </c>
      <c r="CB228" s="38">
        <f t="shared" si="217"/>
        <v>0</v>
      </c>
      <c r="CC228" s="38">
        <f t="shared" si="218"/>
        <v>0</v>
      </c>
      <c r="CD228" s="38">
        <f t="shared" si="219"/>
        <v>1.8358054839280071</v>
      </c>
      <c r="CE228" s="38">
        <f t="shared" si="220"/>
        <v>2.9315771972829965</v>
      </c>
      <c r="CF228" s="38">
        <f t="shared" si="221"/>
        <v>2.7236001002141466</v>
      </c>
      <c r="CG228" s="38">
        <f t="shared" si="222"/>
        <v>7.9844439483054765</v>
      </c>
      <c r="CH228" s="15"/>
      <c r="CI228" s="16"/>
      <c r="CJ228" s="13"/>
      <c r="CK228" s="104"/>
      <c r="CL228" s="13"/>
      <c r="CM228" s="13"/>
      <c r="CN228" s="13"/>
      <c r="CO228" s="16"/>
      <c r="CP228" s="16"/>
      <c r="CQ228" s="16"/>
      <c r="CR228" s="16"/>
      <c r="CS228" s="16"/>
      <c r="CT228" s="16"/>
      <c r="CU228" s="16"/>
      <c r="CV228" s="16"/>
      <c r="CW228" s="16"/>
      <c r="CX228" s="16"/>
      <c r="CY228" s="104"/>
      <c r="CZ228" s="104"/>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3"/>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row>
    <row r="229" spans="1:167" x14ac:dyDescent="0.25">
      <c r="A229" s="35" t="s">
        <v>254</v>
      </c>
      <c r="B229" s="15">
        <v>735</v>
      </c>
      <c r="C229" s="102" t="s">
        <v>95</v>
      </c>
      <c r="D229" s="102" t="s">
        <v>106</v>
      </c>
      <c r="E229" s="15">
        <v>246</v>
      </c>
      <c r="F229" s="16">
        <v>54.23</v>
      </c>
      <c r="G229" s="16">
        <v>0</v>
      </c>
      <c r="H229" s="16">
        <v>28.54</v>
      </c>
      <c r="I229" s="16">
        <v>0</v>
      </c>
      <c r="J229" s="16">
        <v>0.40763070278052732</v>
      </c>
      <c r="K229" s="16">
        <v>0</v>
      </c>
      <c r="L229" s="16">
        <v>0</v>
      </c>
      <c r="M229" s="16">
        <v>11.3</v>
      </c>
      <c r="N229" s="16">
        <v>5.39</v>
      </c>
      <c r="O229" s="16">
        <v>0.21099999999999999</v>
      </c>
      <c r="P229" s="16"/>
      <c r="Q229" s="16"/>
      <c r="R229" s="16"/>
      <c r="S229" s="16">
        <f t="shared" si="168"/>
        <v>100.07863070278052</v>
      </c>
      <c r="T229" s="16"/>
      <c r="U229" s="15">
        <v>1</v>
      </c>
      <c r="V229" s="15">
        <v>5</v>
      </c>
      <c r="W229" s="15">
        <v>43.2</v>
      </c>
      <c r="X229" s="15" t="s">
        <v>185</v>
      </c>
      <c r="Y229" s="15"/>
      <c r="Z229" s="37">
        <v>8</v>
      </c>
      <c r="AA229" s="37">
        <v>5</v>
      </c>
      <c r="AB229" s="15"/>
      <c r="AC229" s="38">
        <f t="shared" si="169"/>
        <v>2.4549870856099005</v>
      </c>
      <c r="AD229" s="38">
        <f t="shared" si="170"/>
        <v>0</v>
      </c>
      <c r="AE229" s="38">
        <f t="shared" si="171"/>
        <v>1.5226274993213444</v>
      </c>
      <c r="AF229" s="38">
        <f t="shared" si="172"/>
        <v>0</v>
      </c>
      <c r="AG229" s="38">
        <f t="shared" si="173"/>
        <v>1.5430487484064276E-2</v>
      </c>
      <c r="AH229" s="38">
        <f t="shared" si="174"/>
        <v>0</v>
      </c>
      <c r="AI229" s="38">
        <f t="shared" si="175"/>
        <v>0</v>
      </c>
      <c r="AJ229" s="38">
        <f t="shared" si="176"/>
        <v>0.54803711314153036</v>
      </c>
      <c r="AK229" s="38">
        <f t="shared" si="177"/>
        <v>0.4730496444294795</v>
      </c>
      <c r="AL229" s="38">
        <f t="shared" si="178"/>
        <v>1.2184313915694626E-2</v>
      </c>
      <c r="AM229" s="38">
        <f t="shared" si="179"/>
        <v>0</v>
      </c>
      <c r="AN229" s="38">
        <f t="shared" si="180"/>
        <v>0</v>
      </c>
      <c r="AO229" s="38">
        <f t="shared" si="181"/>
        <v>0</v>
      </c>
      <c r="AP229" s="38">
        <f t="shared" si="182"/>
        <v>5.0263161439020134</v>
      </c>
      <c r="AQ229" s="38">
        <f t="shared" si="183"/>
        <v>3.9776145849312448</v>
      </c>
      <c r="AR229" s="38">
        <f t="shared" si="184"/>
        <v>1.0332710714867044</v>
      </c>
      <c r="AS229" s="40"/>
      <c r="AT229" s="38">
        <f t="shared" si="185"/>
        <v>2.4421335778772288</v>
      </c>
      <c r="AU229" s="38">
        <f t="shared" si="186"/>
        <v>0</v>
      </c>
      <c r="AV229" s="38">
        <f t="shared" si="187"/>
        <v>1.5146555207919163</v>
      </c>
      <c r="AW229" s="38">
        <f t="shared" si="188"/>
        <v>0</v>
      </c>
      <c r="AX229" s="38">
        <f t="shared" si="189"/>
        <v>0</v>
      </c>
      <c r="AY229" s="38">
        <f t="shared" si="190"/>
        <v>1.5349698509100672E-2</v>
      </c>
      <c r="AZ229" s="38">
        <f t="shared" si="191"/>
        <v>0</v>
      </c>
      <c r="BA229" s="38">
        <f t="shared" si="192"/>
        <v>0</v>
      </c>
      <c r="BB229" s="38">
        <f t="shared" si="193"/>
        <v>0.54516777044199205</v>
      </c>
      <c r="BC229" s="38">
        <f t="shared" si="194"/>
        <v>0.47057291153819369</v>
      </c>
      <c r="BD229" s="38">
        <f t="shared" si="195"/>
        <v>1.2120520841567815E-2</v>
      </c>
      <c r="BE229" s="38">
        <f t="shared" si="196"/>
        <v>0</v>
      </c>
      <c r="BF229" s="38">
        <f t="shared" si="197"/>
        <v>0</v>
      </c>
      <c r="BG229" s="38">
        <f t="shared" si="198"/>
        <v>0</v>
      </c>
      <c r="BH229" s="41">
        <f t="shared" si="199"/>
        <v>5</v>
      </c>
      <c r="BI229" s="42">
        <f t="shared" si="200"/>
        <v>7.9657894713378559</v>
      </c>
      <c r="BJ229" s="38">
        <f t="shared" si="201"/>
        <v>3.9567890986691454</v>
      </c>
      <c r="BK229" s="38">
        <f t="shared" si="202"/>
        <v>1.0278612028217535</v>
      </c>
      <c r="BL229" s="16"/>
      <c r="BM229" s="16">
        <f t="shared" si="203"/>
        <v>0.53039045441676458</v>
      </c>
      <c r="BN229" s="16">
        <f t="shared" si="204"/>
        <v>0.45781756354490805</v>
      </c>
      <c r="BO229" s="16">
        <f t="shared" si="205"/>
        <v>1.1791982038327499E-2</v>
      </c>
      <c r="BP229" s="15"/>
      <c r="BQ229" s="38">
        <f t="shared" si="206"/>
        <v>0.90262982689747007</v>
      </c>
      <c r="BR229" s="38">
        <f t="shared" si="207"/>
        <v>0</v>
      </c>
      <c r="BS229" s="38">
        <f t="shared" si="208"/>
        <v>0.55982738328756376</v>
      </c>
      <c r="BT229" s="38">
        <f t="shared" si="209"/>
        <v>0</v>
      </c>
      <c r="BU229" s="38">
        <f t="shared" si="210"/>
        <v>5.6733570324360109E-3</v>
      </c>
      <c r="BV229" s="38">
        <f t="shared" si="211"/>
        <v>0</v>
      </c>
      <c r="BW229" s="38">
        <f t="shared" si="212"/>
        <v>0</v>
      </c>
      <c r="BX229" s="38">
        <f t="shared" si="213"/>
        <v>0.20149786019971472</v>
      </c>
      <c r="BY229" s="38">
        <f t="shared" si="214"/>
        <v>0.17392707324943529</v>
      </c>
      <c r="BZ229" s="38">
        <f t="shared" si="215"/>
        <v>4.4798301486199572E-3</v>
      </c>
      <c r="CA229" s="38">
        <f t="shared" si="216"/>
        <v>0</v>
      </c>
      <c r="CB229" s="38">
        <f t="shared" si="217"/>
        <v>0</v>
      </c>
      <c r="CC229" s="38">
        <f t="shared" si="218"/>
        <v>0</v>
      </c>
      <c r="CD229" s="38">
        <f t="shared" si="219"/>
        <v>1.84803533081524</v>
      </c>
      <c r="CE229" s="38">
        <f t="shared" si="220"/>
        <v>2.9413753976574641</v>
      </c>
      <c r="CF229" s="38">
        <f t="shared" si="221"/>
        <v>2.7055759793262752</v>
      </c>
      <c r="CG229" s="38">
        <f t="shared" si="222"/>
        <v>7.9581146220833059</v>
      </c>
      <c r="CH229" s="15"/>
      <c r="CI229" s="16"/>
      <c r="CJ229" s="13"/>
      <c r="CK229" s="104"/>
      <c r="CL229" s="13"/>
      <c r="CM229" s="13"/>
      <c r="CN229" s="13"/>
      <c r="CO229" s="16"/>
      <c r="CP229" s="16"/>
      <c r="CQ229" s="16"/>
      <c r="CR229" s="16"/>
      <c r="CS229" s="16"/>
      <c r="CT229" s="16"/>
      <c r="CU229" s="16"/>
      <c r="CV229" s="16"/>
      <c r="CW229" s="16"/>
      <c r="CX229" s="16"/>
      <c r="CY229" s="104"/>
      <c r="CZ229" s="104"/>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3"/>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row>
    <row r="230" spans="1:167" x14ac:dyDescent="0.25">
      <c r="A230" s="35" t="s">
        <v>254</v>
      </c>
      <c r="B230" s="15">
        <v>736</v>
      </c>
      <c r="C230" s="102" t="s">
        <v>95</v>
      </c>
      <c r="D230" s="102" t="s">
        <v>106</v>
      </c>
      <c r="E230" s="15">
        <v>247</v>
      </c>
      <c r="F230" s="16">
        <v>52.94</v>
      </c>
      <c r="G230" s="16">
        <v>0</v>
      </c>
      <c r="H230" s="16">
        <v>29.39</v>
      </c>
      <c r="I230" s="16">
        <v>0</v>
      </c>
      <c r="J230" s="16">
        <v>0.48051831188697924</v>
      </c>
      <c r="K230" s="16">
        <v>0</v>
      </c>
      <c r="L230" s="16">
        <v>0</v>
      </c>
      <c r="M230" s="16">
        <v>12.46</v>
      </c>
      <c r="N230" s="16">
        <v>4.74</v>
      </c>
      <c r="O230" s="16">
        <v>0.19900000000000001</v>
      </c>
      <c r="P230" s="16"/>
      <c r="Q230" s="16"/>
      <c r="R230" s="16"/>
      <c r="S230" s="16">
        <f t="shared" si="168"/>
        <v>100.20951831188697</v>
      </c>
      <c r="T230" s="16"/>
      <c r="U230" s="15">
        <v>1</v>
      </c>
      <c r="V230" s="15">
        <v>6</v>
      </c>
      <c r="W230" s="15">
        <v>54</v>
      </c>
      <c r="X230" s="15" t="s">
        <v>185</v>
      </c>
      <c r="Y230" s="15"/>
      <c r="Z230" s="37">
        <v>8</v>
      </c>
      <c r="AA230" s="37">
        <v>5</v>
      </c>
      <c r="AB230" s="15"/>
      <c r="AC230" s="38">
        <f t="shared" si="169"/>
        <v>2.4021819017256223</v>
      </c>
      <c r="AD230" s="38">
        <f t="shared" si="170"/>
        <v>0</v>
      </c>
      <c r="AE230" s="38">
        <f t="shared" si="171"/>
        <v>1.5716347854030404</v>
      </c>
      <c r="AF230" s="38">
        <f t="shared" si="172"/>
        <v>0</v>
      </c>
      <c r="AG230" s="38">
        <f t="shared" si="173"/>
        <v>1.8232030885173767E-2</v>
      </c>
      <c r="AH230" s="38">
        <f t="shared" si="174"/>
        <v>0</v>
      </c>
      <c r="AI230" s="38">
        <f t="shared" si="175"/>
        <v>0</v>
      </c>
      <c r="AJ230" s="38">
        <f t="shared" si="176"/>
        <v>0.605706054821609</v>
      </c>
      <c r="AK230" s="38">
        <f t="shared" si="177"/>
        <v>0.41697368054790168</v>
      </c>
      <c r="AL230" s="38">
        <f t="shared" si="178"/>
        <v>1.1518184926925006E-2</v>
      </c>
      <c r="AM230" s="38">
        <f t="shared" si="179"/>
        <v>0</v>
      </c>
      <c r="AN230" s="38">
        <f t="shared" si="180"/>
        <v>0</v>
      </c>
      <c r="AO230" s="38">
        <f t="shared" si="181"/>
        <v>0</v>
      </c>
      <c r="AP230" s="38">
        <f t="shared" si="182"/>
        <v>5.0262466383102726</v>
      </c>
      <c r="AQ230" s="38">
        <f t="shared" si="183"/>
        <v>3.9738166871286627</v>
      </c>
      <c r="AR230" s="38">
        <f t="shared" si="184"/>
        <v>1.0341979202964358</v>
      </c>
      <c r="AS230" s="40"/>
      <c r="AT230" s="38">
        <f t="shared" si="185"/>
        <v>2.3896379093457991</v>
      </c>
      <c r="AU230" s="38">
        <f t="shared" si="186"/>
        <v>0</v>
      </c>
      <c r="AV230" s="38">
        <f t="shared" si="187"/>
        <v>1.5634278403928401</v>
      </c>
      <c r="AW230" s="38">
        <f t="shared" si="188"/>
        <v>0</v>
      </c>
      <c r="AX230" s="38">
        <f t="shared" si="189"/>
        <v>0</v>
      </c>
      <c r="AY230" s="38">
        <f t="shared" si="190"/>
        <v>1.8136824749315352E-2</v>
      </c>
      <c r="AZ230" s="38">
        <f t="shared" si="191"/>
        <v>0</v>
      </c>
      <c r="BA230" s="38">
        <f t="shared" si="192"/>
        <v>0</v>
      </c>
      <c r="BB230" s="38">
        <f t="shared" si="193"/>
        <v>0.6025431086139813</v>
      </c>
      <c r="BC230" s="38">
        <f t="shared" si="194"/>
        <v>0.41479627896660504</v>
      </c>
      <c r="BD230" s="38">
        <f t="shared" si="195"/>
        <v>1.1458037931458531E-2</v>
      </c>
      <c r="BE230" s="38">
        <f t="shared" si="196"/>
        <v>0</v>
      </c>
      <c r="BF230" s="38">
        <f t="shared" si="197"/>
        <v>0</v>
      </c>
      <c r="BG230" s="38">
        <f t="shared" si="198"/>
        <v>0</v>
      </c>
      <c r="BH230" s="41">
        <f t="shared" si="199"/>
        <v>4.9999999999999991</v>
      </c>
      <c r="BI230" s="42">
        <f t="shared" si="200"/>
        <v>7.9672930834678448</v>
      </c>
      <c r="BJ230" s="38">
        <f t="shared" si="201"/>
        <v>3.9530657497386392</v>
      </c>
      <c r="BK230" s="38">
        <f t="shared" si="202"/>
        <v>1.0287974255120449</v>
      </c>
      <c r="BL230" s="16"/>
      <c r="BM230" s="16">
        <f t="shared" si="203"/>
        <v>0.58567711550608548</v>
      </c>
      <c r="BN230" s="16">
        <f t="shared" si="204"/>
        <v>0.40318557247570469</v>
      </c>
      <c r="BO230" s="16">
        <f t="shared" si="205"/>
        <v>1.1137312018209734E-2</v>
      </c>
      <c r="BP230" s="15"/>
      <c r="BQ230" s="38">
        <f t="shared" si="206"/>
        <v>0.88115845539280957</v>
      </c>
      <c r="BR230" s="38">
        <f t="shared" si="207"/>
        <v>0</v>
      </c>
      <c r="BS230" s="38">
        <f t="shared" si="208"/>
        <v>0.57650058846606522</v>
      </c>
      <c r="BT230" s="38">
        <f t="shared" si="209"/>
        <v>0</v>
      </c>
      <c r="BU230" s="38">
        <f t="shared" si="210"/>
        <v>6.6877983561166214E-3</v>
      </c>
      <c r="BV230" s="38">
        <f t="shared" si="211"/>
        <v>0</v>
      </c>
      <c r="BW230" s="38">
        <f t="shared" si="212"/>
        <v>0</v>
      </c>
      <c r="BX230" s="38">
        <f t="shared" si="213"/>
        <v>0.22218259629101286</v>
      </c>
      <c r="BY230" s="38">
        <f t="shared" si="214"/>
        <v>0.15295256534365925</v>
      </c>
      <c r="BZ230" s="38">
        <f t="shared" si="215"/>
        <v>4.2250530785562634E-3</v>
      </c>
      <c r="CA230" s="38">
        <f t="shared" si="216"/>
        <v>0</v>
      </c>
      <c r="CB230" s="38">
        <f t="shared" si="217"/>
        <v>0</v>
      </c>
      <c r="CC230" s="38">
        <f t="shared" si="218"/>
        <v>0</v>
      </c>
      <c r="CD230" s="38">
        <f t="shared" si="219"/>
        <v>1.8437070569282199</v>
      </c>
      <c r="CE230" s="38">
        <f t="shared" si="220"/>
        <v>2.934526997342954</v>
      </c>
      <c r="CF230" s="38">
        <f t="shared" si="221"/>
        <v>2.711927570712044</v>
      </c>
      <c r="CG230" s="38">
        <f t="shared" si="222"/>
        <v>7.9582246710931859</v>
      </c>
      <c r="CH230" s="15"/>
      <c r="CI230" s="16"/>
      <c r="CJ230" s="13"/>
      <c r="CK230" s="104"/>
      <c r="CL230" s="13"/>
      <c r="CM230" s="13"/>
      <c r="CN230" s="13"/>
      <c r="CO230" s="16"/>
      <c r="CP230" s="16"/>
      <c r="CQ230" s="16"/>
      <c r="CR230" s="16"/>
      <c r="CS230" s="16"/>
      <c r="CT230" s="16"/>
      <c r="CU230" s="16"/>
      <c r="CV230" s="16"/>
      <c r="CW230" s="16"/>
      <c r="CX230" s="16"/>
      <c r="CY230" s="104"/>
      <c r="CZ230" s="104"/>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3"/>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row>
    <row r="231" spans="1:167" x14ac:dyDescent="0.25">
      <c r="A231" s="35" t="s">
        <v>254</v>
      </c>
      <c r="B231" s="15">
        <v>737</v>
      </c>
      <c r="C231" s="102" t="s">
        <v>95</v>
      </c>
      <c r="D231" s="102" t="s">
        <v>106</v>
      </c>
      <c r="E231" s="15">
        <v>248</v>
      </c>
      <c r="F231" s="16">
        <v>52.58</v>
      </c>
      <c r="G231" s="16">
        <v>0</v>
      </c>
      <c r="H231" s="16">
        <v>28.95</v>
      </c>
      <c r="I231" s="16">
        <v>0</v>
      </c>
      <c r="J231" s="16">
        <v>0.61819490686583289</v>
      </c>
      <c r="K231" s="16">
        <v>0</v>
      </c>
      <c r="L231" s="16">
        <v>0</v>
      </c>
      <c r="M231" s="16">
        <v>12.01</v>
      </c>
      <c r="N231" s="16">
        <v>4.67</v>
      </c>
      <c r="O231" s="16">
        <v>0.18099999999999999</v>
      </c>
      <c r="P231" s="16"/>
      <c r="Q231" s="16"/>
      <c r="R231" s="16"/>
      <c r="S231" s="16">
        <f t="shared" si="168"/>
        <v>99.009194906865844</v>
      </c>
      <c r="T231" s="16"/>
      <c r="U231" s="15">
        <v>1</v>
      </c>
      <c r="V231" s="15">
        <v>7</v>
      </c>
      <c r="W231" s="15">
        <v>64.8</v>
      </c>
      <c r="X231" s="15" t="s">
        <v>185</v>
      </c>
      <c r="Y231" s="15"/>
      <c r="Z231" s="37">
        <v>8</v>
      </c>
      <c r="AA231" s="37">
        <v>5</v>
      </c>
      <c r="AB231" s="15"/>
      <c r="AC231" s="38">
        <f t="shared" si="169"/>
        <v>2.4124486156924418</v>
      </c>
      <c r="AD231" s="38">
        <f t="shared" si="170"/>
        <v>0</v>
      </c>
      <c r="AE231" s="38">
        <f t="shared" si="171"/>
        <v>1.5653669166317041</v>
      </c>
      <c r="AF231" s="38">
        <f t="shared" si="172"/>
        <v>0</v>
      </c>
      <c r="AG231" s="38">
        <f t="shared" si="173"/>
        <v>2.3717344631113729E-2</v>
      </c>
      <c r="AH231" s="38">
        <f t="shared" si="174"/>
        <v>0</v>
      </c>
      <c r="AI231" s="38">
        <f t="shared" si="175"/>
        <v>0</v>
      </c>
      <c r="AJ231" s="38">
        <f t="shared" si="176"/>
        <v>0.59034027935216538</v>
      </c>
      <c r="AK231" s="38">
        <f t="shared" si="177"/>
        <v>0.4153963903495077</v>
      </c>
      <c r="AL231" s="38">
        <f t="shared" si="178"/>
        <v>1.0593149019056248E-2</v>
      </c>
      <c r="AM231" s="38">
        <f t="shared" si="179"/>
        <v>0</v>
      </c>
      <c r="AN231" s="38">
        <f t="shared" si="180"/>
        <v>0</v>
      </c>
      <c r="AO231" s="38">
        <f t="shared" si="181"/>
        <v>0</v>
      </c>
      <c r="AP231" s="38">
        <f t="shared" si="182"/>
        <v>5.0178626956759889</v>
      </c>
      <c r="AQ231" s="38">
        <f t="shared" si="183"/>
        <v>3.9778155323241462</v>
      </c>
      <c r="AR231" s="38">
        <f t="shared" si="184"/>
        <v>1.0163298187207293</v>
      </c>
      <c r="AS231" s="40"/>
      <c r="AT231" s="38">
        <f t="shared" si="185"/>
        <v>2.4038607291619458</v>
      </c>
      <c r="AU231" s="38">
        <f t="shared" si="186"/>
        <v>0</v>
      </c>
      <c r="AV231" s="38">
        <f t="shared" si="187"/>
        <v>1.5597944897741203</v>
      </c>
      <c r="AW231" s="38">
        <f t="shared" si="188"/>
        <v>0</v>
      </c>
      <c r="AX231" s="38">
        <f t="shared" si="189"/>
        <v>0</v>
      </c>
      <c r="AY231" s="38">
        <f t="shared" si="190"/>
        <v>2.3632915116979514E-2</v>
      </c>
      <c r="AZ231" s="38">
        <f t="shared" si="191"/>
        <v>0</v>
      </c>
      <c r="BA231" s="38">
        <f t="shared" si="192"/>
        <v>0</v>
      </c>
      <c r="BB231" s="38">
        <f t="shared" si="193"/>
        <v>0.5882387733136617</v>
      </c>
      <c r="BC231" s="38">
        <f t="shared" si="194"/>
        <v>0.41391765333422204</v>
      </c>
      <c r="BD231" s="38">
        <f t="shared" si="195"/>
        <v>1.0555439299071113E-2</v>
      </c>
      <c r="BE231" s="38">
        <f t="shared" si="196"/>
        <v>0</v>
      </c>
      <c r="BF231" s="38">
        <f t="shared" si="197"/>
        <v>0</v>
      </c>
      <c r="BG231" s="38">
        <f t="shared" si="198"/>
        <v>0</v>
      </c>
      <c r="BH231" s="41">
        <f t="shared" si="199"/>
        <v>5</v>
      </c>
      <c r="BI231" s="42">
        <f t="shared" si="200"/>
        <v>7.9833378852908492</v>
      </c>
      <c r="BJ231" s="38">
        <f t="shared" si="201"/>
        <v>3.9636552189360659</v>
      </c>
      <c r="BK231" s="38">
        <f t="shared" si="202"/>
        <v>1.0127118659469549</v>
      </c>
      <c r="BL231" s="16"/>
      <c r="BM231" s="16">
        <f t="shared" si="203"/>
        <v>0.58085502213763263</v>
      </c>
      <c r="BN231" s="16">
        <f t="shared" si="204"/>
        <v>0.40872203363311121</v>
      </c>
      <c r="BO231" s="16">
        <f t="shared" si="205"/>
        <v>1.0422944229256222E-2</v>
      </c>
      <c r="BP231" s="15"/>
      <c r="BQ231" s="38">
        <f t="shared" si="206"/>
        <v>0.87516644474034622</v>
      </c>
      <c r="BR231" s="38">
        <f t="shared" si="207"/>
        <v>0</v>
      </c>
      <c r="BS231" s="38">
        <f t="shared" si="208"/>
        <v>0.56786975284425267</v>
      </c>
      <c r="BT231" s="38">
        <f t="shared" si="209"/>
        <v>0</v>
      </c>
      <c r="BU231" s="38">
        <f t="shared" si="210"/>
        <v>8.6039653008466652E-3</v>
      </c>
      <c r="BV231" s="38">
        <f t="shared" si="211"/>
        <v>0</v>
      </c>
      <c r="BW231" s="38">
        <f t="shared" si="212"/>
        <v>0</v>
      </c>
      <c r="BX231" s="38">
        <f t="shared" si="213"/>
        <v>0.21415834522111271</v>
      </c>
      <c r="BY231" s="38">
        <f t="shared" si="214"/>
        <v>0.15069377218457566</v>
      </c>
      <c r="BZ231" s="38">
        <f t="shared" si="215"/>
        <v>3.8428874734607217E-3</v>
      </c>
      <c r="CA231" s="38">
        <f t="shared" si="216"/>
        <v>0</v>
      </c>
      <c r="CB231" s="38">
        <f t="shared" si="217"/>
        <v>0</v>
      </c>
      <c r="CC231" s="38">
        <f t="shared" si="218"/>
        <v>0</v>
      </c>
      <c r="CD231" s="38">
        <f t="shared" si="219"/>
        <v>1.8203351677645945</v>
      </c>
      <c r="CE231" s="38">
        <f t="shared" si="220"/>
        <v>2.902168159098049</v>
      </c>
      <c r="CF231" s="38">
        <f t="shared" si="221"/>
        <v>2.7467469115262402</v>
      </c>
      <c r="CG231" s="38">
        <f t="shared" si="222"/>
        <v>7.9715214277323598</v>
      </c>
      <c r="CH231" s="15"/>
      <c r="CI231" s="16"/>
      <c r="CJ231" s="13"/>
      <c r="CK231" s="104"/>
      <c r="CL231" s="13"/>
      <c r="CM231" s="13"/>
      <c r="CN231" s="13"/>
      <c r="CO231" s="16"/>
      <c r="CP231" s="16"/>
      <c r="CQ231" s="16"/>
      <c r="CR231" s="16"/>
      <c r="CS231" s="16"/>
      <c r="CT231" s="16"/>
      <c r="CU231" s="16"/>
      <c r="CV231" s="16"/>
      <c r="CW231" s="16"/>
      <c r="CX231" s="16"/>
      <c r="CY231" s="104"/>
      <c r="CZ231" s="104"/>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3"/>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row>
    <row r="232" spans="1:167" x14ac:dyDescent="0.25">
      <c r="A232" s="35" t="s">
        <v>254</v>
      </c>
      <c r="B232" s="15">
        <v>738</v>
      </c>
      <c r="C232" s="102" t="s">
        <v>95</v>
      </c>
      <c r="D232" s="102" t="s">
        <v>106</v>
      </c>
      <c r="E232" s="15">
        <v>249</v>
      </c>
      <c r="F232" s="16">
        <v>52.21</v>
      </c>
      <c r="G232" s="16">
        <v>0</v>
      </c>
      <c r="H232" s="16">
        <v>29.54</v>
      </c>
      <c r="I232" s="16">
        <v>0</v>
      </c>
      <c r="J232" s="16">
        <v>0.68478358679024565</v>
      </c>
      <c r="K232" s="16">
        <v>0</v>
      </c>
      <c r="L232" s="16">
        <v>0</v>
      </c>
      <c r="M232" s="16">
        <v>12.8</v>
      </c>
      <c r="N232" s="16">
        <v>4.55</v>
      </c>
      <c r="O232" s="16">
        <v>0.17499999999999999</v>
      </c>
      <c r="P232" s="16"/>
      <c r="Q232" s="16"/>
      <c r="R232" s="16"/>
      <c r="S232" s="16">
        <f t="shared" si="168"/>
        <v>99.959783586790238</v>
      </c>
      <c r="T232" s="16"/>
      <c r="U232" s="15">
        <v>1</v>
      </c>
      <c r="V232" s="15">
        <v>8</v>
      </c>
      <c r="W232" s="15">
        <v>75.599999999999994</v>
      </c>
      <c r="X232" s="15" t="s">
        <v>185</v>
      </c>
      <c r="Y232" s="15"/>
      <c r="Z232" s="37">
        <v>8</v>
      </c>
      <c r="AA232" s="37">
        <v>5</v>
      </c>
      <c r="AB232" s="15"/>
      <c r="AC232" s="38">
        <f t="shared" si="169"/>
        <v>2.3806603760246734</v>
      </c>
      <c r="AD232" s="38">
        <f t="shared" si="170"/>
        <v>0</v>
      </c>
      <c r="AE232" s="38">
        <f t="shared" si="171"/>
        <v>1.5873925370595936</v>
      </c>
      <c r="AF232" s="38">
        <f t="shared" si="172"/>
        <v>0</v>
      </c>
      <c r="AG232" s="38">
        <f t="shared" si="173"/>
        <v>2.6109601553043264E-2</v>
      </c>
      <c r="AH232" s="38">
        <f t="shared" si="174"/>
        <v>0</v>
      </c>
      <c r="AI232" s="38">
        <f t="shared" si="175"/>
        <v>0</v>
      </c>
      <c r="AJ232" s="38">
        <f t="shared" si="176"/>
        <v>0.6252815856585423</v>
      </c>
      <c r="AK232" s="38">
        <f t="shared" si="177"/>
        <v>0.40221984542134631</v>
      </c>
      <c r="AL232" s="38">
        <f t="shared" si="178"/>
        <v>1.0178664878007122E-2</v>
      </c>
      <c r="AM232" s="38">
        <f t="shared" si="179"/>
        <v>0</v>
      </c>
      <c r="AN232" s="38">
        <f t="shared" si="180"/>
        <v>0</v>
      </c>
      <c r="AO232" s="38">
        <f t="shared" si="181"/>
        <v>0</v>
      </c>
      <c r="AP232" s="38">
        <f t="shared" si="182"/>
        <v>5.0318426105952065</v>
      </c>
      <c r="AQ232" s="38">
        <f t="shared" si="183"/>
        <v>3.968052913084267</v>
      </c>
      <c r="AR232" s="38">
        <f t="shared" si="184"/>
        <v>1.0376800959578958</v>
      </c>
      <c r="AS232" s="40"/>
      <c r="AT232" s="38">
        <f t="shared" si="185"/>
        <v>2.3655950317403414</v>
      </c>
      <c r="AU232" s="38">
        <f t="shared" si="186"/>
        <v>0</v>
      </c>
      <c r="AV232" s="38">
        <f t="shared" si="187"/>
        <v>1.5773471667388106</v>
      </c>
      <c r="AW232" s="38">
        <f t="shared" si="188"/>
        <v>0</v>
      </c>
      <c r="AX232" s="38">
        <f t="shared" si="189"/>
        <v>0</v>
      </c>
      <c r="AY232" s="38">
        <f t="shared" si="190"/>
        <v>2.5944374231882839E-2</v>
      </c>
      <c r="AZ232" s="38">
        <f t="shared" si="191"/>
        <v>0</v>
      </c>
      <c r="BA232" s="38">
        <f t="shared" si="192"/>
        <v>0</v>
      </c>
      <c r="BB232" s="38">
        <f t="shared" si="193"/>
        <v>0.62132466578140766</v>
      </c>
      <c r="BC232" s="38">
        <f t="shared" si="194"/>
        <v>0.39967450946738636</v>
      </c>
      <c r="BD232" s="38">
        <f t="shared" si="195"/>
        <v>1.0114252040171731E-2</v>
      </c>
      <c r="BE232" s="38">
        <f t="shared" si="196"/>
        <v>0</v>
      </c>
      <c r="BF232" s="38">
        <f t="shared" si="197"/>
        <v>0</v>
      </c>
      <c r="BG232" s="38">
        <f t="shared" si="198"/>
        <v>0</v>
      </c>
      <c r="BH232" s="41">
        <f t="shared" si="199"/>
        <v>5</v>
      </c>
      <c r="BI232" s="42">
        <f t="shared" si="200"/>
        <v>7.9623464214719091</v>
      </c>
      <c r="BJ232" s="38">
        <f t="shared" si="201"/>
        <v>3.9429421984791517</v>
      </c>
      <c r="BK232" s="38">
        <f t="shared" si="202"/>
        <v>1.0311134272889657</v>
      </c>
      <c r="BL232" s="16"/>
      <c r="BM232" s="16">
        <f t="shared" si="203"/>
        <v>0.60257644730222648</v>
      </c>
      <c r="BN232" s="16">
        <f t="shared" si="204"/>
        <v>0.38761449408938697</v>
      </c>
      <c r="BO232" s="16">
        <f t="shared" si="205"/>
        <v>9.8090586083864947E-3</v>
      </c>
      <c r="BP232" s="15"/>
      <c r="BQ232" s="38">
        <f t="shared" si="206"/>
        <v>0.86900798934753665</v>
      </c>
      <c r="BR232" s="38">
        <f t="shared" si="207"/>
        <v>0</v>
      </c>
      <c r="BS232" s="38">
        <f t="shared" si="208"/>
        <v>0.57944291879168308</v>
      </c>
      <c r="BT232" s="38">
        <f t="shared" si="209"/>
        <v>0</v>
      </c>
      <c r="BU232" s="38">
        <f t="shared" si="210"/>
        <v>9.530738855814137E-3</v>
      </c>
      <c r="BV232" s="38">
        <f t="shared" si="211"/>
        <v>0</v>
      </c>
      <c r="BW232" s="38">
        <f t="shared" si="212"/>
        <v>0</v>
      </c>
      <c r="BX232" s="38">
        <f t="shared" si="213"/>
        <v>0.22824536376604851</v>
      </c>
      <c r="BY232" s="38">
        <f t="shared" si="214"/>
        <v>0.1468215553404324</v>
      </c>
      <c r="BZ232" s="38">
        <f t="shared" si="215"/>
        <v>3.7154989384288743E-3</v>
      </c>
      <c r="CA232" s="38">
        <f t="shared" si="216"/>
        <v>0</v>
      </c>
      <c r="CB232" s="38">
        <f t="shared" si="217"/>
        <v>0</v>
      </c>
      <c r="CC232" s="38">
        <f t="shared" si="218"/>
        <v>0</v>
      </c>
      <c r="CD232" s="38">
        <f t="shared" si="219"/>
        <v>1.8367640650399435</v>
      </c>
      <c r="CE232" s="38">
        <f t="shared" si="220"/>
        <v>2.9202249866438912</v>
      </c>
      <c r="CF232" s="38">
        <f t="shared" si="221"/>
        <v>2.7221786919547921</v>
      </c>
      <c r="CG232" s="38">
        <f t="shared" si="222"/>
        <v>7.9493742343559681</v>
      </c>
      <c r="CH232" s="15"/>
      <c r="CI232" s="16"/>
      <c r="CJ232" s="13"/>
      <c r="CK232" s="104"/>
      <c r="CL232" s="13"/>
      <c r="CM232" s="13"/>
      <c r="CN232" s="13"/>
      <c r="CO232" s="16"/>
      <c r="CP232" s="16"/>
      <c r="CQ232" s="16"/>
      <c r="CR232" s="16"/>
      <c r="CS232" s="16"/>
      <c r="CT232" s="16"/>
      <c r="CU232" s="16"/>
      <c r="CV232" s="16"/>
      <c r="CW232" s="16"/>
      <c r="CX232" s="16"/>
      <c r="CY232" s="104"/>
      <c r="CZ232" s="104"/>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3"/>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row>
    <row r="233" spans="1:167" x14ac:dyDescent="0.25">
      <c r="A233" s="35" t="s">
        <v>254</v>
      </c>
      <c r="B233" s="15">
        <v>739</v>
      </c>
      <c r="C233" s="102" t="s">
        <v>95</v>
      </c>
      <c r="D233" s="102" t="s">
        <v>106</v>
      </c>
      <c r="E233" s="15">
        <v>250</v>
      </c>
      <c r="F233" s="16">
        <v>63.92</v>
      </c>
      <c r="G233" s="16">
        <v>0</v>
      </c>
      <c r="H233" s="16">
        <v>21.83</v>
      </c>
      <c r="I233" s="16">
        <v>0</v>
      </c>
      <c r="J233" s="16">
        <v>0.30234860073787462</v>
      </c>
      <c r="K233" s="16">
        <v>0</v>
      </c>
      <c r="L233" s="16">
        <v>0</v>
      </c>
      <c r="M233" s="16">
        <v>3.58</v>
      </c>
      <c r="N233" s="16">
        <v>8.98</v>
      </c>
      <c r="O233" s="16">
        <v>1.42</v>
      </c>
      <c r="P233" s="16"/>
      <c r="Q233" s="16"/>
      <c r="R233" s="16"/>
      <c r="S233" s="16">
        <f t="shared" si="168"/>
        <v>100.03234860073788</v>
      </c>
      <c r="T233" s="16"/>
      <c r="U233" s="15">
        <v>1</v>
      </c>
      <c r="V233" s="15">
        <v>9</v>
      </c>
      <c r="W233" s="15">
        <v>86.399999999999991</v>
      </c>
      <c r="X233" s="15" t="s">
        <v>186</v>
      </c>
      <c r="Y233" s="15"/>
      <c r="Z233" s="37">
        <v>8</v>
      </c>
      <c r="AA233" s="37">
        <v>5</v>
      </c>
      <c r="AB233" s="15"/>
      <c r="AC233" s="38">
        <f t="shared" si="169"/>
        <v>2.8388610120055509</v>
      </c>
      <c r="AD233" s="38">
        <f t="shared" si="170"/>
        <v>0</v>
      </c>
      <c r="AE233" s="38">
        <f t="shared" si="171"/>
        <v>1.1425920360177804</v>
      </c>
      <c r="AF233" s="38">
        <f t="shared" si="172"/>
        <v>0</v>
      </c>
      <c r="AG233" s="38">
        <f t="shared" si="173"/>
        <v>1.1228415593544783E-2</v>
      </c>
      <c r="AH233" s="38">
        <f t="shared" si="174"/>
        <v>0</v>
      </c>
      <c r="AI233" s="38">
        <f t="shared" si="175"/>
        <v>0</v>
      </c>
      <c r="AJ233" s="38">
        <f t="shared" si="176"/>
        <v>0.17033830045353332</v>
      </c>
      <c r="AK233" s="38">
        <f t="shared" si="177"/>
        <v>0.7732003616873947</v>
      </c>
      <c r="AL233" s="38">
        <f t="shared" si="178"/>
        <v>8.0446050142905789E-2</v>
      </c>
      <c r="AM233" s="38">
        <f t="shared" si="179"/>
        <v>0</v>
      </c>
      <c r="AN233" s="38">
        <f t="shared" si="180"/>
        <v>0</v>
      </c>
      <c r="AO233" s="38">
        <f t="shared" si="181"/>
        <v>0</v>
      </c>
      <c r="AP233" s="38">
        <f t="shared" si="182"/>
        <v>5.0166661759007107</v>
      </c>
      <c r="AQ233" s="38">
        <f t="shared" si="183"/>
        <v>3.9814530480233312</v>
      </c>
      <c r="AR233" s="38">
        <f t="shared" si="184"/>
        <v>1.0239847122838339</v>
      </c>
      <c r="AS233" s="40"/>
      <c r="AT233" s="38">
        <f t="shared" si="185"/>
        <v>2.8294298568668981</v>
      </c>
      <c r="AU233" s="38">
        <f t="shared" si="186"/>
        <v>0</v>
      </c>
      <c r="AV233" s="38">
        <f t="shared" si="187"/>
        <v>1.1387961605922834</v>
      </c>
      <c r="AW233" s="38">
        <f t="shared" si="188"/>
        <v>0</v>
      </c>
      <c r="AX233" s="38">
        <f t="shared" si="189"/>
        <v>0</v>
      </c>
      <c r="AY233" s="38">
        <f t="shared" si="190"/>
        <v>1.1191112982048076E-2</v>
      </c>
      <c r="AZ233" s="38">
        <f t="shared" si="191"/>
        <v>0</v>
      </c>
      <c r="BA233" s="38">
        <f t="shared" si="192"/>
        <v>0</v>
      </c>
      <c r="BB233" s="38">
        <f t="shared" si="193"/>
        <v>0.16977240908694724</v>
      </c>
      <c r="BC233" s="38">
        <f t="shared" si="194"/>
        <v>0.77063166511031755</v>
      </c>
      <c r="BD233" s="38">
        <f t="shared" si="195"/>
        <v>8.0178795361505406E-2</v>
      </c>
      <c r="BE233" s="38">
        <f t="shared" si="196"/>
        <v>0</v>
      </c>
      <c r="BF233" s="38">
        <f t="shared" si="197"/>
        <v>0</v>
      </c>
      <c r="BG233" s="38">
        <f t="shared" si="198"/>
        <v>0</v>
      </c>
      <c r="BH233" s="41">
        <f t="shared" si="199"/>
        <v>5</v>
      </c>
      <c r="BI233" s="42">
        <f t="shared" si="200"/>
        <v>7.979018263418153</v>
      </c>
      <c r="BJ233" s="38">
        <f t="shared" si="201"/>
        <v>3.9682260174591812</v>
      </c>
      <c r="BK233" s="38">
        <f t="shared" si="202"/>
        <v>1.0205828695587702</v>
      </c>
      <c r="BL233" s="16"/>
      <c r="BM233" s="16">
        <f t="shared" si="203"/>
        <v>0.16634848002136773</v>
      </c>
      <c r="BN233" s="16">
        <f t="shared" si="204"/>
        <v>0.75508975125507016</v>
      </c>
      <c r="BO233" s="16">
        <f t="shared" si="205"/>
        <v>7.8561768723562048E-2</v>
      </c>
      <c r="BP233" s="15"/>
      <c r="BQ233" s="38">
        <f t="shared" si="206"/>
        <v>1.0639147802929427</v>
      </c>
      <c r="BR233" s="38">
        <f t="shared" si="207"/>
        <v>0</v>
      </c>
      <c r="BS233" s="38">
        <f t="shared" si="208"/>
        <v>0.4282071400549235</v>
      </c>
      <c r="BT233" s="38">
        <f t="shared" si="209"/>
        <v>0</v>
      </c>
      <c r="BU233" s="38">
        <f t="shared" si="210"/>
        <v>4.2080528982306837E-3</v>
      </c>
      <c r="BV233" s="38">
        <f t="shared" si="211"/>
        <v>0</v>
      </c>
      <c r="BW233" s="38">
        <f t="shared" si="212"/>
        <v>0</v>
      </c>
      <c r="BX233" s="38">
        <f t="shared" si="213"/>
        <v>6.3837375178316697E-2</v>
      </c>
      <c r="BY233" s="38">
        <f t="shared" si="214"/>
        <v>0.28977089383672155</v>
      </c>
      <c r="BZ233" s="38">
        <f t="shared" si="215"/>
        <v>3.0148619957537152E-2</v>
      </c>
      <c r="CA233" s="38">
        <f t="shared" si="216"/>
        <v>0</v>
      </c>
      <c r="CB233" s="38">
        <f t="shared" si="217"/>
        <v>0</v>
      </c>
      <c r="CC233" s="38">
        <f t="shared" si="218"/>
        <v>0</v>
      </c>
      <c r="CD233" s="38">
        <f t="shared" si="219"/>
        <v>1.8800868622186724</v>
      </c>
      <c r="CE233" s="38">
        <f t="shared" si="220"/>
        <v>2.9981454556419473</v>
      </c>
      <c r="CF233" s="38">
        <f t="shared" si="221"/>
        <v>2.6594515926245812</v>
      </c>
      <c r="CG233" s="38">
        <f t="shared" si="222"/>
        <v>7.9734227069271277</v>
      </c>
      <c r="CH233" s="15"/>
      <c r="CI233" s="16"/>
      <c r="CJ233" s="13"/>
      <c r="CK233" s="104"/>
      <c r="CL233" s="13"/>
      <c r="CM233" s="13"/>
      <c r="CN233" s="13"/>
      <c r="CO233" s="16"/>
      <c r="CP233" s="16"/>
      <c r="CQ233" s="16"/>
      <c r="CR233" s="16"/>
      <c r="CS233" s="16"/>
      <c r="CT233" s="16"/>
      <c r="CU233" s="16"/>
      <c r="CV233" s="16"/>
      <c r="CW233" s="16"/>
      <c r="CX233" s="16"/>
      <c r="CY233" s="104"/>
      <c r="CZ233" s="104"/>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3"/>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row>
    <row r="234" spans="1:167" x14ac:dyDescent="0.25">
      <c r="A234" s="35" t="s">
        <v>254</v>
      </c>
      <c r="B234" s="15">
        <v>740</v>
      </c>
      <c r="C234" s="102" t="s">
        <v>95</v>
      </c>
      <c r="D234" s="102" t="s">
        <v>106</v>
      </c>
      <c r="E234" s="15">
        <v>251</v>
      </c>
      <c r="F234" s="16">
        <v>64.62</v>
      </c>
      <c r="G234" s="16">
        <v>0</v>
      </c>
      <c r="H234" s="16">
        <v>21.68</v>
      </c>
      <c r="I234" s="16">
        <v>0</v>
      </c>
      <c r="J234" s="16">
        <v>0.38693422118239901</v>
      </c>
      <c r="K234" s="16">
        <v>0</v>
      </c>
      <c r="L234" s="16">
        <v>0</v>
      </c>
      <c r="M234" s="16">
        <v>3</v>
      </c>
      <c r="N234" s="16">
        <v>8.91</v>
      </c>
      <c r="O234" s="16">
        <v>1.97</v>
      </c>
      <c r="P234" s="16"/>
      <c r="Q234" s="16"/>
      <c r="R234" s="16"/>
      <c r="S234" s="16">
        <f t="shared" si="168"/>
        <v>100.56693422118241</v>
      </c>
      <c r="T234" s="16"/>
      <c r="U234" s="15">
        <v>1</v>
      </c>
      <c r="V234" s="15">
        <v>10</v>
      </c>
      <c r="W234" s="15">
        <v>97.199999999999989</v>
      </c>
      <c r="X234" s="15" t="s">
        <v>186</v>
      </c>
      <c r="Y234" s="15"/>
      <c r="Z234" s="37">
        <v>8</v>
      </c>
      <c r="AA234" s="37">
        <v>5</v>
      </c>
      <c r="AB234" s="15"/>
      <c r="AC234" s="38">
        <f t="shared" si="169"/>
        <v>2.8562003333876689</v>
      </c>
      <c r="AD234" s="38">
        <f t="shared" si="170"/>
        <v>0</v>
      </c>
      <c r="AE234" s="38">
        <f t="shared" si="171"/>
        <v>1.1293045620383677</v>
      </c>
      <c r="AF234" s="38">
        <f t="shared" si="172"/>
        <v>0</v>
      </c>
      <c r="AG234" s="38">
        <f t="shared" si="173"/>
        <v>1.4300855044121586E-2</v>
      </c>
      <c r="AH234" s="38">
        <f t="shared" si="174"/>
        <v>0</v>
      </c>
      <c r="AI234" s="38">
        <f t="shared" si="175"/>
        <v>0</v>
      </c>
      <c r="AJ234" s="38">
        <f t="shared" si="176"/>
        <v>0.1420577348961716</v>
      </c>
      <c r="AK234" s="38">
        <f t="shared" si="177"/>
        <v>0.76349775365416572</v>
      </c>
      <c r="AL234" s="38">
        <f t="shared" si="178"/>
        <v>0.11107004679947124</v>
      </c>
      <c r="AM234" s="38">
        <f t="shared" si="179"/>
        <v>0</v>
      </c>
      <c r="AN234" s="38">
        <f t="shared" si="180"/>
        <v>0</v>
      </c>
      <c r="AO234" s="38">
        <f t="shared" si="181"/>
        <v>0</v>
      </c>
      <c r="AP234" s="38">
        <f t="shared" si="182"/>
        <v>5.0164312858199676</v>
      </c>
      <c r="AQ234" s="38">
        <f t="shared" si="183"/>
        <v>3.9855048954260366</v>
      </c>
      <c r="AR234" s="38">
        <f t="shared" si="184"/>
        <v>1.0166255353498086</v>
      </c>
      <c r="AS234" s="40"/>
      <c r="AT234" s="38">
        <f t="shared" si="185"/>
        <v>2.8468448690420014</v>
      </c>
      <c r="AU234" s="38">
        <f t="shared" si="186"/>
        <v>0</v>
      </c>
      <c r="AV234" s="38">
        <f t="shared" si="187"/>
        <v>1.1256055327923979</v>
      </c>
      <c r="AW234" s="38">
        <f t="shared" si="188"/>
        <v>0</v>
      </c>
      <c r="AX234" s="38">
        <f t="shared" si="189"/>
        <v>0</v>
      </c>
      <c r="AY234" s="38">
        <f t="shared" si="190"/>
        <v>1.4254012692794237E-2</v>
      </c>
      <c r="AZ234" s="38">
        <f t="shared" si="191"/>
        <v>0</v>
      </c>
      <c r="BA234" s="38">
        <f t="shared" si="192"/>
        <v>0</v>
      </c>
      <c r="BB234" s="38">
        <f t="shared" si="193"/>
        <v>0.14159242577260917</v>
      </c>
      <c r="BC234" s="38">
        <f t="shared" si="194"/>
        <v>0.76099692206724534</v>
      </c>
      <c r="BD234" s="38">
        <f t="shared" si="195"/>
        <v>0.1107062376329512</v>
      </c>
      <c r="BE234" s="38">
        <f t="shared" si="196"/>
        <v>0</v>
      </c>
      <c r="BF234" s="38">
        <f t="shared" si="197"/>
        <v>0</v>
      </c>
      <c r="BG234" s="38">
        <f t="shared" si="198"/>
        <v>0</v>
      </c>
      <c r="BH234" s="41">
        <f t="shared" si="199"/>
        <v>4.9999999999999991</v>
      </c>
      <c r="BI234" s="42">
        <f t="shared" si="200"/>
        <v>7.9809230619344982</v>
      </c>
      <c r="BJ234" s="38">
        <f t="shared" si="201"/>
        <v>3.9724504018343993</v>
      </c>
      <c r="BK234" s="38">
        <f t="shared" si="202"/>
        <v>1.0132955854728058</v>
      </c>
      <c r="BL234" s="16"/>
      <c r="BM234" s="16">
        <f t="shared" si="203"/>
        <v>0.13973457281622506</v>
      </c>
      <c r="BN234" s="16">
        <f t="shared" si="204"/>
        <v>0.75101178074526265</v>
      </c>
      <c r="BO234" s="16">
        <f t="shared" si="205"/>
        <v>0.10925364643851226</v>
      </c>
      <c r="BP234" s="15"/>
      <c r="BQ234" s="38">
        <f t="shared" si="206"/>
        <v>1.0755659121171772</v>
      </c>
      <c r="BR234" s="38">
        <f t="shared" si="207"/>
        <v>0</v>
      </c>
      <c r="BS234" s="38">
        <f t="shared" si="208"/>
        <v>0.42526480972930564</v>
      </c>
      <c r="BT234" s="38">
        <f t="shared" si="209"/>
        <v>0</v>
      </c>
      <c r="BU234" s="38">
        <f t="shared" si="210"/>
        <v>5.3853057923785533E-3</v>
      </c>
      <c r="BV234" s="38">
        <f t="shared" si="211"/>
        <v>0</v>
      </c>
      <c r="BW234" s="38">
        <f t="shared" si="212"/>
        <v>0</v>
      </c>
      <c r="BX234" s="38">
        <f t="shared" si="213"/>
        <v>5.3495007132667617E-2</v>
      </c>
      <c r="BY234" s="38">
        <f t="shared" si="214"/>
        <v>0.28751210067763799</v>
      </c>
      <c r="BZ234" s="38">
        <f t="shared" si="215"/>
        <v>4.1825902335456473E-2</v>
      </c>
      <c r="CA234" s="38">
        <f t="shared" si="216"/>
        <v>0</v>
      </c>
      <c r="CB234" s="38">
        <f t="shared" si="217"/>
        <v>0</v>
      </c>
      <c r="CC234" s="38">
        <f t="shared" si="218"/>
        <v>0</v>
      </c>
      <c r="CD234" s="38">
        <f t="shared" si="219"/>
        <v>1.8890490377846236</v>
      </c>
      <c r="CE234" s="38">
        <f t="shared" si="220"/>
        <v>3.0125783532599062</v>
      </c>
      <c r="CF234" s="38">
        <f t="shared" si="221"/>
        <v>2.6468344124426406</v>
      </c>
      <c r="CG234" s="38">
        <f t="shared" si="222"/>
        <v>7.9737960555881013</v>
      </c>
      <c r="CH234" s="15"/>
      <c r="CI234" s="16"/>
      <c r="CJ234" s="13"/>
      <c r="CK234" s="104"/>
      <c r="CL234" s="13"/>
      <c r="CM234" s="13"/>
      <c r="CN234" s="13"/>
      <c r="CO234" s="16"/>
      <c r="CP234" s="16"/>
      <c r="CQ234" s="16"/>
      <c r="CR234" s="16"/>
      <c r="CS234" s="16"/>
      <c r="CT234" s="16"/>
      <c r="CU234" s="16"/>
      <c r="CV234" s="16"/>
      <c r="CW234" s="16"/>
      <c r="CX234" s="16"/>
      <c r="CY234" s="104"/>
      <c r="CZ234" s="104"/>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3"/>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row>
    <row r="235" spans="1:167" x14ac:dyDescent="0.25">
      <c r="A235" s="35" t="s">
        <v>254</v>
      </c>
      <c r="B235" s="15">
        <v>741</v>
      </c>
      <c r="C235" s="102" t="s">
        <v>95</v>
      </c>
      <c r="D235" s="102" t="s">
        <v>106</v>
      </c>
      <c r="E235" s="15">
        <v>252</v>
      </c>
      <c r="F235" s="16">
        <v>53.24</v>
      </c>
      <c r="G235" s="16">
        <v>0</v>
      </c>
      <c r="H235" s="16">
        <v>29</v>
      </c>
      <c r="I235" s="16">
        <v>0</v>
      </c>
      <c r="J235" s="16">
        <v>0.46252137136686766</v>
      </c>
      <c r="K235" s="16">
        <v>0</v>
      </c>
      <c r="L235" s="16">
        <v>0</v>
      </c>
      <c r="M235" s="16">
        <v>12.12</v>
      </c>
      <c r="N235" s="16">
        <v>4.91</v>
      </c>
      <c r="O235" s="16">
        <v>0.16400000000000001</v>
      </c>
      <c r="P235" s="16"/>
      <c r="Q235" s="16"/>
      <c r="R235" s="16"/>
      <c r="S235" s="16">
        <f t="shared" si="168"/>
        <v>99.896521371366873</v>
      </c>
      <c r="T235" s="16"/>
      <c r="U235" s="15"/>
      <c r="V235" s="15"/>
      <c r="W235" s="15"/>
      <c r="X235" s="15" t="s">
        <v>185</v>
      </c>
      <c r="Y235" s="15"/>
      <c r="Z235" s="37">
        <v>8</v>
      </c>
      <c r="AA235" s="37">
        <v>5</v>
      </c>
      <c r="AB235" s="15"/>
      <c r="AC235" s="38">
        <f t="shared" si="169"/>
        <v>2.4202733155195486</v>
      </c>
      <c r="AD235" s="38">
        <f t="shared" si="170"/>
        <v>0</v>
      </c>
      <c r="AE235" s="38">
        <f t="shared" si="171"/>
        <v>1.5536545330957339</v>
      </c>
      <c r="AF235" s="38">
        <f t="shared" si="172"/>
        <v>0</v>
      </c>
      <c r="AG235" s="38">
        <f t="shared" si="173"/>
        <v>1.7581718484707937E-2</v>
      </c>
      <c r="AH235" s="38">
        <f t="shared" si="174"/>
        <v>0</v>
      </c>
      <c r="AI235" s="38">
        <f t="shared" si="175"/>
        <v>0</v>
      </c>
      <c r="AJ235" s="38">
        <f t="shared" si="176"/>
        <v>0.59027026300993191</v>
      </c>
      <c r="AK235" s="38">
        <f t="shared" si="177"/>
        <v>0.43272920381141045</v>
      </c>
      <c r="AL235" s="38">
        <f t="shared" si="178"/>
        <v>9.5099718339147522E-3</v>
      </c>
      <c r="AM235" s="38">
        <f t="shared" si="179"/>
        <v>0</v>
      </c>
      <c r="AN235" s="38">
        <f t="shared" si="180"/>
        <v>0</v>
      </c>
      <c r="AO235" s="38">
        <f t="shared" si="181"/>
        <v>0</v>
      </c>
      <c r="AP235" s="38">
        <f t="shared" si="182"/>
        <v>5.0240190057552487</v>
      </c>
      <c r="AQ235" s="38">
        <f t="shared" si="183"/>
        <v>3.9739278486152827</v>
      </c>
      <c r="AR235" s="38">
        <f t="shared" si="184"/>
        <v>1.0325094386552571</v>
      </c>
      <c r="AS235" s="40"/>
      <c r="AT235" s="38">
        <f t="shared" si="185"/>
        <v>2.408702388214508</v>
      </c>
      <c r="AU235" s="38">
        <f t="shared" si="186"/>
        <v>0</v>
      </c>
      <c r="AV235" s="38">
        <f t="shared" si="187"/>
        <v>1.5462267671718104</v>
      </c>
      <c r="AW235" s="38">
        <f t="shared" si="188"/>
        <v>0</v>
      </c>
      <c r="AX235" s="38">
        <f t="shared" si="189"/>
        <v>0</v>
      </c>
      <c r="AY235" s="38">
        <f t="shared" si="190"/>
        <v>1.7497663190134492E-2</v>
      </c>
      <c r="AZ235" s="38">
        <f t="shared" si="191"/>
        <v>0</v>
      </c>
      <c r="BA235" s="38">
        <f t="shared" si="192"/>
        <v>0</v>
      </c>
      <c r="BB235" s="38">
        <f t="shared" si="193"/>
        <v>0.58744827829447877</v>
      </c>
      <c r="BC235" s="38">
        <f t="shared" si="194"/>
        <v>0.43066039690106567</v>
      </c>
      <c r="BD235" s="38">
        <f t="shared" si="195"/>
        <v>9.4645062280025588E-3</v>
      </c>
      <c r="BE235" s="38">
        <f t="shared" si="196"/>
        <v>0</v>
      </c>
      <c r="BF235" s="38">
        <f t="shared" si="197"/>
        <v>0</v>
      </c>
      <c r="BG235" s="38">
        <f t="shared" si="198"/>
        <v>0</v>
      </c>
      <c r="BH235" s="41">
        <f t="shared" si="199"/>
        <v>5</v>
      </c>
      <c r="BI235" s="42">
        <f t="shared" si="200"/>
        <v>7.9705021518309458</v>
      </c>
      <c r="BJ235" s="38">
        <f t="shared" si="201"/>
        <v>3.9549291553863184</v>
      </c>
      <c r="BK235" s="38">
        <f t="shared" si="202"/>
        <v>1.0275731814235469</v>
      </c>
      <c r="BL235" s="16"/>
      <c r="BM235" s="16">
        <f t="shared" si="203"/>
        <v>0.57168510127975336</v>
      </c>
      <c r="BN235" s="16">
        <f t="shared" si="204"/>
        <v>0.41910435644539779</v>
      </c>
      <c r="BO235" s="16">
        <f t="shared" si="205"/>
        <v>9.2105422748488992E-3</v>
      </c>
      <c r="BP235" s="15"/>
      <c r="BQ235" s="38">
        <f t="shared" si="206"/>
        <v>0.88615179760319585</v>
      </c>
      <c r="BR235" s="38">
        <f t="shared" si="207"/>
        <v>0</v>
      </c>
      <c r="BS235" s="38">
        <f t="shared" si="208"/>
        <v>0.5688505296194587</v>
      </c>
      <c r="BT235" s="38">
        <f t="shared" si="209"/>
        <v>0</v>
      </c>
      <c r="BU235" s="38">
        <f t="shared" si="210"/>
        <v>6.4373190169362236E-3</v>
      </c>
      <c r="BV235" s="38">
        <f t="shared" si="211"/>
        <v>0</v>
      </c>
      <c r="BW235" s="38">
        <f t="shared" si="212"/>
        <v>0</v>
      </c>
      <c r="BX235" s="38">
        <f t="shared" si="213"/>
        <v>0.21611982881597716</v>
      </c>
      <c r="BY235" s="38">
        <f t="shared" si="214"/>
        <v>0.15843820587286223</v>
      </c>
      <c r="BZ235" s="38">
        <f t="shared" si="215"/>
        <v>3.4819532908704882E-3</v>
      </c>
      <c r="CA235" s="38">
        <f t="shared" si="216"/>
        <v>0</v>
      </c>
      <c r="CB235" s="38">
        <f t="shared" si="217"/>
        <v>0</v>
      </c>
      <c r="CC235" s="38">
        <f t="shared" si="218"/>
        <v>0</v>
      </c>
      <c r="CD235" s="38">
        <f t="shared" si="219"/>
        <v>1.8394796342193007</v>
      </c>
      <c r="CE235" s="38">
        <f t="shared" si="220"/>
        <v>2.9290966170503596</v>
      </c>
      <c r="CF235" s="38">
        <f t="shared" si="221"/>
        <v>2.7181600203592717</v>
      </c>
      <c r="CG235" s="38">
        <f t="shared" si="222"/>
        <v>7.9617533202358794</v>
      </c>
      <c r="CH235" s="15"/>
      <c r="CI235" s="16"/>
      <c r="CJ235" s="13"/>
      <c r="CK235" s="104"/>
      <c r="CL235" s="13"/>
      <c r="CM235" s="13"/>
      <c r="CN235" s="13"/>
      <c r="CO235" s="16"/>
      <c r="CP235" s="16"/>
      <c r="CQ235" s="16"/>
      <c r="CR235" s="16"/>
      <c r="CS235" s="16"/>
      <c r="CT235" s="16"/>
      <c r="CU235" s="16"/>
      <c r="CV235" s="16"/>
      <c r="CW235" s="16"/>
      <c r="CX235" s="16"/>
      <c r="CY235" s="104"/>
      <c r="CZ235" s="104"/>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3"/>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row>
    <row r="236" spans="1:167" x14ac:dyDescent="0.25">
      <c r="A236" s="35" t="s">
        <v>254</v>
      </c>
      <c r="B236" s="15">
        <v>742</v>
      </c>
      <c r="C236" s="102" t="s">
        <v>95</v>
      </c>
      <c r="D236" s="102" t="s">
        <v>106</v>
      </c>
      <c r="E236" s="15">
        <v>253</v>
      </c>
      <c r="F236" s="16">
        <v>53.5</v>
      </c>
      <c r="G236" s="16">
        <v>0</v>
      </c>
      <c r="H236" s="16">
        <v>28.67</v>
      </c>
      <c r="I236" s="16">
        <v>0</v>
      </c>
      <c r="J236" s="16">
        <v>0.48231800593899044</v>
      </c>
      <c r="K236" s="16">
        <v>0</v>
      </c>
      <c r="L236" s="16">
        <v>0</v>
      </c>
      <c r="M236" s="16">
        <v>11.82</v>
      </c>
      <c r="N236" s="16">
        <v>5.0199999999999996</v>
      </c>
      <c r="O236" s="16">
        <v>0.187</v>
      </c>
      <c r="P236" s="16"/>
      <c r="Q236" s="16"/>
      <c r="R236" s="16"/>
      <c r="S236" s="16">
        <f t="shared" si="168"/>
        <v>99.679318005938995</v>
      </c>
      <c r="T236" s="16"/>
      <c r="U236" s="15">
        <v>2</v>
      </c>
      <c r="V236" s="15"/>
      <c r="W236" s="15"/>
      <c r="X236" s="15" t="s">
        <v>185</v>
      </c>
      <c r="Y236" s="15"/>
      <c r="Z236" s="37">
        <v>8</v>
      </c>
      <c r="AA236" s="37">
        <v>5</v>
      </c>
      <c r="AB236" s="15"/>
      <c r="AC236" s="38">
        <f t="shared" si="169"/>
        <v>2.4355099248928949</v>
      </c>
      <c r="AD236" s="38">
        <f t="shared" si="170"/>
        <v>0</v>
      </c>
      <c r="AE236" s="38">
        <f t="shared" si="171"/>
        <v>1.5381330623937159</v>
      </c>
      <c r="AF236" s="38">
        <f t="shared" si="172"/>
        <v>0</v>
      </c>
      <c r="AG236" s="38">
        <f t="shared" si="173"/>
        <v>1.8360003030293174E-2</v>
      </c>
      <c r="AH236" s="38">
        <f t="shared" si="174"/>
        <v>0</v>
      </c>
      <c r="AI236" s="38">
        <f t="shared" si="175"/>
        <v>0</v>
      </c>
      <c r="AJ236" s="38">
        <f t="shared" si="176"/>
        <v>0.57646841525424952</v>
      </c>
      <c r="AK236" s="38">
        <f t="shared" si="177"/>
        <v>0.44304535389081007</v>
      </c>
      <c r="AL236" s="38">
        <f t="shared" si="178"/>
        <v>1.0858922787378088E-2</v>
      </c>
      <c r="AM236" s="38">
        <f t="shared" si="179"/>
        <v>0</v>
      </c>
      <c r="AN236" s="38">
        <f t="shared" si="180"/>
        <v>0</v>
      </c>
      <c r="AO236" s="38">
        <f t="shared" si="181"/>
        <v>0</v>
      </c>
      <c r="AP236" s="38">
        <f t="shared" si="182"/>
        <v>5.0223756822493408</v>
      </c>
      <c r="AQ236" s="38">
        <f t="shared" si="183"/>
        <v>3.9736429872866106</v>
      </c>
      <c r="AR236" s="38">
        <f t="shared" si="184"/>
        <v>1.0303726919324376</v>
      </c>
      <c r="AS236" s="40"/>
      <c r="AT236" s="38">
        <f t="shared" si="185"/>
        <v>2.424659243931865</v>
      </c>
      <c r="AU236" s="38">
        <f t="shared" si="186"/>
        <v>0</v>
      </c>
      <c r="AV236" s="38">
        <f t="shared" si="187"/>
        <v>1.5312803737780536</v>
      </c>
      <c r="AW236" s="38">
        <f t="shared" si="188"/>
        <v>0</v>
      </c>
      <c r="AX236" s="38">
        <f t="shared" si="189"/>
        <v>0</v>
      </c>
      <c r="AY236" s="38">
        <f t="shared" si="190"/>
        <v>1.8278205566325124E-2</v>
      </c>
      <c r="AZ236" s="38">
        <f t="shared" si="191"/>
        <v>0</v>
      </c>
      <c r="BA236" s="38">
        <f t="shared" si="192"/>
        <v>0</v>
      </c>
      <c r="BB236" s="38">
        <f t="shared" si="193"/>
        <v>0.57390013384668792</v>
      </c>
      <c r="BC236" s="38">
        <f t="shared" si="194"/>
        <v>0.44107149874975693</v>
      </c>
      <c r="BD236" s="38">
        <f t="shared" si="195"/>
        <v>1.0810544127311047E-2</v>
      </c>
      <c r="BE236" s="38">
        <f t="shared" si="196"/>
        <v>0</v>
      </c>
      <c r="BF236" s="38">
        <f t="shared" si="197"/>
        <v>0</v>
      </c>
      <c r="BG236" s="38">
        <f t="shared" si="198"/>
        <v>0</v>
      </c>
      <c r="BH236" s="41">
        <f t="shared" si="199"/>
        <v>5</v>
      </c>
      <c r="BI236" s="42">
        <f t="shared" si="200"/>
        <v>7.9734975121655198</v>
      </c>
      <c r="BJ236" s="38">
        <f t="shared" si="201"/>
        <v>3.9559396177099186</v>
      </c>
      <c r="BK236" s="38">
        <f t="shared" si="202"/>
        <v>1.0257821767237558</v>
      </c>
      <c r="BL236" s="16"/>
      <c r="BM236" s="16">
        <f t="shared" si="203"/>
        <v>0.55947563417378399</v>
      </c>
      <c r="BN236" s="16">
        <f t="shared" si="204"/>
        <v>0.42998553568019143</v>
      </c>
      <c r="BO236" s="16">
        <f t="shared" si="205"/>
        <v>1.0538830146024596E-2</v>
      </c>
      <c r="BP236" s="15"/>
      <c r="BQ236" s="38">
        <f t="shared" si="206"/>
        <v>0.89047936085219714</v>
      </c>
      <c r="BR236" s="38">
        <f t="shared" si="207"/>
        <v>0</v>
      </c>
      <c r="BS236" s="38">
        <f t="shared" si="208"/>
        <v>0.56237740290309934</v>
      </c>
      <c r="BT236" s="38">
        <f t="shared" si="209"/>
        <v>0</v>
      </c>
      <c r="BU236" s="38">
        <f t="shared" si="210"/>
        <v>6.7128462900346618E-3</v>
      </c>
      <c r="BV236" s="38">
        <f t="shared" si="211"/>
        <v>0</v>
      </c>
      <c r="BW236" s="38">
        <f t="shared" si="212"/>
        <v>0</v>
      </c>
      <c r="BX236" s="38">
        <f t="shared" si="213"/>
        <v>0.21077032810271043</v>
      </c>
      <c r="BY236" s="38">
        <f t="shared" si="214"/>
        <v>0.16198773797999355</v>
      </c>
      <c r="BZ236" s="38">
        <f t="shared" si="215"/>
        <v>3.9702760084925686E-3</v>
      </c>
      <c r="CA236" s="38">
        <f t="shared" si="216"/>
        <v>0</v>
      </c>
      <c r="CB236" s="38">
        <f t="shared" si="217"/>
        <v>0</v>
      </c>
      <c r="CC236" s="38">
        <f t="shared" si="218"/>
        <v>0</v>
      </c>
      <c r="CD236" s="38">
        <f t="shared" si="219"/>
        <v>1.8362979521365277</v>
      </c>
      <c r="CE236" s="38">
        <f t="shared" si="220"/>
        <v>2.9249870074460316</v>
      </c>
      <c r="CF236" s="38">
        <f t="shared" si="221"/>
        <v>2.7228696705687185</v>
      </c>
      <c r="CG236" s="38">
        <f t="shared" si="222"/>
        <v>7.9643584093823581</v>
      </c>
      <c r="CH236" s="15"/>
      <c r="CI236" s="16">
        <v>2.3115951603076335</v>
      </c>
      <c r="CJ236" s="13">
        <v>35439.81025953489</v>
      </c>
      <c r="CK236" s="104">
        <v>259.86065459118515</v>
      </c>
      <c r="CL236" s="13">
        <v>149919.51923813915</v>
      </c>
      <c r="CM236" s="13">
        <v>256622.57887791903</v>
      </c>
      <c r="CN236" s="13">
        <v>74494.696443936118</v>
      </c>
      <c r="CO236" s="16">
        <v>0</v>
      </c>
      <c r="CP236" s="16">
        <v>207.2146840388414</v>
      </c>
      <c r="CQ236" s="16">
        <v>0.55659704836866508</v>
      </c>
      <c r="CR236" s="16">
        <v>1.4711795660164002</v>
      </c>
      <c r="CS236" s="16">
        <v>27.559993430046816</v>
      </c>
      <c r="CT236" s="16">
        <v>0</v>
      </c>
      <c r="CU236" s="16">
        <v>0</v>
      </c>
      <c r="CV236" s="16">
        <v>0</v>
      </c>
      <c r="CW236" s="16">
        <v>6.6541847782476342</v>
      </c>
      <c r="CX236" s="16">
        <v>0.57478724291474559</v>
      </c>
      <c r="CY236" s="104">
        <v>550.58099322805913</v>
      </c>
      <c r="CZ236" s="104">
        <v>561.31341571192411</v>
      </c>
      <c r="DA236" s="16">
        <v>0.54107710541430554</v>
      </c>
      <c r="DB236" s="16">
        <v>0</v>
      </c>
      <c r="DC236" s="16">
        <v>0</v>
      </c>
      <c r="DD236" s="16">
        <v>0</v>
      </c>
      <c r="DE236" s="16">
        <v>93.823751053727534</v>
      </c>
      <c r="DF236" s="16">
        <v>2.8289207103413188</v>
      </c>
      <c r="DG236" s="16">
        <v>4.0743105355530647</v>
      </c>
      <c r="DH236" s="16">
        <v>0.41393853855354001</v>
      </c>
      <c r="DI236" s="16">
        <v>1.3984654510118992</v>
      </c>
      <c r="DJ236" s="16">
        <v>0.12305664667043488</v>
      </c>
      <c r="DK236" s="16">
        <v>0.89377152496157186</v>
      </c>
      <c r="DL236" s="16">
        <v>0.29964745589720726</v>
      </c>
      <c r="DM236" s="16">
        <v>1.2519666561900284E-2</v>
      </c>
      <c r="DN236" s="16">
        <v>5.5522707582567936E-2</v>
      </c>
      <c r="DO236" s="16">
        <v>0</v>
      </c>
      <c r="DP236" s="16">
        <v>6.4859638230133534E-2</v>
      </c>
      <c r="DQ236" s="16">
        <v>0</v>
      </c>
      <c r="DR236" s="16">
        <v>0</v>
      </c>
      <c r="DS236" s="16">
        <v>0</v>
      </c>
      <c r="DT236" s="16">
        <v>0</v>
      </c>
      <c r="DU236" s="16">
        <v>0</v>
      </c>
      <c r="DV236" s="16">
        <v>1.3782866330733103</v>
      </c>
      <c r="DW236" s="16">
        <v>0</v>
      </c>
      <c r="DX236" s="16">
        <v>0</v>
      </c>
      <c r="DY236" s="16">
        <f t="shared" ref="DY236:DY237" si="223">(DK236/0.05883)/SQRT((DJ236/0.1536)*(DL236/0.2069))</f>
        <v>14.104109903676388</v>
      </c>
      <c r="DZ236" s="16"/>
      <c r="EA236" s="13">
        <f>1128+200*((BM236-0.4)/0.4) -273</f>
        <v>934.73781708689194</v>
      </c>
      <c r="EB236" s="16"/>
      <c r="EC236" s="16">
        <f>(-18.482 -16.353 * BM236)/(0.008314 * (EA236+273))</f>
        <v>-2.7517917764948421</v>
      </c>
      <c r="ED236" s="16"/>
      <c r="EE236" s="16"/>
      <c r="EF236" s="16"/>
      <c r="EG236" s="16"/>
      <c r="EH236" s="16"/>
      <c r="EI236" s="16"/>
      <c r="EJ236" s="16"/>
      <c r="EK236" s="16"/>
      <c r="EL236" s="16">
        <f>(23.856 -20.71 * BM236)/(0.008314 * (EA236+273))</f>
        <v>1.2219000166636416</v>
      </c>
      <c r="EM236" s="16"/>
      <c r="EN236" s="16">
        <f>(-4.5269  -51.811 * BM236)/(0.008314 * (EA236+273)) +N("eqn50a")</f>
        <v>-3.3376606718308577</v>
      </c>
      <c r="EO236" s="16" t="e">
        <f>(-187.27 + 2.26018 *#REF!)/(0.008314 * (EA236+273)) +N("fsp eqn35 from SiO2")</f>
        <v>#REF!</v>
      </c>
      <c r="EP236" s="16"/>
      <c r="EQ236" s="16"/>
      <c r="ER236" s="16">
        <f>(10.146 -35.204 * BM236)/(0.008314 * (EA236+273))</f>
        <v>-0.95106607746330507</v>
      </c>
      <c r="ES236" s="16">
        <f>(2.1146 -37.009 * BM236)/(0.008314 * (EA236+273))</f>
        <v>-1.8514877957974742</v>
      </c>
      <c r="ET236" s="16">
        <f>(-3.6812 -33.822 * BM236)/(0.008314 * (EA236+273))</f>
        <v>-2.251119139102379</v>
      </c>
      <c r="EU236" s="16">
        <f>(-6.8025 -26.094 * BM236)/(0.008314 * (EA236+273))</f>
        <v>-2.1313788871468597</v>
      </c>
      <c r="EV236" s="16">
        <f>(-5.6996 -30.85 * BM236)/(0.008314 * (EA236+273))</f>
        <v>-2.2865372979068899</v>
      </c>
      <c r="EW236" s="16">
        <f>(-8.6767 -33.32 * BM236)/(0.008314 * (EA236+273))</f>
        <v>-2.7206521690885412</v>
      </c>
      <c r="EX236" s="16"/>
      <c r="EY236" s="16">
        <f>(-1.9714 -59.897 * BM236)/(0.008314 * (EA236+273))</f>
        <v>-3.5336963316065328</v>
      </c>
      <c r="EZ236" s="16">
        <f>(-4.3691 -44.528 * BM236)/(0.008314 * (EA236+273))</f>
        <v>-2.9161483408866178</v>
      </c>
      <c r="FA236" s="16">
        <f>(-2.2521 -58.215 * BM236)/(0.008314 * (EA236+273))</f>
        <v>-3.4679330289443309</v>
      </c>
      <c r="FB236" s="16"/>
      <c r="FC236" s="16">
        <f>(-8.5 - 57.253 * BM236)/(0.008314 * (EA236+273))</f>
        <v>-4.0365625738796931</v>
      </c>
      <c r="FD236" s="16"/>
      <c r="FE236" s="16">
        <f>(-9.2954 -52.923 * BM236)/(0.008314 * (EA236+273))</f>
        <v>-3.8745161570276401</v>
      </c>
      <c r="FF236" s="16">
        <f>(0.61501 -70.378 * BM236)/(0.008314 * (EA236+273))</f>
        <v>-3.8600991767060124</v>
      </c>
      <c r="FG236" s="16"/>
      <c r="FH236" s="16"/>
      <c r="FI236" s="16"/>
      <c r="FJ236" s="16"/>
      <c r="FK236" s="16"/>
    </row>
    <row r="237" spans="1:167" x14ac:dyDescent="0.25">
      <c r="A237" s="35" t="s">
        <v>254</v>
      </c>
      <c r="B237" s="15">
        <v>743</v>
      </c>
      <c r="C237" s="102" t="s">
        <v>95</v>
      </c>
      <c r="D237" s="102" t="s">
        <v>106</v>
      </c>
      <c r="E237" s="15">
        <v>254</v>
      </c>
      <c r="F237" s="16">
        <v>58.26</v>
      </c>
      <c r="G237" s="16">
        <v>0</v>
      </c>
      <c r="H237" s="16">
        <v>25.78</v>
      </c>
      <c r="I237" s="16">
        <v>0</v>
      </c>
      <c r="J237" s="16">
        <v>0.26905426077566813</v>
      </c>
      <c r="K237" s="16">
        <v>0</v>
      </c>
      <c r="L237" s="16">
        <v>0</v>
      </c>
      <c r="M237" s="16">
        <v>8.11</v>
      </c>
      <c r="N237" s="16">
        <v>6.92</v>
      </c>
      <c r="O237" s="16">
        <v>0.46</v>
      </c>
      <c r="P237" s="16"/>
      <c r="Q237" s="16"/>
      <c r="R237" s="16"/>
      <c r="S237" s="16">
        <f t="shared" si="168"/>
        <v>99.799054260775648</v>
      </c>
      <c r="T237" s="16"/>
      <c r="U237" s="15">
        <v>2</v>
      </c>
      <c r="V237" s="15"/>
      <c r="W237" s="15"/>
      <c r="X237" s="15" t="s">
        <v>186</v>
      </c>
      <c r="Y237" s="15"/>
      <c r="Z237" s="37">
        <v>8</v>
      </c>
      <c r="AA237" s="37">
        <v>5</v>
      </c>
      <c r="AB237" s="15"/>
      <c r="AC237" s="38">
        <f t="shared" si="169"/>
        <v>2.618319022056212</v>
      </c>
      <c r="AD237" s="38">
        <f t="shared" si="170"/>
        <v>0</v>
      </c>
      <c r="AE237" s="38">
        <f t="shared" si="171"/>
        <v>1.3654163107748742</v>
      </c>
      <c r="AF237" s="38">
        <f t="shared" si="172"/>
        <v>0</v>
      </c>
      <c r="AG237" s="38">
        <f t="shared" si="173"/>
        <v>1.0111023181511957E-2</v>
      </c>
      <c r="AH237" s="38">
        <f t="shared" si="174"/>
        <v>0</v>
      </c>
      <c r="AI237" s="38">
        <f t="shared" si="175"/>
        <v>0</v>
      </c>
      <c r="AJ237" s="38">
        <f t="shared" si="176"/>
        <v>0.39047645678371745</v>
      </c>
      <c r="AK237" s="38">
        <f t="shared" si="177"/>
        <v>0.60292948522554168</v>
      </c>
      <c r="AL237" s="38">
        <f t="shared" si="178"/>
        <v>2.6370534294528267E-2</v>
      </c>
      <c r="AM237" s="38">
        <f t="shared" si="179"/>
        <v>0</v>
      </c>
      <c r="AN237" s="38">
        <f t="shared" si="180"/>
        <v>0</v>
      </c>
      <c r="AO237" s="38">
        <f t="shared" si="181"/>
        <v>0</v>
      </c>
      <c r="AP237" s="38">
        <f t="shared" si="182"/>
        <v>5.0136228323163863</v>
      </c>
      <c r="AQ237" s="38">
        <f t="shared" si="183"/>
        <v>3.9837353328310865</v>
      </c>
      <c r="AR237" s="38">
        <f t="shared" si="184"/>
        <v>1.0197764763037873</v>
      </c>
      <c r="AS237" s="40"/>
      <c r="AT237" s="38">
        <f t="shared" si="185"/>
        <v>2.6112046215156761</v>
      </c>
      <c r="AU237" s="38">
        <f t="shared" si="186"/>
        <v>0</v>
      </c>
      <c r="AV237" s="38">
        <f t="shared" si="187"/>
        <v>1.3617062515889602</v>
      </c>
      <c r="AW237" s="38">
        <f t="shared" si="188"/>
        <v>0</v>
      </c>
      <c r="AX237" s="38">
        <f t="shared" si="189"/>
        <v>0</v>
      </c>
      <c r="AY237" s="38">
        <f t="shared" si="190"/>
        <v>1.0083549879679E-2</v>
      </c>
      <c r="AZ237" s="38">
        <f t="shared" si="191"/>
        <v>0</v>
      </c>
      <c r="BA237" s="38">
        <f t="shared" si="192"/>
        <v>0</v>
      </c>
      <c r="BB237" s="38">
        <f t="shared" si="193"/>
        <v>0.38941546845807523</v>
      </c>
      <c r="BC237" s="38">
        <f t="shared" si="194"/>
        <v>0.60129122731294216</v>
      </c>
      <c r="BD237" s="38">
        <f t="shared" si="195"/>
        <v>2.6298881244667338E-2</v>
      </c>
      <c r="BE237" s="38">
        <f t="shared" si="196"/>
        <v>0</v>
      </c>
      <c r="BF237" s="38">
        <f t="shared" si="197"/>
        <v>0</v>
      </c>
      <c r="BG237" s="38">
        <f t="shared" si="198"/>
        <v>0</v>
      </c>
      <c r="BH237" s="41">
        <f t="shared" si="199"/>
        <v>5</v>
      </c>
      <c r="BI237" s="42">
        <f t="shared" si="200"/>
        <v>7.9833044679711911</v>
      </c>
      <c r="BJ237" s="38">
        <f t="shared" si="201"/>
        <v>3.9729108731046363</v>
      </c>
      <c r="BK237" s="38">
        <f t="shared" si="202"/>
        <v>1.0170055770156847</v>
      </c>
      <c r="BL237" s="16"/>
      <c r="BM237" s="16">
        <f t="shared" si="203"/>
        <v>0.38290396558176354</v>
      </c>
      <c r="BN237" s="16">
        <f t="shared" si="204"/>
        <v>0.59123690263074025</v>
      </c>
      <c r="BO237" s="16">
        <f t="shared" si="205"/>
        <v>2.5859131787496333E-2</v>
      </c>
      <c r="BP237" s="15"/>
      <c r="BQ237" s="38">
        <f t="shared" si="206"/>
        <v>0.96970705725699069</v>
      </c>
      <c r="BR237" s="38">
        <f t="shared" si="207"/>
        <v>0</v>
      </c>
      <c r="BS237" s="38">
        <f t="shared" si="208"/>
        <v>0.50568850529619469</v>
      </c>
      <c r="BT237" s="38">
        <f t="shared" si="209"/>
        <v>0</v>
      </c>
      <c r="BU237" s="38">
        <f t="shared" si="210"/>
        <v>3.744666120746947E-3</v>
      </c>
      <c r="BV237" s="38">
        <f t="shared" si="211"/>
        <v>0</v>
      </c>
      <c r="BW237" s="38">
        <f t="shared" si="212"/>
        <v>0</v>
      </c>
      <c r="BX237" s="38">
        <f t="shared" si="213"/>
        <v>0.1446148359486448</v>
      </c>
      <c r="BY237" s="38">
        <f t="shared" si="214"/>
        <v>0.22329783801226202</v>
      </c>
      <c r="BZ237" s="38">
        <f t="shared" si="215"/>
        <v>9.7664543524416132E-3</v>
      </c>
      <c r="CA237" s="38">
        <f t="shared" si="216"/>
        <v>0</v>
      </c>
      <c r="CB237" s="38">
        <f t="shared" si="217"/>
        <v>0</v>
      </c>
      <c r="CC237" s="38">
        <f t="shared" si="218"/>
        <v>0</v>
      </c>
      <c r="CD237" s="38">
        <f t="shared" si="219"/>
        <v>1.8568193569872808</v>
      </c>
      <c r="CE237" s="38">
        <f t="shared" si="220"/>
        <v>2.962838520710017</v>
      </c>
      <c r="CF237" s="38">
        <f t="shared" si="221"/>
        <v>2.6927767535300688</v>
      </c>
      <c r="CG237" s="38">
        <f t="shared" si="222"/>
        <v>7.9782626930313514</v>
      </c>
      <c r="CH237" s="15"/>
      <c r="CI237" s="16">
        <v>3.1380099379207236</v>
      </c>
      <c r="CJ237" s="13">
        <v>47511.841279144035</v>
      </c>
      <c r="CK237" s="104">
        <v>112.86716226815139</v>
      </c>
      <c r="CL237" s="13">
        <v>140884.55138022796</v>
      </c>
      <c r="CM237" s="13">
        <v>273740.42849165533</v>
      </c>
      <c r="CN237" s="13">
        <v>55827.955525050675</v>
      </c>
      <c r="CO237" s="16">
        <v>0.30000172513211237</v>
      </c>
      <c r="CP237" s="16">
        <v>190.61396327903867</v>
      </c>
      <c r="CQ237" s="16">
        <v>0.28739787368098374</v>
      </c>
      <c r="CR237" s="16"/>
      <c r="CS237" s="16">
        <v>20.951601709089793</v>
      </c>
      <c r="CT237" s="16"/>
      <c r="CU237" s="16"/>
      <c r="CV237" s="16"/>
      <c r="CW237" s="16">
        <v>12.150335602034659</v>
      </c>
      <c r="CX237" s="16">
        <v>5.8715324927956365</v>
      </c>
      <c r="CY237" s="104">
        <v>413.46599980780354</v>
      </c>
      <c r="CZ237" s="104">
        <v>431.55998390846537</v>
      </c>
      <c r="DA237" s="16">
        <v>0.7497724238169049</v>
      </c>
      <c r="DB237" s="16"/>
      <c r="DC237" s="16">
        <v>0.22521694399748354</v>
      </c>
      <c r="DD237" s="16"/>
      <c r="DE237" s="16">
        <v>201.5940002451247</v>
      </c>
      <c r="DF237" s="16">
        <v>5.2145871600143892</v>
      </c>
      <c r="DG237" s="16">
        <v>7.5657401083998437</v>
      </c>
      <c r="DH237" s="16">
        <v>0.59926779073236636</v>
      </c>
      <c r="DI237" s="16">
        <v>2.2018047621172072</v>
      </c>
      <c r="DJ237" s="16">
        <v>0.29156377026344948</v>
      </c>
      <c r="DK237" s="16">
        <v>2.3353154649999341</v>
      </c>
      <c r="DL237" s="16">
        <v>0.13733282187473156</v>
      </c>
      <c r="DM237" s="16"/>
      <c r="DN237" s="16">
        <v>0.15919934170081024</v>
      </c>
      <c r="DO237" s="16"/>
      <c r="DP237" s="16"/>
      <c r="DQ237" s="16">
        <v>5.7426373119030587E-2</v>
      </c>
      <c r="DR237" s="16"/>
      <c r="DS237" s="16"/>
      <c r="DT237" s="16"/>
      <c r="DU237" s="16"/>
      <c r="DV237" s="16">
        <v>3.9592771632569672</v>
      </c>
      <c r="DW237" s="16"/>
      <c r="DX237" s="16">
        <v>9.2536783085141981E-3</v>
      </c>
      <c r="DY237" s="16">
        <f t="shared" si="223"/>
        <v>35.364588530976292</v>
      </c>
      <c r="DZ237" s="16"/>
      <c r="EA237" s="13">
        <f>1128+200*((BM237-0.4)/0.4) -273</f>
        <v>846.45198279088186</v>
      </c>
      <c r="EB237" s="16"/>
      <c r="EC237" s="16">
        <f>(-18.482 -16.353 * BM237)/(0.008314 * (EA237+273))</f>
        <v>-2.6585687609786364</v>
      </c>
      <c r="ED237" s="16"/>
      <c r="EE237" s="16"/>
      <c r="EF237" s="16"/>
      <c r="EG237" s="16"/>
      <c r="EH237" s="16"/>
      <c r="EI237" s="16"/>
      <c r="EJ237" s="16"/>
      <c r="EK237" s="16"/>
      <c r="EL237" s="16">
        <f>(23.856 -20.71 * BM237)/(0.008314 * (EA237+273))</f>
        <v>1.7111686962410768</v>
      </c>
      <c r="EM237" s="16"/>
      <c r="EN237" s="16">
        <f>(-4.5269  -51.811 * BM237)/(0.008314 * (EA237+273)) +N("eqn50a")</f>
        <v>-2.6179449122860574</v>
      </c>
      <c r="EO237" s="16" t="e">
        <f>(-187.27 + 2.26018 *#REF!)/(0.008314 * (EA237+273)) +N("fsp eqn35 from SiO2")</f>
        <v>#REF!</v>
      </c>
      <c r="EP237" s="16"/>
      <c r="EQ237" s="16"/>
      <c r="ER237" s="16">
        <f>(10.146 -35.204 * BM237)/(0.008314 * (EA237+273))</f>
        <v>-0.35819349579735321</v>
      </c>
      <c r="ES237" s="16">
        <f>(2.1146 -37.009 * BM237)/(0.008314 * (EA237+273))</f>
        <v>-1.2953833150629708</v>
      </c>
      <c r="ET237" s="16">
        <f>(-3.6812 -33.822 * BM237)/(0.008314 * (EA237+273))</f>
        <v>-1.7869943828240709</v>
      </c>
      <c r="EU237" s="16">
        <f>(-6.8025 -26.094 * BM237)/(0.008314 * (EA237+273))</f>
        <v>-1.8044238441413156</v>
      </c>
      <c r="EV237" s="16">
        <f>(-5.6996 -30.85 * BM237)/(0.008314 * (EA237+273))</f>
        <v>-1.8815896019955589</v>
      </c>
      <c r="EW237" s="16">
        <f>(-8.6767 -33.32 * BM237)/(0.008314 * (EA237+273))</f>
        <v>-2.3030810192840683</v>
      </c>
      <c r="EX237" s="16"/>
      <c r="EY237" s="16">
        <f>(-1.9714 -59.897 * BM237)/(0.008314 * (EA237+273))</f>
        <v>-2.6760360560366063</v>
      </c>
      <c r="EZ237" s="16">
        <f>(-4.3691 -44.528 * BM237)/(0.008314 * (EA237+273))</f>
        <v>-2.3013605786700158</v>
      </c>
      <c r="FA237" s="16">
        <f>(-2.2521 -58.215 * BM237)/(0.008314 * (EA237+273))</f>
        <v>-2.6369966622877978</v>
      </c>
      <c r="FB237" s="16"/>
      <c r="FC237" s="16">
        <f>(-8.5 - 57.253 * BM237)/(0.008314 * (EA237+273))</f>
        <v>-3.2687220503861729</v>
      </c>
      <c r="FD237" s="16"/>
      <c r="FE237" s="16">
        <f>(-9.2954 -52.923 * BM237)/(0.008314 * (EA237+273))</f>
        <v>-3.1760431314309612</v>
      </c>
      <c r="FF237" s="16">
        <f>(0.61501 -70.378 * BM237)/(0.008314 * (EA237+273))</f>
        <v>-2.8293386762911847</v>
      </c>
      <c r="FG237" s="16"/>
      <c r="FH237" s="16"/>
      <c r="FI237" s="16"/>
      <c r="FJ237" s="16"/>
      <c r="FK237" s="16"/>
    </row>
    <row r="238" spans="1:167" x14ac:dyDescent="0.25">
      <c r="A238" s="35" t="s">
        <v>254</v>
      </c>
      <c r="B238" s="15">
        <v>745</v>
      </c>
      <c r="C238" s="102" t="s">
        <v>95</v>
      </c>
      <c r="D238" s="102" t="s">
        <v>106</v>
      </c>
      <c r="E238" s="15">
        <v>256</v>
      </c>
      <c r="F238" s="16">
        <v>56.01</v>
      </c>
      <c r="G238" s="16">
        <v>0</v>
      </c>
      <c r="H238" s="16">
        <v>27.5</v>
      </c>
      <c r="I238" s="16">
        <v>0</v>
      </c>
      <c r="J238" s="16">
        <v>0.43012687843066677</v>
      </c>
      <c r="K238" s="16">
        <v>0</v>
      </c>
      <c r="L238" s="16">
        <v>0</v>
      </c>
      <c r="M238" s="16">
        <v>9.92</v>
      </c>
      <c r="N238" s="16">
        <v>6.08</v>
      </c>
      <c r="O238" s="16">
        <v>0.28100000000000003</v>
      </c>
      <c r="P238" s="16"/>
      <c r="Q238" s="16"/>
      <c r="R238" s="16"/>
      <c r="S238" s="16">
        <f t="shared" si="168"/>
        <v>100.22112687843067</v>
      </c>
      <c r="T238" s="16"/>
      <c r="U238" s="15"/>
      <c r="V238" s="15"/>
      <c r="W238" s="15"/>
      <c r="X238" s="15" t="s">
        <v>185</v>
      </c>
      <c r="Y238" s="15"/>
      <c r="Z238" s="37">
        <v>8</v>
      </c>
      <c r="AA238" s="37">
        <v>5</v>
      </c>
      <c r="AB238" s="15"/>
      <c r="AC238" s="38">
        <f t="shared" si="169"/>
        <v>2.5216490307698356</v>
      </c>
      <c r="AD238" s="38">
        <f t="shared" si="170"/>
        <v>0</v>
      </c>
      <c r="AE238" s="38">
        <f t="shared" si="171"/>
        <v>1.4590892384072824</v>
      </c>
      <c r="AF238" s="38">
        <f t="shared" si="172"/>
        <v>0</v>
      </c>
      <c r="AG238" s="38">
        <f t="shared" si="173"/>
        <v>1.6192682534509374E-2</v>
      </c>
      <c r="AH238" s="38">
        <f t="shared" si="174"/>
        <v>0</v>
      </c>
      <c r="AI238" s="38">
        <f t="shared" si="175"/>
        <v>0</v>
      </c>
      <c r="AJ238" s="38">
        <f t="shared" si="176"/>
        <v>0.47846773712236562</v>
      </c>
      <c r="AK238" s="38">
        <f t="shared" si="177"/>
        <v>0.53067789116012765</v>
      </c>
      <c r="AL238" s="38">
        <f t="shared" si="178"/>
        <v>1.6137431224933343E-2</v>
      </c>
      <c r="AM238" s="38">
        <f t="shared" si="179"/>
        <v>0</v>
      </c>
      <c r="AN238" s="38">
        <f t="shared" si="180"/>
        <v>0</v>
      </c>
      <c r="AO238" s="38">
        <f t="shared" si="181"/>
        <v>0</v>
      </c>
      <c r="AP238" s="38">
        <f t="shared" si="182"/>
        <v>5.022214011219055</v>
      </c>
      <c r="AQ238" s="38">
        <f t="shared" si="183"/>
        <v>3.980738269177118</v>
      </c>
      <c r="AR238" s="38">
        <f t="shared" si="184"/>
        <v>1.0252830595074267</v>
      </c>
      <c r="AS238" s="40"/>
      <c r="AT238" s="38">
        <f t="shared" si="185"/>
        <v>2.5104953961905632</v>
      </c>
      <c r="AU238" s="38">
        <f t="shared" si="186"/>
        <v>0</v>
      </c>
      <c r="AV238" s="38">
        <f t="shared" si="187"/>
        <v>1.4526354662981737</v>
      </c>
      <c r="AW238" s="38">
        <f t="shared" si="188"/>
        <v>0</v>
      </c>
      <c r="AX238" s="38">
        <f t="shared" si="189"/>
        <v>0</v>
      </c>
      <c r="AY238" s="38">
        <f t="shared" si="190"/>
        <v>1.6121059853619106E-2</v>
      </c>
      <c r="AZ238" s="38">
        <f t="shared" si="191"/>
        <v>0</v>
      </c>
      <c r="BA238" s="38">
        <f t="shared" si="192"/>
        <v>0</v>
      </c>
      <c r="BB238" s="38">
        <f t="shared" si="193"/>
        <v>0.47635140204451981</v>
      </c>
      <c r="BC238" s="38">
        <f t="shared" si="194"/>
        <v>0.5283306226841924</v>
      </c>
      <c r="BD238" s="38">
        <f t="shared" si="195"/>
        <v>1.6066052928931505E-2</v>
      </c>
      <c r="BE238" s="38">
        <f t="shared" si="196"/>
        <v>0</v>
      </c>
      <c r="BF238" s="38">
        <f t="shared" si="197"/>
        <v>0</v>
      </c>
      <c r="BG238" s="38">
        <f t="shared" si="198"/>
        <v>0</v>
      </c>
      <c r="BH238" s="41">
        <f t="shared" si="199"/>
        <v>5</v>
      </c>
      <c r="BI238" s="42">
        <f t="shared" si="200"/>
        <v>7.9726753214598967</v>
      </c>
      <c r="BJ238" s="38">
        <f t="shared" si="201"/>
        <v>3.9631308624887369</v>
      </c>
      <c r="BK238" s="38">
        <f t="shared" si="202"/>
        <v>1.0207480776576439</v>
      </c>
      <c r="BL238" s="16"/>
      <c r="BM238" s="16">
        <f t="shared" si="203"/>
        <v>0.46666891907122143</v>
      </c>
      <c r="BN238" s="16">
        <f t="shared" si="204"/>
        <v>0.51759159213561901</v>
      </c>
      <c r="BO238" s="16">
        <f t="shared" si="205"/>
        <v>1.5739488793159419E-2</v>
      </c>
      <c r="BP238" s="15"/>
      <c r="BQ238" s="38">
        <f t="shared" si="206"/>
        <v>0.93225699067909451</v>
      </c>
      <c r="BR238" s="38">
        <f t="shared" si="207"/>
        <v>0</v>
      </c>
      <c r="BS238" s="38">
        <f t="shared" si="208"/>
        <v>0.53942722636327978</v>
      </c>
      <c r="BT238" s="38">
        <f t="shared" si="209"/>
        <v>0</v>
      </c>
      <c r="BU238" s="38">
        <f t="shared" si="210"/>
        <v>5.9864562064115071E-3</v>
      </c>
      <c r="BV238" s="38">
        <f t="shared" si="211"/>
        <v>0</v>
      </c>
      <c r="BW238" s="38">
        <f t="shared" si="212"/>
        <v>0</v>
      </c>
      <c r="BX238" s="38">
        <f t="shared" si="213"/>
        <v>0.17689015691868759</v>
      </c>
      <c r="BY238" s="38">
        <f t="shared" si="214"/>
        <v>0.19619232010325913</v>
      </c>
      <c r="BZ238" s="38">
        <f t="shared" si="215"/>
        <v>5.9660297239915077E-3</v>
      </c>
      <c r="CA238" s="38">
        <f t="shared" si="216"/>
        <v>0</v>
      </c>
      <c r="CB238" s="38">
        <f t="shared" si="217"/>
        <v>0</v>
      </c>
      <c r="CC238" s="38">
        <f t="shared" si="218"/>
        <v>0</v>
      </c>
      <c r="CD238" s="38">
        <f t="shared" si="219"/>
        <v>1.856719179994724</v>
      </c>
      <c r="CE238" s="38">
        <f t="shared" si="220"/>
        <v>2.9576106089418328</v>
      </c>
      <c r="CF238" s="38">
        <f t="shared" si="221"/>
        <v>2.6929220389774868</v>
      </c>
      <c r="CG238" s="38">
        <f t="shared" si="222"/>
        <v>7.9646147915330872</v>
      </c>
      <c r="CH238" s="15"/>
      <c r="CI238" s="16"/>
      <c r="CJ238" s="13"/>
      <c r="CK238" s="104"/>
      <c r="CL238" s="13"/>
      <c r="CM238" s="13"/>
      <c r="CN238" s="13"/>
      <c r="CO238" s="16"/>
      <c r="CP238" s="16"/>
      <c r="CQ238" s="16"/>
      <c r="CR238" s="16"/>
      <c r="CS238" s="16"/>
      <c r="CT238" s="16"/>
      <c r="CU238" s="16"/>
      <c r="CV238" s="16"/>
      <c r="CW238" s="16"/>
      <c r="CX238" s="16"/>
      <c r="CY238" s="104"/>
      <c r="CZ238" s="104"/>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3"/>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row>
    <row r="239" spans="1:167" x14ac:dyDescent="0.25">
      <c r="A239" s="35" t="s">
        <v>254</v>
      </c>
      <c r="B239" s="15">
        <v>746</v>
      </c>
      <c r="C239" s="102" t="s">
        <v>95</v>
      </c>
      <c r="D239" s="102" t="s">
        <v>106</v>
      </c>
      <c r="E239" s="15">
        <v>257</v>
      </c>
      <c r="F239" s="16">
        <v>64.47</v>
      </c>
      <c r="G239" s="16">
        <v>0</v>
      </c>
      <c r="H239" s="16">
        <v>20.95</v>
      </c>
      <c r="I239" s="16">
        <v>0</v>
      </c>
      <c r="J239" s="16">
        <v>0.29604967155583556</v>
      </c>
      <c r="K239" s="16">
        <v>0</v>
      </c>
      <c r="L239" s="16">
        <v>0</v>
      </c>
      <c r="M239" s="16">
        <v>2.59</v>
      </c>
      <c r="N239" s="16">
        <v>8.73</v>
      </c>
      <c r="O239" s="16">
        <v>2.67</v>
      </c>
      <c r="P239" s="16"/>
      <c r="Q239" s="16"/>
      <c r="R239" s="16"/>
      <c r="S239" s="16">
        <f t="shared" si="168"/>
        <v>99.706049671555846</v>
      </c>
      <c r="T239" s="16"/>
      <c r="U239" s="15"/>
      <c r="V239" s="15"/>
      <c r="W239" s="15"/>
      <c r="X239" s="15" t="s">
        <v>187</v>
      </c>
      <c r="Y239" s="15"/>
      <c r="Z239" s="37">
        <v>8</v>
      </c>
      <c r="AA239" s="37">
        <v>5</v>
      </c>
      <c r="AB239" s="15"/>
      <c r="AC239" s="38">
        <f t="shared" si="169"/>
        <v>2.8787357618465834</v>
      </c>
      <c r="AD239" s="38">
        <f t="shared" si="170"/>
        <v>0</v>
      </c>
      <c r="AE239" s="38">
        <f t="shared" si="171"/>
        <v>1.1024483528390348</v>
      </c>
      <c r="AF239" s="38">
        <f t="shared" si="172"/>
        <v>0</v>
      </c>
      <c r="AG239" s="38">
        <f t="shared" si="173"/>
        <v>1.1053806755039169E-2</v>
      </c>
      <c r="AH239" s="38">
        <f t="shared" si="174"/>
        <v>0</v>
      </c>
      <c r="AI239" s="38">
        <f t="shared" si="175"/>
        <v>0</v>
      </c>
      <c r="AJ239" s="38">
        <f t="shared" si="176"/>
        <v>0.12389843362348965</v>
      </c>
      <c r="AK239" s="38">
        <f t="shared" si="177"/>
        <v>0.75573010718234268</v>
      </c>
      <c r="AL239" s="38">
        <f t="shared" si="178"/>
        <v>0.15207730615716292</v>
      </c>
      <c r="AM239" s="38">
        <f t="shared" si="179"/>
        <v>0</v>
      </c>
      <c r="AN239" s="38">
        <f t="shared" si="180"/>
        <v>0</v>
      </c>
      <c r="AO239" s="38">
        <f t="shared" si="181"/>
        <v>0</v>
      </c>
      <c r="AP239" s="38">
        <f t="shared" si="182"/>
        <v>5.0239437684036528</v>
      </c>
      <c r="AQ239" s="38">
        <f t="shared" si="183"/>
        <v>3.9811841146856182</v>
      </c>
      <c r="AR239" s="38">
        <f t="shared" si="184"/>
        <v>1.0317058469629952</v>
      </c>
      <c r="AS239" s="40"/>
      <c r="AT239" s="38">
        <f t="shared" si="185"/>
        <v>2.8650159063795568</v>
      </c>
      <c r="AU239" s="38">
        <f t="shared" si="186"/>
        <v>0</v>
      </c>
      <c r="AV239" s="38">
        <f t="shared" si="187"/>
        <v>1.0971941602655868</v>
      </c>
      <c r="AW239" s="38">
        <f t="shared" si="188"/>
        <v>0</v>
      </c>
      <c r="AX239" s="38">
        <f t="shared" si="189"/>
        <v>0</v>
      </c>
      <c r="AY239" s="38">
        <f t="shared" si="190"/>
        <v>1.1001125076835297E-2</v>
      </c>
      <c r="AZ239" s="38">
        <f t="shared" si="191"/>
        <v>0</v>
      </c>
      <c r="BA239" s="38">
        <f t="shared" si="192"/>
        <v>0</v>
      </c>
      <c r="BB239" s="38">
        <f t="shared" si="193"/>
        <v>0.12330794226112339</v>
      </c>
      <c r="BC239" s="38">
        <f t="shared" si="194"/>
        <v>0.75212834977895693</v>
      </c>
      <c r="BD239" s="38">
        <f t="shared" si="195"/>
        <v>0.15135251623794066</v>
      </c>
      <c r="BE239" s="38">
        <f t="shared" si="196"/>
        <v>0</v>
      </c>
      <c r="BF239" s="38">
        <f t="shared" si="197"/>
        <v>0</v>
      </c>
      <c r="BG239" s="38">
        <f t="shared" si="198"/>
        <v>0</v>
      </c>
      <c r="BH239" s="41">
        <f t="shared" si="199"/>
        <v>4.9999999999999991</v>
      </c>
      <c r="BI239" s="42">
        <f t="shared" si="200"/>
        <v>7.9673731160423182</v>
      </c>
      <c r="BJ239" s="38">
        <f t="shared" si="201"/>
        <v>3.9622100666451434</v>
      </c>
      <c r="BK239" s="38">
        <f t="shared" si="202"/>
        <v>1.026788808278021</v>
      </c>
      <c r="BL239" s="16"/>
      <c r="BM239" s="16">
        <f t="shared" si="203"/>
        <v>0.12009085146527583</v>
      </c>
      <c r="BN239" s="16">
        <f t="shared" si="204"/>
        <v>0.73250540297601796</v>
      </c>
      <c r="BO239" s="16">
        <f t="shared" si="205"/>
        <v>0.14740374555870631</v>
      </c>
      <c r="BP239" s="15"/>
      <c r="BQ239" s="38">
        <f t="shared" si="206"/>
        <v>1.073069241011984</v>
      </c>
      <c r="BR239" s="38">
        <f t="shared" si="207"/>
        <v>0</v>
      </c>
      <c r="BS239" s="38">
        <f t="shared" si="208"/>
        <v>0.41094546881129856</v>
      </c>
      <c r="BT239" s="38">
        <f t="shared" si="209"/>
        <v>0</v>
      </c>
      <c r="BU239" s="38">
        <f t="shared" si="210"/>
        <v>4.120385129517545E-3</v>
      </c>
      <c r="BV239" s="38">
        <f t="shared" si="211"/>
        <v>0</v>
      </c>
      <c r="BW239" s="38">
        <f t="shared" si="212"/>
        <v>0</v>
      </c>
      <c r="BX239" s="38">
        <f t="shared" si="213"/>
        <v>4.6184022824536375E-2</v>
      </c>
      <c r="BY239" s="38">
        <f t="shared" si="214"/>
        <v>0.28170377541142305</v>
      </c>
      <c r="BZ239" s="38">
        <f t="shared" si="215"/>
        <v>5.6687898089171969E-2</v>
      </c>
      <c r="CA239" s="38">
        <f t="shared" si="216"/>
        <v>0</v>
      </c>
      <c r="CB239" s="38">
        <f t="shared" si="217"/>
        <v>0</v>
      </c>
      <c r="CC239" s="38">
        <f t="shared" si="218"/>
        <v>0</v>
      </c>
      <c r="CD239" s="38">
        <f t="shared" si="219"/>
        <v>1.8727107912779315</v>
      </c>
      <c r="CE239" s="38">
        <f t="shared" si="220"/>
        <v>2.9820569299452671</v>
      </c>
      <c r="CF239" s="38">
        <f t="shared" si="221"/>
        <v>2.6699264100400772</v>
      </c>
      <c r="CG239" s="38">
        <f t="shared" si="222"/>
        <v>7.961872553503901</v>
      </c>
      <c r="CH239" s="15"/>
      <c r="CI239" s="16"/>
      <c r="CJ239" s="13"/>
      <c r="CK239" s="104"/>
      <c r="CL239" s="13"/>
      <c r="CM239" s="13"/>
      <c r="CN239" s="13"/>
      <c r="CO239" s="16"/>
      <c r="CP239" s="16"/>
      <c r="CQ239" s="16"/>
      <c r="CR239" s="16"/>
      <c r="CS239" s="16"/>
      <c r="CT239" s="16"/>
      <c r="CU239" s="16"/>
      <c r="CV239" s="16"/>
      <c r="CW239" s="16"/>
      <c r="CX239" s="16"/>
      <c r="CY239" s="104"/>
      <c r="CZ239" s="104"/>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3"/>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row>
    <row r="240" spans="1:167" x14ac:dyDescent="0.25">
      <c r="A240" s="35" t="s">
        <v>254</v>
      </c>
      <c r="B240" s="15">
        <v>747</v>
      </c>
      <c r="C240" s="102" t="s">
        <v>95</v>
      </c>
      <c r="D240" s="102" t="s">
        <v>106</v>
      </c>
      <c r="E240" s="15">
        <v>258</v>
      </c>
      <c r="F240" s="16">
        <v>60.34</v>
      </c>
      <c r="G240" s="16">
        <v>0</v>
      </c>
      <c r="H240" s="16">
        <v>23.62</v>
      </c>
      <c r="I240" s="16">
        <v>0</v>
      </c>
      <c r="J240" s="16">
        <v>0.1979663457212274</v>
      </c>
      <c r="K240" s="16">
        <v>0</v>
      </c>
      <c r="L240" s="16">
        <v>0</v>
      </c>
      <c r="M240" s="16">
        <v>5.55</v>
      </c>
      <c r="N240" s="16">
        <v>8.15</v>
      </c>
      <c r="O240" s="16">
        <v>0.85799999999999998</v>
      </c>
      <c r="P240" s="16"/>
      <c r="Q240" s="16"/>
      <c r="R240" s="16"/>
      <c r="S240" s="16">
        <f t="shared" si="168"/>
        <v>98.715966345721242</v>
      </c>
      <c r="T240" s="16"/>
      <c r="U240" s="15">
        <v>3</v>
      </c>
      <c r="V240" s="15"/>
      <c r="W240" s="15"/>
      <c r="X240" s="15" t="s">
        <v>185</v>
      </c>
      <c r="Y240" s="15"/>
      <c r="Z240" s="37">
        <v>8</v>
      </c>
      <c r="AA240" s="37">
        <v>5</v>
      </c>
      <c r="AB240" s="15"/>
      <c r="AC240" s="38">
        <f t="shared" si="169"/>
        <v>2.727338107734266</v>
      </c>
      <c r="AD240" s="38">
        <f t="shared" si="170"/>
        <v>0</v>
      </c>
      <c r="AE240" s="38">
        <f t="shared" si="171"/>
        <v>1.258182559965016</v>
      </c>
      <c r="AF240" s="38">
        <f t="shared" si="172"/>
        <v>0</v>
      </c>
      <c r="AG240" s="38">
        <f t="shared" si="173"/>
        <v>7.4821807061683501E-3</v>
      </c>
      <c r="AH240" s="38">
        <f t="shared" si="174"/>
        <v>0</v>
      </c>
      <c r="AI240" s="38">
        <f t="shared" si="175"/>
        <v>0</v>
      </c>
      <c r="AJ240" s="38">
        <f t="shared" si="176"/>
        <v>0.2687500644219562</v>
      </c>
      <c r="AK240" s="38">
        <f t="shared" si="177"/>
        <v>0.71416675791483997</v>
      </c>
      <c r="AL240" s="38">
        <f t="shared" si="178"/>
        <v>4.9468640996798353E-2</v>
      </c>
      <c r="AM240" s="38">
        <f t="shared" si="179"/>
        <v>0</v>
      </c>
      <c r="AN240" s="38">
        <f t="shared" si="180"/>
        <v>0</v>
      </c>
      <c r="AO240" s="38">
        <f t="shared" si="181"/>
        <v>0</v>
      </c>
      <c r="AP240" s="38">
        <f t="shared" si="182"/>
        <v>5.0253883117390439</v>
      </c>
      <c r="AQ240" s="38">
        <f t="shared" si="183"/>
        <v>3.9855206676992818</v>
      </c>
      <c r="AR240" s="38">
        <f t="shared" si="184"/>
        <v>1.0323854633335945</v>
      </c>
      <c r="AS240" s="40"/>
      <c r="AT240" s="38">
        <f t="shared" si="185"/>
        <v>2.7135595684848344</v>
      </c>
      <c r="AU240" s="38">
        <f t="shared" si="186"/>
        <v>0</v>
      </c>
      <c r="AV240" s="38">
        <f t="shared" si="187"/>
        <v>1.2518262091567804</v>
      </c>
      <c r="AW240" s="38">
        <f t="shared" si="188"/>
        <v>0</v>
      </c>
      <c r="AX240" s="38">
        <f t="shared" si="189"/>
        <v>0</v>
      </c>
      <c r="AY240" s="38">
        <f t="shared" si="190"/>
        <v>7.4443806548146405E-3</v>
      </c>
      <c r="AZ240" s="38">
        <f t="shared" si="191"/>
        <v>0</v>
      </c>
      <c r="BA240" s="38">
        <f t="shared" si="192"/>
        <v>0</v>
      </c>
      <c r="BB240" s="38">
        <f t="shared" si="193"/>
        <v>0.26739233642320748</v>
      </c>
      <c r="BC240" s="38">
        <f t="shared" si="194"/>
        <v>0.71055878034995201</v>
      </c>
      <c r="BD240" s="38">
        <f t="shared" si="195"/>
        <v>4.9218724930412037E-2</v>
      </c>
      <c r="BE240" s="38">
        <f t="shared" si="196"/>
        <v>0</v>
      </c>
      <c r="BF240" s="38">
        <f t="shared" si="197"/>
        <v>0</v>
      </c>
      <c r="BG240" s="38">
        <f t="shared" si="198"/>
        <v>0</v>
      </c>
      <c r="BH240" s="41">
        <f t="shared" si="199"/>
        <v>5.0000000000000018</v>
      </c>
      <c r="BI240" s="42">
        <f t="shared" si="200"/>
        <v>7.9633061107504508</v>
      </c>
      <c r="BJ240" s="38">
        <f t="shared" si="201"/>
        <v>3.9653857776416146</v>
      </c>
      <c r="BK240" s="38">
        <f t="shared" si="202"/>
        <v>1.0271698417035715</v>
      </c>
      <c r="BL240" s="16"/>
      <c r="BM240" s="16">
        <f t="shared" si="203"/>
        <v>0.26031949690007894</v>
      </c>
      <c r="BN240" s="16">
        <f t="shared" si="204"/>
        <v>0.69176367091491231</v>
      </c>
      <c r="BO240" s="16">
        <f t="shared" si="205"/>
        <v>4.7916832185008751E-2</v>
      </c>
      <c r="BP240" s="15"/>
      <c r="BQ240" s="38">
        <f t="shared" si="206"/>
        <v>1.0043275632490014</v>
      </c>
      <c r="BR240" s="38">
        <f t="shared" si="207"/>
        <v>0</v>
      </c>
      <c r="BS240" s="38">
        <f t="shared" si="208"/>
        <v>0.46331894860729705</v>
      </c>
      <c r="BT240" s="38">
        <f t="shared" si="209"/>
        <v>0</v>
      </c>
      <c r="BU240" s="38">
        <f t="shared" si="210"/>
        <v>2.7552727309843759E-3</v>
      </c>
      <c r="BV240" s="38">
        <f t="shared" si="211"/>
        <v>0</v>
      </c>
      <c r="BW240" s="38">
        <f t="shared" si="212"/>
        <v>0</v>
      </c>
      <c r="BX240" s="38">
        <f t="shared" si="213"/>
        <v>9.8965763195435097E-2</v>
      </c>
      <c r="BY240" s="38">
        <f t="shared" si="214"/>
        <v>0.26298806066473057</v>
      </c>
      <c r="BZ240" s="38">
        <f t="shared" si="215"/>
        <v>1.8216560509554138E-2</v>
      </c>
      <c r="CA240" s="38">
        <f t="shared" si="216"/>
        <v>0</v>
      </c>
      <c r="CB240" s="38">
        <f t="shared" si="217"/>
        <v>0</v>
      </c>
      <c r="CC240" s="38">
        <f t="shared" si="218"/>
        <v>0</v>
      </c>
      <c r="CD240" s="38">
        <f t="shared" si="219"/>
        <v>1.8505721689570025</v>
      </c>
      <c r="CE240" s="38">
        <f t="shared" si="220"/>
        <v>2.9459568959225102</v>
      </c>
      <c r="CF240" s="38">
        <f t="shared" si="221"/>
        <v>2.7018670678582835</v>
      </c>
      <c r="CG240" s="38">
        <f t="shared" si="222"/>
        <v>7.959583920423043</v>
      </c>
      <c r="CH240" s="15"/>
      <c r="CI240" s="16"/>
      <c r="CJ240" s="13"/>
      <c r="CK240" s="104"/>
      <c r="CL240" s="13"/>
      <c r="CM240" s="13"/>
      <c r="CN240" s="13"/>
      <c r="CO240" s="16"/>
      <c r="CP240" s="16"/>
      <c r="CQ240" s="16"/>
      <c r="CR240" s="16"/>
      <c r="CS240" s="16"/>
      <c r="CT240" s="16"/>
      <c r="CU240" s="16"/>
      <c r="CV240" s="16"/>
      <c r="CW240" s="16"/>
      <c r="CX240" s="16"/>
      <c r="CY240" s="104"/>
      <c r="CZ240" s="104"/>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3"/>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row>
    <row r="241" spans="1:167" x14ac:dyDescent="0.25">
      <c r="A241" s="35" t="s">
        <v>254</v>
      </c>
      <c r="B241" s="15">
        <v>748</v>
      </c>
      <c r="C241" s="102" t="s">
        <v>95</v>
      </c>
      <c r="D241" s="102" t="s">
        <v>106</v>
      </c>
      <c r="E241" s="15">
        <v>259</v>
      </c>
      <c r="F241" s="16">
        <v>64.540000000000006</v>
      </c>
      <c r="G241" s="16">
        <v>0</v>
      </c>
      <c r="H241" s="16">
        <v>21.11</v>
      </c>
      <c r="I241" s="16">
        <v>0</v>
      </c>
      <c r="J241" s="16">
        <v>0.25285701430756774</v>
      </c>
      <c r="K241" s="16">
        <v>0</v>
      </c>
      <c r="L241" s="16">
        <v>0</v>
      </c>
      <c r="M241" s="16">
        <v>2.69</v>
      </c>
      <c r="N241" s="16">
        <v>8.9499999999999993</v>
      </c>
      <c r="O241" s="16">
        <v>2.36</v>
      </c>
      <c r="P241" s="16"/>
      <c r="Q241" s="16"/>
      <c r="R241" s="16"/>
      <c r="S241" s="16">
        <f t="shared" si="168"/>
        <v>99.902857014307571</v>
      </c>
      <c r="T241" s="16"/>
      <c r="U241" s="15">
        <v>3</v>
      </c>
      <c r="V241" s="15"/>
      <c r="W241" s="15"/>
      <c r="X241" s="15" t="s">
        <v>186</v>
      </c>
      <c r="Y241" s="15"/>
      <c r="Z241" s="37">
        <v>8</v>
      </c>
      <c r="AA241" s="37">
        <v>5</v>
      </c>
      <c r="AB241" s="15"/>
      <c r="AC241" s="38">
        <f t="shared" si="169"/>
        <v>2.8736909000693323</v>
      </c>
      <c r="AD241" s="38">
        <f t="shared" si="170"/>
        <v>0</v>
      </c>
      <c r="AE241" s="38">
        <f t="shared" si="171"/>
        <v>1.1077185227246171</v>
      </c>
      <c r="AF241" s="38">
        <f t="shared" si="172"/>
        <v>0</v>
      </c>
      <c r="AG241" s="38">
        <f t="shared" si="173"/>
        <v>9.4143263409968512E-3</v>
      </c>
      <c r="AH241" s="38">
        <f t="shared" si="174"/>
        <v>0</v>
      </c>
      <c r="AI241" s="38">
        <f t="shared" si="175"/>
        <v>0</v>
      </c>
      <c r="AJ241" s="38">
        <f t="shared" si="176"/>
        <v>0.12831732301968599</v>
      </c>
      <c r="AK241" s="38">
        <f t="shared" si="177"/>
        <v>0.77257824505984918</v>
      </c>
      <c r="AL241" s="38">
        <f t="shared" si="178"/>
        <v>0.13403928776760524</v>
      </c>
      <c r="AM241" s="38">
        <f t="shared" si="179"/>
        <v>0</v>
      </c>
      <c r="AN241" s="38">
        <f t="shared" si="180"/>
        <v>0</v>
      </c>
      <c r="AO241" s="38">
        <f t="shared" si="181"/>
        <v>0</v>
      </c>
      <c r="AP241" s="38">
        <f t="shared" si="182"/>
        <v>5.0257586049820864</v>
      </c>
      <c r="AQ241" s="38">
        <f t="shared" si="183"/>
        <v>3.9814094227939494</v>
      </c>
      <c r="AR241" s="38">
        <f t="shared" si="184"/>
        <v>1.0349348558471405</v>
      </c>
      <c r="AS241" s="40"/>
      <c r="AT241" s="38">
        <f t="shared" si="185"/>
        <v>2.8589623238376514</v>
      </c>
      <c r="AU241" s="38">
        <f t="shared" si="186"/>
        <v>0</v>
      </c>
      <c r="AV241" s="38">
        <f t="shared" si="187"/>
        <v>1.102041114376767</v>
      </c>
      <c r="AW241" s="38">
        <f t="shared" si="188"/>
        <v>0</v>
      </c>
      <c r="AX241" s="38">
        <f t="shared" si="189"/>
        <v>0</v>
      </c>
      <c r="AY241" s="38">
        <f t="shared" si="190"/>
        <v>9.3660749360945528E-3</v>
      </c>
      <c r="AZ241" s="38">
        <f t="shared" si="191"/>
        <v>0</v>
      </c>
      <c r="BA241" s="38">
        <f t="shared" si="192"/>
        <v>0</v>
      </c>
      <c r="BB241" s="38">
        <f t="shared" si="193"/>
        <v>0.12765965608901678</v>
      </c>
      <c r="BC241" s="38">
        <f t="shared" si="194"/>
        <v>0.76861853680555237</v>
      </c>
      <c r="BD241" s="38">
        <f t="shared" si="195"/>
        <v>0.13335229395491727</v>
      </c>
      <c r="BE241" s="38">
        <f t="shared" si="196"/>
        <v>0</v>
      </c>
      <c r="BF241" s="38">
        <f t="shared" si="197"/>
        <v>0</v>
      </c>
      <c r="BG241" s="38">
        <f t="shared" si="198"/>
        <v>0</v>
      </c>
      <c r="BH241" s="41">
        <f t="shared" si="199"/>
        <v>4.9999999999999991</v>
      </c>
      <c r="BI241" s="42">
        <f t="shared" si="200"/>
        <v>7.9636805031138458</v>
      </c>
      <c r="BJ241" s="38">
        <f t="shared" si="201"/>
        <v>3.9610034382144184</v>
      </c>
      <c r="BK241" s="38">
        <f t="shared" si="202"/>
        <v>1.0296304868494863</v>
      </c>
      <c r="BL241" s="16"/>
      <c r="BM241" s="16">
        <f t="shared" si="203"/>
        <v>0.12398589369632596</v>
      </c>
      <c r="BN241" s="16">
        <f t="shared" si="204"/>
        <v>0.7464993962614771</v>
      </c>
      <c r="BO241" s="16">
        <f t="shared" si="205"/>
        <v>0.12951471004219689</v>
      </c>
      <c r="BP241" s="15"/>
      <c r="BQ241" s="38">
        <f t="shared" si="206"/>
        <v>1.0742343541944075</v>
      </c>
      <c r="BR241" s="38">
        <f t="shared" si="207"/>
        <v>0</v>
      </c>
      <c r="BS241" s="38">
        <f t="shared" si="208"/>
        <v>0.41408395449195762</v>
      </c>
      <c r="BT241" s="38">
        <f t="shared" si="209"/>
        <v>0</v>
      </c>
      <c r="BU241" s="38">
        <f t="shared" si="210"/>
        <v>3.5192347154845895E-3</v>
      </c>
      <c r="BV241" s="38">
        <f t="shared" si="211"/>
        <v>0</v>
      </c>
      <c r="BW241" s="38">
        <f t="shared" si="212"/>
        <v>0</v>
      </c>
      <c r="BX241" s="38">
        <f t="shared" si="213"/>
        <v>4.796718972895863E-2</v>
      </c>
      <c r="BY241" s="38">
        <f t="shared" si="214"/>
        <v>0.2888028396256857</v>
      </c>
      <c r="BZ241" s="38">
        <f t="shared" si="215"/>
        <v>5.0106157112526535E-2</v>
      </c>
      <c r="CA241" s="38">
        <f t="shared" si="216"/>
        <v>0</v>
      </c>
      <c r="CB241" s="38">
        <f t="shared" si="217"/>
        <v>0</v>
      </c>
      <c r="CC241" s="38">
        <f t="shared" si="218"/>
        <v>0</v>
      </c>
      <c r="CD241" s="38">
        <f t="shared" si="219"/>
        <v>1.8787137298690206</v>
      </c>
      <c r="CE241" s="38">
        <f t="shared" si="220"/>
        <v>2.9905355629403005</v>
      </c>
      <c r="CF241" s="38">
        <f t="shared" si="221"/>
        <v>2.6613953581680523</v>
      </c>
      <c r="CG241" s="38">
        <f t="shared" si="222"/>
        <v>7.9589974656457994</v>
      </c>
      <c r="CH241" s="15"/>
      <c r="CI241" s="16"/>
      <c r="CJ241" s="13"/>
      <c r="CK241" s="104"/>
      <c r="CL241" s="13"/>
      <c r="CM241" s="13"/>
      <c r="CN241" s="13"/>
      <c r="CO241" s="16"/>
      <c r="CP241" s="16"/>
      <c r="CQ241" s="16"/>
      <c r="CR241" s="16"/>
      <c r="CS241" s="16"/>
      <c r="CT241" s="16"/>
      <c r="CU241" s="16"/>
      <c r="CV241" s="16"/>
      <c r="CW241" s="16"/>
      <c r="CX241" s="16"/>
      <c r="CY241" s="104"/>
      <c r="CZ241" s="104"/>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3"/>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row>
    <row r="242" spans="1:167" x14ac:dyDescent="0.25">
      <c r="A242" s="35" t="s">
        <v>254</v>
      </c>
      <c r="B242" s="15">
        <v>749</v>
      </c>
      <c r="C242" s="102" t="s">
        <v>95</v>
      </c>
      <c r="D242" s="102" t="s">
        <v>106</v>
      </c>
      <c r="E242" s="15">
        <v>260</v>
      </c>
      <c r="F242" s="16">
        <v>54.58</v>
      </c>
      <c r="G242" s="16">
        <v>0</v>
      </c>
      <c r="H242" s="16">
        <v>28.15</v>
      </c>
      <c r="I242" s="16">
        <v>0</v>
      </c>
      <c r="J242" s="16">
        <v>0.52101142805723022</v>
      </c>
      <c r="K242" s="16">
        <v>0</v>
      </c>
      <c r="L242" s="16">
        <v>0</v>
      </c>
      <c r="M242" s="16">
        <v>10.8</v>
      </c>
      <c r="N242" s="16">
        <v>5.44</v>
      </c>
      <c r="O242" s="16">
        <v>0.26500000000000001</v>
      </c>
      <c r="P242" s="16"/>
      <c r="Q242" s="16"/>
      <c r="R242" s="16"/>
      <c r="S242" s="16">
        <f t="shared" si="168"/>
        <v>99.756011428057221</v>
      </c>
      <c r="T242" s="16"/>
      <c r="U242" s="15">
        <v>4</v>
      </c>
      <c r="V242" s="15">
        <v>1</v>
      </c>
      <c r="W242" s="15">
        <v>0</v>
      </c>
      <c r="X242" s="15" t="s">
        <v>185</v>
      </c>
      <c r="Y242" s="15"/>
      <c r="Z242" s="37">
        <v>8</v>
      </c>
      <c r="AA242" s="37">
        <v>5</v>
      </c>
      <c r="AB242" s="15"/>
      <c r="AC242" s="38">
        <f t="shared" si="169"/>
        <v>2.4756979900806528</v>
      </c>
      <c r="AD242" s="38">
        <f t="shared" si="170"/>
        <v>0</v>
      </c>
      <c r="AE242" s="38">
        <f t="shared" si="171"/>
        <v>1.5047786639900762</v>
      </c>
      <c r="AF242" s="38">
        <f t="shared" si="172"/>
        <v>0</v>
      </c>
      <c r="AG242" s="38">
        <f t="shared" si="173"/>
        <v>1.9761255514213344E-2</v>
      </c>
      <c r="AH242" s="38">
        <f t="shared" si="174"/>
        <v>0</v>
      </c>
      <c r="AI242" s="38">
        <f t="shared" si="175"/>
        <v>0</v>
      </c>
      <c r="AJ242" s="38">
        <f t="shared" si="176"/>
        <v>0.52481931162429218</v>
      </c>
      <c r="AK242" s="38">
        <f t="shared" si="177"/>
        <v>0.47837819983042107</v>
      </c>
      <c r="AL242" s="38">
        <f t="shared" si="178"/>
        <v>1.5332713599730541E-2</v>
      </c>
      <c r="AM242" s="38">
        <f t="shared" si="179"/>
        <v>0</v>
      </c>
      <c r="AN242" s="38">
        <f t="shared" si="180"/>
        <v>0</v>
      </c>
      <c r="AO242" s="38">
        <f t="shared" si="181"/>
        <v>0</v>
      </c>
      <c r="AP242" s="38">
        <f t="shared" si="182"/>
        <v>5.0187681346393864</v>
      </c>
      <c r="AQ242" s="38">
        <f t="shared" si="183"/>
        <v>3.980476654070729</v>
      </c>
      <c r="AR242" s="38">
        <f t="shared" si="184"/>
        <v>1.0185302250544439</v>
      </c>
      <c r="AS242" s="40"/>
      <c r="AT242" s="38">
        <f t="shared" si="185"/>
        <v>2.4664398948752582</v>
      </c>
      <c r="AU242" s="38">
        <f t="shared" si="186"/>
        <v>0</v>
      </c>
      <c r="AV242" s="38">
        <f t="shared" si="187"/>
        <v>1.4991514088926912</v>
      </c>
      <c r="AW242" s="38">
        <f t="shared" si="188"/>
        <v>0</v>
      </c>
      <c r="AX242" s="38">
        <f t="shared" si="189"/>
        <v>0</v>
      </c>
      <c r="AY242" s="38">
        <f t="shared" si="190"/>
        <v>1.9687356522631271E-2</v>
      </c>
      <c r="AZ242" s="38">
        <f t="shared" si="191"/>
        <v>0</v>
      </c>
      <c r="BA242" s="38">
        <f t="shared" si="192"/>
        <v>0</v>
      </c>
      <c r="BB242" s="38">
        <f t="shared" si="193"/>
        <v>0.52285670262589445</v>
      </c>
      <c r="BC242" s="38">
        <f t="shared" si="194"/>
        <v>0.47658926154474951</v>
      </c>
      <c r="BD242" s="38">
        <f t="shared" si="195"/>
        <v>1.5275375538774756E-2</v>
      </c>
      <c r="BE242" s="38">
        <f t="shared" si="196"/>
        <v>0</v>
      </c>
      <c r="BF242" s="38">
        <f t="shared" si="197"/>
        <v>0</v>
      </c>
      <c r="BG242" s="38">
        <f t="shared" si="198"/>
        <v>0</v>
      </c>
      <c r="BH242" s="41">
        <f t="shared" si="199"/>
        <v>4.9999999999999991</v>
      </c>
      <c r="BI242" s="42">
        <f t="shared" si="200"/>
        <v>7.9799269590411566</v>
      </c>
      <c r="BJ242" s="38">
        <f t="shared" si="201"/>
        <v>3.9655913037679493</v>
      </c>
      <c r="BK242" s="38">
        <f t="shared" si="202"/>
        <v>1.0147213397094186</v>
      </c>
      <c r="BL242" s="16"/>
      <c r="BM242" s="16">
        <f t="shared" si="203"/>
        <v>0.51527121995445824</v>
      </c>
      <c r="BN242" s="16">
        <f t="shared" si="204"/>
        <v>0.46967501608000894</v>
      </c>
      <c r="BO242" s="16">
        <f t="shared" si="205"/>
        <v>1.5053763965532742E-2</v>
      </c>
      <c r="BP242" s="15"/>
      <c r="BQ242" s="38">
        <f t="shared" si="206"/>
        <v>0.9084553928095872</v>
      </c>
      <c r="BR242" s="38">
        <f t="shared" si="207"/>
        <v>0</v>
      </c>
      <c r="BS242" s="38">
        <f t="shared" si="208"/>
        <v>0.55217732444095724</v>
      </c>
      <c r="BT242" s="38">
        <f t="shared" si="209"/>
        <v>0</v>
      </c>
      <c r="BU242" s="38">
        <f t="shared" si="210"/>
        <v>7.2513768692725154E-3</v>
      </c>
      <c r="BV242" s="38">
        <f t="shared" si="211"/>
        <v>0</v>
      </c>
      <c r="BW242" s="38">
        <f t="shared" si="212"/>
        <v>0</v>
      </c>
      <c r="BX242" s="38">
        <f t="shared" si="213"/>
        <v>0.19258202567760344</v>
      </c>
      <c r="BY242" s="38">
        <f t="shared" si="214"/>
        <v>0.17554049693449503</v>
      </c>
      <c r="BZ242" s="38">
        <f t="shared" si="215"/>
        <v>5.6263269639065822E-3</v>
      </c>
      <c r="CA242" s="38">
        <f t="shared" si="216"/>
        <v>0</v>
      </c>
      <c r="CB242" s="38">
        <f t="shared" si="217"/>
        <v>0</v>
      </c>
      <c r="CC242" s="38">
        <f t="shared" si="218"/>
        <v>0</v>
      </c>
      <c r="CD242" s="38">
        <f t="shared" si="219"/>
        <v>1.8416329436958221</v>
      </c>
      <c r="CE242" s="38">
        <f t="shared" si="220"/>
        <v>2.9355935867766867</v>
      </c>
      <c r="CF242" s="38">
        <f t="shared" si="221"/>
        <v>2.7149818410426074</v>
      </c>
      <c r="CG242" s="38">
        <f t="shared" si="222"/>
        <v>7.9700832807798401</v>
      </c>
      <c r="CH242" s="15"/>
      <c r="CI242" s="16"/>
      <c r="CJ242" s="13"/>
      <c r="CK242" s="104"/>
      <c r="CL242" s="13"/>
      <c r="CM242" s="13"/>
      <c r="CN242" s="13"/>
      <c r="CO242" s="16"/>
      <c r="CP242" s="16"/>
      <c r="CQ242" s="16"/>
      <c r="CR242" s="16"/>
      <c r="CS242" s="16"/>
      <c r="CT242" s="16"/>
      <c r="CU242" s="16"/>
      <c r="CV242" s="16"/>
      <c r="CW242" s="16"/>
      <c r="CX242" s="16"/>
      <c r="CY242" s="104"/>
      <c r="CZ242" s="104"/>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3"/>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row>
    <row r="243" spans="1:167" x14ac:dyDescent="0.25">
      <c r="A243" s="35" t="s">
        <v>254</v>
      </c>
      <c r="B243" s="15">
        <v>750</v>
      </c>
      <c r="C243" s="102" t="s">
        <v>95</v>
      </c>
      <c r="D243" s="102" t="s">
        <v>106</v>
      </c>
      <c r="E243" s="15">
        <v>261</v>
      </c>
      <c r="F243" s="16">
        <v>55.2</v>
      </c>
      <c r="G243" s="16">
        <v>0</v>
      </c>
      <c r="H243" s="16">
        <v>27.84</v>
      </c>
      <c r="I243" s="16">
        <v>0</v>
      </c>
      <c r="J243" s="16">
        <v>0.46162152434086207</v>
      </c>
      <c r="K243" s="16">
        <v>0</v>
      </c>
      <c r="L243" s="16">
        <v>0</v>
      </c>
      <c r="M243" s="16">
        <v>10.57</v>
      </c>
      <c r="N243" s="16">
        <v>5.84</v>
      </c>
      <c r="O243" s="16">
        <v>0.27100000000000002</v>
      </c>
      <c r="P243" s="16"/>
      <c r="Q243" s="16"/>
      <c r="R243" s="16"/>
      <c r="S243" s="16">
        <f t="shared" si="168"/>
        <v>100.18262152434086</v>
      </c>
      <c r="T243" s="16"/>
      <c r="U243" s="15">
        <v>4</v>
      </c>
      <c r="V243" s="15">
        <v>2</v>
      </c>
      <c r="W243" s="15">
        <v>6.5</v>
      </c>
      <c r="X243" s="15" t="s">
        <v>185</v>
      </c>
      <c r="Y243" s="15"/>
      <c r="Z243" s="37">
        <v>8</v>
      </c>
      <c r="AA243" s="37">
        <v>5</v>
      </c>
      <c r="AB243" s="15"/>
      <c r="AC243" s="38">
        <f t="shared" si="169"/>
        <v>2.492690730338484</v>
      </c>
      <c r="AD243" s="38">
        <f t="shared" si="170"/>
        <v>0</v>
      </c>
      <c r="AE243" s="38">
        <f t="shared" si="171"/>
        <v>1.4815920696209417</v>
      </c>
      <c r="AF243" s="38">
        <f t="shared" si="172"/>
        <v>0</v>
      </c>
      <c r="AG243" s="38">
        <f t="shared" si="173"/>
        <v>1.743084829872097E-2</v>
      </c>
      <c r="AH243" s="38">
        <f t="shared" si="174"/>
        <v>0</v>
      </c>
      <c r="AI243" s="38">
        <f t="shared" si="175"/>
        <v>0</v>
      </c>
      <c r="AJ243" s="38">
        <f t="shared" si="176"/>
        <v>0.51135938064095832</v>
      </c>
      <c r="AK243" s="38">
        <f t="shared" si="177"/>
        <v>0.51127024204852134</v>
      </c>
      <c r="AL243" s="38">
        <f t="shared" si="178"/>
        <v>1.5610169855356123E-2</v>
      </c>
      <c r="AM243" s="38">
        <f t="shared" si="179"/>
        <v>0</v>
      </c>
      <c r="AN243" s="38">
        <f t="shared" si="180"/>
        <v>0</v>
      </c>
      <c r="AO243" s="38">
        <f t="shared" si="181"/>
        <v>0</v>
      </c>
      <c r="AP243" s="38">
        <f t="shared" si="182"/>
        <v>5.0299534408029825</v>
      </c>
      <c r="AQ243" s="38">
        <f t="shared" si="183"/>
        <v>3.9742827999594255</v>
      </c>
      <c r="AR243" s="38">
        <f t="shared" si="184"/>
        <v>1.0382397925448359</v>
      </c>
      <c r="AS243" s="40"/>
      <c r="AT243" s="38">
        <f t="shared" si="185"/>
        <v>2.4778467233093817</v>
      </c>
      <c r="AU243" s="38">
        <f t="shared" si="186"/>
        <v>0</v>
      </c>
      <c r="AV243" s="38">
        <f t="shared" si="187"/>
        <v>1.4727691687981312</v>
      </c>
      <c r="AW243" s="38">
        <f t="shared" si="188"/>
        <v>0</v>
      </c>
      <c r="AX243" s="38">
        <f t="shared" si="189"/>
        <v>0</v>
      </c>
      <c r="AY243" s="38">
        <f t="shared" si="190"/>
        <v>1.7327047361235918E-2</v>
      </c>
      <c r="AZ243" s="38">
        <f t="shared" si="191"/>
        <v>0</v>
      </c>
      <c r="BA243" s="38">
        <f t="shared" si="192"/>
        <v>0</v>
      </c>
      <c r="BB243" s="38">
        <f t="shared" si="193"/>
        <v>0.50831422860976305</v>
      </c>
      <c r="BC243" s="38">
        <f t="shared" si="194"/>
        <v>0.50822562083885026</v>
      </c>
      <c r="BD243" s="38">
        <f t="shared" si="195"/>
        <v>1.5517211082637887E-2</v>
      </c>
      <c r="BE243" s="38">
        <f t="shared" si="196"/>
        <v>0</v>
      </c>
      <c r="BF243" s="38">
        <f t="shared" si="197"/>
        <v>0</v>
      </c>
      <c r="BG243" s="38">
        <f t="shared" si="198"/>
        <v>0</v>
      </c>
      <c r="BH243" s="41">
        <f t="shared" si="199"/>
        <v>5</v>
      </c>
      <c r="BI243" s="42">
        <f t="shared" si="200"/>
        <v>7.9610234154283219</v>
      </c>
      <c r="BJ243" s="38">
        <f t="shared" si="201"/>
        <v>3.9506158921075132</v>
      </c>
      <c r="BK243" s="38">
        <f t="shared" si="202"/>
        <v>1.0320570605312511</v>
      </c>
      <c r="BL243" s="16"/>
      <c r="BM243" s="16">
        <f t="shared" si="203"/>
        <v>0.49252531478066569</v>
      </c>
      <c r="BN243" s="16">
        <f t="shared" si="204"/>
        <v>0.49243945928458754</v>
      </c>
      <c r="BO243" s="16">
        <f t="shared" si="205"/>
        <v>1.5035225934746673E-2</v>
      </c>
      <c r="BP243" s="15"/>
      <c r="BQ243" s="38">
        <f t="shared" si="206"/>
        <v>0.91877496671105197</v>
      </c>
      <c r="BR243" s="38">
        <f t="shared" si="207"/>
        <v>0</v>
      </c>
      <c r="BS243" s="38">
        <f t="shared" si="208"/>
        <v>0.54609650843468027</v>
      </c>
      <c r="BT243" s="38">
        <f t="shared" si="209"/>
        <v>0</v>
      </c>
      <c r="BU243" s="38">
        <f t="shared" si="210"/>
        <v>6.4247950499772043E-3</v>
      </c>
      <c r="BV243" s="38">
        <f t="shared" si="211"/>
        <v>0</v>
      </c>
      <c r="BW243" s="38">
        <f t="shared" si="212"/>
        <v>0</v>
      </c>
      <c r="BX243" s="38">
        <f t="shared" si="213"/>
        <v>0.18848074179743224</v>
      </c>
      <c r="BY243" s="38">
        <f t="shared" si="214"/>
        <v>0.18844788641497257</v>
      </c>
      <c r="BZ243" s="38">
        <f t="shared" si="215"/>
        <v>5.7537154989384292E-3</v>
      </c>
      <c r="CA243" s="38">
        <f t="shared" si="216"/>
        <v>0</v>
      </c>
      <c r="CB243" s="38">
        <f t="shared" si="217"/>
        <v>0</v>
      </c>
      <c r="CC243" s="38">
        <f t="shared" si="218"/>
        <v>0</v>
      </c>
      <c r="CD243" s="38">
        <f t="shared" si="219"/>
        <v>1.8539786139070527</v>
      </c>
      <c r="CE243" s="38">
        <f t="shared" si="220"/>
        <v>2.9487010338784896</v>
      </c>
      <c r="CF243" s="38">
        <f t="shared" si="221"/>
        <v>2.6969027379787618</v>
      </c>
      <c r="CG243" s="38">
        <f t="shared" si="222"/>
        <v>7.9523598917477045</v>
      </c>
      <c r="CH243" s="15"/>
      <c r="CI243" s="16"/>
      <c r="CJ243" s="13"/>
      <c r="CK243" s="104"/>
      <c r="CL243" s="13"/>
      <c r="CM243" s="13"/>
      <c r="CN243" s="13"/>
      <c r="CO243" s="16"/>
      <c r="CP243" s="16"/>
      <c r="CQ243" s="16"/>
      <c r="CR243" s="16"/>
      <c r="CS243" s="16"/>
      <c r="CT243" s="16"/>
      <c r="CU243" s="16"/>
      <c r="CV243" s="16"/>
      <c r="CW243" s="16"/>
      <c r="CX243" s="16"/>
      <c r="CY243" s="104"/>
      <c r="CZ243" s="104"/>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3"/>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row>
    <row r="244" spans="1:167" x14ac:dyDescent="0.25">
      <c r="A244" s="35" t="s">
        <v>254</v>
      </c>
      <c r="B244" s="15">
        <v>751</v>
      </c>
      <c r="C244" s="102" t="s">
        <v>95</v>
      </c>
      <c r="D244" s="102" t="s">
        <v>106</v>
      </c>
      <c r="E244" s="15">
        <v>262</v>
      </c>
      <c r="F244" s="16">
        <v>55.83</v>
      </c>
      <c r="G244" s="16">
        <v>0</v>
      </c>
      <c r="H244" s="16">
        <v>27.24</v>
      </c>
      <c r="I244" s="16">
        <v>0</v>
      </c>
      <c r="J244" s="16">
        <v>0.33834248177809773</v>
      </c>
      <c r="K244" s="16">
        <v>0</v>
      </c>
      <c r="L244" s="16">
        <v>0</v>
      </c>
      <c r="M244" s="16">
        <v>9.9700000000000006</v>
      </c>
      <c r="N244" s="16">
        <v>6.07</v>
      </c>
      <c r="O244" s="16">
        <v>0.314</v>
      </c>
      <c r="P244" s="16"/>
      <c r="Q244" s="16"/>
      <c r="R244" s="16"/>
      <c r="S244" s="16">
        <f t="shared" si="168"/>
        <v>99.762342481778091</v>
      </c>
      <c r="T244" s="16"/>
      <c r="U244" s="15">
        <v>4</v>
      </c>
      <c r="V244" s="15">
        <v>3</v>
      </c>
      <c r="W244" s="15">
        <v>13</v>
      </c>
      <c r="X244" s="15" t="s">
        <v>185</v>
      </c>
      <c r="Y244" s="15"/>
      <c r="Z244" s="37">
        <v>8</v>
      </c>
      <c r="AA244" s="37">
        <v>5</v>
      </c>
      <c r="AB244" s="15"/>
      <c r="AC244" s="38">
        <f t="shared" si="169"/>
        <v>2.5253615958262796</v>
      </c>
      <c r="AD244" s="38">
        <f t="shared" si="170"/>
        <v>0</v>
      </c>
      <c r="AE244" s="38">
        <f t="shared" si="171"/>
        <v>1.4520886804229423</v>
      </c>
      <c r="AF244" s="38">
        <f t="shared" si="172"/>
        <v>0</v>
      </c>
      <c r="AG244" s="38">
        <f t="shared" si="173"/>
        <v>1.2797219701750221E-2</v>
      </c>
      <c r="AH244" s="38">
        <f t="shared" si="174"/>
        <v>0</v>
      </c>
      <c r="AI244" s="38">
        <f t="shared" si="175"/>
        <v>0</v>
      </c>
      <c r="AJ244" s="38">
        <f t="shared" si="176"/>
        <v>0.48314002917204568</v>
      </c>
      <c r="AK244" s="38">
        <f t="shared" si="177"/>
        <v>0.53229573041268929</v>
      </c>
      <c r="AL244" s="38">
        <f t="shared" si="178"/>
        <v>1.8117347265776209E-2</v>
      </c>
      <c r="AM244" s="38">
        <f t="shared" si="179"/>
        <v>0</v>
      </c>
      <c r="AN244" s="38">
        <f t="shared" si="180"/>
        <v>0</v>
      </c>
      <c r="AO244" s="38">
        <f t="shared" si="181"/>
        <v>0</v>
      </c>
      <c r="AP244" s="38">
        <f t="shared" si="182"/>
        <v>5.023800602801483</v>
      </c>
      <c r="AQ244" s="38">
        <f t="shared" si="183"/>
        <v>3.9774502762492219</v>
      </c>
      <c r="AR244" s="38">
        <f t="shared" si="184"/>
        <v>1.0335531068505113</v>
      </c>
      <c r="AS244" s="40"/>
      <c r="AT244" s="38">
        <f t="shared" si="185"/>
        <v>2.5133975206122146</v>
      </c>
      <c r="AU244" s="38">
        <f t="shared" si="186"/>
        <v>0</v>
      </c>
      <c r="AV244" s="38">
        <f t="shared" si="187"/>
        <v>1.4452093098730832</v>
      </c>
      <c r="AW244" s="38">
        <f t="shared" si="188"/>
        <v>0</v>
      </c>
      <c r="AX244" s="38">
        <f t="shared" si="189"/>
        <v>0</v>
      </c>
      <c r="AY244" s="38">
        <f t="shared" si="190"/>
        <v>1.2736591988358326E-2</v>
      </c>
      <c r="AZ244" s="38">
        <f t="shared" si="191"/>
        <v>0</v>
      </c>
      <c r="BA244" s="38">
        <f t="shared" si="192"/>
        <v>0</v>
      </c>
      <c r="BB244" s="38">
        <f t="shared" si="193"/>
        <v>0.48085111986991125</v>
      </c>
      <c r="BC244" s="38">
        <f t="shared" si="194"/>
        <v>0.52977394257632227</v>
      </c>
      <c r="BD244" s="38">
        <f t="shared" si="195"/>
        <v>1.8031515080110076E-2</v>
      </c>
      <c r="BE244" s="38">
        <f t="shared" si="196"/>
        <v>0</v>
      </c>
      <c r="BF244" s="38">
        <f t="shared" si="197"/>
        <v>0</v>
      </c>
      <c r="BG244" s="38">
        <f t="shared" si="198"/>
        <v>0</v>
      </c>
      <c r="BH244" s="41">
        <f t="shared" si="199"/>
        <v>5</v>
      </c>
      <c r="BI244" s="42">
        <f t="shared" si="200"/>
        <v>7.9684677427147195</v>
      </c>
      <c r="BJ244" s="38">
        <f t="shared" si="201"/>
        <v>3.9586068304852979</v>
      </c>
      <c r="BK244" s="38">
        <f t="shared" si="202"/>
        <v>1.0286565775263437</v>
      </c>
      <c r="BL244" s="16"/>
      <c r="BM244" s="16">
        <f t="shared" si="203"/>
        <v>0.46745544662362959</v>
      </c>
      <c r="BN244" s="16">
        <f t="shared" si="204"/>
        <v>0.5150153648463448</v>
      </c>
      <c r="BO244" s="16">
        <f t="shared" si="205"/>
        <v>1.7529188530025507E-2</v>
      </c>
      <c r="BP244" s="15"/>
      <c r="BQ244" s="38">
        <f t="shared" si="206"/>
        <v>0.92926098535286283</v>
      </c>
      <c r="BR244" s="38">
        <f t="shared" si="207"/>
        <v>0</v>
      </c>
      <c r="BS244" s="38">
        <f t="shared" si="208"/>
        <v>0.53432718713220873</v>
      </c>
      <c r="BT244" s="38">
        <f t="shared" si="209"/>
        <v>0</v>
      </c>
      <c r="BU244" s="38">
        <f t="shared" si="210"/>
        <v>4.7090115765914785E-3</v>
      </c>
      <c r="BV244" s="38">
        <f t="shared" si="211"/>
        <v>0</v>
      </c>
      <c r="BW244" s="38">
        <f t="shared" si="212"/>
        <v>0</v>
      </c>
      <c r="BX244" s="38">
        <f t="shared" si="213"/>
        <v>0.17778174037089872</v>
      </c>
      <c r="BY244" s="38">
        <f t="shared" si="214"/>
        <v>0.19586963536624719</v>
      </c>
      <c r="BZ244" s="38">
        <f t="shared" si="215"/>
        <v>6.6666666666666662E-3</v>
      </c>
      <c r="CA244" s="38">
        <f t="shared" si="216"/>
        <v>0</v>
      </c>
      <c r="CB244" s="38">
        <f t="shared" si="217"/>
        <v>0</v>
      </c>
      <c r="CC244" s="38">
        <f t="shared" si="218"/>
        <v>0</v>
      </c>
      <c r="CD244" s="38">
        <f t="shared" si="219"/>
        <v>1.8486152264654758</v>
      </c>
      <c r="CE244" s="38">
        <f t="shared" si="220"/>
        <v>2.9437716543679855</v>
      </c>
      <c r="CF244" s="38">
        <f t="shared" si="221"/>
        <v>2.7047272620165117</v>
      </c>
      <c r="CG244" s="38">
        <f t="shared" si="222"/>
        <v>7.9620994467205382</v>
      </c>
      <c r="CH244" s="15"/>
      <c r="CI244" s="16"/>
      <c r="CJ244" s="13"/>
      <c r="CK244" s="104"/>
      <c r="CL244" s="13"/>
      <c r="CM244" s="13"/>
      <c r="CN244" s="13"/>
      <c r="CO244" s="16"/>
      <c r="CP244" s="16"/>
      <c r="CQ244" s="16"/>
      <c r="CR244" s="16"/>
      <c r="CS244" s="16"/>
      <c r="CT244" s="16"/>
      <c r="CU244" s="16"/>
      <c r="CV244" s="16"/>
      <c r="CW244" s="16"/>
      <c r="CX244" s="16"/>
      <c r="CY244" s="104"/>
      <c r="CZ244" s="104"/>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3"/>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row>
    <row r="245" spans="1:167" x14ac:dyDescent="0.25">
      <c r="A245" s="35" t="s">
        <v>254</v>
      </c>
      <c r="B245" s="15">
        <v>752</v>
      </c>
      <c r="C245" s="102" t="s">
        <v>95</v>
      </c>
      <c r="D245" s="102" t="s">
        <v>106</v>
      </c>
      <c r="E245" s="15">
        <v>263</v>
      </c>
      <c r="F245" s="16">
        <v>56.95</v>
      </c>
      <c r="G245" s="16">
        <v>0</v>
      </c>
      <c r="H245" s="16">
        <v>26.92</v>
      </c>
      <c r="I245" s="16">
        <v>0</v>
      </c>
      <c r="J245" s="16">
        <v>0.36263835148024842</v>
      </c>
      <c r="K245" s="16">
        <v>0</v>
      </c>
      <c r="L245" s="16">
        <v>0</v>
      </c>
      <c r="M245" s="16">
        <v>8.98</v>
      </c>
      <c r="N245" s="16">
        <v>6.62</v>
      </c>
      <c r="O245" s="16">
        <v>0.373</v>
      </c>
      <c r="P245" s="16"/>
      <c r="Q245" s="16"/>
      <c r="R245" s="16"/>
      <c r="S245" s="16">
        <f t="shared" si="168"/>
        <v>100.20563835148026</v>
      </c>
      <c r="T245" s="16"/>
      <c r="U245" s="15">
        <v>4</v>
      </c>
      <c r="V245" s="15">
        <v>4</v>
      </c>
      <c r="W245" s="15">
        <v>19.5</v>
      </c>
      <c r="X245" s="15" t="s">
        <v>258</v>
      </c>
      <c r="Y245" s="15"/>
      <c r="Z245" s="37">
        <v>8</v>
      </c>
      <c r="AA245" s="37">
        <v>5</v>
      </c>
      <c r="AB245" s="15"/>
      <c r="AC245" s="38">
        <f t="shared" si="169"/>
        <v>2.5585933567969468</v>
      </c>
      <c r="AD245" s="38">
        <f t="shared" si="170"/>
        <v>0</v>
      </c>
      <c r="AE245" s="38">
        <f t="shared" si="171"/>
        <v>1.4253210133367136</v>
      </c>
      <c r="AF245" s="38">
        <f t="shared" si="172"/>
        <v>0</v>
      </c>
      <c r="AG245" s="38">
        <f t="shared" si="173"/>
        <v>1.3623365952306739E-2</v>
      </c>
      <c r="AH245" s="38">
        <f t="shared" si="174"/>
        <v>0</v>
      </c>
      <c r="AI245" s="38">
        <f t="shared" si="175"/>
        <v>0</v>
      </c>
      <c r="AJ245" s="38">
        <f t="shared" si="176"/>
        <v>0.4322209317523687</v>
      </c>
      <c r="AK245" s="38">
        <f t="shared" si="177"/>
        <v>0.57659898920153907</v>
      </c>
      <c r="AL245" s="38">
        <f t="shared" si="178"/>
        <v>2.137594819118439E-2</v>
      </c>
      <c r="AM245" s="38">
        <f t="shared" si="179"/>
        <v>0</v>
      </c>
      <c r="AN245" s="38">
        <f t="shared" si="180"/>
        <v>0</v>
      </c>
      <c r="AO245" s="38">
        <f t="shared" si="181"/>
        <v>0</v>
      </c>
      <c r="AP245" s="38">
        <f t="shared" si="182"/>
        <v>5.0277336052310586</v>
      </c>
      <c r="AQ245" s="38">
        <f t="shared" si="183"/>
        <v>3.9839143701336601</v>
      </c>
      <c r="AR245" s="38">
        <f t="shared" si="184"/>
        <v>1.0301958691450921</v>
      </c>
      <c r="AS245" s="40"/>
      <c r="AT245" s="38">
        <f t="shared" si="185"/>
        <v>2.5444798369337649</v>
      </c>
      <c r="AU245" s="38">
        <f t="shared" si="186"/>
        <v>0</v>
      </c>
      <c r="AV245" s="38">
        <f t="shared" si="187"/>
        <v>1.4174587649729009</v>
      </c>
      <c r="AW245" s="38">
        <f t="shared" si="188"/>
        <v>0</v>
      </c>
      <c r="AX245" s="38">
        <f t="shared" si="189"/>
        <v>0</v>
      </c>
      <c r="AY245" s="38">
        <f t="shared" si="190"/>
        <v>1.3548217767676108E-2</v>
      </c>
      <c r="AZ245" s="38">
        <f t="shared" si="191"/>
        <v>0</v>
      </c>
      <c r="BA245" s="38">
        <f t="shared" si="192"/>
        <v>0</v>
      </c>
      <c r="BB245" s="38">
        <f t="shared" si="193"/>
        <v>0.4298367472201276</v>
      </c>
      <c r="BC245" s="38">
        <f t="shared" si="194"/>
        <v>0.57341839730890076</v>
      </c>
      <c r="BD245" s="38">
        <f t="shared" si="195"/>
        <v>2.1258035796630097E-2</v>
      </c>
      <c r="BE245" s="38">
        <f t="shared" si="196"/>
        <v>0</v>
      </c>
      <c r="BF245" s="38">
        <f t="shared" si="197"/>
        <v>0</v>
      </c>
      <c r="BG245" s="38">
        <f t="shared" si="198"/>
        <v>0</v>
      </c>
      <c r="BH245" s="41">
        <f t="shared" si="199"/>
        <v>5</v>
      </c>
      <c r="BI245" s="42">
        <f t="shared" si="200"/>
        <v>7.9626451117512884</v>
      </c>
      <c r="BJ245" s="38">
        <f t="shared" si="201"/>
        <v>3.9619386019066658</v>
      </c>
      <c r="BK245" s="38">
        <f t="shared" si="202"/>
        <v>1.0245131803256584</v>
      </c>
      <c r="BL245" s="16"/>
      <c r="BM245" s="16">
        <f t="shared" si="203"/>
        <v>0.41955218876100442</v>
      </c>
      <c r="BN245" s="16">
        <f t="shared" si="204"/>
        <v>0.55969840927437386</v>
      </c>
      <c r="BO245" s="16">
        <f t="shared" si="205"/>
        <v>2.0749401964621755E-2</v>
      </c>
      <c r="BP245" s="15"/>
      <c r="BQ245" s="38">
        <f t="shared" si="206"/>
        <v>0.94790279627163787</v>
      </c>
      <c r="BR245" s="38">
        <f t="shared" si="207"/>
        <v>0</v>
      </c>
      <c r="BS245" s="38">
        <f t="shared" si="208"/>
        <v>0.52805021577089062</v>
      </c>
      <c r="BT245" s="38">
        <f t="shared" si="209"/>
        <v>0</v>
      </c>
      <c r="BU245" s="38">
        <f t="shared" si="210"/>
        <v>5.0471586844850168E-3</v>
      </c>
      <c r="BV245" s="38">
        <f t="shared" si="211"/>
        <v>0</v>
      </c>
      <c r="BW245" s="38">
        <f t="shared" si="212"/>
        <v>0</v>
      </c>
      <c r="BX245" s="38">
        <f t="shared" si="213"/>
        <v>0.16012838801711843</v>
      </c>
      <c r="BY245" s="38">
        <f t="shared" si="214"/>
        <v>0.21361729590190384</v>
      </c>
      <c r="BZ245" s="38">
        <f t="shared" si="215"/>
        <v>7.9193205944798305E-3</v>
      </c>
      <c r="CA245" s="38">
        <f t="shared" si="216"/>
        <v>0</v>
      </c>
      <c r="CB245" s="38">
        <f t="shared" si="217"/>
        <v>0</v>
      </c>
      <c r="CC245" s="38">
        <f t="shared" si="218"/>
        <v>0</v>
      </c>
      <c r="CD245" s="38">
        <f t="shared" si="219"/>
        <v>1.8626651752405154</v>
      </c>
      <c r="CE245" s="38">
        <f t="shared" si="220"/>
        <v>2.9638247711494063</v>
      </c>
      <c r="CF245" s="38">
        <f t="shared" si="221"/>
        <v>2.684325699788948</v>
      </c>
      <c r="CG245" s="38">
        <f t="shared" si="222"/>
        <v>7.9558710028674486</v>
      </c>
      <c r="CH245" s="15"/>
      <c r="CI245" s="16"/>
      <c r="CJ245" s="13"/>
      <c r="CK245" s="104"/>
      <c r="CL245" s="13"/>
      <c r="CM245" s="13"/>
      <c r="CN245" s="13"/>
      <c r="CO245" s="16"/>
      <c r="CP245" s="16"/>
      <c r="CQ245" s="16"/>
      <c r="CR245" s="16"/>
      <c r="CS245" s="16"/>
      <c r="CT245" s="16"/>
      <c r="CU245" s="16"/>
      <c r="CV245" s="16"/>
      <c r="CW245" s="16"/>
      <c r="CX245" s="16"/>
      <c r="CY245" s="104"/>
      <c r="CZ245" s="104"/>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3"/>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row>
    <row r="246" spans="1:167" x14ac:dyDescent="0.25">
      <c r="A246" s="35" t="s">
        <v>254</v>
      </c>
      <c r="B246" s="15">
        <v>753</v>
      </c>
      <c r="C246" s="102" t="s">
        <v>95</v>
      </c>
      <c r="D246" s="102" t="s">
        <v>106</v>
      </c>
      <c r="E246" s="15">
        <v>264</v>
      </c>
      <c r="F246" s="16">
        <v>58.21</v>
      </c>
      <c r="G246" s="16">
        <v>0</v>
      </c>
      <c r="H246" s="16">
        <v>26.23</v>
      </c>
      <c r="I246" s="16">
        <v>0</v>
      </c>
      <c r="J246" s="16">
        <v>0.26005579051561234</v>
      </c>
      <c r="K246" s="16">
        <v>0</v>
      </c>
      <c r="L246" s="16">
        <v>0</v>
      </c>
      <c r="M246" s="16">
        <v>8.15</v>
      </c>
      <c r="N246" s="16">
        <v>7</v>
      </c>
      <c r="O246" s="16">
        <v>0.46</v>
      </c>
      <c r="P246" s="16"/>
      <c r="Q246" s="16"/>
      <c r="R246" s="16"/>
      <c r="S246" s="16">
        <f t="shared" si="168"/>
        <v>100.31005579051561</v>
      </c>
      <c r="T246" s="16"/>
      <c r="U246" s="15">
        <v>4</v>
      </c>
      <c r="V246" s="15">
        <v>5</v>
      </c>
      <c r="W246" s="15">
        <v>26</v>
      </c>
      <c r="X246" s="15" t="s">
        <v>258</v>
      </c>
      <c r="Y246" s="15"/>
      <c r="Z246" s="37">
        <v>8</v>
      </c>
      <c r="AA246" s="37">
        <v>5</v>
      </c>
      <c r="AB246" s="15"/>
      <c r="AC246" s="38">
        <f t="shared" si="169"/>
        <v>2.6042455564514189</v>
      </c>
      <c r="AD246" s="38">
        <f t="shared" si="170"/>
        <v>0</v>
      </c>
      <c r="AE246" s="38">
        <f t="shared" si="171"/>
        <v>1.38296986203849</v>
      </c>
      <c r="AF246" s="38">
        <f t="shared" si="172"/>
        <v>0</v>
      </c>
      <c r="AG246" s="38">
        <f t="shared" si="173"/>
        <v>9.7286821020417039E-3</v>
      </c>
      <c r="AH246" s="38">
        <f t="shared" si="174"/>
        <v>0</v>
      </c>
      <c r="AI246" s="38">
        <f t="shared" si="175"/>
        <v>0</v>
      </c>
      <c r="AJ246" s="38">
        <f t="shared" si="176"/>
        <v>0.3906284409538483</v>
      </c>
      <c r="AK246" s="38">
        <f t="shared" si="177"/>
        <v>0.60714261984706197</v>
      </c>
      <c r="AL246" s="38">
        <f t="shared" si="178"/>
        <v>2.6251322120011543E-2</v>
      </c>
      <c r="AM246" s="38">
        <f t="shared" si="179"/>
        <v>0</v>
      </c>
      <c r="AN246" s="38">
        <f t="shared" si="180"/>
        <v>0</v>
      </c>
      <c r="AO246" s="38">
        <f t="shared" si="181"/>
        <v>0</v>
      </c>
      <c r="AP246" s="38">
        <f t="shared" si="182"/>
        <v>5.0209664835128729</v>
      </c>
      <c r="AQ246" s="38">
        <f t="shared" si="183"/>
        <v>3.9872154184899089</v>
      </c>
      <c r="AR246" s="38">
        <f t="shared" si="184"/>
        <v>1.0240223829209218</v>
      </c>
      <c r="AS246" s="40"/>
      <c r="AT246" s="38">
        <f t="shared" si="185"/>
        <v>2.5933707832972654</v>
      </c>
      <c r="AU246" s="38">
        <f t="shared" si="186"/>
        <v>0</v>
      </c>
      <c r="AV246" s="38">
        <f t="shared" si="187"/>
        <v>1.3771948753090542</v>
      </c>
      <c r="AW246" s="38">
        <f t="shared" si="188"/>
        <v>0</v>
      </c>
      <c r="AX246" s="38">
        <f t="shared" si="189"/>
        <v>0</v>
      </c>
      <c r="AY246" s="38">
        <f t="shared" si="190"/>
        <v>9.6880572037150118E-3</v>
      </c>
      <c r="AZ246" s="38">
        <f t="shared" si="191"/>
        <v>0</v>
      </c>
      <c r="BA246" s="38">
        <f t="shared" si="192"/>
        <v>0</v>
      </c>
      <c r="BB246" s="38">
        <f t="shared" si="193"/>
        <v>0.38899726002607043</v>
      </c>
      <c r="BC246" s="38">
        <f t="shared" si="194"/>
        <v>0.60460732195754496</v>
      </c>
      <c r="BD246" s="38">
        <f t="shared" si="195"/>
        <v>2.6141702206349971E-2</v>
      </c>
      <c r="BE246" s="38">
        <f t="shared" si="196"/>
        <v>0</v>
      </c>
      <c r="BF246" s="38">
        <f t="shared" si="197"/>
        <v>0</v>
      </c>
      <c r="BG246" s="38">
        <f t="shared" si="198"/>
        <v>0</v>
      </c>
      <c r="BH246" s="41">
        <f t="shared" si="199"/>
        <v>4.9999999999999991</v>
      </c>
      <c r="BI246" s="42">
        <f t="shared" si="200"/>
        <v>7.9714377374717031</v>
      </c>
      <c r="BJ246" s="38">
        <f t="shared" si="201"/>
        <v>3.9705656586063194</v>
      </c>
      <c r="BK246" s="38">
        <f t="shared" si="202"/>
        <v>1.0197462841899654</v>
      </c>
      <c r="BL246" s="16"/>
      <c r="BM246" s="16">
        <f t="shared" si="203"/>
        <v>0.38146474868998426</v>
      </c>
      <c r="BN246" s="16">
        <f t="shared" si="204"/>
        <v>0.59289975490110691</v>
      </c>
      <c r="BO246" s="16">
        <f t="shared" si="205"/>
        <v>2.5635496408908817E-2</v>
      </c>
      <c r="BP246" s="15"/>
      <c r="BQ246" s="38">
        <f t="shared" si="206"/>
        <v>0.96887483355525972</v>
      </c>
      <c r="BR246" s="38">
        <f t="shared" si="207"/>
        <v>0</v>
      </c>
      <c r="BS246" s="38">
        <f t="shared" si="208"/>
        <v>0.51451549627304827</v>
      </c>
      <c r="BT246" s="38">
        <f t="shared" si="209"/>
        <v>0</v>
      </c>
      <c r="BU246" s="38">
        <f t="shared" si="210"/>
        <v>3.6194264511567481E-3</v>
      </c>
      <c r="BV246" s="38">
        <f t="shared" si="211"/>
        <v>0</v>
      </c>
      <c r="BW246" s="38">
        <f t="shared" si="212"/>
        <v>0</v>
      </c>
      <c r="BX246" s="38">
        <f t="shared" si="213"/>
        <v>0.14532810271041371</v>
      </c>
      <c r="BY246" s="38">
        <f t="shared" si="214"/>
        <v>0.22587931590835755</v>
      </c>
      <c r="BZ246" s="38">
        <f t="shared" si="215"/>
        <v>9.7664543524416132E-3</v>
      </c>
      <c r="CA246" s="38">
        <f t="shared" si="216"/>
        <v>0</v>
      </c>
      <c r="CB246" s="38">
        <f t="shared" si="217"/>
        <v>0</v>
      </c>
      <c r="CC246" s="38">
        <f t="shared" si="218"/>
        <v>0</v>
      </c>
      <c r="CD246" s="38">
        <f t="shared" si="219"/>
        <v>1.8679836292506775</v>
      </c>
      <c r="CE246" s="38">
        <f t="shared" si="220"/>
        <v>2.9762933258120619</v>
      </c>
      <c r="CF246" s="38">
        <f t="shared" si="221"/>
        <v>2.6766829867806168</v>
      </c>
      <c r="CG246" s="38">
        <f t="shared" si="222"/>
        <v>7.9665937088698451</v>
      </c>
      <c r="CH246" s="15"/>
      <c r="CI246" s="16"/>
      <c r="CJ246" s="13"/>
      <c r="CK246" s="104"/>
      <c r="CL246" s="13"/>
      <c r="CM246" s="13"/>
      <c r="CN246" s="13"/>
      <c r="CO246" s="16"/>
      <c r="CP246" s="16"/>
      <c r="CQ246" s="16"/>
      <c r="CR246" s="16"/>
      <c r="CS246" s="16"/>
      <c r="CT246" s="16"/>
      <c r="CU246" s="16"/>
      <c r="CV246" s="16"/>
      <c r="CW246" s="16"/>
      <c r="CX246" s="16"/>
      <c r="CY246" s="104"/>
      <c r="CZ246" s="104"/>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3"/>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row>
    <row r="247" spans="1:167" x14ac:dyDescent="0.25">
      <c r="A247" s="35" t="s">
        <v>254</v>
      </c>
      <c r="B247" s="15">
        <v>754</v>
      </c>
      <c r="C247" s="102" t="s">
        <v>95</v>
      </c>
      <c r="D247" s="102" t="s">
        <v>106</v>
      </c>
      <c r="E247" s="15">
        <v>265</v>
      </c>
      <c r="F247" s="16">
        <v>57.77</v>
      </c>
      <c r="G247" s="16">
        <v>0</v>
      </c>
      <c r="H247" s="16">
        <v>26.2</v>
      </c>
      <c r="I247" s="16">
        <v>0</v>
      </c>
      <c r="J247" s="16">
        <v>0.27445334293170159</v>
      </c>
      <c r="K247" s="16">
        <v>0</v>
      </c>
      <c r="L247" s="16">
        <v>0</v>
      </c>
      <c r="M247" s="16">
        <v>8.41</v>
      </c>
      <c r="N247" s="16">
        <v>6.85</v>
      </c>
      <c r="O247" s="16">
        <v>0.43099999999999999</v>
      </c>
      <c r="P247" s="16"/>
      <c r="Q247" s="16"/>
      <c r="R247" s="16"/>
      <c r="S247" s="16">
        <f t="shared" si="168"/>
        <v>99.935453342931694</v>
      </c>
      <c r="T247" s="16"/>
      <c r="U247" s="15">
        <v>4</v>
      </c>
      <c r="V247" s="15">
        <v>6</v>
      </c>
      <c r="W247" s="15">
        <v>32.5</v>
      </c>
      <c r="X247" s="15" t="s">
        <v>258</v>
      </c>
      <c r="Y247" s="15"/>
      <c r="Z247" s="37">
        <v>8</v>
      </c>
      <c r="AA247" s="37">
        <v>5</v>
      </c>
      <c r="AB247" s="15"/>
      <c r="AC247" s="38">
        <f t="shared" si="169"/>
        <v>2.5962680193768497</v>
      </c>
      <c r="AD247" s="38">
        <f t="shared" si="170"/>
        <v>0</v>
      </c>
      <c r="AE247" s="38">
        <f t="shared" si="171"/>
        <v>1.3876455280310727</v>
      </c>
      <c r="AF247" s="38">
        <f t="shared" si="172"/>
        <v>0</v>
      </c>
      <c r="AG247" s="38">
        <f t="shared" si="173"/>
        <v>1.0313803021302127E-2</v>
      </c>
      <c r="AH247" s="38">
        <f t="shared" si="174"/>
        <v>0</v>
      </c>
      <c r="AI247" s="38">
        <f t="shared" si="175"/>
        <v>0</v>
      </c>
      <c r="AJ247" s="38">
        <f t="shared" si="176"/>
        <v>0.40491612408254873</v>
      </c>
      <c r="AK247" s="38">
        <f t="shared" si="177"/>
        <v>0.59682372025981656</v>
      </c>
      <c r="AL247" s="38">
        <f t="shared" si="178"/>
        <v>2.4707763931864458E-2</v>
      </c>
      <c r="AM247" s="38">
        <f t="shared" si="179"/>
        <v>0</v>
      </c>
      <c r="AN247" s="38">
        <f t="shared" si="180"/>
        <v>0</v>
      </c>
      <c r="AO247" s="38">
        <f t="shared" si="181"/>
        <v>0</v>
      </c>
      <c r="AP247" s="38">
        <f t="shared" si="182"/>
        <v>5.020674958703454</v>
      </c>
      <c r="AQ247" s="38">
        <f t="shared" si="183"/>
        <v>3.9839135474079224</v>
      </c>
      <c r="AR247" s="38">
        <f t="shared" si="184"/>
        <v>1.0264476082742298</v>
      </c>
      <c r="AS247" s="40"/>
      <c r="AT247" s="38">
        <f t="shared" si="185"/>
        <v>2.5855766811553491</v>
      </c>
      <c r="AU247" s="38">
        <f t="shared" si="186"/>
        <v>0</v>
      </c>
      <c r="AV247" s="38">
        <f t="shared" si="187"/>
        <v>1.381931253710776</v>
      </c>
      <c r="AW247" s="38">
        <f t="shared" si="188"/>
        <v>0</v>
      </c>
      <c r="AX247" s="38">
        <f t="shared" si="189"/>
        <v>0</v>
      </c>
      <c r="AY247" s="38">
        <f t="shared" si="190"/>
        <v>1.0271331151823434E-2</v>
      </c>
      <c r="AZ247" s="38">
        <f t="shared" si="191"/>
        <v>0</v>
      </c>
      <c r="BA247" s="38">
        <f t="shared" si="192"/>
        <v>0</v>
      </c>
      <c r="BB247" s="38">
        <f t="shared" si="193"/>
        <v>0.40324869406315317</v>
      </c>
      <c r="BC247" s="38">
        <f t="shared" si="194"/>
        <v>0.59436602166926678</v>
      </c>
      <c r="BD247" s="38">
        <f t="shared" si="195"/>
        <v>2.4606018249630945E-2</v>
      </c>
      <c r="BE247" s="38">
        <f t="shared" si="196"/>
        <v>0</v>
      </c>
      <c r="BF247" s="38">
        <f t="shared" si="197"/>
        <v>0</v>
      </c>
      <c r="BG247" s="38">
        <f t="shared" si="198"/>
        <v>0</v>
      </c>
      <c r="BH247" s="41">
        <f t="shared" si="199"/>
        <v>4.9999999999999991</v>
      </c>
      <c r="BI247" s="42">
        <f t="shared" si="200"/>
        <v>7.972191953627199</v>
      </c>
      <c r="BJ247" s="38">
        <f t="shared" si="201"/>
        <v>3.9675079348661253</v>
      </c>
      <c r="BK247" s="38">
        <f t="shared" si="202"/>
        <v>1.022220733982051</v>
      </c>
      <c r="BL247" s="16"/>
      <c r="BM247" s="16">
        <f t="shared" si="203"/>
        <v>0.39448299242796792</v>
      </c>
      <c r="BN247" s="16">
        <f t="shared" si="204"/>
        <v>0.58144586771774798</v>
      </c>
      <c r="BO247" s="16">
        <f t="shared" si="205"/>
        <v>2.4071139854284152E-2</v>
      </c>
      <c r="BP247" s="15"/>
      <c r="BQ247" s="38">
        <f t="shared" si="206"/>
        <v>0.96155126498002674</v>
      </c>
      <c r="BR247" s="38">
        <f t="shared" si="207"/>
        <v>0</v>
      </c>
      <c r="BS247" s="38">
        <f t="shared" si="208"/>
        <v>0.51392703020792474</v>
      </c>
      <c r="BT247" s="38">
        <f t="shared" si="209"/>
        <v>0</v>
      </c>
      <c r="BU247" s="38">
        <f t="shared" si="210"/>
        <v>3.8198099225010664E-3</v>
      </c>
      <c r="BV247" s="38">
        <f t="shared" si="211"/>
        <v>0</v>
      </c>
      <c r="BW247" s="38">
        <f t="shared" si="212"/>
        <v>0</v>
      </c>
      <c r="BX247" s="38">
        <f t="shared" si="213"/>
        <v>0.14996433666191156</v>
      </c>
      <c r="BY247" s="38">
        <f t="shared" si="214"/>
        <v>0.22103904485317843</v>
      </c>
      <c r="BZ247" s="38">
        <f t="shared" si="215"/>
        <v>9.1507430997876862E-3</v>
      </c>
      <c r="CA247" s="38">
        <f t="shared" si="216"/>
        <v>0</v>
      </c>
      <c r="CB247" s="38">
        <f t="shared" si="217"/>
        <v>0</v>
      </c>
      <c r="CC247" s="38">
        <f t="shared" si="218"/>
        <v>0</v>
      </c>
      <c r="CD247" s="38">
        <f t="shared" si="219"/>
        <v>1.8594522297253304</v>
      </c>
      <c r="CE247" s="38">
        <f t="shared" si="220"/>
        <v>2.9628721158328362</v>
      </c>
      <c r="CF247" s="38">
        <f t="shared" si="221"/>
        <v>2.6889639432891355</v>
      </c>
      <c r="CG247" s="38">
        <f t="shared" si="222"/>
        <v>7.9670562880512872</v>
      </c>
      <c r="CH247" s="15"/>
      <c r="CI247" s="16"/>
      <c r="CJ247" s="13"/>
      <c r="CK247" s="104"/>
      <c r="CL247" s="13"/>
      <c r="CM247" s="13"/>
      <c r="CN247" s="13"/>
      <c r="CO247" s="16"/>
      <c r="CP247" s="16"/>
      <c r="CQ247" s="16"/>
      <c r="CR247" s="16"/>
      <c r="CS247" s="16"/>
      <c r="CT247" s="16"/>
      <c r="CU247" s="16"/>
      <c r="CV247" s="16"/>
      <c r="CW247" s="16"/>
      <c r="CX247" s="16"/>
      <c r="CY247" s="104"/>
      <c r="CZ247" s="104"/>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3"/>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row>
    <row r="248" spans="1:167" x14ac:dyDescent="0.25">
      <c r="A248" s="35" t="s">
        <v>254</v>
      </c>
      <c r="B248" s="15">
        <v>755</v>
      </c>
      <c r="C248" s="102" t="s">
        <v>95</v>
      </c>
      <c r="D248" s="102" t="s">
        <v>106</v>
      </c>
      <c r="E248" s="15">
        <v>266</v>
      </c>
      <c r="F248" s="16">
        <v>57.89</v>
      </c>
      <c r="G248" s="16">
        <v>0</v>
      </c>
      <c r="H248" s="16">
        <v>26.49</v>
      </c>
      <c r="I248" s="16">
        <v>0</v>
      </c>
      <c r="J248" s="16">
        <v>0.31044722397192476</v>
      </c>
      <c r="K248" s="16">
        <v>0</v>
      </c>
      <c r="L248" s="16">
        <v>0</v>
      </c>
      <c r="M248" s="16">
        <v>8.35</v>
      </c>
      <c r="N248" s="16">
        <v>6.87</v>
      </c>
      <c r="O248" s="16">
        <v>0.41899999999999998</v>
      </c>
      <c r="P248" s="16"/>
      <c r="Q248" s="16"/>
      <c r="R248" s="16"/>
      <c r="S248" s="16">
        <f t="shared" si="168"/>
        <v>100.32944722397191</v>
      </c>
      <c r="T248" s="16"/>
      <c r="U248" s="15">
        <v>4</v>
      </c>
      <c r="V248" s="15">
        <v>7</v>
      </c>
      <c r="W248" s="15">
        <v>39</v>
      </c>
      <c r="X248" s="15" t="s">
        <v>258</v>
      </c>
      <c r="Y248" s="15"/>
      <c r="Z248" s="37">
        <v>8</v>
      </c>
      <c r="AA248" s="37">
        <v>5</v>
      </c>
      <c r="AB248" s="15"/>
      <c r="AC248" s="38">
        <f t="shared" si="169"/>
        <v>2.5910325046238416</v>
      </c>
      <c r="AD248" s="38">
        <f t="shared" si="170"/>
        <v>0</v>
      </c>
      <c r="AE248" s="38">
        <f t="shared" si="171"/>
        <v>1.3972733080551687</v>
      </c>
      <c r="AF248" s="38">
        <f t="shared" si="172"/>
        <v>0</v>
      </c>
      <c r="AG248" s="38">
        <f t="shared" si="173"/>
        <v>1.1618772387953931E-2</v>
      </c>
      <c r="AH248" s="38">
        <f t="shared" si="174"/>
        <v>0</v>
      </c>
      <c r="AI248" s="38">
        <f t="shared" si="175"/>
        <v>0</v>
      </c>
      <c r="AJ248" s="38">
        <f t="shared" si="176"/>
        <v>0.40038491471282217</v>
      </c>
      <c r="AK248" s="38">
        <f t="shared" si="177"/>
        <v>0.59612096595750652</v>
      </c>
      <c r="AL248" s="38">
        <f t="shared" si="178"/>
        <v>2.392171718006746E-2</v>
      </c>
      <c r="AM248" s="38">
        <f t="shared" si="179"/>
        <v>0</v>
      </c>
      <c r="AN248" s="38">
        <f t="shared" si="180"/>
        <v>0</v>
      </c>
      <c r="AO248" s="38">
        <f t="shared" si="181"/>
        <v>0</v>
      </c>
      <c r="AP248" s="38">
        <f t="shared" si="182"/>
        <v>5.0203521829173612</v>
      </c>
      <c r="AQ248" s="38">
        <f t="shared" si="183"/>
        <v>3.9883058126790103</v>
      </c>
      <c r="AR248" s="38">
        <f t="shared" si="184"/>
        <v>1.0204275978503961</v>
      </c>
      <c r="AS248" s="40"/>
      <c r="AT248" s="38">
        <f t="shared" si="185"/>
        <v>2.5805286264978475</v>
      </c>
      <c r="AU248" s="38">
        <f t="shared" si="186"/>
        <v>0</v>
      </c>
      <c r="AV248" s="38">
        <f t="shared" si="187"/>
        <v>1.3916088524721821</v>
      </c>
      <c r="AW248" s="38">
        <f t="shared" si="188"/>
        <v>0</v>
      </c>
      <c r="AX248" s="38">
        <f t="shared" si="189"/>
        <v>0</v>
      </c>
      <c r="AY248" s="38">
        <f t="shared" si="190"/>
        <v>1.1571670636463379E-2</v>
      </c>
      <c r="AZ248" s="38">
        <f t="shared" si="191"/>
        <v>0</v>
      </c>
      <c r="BA248" s="38">
        <f t="shared" si="192"/>
        <v>0</v>
      </c>
      <c r="BB248" s="38">
        <f t="shared" si="193"/>
        <v>0.39876178017470854</v>
      </c>
      <c r="BC248" s="38">
        <f t="shared" si="194"/>
        <v>0.5937043301323699</v>
      </c>
      <c r="BD248" s="38">
        <f t="shared" si="195"/>
        <v>2.3824740086427949E-2</v>
      </c>
      <c r="BE248" s="38">
        <f t="shared" si="196"/>
        <v>0</v>
      </c>
      <c r="BF248" s="38">
        <f t="shared" si="197"/>
        <v>0</v>
      </c>
      <c r="BG248" s="38">
        <f t="shared" si="198"/>
        <v>0</v>
      </c>
      <c r="BH248" s="41">
        <f t="shared" si="199"/>
        <v>5</v>
      </c>
      <c r="BI248" s="42">
        <f t="shared" si="200"/>
        <v>7.9733543529427706</v>
      </c>
      <c r="BJ248" s="38">
        <f t="shared" si="201"/>
        <v>3.9721374789700299</v>
      </c>
      <c r="BK248" s="38">
        <f t="shared" si="202"/>
        <v>1.0162908503935064</v>
      </c>
      <c r="BL248" s="16"/>
      <c r="BM248" s="16">
        <f t="shared" si="203"/>
        <v>0.39236974338626446</v>
      </c>
      <c r="BN248" s="16">
        <f t="shared" si="204"/>
        <v>0.5841874202670313</v>
      </c>
      <c r="BO248" s="16">
        <f t="shared" si="205"/>
        <v>2.3442836346704337E-2</v>
      </c>
      <c r="BP248" s="15"/>
      <c r="BQ248" s="38">
        <f t="shared" si="206"/>
        <v>0.96354860186418112</v>
      </c>
      <c r="BR248" s="38">
        <f t="shared" si="207"/>
        <v>0</v>
      </c>
      <c r="BS248" s="38">
        <f t="shared" si="208"/>
        <v>0.51961553550411932</v>
      </c>
      <c r="BT248" s="38">
        <f t="shared" si="209"/>
        <v>0</v>
      </c>
      <c r="BU248" s="38">
        <f t="shared" si="210"/>
        <v>4.320768600861862E-3</v>
      </c>
      <c r="BV248" s="38">
        <f t="shared" si="211"/>
        <v>0</v>
      </c>
      <c r="BW248" s="38">
        <f t="shared" si="212"/>
        <v>0</v>
      </c>
      <c r="BX248" s="38">
        <f t="shared" si="213"/>
        <v>0.14889443651925821</v>
      </c>
      <c r="BY248" s="38">
        <f t="shared" si="214"/>
        <v>0.22168441432720234</v>
      </c>
      <c r="BZ248" s="38">
        <f t="shared" si="215"/>
        <v>8.8959660297239906E-3</v>
      </c>
      <c r="CA248" s="38">
        <f t="shared" si="216"/>
        <v>0</v>
      </c>
      <c r="CB248" s="38">
        <f t="shared" si="217"/>
        <v>0</v>
      </c>
      <c r="CC248" s="38">
        <f t="shared" si="218"/>
        <v>0</v>
      </c>
      <c r="CD248" s="38">
        <f t="shared" si="219"/>
        <v>1.8669597228453469</v>
      </c>
      <c r="CE248" s="38">
        <f t="shared" si="220"/>
        <v>2.9750259022831247</v>
      </c>
      <c r="CF248" s="38">
        <f t="shared" si="221"/>
        <v>2.6781509739158866</v>
      </c>
      <c r="CG248" s="38">
        <f t="shared" si="222"/>
        <v>7.9675685176245397</v>
      </c>
      <c r="CH248" s="15"/>
      <c r="CI248" s="16"/>
      <c r="CJ248" s="13"/>
      <c r="CK248" s="104"/>
      <c r="CL248" s="13"/>
      <c r="CM248" s="13"/>
      <c r="CN248" s="13"/>
      <c r="CO248" s="16"/>
      <c r="CP248" s="16"/>
      <c r="CQ248" s="16"/>
      <c r="CR248" s="16"/>
      <c r="CS248" s="16"/>
      <c r="CT248" s="16"/>
      <c r="CU248" s="16"/>
      <c r="CV248" s="16"/>
      <c r="CW248" s="16"/>
      <c r="CX248" s="16"/>
      <c r="CY248" s="104"/>
      <c r="CZ248" s="104"/>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3"/>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row>
    <row r="249" spans="1:167" x14ac:dyDescent="0.25">
      <c r="A249" s="35" t="s">
        <v>254</v>
      </c>
      <c r="B249" s="15">
        <v>756</v>
      </c>
      <c r="C249" s="102" t="s">
        <v>95</v>
      </c>
      <c r="D249" s="102" t="s">
        <v>106</v>
      </c>
      <c r="E249" s="15">
        <v>267</v>
      </c>
      <c r="F249" s="16">
        <v>58.36</v>
      </c>
      <c r="G249" s="16">
        <v>0</v>
      </c>
      <c r="H249" s="16">
        <v>26.24</v>
      </c>
      <c r="I249" s="16">
        <v>0</v>
      </c>
      <c r="J249" s="16">
        <v>0.21146405111131109</v>
      </c>
      <c r="K249" s="16">
        <v>0</v>
      </c>
      <c r="L249" s="16">
        <v>0</v>
      </c>
      <c r="M249" s="16">
        <v>8.32</v>
      </c>
      <c r="N249" s="16">
        <v>6.91</v>
      </c>
      <c r="O249" s="16">
        <v>0.435</v>
      </c>
      <c r="P249" s="16"/>
      <c r="Q249" s="16"/>
      <c r="R249" s="16"/>
      <c r="S249" s="16">
        <f t="shared" si="168"/>
        <v>100.47646405111129</v>
      </c>
      <c r="T249" s="16"/>
      <c r="U249" s="15">
        <v>4</v>
      </c>
      <c r="V249" s="15">
        <v>8</v>
      </c>
      <c r="W249" s="15">
        <v>45.5</v>
      </c>
      <c r="X249" s="15" t="s">
        <v>258</v>
      </c>
      <c r="Y249" s="15"/>
      <c r="Z249" s="37">
        <v>8</v>
      </c>
      <c r="AA249" s="37">
        <v>5</v>
      </c>
      <c r="AB249" s="15"/>
      <c r="AC249" s="38">
        <f t="shared" si="169"/>
        <v>2.605768824230517</v>
      </c>
      <c r="AD249" s="38">
        <f t="shared" si="170"/>
        <v>0</v>
      </c>
      <c r="AE249" s="38">
        <f t="shared" si="171"/>
        <v>1.3807483221875068</v>
      </c>
      <c r="AF249" s="38">
        <f t="shared" si="172"/>
        <v>0</v>
      </c>
      <c r="AG249" s="38">
        <f t="shared" si="173"/>
        <v>7.8951484449762046E-3</v>
      </c>
      <c r="AH249" s="38">
        <f t="shared" si="174"/>
        <v>0</v>
      </c>
      <c r="AI249" s="38">
        <f t="shared" si="175"/>
        <v>0</v>
      </c>
      <c r="AJ249" s="38">
        <f t="shared" si="176"/>
        <v>0.39798421377411558</v>
      </c>
      <c r="AK249" s="38">
        <f t="shared" si="177"/>
        <v>0.59814571479093015</v>
      </c>
      <c r="AL249" s="38">
        <f t="shared" si="178"/>
        <v>2.477529728629959E-2</v>
      </c>
      <c r="AM249" s="38">
        <f t="shared" si="179"/>
        <v>0</v>
      </c>
      <c r="AN249" s="38">
        <f t="shared" si="180"/>
        <v>0</v>
      </c>
      <c r="AO249" s="38">
        <f t="shared" si="181"/>
        <v>0</v>
      </c>
      <c r="AP249" s="38">
        <f t="shared" si="182"/>
        <v>5.015317520714345</v>
      </c>
      <c r="AQ249" s="38">
        <f t="shared" si="183"/>
        <v>3.9865171464180236</v>
      </c>
      <c r="AR249" s="38">
        <f t="shared" si="184"/>
        <v>1.0209052258513454</v>
      </c>
      <c r="AS249" s="40"/>
      <c r="AT249" s="38">
        <f t="shared" si="185"/>
        <v>2.5978104212426514</v>
      </c>
      <c r="AU249" s="38">
        <f t="shared" si="186"/>
        <v>0</v>
      </c>
      <c r="AV249" s="38">
        <f t="shared" si="187"/>
        <v>1.3765313128079306</v>
      </c>
      <c r="AW249" s="38">
        <f t="shared" si="188"/>
        <v>0</v>
      </c>
      <c r="AX249" s="38">
        <f t="shared" si="189"/>
        <v>0</v>
      </c>
      <c r="AY249" s="38">
        <f t="shared" si="190"/>
        <v>7.8710354951282094E-3</v>
      </c>
      <c r="AZ249" s="38">
        <f t="shared" si="191"/>
        <v>0</v>
      </c>
      <c r="BA249" s="38">
        <f t="shared" si="192"/>
        <v>0</v>
      </c>
      <c r="BB249" s="38">
        <f t="shared" si="193"/>
        <v>0.3967687111836436</v>
      </c>
      <c r="BC249" s="38">
        <f t="shared" si="194"/>
        <v>0.59631888940277356</v>
      </c>
      <c r="BD249" s="38">
        <f t="shared" si="195"/>
        <v>2.4699629867872028E-2</v>
      </c>
      <c r="BE249" s="38">
        <f t="shared" si="196"/>
        <v>0</v>
      </c>
      <c r="BF249" s="38">
        <f t="shared" si="197"/>
        <v>0</v>
      </c>
      <c r="BG249" s="38">
        <f t="shared" si="198"/>
        <v>0</v>
      </c>
      <c r="BH249" s="41">
        <f t="shared" si="199"/>
        <v>4.9999999999999991</v>
      </c>
      <c r="BI249" s="42">
        <f t="shared" si="200"/>
        <v>7.9795023357588573</v>
      </c>
      <c r="BJ249" s="38">
        <f t="shared" si="201"/>
        <v>3.974341734050582</v>
      </c>
      <c r="BK249" s="38">
        <f t="shared" si="202"/>
        <v>1.0177872304542892</v>
      </c>
      <c r="BL249" s="16"/>
      <c r="BM249" s="16">
        <f t="shared" si="203"/>
        <v>0.38983463273217323</v>
      </c>
      <c r="BN249" s="16">
        <f t="shared" si="204"/>
        <v>0.5858973973731294</v>
      </c>
      <c r="BO249" s="16">
        <f t="shared" si="205"/>
        <v>2.4267969894697292E-2</v>
      </c>
      <c r="BP249" s="15"/>
      <c r="BQ249" s="38">
        <f t="shared" si="206"/>
        <v>0.97137150466045274</v>
      </c>
      <c r="BR249" s="38">
        <f t="shared" si="207"/>
        <v>0</v>
      </c>
      <c r="BS249" s="38">
        <f t="shared" si="208"/>
        <v>0.51471165162808941</v>
      </c>
      <c r="BT249" s="38">
        <f t="shared" si="209"/>
        <v>0</v>
      </c>
      <c r="BU249" s="38">
        <f t="shared" si="210"/>
        <v>2.9431322353696745E-3</v>
      </c>
      <c r="BV249" s="38">
        <f t="shared" si="211"/>
        <v>0</v>
      </c>
      <c r="BW249" s="38">
        <f t="shared" si="212"/>
        <v>0</v>
      </c>
      <c r="BX249" s="38">
        <f t="shared" si="213"/>
        <v>0.14835948644793154</v>
      </c>
      <c r="BY249" s="38">
        <f t="shared" si="214"/>
        <v>0.22297515327525011</v>
      </c>
      <c r="BZ249" s="38">
        <f t="shared" si="215"/>
        <v>9.2356687898089169E-3</v>
      </c>
      <c r="CA249" s="38">
        <f t="shared" si="216"/>
        <v>0</v>
      </c>
      <c r="CB249" s="38">
        <f t="shared" si="217"/>
        <v>0</v>
      </c>
      <c r="CC249" s="38">
        <f t="shared" si="218"/>
        <v>0</v>
      </c>
      <c r="CD249" s="38">
        <f t="shared" si="219"/>
        <v>1.8695965970369026</v>
      </c>
      <c r="CE249" s="38">
        <f t="shared" si="220"/>
        <v>2.9822185164788699</v>
      </c>
      <c r="CF249" s="38">
        <f t="shared" si="221"/>
        <v>2.6743737167282129</v>
      </c>
      <c r="CG249" s="38">
        <f t="shared" si="222"/>
        <v>7.9755668180112922</v>
      </c>
      <c r="CH249" s="15"/>
      <c r="CI249" s="16"/>
      <c r="CJ249" s="13"/>
      <c r="CK249" s="104"/>
      <c r="CL249" s="13"/>
      <c r="CM249" s="13"/>
      <c r="CN249" s="13"/>
      <c r="CO249" s="16"/>
      <c r="CP249" s="16"/>
      <c r="CQ249" s="16"/>
      <c r="CR249" s="16"/>
      <c r="CS249" s="16"/>
      <c r="CT249" s="16"/>
      <c r="CU249" s="16"/>
      <c r="CV249" s="16"/>
      <c r="CW249" s="16"/>
      <c r="CX249" s="16"/>
      <c r="CY249" s="104"/>
      <c r="CZ249" s="104"/>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3"/>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row>
    <row r="250" spans="1:167" x14ac:dyDescent="0.25">
      <c r="A250" s="35" t="s">
        <v>254</v>
      </c>
      <c r="B250" s="15">
        <v>757</v>
      </c>
      <c r="C250" s="102" t="s">
        <v>95</v>
      </c>
      <c r="D250" s="102" t="s">
        <v>106</v>
      </c>
      <c r="E250" s="15">
        <v>268</v>
      </c>
      <c r="F250" s="16">
        <v>64.72</v>
      </c>
      <c r="G250" s="16">
        <v>0</v>
      </c>
      <c r="H250" s="16">
        <v>21.05</v>
      </c>
      <c r="I250" s="16">
        <v>0</v>
      </c>
      <c r="J250" s="16">
        <v>0.16467200575902097</v>
      </c>
      <c r="K250" s="16">
        <v>0</v>
      </c>
      <c r="L250" s="16">
        <v>0</v>
      </c>
      <c r="M250" s="16">
        <v>3.02</v>
      </c>
      <c r="N250" s="16">
        <v>9.6</v>
      </c>
      <c r="O250" s="16">
        <v>1.26</v>
      </c>
      <c r="P250" s="16"/>
      <c r="Q250" s="16"/>
      <c r="R250" s="16"/>
      <c r="S250" s="16">
        <f t="shared" si="168"/>
        <v>99.814672005759007</v>
      </c>
      <c r="T250" s="16"/>
      <c r="U250" s="15">
        <v>4</v>
      </c>
      <c r="V250" s="15">
        <v>9</v>
      </c>
      <c r="W250" s="15">
        <v>52</v>
      </c>
      <c r="X250" s="15" t="s">
        <v>186</v>
      </c>
      <c r="Y250" s="15"/>
      <c r="Z250" s="37">
        <v>8</v>
      </c>
      <c r="AA250" s="37">
        <v>5</v>
      </c>
      <c r="AB250" s="15"/>
      <c r="AC250" s="38">
        <f t="shared" si="169"/>
        <v>2.8743108550001226</v>
      </c>
      <c r="AD250" s="38">
        <f t="shared" si="170"/>
        <v>0</v>
      </c>
      <c r="AE250" s="38">
        <f t="shared" si="171"/>
        <v>1.1017356928263438</v>
      </c>
      <c r="AF250" s="38">
        <f t="shared" si="172"/>
        <v>0</v>
      </c>
      <c r="AG250" s="38">
        <f t="shared" si="173"/>
        <v>6.1153054370846303E-3</v>
      </c>
      <c r="AH250" s="38">
        <f t="shared" si="174"/>
        <v>0</v>
      </c>
      <c r="AI250" s="38">
        <f t="shared" si="175"/>
        <v>0</v>
      </c>
      <c r="AJ250" s="38">
        <f t="shared" si="176"/>
        <v>0.14368918729374286</v>
      </c>
      <c r="AK250" s="38">
        <f t="shared" si="177"/>
        <v>0.82656080454235137</v>
      </c>
      <c r="AL250" s="38">
        <f t="shared" si="178"/>
        <v>7.1379711516469865E-2</v>
      </c>
      <c r="AM250" s="38">
        <f t="shared" si="179"/>
        <v>0</v>
      </c>
      <c r="AN250" s="38">
        <f t="shared" si="180"/>
        <v>0</v>
      </c>
      <c r="AO250" s="38">
        <f t="shared" si="181"/>
        <v>0</v>
      </c>
      <c r="AP250" s="38">
        <f t="shared" si="182"/>
        <v>5.0237915566161151</v>
      </c>
      <c r="AQ250" s="38">
        <f t="shared" si="183"/>
        <v>3.9760465478264662</v>
      </c>
      <c r="AR250" s="38">
        <f t="shared" si="184"/>
        <v>1.0416297033525641</v>
      </c>
      <c r="AS250" s="40"/>
      <c r="AT250" s="38">
        <f t="shared" si="185"/>
        <v>2.8606987596995146</v>
      </c>
      <c r="AU250" s="38">
        <f t="shared" si="186"/>
        <v>0</v>
      </c>
      <c r="AV250" s="38">
        <f t="shared" si="187"/>
        <v>1.0965181182481645</v>
      </c>
      <c r="AW250" s="38">
        <f t="shared" si="188"/>
        <v>0</v>
      </c>
      <c r="AX250" s="38">
        <f t="shared" si="189"/>
        <v>0</v>
      </c>
      <c r="AY250" s="38">
        <f t="shared" si="190"/>
        <v>6.0863447141144217E-3</v>
      </c>
      <c r="AZ250" s="38">
        <f t="shared" si="191"/>
        <v>0</v>
      </c>
      <c r="BA250" s="38">
        <f t="shared" si="192"/>
        <v>0</v>
      </c>
      <c r="BB250" s="38">
        <f t="shared" si="193"/>
        <v>0.14300870734227664</v>
      </c>
      <c r="BC250" s="38">
        <f t="shared" si="194"/>
        <v>0.82264639687708252</v>
      </c>
      <c r="BD250" s="38">
        <f t="shared" si="195"/>
        <v>7.1041673118847751E-2</v>
      </c>
      <c r="BE250" s="38">
        <f t="shared" si="196"/>
        <v>0</v>
      </c>
      <c r="BF250" s="38">
        <f t="shared" si="197"/>
        <v>0</v>
      </c>
      <c r="BG250" s="38">
        <f t="shared" si="198"/>
        <v>0</v>
      </c>
      <c r="BH250" s="41">
        <f t="shared" si="199"/>
        <v>5.0000000000000009</v>
      </c>
      <c r="BI250" s="42">
        <f t="shared" si="200"/>
        <v>7.9651569561826889</v>
      </c>
      <c r="BJ250" s="38">
        <f t="shared" si="201"/>
        <v>3.9572168779476788</v>
      </c>
      <c r="BK250" s="38">
        <f t="shared" si="202"/>
        <v>1.036696777338207</v>
      </c>
      <c r="BL250" s="16"/>
      <c r="BM250" s="16">
        <f t="shared" si="203"/>
        <v>0.13794651480393497</v>
      </c>
      <c r="BN250" s="16">
        <f t="shared" si="204"/>
        <v>0.79352653047623622</v>
      </c>
      <c r="BO250" s="16">
        <f t="shared" si="205"/>
        <v>6.8526954719828795E-2</v>
      </c>
      <c r="BP250" s="15"/>
      <c r="BQ250" s="38">
        <f t="shared" si="206"/>
        <v>1.0772303595206392</v>
      </c>
      <c r="BR250" s="38">
        <f t="shared" si="207"/>
        <v>0</v>
      </c>
      <c r="BS250" s="38">
        <f t="shared" si="208"/>
        <v>0.41290702236171051</v>
      </c>
      <c r="BT250" s="38">
        <f t="shared" si="209"/>
        <v>0</v>
      </c>
      <c r="BU250" s="38">
        <f t="shared" si="210"/>
        <v>2.29188595350064E-3</v>
      </c>
      <c r="BV250" s="38">
        <f t="shared" si="211"/>
        <v>0</v>
      </c>
      <c r="BW250" s="38">
        <f t="shared" si="212"/>
        <v>0</v>
      </c>
      <c r="BX250" s="38">
        <f t="shared" si="213"/>
        <v>5.3851640513552068E-2</v>
      </c>
      <c r="BY250" s="38">
        <f t="shared" si="214"/>
        <v>0.30977734753146174</v>
      </c>
      <c r="BZ250" s="38">
        <f t="shared" si="215"/>
        <v>2.6751592356687899E-2</v>
      </c>
      <c r="CA250" s="38">
        <f t="shared" si="216"/>
        <v>0</v>
      </c>
      <c r="CB250" s="38">
        <f t="shared" si="217"/>
        <v>0</v>
      </c>
      <c r="CC250" s="38">
        <f t="shared" si="218"/>
        <v>0</v>
      </c>
      <c r="CD250" s="38">
        <f t="shared" si="219"/>
        <v>1.8828098482375519</v>
      </c>
      <c r="CE250" s="38">
        <f t="shared" si="220"/>
        <v>2.998229248994972</v>
      </c>
      <c r="CF250" s="38">
        <f t="shared" si="221"/>
        <v>2.6556053999188323</v>
      </c>
      <c r="CG250" s="38">
        <f t="shared" si="222"/>
        <v>7.9621137838256324</v>
      </c>
      <c r="CH250" s="15"/>
      <c r="CI250" s="16"/>
      <c r="CJ250" s="13"/>
      <c r="CK250" s="104"/>
      <c r="CL250" s="13"/>
      <c r="CM250" s="13"/>
      <c r="CN250" s="13"/>
      <c r="CO250" s="16"/>
      <c r="CP250" s="16"/>
      <c r="CQ250" s="16"/>
      <c r="CR250" s="16"/>
      <c r="CS250" s="16"/>
      <c r="CT250" s="16"/>
      <c r="CU250" s="16"/>
      <c r="CV250" s="16"/>
      <c r="CW250" s="16"/>
      <c r="CX250" s="16"/>
      <c r="CY250" s="104"/>
      <c r="CZ250" s="104"/>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3"/>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row>
    <row r="251" spans="1:167" x14ac:dyDescent="0.25">
      <c r="A251" s="35" t="s">
        <v>254</v>
      </c>
      <c r="B251" s="15">
        <v>758</v>
      </c>
      <c r="C251" s="102" t="s">
        <v>95</v>
      </c>
      <c r="D251" s="102" t="s">
        <v>106</v>
      </c>
      <c r="E251" s="15">
        <v>269</v>
      </c>
      <c r="F251" s="16">
        <v>63.27</v>
      </c>
      <c r="G251" s="16">
        <v>0</v>
      </c>
      <c r="H251" s="16">
        <v>21.08</v>
      </c>
      <c r="I251" s="16">
        <v>0</v>
      </c>
      <c r="J251" s="16">
        <v>1.0312246918023935</v>
      </c>
      <c r="K251" s="16">
        <v>0</v>
      </c>
      <c r="L251" s="16">
        <v>0</v>
      </c>
      <c r="M251" s="16">
        <v>3.02</v>
      </c>
      <c r="N251" s="16">
        <v>8.7100000000000009</v>
      </c>
      <c r="O251" s="16">
        <v>1.59</v>
      </c>
      <c r="P251" s="16"/>
      <c r="Q251" s="16"/>
      <c r="R251" s="16"/>
      <c r="S251" s="16">
        <f t="shared" si="168"/>
        <v>98.701224691802395</v>
      </c>
      <c r="T251" s="16"/>
      <c r="U251" s="15">
        <v>4</v>
      </c>
      <c r="V251" s="15">
        <v>10</v>
      </c>
      <c r="W251" s="15">
        <v>58.5</v>
      </c>
      <c r="X251" s="15" t="s">
        <v>186</v>
      </c>
      <c r="Y251" s="15"/>
      <c r="Z251" s="37">
        <v>8</v>
      </c>
      <c r="AA251" s="37">
        <v>5</v>
      </c>
      <c r="AB251" s="15"/>
      <c r="AC251" s="38">
        <f t="shared" si="169"/>
        <v>2.8538726564925025</v>
      </c>
      <c r="AD251" s="38">
        <f t="shared" si="170"/>
        <v>0</v>
      </c>
      <c r="AE251" s="38">
        <f t="shared" si="171"/>
        <v>1.1205660369480253</v>
      </c>
      <c r="AF251" s="38">
        <f t="shared" si="172"/>
        <v>0</v>
      </c>
      <c r="AG251" s="38">
        <f t="shared" si="173"/>
        <v>3.8894949394870384E-2</v>
      </c>
      <c r="AH251" s="38">
        <f t="shared" si="174"/>
        <v>0</v>
      </c>
      <c r="AI251" s="38">
        <f t="shared" si="175"/>
        <v>0</v>
      </c>
      <c r="AJ251" s="38">
        <f t="shared" si="176"/>
        <v>0.14593706843816845</v>
      </c>
      <c r="AK251" s="38">
        <f t="shared" si="177"/>
        <v>0.76166370107307391</v>
      </c>
      <c r="AL251" s="38">
        <f t="shared" si="178"/>
        <v>9.1483526446758709E-2</v>
      </c>
      <c r="AM251" s="38">
        <f t="shared" si="179"/>
        <v>0</v>
      </c>
      <c r="AN251" s="38">
        <f t="shared" si="180"/>
        <v>0</v>
      </c>
      <c r="AO251" s="38">
        <f t="shared" si="181"/>
        <v>0</v>
      </c>
      <c r="AP251" s="38">
        <f t="shared" si="182"/>
        <v>5.0124179387933996</v>
      </c>
      <c r="AQ251" s="38">
        <f t="shared" si="183"/>
        <v>3.9744386934405278</v>
      </c>
      <c r="AR251" s="38">
        <f t="shared" si="184"/>
        <v>0.99908429595800108</v>
      </c>
      <c r="AS251" s="40"/>
      <c r="AT251" s="38">
        <f t="shared" si="185"/>
        <v>2.8468023729676193</v>
      </c>
      <c r="AU251" s="38">
        <f t="shared" si="186"/>
        <v>0</v>
      </c>
      <c r="AV251" s="38">
        <f t="shared" si="187"/>
        <v>1.1177899076166926</v>
      </c>
      <c r="AW251" s="38">
        <f t="shared" si="188"/>
        <v>0</v>
      </c>
      <c r="AX251" s="38">
        <f t="shared" si="189"/>
        <v>0</v>
      </c>
      <c r="AY251" s="38">
        <f t="shared" si="190"/>
        <v>3.8798589692456156E-2</v>
      </c>
      <c r="AZ251" s="38">
        <f t="shared" si="191"/>
        <v>0</v>
      </c>
      <c r="BA251" s="38">
        <f t="shared" si="192"/>
        <v>0</v>
      </c>
      <c r="BB251" s="38">
        <f t="shared" si="193"/>
        <v>0.14557551886156039</v>
      </c>
      <c r="BC251" s="38">
        <f t="shared" si="194"/>
        <v>0.75977672888987313</v>
      </c>
      <c r="BD251" s="38">
        <f t="shared" si="195"/>
        <v>9.1256881971798251E-2</v>
      </c>
      <c r="BE251" s="38">
        <f t="shared" si="196"/>
        <v>0</v>
      </c>
      <c r="BF251" s="38">
        <f t="shared" si="197"/>
        <v>0</v>
      </c>
      <c r="BG251" s="38">
        <f t="shared" si="198"/>
        <v>0</v>
      </c>
      <c r="BH251" s="41">
        <f t="shared" si="199"/>
        <v>5</v>
      </c>
      <c r="BI251" s="42">
        <f t="shared" si="200"/>
        <v>7.9995798161913578</v>
      </c>
      <c r="BJ251" s="38">
        <f t="shared" si="201"/>
        <v>3.9645922805843119</v>
      </c>
      <c r="BK251" s="38">
        <f t="shared" si="202"/>
        <v>0.99660912972323179</v>
      </c>
      <c r="BL251" s="16"/>
      <c r="BM251" s="16">
        <f t="shared" si="203"/>
        <v>0.14607082608403171</v>
      </c>
      <c r="BN251" s="16">
        <f t="shared" si="204"/>
        <v>0.76236179885374988</v>
      </c>
      <c r="BO251" s="16">
        <f t="shared" si="205"/>
        <v>9.1567375062218417E-2</v>
      </c>
      <c r="BP251" s="15"/>
      <c r="BQ251" s="38">
        <f t="shared" si="206"/>
        <v>1.0530958721704395</v>
      </c>
      <c r="BR251" s="38">
        <f t="shared" si="207"/>
        <v>0</v>
      </c>
      <c r="BS251" s="38">
        <f t="shared" si="208"/>
        <v>0.41349548842683403</v>
      </c>
      <c r="BT251" s="38">
        <f t="shared" si="209"/>
        <v>0</v>
      </c>
      <c r="BU251" s="38">
        <f t="shared" si="210"/>
        <v>1.4352466135036794E-2</v>
      </c>
      <c r="BV251" s="38">
        <f t="shared" si="211"/>
        <v>0</v>
      </c>
      <c r="BW251" s="38">
        <f t="shared" si="212"/>
        <v>0</v>
      </c>
      <c r="BX251" s="38">
        <f t="shared" si="213"/>
        <v>5.3851640513552068E-2</v>
      </c>
      <c r="BY251" s="38">
        <f t="shared" si="214"/>
        <v>0.28105840593739922</v>
      </c>
      <c r="BZ251" s="38">
        <f t="shared" si="215"/>
        <v>3.375796178343949E-2</v>
      </c>
      <c r="CA251" s="38">
        <f t="shared" si="216"/>
        <v>0</v>
      </c>
      <c r="CB251" s="38">
        <f t="shared" si="217"/>
        <v>0</v>
      </c>
      <c r="CC251" s="38">
        <f t="shared" si="218"/>
        <v>0</v>
      </c>
      <c r="CD251" s="38">
        <f t="shared" si="219"/>
        <v>1.8496118349667012</v>
      </c>
      <c r="CE251" s="38">
        <f t="shared" si="220"/>
        <v>2.9520472674901388</v>
      </c>
      <c r="CF251" s="38">
        <f t="shared" si="221"/>
        <v>2.7032698999193068</v>
      </c>
      <c r="CG251" s="38">
        <f t="shared" si="222"/>
        <v>7.9801805213451305</v>
      </c>
      <c r="CH251" s="15"/>
      <c r="CI251" s="16"/>
      <c r="CJ251" s="13"/>
      <c r="CK251" s="104"/>
      <c r="CL251" s="13"/>
      <c r="CM251" s="13"/>
      <c r="CN251" s="13"/>
      <c r="CO251" s="16"/>
      <c r="CP251" s="16"/>
      <c r="CQ251" s="16"/>
      <c r="CR251" s="16"/>
      <c r="CS251" s="16"/>
      <c r="CT251" s="16"/>
      <c r="CU251" s="16"/>
      <c r="CV251" s="16"/>
      <c r="CW251" s="16"/>
      <c r="CX251" s="16"/>
      <c r="CY251" s="104"/>
      <c r="CZ251" s="104"/>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3"/>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row>
    <row r="252" spans="1:167" x14ac:dyDescent="0.25">
      <c r="A252" s="35" t="s">
        <v>254</v>
      </c>
      <c r="B252" s="15">
        <v>759</v>
      </c>
      <c r="C252" s="102" t="s">
        <v>95</v>
      </c>
      <c r="D252" s="102" t="s">
        <v>106</v>
      </c>
      <c r="E252" s="15">
        <v>270</v>
      </c>
      <c r="F252" s="16">
        <v>64.489999999999995</v>
      </c>
      <c r="G252" s="16">
        <v>0</v>
      </c>
      <c r="H252" s="16">
        <v>21.41</v>
      </c>
      <c r="I252" s="16">
        <v>0</v>
      </c>
      <c r="J252" s="16">
        <v>0.21776298029335014</v>
      </c>
      <c r="K252" s="16">
        <v>0</v>
      </c>
      <c r="L252" s="16">
        <v>0</v>
      </c>
      <c r="M252" s="16">
        <v>3.26</v>
      </c>
      <c r="N252" s="16">
        <v>8.99</v>
      </c>
      <c r="O252" s="16">
        <v>1.58</v>
      </c>
      <c r="P252" s="16"/>
      <c r="Q252" s="16"/>
      <c r="R252" s="16"/>
      <c r="S252" s="16">
        <f t="shared" si="168"/>
        <v>99.947762980293334</v>
      </c>
      <c r="T252" s="16"/>
      <c r="U252" s="15">
        <v>4</v>
      </c>
      <c r="V252" s="15">
        <v>11</v>
      </c>
      <c r="W252" s="15">
        <v>65</v>
      </c>
      <c r="X252" s="15" t="s">
        <v>186</v>
      </c>
      <c r="Y252" s="15"/>
      <c r="Z252" s="37">
        <v>8</v>
      </c>
      <c r="AA252" s="37">
        <v>5</v>
      </c>
      <c r="AB252" s="15"/>
      <c r="AC252" s="38">
        <f t="shared" si="169"/>
        <v>2.8626548870112227</v>
      </c>
      <c r="AD252" s="38">
        <f t="shared" si="170"/>
        <v>0</v>
      </c>
      <c r="AE252" s="38">
        <f t="shared" si="171"/>
        <v>1.1200138087849647</v>
      </c>
      <c r="AF252" s="38">
        <f t="shared" si="172"/>
        <v>0</v>
      </c>
      <c r="AG252" s="38">
        <f t="shared" si="173"/>
        <v>8.0828369879041295E-3</v>
      </c>
      <c r="AH252" s="38">
        <f t="shared" si="174"/>
        <v>0</v>
      </c>
      <c r="AI252" s="38">
        <f t="shared" si="175"/>
        <v>0</v>
      </c>
      <c r="AJ252" s="38">
        <f t="shared" si="176"/>
        <v>0.15503013889234052</v>
      </c>
      <c r="AK252" s="38">
        <f t="shared" si="177"/>
        <v>0.7736502255808948</v>
      </c>
      <c r="AL252" s="38">
        <f t="shared" si="178"/>
        <v>8.9462848258829816E-2</v>
      </c>
      <c r="AM252" s="38">
        <f t="shared" si="179"/>
        <v>0</v>
      </c>
      <c r="AN252" s="38">
        <f t="shared" si="180"/>
        <v>0</v>
      </c>
      <c r="AO252" s="38">
        <f t="shared" si="181"/>
        <v>0</v>
      </c>
      <c r="AP252" s="38">
        <f t="shared" si="182"/>
        <v>5.008894745516157</v>
      </c>
      <c r="AQ252" s="38">
        <f t="shared" si="183"/>
        <v>3.9826686957961872</v>
      </c>
      <c r="AR252" s="38">
        <f t="shared" si="184"/>
        <v>1.0181432127320651</v>
      </c>
      <c r="AS252" s="40"/>
      <c r="AT252" s="38">
        <f t="shared" si="185"/>
        <v>2.857571412908809</v>
      </c>
      <c r="AU252" s="38">
        <f t="shared" si="186"/>
        <v>0</v>
      </c>
      <c r="AV252" s="38">
        <f t="shared" si="187"/>
        <v>1.1180248993927995</v>
      </c>
      <c r="AW252" s="38">
        <f t="shared" si="188"/>
        <v>0</v>
      </c>
      <c r="AX252" s="38">
        <f t="shared" si="189"/>
        <v>0</v>
      </c>
      <c r="AY252" s="38">
        <f t="shared" si="190"/>
        <v>8.0684835662994253E-3</v>
      </c>
      <c r="AZ252" s="38">
        <f t="shared" si="191"/>
        <v>0</v>
      </c>
      <c r="BA252" s="38">
        <f t="shared" si="192"/>
        <v>0</v>
      </c>
      <c r="BB252" s="38">
        <f t="shared" si="193"/>
        <v>0.15475483791221589</v>
      </c>
      <c r="BC252" s="38">
        <f t="shared" si="194"/>
        <v>0.77227638519800013</v>
      </c>
      <c r="BD252" s="38">
        <f t="shared" si="195"/>
        <v>8.9303981021875964E-2</v>
      </c>
      <c r="BE252" s="38">
        <f t="shared" si="196"/>
        <v>0</v>
      </c>
      <c r="BF252" s="38">
        <f t="shared" si="197"/>
        <v>0</v>
      </c>
      <c r="BG252" s="38">
        <f t="shared" si="198"/>
        <v>0</v>
      </c>
      <c r="BH252" s="41">
        <f t="shared" si="199"/>
        <v>5.0000000000000009</v>
      </c>
      <c r="BI252" s="42">
        <f t="shared" si="200"/>
        <v>7.9898279212784198</v>
      </c>
      <c r="BJ252" s="38">
        <f t="shared" si="201"/>
        <v>3.9755963123016085</v>
      </c>
      <c r="BK252" s="38">
        <f t="shared" si="202"/>
        <v>1.0163352041320919</v>
      </c>
      <c r="BL252" s="16"/>
      <c r="BM252" s="16">
        <f t="shared" si="203"/>
        <v>0.15226751694030916</v>
      </c>
      <c r="BN252" s="16">
        <f t="shared" si="204"/>
        <v>0.75986385402982481</v>
      </c>
      <c r="BO252" s="16">
        <f t="shared" si="205"/>
        <v>8.7868629029866044E-2</v>
      </c>
      <c r="BP252" s="15"/>
      <c r="BQ252" s="38">
        <f t="shared" si="206"/>
        <v>1.0734021304926764</v>
      </c>
      <c r="BR252" s="38">
        <f t="shared" si="207"/>
        <v>0</v>
      </c>
      <c r="BS252" s="38">
        <f t="shared" si="208"/>
        <v>0.41996861514319345</v>
      </c>
      <c r="BT252" s="38">
        <f t="shared" si="209"/>
        <v>0</v>
      </c>
      <c r="BU252" s="38">
        <f t="shared" si="210"/>
        <v>3.0308000040828137E-3</v>
      </c>
      <c r="BV252" s="38">
        <f t="shared" si="211"/>
        <v>0</v>
      </c>
      <c r="BW252" s="38">
        <f t="shared" si="212"/>
        <v>0</v>
      </c>
      <c r="BX252" s="38">
        <f t="shared" si="213"/>
        <v>5.8131241084165473E-2</v>
      </c>
      <c r="BY252" s="38">
        <f t="shared" si="214"/>
        <v>0.29009357857373347</v>
      </c>
      <c r="BZ252" s="38">
        <f t="shared" si="215"/>
        <v>3.3545647558386411E-2</v>
      </c>
      <c r="CA252" s="38">
        <f t="shared" si="216"/>
        <v>0</v>
      </c>
      <c r="CB252" s="38">
        <f t="shared" si="217"/>
        <v>0</v>
      </c>
      <c r="CC252" s="38">
        <f t="shared" si="218"/>
        <v>0</v>
      </c>
      <c r="CD252" s="38">
        <f t="shared" si="219"/>
        <v>1.878172012856238</v>
      </c>
      <c r="CE252" s="38">
        <f t="shared" si="220"/>
        <v>2.9997388378544514</v>
      </c>
      <c r="CF252" s="38">
        <f t="shared" si="221"/>
        <v>2.6621629785635177</v>
      </c>
      <c r="CG252" s="38">
        <f t="shared" si="222"/>
        <v>7.9857936794952717</v>
      </c>
      <c r="CH252" s="15"/>
      <c r="CI252" s="16"/>
      <c r="CJ252" s="13"/>
      <c r="CK252" s="104"/>
      <c r="CL252" s="13"/>
      <c r="CM252" s="13"/>
      <c r="CN252" s="13"/>
      <c r="CO252" s="16"/>
      <c r="CP252" s="16"/>
      <c r="CQ252" s="16"/>
      <c r="CR252" s="16"/>
      <c r="CS252" s="16"/>
      <c r="CT252" s="16"/>
      <c r="CU252" s="16"/>
      <c r="CV252" s="16"/>
      <c r="CW252" s="16"/>
      <c r="CX252" s="16"/>
      <c r="CY252" s="104"/>
      <c r="CZ252" s="104"/>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3"/>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row>
    <row r="253" spans="1:167" x14ac:dyDescent="0.25">
      <c r="A253" s="35" t="s">
        <v>254</v>
      </c>
      <c r="B253" s="15">
        <v>760</v>
      </c>
      <c r="C253" s="102" t="s">
        <v>95</v>
      </c>
      <c r="D253" s="102" t="s">
        <v>106</v>
      </c>
      <c r="E253" s="15">
        <v>271</v>
      </c>
      <c r="F253" s="16">
        <v>64.92</v>
      </c>
      <c r="G253" s="16">
        <v>0</v>
      </c>
      <c r="H253" s="16">
        <v>21.02</v>
      </c>
      <c r="I253" s="16">
        <v>0</v>
      </c>
      <c r="J253" s="16">
        <v>0.34554125798614238</v>
      </c>
      <c r="K253" s="16">
        <v>0</v>
      </c>
      <c r="L253" s="16">
        <v>0</v>
      </c>
      <c r="M253" s="16">
        <v>2.81</v>
      </c>
      <c r="N253" s="16">
        <v>9.24</v>
      </c>
      <c r="O253" s="16">
        <v>1.95</v>
      </c>
      <c r="P253" s="16"/>
      <c r="Q253" s="16"/>
      <c r="R253" s="16"/>
      <c r="S253" s="16">
        <f t="shared" si="168"/>
        <v>100.28554125798614</v>
      </c>
      <c r="T253" s="16"/>
      <c r="U253" s="15">
        <v>4</v>
      </c>
      <c r="V253" s="15">
        <v>12</v>
      </c>
      <c r="W253" s="15">
        <v>71.5</v>
      </c>
      <c r="X253" s="15" t="s">
        <v>186</v>
      </c>
      <c r="Y253" s="15"/>
      <c r="Z253" s="37">
        <v>8</v>
      </c>
      <c r="AA253" s="37">
        <v>5</v>
      </c>
      <c r="AB253" s="15"/>
      <c r="AC253" s="38">
        <f t="shared" si="169"/>
        <v>2.8773733231110787</v>
      </c>
      <c r="AD253" s="38">
        <f t="shared" si="170"/>
        <v>0</v>
      </c>
      <c r="AE253" s="38">
        <f t="shared" si="171"/>
        <v>1.0979448001209069</v>
      </c>
      <c r="AF253" s="38">
        <f t="shared" si="172"/>
        <v>0</v>
      </c>
      <c r="AG253" s="38">
        <f t="shared" si="173"/>
        <v>1.280621424572982E-2</v>
      </c>
      <c r="AH253" s="38">
        <f t="shared" si="174"/>
        <v>0</v>
      </c>
      <c r="AI253" s="38">
        <f t="shared" si="175"/>
        <v>0</v>
      </c>
      <c r="AJ253" s="38">
        <f t="shared" si="176"/>
        <v>0.13342768181478579</v>
      </c>
      <c r="AK253" s="38">
        <f t="shared" si="177"/>
        <v>0.79395889869927327</v>
      </c>
      <c r="AL253" s="38">
        <f t="shared" si="178"/>
        <v>0.11024561637265841</v>
      </c>
      <c r="AM253" s="38">
        <f t="shared" si="179"/>
        <v>0</v>
      </c>
      <c r="AN253" s="38">
        <f t="shared" si="180"/>
        <v>0</v>
      </c>
      <c r="AO253" s="38">
        <f t="shared" si="181"/>
        <v>0</v>
      </c>
      <c r="AP253" s="38">
        <f t="shared" si="182"/>
        <v>5.025756534364433</v>
      </c>
      <c r="AQ253" s="38">
        <f t="shared" si="183"/>
        <v>3.9753181232319856</v>
      </c>
      <c r="AR253" s="38">
        <f t="shared" si="184"/>
        <v>1.0376321968867175</v>
      </c>
      <c r="AS253" s="40"/>
      <c r="AT253" s="38">
        <f t="shared" si="185"/>
        <v>2.862627052699994</v>
      </c>
      <c r="AU253" s="38">
        <f t="shared" si="186"/>
        <v>0</v>
      </c>
      <c r="AV253" s="38">
        <f t="shared" si="187"/>
        <v>1.0923179352337598</v>
      </c>
      <c r="AW253" s="38">
        <f t="shared" si="188"/>
        <v>0</v>
      </c>
      <c r="AX253" s="38">
        <f t="shared" si="189"/>
        <v>0</v>
      </c>
      <c r="AY253" s="38">
        <f t="shared" si="190"/>
        <v>1.2740583589918485E-2</v>
      </c>
      <c r="AZ253" s="38">
        <f t="shared" si="191"/>
        <v>0</v>
      </c>
      <c r="BA253" s="38">
        <f t="shared" si="192"/>
        <v>0</v>
      </c>
      <c r="BB253" s="38">
        <f t="shared" si="193"/>
        <v>0.13274387736697166</v>
      </c>
      <c r="BC253" s="38">
        <f t="shared" si="194"/>
        <v>0.78988993325726109</v>
      </c>
      <c r="BD253" s="38">
        <f t="shared" si="195"/>
        <v>0.10968061785209444</v>
      </c>
      <c r="BE253" s="38">
        <f t="shared" si="196"/>
        <v>0</v>
      </c>
      <c r="BF253" s="38">
        <f t="shared" si="197"/>
        <v>0</v>
      </c>
      <c r="BG253" s="38">
        <f t="shared" si="198"/>
        <v>0</v>
      </c>
      <c r="BH253" s="41">
        <f t="shared" si="199"/>
        <v>5</v>
      </c>
      <c r="BI253" s="42">
        <f t="shared" si="200"/>
        <v>7.9653710365571548</v>
      </c>
      <c r="BJ253" s="38">
        <f t="shared" si="201"/>
        <v>3.9549449879337537</v>
      </c>
      <c r="BK253" s="38">
        <f t="shared" si="202"/>
        <v>1.0323144284763273</v>
      </c>
      <c r="BL253" s="16"/>
      <c r="BM253" s="16">
        <f t="shared" si="203"/>
        <v>0.12858860992856472</v>
      </c>
      <c r="BN253" s="16">
        <f t="shared" si="204"/>
        <v>0.76516409290444654</v>
      </c>
      <c r="BO253" s="16">
        <f t="shared" si="205"/>
        <v>0.10624729716698871</v>
      </c>
      <c r="BP253" s="15"/>
      <c r="BQ253" s="38">
        <f t="shared" si="206"/>
        <v>1.0805592543275633</v>
      </c>
      <c r="BR253" s="38">
        <f t="shared" si="207"/>
        <v>0</v>
      </c>
      <c r="BS253" s="38">
        <f t="shared" si="208"/>
        <v>0.41231855629658692</v>
      </c>
      <c r="BT253" s="38">
        <f t="shared" si="209"/>
        <v>0</v>
      </c>
      <c r="BU253" s="38">
        <f t="shared" si="210"/>
        <v>4.8092033122636383E-3</v>
      </c>
      <c r="BV253" s="38">
        <f t="shared" si="211"/>
        <v>0</v>
      </c>
      <c r="BW253" s="38">
        <f t="shared" si="212"/>
        <v>0</v>
      </c>
      <c r="BX253" s="38">
        <f t="shared" si="213"/>
        <v>5.0106990014265336E-2</v>
      </c>
      <c r="BY253" s="38">
        <f t="shared" si="214"/>
        <v>0.29816069699903197</v>
      </c>
      <c r="BZ253" s="38">
        <f t="shared" si="215"/>
        <v>4.1401273885350316E-2</v>
      </c>
      <c r="CA253" s="38">
        <f t="shared" si="216"/>
        <v>0</v>
      </c>
      <c r="CB253" s="38">
        <f t="shared" si="217"/>
        <v>0</v>
      </c>
      <c r="CC253" s="38">
        <f t="shared" si="218"/>
        <v>0</v>
      </c>
      <c r="CD253" s="38">
        <f t="shared" si="219"/>
        <v>1.8873559748350617</v>
      </c>
      <c r="CE253" s="38">
        <f t="shared" si="220"/>
        <v>3.004293521868727</v>
      </c>
      <c r="CF253" s="38">
        <f t="shared" si="221"/>
        <v>2.6492087696582813</v>
      </c>
      <c r="CG253" s="38">
        <f t="shared" si="222"/>
        <v>7.9590007447621955</v>
      </c>
      <c r="CH253" s="15"/>
      <c r="CI253" s="16"/>
      <c r="CJ253" s="13"/>
      <c r="CK253" s="104"/>
      <c r="CL253" s="13"/>
      <c r="CM253" s="13"/>
      <c r="CN253" s="13"/>
      <c r="CO253" s="16"/>
      <c r="CP253" s="16"/>
      <c r="CQ253" s="16"/>
      <c r="CR253" s="16"/>
      <c r="CS253" s="16"/>
      <c r="CT253" s="16"/>
      <c r="CU253" s="16"/>
      <c r="CV253" s="16"/>
      <c r="CW253" s="16"/>
      <c r="CX253" s="16"/>
      <c r="CY253" s="104"/>
      <c r="CZ253" s="104"/>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3"/>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row>
    <row r="254" spans="1:167" x14ac:dyDescent="0.25">
      <c r="A254" s="35" t="s">
        <v>254</v>
      </c>
      <c r="B254" s="15">
        <v>761</v>
      </c>
      <c r="C254" s="102" t="s">
        <v>95</v>
      </c>
      <c r="D254" s="102" t="s">
        <v>106</v>
      </c>
      <c r="E254" s="15">
        <v>272</v>
      </c>
      <c r="F254" s="16">
        <v>63.49</v>
      </c>
      <c r="G254" s="16">
        <v>0</v>
      </c>
      <c r="H254" s="16">
        <v>20.6</v>
      </c>
      <c r="I254" s="16">
        <v>0</v>
      </c>
      <c r="J254" s="16">
        <v>0.38603437415639341</v>
      </c>
      <c r="K254" s="16">
        <v>0</v>
      </c>
      <c r="L254" s="16">
        <v>0</v>
      </c>
      <c r="M254" s="16">
        <v>2.87</v>
      </c>
      <c r="N254" s="16">
        <v>8.84</v>
      </c>
      <c r="O254" s="16">
        <v>2.0099999999999998</v>
      </c>
      <c r="P254" s="16"/>
      <c r="Q254" s="16"/>
      <c r="R254" s="16"/>
      <c r="S254" s="16">
        <f t="shared" si="168"/>
        <v>98.196034374156412</v>
      </c>
      <c r="T254" s="16"/>
      <c r="U254" s="15">
        <v>4</v>
      </c>
      <c r="V254" s="15">
        <v>13</v>
      </c>
      <c r="W254" s="15">
        <v>78</v>
      </c>
      <c r="X254" s="15" t="s">
        <v>186</v>
      </c>
      <c r="Y254" s="15"/>
      <c r="Z254" s="37">
        <v>8</v>
      </c>
      <c r="AA254" s="37">
        <v>5</v>
      </c>
      <c r="AB254" s="15"/>
      <c r="AC254" s="38">
        <f t="shared" si="169"/>
        <v>2.875385053163237</v>
      </c>
      <c r="AD254" s="38">
        <f t="shared" si="170"/>
        <v>0</v>
      </c>
      <c r="AE254" s="38">
        <f t="shared" si="171"/>
        <v>1.0994816791013862</v>
      </c>
      <c r="AF254" s="38">
        <f t="shared" si="172"/>
        <v>0</v>
      </c>
      <c r="AG254" s="38">
        <f t="shared" si="173"/>
        <v>1.4619072272916719E-2</v>
      </c>
      <c r="AH254" s="38">
        <f t="shared" si="174"/>
        <v>0</v>
      </c>
      <c r="AI254" s="38">
        <f t="shared" si="175"/>
        <v>0</v>
      </c>
      <c r="AJ254" s="38">
        <f t="shared" si="176"/>
        <v>0.13924977417982065</v>
      </c>
      <c r="AK254" s="38">
        <f t="shared" si="177"/>
        <v>0.77616007018424937</v>
      </c>
      <c r="AL254" s="38">
        <f t="shared" si="178"/>
        <v>0.11611698695317048</v>
      </c>
      <c r="AM254" s="38">
        <f t="shared" si="179"/>
        <v>0</v>
      </c>
      <c r="AN254" s="38">
        <f t="shared" si="180"/>
        <v>0</v>
      </c>
      <c r="AO254" s="38">
        <f t="shared" si="181"/>
        <v>0</v>
      </c>
      <c r="AP254" s="38">
        <f t="shared" si="182"/>
        <v>5.0210126358547811</v>
      </c>
      <c r="AQ254" s="38">
        <f t="shared" si="183"/>
        <v>3.9748667322646232</v>
      </c>
      <c r="AR254" s="38">
        <f t="shared" si="184"/>
        <v>1.0315268313172405</v>
      </c>
      <c r="AS254" s="40"/>
      <c r="AT254" s="38">
        <f t="shared" si="185"/>
        <v>2.8633517396772392</v>
      </c>
      <c r="AU254" s="38">
        <f t="shared" si="186"/>
        <v>0</v>
      </c>
      <c r="AV254" s="38">
        <f t="shared" si="187"/>
        <v>1.0948804144108766</v>
      </c>
      <c r="AW254" s="38">
        <f t="shared" si="188"/>
        <v>0</v>
      </c>
      <c r="AX254" s="38">
        <f t="shared" si="189"/>
        <v>0</v>
      </c>
      <c r="AY254" s="38">
        <f t="shared" si="190"/>
        <v>1.455789233482775E-2</v>
      </c>
      <c r="AZ254" s="38">
        <f t="shared" si="191"/>
        <v>0</v>
      </c>
      <c r="BA254" s="38">
        <f t="shared" si="192"/>
        <v>0</v>
      </c>
      <c r="BB254" s="38">
        <f t="shared" si="193"/>
        <v>0.13866702225109484</v>
      </c>
      <c r="BC254" s="38">
        <f t="shared" si="194"/>
        <v>0.77291188697846736</v>
      </c>
      <c r="BD254" s="38">
        <f t="shared" si="195"/>
        <v>0.11563104434749411</v>
      </c>
      <c r="BE254" s="38">
        <f t="shared" si="196"/>
        <v>0</v>
      </c>
      <c r="BF254" s="38">
        <f t="shared" si="197"/>
        <v>0</v>
      </c>
      <c r="BG254" s="38">
        <f t="shared" si="198"/>
        <v>0</v>
      </c>
      <c r="BH254" s="41">
        <f t="shared" si="199"/>
        <v>5</v>
      </c>
      <c r="BI254" s="42">
        <f t="shared" si="200"/>
        <v>7.9737994273871102</v>
      </c>
      <c r="BJ254" s="38">
        <f t="shared" si="201"/>
        <v>3.9582321540881158</v>
      </c>
      <c r="BK254" s="38">
        <f t="shared" si="202"/>
        <v>1.0272099535770562</v>
      </c>
      <c r="BL254" s="16"/>
      <c r="BM254" s="16">
        <f t="shared" si="203"/>
        <v>0.13499384596908767</v>
      </c>
      <c r="BN254" s="16">
        <f t="shared" si="204"/>
        <v>0.75243808170564741</v>
      </c>
      <c r="BO254" s="16">
        <f t="shared" si="205"/>
        <v>0.11256807232526492</v>
      </c>
      <c r="BP254" s="15"/>
      <c r="BQ254" s="38">
        <f t="shared" si="206"/>
        <v>1.0567576564580561</v>
      </c>
      <c r="BR254" s="38">
        <f t="shared" si="207"/>
        <v>0</v>
      </c>
      <c r="BS254" s="38">
        <f t="shared" si="208"/>
        <v>0.40408003138485687</v>
      </c>
      <c r="BT254" s="38">
        <f t="shared" si="209"/>
        <v>0</v>
      </c>
      <c r="BU254" s="38">
        <f t="shared" si="210"/>
        <v>5.3727818254195332E-3</v>
      </c>
      <c r="BV254" s="38">
        <f t="shared" si="211"/>
        <v>0</v>
      </c>
      <c r="BW254" s="38">
        <f t="shared" si="212"/>
        <v>0</v>
      </c>
      <c r="BX254" s="38">
        <f t="shared" si="213"/>
        <v>5.1176890156918689E-2</v>
      </c>
      <c r="BY254" s="38">
        <f t="shared" si="214"/>
        <v>0.28525330751855438</v>
      </c>
      <c r="BZ254" s="38">
        <f t="shared" si="215"/>
        <v>4.2675159235668787E-2</v>
      </c>
      <c r="CA254" s="38">
        <f t="shared" si="216"/>
        <v>0</v>
      </c>
      <c r="CB254" s="38">
        <f t="shared" si="217"/>
        <v>0</v>
      </c>
      <c r="CC254" s="38">
        <f t="shared" si="218"/>
        <v>0</v>
      </c>
      <c r="CD254" s="38">
        <f t="shared" si="219"/>
        <v>1.8453158265794745</v>
      </c>
      <c r="CE254" s="38">
        <f t="shared" si="220"/>
        <v>2.9401492653528472</v>
      </c>
      <c r="CF254" s="38">
        <f t="shared" si="221"/>
        <v>2.7095632779935186</v>
      </c>
      <c r="CG254" s="38">
        <f t="shared" si="222"/>
        <v>7.9665204812196961</v>
      </c>
      <c r="CH254" s="15"/>
      <c r="CI254" s="16"/>
      <c r="CJ254" s="13"/>
      <c r="CK254" s="104"/>
      <c r="CL254" s="13"/>
      <c r="CM254" s="13"/>
      <c r="CN254" s="13"/>
      <c r="CO254" s="16"/>
      <c r="CP254" s="16"/>
      <c r="CQ254" s="16"/>
      <c r="CR254" s="16"/>
      <c r="CS254" s="16"/>
      <c r="CT254" s="16"/>
      <c r="CU254" s="16"/>
      <c r="CV254" s="16"/>
      <c r="CW254" s="16"/>
      <c r="CX254" s="16"/>
      <c r="CY254" s="104"/>
      <c r="CZ254" s="104"/>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3"/>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row>
    <row r="255" spans="1:167" x14ac:dyDescent="0.25">
      <c r="A255" s="35" t="s">
        <v>254</v>
      </c>
      <c r="B255" s="15">
        <v>762</v>
      </c>
      <c r="C255" s="102" t="s">
        <v>95</v>
      </c>
      <c r="D255" s="102" t="s">
        <v>106</v>
      </c>
      <c r="E255" s="15">
        <v>273</v>
      </c>
      <c r="F255" s="16">
        <v>64.3</v>
      </c>
      <c r="G255" s="16">
        <v>0</v>
      </c>
      <c r="H255" s="16">
        <v>21.85</v>
      </c>
      <c r="I255" s="16">
        <v>0</v>
      </c>
      <c r="J255" s="16">
        <v>0.20966435705929995</v>
      </c>
      <c r="K255" s="16">
        <v>0</v>
      </c>
      <c r="L255" s="16">
        <v>0</v>
      </c>
      <c r="M255" s="16">
        <v>3.33</v>
      </c>
      <c r="N255" s="16">
        <v>8.93</v>
      </c>
      <c r="O255" s="16">
        <v>1.75</v>
      </c>
      <c r="P255" s="16"/>
      <c r="Q255" s="16"/>
      <c r="R255" s="16"/>
      <c r="S255" s="16">
        <f t="shared" si="168"/>
        <v>100.36966435705929</v>
      </c>
      <c r="T255" s="16"/>
      <c r="U255" s="15">
        <v>4</v>
      </c>
      <c r="V255" s="15">
        <v>14</v>
      </c>
      <c r="W255" s="15">
        <v>84.5</v>
      </c>
      <c r="X255" s="15" t="s">
        <v>186</v>
      </c>
      <c r="Y255" s="15"/>
      <c r="Z255" s="37">
        <v>8</v>
      </c>
      <c r="AA255" s="37">
        <v>5</v>
      </c>
      <c r="AB255" s="15"/>
      <c r="AC255" s="38">
        <f t="shared" si="169"/>
        <v>2.8460677092862721</v>
      </c>
      <c r="AD255" s="38">
        <f t="shared" si="170"/>
        <v>0</v>
      </c>
      <c r="AE255" s="38">
        <f t="shared" si="171"/>
        <v>1.1397662405438584</v>
      </c>
      <c r="AF255" s="38">
        <f t="shared" si="172"/>
        <v>0</v>
      </c>
      <c r="AG255" s="38">
        <f t="shared" si="173"/>
        <v>7.7600052168035477E-3</v>
      </c>
      <c r="AH255" s="38">
        <f t="shared" si="174"/>
        <v>0</v>
      </c>
      <c r="AI255" s="38">
        <f t="shared" si="175"/>
        <v>0</v>
      </c>
      <c r="AJ255" s="38">
        <f t="shared" si="176"/>
        <v>0.1579066454590396</v>
      </c>
      <c r="AK255" s="38">
        <f t="shared" si="177"/>
        <v>0.76629159429199245</v>
      </c>
      <c r="AL255" s="38">
        <f t="shared" si="178"/>
        <v>9.8805545579657011E-2</v>
      </c>
      <c r="AM255" s="38">
        <f t="shared" si="179"/>
        <v>0</v>
      </c>
      <c r="AN255" s="38">
        <f t="shared" si="180"/>
        <v>0</v>
      </c>
      <c r="AO255" s="38">
        <f t="shared" si="181"/>
        <v>0</v>
      </c>
      <c r="AP255" s="38">
        <f t="shared" si="182"/>
        <v>5.0165977403776223</v>
      </c>
      <c r="AQ255" s="38">
        <f t="shared" si="183"/>
        <v>3.9858339498301305</v>
      </c>
      <c r="AR255" s="38">
        <f t="shared" si="184"/>
        <v>1.023003785330689</v>
      </c>
      <c r="AS255" s="40"/>
      <c r="AT255" s="38">
        <f t="shared" si="185"/>
        <v>2.8366513088929022</v>
      </c>
      <c r="AU255" s="38">
        <f t="shared" si="186"/>
        <v>0</v>
      </c>
      <c r="AV255" s="38">
        <f t="shared" si="187"/>
        <v>1.1359952496989152</v>
      </c>
      <c r="AW255" s="38">
        <f t="shared" si="188"/>
        <v>0</v>
      </c>
      <c r="AX255" s="38">
        <f t="shared" si="189"/>
        <v>0</v>
      </c>
      <c r="AY255" s="38">
        <f t="shared" si="190"/>
        <v>7.7343307340996953E-3</v>
      </c>
      <c r="AZ255" s="38">
        <f t="shared" si="191"/>
        <v>0</v>
      </c>
      <c r="BA255" s="38">
        <f t="shared" si="192"/>
        <v>0</v>
      </c>
      <c r="BB255" s="38">
        <f t="shared" si="193"/>
        <v>0.157384201037368</v>
      </c>
      <c r="BC255" s="38">
        <f t="shared" si="194"/>
        <v>0.7637562686402577</v>
      </c>
      <c r="BD255" s="38">
        <f t="shared" si="195"/>
        <v>9.8478640996456937E-2</v>
      </c>
      <c r="BE255" s="38">
        <f t="shared" si="196"/>
        <v>0</v>
      </c>
      <c r="BF255" s="38">
        <f t="shared" si="197"/>
        <v>0</v>
      </c>
      <c r="BG255" s="38">
        <f t="shared" si="198"/>
        <v>0</v>
      </c>
      <c r="BH255" s="41">
        <f t="shared" si="199"/>
        <v>4.9999999999999991</v>
      </c>
      <c r="BI255" s="42">
        <f t="shared" si="200"/>
        <v>7.9773986442910525</v>
      </c>
      <c r="BJ255" s="38">
        <f t="shared" si="201"/>
        <v>3.9726465585918174</v>
      </c>
      <c r="BK255" s="38">
        <f t="shared" si="202"/>
        <v>1.0196191106740826</v>
      </c>
      <c r="BL255" s="16"/>
      <c r="BM255" s="16">
        <f t="shared" si="203"/>
        <v>0.15435587602248785</v>
      </c>
      <c r="BN255" s="16">
        <f t="shared" si="204"/>
        <v>0.74906037033312289</v>
      </c>
      <c r="BO255" s="16">
        <f t="shared" si="205"/>
        <v>9.6583753644389328E-2</v>
      </c>
      <c r="BP255" s="15"/>
      <c r="BQ255" s="38">
        <f t="shared" si="206"/>
        <v>1.0702396804260985</v>
      </c>
      <c r="BR255" s="38">
        <f t="shared" si="207"/>
        <v>0</v>
      </c>
      <c r="BS255" s="38">
        <f t="shared" si="208"/>
        <v>0.42859945076500594</v>
      </c>
      <c r="BT255" s="38">
        <f t="shared" si="209"/>
        <v>0</v>
      </c>
      <c r="BU255" s="38">
        <f t="shared" si="210"/>
        <v>2.918084301451635E-3</v>
      </c>
      <c r="BV255" s="38">
        <f t="shared" si="211"/>
        <v>0</v>
      </c>
      <c r="BW255" s="38">
        <f t="shared" si="212"/>
        <v>0</v>
      </c>
      <c r="BX255" s="38">
        <f t="shared" si="213"/>
        <v>5.9379457917261055E-2</v>
      </c>
      <c r="BY255" s="38">
        <f t="shared" si="214"/>
        <v>0.28815747015166182</v>
      </c>
      <c r="BZ255" s="38">
        <f t="shared" si="215"/>
        <v>3.7154989384288746E-2</v>
      </c>
      <c r="CA255" s="38">
        <f t="shared" si="216"/>
        <v>0</v>
      </c>
      <c r="CB255" s="38">
        <f t="shared" si="217"/>
        <v>0</v>
      </c>
      <c r="CC255" s="38">
        <f t="shared" si="218"/>
        <v>0</v>
      </c>
      <c r="CD255" s="38">
        <f t="shared" si="219"/>
        <v>1.8864491329457678</v>
      </c>
      <c r="CE255" s="38">
        <f t="shared" si="220"/>
        <v>3.008332308986394</v>
      </c>
      <c r="CF255" s="38">
        <f t="shared" si="221"/>
        <v>2.6504822805332124</v>
      </c>
      <c r="CG255" s="38">
        <f t="shared" si="222"/>
        <v>7.9735314789240022</v>
      </c>
      <c r="CH255" s="15"/>
      <c r="CI255" s="16"/>
      <c r="CJ255" s="13"/>
      <c r="CK255" s="104"/>
      <c r="CL255" s="13"/>
      <c r="CM255" s="13"/>
      <c r="CN255" s="13"/>
      <c r="CO255" s="16"/>
      <c r="CP255" s="16"/>
      <c r="CQ255" s="16"/>
      <c r="CR255" s="16"/>
      <c r="CS255" s="16"/>
      <c r="CT255" s="16"/>
      <c r="CU255" s="16"/>
      <c r="CV255" s="16"/>
      <c r="CW255" s="16"/>
      <c r="CX255" s="16"/>
      <c r="CY255" s="104"/>
      <c r="CZ255" s="104"/>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3"/>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row>
    <row r="256" spans="1:167" x14ac:dyDescent="0.25">
      <c r="A256" s="35" t="s">
        <v>254</v>
      </c>
      <c r="B256" s="15">
        <v>763</v>
      </c>
      <c r="C256" s="102" t="s">
        <v>95</v>
      </c>
      <c r="D256" s="102" t="s">
        <v>106</v>
      </c>
      <c r="E256" s="15">
        <v>274</v>
      </c>
      <c r="F256" s="16">
        <v>64.61</v>
      </c>
      <c r="G256" s="16">
        <v>0</v>
      </c>
      <c r="H256" s="16">
        <v>21.44</v>
      </c>
      <c r="I256" s="16">
        <v>0</v>
      </c>
      <c r="J256" s="16">
        <v>0.25735624943759561</v>
      </c>
      <c r="K256" s="16">
        <v>0</v>
      </c>
      <c r="L256" s="16">
        <v>0</v>
      </c>
      <c r="M256" s="16">
        <v>3.14</v>
      </c>
      <c r="N256" s="16">
        <v>8.6999999999999993</v>
      </c>
      <c r="O256" s="16">
        <v>2.4</v>
      </c>
      <c r="P256" s="16"/>
      <c r="Q256" s="16"/>
      <c r="R256" s="16"/>
      <c r="S256" s="16">
        <f t="shared" si="168"/>
        <v>100.5473562494376</v>
      </c>
      <c r="T256" s="16"/>
      <c r="U256" s="15">
        <v>4</v>
      </c>
      <c r="V256" s="15">
        <v>15</v>
      </c>
      <c r="W256" s="15">
        <v>91</v>
      </c>
      <c r="X256" s="15" t="s">
        <v>186</v>
      </c>
      <c r="Y256" s="15"/>
      <c r="Z256" s="37">
        <v>8</v>
      </c>
      <c r="AA256" s="37">
        <v>5</v>
      </c>
      <c r="AB256" s="15"/>
      <c r="AC256" s="38">
        <f t="shared" si="169"/>
        <v>2.861005289484571</v>
      </c>
      <c r="AD256" s="38">
        <f t="shared" si="170"/>
        <v>0</v>
      </c>
      <c r="AE256" s="38">
        <f t="shared" si="171"/>
        <v>1.1188549654038167</v>
      </c>
      <c r="AF256" s="38">
        <f t="shared" si="172"/>
        <v>0</v>
      </c>
      <c r="AG256" s="38">
        <f t="shared" si="173"/>
        <v>9.5292076343605515E-3</v>
      </c>
      <c r="AH256" s="38">
        <f t="shared" si="174"/>
        <v>0</v>
      </c>
      <c r="AI256" s="38">
        <f t="shared" si="175"/>
        <v>0</v>
      </c>
      <c r="AJ256" s="38">
        <f t="shared" si="176"/>
        <v>0.14896028234247238</v>
      </c>
      <c r="AK256" s="38">
        <f t="shared" si="177"/>
        <v>0.74687258797026057</v>
      </c>
      <c r="AL256" s="38">
        <f t="shared" si="178"/>
        <v>0.13556237792633941</v>
      </c>
      <c r="AM256" s="38">
        <f t="shared" si="179"/>
        <v>0</v>
      </c>
      <c r="AN256" s="38">
        <f t="shared" si="180"/>
        <v>0</v>
      </c>
      <c r="AO256" s="38">
        <f t="shared" si="181"/>
        <v>0</v>
      </c>
      <c r="AP256" s="38">
        <f t="shared" si="182"/>
        <v>5.0207847107618209</v>
      </c>
      <c r="AQ256" s="38">
        <f t="shared" si="183"/>
        <v>3.9798602548883877</v>
      </c>
      <c r="AR256" s="38">
        <f t="shared" si="184"/>
        <v>1.0313952482390722</v>
      </c>
      <c r="AS256" s="40"/>
      <c r="AT256" s="38">
        <f t="shared" si="185"/>
        <v>2.8491614899879472</v>
      </c>
      <c r="AU256" s="38">
        <f t="shared" si="186"/>
        <v>0</v>
      </c>
      <c r="AV256" s="38">
        <f t="shared" si="187"/>
        <v>1.1142232039999671</v>
      </c>
      <c r="AW256" s="38">
        <f t="shared" si="188"/>
        <v>0</v>
      </c>
      <c r="AX256" s="38">
        <f t="shared" si="189"/>
        <v>0</v>
      </c>
      <c r="AY256" s="38">
        <f t="shared" si="190"/>
        <v>9.4897592541013896E-3</v>
      </c>
      <c r="AZ256" s="38">
        <f t="shared" si="191"/>
        <v>0</v>
      </c>
      <c r="BA256" s="38">
        <f t="shared" si="192"/>
        <v>0</v>
      </c>
      <c r="BB256" s="38">
        <f t="shared" si="193"/>
        <v>0.14834362646857061</v>
      </c>
      <c r="BC256" s="38">
        <f t="shared" si="194"/>
        <v>0.74378073448297188</v>
      </c>
      <c r="BD256" s="38">
        <f t="shared" si="195"/>
        <v>0.13500118580644146</v>
      </c>
      <c r="BE256" s="38">
        <f t="shared" si="196"/>
        <v>0</v>
      </c>
      <c r="BF256" s="38">
        <f t="shared" si="197"/>
        <v>0</v>
      </c>
      <c r="BG256" s="38">
        <f t="shared" si="198"/>
        <v>0</v>
      </c>
      <c r="BH256" s="41">
        <f t="shared" si="199"/>
        <v>5</v>
      </c>
      <c r="BI256" s="42">
        <f t="shared" si="200"/>
        <v>7.9716270114702743</v>
      </c>
      <c r="BJ256" s="38">
        <f t="shared" si="201"/>
        <v>3.9633846939879143</v>
      </c>
      <c r="BK256" s="38">
        <f t="shared" si="202"/>
        <v>1.0271255467579838</v>
      </c>
      <c r="BL256" s="16"/>
      <c r="BM256" s="16">
        <f t="shared" si="203"/>
        <v>0.14442599245710713</v>
      </c>
      <c r="BN256" s="16">
        <f t="shared" si="204"/>
        <v>0.72413809278781871</v>
      </c>
      <c r="BO256" s="16">
        <f t="shared" si="205"/>
        <v>0.1314359147550743</v>
      </c>
      <c r="BP256" s="15"/>
      <c r="BQ256" s="38">
        <f t="shared" si="206"/>
        <v>1.075399467376831</v>
      </c>
      <c r="BR256" s="38">
        <f t="shared" si="207"/>
        <v>0</v>
      </c>
      <c r="BS256" s="38">
        <f t="shared" si="208"/>
        <v>0.42055708120831703</v>
      </c>
      <c r="BT256" s="38">
        <f t="shared" si="209"/>
        <v>0</v>
      </c>
      <c r="BU256" s="38">
        <f t="shared" si="210"/>
        <v>3.5818545502796888E-3</v>
      </c>
      <c r="BV256" s="38">
        <f t="shared" si="211"/>
        <v>0</v>
      </c>
      <c r="BW256" s="38">
        <f t="shared" si="212"/>
        <v>0</v>
      </c>
      <c r="BX256" s="38">
        <f t="shared" si="213"/>
        <v>5.5991440798858774E-2</v>
      </c>
      <c r="BY256" s="38">
        <f t="shared" si="214"/>
        <v>0.2807357212003872</v>
      </c>
      <c r="BZ256" s="38">
        <f t="shared" si="215"/>
        <v>5.0955414012738849E-2</v>
      </c>
      <c r="CA256" s="38">
        <f t="shared" si="216"/>
        <v>0</v>
      </c>
      <c r="CB256" s="38">
        <f t="shared" si="217"/>
        <v>0</v>
      </c>
      <c r="CC256" s="38">
        <f t="shared" si="218"/>
        <v>0</v>
      </c>
      <c r="CD256" s="38">
        <f t="shared" si="219"/>
        <v>1.8872209791474126</v>
      </c>
      <c r="CE256" s="38">
        <f t="shared" si="220"/>
        <v>3.007053419521839</v>
      </c>
      <c r="CF256" s="38">
        <f t="shared" si="221"/>
        <v>2.6493982714514139</v>
      </c>
      <c r="CG256" s="38">
        <f t="shared" si="222"/>
        <v>7.9668821318432235</v>
      </c>
      <c r="CH256" s="15"/>
      <c r="CI256" s="16"/>
      <c r="CJ256" s="13"/>
      <c r="CK256" s="104"/>
      <c r="CL256" s="13"/>
      <c r="CM256" s="13"/>
      <c r="CN256" s="13"/>
      <c r="CO256" s="16"/>
      <c r="CP256" s="16"/>
      <c r="CQ256" s="16"/>
      <c r="CR256" s="16"/>
      <c r="CS256" s="16"/>
      <c r="CT256" s="16"/>
      <c r="CU256" s="16"/>
      <c r="CV256" s="16"/>
      <c r="CW256" s="16"/>
      <c r="CX256" s="16"/>
      <c r="CY256" s="104"/>
      <c r="CZ256" s="104"/>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3"/>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row>
    <row r="257" spans="1:167" x14ac:dyDescent="0.25">
      <c r="A257" s="35" t="s">
        <v>254</v>
      </c>
      <c r="B257" s="15">
        <v>764</v>
      </c>
      <c r="C257" s="102" t="s">
        <v>95</v>
      </c>
      <c r="D257" s="102" t="s">
        <v>106</v>
      </c>
      <c r="E257" s="15">
        <v>275</v>
      </c>
      <c r="F257" s="16">
        <v>65.55</v>
      </c>
      <c r="G257" s="16">
        <v>0</v>
      </c>
      <c r="H257" s="16">
        <v>20.77</v>
      </c>
      <c r="I257" s="16">
        <v>0</v>
      </c>
      <c r="J257" s="16">
        <v>0.23036083865742826</v>
      </c>
      <c r="K257" s="16">
        <v>0</v>
      </c>
      <c r="L257" s="16">
        <v>0</v>
      </c>
      <c r="M257" s="16">
        <v>2.2200000000000002</v>
      </c>
      <c r="N257" s="16">
        <v>8.39</v>
      </c>
      <c r="O257" s="16">
        <v>3.51</v>
      </c>
      <c r="P257" s="16"/>
      <c r="Q257" s="16"/>
      <c r="R257" s="16"/>
      <c r="S257" s="16">
        <f t="shared" si="168"/>
        <v>100.67036083865743</v>
      </c>
      <c r="T257" s="16"/>
      <c r="U257" s="15">
        <v>4</v>
      </c>
      <c r="V257" s="15">
        <v>16</v>
      </c>
      <c r="W257" s="15">
        <v>97.5</v>
      </c>
      <c r="X257" s="15" t="s">
        <v>186</v>
      </c>
      <c r="Y257" s="15"/>
      <c r="Z257" s="37">
        <v>8</v>
      </c>
      <c r="AA257" s="37">
        <v>5</v>
      </c>
      <c r="AB257" s="15"/>
      <c r="AC257" s="38">
        <f t="shared" si="169"/>
        <v>2.9011062353398764</v>
      </c>
      <c r="AD257" s="38">
        <f t="shared" si="170"/>
        <v>0</v>
      </c>
      <c r="AE257" s="38">
        <f t="shared" si="171"/>
        <v>1.0833219077256466</v>
      </c>
      <c r="AF257" s="38">
        <f t="shared" si="172"/>
        <v>0</v>
      </c>
      <c r="AG257" s="38">
        <f t="shared" si="173"/>
        <v>8.5251639333924403E-3</v>
      </c>
      <c r="AH257" s="38">
        <f t="shared" si="174"/>
        <v>0</v>
      </c>
      <c r="AI257" s="38">
        <f t="shared" si="175"/>
        <v>0</v>
      </c>
      <c r="AJ257" s="38">
        <f t="shared" si="176"/>
        <v>0.1052605972656116</v>
      </c>
      <c r="AK257" s="38">
        <f t="shared" si="177"/>
        <v>0.71988188477189152</v>
      </c>
      <c r="AL257" s="38">
        <f t="shared" si="178"/>
        <v>0.19815592829365158</v>
      </c>
      <c r="AM257" s="38">
        <f t="shared" si="179"/>
        <v>0</v>
      </c>
      <c r="AN257" s="38">
        <f t="shared" si="180"/>
        <v>0</v>
      </c>
      <c r="AO257" s="38">
        <f t="shared" si="181"/>
        <v>0</v>
      </c>
      <c r="AP257" s="38">
        <f t="shared" si="182"/>
        <v>5.0162517173300705</v>
      </c>
      <c r="AQ257" s="38">
        <f t="shared" si="183"/>
        <v>3.9844281430655233</v>
      </c>
      <c r="AR257" s="38">
        <f t="shared" si="184"/>
        <v>1.0232984103311547</v>
      </c>
      <c r="AS257" s="40"/>
      <c r="AT257" s="38">
        <f t="shared" si="185"/>
        <v>2.8917071937570227</v>
      </c>
      <c r="AU257" s="38">
        <f t="shared" si="186"/>
        <v>0</v>
      </c>
      <c r="AV257" s="38">
        <f t="shared" si="187"/>
        <v>1.0798121473679267</v>
      </c>
      <c r="AW257" s="38">
        <f t="shared" si="188"/>
        <v>0</v>
      </c>
      <c r="AX257" s="38">
        <f t="shared" si="189"/>
        <v>0</v>
      </c>
      <c r="AY257" s="38">
        <f t="shared" si="190"/>
        <v>8.4975439967853224E-3</v>
      </c>
      <c r="AZ257" s="38">
        <f t="shared" si="191"/>
        <v>0</v>
      </c>
      <c r="BA257" s="38">
        <f t="shared" si="192"/>
        <v>0</v>
      </c>
      <c r="BB257" s="38">
        <f t="shared" si="193"/>
        <v>0.10491957261829474</v>
      </c>
      <c r="BC257" s="38">
        <f t="shared" si="194"/>
        <v>0.71754960211112861</v>
      </c>
      <c r="BD257" s="38">
        <f t="shared" si="195"/>
        <v>0.1975139401488421</v>
      </c>
      <c r="BE257" s="38">
        <f t="shared" si="196"/>
        <v>0</v>
      </c>
      <c r="BF257" s="38">
        <f t="shared" si="197"/>
        <v>0</v>
      </c>
      <c r="BG257" s="38">
        <f t="shared" si="198"/>
        <v>0</v>
      </c>
      <c r="BH257" s="41">
        <f t="shared" si="199"/>
        <v>5</v>
      </c>
      <c r="BI257" s="42">
        <f t="shared" si="200"/>
        <v>7.9783302683093931</v>
      </c>
      <c r="BJ257" s="38">
        <f t="shared" si="201"/>
        <v>3.9715193411249494</v>
      </c>
      <c r="BK257" s="38">
        <f t="shared" si="202"/>
        <v>1.0199831148782654</v>
      </c>
      <c r="BL257" s="16"/>
      <c r="BM257" s="16">
        <f t="shared" si="203"/>
        <v>0.1028640289117108</v>
      </c>
      <c r="BN257" s="16">
        <f t="shared" si="204"/>
        <v>0.70349164769925421</v>
      </c>
      <c r="BO257" s="16">
        <f t="shared" si="205"/>
        <v>0.19364432338903503</v>
      </c>
      <c r="BP257" s="15"/>
      <c r="BQ257" s="38">
        <f t="shared" si="206"/>
        <v>1.0910452729693743</v>
      </c>
      <c r="BR257" s="38">
        <f t="shared" si="207"/>
        <v>0</v>
      </c>
      <c r="BS257" s="38">
        <f t="shared" si="208"/>
        <v>0.40741467242055712</v>
      </c>
      <c r="BT257" s="38">
        <f t="shared" si="209"/>
        <v>0</v>
      </c>
      <c r="BU257" s="38">
        <f t="shared" si="210"/>
        <v>3.2061355415090925E-3</v>
      </c>
      <c r="BV257" s="38">
        <f t="shared" si="211"/>
        <v>0</v>
      </c>
      <c r="BW257" s="38">
        <f t="shared" si="212"/>
        <v>0</v>
      </c>
      <c r="BX257" s="38">
        <f t="shared" si="213"/>
        <v>3.9586305278174042E-2</v>
      </c>
      <c r="BY257" s="38">
        <f t="shared" si="214"/>
        <v>0.27073249435301716</v>
      </c>
      <c r="BZ257" s="38">
        <f t="shared" si="215"/>
        <v>7.4522292993630571E-2</v>
      </c>
      <c r="CA257" s="38">
        <f t="shared" si="216"/>
        <v>0</v>
      </c>
      <c r="CB257" s="38">
        <f t="shared" si="217"/>
        <v>0</v>
      </c>
      <c r="CC257" s="38">
        <f t="shared" si="218"/>
        <v>0</v>
      </c>
      <c r="CD257" s="38">
        <f t="shared" si="219"/>
        <v>1.8865071735562624</v>
      </c>
      <c r="CE257" s="38">
        <f t="shared" si="220"/>
        <v>3.0086323890625915</v>
      </c>
      <c r="CF257" s="38">
        <f t="shared" si="221"/>
        <v>2.6504007353306163</v>
      </c>
      <c r="CG257" s="38">
        <f t="shared" si="222"/>
        <v>7.9740814963110012</v>
      </c>
      <c r="CH257" s="15"/>
      <c r="CI257" s="16"/>
      <c r="CJ257" s="13"/>
      <c r="CK257" s="104"/>
      <c r="CL257" s="13"/>
      <c r="CM257" s="13"/>
      <c r="CN257" s="13"/>
      <c r="CO257" s="16"/>
      <c r="CP257" s="16"/>
      <c r="CQ257" s="16"/>
      <c r="CR257" s="16"/>
      <c r="CS257" s="16"/>
      <c r="CT257" s="16"/>
      <c r="CU257" s="16"/>
      <c r="CV257" s="16"/>
      <c r="CW257" s="16"/>
      <c r="CX257" s="16"/>
      <c r="CY257" s="104"/>
      <c r="CZ257" s="104"/>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3"/>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row>
    <row r="258" spans="1:167" x14ac:dyDescent="0.25">
      <c r="A258" s="35" t="s">
        <v>254</v>
      </c>
      <c r="B258" s="15">
        <v>765</v>
      </c>
      <c r="C258" s="102" t="s">
        <v>95</v>
      </c>
      <c r="D258" s="102" t="s">
        <v>106</v>
      </c>
      <c r="E258" s="15">
        <v>276</v>
      </c>
      <c r="F258" s="16">
        <v>65.75</v>
      </c>
      <c r="G258" s="16">
        <v>0</v>
      </c>
      <c r="H258" s="16">
        <v>20.46</v>
      </c>
      <c r="I258" s="16">
        <v>0</v>
      </c>
      <c r="J258" s="16">
        <v>0.60289750742373804</v>
      </c>
      <c r="K258" s="16">
        <v>0</v>
      </c>
      <c r="L258" s="16">
        <v>0</v>
      </c>
      <c r="M258" s="16">
        <v>2.1800000000000002</v>
      </c>
      <c r="N258" s="16">
        <v>8.5500000000000007</v>
      </c>
      <c r="O258" s="16">
        <v>3.11</v>
      </c>
      <c r="P258" s="16"/>
      <c r="Q258" s="16"/>
      <c r="R258" s="16"/>
      <c r="S258" s="16">
        <f t="shared" ref="S258:S314" si="224">SUM(F258:R258)</f>
        <v>100.65289750742375</v>
      </c>
      <c r="T258" s="16"/>
      <c r="U258" s="15"/>
      <c r="V258" s="15"/>
      <c r="W258" s="15"/>
      <c r="X258" s="15" t="s">
        <v>187</v>
      </c>
      <c r="Y258" s="15"/>
      <c r="Z258" s="37">
        <v>8</v>
      </c>
      <c r="AA258" s="37">
        <v>5</v>
      </c>
      <c r="AB258" s="15"/>
      <c r="AC258" s="38">
        <f t="shared" ref="AC258:AC314" si="225">BQ258*($Z258/$CE258)</f>
        <v>2.9096257044253035</v>
      </c>
      <c r="AD258" s="38">
        <f t="shared" ref="AD258:AD314" si="226">BR258*($Z258/$CE258)</f>
        <v>0</v>
      </c>
      <c r="AE258" s="38">
        <f t="shared" ref="AE258:AE314" si="227">BS258*($Z258/$CE258)</f>
        <v>1.0670311298117374</v>
      </c>
      <c r="AF258" s="38">
        <f t="shared" ref="AF258:AF314" si="228">BT258*($Z258/$CE258)</f>
        <v>0</v>
      </c>
      <c r="AG258" s="38">
        <f t="shared" ref="AG258:AG314" si="229">BU258*($Z258/$CE258)</f>
        <v>2.2309406017674532E-2</v>
      </c>
      <c r="AH258" s="38">
        <f t="shared" ref="AH258:AH314" si="230">BV258*($Z258/$CE258)</f>
        <v>0</v>
      </c>
      <c r="AI258" s="38">
        <f t="shared" ref="AI258:AI314" si="231">BW258*($Z258/$CE258)</f>
        <v>0</v>
      </c>
      <c r="AJ258" s="38">
        <f t="shared" ref="AJ258:AJ314" si="232">BX258*($Z258/$CE258)</f>
        <v>0.10335221298787758</v>
      </c>
      <c r="AK258" s="38">
        <f t="shared" ref="AK258:AK314" si="233">BY258*($Z258/$CE258)</f>
        <v>0.73352653700482684</v>
      </c>
      <c r="AL258" s="38">
        <f t="shared" ref="AL258:AL314" si="234">BZ258*($Z258/$CE258)</f>
        <v>0.17555401784764157</v>
      </c>
      <c r="AM258" s="38">
        <f t="shared" ref="AM258:AM314" si="235">CA258*($Z258/$CE258)</f>
        <v>0</v>
      </c>
      <c r="AN258" s="38">
        <f t="shared" ref="AN258:AN314" si="236">CB258*($Z258/$CE258)</f>
        <v>0</v>
      </c>
      <c r="AO258" s="38">
        <f t="shared" ref="AO258:AO314" si="237">CC258*($Z258/$CE258)</f>
        <v>0</v>
      </c>
      <c r="AP258" s="38">
        <f t="shared" ref="AP258:AP314" si="238">SUM(AC258:AN258)</f>
        <v>5.0113990080950614</v>
      </c>
      <c r="AQ258" s="38">
        <f t="shared" ref="AQ258:AQ314" si="239">AC258+AE258</f>
        <v>3.976656834237041</v>
      </c>
      <c r="AR258" s="38">
        <f t="shared" ref="AR258:AR314" si="240">SUM(AJ258:AL258)</f>
        <v>1.012432767840346</v>
      </c>
      <c r="AS258" s="40"/>
      <c r="AT258" s="38">
        <f t="shared" ref="AT258:AT314" si="241">IF($AA258&gt;0,BQ258*$CF258,"")</f>
        <v>2.9030074234014283</v>
      </c>
      <c r="AU258" s="38">
        <f t="shared" ref="AU258:AU314" si="242">IF($AA258&gt;0,BR258*$CF258,"")</f>
        <v>0</v>
      </c>
      <c r="AV258" s="38">
        <f t="shared" ref="AV258:AV314" si="243">IF($AA258&gt;0,BS258*$CF258,"")</f>
        <v>1.0646040437891</v>
      </c>
      <c r="AW258" s="38">
        <f t="shared" ref="AW258:AW314" si="244">IF($AA258&gt;0,BT258*$CF258,"")</f>
        <v>0</v>
      </c>
      <c r="AX258" s="38">
        <f t="shared" ref="AX258:AX314" si="245">IF($AA258&gt;0 +N("so a blank cell if no ideal cations set"),                         BU258*CF258-AY258,"")</f>
        <v>0</v>
      </c>
      <c r="AY258" s="38">
        <f t="shared" ref="AY258:AY314" si="246">IF($AA258&gt;0 +N("so a blank cell if no ideal cations set"),                                                                     IF(AP258&gt;AA258,                          IF(  2*Z258*(1-(AA258/AP258))   &lt;   BU258*CF258,    2*Z258*(1-(AA258/AP258)),    BU258*CF258),0),"")</f>
        <v>2.2258660687003259E-2</v>
      </c>
      <c r="AZ258" s="38">
        <f t="shared" ref="AZ258:AZ314" si="247">IF($AA258&gt;0,BV258*$CF258,"")</f>
        <v>0</v>
      </c>
      <c r="BA258" s="38">
        <f t="shared" ref="BA258:BA314" si="248">IF($AA258&gt;0,BW258*$CF258,"")</f>
        <v>0</v>
      </c>
      <c r="BB258" s="38">
        <f t="shared" ref="BB258:BB314" si="249">IF($AA258&gt;0,BX258*$CF258,"")</f>
        <v>0.1031171263961717</v>
      </c>
      <c r="BC258" s="38">
        <f t="shared" ref="BC258:BC314" si="250">IF($AA258&gt;0,BY258*$CF258,"")</f>
        <v>0.73185804584701764</v>
      </c>
      <c r="BD258" s="38">
        <f t="shared" ref="BD258:BD314" si="251">IF($AA258&gt;0,BZ258*$CF258,"")</f>
        <v>0.17515469987927917</v>
      </c>
      <c r="BE258" s="38">
        <f t="shared" ref="BE258:BE314" si="252">IF($AA258&gt;0,CA258*$CF258,"")</f>
        <v>0</v>
      </c>
      <c r="BF258" s="38">
        <f t="shared" ref="BF258:BF314" si="253">IF($AA258&gt;0,CB258*$CF258,"")</f>
        <v>0</v>
      </c>
      <c r="BG258" s="38">
        <f t="shared" ref="BG258:BG314" si="254">IF($AA258&gt;0,CC258*$CF258,"")</f>
        <v>0</v>
      </c>
      <c r="BH258" s="41">
        <f t="shared" ref="BH258:BH314" si="255">IF(AA258&gt;0,SUM(AT258:BF258),"")</f>
        <v>5</v>
      </c>
      <c r="BI258" s="42">
        <f t="shared" ref="BI258:BI314" si="256">(AT258+AU258)*2+(AV258+AW258+AY258)*1.5+AX258+AZ258+BA258+BB258+(BC258+BD258)*0.5+BE258*2.5+BF258*3  -(0.5*(BG258))</f>
        <v>7.9929324027763311</v>
      </c>
      <c r="BJ258" s="38">
        <f t="shared" ref="BJ258:BJ314" si="257">IF(AA258&gt;0,AT258+AV258,"")</f>
        <v>3.9676114671905283</v>
      </c>
      <c r="BK258" s="38">
        <f t="shared" ref="BK258:BK314" si="258">IF(AA258&gt;0,SUM(BB258:BD258),"")</f>
        <v>1.0101298721224685</v>
      </c>
      <c r="BL258" s="16"/>
      <c r="BM258" s="16">
        <f t="shared" ref="BM258:BM314" si="259">AJ258/(AJ258+AK258+AL258)</f>
        <v>0.10208303827259722</v>
      </c>
      <c r="BN258" s="16">
        <f t="shared" ref="BN258:BN314" si="260">AK258/(AK258+AJ258+AL258)</f>
        <v>0.72451876342321153</v>
      </c>
      <c r="BO258" s="16">
        <f t="shared" ref="BO258:BO314" si="261">AL258/(AJ258+AK258+AL258)</f>
        <v>0.17339819830419129</v>
      </c>
      <c r="BP258" s="15"/>
      <c r="BQ258" s="38">
        <f t="shared" ref="BQ258:BQ314" si="262">F258/60.08</f>
        <v>1.0943741677762984</v>
      </c>
      <c r="BR258" s="38">
        <f t="shared" ref="BR258:BR314" si="263">G258/79.88</f>
        <v>0</v>
      </c>
      <c r="BS258" s="38">
        <f t="shared" ref="BS258:BS314" si="264">H258/101.96*2</f>
        <v>0.40133385641428015</v>
      </c>
      <c r="BT258" s="38">
        <f t="shared" ref="BT258:BT314" si="265">I258/151.99*2</f>
        <v>0</v>
      </c>
      <c r="BU258" s="38">
        <f t="shared" ref="BU258:BU314" si="266">J258/71.85</f>
        <v>8.3910578625433271E-3</v>
      </c>
      <c r="BV258" s="38">
        <f t="shared" ref="BV258:BV314" si="267">K258/70.94</f>
        <v>0</v>
      </c>
      <c r="BW258" s="38">
        <f t="shared" ref="BW258:BW314" si="268">L258/40.3</f>
        <v>0</v>
      </c>
      <c r="BX258" s="38">
        <f t="shared" ref="BX258:BX314" si="269">M258/56.08</f>
        <v>3.887303851640514E-2</v>
      </c>
      <c r="BY258" s="38">
        <f t="shared" ref="BY258:BY314" si="270">N258/61.98*2</f>
        <v>0.27589545014520817</v>
      </c>
      <c r="BZ258" s="38">
        <f t="shared" ref="BZ258:BZ314" si="271">O258/94.2*2</f>
        <v>6.602972399150743E-2</v>
      </c>
      <c r="CA258" s="38">
        <f t="shared" ref="CA258:CA314" si="272">P258/141.94*2</f>
        <v>0</v>
      </c>
      <c r="CB258" s="38">
        <f t="shared" ref="CB258:CB314" si="273">Q258/80.06</f>
        <v>0</v>
      </c>
      <c r="CC258" s="38">
        <f t="shared" ref="CC258:CC314" si="274">R258/35.45</f>
        <v>0</v>
      </c>
      <c r="CD258" s="38">
        <f t="shared" ref="CD258:CD314" si="275">SUM(BQ258:CB258)</f>
        <v>1.8848972947062426</v>
      </c>
      <c r="CE258" s="38">
        <f t="shared" ref="CE258:CE314" si="276">(BQ258+BR258)*2+(BS258+BT258)*1.5+BU258+BV258+BW258+BX258+(BY258+BZ258)*0.5+CA258*2.5+CB258*3+     -(0.5*(CC258))</f>
        <v>3.0089758036213232</v>
      </c>
      <c r="CF258" s="38">
        <f t="shared" ref="CF258:CF314" si="277">AA258/CD258</f>
        <v>2.6526644258244532</v>
      </c>
      <c r="CG258" s="38">
        <f t="shared" ref="CG258:CG314" si="278">CE258*CF258</f>
        <v>7.9818030724328297</v>
      </c>
      <c r="CH258" s="15"/>
      <c r="CI258" s="16"/>
      <c r="CJ258" s="13"/>
      <c r="CK258" s="104"/>
      <c r="CL258" s="13"/>
      <c r="CM258" s="13"/>
      <c r="CN258" s="13"/>
      <c r="CO258" s="16"/>
      <c r="CP258" s="16"/>
      <c r="CQ258" s="16"/>
      <c r="CR258" s="16"/>
      <c r="CS258" s="16"/>
      <c r="CT258" s="16"/>
      <c r="CU258" s="16"/>
      <c r="CV258" s="16"/>
      <c r="CW258" s="16"/>
      <c r="CX258" s="16"/>
      <c r="CY258" s="104"/>
      <c r="CZ258" s="104"/>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3"/>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row>
    <row r="259" spans="1:167" x14ac:dyDescent="0.25">
      <c r="A259" s="35" t="s">
        <v>254</v>
      </c>
      <c r="B259" s="15">
        <v>769</v>
      </c>
      <c r="C259" s="102" t="s">
        <v>95</v>
      </c>
      <c r="D259" s="102" t="s">
        <v>106</v>
      </c>
      <c r="E259" s="15">
        <v>280</v>
      </c>
      <c r="F259" s="16">
        <v>65.33</v>
      </c>
      <c r="G259" s="16">
        <v>0</v>
      </c>
      <c r="H259" s="16">
        <v>20.77</v>
      </c>
      <c r="I259" s="16">
        <v>0</v>
      </c>
      <c r="J259" s="16">
        <v>0.55790515612345903</v>
      </c>
      <c r="K259" s="16">
        <v>0</v>
      </c>
      <c r="L259" s="16">
        <v>0</v>
      </c>
      <c r="M259" s="16">
        <v>2.2799999999999998</v>
      </c>
      <c r="N259" s="16">
        <v>8.68</v>
      </c>
      <c r="O259" s="16">
        <v>2.91</v>
      </c>
      <c r="P259" s="16"/>
      <c r="Q259" s="16"/>
      <c r="R259" s="16"/>
      <c r="S259" s="16">
        <f t="shared" si="224"/>
        <v>100.52790515612344</v>
      </c>
      <c r="T259" s="16"/>
      <c r="U259" s="15"/>
      <c r="V259" s="15"/>
      <c r="W259" s="15"/>
      <c r="X259" s="15" t="s">
        <v>252</v>
      </c>
      <c r="Y259" s="15" t="s">
        <v>260</v>
      </c>
      <c r="Z259" s="37">
        <v>8</v>
      </c>
      <c r="AA259" s="37">
        <v>5</v>
      </c>
      <c r="AB259" s="15"/>
      <c r="AC259" s="38">
        <f t="shared" si="225"/>
        <v>2.8946266527197548</v>
      </c>
      <c r="AD259" s="38">
        <f t="shared" si="226"/>
        <v>0</v>
      </c>
      <c r="AE259" s="38">
        <f t="shared" si="227"/>
        <v>1.0845422813319727</v>
      </c>
      <c r="AF259" s="38">
        <f t="shared" si="228"/>
        <v>0</v>
      </c>
      <c r="AG259" s="38">
        <f t="shared" si="229"/>
        <v>2.0670140331826996E-2</v>
      </c>
      <c r="AH259" s="38">
        <f t="shared" si="230"/>
        <v>0</v>
      </c>
      <c r="AI259" s="38">
        <f t="shared" si="231"/>
        <v>0</v>
      </c>
      <c r="AJ259" s="38">
        <f t="shared" si="232"/>
        <v>0.10822726023938996</v>
      </c>
      <c r="AK259" s="38">
        <f t="shared" si="233"/>
        <v>0.74560355726908101</v>
      </c>
      <c r="AL259" s="38">
        <f t="shared" si="234"/>
        <v>0.1644681867135501</v>
      </c>
      <c r="AM259" s="38">
        <f t="shared" si="235"/>
        <v>0</v>
      </c>
      <c r="AN259" s="38">
        <f t="shared" si="236"/>
        <v>0</v>
      </c>
      <c r="AO259" s="38">
        <f t="shared" si="237"/>
        <v>0</v>
      </c>
      <c r="AP259" s="38">
        <f t="shared" si="238"/>
        <v>5.0181380786055749</v>
      </c>
      <c r="AQ259" s="38">
        <f t="shared" si="239"/>
        <v>3.9791689340517276</v>
      </c>
      <c r="AR259" s="38">
        <f t="shared" si="240"/>
        <v>1.018299004222021</v>
      </c>
      <c r="AS259" s="40"/>
      <c r="AT259" s="38">
        <f t="shared" si="241"/>
        <v>2.8841640140002927</v>
      </c>
      <c r="AU259" s="38">
        <f t="shared" si="242"/>
        <v>0</v>
      </c>
      <c r="AV259" s="38">
        <f t="shared" si="243"/>
        <v>1.0806221992533749</v>
      </c>
      <c r="AW259" s="38">
        <f t="shared" si="244"/>
        <v>0</v>
      </c>
      <c r="AX259" s="38">
        <f t="shared" si="245"/>
        <v>0</v>
      </c>
      <c r="AY259" s="38">
        <f t="shared" si="246"/>
        <v>2.0595428033310263E-2</v>
      </c>
      <c r="AZ259" s="38">
        <f t="shared" si="247"/>
        <v>0</v>
      </c>
      <c r="BA259" s="38">
        <f t="shared" si="248"/>
        <v>0</v>
      </c>
      <c r="BB259" s="38">
        <f t="shared" si="249"/>
        <v>0.10783607240782003</v>
      </c>
      <c r="BC259" s="38">
        <f t="shared" si="250"/>
        <v>0.74290857045953085</v>
      </c>
      <c r="BD259" s="38">
        <f t="shared" si="251"/>
        <v>0.16387371584567079</v>
      </c>
      <c r="BE259" s="38">
        <f t="shared" si="252"/>
        <v>0</v>
      </c>
      <c r="BF259" s="38">
        <f t="shared" si="253"/>
        <v>0</v>
      </c>
      <c r="BG259" s="38">
        <f t="shared" si="254"/>
        <v>0</v>
      </c>
      <c r="BH259" s="41">
        <f t="shared" si="255"/>
        <v>4.9999999999999991</v>
      </c>
      <c r="BI259" s="42">
        <f t="shared" si="256"/>
        <v>7.9813816844910344</v>
      </c>
      <c r="BJ259" s="38">
        <f t="shared" si="257"/>
        <v>3.9647862132536673</v>
      </c>
      <c r="BK259" s="38">
        <f t="shared" si="258"/>
        <v>1.0146183587130215</v>
      </c>
      <c r="BL259" s="16"/>
      <c r="BM259" s="16">
        <f t="shared" si="259"/>
        <v>0.10628239818625319</v>
      </c>
      <c r="BN259" s="16">
        <f t="shared" si="260"/>
        <v>0.73220493605286496</v>
      </c>
      <c r="BO259" s="16">
        <f t="shared" si="261"/>
        <v>0.16151266576088186</v>
      </c>
      <c r="BP259" s="15"/>
      <c r="BQ259" s="38">
        <f t="shared" si="262"/>
        <v>1.0873834886817577</v>
      </c>
      <c r="BR259" s="38">
        <f t="shared" si="263"/>
        <v>0</v>
      </c>
      <c r="BS259" s="38">
        <f t="shared" si="264"/>
        <v>0.40741467242055712</v>
      </c>
      <c r="BT259" s="38">
        <f t="shared" si="265"/>
        <v>0</v>
      </c>
      <c r="BU259" s="38">
        <f t="shared" si="266"/>
        <v>7.7648595145923321E-3</v>
      </c>
      <c r="BV259" s="38">
        <f t="shared" si="267"/>
        <v>0</v>
      </c>
      <c r="BW259" s="38">
        <f t="shared" si="268"/>
        <v>0</v>
      </c>
      <c r="BX259" s="38">
        <f t="shared" si="269"/>
        <v>4.0656205420827388E-2</v>
      </c>
      <c r="BY259" s="38">
        <f t="shared" si="270"/>
        <v>0.28009035172636337</v>
      </c>
      <c r="BZ259" s="38">
        <f t="shared" si="271"/>
        <v>6.178343949044586E-2</v>
      </c>
      <c r="CA259" s="38">
        <f t="shared" si="272"/>
        <v>0</v>
      </c>
      <c r="CB259" s="38">
        <f t="shared" si="273"/>
        <v>0</v>
      </c>
      <c r="CC259" s="38">
        <f t="shared" si="274"/>
        <v>0</v>
      </c>
      <c r="CD259" s="38">
        <f t="shared" si="275"/>
        <v>1.8850930172545439</v>
      </c>
      <c r="CE259" s="38">
        <f t="shared" si="276"/>
        <v>3.005246946538175</v>
      </c>
      <c r="CF259" s="38">
        <f t="shared" si="277"/>
        <v>2.6523890090484858</v>
      </c>
      <c r="CG259" s="38">
        <f t="shared" si="278"/>
        <v>7.9710839704743783</v>
      </c>
      <c r="CH259" s="15"/>
      <c r="CI259" s="16"/>
      <c r="CJ259" s="13"/>
      <c r="CK259" s="104"/>
      <c r="CL259" s="13"/>
      <c r="CM259" s="13"/>
      <c r="CN259" s="13"/>
      <c r="CO259" s="16"/>
      <c r="CP259" s="16"/>
      <c r="CQ259" s="16"/>
      <c r="CR259" s="16"/>
      <c r="CS259" s="16"/>
      <c r="CT259" s="16"/>
      <c r="CU259" s="16"/>
      <c r="CV259" s="16"/>
      <c r="CW259" s="16"/>
      <c r="CX259" s="16"/>
      <c r="CY259" s="104"/>
      <c r="CZ259" s="104"/>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3"/>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row>
    <row r="260" spans="1:167" x14ac:dyDescent="0.25">
      <c r="A260" s="35" t="s">
        <v>88</v>
      </c>
      <c r="B260" s="15">
        <v>906</v>
      </c>
      <c r="C260" s="102" t="s">
        <v>100</v>
      </c>
      <c r="D260" s="102" t="s">
        <v>104</v>
      </c>
      <c r="E260" s="15">
        <v>64</v>
      </c>
      <c r="F260" s="16">
        <v>66.349999999999994</v>
      </c>
      <c r="G260" s="16">
        <v>0</v>
      </c>
      <c r="H260" s="16">
        <v>18.5</v>
      </c>
      <c r="I260" s="16">
        <v>0</v>
      </c>
      <c r="J260" s="16">
        <v>0.18176909925312698</v>
      </c>
      <c r="K260" s="16">
        <v>0</v>
      </c>
      <c r="L260" s="16">
        <v>0</v>
      </c>
      <c r="M260" s="16">
        <v>0.157</v>
      </c>
      <c r="N260" s="16">
        <v>3.29</v>
      </c>
      <c r="O260" s="16">
        <v>12.84</v>
      </c>
      <c r="P260" s="16">
        <v>0</v>
      </c>
      <c r="Q260" s="16"/>
      <c r="R260" s="16"/>
      <c r="S260" s="16">
        <f t="shared" si="224"/>
        <v>101.31876909925313</v>
      </c>
      <c r="T260" s="16"/>
      <c r="U260" s="15"/>
      <c r="V260" s="15"/>
      <c r="W260" s="15"/>
      <c r="X260" s="15" t="s">
        <v>187</v>
      </c>
      <c r="Y260" s="15"/>
      <c r="Z260" s="37">
        <v>8</v>
      </c>
      <c r="AA260" s="37">
        <v>5</v>
      </c>
      <c r="AB260" s="15"/>
      <c r="AC260" s="38">
        <f t="shared" si="225"/>
        <v>2.9971429308487343</v>
      </c>
      <c r="AD260" s="38">
        <f t="shared" si="226"/>
        <v>0</v>
      </c>
      <c r="AE260" s="38">
        <f t="shared" si="227"/>
        <v>0.98484605271856296</v>
      </c>
      <c r="AF260" s="38">
        <f t="shared" si="228"/>
        <v>0</v>
      </c>
      <c r="AG260" s="38">
        <f t="shared" si="229"/>
        <v>6.8657776400459494E-3</v>
      </c>
      <c r="AH260" s="38">
        <f t="shared" si="230"/>
        <v>0</v>
      </c>
      <c r="AI260" s="38">
        <f t="shared" si="231"/>
        <v>0</v>
      </c>
      <c r="AJ260" s="38">
        <f t="shared" si="232"/>
        <v>7.5978042251532533E-3</v>
      </c>
      <c r="AK260" s="38">
        <f t="shared" si="233"/>
        <v>0.28811825316863993</v>
      </c>
      <c r="AL260" s="38">
        <f t="shared" si="234"/>
        <v>0.73984470155033633</v>
      </c>
      <c r="AM260" s="38">
        <f t="shared" si="235"/>
        <v>0</v>
      </c>
      <c r="AN260" s="38">
        <f t="shared" si="236"/>
        <v>0</v>
      </c>
      <c r="AO260" s="38">
        <f t="shared" si="237"/>
        <v>0</v>
      </c>
      <c r="AP260" s="38">
        <f t="shared" si="238"/>
        <v>5.0244155201514733</v>
      </c>
      <c r="AQ260" s="38">
        <f t="shared" si="239"/>
        <v>3.9819889835672972</v>
      </c>
      <c r="AR260" s="38">
        <f t="shared" si="240"/>
        <v>1.0355607589441296</v>
      </c>
      <c r="AS260" s="40"/>
      <c r="AT260" s="38">
        <f t="shared" si="241"/>
        <v>2.9825786888326249</v>
      </c>
      <c r="AU260" s="38">
        <f t="shared" si="242"/>
        <v>0</v>
      </c>
      <c r="AV260" s="38">
        <f t="shared" si="243"/>
        <v>0.9800603162384075</v>
      </c>
      <c r="AW260" s="38">
        <f t="shared" si="244"/>
        <v>0</v>
      </c>
      <c r="AX260" s="38">
        <f t="shared" si="245"/>
        <v>0</v>
      </c>
      <c r="AY260" s="38">
        <f t="shared" si="246"/>
        <v>6.8324142504827753E-3</v>
      </c>
      <c r="AZ260" s="38">
        <f t="shared" si="247"/>
        <v>0</v>
      </c>
      <c r="BA260" s="38">
        <f t="shared" si="248"/>
        <v>0</v>
      </c>
      <c r="BB260" s="38">
        <f t="shared" si="249"/>
        <v>7.5608836437598215E-3</v>
      </c>
      <c r="BC260" s="38">
        <f t="shared" si="250"/>
        <v>0.28671817847576619</v>
      </c>
      <c r="BD260" s="38">
        <f t="shared" si="251"/>
        <v>0.7362495185589587</v>
      </c>
      <c r="BE260" s="38">
        <f t="shared" si="252"/>
        <v>0</v>
      </c>
      <c r="BF260" s="38">
        <f t="shared" si="253"/>
        <v>0</v>
      </c>
      <c r="BG260" s="38">
        <f t="shared" si="254"/>
        <v>0</v>
      </c>
      <c r="BH260" s="41">
        <f t="shared" si="255"/>
        <v>5</v>
      </c>
      <c r="BI260" s="42">
        <f t="shared" si="256"/>
        <v>7.9645412055597067</v>
      </c>
      <c r="BJ260" s="38">
        <f t="shared" si="257"/>
        <v>3.9626390050710323</v>
      </c>
      <c r="BK260" s="38">
        <f t="shared" si="258"/>
        <v>1.0305285806784847</v>
      </c>
      <c r="BL260" s="16"/>
      <c r="BM260" s="16">
        <f t="shared" si="259"/>
        <v>7.3368985446108127E-3</v>
      </c>
      <c r="BN260" s="16">
        <f t="shared" si="260"/>
        <v>0.2782243829540324</v>
      </c>
      <c r="BO260" s="16">
        <f t="shared" si="261"/>
        <v>0.71443871850135676</v>
      </c>
      <c r="BP260" s="15"/>
      <c r="BQ260" s="38">
        <f t="shared" si="262"/>
        <v>1.1043608521970705</v>
      </c>
      <c r="BR260" s="38">
        <f t="shared" si="263"/>
        <v>0</v>
      </c>
      <c r="BS260" s="38">
        <f t="shared" si="264"/>
        <v>0.3628874068262064</v>
      </c>
      <c r="BT260" s="38">
        <f t="shared" si="265"/>
        <v>0</v>
      </c>
      <c r="BU260" s="38">
        <f t="shared" si="266"/>
        <v>2.5298413257220181E-3</v>
      </c>
      <c r="BV260" s="38">
        <f t="shared" si="267"/>
        <v>0</v>
      </c>
      <c r="BW260" s="38">
        <f t="shared" si="268"/>
        <v>0</v>
      </c>
      <c r="BX260" s="38">
        <f t="shared" si="269"/>
        <v>2.7995720399429389E-3</v>
      </c>
      <c r="BY260" s="38">
        <f t="shared" si="270"/>
        <v>0.10616327847692805</v>
      </c>
      <c r="BZ260" s="38">
        <f t="shared" si="271"/>
        <v>0.27261146496815286</v>
      </c>
      <c r="CA260" s="38">
        <f t="shared" si="272"/>
        <v>0</v>
      </c>
      <c r="CB260" s="38">
        <f t="shared" si="273"/>
        <v>0</v>
      </c>
      <c r="CC260" s="38">
        <f t="shared" si="274"/>
        <v>0</v>
      </c>
      <c r="CD260" s="38">
        <f t="shared" si="275"/>
        <v>1.8513524158340227</v>
      </c>
      <c r="CE260" s="38">
        <f t="shared" si="276"/>
        <v>2.947769599721656</v>
      </c>
      <c r="CF260" s="38">
        <f t="shared" si="277"/>
        <v>2.7007283741531896</v>
      </c>
      <c r="CG260" s="38">
        <f t="shared" si="278"/>
        <v>7.9611249984344665</v>
      </c>
      <c r="CH260" s="15"/>
      <c r="CI260" s="16"/>
      <c r="CJ260" s="13"/>
      <c r="CK260" s="104"/>
      <c r="CL260" s="13"/>
      <c r="CM260" s="13"/>
      <c r="CN260" s="13"/>
      <c r="CO260" s="16"/>
      <c r="CP260" s="16"/>
      <c r="CQ260" s="16"/>
      <c r="CR260" s="16"/>
      <c r="CS260" s="16"/>
      <c r="CT260" s="16"/>
      <c r="CU260" s="16"/>
      <c r="CV260" s="16"/>
      <c r="CW260" s="16"/>
      <c r="CX260" s="16"/>
      <c r="CY260" s="104"/>
      <c r="CZ260" s="104"/>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3"/>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row>
    <row r="261" spans="1:167" x14ac:dyDescent="0.25">
      <c r="A261" s="35" t="s">
        <v>88</v>
      </c>
      <c r="B261" s="15">
        <v>907</v>
      </c>
      <c r="C261" s="102" t="s">
        <v>100</v>
      </c>
      <c r="D261" s="102" t="s">
        <v>104</v>
      </c>
      <c r="E261" s="15">
        <v>65</v>
      </c>
      <c r="F261" s="16">
        <v>66.290000000000006</v>
      </c>
      <c r="G261" s="16">
        <v>0</v>
      </c>
      <c r="H261" s="16">
        <v>18.82</v>
      </c>
      <c r="I261" s="16">
        <v>0</v>
      </c>
      <c r="J261" s="16">
        <v>5.3090974534329163E-2</v>
      </c>
      <c r="K261" s="16">
        <v>0</v>
      </c>
      <c r="L261" s="16">
        <v>0</v>
      </c>
      <c r="M261" s="16">
        <v>0.18099999999999999</v>
      </c>
      <c r="N261" s="16">
        <v>3.83</v>
      </c>
      <c r="O261" s="16">
        <v>11.93</v>
      </c>
      <c r="P261" s="16">
        <v>0</v>
      </c>
      <c r="Q261" s="16"/>
      <c r="R261" s="16"/>
      <c r="S261" s="16">
        <f t="shared" si="224"/>
        <v>101.10409097453433</v>
      </c>
      <c r="T261" s="16"/>
      <c r="U261" s="15"/>
      <c r="V261" s="15"/>
      <c r="W261" s="15"/>
      <c r="X261" s="15" t="s">
        <v>187</v>
      </c>
      <c r="Y261" s="15"/>
      <c r="Z261" s="37">
        <v>8</v>
      </c>
      <c r="AA261" s="37">
        <v>5</v>
      </c>
      <c r="AB261" s="15"/>
      <c r="AC261" s="38">
        <f t="shared" si="225"/>
        <v>2.9892534092914862</v>
      </c>
      <c r="AD261" s="38">
        <f t="shared" si="226"/>
        <v>0</v>
      </c>
      <c r="AE261" s="38">
        <f t="shared" si="227"/>
        <v>1.0001483577500172</v>
      </c>
      <c r="AF261" s="38">
        <f t="shared" si="228"/>
        <v>0</v>
      </c>
      <c r="AG261" s="38">
        <f t="shared" si="229"/>
        <v>2.0018824076053513E-3</v>
      </c>
      <c r="AH261" s="38">
        <f t="shared" si="230"/>
        <v>0</v>
      </c>
      <c r="AI261" s="38">
        <f t="shared" si="231"/>
        <v>0</v>
      </c>
      <c r="AJ261" s="38">
        <f t="shared" si="232"/>
        <v>8.7441018612163211E-3</v>
      </c>
      <c r="AK261" s="38">
        <f t="shared" si="233"/>
        <v>0.3348280518228039</v>
      </c>
      <c r="AL261" s="38">
        <f t="shared" si="234"/>
        <v>0.68622126922355686</v>
      </c>
      <c r="AM261" s="38">
        <f t="shared" si="235"/>
        <v>0</v>
      </c>
      <c r="AN261" s="38">
        <f t="shared" si="236"/>
        <v>0</v>
      </c>
      <c r="AO261" s="38">
        <f t="shared" si="237"/>
        <v>0</v>
      </c>
      <c r="AP261" s="38">
        <f t="shared" si="238"/>
        <v>5.0211970723566859</v>
      </c>
      <c r="AQ261" s="38">
        <f t="shared" si="239"/>
        <v>3.9894017670415032</v>
      </c>
      <c r="AR261" s="38">
        <f t="shared" si="240"/>
        <v>1.0297934229075771</v>
      </c>
      <c r="AS261" s="40"/>
      <c r="AT261" s="38">
        <f t="shared" si="241"/>
        <v>2.9766342230902394</v>
      </c>
      <c r="AU261" s="38">
        <f t="shared" si="242"/>
        <v>0</v>
      </c>
      <c r="AV261" s="38">
        <f t="shared" si="243"/>
        <v>0.99592621374707369</v>
      </c>
      <c r="AW261" s="38">
        <f t="shared" si="244"/>
        <v>0</v>
      </c>
      <c r="AX261" s="38">
        <f t="shared" si="245"/>
        <v>0</v>
      </c>
      <c r="AY261" s="38">
        <f t="shared" si="246"/>
        <v>1.9934314255721616E-3</v>
      </c>
      <c r="AZ261" s="38">
        <f t="shared" si="247"/>
        <v>0</v>
      </c>
      <c r="BA261" s="38">
        <f t="shared" si="248"/>
        <v>0</v>
      </c>
      <c r="BB261" s="38">
        <f t="shared" si="249"/>
        <v>8.7071884803679878E-3</v>
      </c>
      <c r="BC261" s="38">
        <f t="shared" si="250"/>
        <v>0.33341456927287377</v>
      </c>
      <c r="BD261" s="38">
        <f t="shared" si="251"/>
        <v>0.68332437398387214</v>
      </c>
      <c r="BE261" s="38">
        <f t="shared" si="252"/>
        <v>0</v>
      </c>
      <c r="BF261" s="38">
        <f t="shared" si="253"/>
        <v>0</v>
      </c>
      <c r="BG261" s="38">
        <f t="shared" si="254"/>
        <v>0</v>
      </c>
      <c r="BH261" s="41">
        <f t="shared" si="255"/>
        <v>4.9999999999999991</v>
      </c>
      <c r="BI261" s="42">
        <f t="shared" si="256"/>
        <v>7.9672245740481884</v>
      </c>
      <c r="BJ261" s="38">
        <f t="shared" si="257"/>
        <v>3.9725604368373131</v>
      </c>
      <c r="BK261" s="38">
        <f t="shared" si="258"/>
        <v>1.025446131737114</v>
      </c>
      <c r="BL261" s="16"/>
      <c r="BM261" s="16">
        <f t="shared" si="259"/>
        <v>8.4911222646263645E-3</v>
      </c>
      <c r="BN261" s="16">
        <f t="shared" si="260"/>
        <v>0.32514098883777232</v>
      </c>
      <c r="BO261" s="16">
        <f t="shared" si="261"/>
        <v>0.66636788889760123</v>
      </c>
      <c r="BP261" s="15"/>
      <c r="BQ261" s="38">
        <f t="shared" si="262"/>
        <v>1.1033621837549934</v>
      </c>
      <c r="BR261" s="38">
        <f t="shared" si="263"/>
        <v>0</v>
      </c>
      <c r="BS261" s="38">
        <f t="shared" si="264"/>
        <v>0.36916437818752457</v>
      </c>
      <c r="BT261" s="38">
        <f t="shared" si="265"/>
        <v>0</v>
      </c>
      <c r="BU261" s="38">
        <f t="shared" si="266"/>
        <v>7.3891405058217356E-4</v>
      </c>
      <c r="BV261" s="38">
        <f t="shared" si="267"/>
        <v>0</v>
      </c>
      <c r="BW261" s="38">
        <f t="shared" si="268"/>
        <v>0</v>
      </c>
      <c r="BX261" s="38">
        <f t="shared" si="269"/>
        <v>3.2275320970042796E-3</v>
      </c>
      <c r="BY261" s="38">
        <f t="shared" si="270"/>
        <v>0.12358825427557277</v>
      </c>
      <c r="BZ261" s="38">
        <f t="shared" si="271"/>
        <v>0.25329087048832272</v>
      </c>
      <c r="CA261" s="38">
        <f t="shared" si="272"/>
        <v>0</v>
      </c>
      <c r="CB261" s="38">
        <f t="shared" si="273"/>
        <v>0</v>
      </c>
      <c r="CC261" s="38">
        <f t="shared" si="274"/>
        <v>0</v>
      </c>
      <c r="CD261" s="38">
        <f t="shared" si="275"/>
        <v>1.8533721328540003</v>
      </c>
      <c r="CE261" s="38">
        <f t="shared" si="276"/>
        <v>2.9528769433208075</v>
      </c>
      <c r="CF261" s="38">
        <f t="shared" si="277"/>
        <v>2.6977852485029654</v>
      </c>
      <c r="CG261" s="38">
        <f t="shared" si="278"/>
        <v>7.9662278583354018</v>
      </c>
      <c r="CH261" s="15"/>
      <c r="CI261" s="16"/>
      <c r="CJ261" s="13"/>
      <c r="CK261" s="104"/>
      <c r="CL261" s="13"/>
      <c r="CM261" s="13"/>
      <c r="CN261" s="13"/>
      <c r="CO261" s="16"/>
      <c r="CP261" s="16"/>
      <c r="CQ261" s="16"/>
      <c r="CR261" s="16"/>
      <c r="CS261" s="16"/>
      <c r="CT261" s="16"/>
      <c r="CU261" s="16"/>
      <c r="CV261" s="16"/>
      <c r="CW261" s="16"/>
      <c r="CX261" s="16"/>
      <c r="CY261" s="104"/>
      <c r="CZ261" s="104"/>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3"/>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row>
    <row r="262" spans="1:167" x14ac:dyDescent="0.25">
      <c r="A262" s="35" t="s">
        <v>88</v>
      </c>
      <c r="B262" s="15">
        <v>908</v>
      </c>
      <c r="C262" s="102" t="s">
        <v>100</v>
      </c>
      <c r="D262" s="102" t="s">
        <v>104</v>
      </c>
      <c r="E262" s="15">
        <v>66</v>
      </c>
      <c r="F262" s="16">
        <v>51.47</v>
      </c>
      <c r="G262" s="16">
        <v>0</v>
      </c>
      <c r="H262" s="16">
        <v>30.29</v>
      </c>
      <c r="I262" s="16">
        <v>0</v>
      </c>
      <c r="J262" s="16">
        <v>0.40583100872851618</v>
      </c>
      <c r="K262" s="16">
        <v>0</v>
      </c>
      <c r="L262" s="16">
        <v>0</v>
      </c>
      <c r="M262" s="16">
        <v>13.73</v>
      </c>
      <c r="N262" s="16">
        <v>3.91</v>
      </c>
      <c r="O262" s="16">
        <v>0.18099999999999999</v>
      </c>
      <c r="P262" s="16">
        <v>0</v>
      </c>
      <c r="Q262" s="16"/>
      <c r="R262" s="16"/>
      <c r="S262" s="16">
        <f t="shared" si="224"/>
        <v>99.986831008728501</v>
      </c>
      <c r="T262" s="16"/>
      <c r="U262" s="15">
        <v>1</v>
      </c>
      <c r="V262" s="15">
        <v>1</v>
      </c>
      <c r="W262" s="15"/>
      <c r="X262" s="15" t="s">
        <v>185</v>
      </c>
      <c r="Y262" s="15"/>
      <c r="Z262" s="37">
        <v>8</v>
      </c>
      <c r="AA262" s="37">
        <v>5</v>
      </c>
      <c r="AB262" s="15"/>
      <c r="AC262" s="38">
        <f t="shared" si="225"/>
        <v>2.3470205194716112</v>
      </c>
      <c r="AD262" s="38">
        <f t="shared" si="226"/>
        <v>0</v>
      </c>
      <c r="AE262" s="38">
        <f t="shared" si="227"/>
        <v>1.6277664182681917</v>
      </c>
      <c r="AF262" s="38">
        <f t="shared" si="228"/>
        <v>0</v>
      </c>
      <c r="AG262" s="38">
        <f t="shared" si="229"/>
        <v>1.5474303032072194E-2</v>
      </c>
      <c r="AH262" s="38">
        <f t="shared" si="230"/>
        <v>0</v>
      </c>
      <c r="AI262" s="38">
        <f t="shared" si="231"/>
        <v>0</v>
      </c>
      <c r="AJ262" s="38">
        <f t="shared" si="232"/>
        <v>0.67074149508006031</v>
      </c>
      <c r="AK262" s="38">
        <f t="shared" si="233"/>
        <v>0.34565896360240977</v>
      </c>
      <c r="AL262" s="38">
        <f t="shared" si="234"/>
        <v>1.0528107482306245E-2</v>
      </c>
      <c r="AM262" s="38">
        <f t="shared" si="235"/>
        <v>0</v>
      </c>
      <c r="AN262" s="38">
        <f t="shared" si="236"/>
        <v>0</v>
      </c>
      <c r="AO262" s="38">
        <f t="shared" si="237"/>
        <v>0</v>
      </c>
      <c r="AP262" s="38">
        <f t="shared" si="238"/>
        <v>5.0171898069366518</v>
      </c>
      <c r="AQ262" s="38">
        <f t="shared" si="239"/>
        <v>3.9747869377398031</v>
      </c>
      <c r="AR262" s="38">
        <f t="shared" si="240"/>
        <v>1.0269285661647765</v>
      </c>
      <c r="AS262" s="40"/>
      <c r="AT262" s="38">
        <f t="shared" si="241"/>
        <v>2.3389791992986537</v>
      </c>
      <c r="AU262" s="38">
        <f t="shared" si="242"/>
        <v>0</v>
      </c>
      <c r="AV262" s="38">
        <f t="shared" si="243"/>
        <v>1.6221893937694756</v>
      </c>
      <c r="AW262" s="38">
        <f t="shared" si="244"/>
        <v>0</v>
      </c>
      <c r="AX262" s="38">
        <f t="shared" si="245"/>
        <v>0</v>
      </c>
      <c r="AY262" s="38">
        <f t="shared" si="246"/>
        <v>1.5421285248843663E-2</v>
      </c>
      <c r="AZ262" s="38">
        <f t="shared" si="247"/>
        <v>0</v>
      </c>
      <c r="BA262" s="38">
        <f t="shared" si="248"/>
        <v>0</v>
      </c>
      <c r="BB262" s="38">
        <f t="shared" si="249"/>
        <v>0.66844341243848149</v>
      </c>
      <c r="BC262" s="38">
        <f t="shared" si="250"/>
        <v>0.34447467297779888</v>
      </c>
      <c r="BD262" s="38">
        <f t="shared" si="251"/>
        <v>1.0492036266746701E-2</v>
      </c>
      <c r="BE262" s="38">
        <f t="shared" si="252"/>
        <v>0</v>
      </c>
      <c r="BF262" s="38">
        <f t="shared" si="253"/>
        <v>0</v>
      </c>
      <c r="BG262" s="38">
        <f t="shared" si="254"/>
        <v>0</v>
      </c>
      <c r="BH262" s="41">
        <f t="shared" si="255"/>
        <v>5.0000000000000009</v>
      </c>
      <c r="BI262" s="42">
        <f t="shared" si="256"/>
        <v>7.9803011841855396</v>
      </c>
      <c r="BJ262" s="38">
        <f t="shared" si="257"/>
        <v>3.9611685930681295</v>
      </c>
      <c r="BK262" s="38">
        <f t="shared" si="258"/>
        <v>1.0234101216830269</v>
      </c>
      <c r="BL262" s="16"/>
      <c r="BM262" s="16">
        <f t="shared" si="259"/>
        <v>0.65315302074519954</v>
      </c>
      <c r="BN262" s="16">
        <f t="shared" si="260"/>
        <v>0.33659494437215493</v>
      </c>
      <c r="BO262" s="16">
        <f t="shared" si="261"/>
        <v>1.0252034882645334E-2</v>
      </c>
      <c r="BP262" s="15"/>
      <c r="BQ262" s="38">
        <f t="shared" si="262"/>
        <v>0.8566910785619174</v>
      </c>
      <c r="BR262" s="38">
        <f t="shared" si="263"/>
        <v>0</v>
      </c>
      <c r="BS262" s="38">
        <f t="shared" si="264"/>
        <v>0.59415457041977249</v>
      </c>
      <c r="BT262" s="38">
        <f t="shared" si="265"/>
        <v>0</v>
      </c>
      <c r="BU262" s="38">
        <f t="shared" si="266"/>
        <v>5.6483090985179714E-3</v>
      </c>
      <c r="BV262" s="38">
        <f t="shared" si="267"/>
        <v>0</v>
      </c>
      <c r="BW262" s="38">
        <f t="shared" si="268"/>
        <v>0</v>
      </c>
      <c r="BX262" s="38">
        <f t="shared" si="269"/>
        <v>0.24482881597717548</v>
      </c>
      <c r="BY262" s="38">
        <f t="shared" si="270"/>
        <v>0.1261697321716683</v>
      </c>
      <c r="BZ262" s="38">
        <f t="shared" si="271"/>
        <v>3.8428874734607217E-3</v>
      </c>
      <c r="CA262" s="38">
        <f t="shared" si="272"/>
        <v>0</v>
      </c>
      <c r="CB262" s="38">
        <f t="shared" si="273"/>
        <v>0</v>
      </c>
      <c r="CC262" s="38">
        <f t="shared" si="274"/>
        <v>0</v>
      </c>
      <c r="CD262" s="38">
        <f t="shared" si="275"/>
        <v>1.8313353937025123</v>
      </c>
      <c r="CE262" s="38">
        <f t="shared" si="276"/>
        <v>2.9200974476517514</v>
      </c>
      <c r="CF262" s="38">
        <f t="shared" si="277"/>
        <v>2.7302481114020423</v>
      </c>
      <c r="CG262" s="38">
        <f t="shared" si="278"/>
        <v>7.972590541561118</v>
      </c>
      <c r="CH262" s="15"/>
      <c r="CI262" s="16"/>
      <c r="CJ262" s="13"/>
      <c r="CK262" s="104"/>
      <c r="CL262" s="13"/>
      <c r="CM262" s="13"/>
      <c r="CN262" s="13"/>
      <c r="CO262" s="16"/>
      <c r="CP262" s="16"/>
      <c r="CQ262" s="16"/>
      <c r="CR262" s="16"/>
      <c r="CS262" s="16"/>
      <c r="CT262" s="16"/>
      <c r="CU262" s="16"/>
      <c r="CV262" s="16"/>
      <c r="CW262" s="16"/>
      <c r="CX262" s="16"/>
      <c r="CY262" s="104"/>
      <c r="CZ262" s="104"/>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3"/>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row>
    <row r="263" spans="1:167" x14ac:dyDescent="0.25">
      <c r="A263" s="35" t="s">
        <v>88</v>
      </c>
      <c r="B263" s="15">
        <v>909</v>
      </c>
      <c r="C263" s="102" t="s">
        <v>100</v>
      </c>
      <c r="D263" s="102" t="s">
        <v>104</v>
      </c>
      <c r="E263" s="15">
        <v>67</v>
      </c>
      <c r="F263" s="16">
        <v>59.98</v>
      </c>
      <c r="G263" s="16">
        <v>0</v>
      </c>
      <c r="H263" s="16">
        <v>24.75</v>
      </c>
      <c r="I263" s="16">
        <v>0</v>
      </c>
      <c r="J263" s="16">
        <v>0.26365517861963467</v>
      </c>
      <c r="K263" s="16">
        <v>0</v>
      </c>
      <c r="L263" s="16">
        <v>0</v>
      </c>
      <c r="M263" s="16">
        <v>7.08</v>
      </c>
      <c r="N263" s="16">
        <v>7.8</v>
      </c>
      <c r="O263" s="16">
        <v>0.52500000000000002</v>
      </c>
      <c r="P263" s="16">
        <v>0</v>
      </c>
      <c r="Q263" s="16"/>
      <c r="R263" s="16"/>
      <c r="S263" s="16">
        <f t="shared" si="224"/>
        <v>100.39865517861962</v>
      </c>
      <c r="T263" s="16"/>
      <c r="U263" s="15">
        <v>1</v>
      </c>
      <c r="V263" s="15">
        <v>2</v>
      </c>
      <c r="W263" s="15"/>
      <c r="X263" s="15" t="s">
        <v>258</v>
      </c>
      <c r="Y263" s="15"/>
      <c r="Z263" s="37">
        <v>8</v>
      </c>
      <c r="AA263" s="37">
        <v>5</v>
      </c>
      <c r="AB263" s="15"/>
      <c r="AC263" s="38">
        <f t="shared" si="225"/>
        <v>2.6744988338209739</v>
      </c>
      <c r="AD263" s="38">
        <f t="shared" si="226"/>
        <v>0</v>
      </c>
      <c r="AE263" s="38">
        <f t="shared" si="227"/>
        <v>1.3005925068769204</v>
      </c>
      <c r="AF263" s="38">
        <f t="shared" si="228"/>
        <v>0</v>
      </c>
      <c r="AG263" s="38">
        <f t="shared" si="229"/>
        <v>9.8304955055453051E-3</v>
      </c>
      <c r="AH263" s="38">
        <f t="shared" si="230"/>
        <v>0</v>
      </c>
      <c r="AI263" s="38">
        <f t="shared" si="231"/>
        <v>0</v>
      </c>
      <c r="AJ263" s="38">
        <f t="shared" si="232"/>
        <v>0.33821364751952093</v>
      </c>
      <c r="AK263" s="38">
        <f t="shared" si="233"/>
        <v>0.67427786324629468</v>
      </c>
      <c r="AL263" s="38">
        <f t="shared" si="234"/>
        <v>2.9860994788914484E-2</v>
      </c>
      <c r="AM263" s="38">
        <f t="shared" si="235"/>
        <v>0</v>
      </c>
      <c r="AN263" s="38">
        <f t="shared" si="236"/>
        <v>0</v>
      </c>
      <c r="AO263" s="38">
        <f t="shared" si="237"/>
        <v>0</v>
      </c>
      <c r="AP263" s="38">
        <f t="shared" si="238"/>
        <v>5.0272743417581705</v>
      </c>
      <c r="AQ263" s="38">
        <f t="shared" si="239"/>
        <v>3.9750913406978943</v>
      </c>
      <c r="AR263" s="38">
        <f t="shared" si="240"/>
        <v>1.0423525055547302</v>
      </c>
      <c r="AS263" s="40"/>
      <c r="AT263" s="38">
        <f t="shared" si="241"/>
        <v>2.659988944312945</v>
      </c>
      <c r="AU263" s="38">
        <f t="shared" si="242"/>
        <v>0</v>
      </c>
      <c r="AV263" s="38">
        <f t="shared" si="243"/>
        <v>1.2935364359109842</v>
      </c>
      <c r="AW263" s="38">
        <f t="shared" si="244"/>
        <v>0</v>
      </c>
      <c r="AX263" s="38">
        <f t="shared" si="245"/>
        <v>0</v>
      </c>
      <c r="AY263" s="38">
        <f t="shared" si="246"/>
        <v>9.777162371953748E-3</v>
      </c>
      <c r="AZ263" s="38">
        <f t="shared" si="247"/>
        <v>0</v>
      </c>
      <c r="BA263" s="38">
        <f t="shared" si="248"/>
        <v>0</v>
      </c>
      <c r="BB263" s="38">
        <f t="shared" si="249"/>
        <v>0.33637874574519311</v>
      </c>
      <c r="BC263" s="38">
        <f t="shared" si="250"/>
        <v>0.67061972095447853</v>
      </c>
      <c r="BD263" s="38">
        <f t="shared" si="251"/>
        <v>2.9698990704445333E-2</v>
      </c>
      <c r="BE263" s="38">
        <f t="shared" si="252"/>
        <v>0</v>
      </c>
      <c r="BF263" s="38">
        <f t="shared" si="253"/>
        <v>0</v>
      </c>
      <c r="BG263" s="38">
        <f t="shared" si="254"/>
        <v>0</v>
      </c>
      <c r="BH263" s="41">
        <f t="shared" si="255"/>
        <v>5</v>
      </c>
      <c r="BI263" s="42">
        <f t="shared" si="256"/>
        <v>7.9614863876249515</v>
      </c>
      <c r="BJ263" s="38">
        <f t="shared" si="257"/>
        <v>3.9535253802239292</v>
      </c>
      <c r="BK263" s="38">
        <f t="shared" si="258"/>
        <v>1.036697457404117</v>
      </c>
      <c r="BL263" s="16"/>
      <c r="BM263" s="16">
        <f t="shared" si="259"/>
        <v>0.32447146787403441</v>
      </c>
      <c r="BN263" s="16">
        <f t="shared" si="260"/>
        <v>0.64688083892257764</v>
      </c>
      <c r="BO263" s="16">
        <f t="shared" si="261"/>
        <v>2.8647693203387795E-2</v>
      </c>
      <c r="BP263" s="15"/>
      <c r="BQ263" s="38">
        <f t="shared" si="262"/>
        <v>0.99833555259653795</v>
      </c>
      <c r="BR263" s="38">
        <f t="shared" si="263"/>
        <v>0</v>
      </c>
      <c r="BS263" s="38">
        <f t="shared" si="264"/>
        <v>0.48548450372695179</v>
      </c>
      <c r="BT263" s="38">
        <f t="shared" si="265"/>
        <v>0</v>
      </c>
      <c r="BU263" s="38">
        <f t="shared" si="266"/>
        <v>3.669522318992828E-3</v>
      </c>
      <c r="BV263" s="38">
        <f t="shared" si="267"/>
        <v>0</v>
      </c>
      <c r="BW263" s="38">
        <f t="shared" si="268"/>
        <v>0</v>
      </c>
      <c r="BX263" s="38">
        <f t="shared" si="269"/>
        <v>0.12624821683309559</v>
      </c>
      <c r="BY263" s="38">
        <f t="shared" si="270"/>
        <v>0.25169409486931271</v>
      </c>
      <c r="BZ263" s="38">
        <f t="shared" si="271"/>
        <v>1.1146496815286625E-2</v>
      </c>
      <c r="CA263" s="38">
        <f t="shared" si="272"/>
        <v>0</v>
      </c>
      <c r="CB263" s="38">
        <f t="shared" si="273"/>
        <v>0</v>
      </c>
      <c r="CC263" s="38">
        <f t="shared" si="274"/>
        <v>0</v>
      </c>
      <c r="CD263" s="38">
        <f t="shared" si="275"/>
        <v>1.8765783871601776</v>
      </c>
      <c r="CE263" s="38">
        <f t="shared" si="276"/>
        <v>2.9862358957778916</v>
      </c>
      <c r="CF263" s="38">
        <f t="shared" si="277"/>
        <v>2.6644237374845239</v>
      </c>
      <c r="CG263" s="38">
        <f t="shared" si="278"/>
        <v>7.9565978064389755</v>
      </c>
      <c r="CH263" s="15"/>
      <c r="CI263" s="16">
        <v>2.0590532307960303</v>
      </c>
      <c r="CJ263" s="13">
        <v>38190.927035945024</v>
      </c>
      <c r="CK263" s="104">
        <v>170.65802094906559</v>
      </c>
      <c r="CL263" s="13">
        <v>143969.6653604462</v>
      </c>
      <c r="CM263" s="13">
        <v>268096.25702423393</v>
      </c>
      <c r="CN263" s="13">
        <v>69388.569878329596</v>
      </c>
      <c r="CO263" s="16">
        <v>0.43522046799662406</v>
      </c>
      <c r="CP263" s="16">
        <v>272.26290239884196</v>
      </c>
      <c r="CQ263" s="16">
        <v>1.4206051402323556</v>
      </c>
      <c r="CR263" s="16">
        <v>2.0067071256845233</v>
      </c>
      <c r="CS263" s="16">
        <v>30.177779686844417</v>
      </c>
      <c r="CT263" s="16"/>
      <c r="CU263" s="16"/>
      <c r="CV263" s="16"/>
      <c r="CW263" s="16">
        <v>7.5868618147621376</v>
      </c>
      <c r="CX263" s="16">
        <v>0.47670050910256317</v>
      </c>
      <c r="CY263" s="104">
        <v>423.68546188117153</v>
      </c>
      <c r="CZ263" s="104">
        <v>406.12822856797817</v>
      </c>
      <c r="DA263" s="16">
        <v>0.84379252002476901</v>
      </c>
      <c r="DB263" s="16"/>
      <c r="DC263" s="16"/>
      <c r="DD263" s="16"/>
      <c r="DE263" s="16">
        <v>139.91834245256501</v>
      </c>
      <c r="DF263" s="16">
        <v>2.8614307967061343</v>
      </c>
      <c r="DG263" s="16">
        <v>4.476506073113093</v>
      </c>
      <c r="DH263" s="16">
        <v>0.45102568846810082</v>
      </c>
      <c r="DI263" s="16">
        <v>1.5345238652896604</v>
      </c>
      <c r="DJ263" s="16">
        <v>0.20434167959721997</v>
      </c>
      <c r="DK263" s="16">
        <v>1.3987026394105999</v>
      </c>
      <c r="DL263" s="16"/>
      <c r="DM263" s="16"/>
      <c r="DN263" s="16">
        <v>0.13884590575694755</v>
      </c>
      <c r="DO263" s="16">
        <v>2.4877317778784803E-2</v>
      </c>
      <c r="DP263" s="16">
        <v>3.012641384447556E-2</v>
      </c>
      <c r="DQ263" s="16">
        <v>5.0269512710052471E-2</v>
      </c>
      <c r="DR263" s="16">
        <v>0.1889057154811386</v>
      </c>
      <c r="DS263" s="16">
        <v>5.3924417642274611E-2</v>
      </c>
      <c r="DT263" s="16">
        <v>4.6089802279859739E-2</v>
      </c>
      <c r="DU263" s="16"/>
      <c r="DV263" s="16">
        <v>4.7841411164564027</v>
      </c>
      <c r="DW263" s="16"/>
      <c r="DX263" s="16"/>
      <c r="DY263" s="16" t="e">
        <f>(DK263/0.05883)/SQRT((DJ263/0.1536)*(DL263/0.2069))</f>
        <v>#DIV/0!</v>
      </c>
      <c r="DZ263" s="16"/>
      <c r="EA263" s="13">
        <f>1128+200*((BM263-0.4)/0.4) -273</f>
        <v>817.23573393701713</v>
      </c>
      <c r="EB263" s="16"/>
      <c r="EC263" s="16">
        <f>(-18.482 -16.353 * BM263)/(0.008314 * (EA263+273))</f>
        <v>-2.6243937368801324</v>
      </c>
      <c r="ED263" s="16"/>
      <c r="EE263" s="16"/>
      <c r="EF263" s="16"/>
      <c r="EG263" s="16"/>
      <c r="EH263" s="16"/>
      <c r="EI263" s="16"/>
      <c r="EJ263" s="16"/>
      <c r="EK263" s="16"/>
      <c r="EL263" s="16">
        <f>(23.856 -20.71 * BM263)/(0.008314 * (EA263+273))</f>
        <v>1.89053179474861</v>
      </c>
      <c r="EM263" s="16"/>
      <c r="EN263" s="16">
        <f>(-4.5269  -51.811 * BM263)/(0.008314 * (EA263+273)) +N("eqn50a")</f>
        <v>-2.3541012328006912</v>
      </c>
      <c r="EO263" s="16" t="e">
        <f>(-187.27 + 2.26018 *#REF!)/(0.008314 * (EA263+273)) +N("fsp eqn35 from SiO2")</f>
        <v>#REF!</v>
      </c>
      <c r="EP263" s="16"/>
      <c r="EQ263" s="16"/>
      <c r="ER263" s="16">
        <f>(10.146 -35.204 * BM263)/(0.008314 * (EA263+273))</f>
        <v>-0.14084979956973637</v>
      </c>
      <c r="ES263" s="16">
        <f>(2.1146 -37.009 * BM263)/(0.008314 * (EA263+273))</f>
        <v>-1.0915185942625121</v>
      </c>
      <c r="ET263" s="16">
        <f>(-3.6812 -33.822 * BM263)/(0.008314 * (EA263+273))</f>
        <v>-1.6168489027331971</v>
      </c>
      <c r="EU263" s="16">
        <f>(-6.8025 -26.094 * BM263)/(0.008314 * (EA263+273))</f>
        <v>-1.6845639960987508</v>
      </c>
      <c r="EV263" s="16">
        <f>(-5.6996 -30.85 * BM263)/(0.008314 * (EA263+273))</f>
        <v>-1.7331380936446206</v>
      </c>
      <c r="EW263" s="16">
        <f>(-8.6767 -33.32 * BM263)/(0.008314 * (EA263+273))</f>
        <v>-2.1500018249629256</v>
      </c>
      <c r="EX263" s="16"/>
      <c r="EY263" s="16">
        <f>(-1.9714 -59.897 * BM263)/(0.008314 * (EA263+273))</f>
        <v>-2.3616227062470676</v>
      </c>
      <c r="EZ263" s="16">
        <f>(-4.3691 -44.528 * BM263)/(0.008314 * (EA263+273))</f>
        <v>-2.0759829026435872</v>
      </c>
      <c r="FA263" s="16">
        <f>(-2.2521 -58.215 * BM263)/(0.008314 * (EA263+273))</f>
        <v>-2.3323801446009784</v>
      </c>
      <c r="FB263" s="16"/>
      <c r="FC263" s="16">
        <f>(-8.5 - 57.253 * BM263)/(0.008314 * (EA263+273))</f>
        <v>-2.9872361077904004</v>
      </c>
      <c r="FD263" s="16"/>
      <c r="FE263" s="16">
        <f>(-9.2954 -52.923 * BM263)/(0.008314 * (EA263+273))</f>
        <v>-2.9199869166674262</v>
      </c>
      <c r="FF263" s="16">
        <f>(0.61501 -70.378 * BM263)/(0.008314 * (EA263+273))</f>
        <v>-2.4514677744929072</v>
      </c>
      <c r="FG263" s="16"/>
      <c r="FH263" s="16"/>
      <c r="FI263" s="16"/>
      <c r="FJ263" s="16"/>
      <c r="FK263" s="16"/>
    </row>
    <row r="264" spans="1:167" x14ac:dyDescent="0.25">
      <c r="A264" s="35" t="s">
        <v>88</v>
      </c>
      <c r="B264" s="15">
        <v>910</v>
      </c>
      <c r="C264" s="102" t="s">
        <v>100</v>
      </c>
      <c r="D264" s="102" t="s">
        <v>104</v>
      </c>
      <c r="E264" s="15">
        <v>68</v>
      </c>
      <c r="F264" s="16">
        <v>63.73</v>
      </c>
      <c r="G264" s="16">
        <v>0</v>
      </c>
      <c r="H264" s="16">
        <v>23</v>
      </c>
      <c r="I264" s="16">
        <v>0</v>
      </c>
      <c r="J264" s="16">
        <v>0.26095563754161794</v>
      </c>
      <c r="K264" s="16">
        <v>0</v>
      </c>
      <c r="L264" s="16">
        <v>0</v>
      </c>
      <c r="M264" s="16">
        <v>4.47</v>
      </c>
      <c r="N264" s="16">
        <v>9.4</v>
      </c>
      <c r="O264" s="16">
        <v>0.53500000000000003</v>
      </c>
      <c r="P264" s="16">
        <v>0</v>
      </c>
      <c r="Q264" s="16"/>
      <c r="R264" s="16"/>
      <c r="S264" s="16">
        <f t="shared" si="224"/>
        <v>101.3959556375416</v>
      </c>
      <c r="T264" s="16"/>
      <c r="U264" s="15">
        <v>1</v>
      </c>
      <c r="V264" s="15">
        <v>3</v>
      </c>
      <c r="W264" s="15"/>
      <c r="X264" s="15" t="s">
        <v>186</v>
      </c>
      <c r="Y264" s="15"/>
      <c r="Z264" s="37">
        <v>8</v>
      </c>
      <c r="AA264" s="37">
        <v>5</v>
      </c>
      <c r="AB264" s="15"/>
      <c r="AC264" s="38">
        <f t="shared" si="225"/>
        <v>2.7924442871043134</v>
      </c>
      <c r="AD264" s="38">
        <f t="shared" si="226"/>
        <v>0</v>
      </c>
      <c r="AE264" s="38">
        <f t="shared" si="227"/>
        <v>1.187677495878283</v>
      </c>
      <c r="AF264" s="38">
        <f t="shared" si="228"/>
        <v>0</v>
      </c>
      <c r="AG264" s="38">
        <f t="shared" si="229"/>
        <v>9.5611566499686027E-3</v>
      </c>
      <c r="AH264" s="38">
        <f t="shared" si="230"/>
        <v>0</v>
      </c>
      <c r="AI264" s="38">
        <f t="shared" si="231"/>
        <v>0</v>
      </c>
      <c r="AJ264" s="38">
        <f t="shared" si="232"/>
        <v>0.20983118864916625</v>
      </c>
      <c r="AK264" s="38">
        <f t="shared" si="233"/>
        <v>0.79850345574985437</v>
      </c>
      <c r="AL264" s="38">
        <f t="shared" si="234"/>
        <v>2.9902217599772039E-2</v>
      </c>
      <c r="AM264" s="38">
        <f t="shared" si="235"/>
        <v>0</v>
      </c>
      <c r="AN264" s="38">
        <f t="shared" si="236"/>
        <v>0</v>
      </c>
      <c r="AO264" s="38">
        <f t="shared" si="237"/>
        <v>0</v>
      </c>
      <c r="AP264" s="38">
        <f t="shared" si="238"/>
        <v>5.0279198016313575</v>
      </c>
      <c r="AQ264" s="38">
        <f t="shared" si="239"/>
        <v>3.9801217829825966</v>
      </c>
      <c r="AR264" s="38">
        <f t="shared" si="240"/>
        <v>1.0382368619987927</v>
      </c>
      <c r="AS264" s="40"/>
      <c r="AT264" s="38">
        <f t="shared" si="241"/>
        <v>2.7769379756199353</v>
      </c>
      <c r="AU264" s="38">
        <f t="shared" si="242"/>
        <v>0</v>
      </c>
      <c r="AV264" s="38">
        <f t="shared" si="243"/>
        <v>1.1810823787333775</v>
      </c>
      <c r="AW264" s="38">
        <f t="shared" si="244"/>
        <v>0</v>
      </c>
      <c r="AX264" s="38">
        <f t="shared" si="245"/>
        <v>0</v>
      </c>
      <c r="AY264" s="38">
        <f t="shared" si="246"/>
        <v>9.5080639978250975E-3</v>
      </c>
      <c r="AZ264" s="38">
        <f t="shared" si="247"/>
        <v>0</v>
      </c>
      <c r="BA264" s="38">
        <f t="shared" si="248"/>
        <v>0</v>
      </c>
      <c r="BB264" s="38">
        <f t="shared" si="249"/>
        <v>0.20866600595049714</v>
      </c>
      <c r="BC264" s="38">
        <f t="shared" si="250"/>
        <v>0.79406940370326928</v>
      </c>
      <c r="BD264" s="38">
        <f t="shared" si="251"/>
        <v>2.973617199509624E-2</v>
      </c>
      <c r="BE264" s="38">
        <f t="shared" si="252"/>
        <v>0</v>
      </c>
      <c r="BF264" s="38">
        <f t="shared" si="253"/>
        <v>0</v>
      </c>
      <c r="BG264" s="38">
        <f t="shared" si="254"/>
        <v>0</v>
      </c>
      <c r="BH264" s="41">
        <f t="shared" si="255"/>
        <v>5.0000000000000009</v>
      </c>
      <c r="BI264" s="42">
        <f t="shared" si="256"/>
        <v>7.960330409136354</v>
      </c>
      <c r="BJ264" s="38">
        <f t="shared" si="257"/>
        <v>3.9580203543533128</v>
      </c>
      <c r="BK264" s="38">
        <f t="shared" si="258"/>
        <v>1.0324715816488625</v>
      </c>
      <c r="BL264" s="16"/>
      <c r="BM264" s="16">
        <f t="shared" si="259"/>
        <v>0.20210338924511259</v>
      </c>
      <c r="BN264" s="16">
        <f t="shared" si="260"/>
        <v>0.76909565146106595</v>
      </c>
      <c r="BO264" s="16">
        <f t="shared" si="261"/>
        <v>2.8800959293821347E-2</v>
      </c>
      <c r="BP264" s="15"/>
      <c r="BQ264" s="38">
        <f t="shared" si="262"/>
        <v>1.0607523302263648</v>
      </c>
      <c r="BR264" s="38">
        <f t="shared" si="263"/>
        <v>0</v>
      </c>
      <c r="BS264" s="38">
        <f t="shared" si="264"/>
        <v>0.45115731659474306</v>
      </c>
      <c r="BT264" s="38">
        <f t="shared" si="265"/>
        <v>0</v>
      </c>
      <c r="BU264" s="38">
        <f t="shared" si="266"/>
        <v>3.6319504181157682E-3</v>
      </c>
      <c r="BV264" s="38">
        <f t="shared" si="267"/>
        <v>0</v>
      </c>
      <c r="BW264" s="38">
        <f t="shared" si="268"/>
        <v>0</v>
      </c>
      <c r="BX264" s="38">
        <f t="shared" si="269"/>
        <v>7.9707560627674742E-2</v>
      </c>
      <c r="BY264" s="38">
        <f t="shared" si="270"/>
        <v>0.30332365279122298</v>
      </c>
      <c r="BZ264" s="38">
        <f t="shared" si="271"/>
        <v>1.1358811040339704E-2</v>
      </c>
      <c r="CA264" s="38">
        <f t="shared" si="272"/>
        <v>0</v>
      </c>
      <c r="CB264" s="38">
        <f t="shared" si="273"/>
        <v>0</v>
      </c>
      <c r="CC264" s="38">
        <f t="shared" si="274"/>
        <v>0</v>
      </c>
      <c r="CD264" s="38">
        <f t="shared" si="275"/>
        <v>1.909931621698461</v>
      </c>
      <c r="CE264" s="38">
        <f t="shared" si="276"/>
        <v>3.0389213783064162</v>
      </c>
      <c r="CF264" s="38">
        <f t="shared" si="277"/>
        <v>2.6178947681664164</v>
      </c>
      <c r="CG264" s="38">
        <f t="shared" si="278"/>
        <v>7.9555763771374419</v>
      </c>
      <c r="CH264" s="15"/>
      <c r="CI264" s="16"/>
      <c r="CJ264" s="13"/>
      <c r="CK264" s="104"/>
      <c r="CL264" s="13"/>
      <c r="CM264" s="13"/>
      <c r="CN264" s="13"/>
      <c r="CO264" s="16"/>
      <c r="CP264" s="16"/>
      <c r="CQ264" s="16"/>
      <c r="CR264" s="16"/>
      <c r="CS264" s="16"/>
      <c r="CT264" s="16"/>
      <c r="CU264" s="16"/>
      <c r="CV264" s="16"/>
      <c r="CW264" s="16"/>
      <c r="CX264" s="16"/>
      <c r="CY264" s="104"/>
      <c r="CZ264" s="104"/>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3"/>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row>
    <row r="265" spans="1:167" x14ac:dyDescent="0.25">
      <c r="A265" s="35" t="s">
        <v>88</v>
      </c>
      <c r="B265" s="15">
        <v>911</v>
      </c>
      <c r="C265" s="102" t="s">
        <v>100</v>
      </c>
      <c r="D265" s="102" t="s">
        <v>104</v>
      </c>
      <c r="E265" s="15">
        <v>69</v>
      </c>
      <c r="F265" s="16">
        <v>66.91</v>
      </c>
      <c r="G265" s="16">
        <v>0</v>
      </c>
      <c r="H265" s="16">
        <v>18.95</v>
      </c>
      <c r="I265" s="16">
        <v>0</v>
      </c>
      <c r="J265" s="16">
        <v>4.0493116170251059E-2</v>
      </c>
      <c r="K265" s="16">
        <v>0</v>
      </c>
      <c r="L265" s="16">
        <v>0</v>
      </c>
      <c r="M265" s="16">
        <v>0.16400000000000001</v>
      </c>
      <c r="N265" s="16">
        <v>4.29</v>
      </c>
      <c r="O265" s="16">
        <v>11.22</v>
      </c>
      <c r="P265" s="16">
        <v>0</v>
      </c>
      <c r="Q265" s="16"/>
      <c r="R265" s="16"/>
      <c r="S265" s="16">
        <f t="shared" si="224"/>
        <v>101.57449311617026</v>
      </c>
      <c r="T265" s="16"/>
      <c r="U265" s="15"/>
      <c r="V265" s="15"/>
      <c r="W265" s="15"/>
      <c r="X265" s="15" t="s">
        <v>187</v>
      </c>
      <c r="Y265" s="15"/>
      <c r="Z265" s="37">
        <v>8</v>
      </c>
      <c r="AA265" s="37">
        <v>5</v>
      </c>
      <c r="AB265" s="15"/>
      <c r="AC265" s="38">
        <f t="shared" si="225"/>
        <v>2.9930166524526891</v>
      </c>
      <c r="AD265" s="38">
        <f t="shared" si="226"/>
        <v>0</v>
      </c>
      <c r="AE265" s="38">
        <f t="shared" si="227"/>
        <v>0.9989814190026215</v>
      </c>
      <c r="AF265" s="38">
        <f t="shared" si="228"/>
        <v>0</v>
      </c>
      <c r="AG265" s="38">
        <f t="shared" si="229"/>
        <v>1.5146156999012775E-3</v>
      </c>
      <c r="AH265" s="38">
        <f t="shared" si="230"/>
        <v>0</v>
      </c>
      <c r="AI265" s="38">
        <f t="shared" si="231"/>
        <v>0</v>
      </c>
      <c r="AJ265" s="38">
        <f t="shared" si="232"/>
        <v>7.8593000665122172E-3</v>
      </c>
      <c r="AK265" s="38">
        <f t="shared" si="233"/>
        <v>0.37203495221938671</v>
      </c>
      <c r="AL265" s="38">
        <f t="shared" si="234"/>
        <v>0.64020634942916699</v>
      </c>
      <c r="AM265" s="38">
        <f t="shared" si="235"/>
        <v>0</v>
      </c>
      <c r="AN265" s="38">
        <f t="shared" si="236"/>
        <v>0</v>
      </c>
      <c r="AO265" s="38">
        <f t="shared" si="237"/>
        <v>0</v>
      </c>
      <c r="AP265" s="38">
        <f t="shared" si="238"/>
        <v>5.0136132888702782</v>
      </c>
      <c r="AQ265" s="38">
        <f t="shared" si="239"/>
        <v>3.9919980714553107</v>
      </c>
      <c r="AR265" s="38">
        <f t="shared" si="240"/>
        <v>1.020100601715066</v>
      </c>
      <c r="AS265" s="40"/>
      <c r="AT265" s="38">
        <f t="shared" si="241"/>
        <v>2.9848898189823374</v>
      </c>
      <c r="AU265" s="38">
        <f t="shared" si="242"/>
        <v>0</v>
      </c>
      <c r="AV265" s="38">
        <f t="shared" si="243"/>
        <v>0.99626891968339559</v>
      </c>
      <c r="AW265" s="38">
        <f t="shared" si="244"/>
        <v>0</v>
      </c>
      <c r="AX265" s="38">
        <f t="shared" si="245"/>
        <v>0</v>
      </c>
      <c r="AY265" s="38">
        <f t="shared" si="246"/>
        <v>1.5105031168474576E-3</v>
      </c>
      <c r="AZ265" s="38">
        <f t="shared" si="247"/>
        <v>0</v>
      </c>
      <c r="BA265" s="38">
        <f t="shared" si="248"/>
        <v>0</v>
      </c>
      <c r="BB265" s="38">
        <f t="shared" si="249"/>
        <v>7.8379599838295077E-3</v>
      </c>
      <c r="BC265" s="38">
        <f t="shared" si="250"/>
        <v>0.37102477872123407</v>
      </c>
      <c r="BD265" s="38">
        <f t="shared" si="251"/>
        <v>0.63846801951235588</v>
      </c>
      <c r="BE265" s="38">
        <f t="shared" si="252"/>
        <v>0</v>
      </c>
      <c r="BF265" s="38">
        <f t="shared" si="253"/>
        <v>0</v>
      </c>
      <c r="BG265" s="38">
        <f t="shared" si="254"/>
        <v>0</v>
      </c>
      <c r="BH265" s="41">
        <f t="shared" si="255"/>
        <v>5</v>
      </c>
      <c r="BI265" s="42">
        <f t="shared" si="256"/>
        <v>7.9790331312656635</v>
      </c>
      <c r="BJ265" s="38">
        <f t="shared" si="257"/>
        <v>3.9811587386657328</v>
      </c>
      <c r="BK265" s="38">
        <f t="shared" si="258"/>
        <v>1.0173307582174194</v>
      </c>
      <c r="BL265" s="16"/>
      <c r="BM265" s="16">
        <f t="shared" si="259"/>
        <v>7.7044362617751626E-3</v>
      </c>
      <c r="BN265" s="16">
        <f t="shared" si="260"/>
        <v>0.36470417877795086</v>
      </c>
      <c r="BO265" s="16">
        <f t="shared" si="261"/>
        <v>0.62759138496027389</v>
      </c>
      <c r="BP265" s="15"/>
      <c r="BQ265" s="38">
        <f t="shared" si="262"/>
        <v>1.1136817576564579</v>
      </c>
      <c r="BR265" s="38">
        <f t="shared" si="263"/>
        <v>0</v>
      </c>
      <c r="BS265" s="38">
        <f t="shared" si="264"/>
        <v>0.37171439780306004</v>
      </c>
      <c r="BT265" s="38">
        <f t="shared" si="265"/>
        <v>0</v>
      </c>
      <c r="BU265" s="38">
        <f t="shared" si="266"/>
        <v>5.6357851315589507E-4</v>
      </c>
      <c r="BV265" s="38">
        <f t="shared" si="267"/>
        <v>0</v>
      </c>
      <c r="BW265" s="38">
        <f t="shared" si="268"/>
        <v>0</v>
      </c>
      <c r="BX265" s="38">
        <f t="shared" si="269"/>
        <v>2.9243937232524965E-3</v>
      </c>
      <c r="BY265" s="38">
        <f t="shared" si="270"/>
        <v>0.13843175217812198</v>
      </c>
      <c r="BZ265" s="38">
        <f t="shared" si="271"/>
        <v>0.23821656050955414</v>
      </c>
      <c r="CA265" s="38">
        <f t="shared" si="272"/>
        <v>0</v>
      </c>
      <c r="CB265" s="38">
        <f t="shared" si="273"/>
        <v>0</v>
      </c>
      <c r="CC265" s="38">
        <f t="shared" si="274"/>
        <v>0</v>
      </c>
      <c r="CD265" s="38">
        <f t="shared" si="275"/>
        <v>1.8655324403836024</v>
      </c>
      <c r="CE265" s="38">
        <f t="shared" si="276"/>
        <v>2.976747240597752</v>
      </c>
      <c r="CF265" s="38">
        <f t="shared" si="277"/>
        <v>2.6801999749582852</v>
      </c>
      <c r="CG265" s="38">
        <f t="shared" si="278"/>
        <v>7.9782778797072398</v>
      </c>
      <c r="CH265" s="15"/>
      <c r="CI265" s="16"/>
      <c r="CJ265" s="13"/>
      <c r="CK265" s="104"/>
      <c r="CL265" s="13"/>
      <c r="CM265" s="13"/>
      <c r="CN265" s="13"/>
      <c r="CO265" s="16"/>
      <c r="CP265" s="16"/>
      <c r="CQ265" s="16"/>
      <c r="CR265" s="16"/>
      <c r="CS265" s="16"/>
      <c r="CT265" s="16"/>
      <c r="CU265" s="16"/>
      <c r="CV265" s="16"/>
      <c r="CW265" s="16"/>
      <c r="CX265" s="16"/>
      <c r="CY265" s="104"/>
      <c r="CZ265" s="104"/>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3"/>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row>
    <row r="266" spans="1:167" x14ac:dyDescent="0.25">
      <c r="A266" s="35" t="s">
        <v>88</v>
      </c>
      <c r="B266" s="15">
        <v>912</v>
      </c>
      <c r="C266" s="102" t="s">
        <v>100</v>
      </c>
      <c r="D266" s="102" t="s">
        <v>104</v>
      </c>
      <c r="E266" s="15">
        <v>70</v>
      </c>
      <c r="F266" s="16">
        <v>65.59</v>
      </c>
      <c r="G266" s="16">
        <v>0</v>
      </c>
      <c r="H266" s="16">
        <v>18.649999999999999</v>
      </c>
      <c r="I266" s="16">
        <v>0</v>
      </c>
      <c r="J266" s="16">
        <v>8.0986232340502118E-2</v>
      </c>
      <c r="K266" s="16">
        <v>0</v>
      </c>
      <c r="L266" s="16">
        <v>0</v>
      </c>
      <c r="M266" s="16">
        <v>4.4999999999999998E-2</v>
      </c>
      <c r="N266" s="16">
        <v>3.07</v>
      </c>
      <c r="O266" s="16">
        <v>12.94</v>
      </c>
      <c r="P266" s="16">
        <v>0</v>
      </c>
      <c r="Q266" s="16"/>
      <c r="R266" s="16"/>
      <c r="S266" s="16">
        <f t="shared" si="224"/>
        <v>100.37598623234051</v>
      </c>
      <c r="T266" s="16"/>
      <c r="U266" s="15"/>
      <c r="V266" s="15"/>
      <c r="W266" s="15"/>
      <c r="X266" s="15" t="s">
        <v>187</v>
      </c>
      <c r="Y266" s="15"/>
      <c r="Z266" s="37">
        <v>8</v>
      </c>
      <c r="AA266" s="37">
        <v>5</v>
      </c>
      <c r="AB266" s="15"/>
      <c r="AC266" s="38">
        <f t="shared" si="225"/>
        <v>2.9899696216879352</v>
      </c>
      <c r="AD266" s="38">
        <f t="shared" si="226"/>
        <v>0</v>
      </c>
      <c r="AE266" s="38">
        <f t="shared" si="227"/>
        <v>1.0019315998125586</v>
      </c>
      <c r="AF266" s="38">
        <f t="shared" si="228"/>
        <v>0</v>
      </c>
      <c r="AG266" s="38">
        <f t="shared" si="229"/>
        <v>3.0870487768572224E-3</v>
      </c>
      <c r="AH266" s="38">
        <f t="shared" si="230"/>
        <v>0</v>
      </c>
      <c r="AI266" s="38">
        <f t="shared" si="231"/>
        <v>0</v>
      </c>
      <c r="AJ266" s="38">
        <f t="shared" si="232"/>
        <v>2.1976755564914836E-3</v>
      </c>
      <c r="AK266" s="38">
        <f t="shared" si="233"/>
        <v>0.2713162889739989</v>
      </c>
      <c r="AL266" s="38">
        <f t="shared" si="234"/>
        <v>0.75244097616988381</v>
      </c>
      <c r="AM266" s="38">
        <f t="shared" si="235"/>
        <v>0</v>
      </c>
      <c r="AN266" s="38">
        <f t="shared" si="236"/>
        <v>0</v>
      </c>
      <c r="AO266" s="38">
        <f t="shared" si="237"/>
        <v>0</v>
      </c>
      <c r="AP266" s="38">
        <f t="shared" si="238"/>
        <v>5.020943210977725</v>
      </c>
      <c r="AQ266" s="38">
        <f t="shared" si="239"/>
        <v>3.9919012215004939</v>
      </c>
      <c r="AR266" s="38">
        <f t="shared" si="240"/>
        <v>1.0259549407003741</v>
      </c>
      <c r="AS266" s="40"/>
      <c r="AT266" s="38">
        <f t="shared" si="241"/>
        <v>2.9774979481451855</v>
      </c>
      <c r="AU266" s="38">
        <f t="shared" si="242"/>
        <v>0</v>
      </c>
      <c r="AV266" s="38">
        <f t="shared" si="243"/>
        <v>0.99775237212596668</v>
      </c>
      <c r="AW266" s="38">
        <f t="shared" si="244"/>
        <v>0</v>
      </c>
      <c r="AX266" s="38">
        <f t="shared" si="245"/>
        <v>0</v>
      </c>
      <c r="AY266" s="38">
        <f t="shared" si="246"/>
        <v>3.074172169591302E-3</v>
      </c>
      <c r="AZ266" s="38">
        <f t="shared" si="247"/>
        <v>0</v>
      </c>
      <c r="BA266" s="38">
        <f t="shared" si="248"/>
        <v>0</v>
      </c>
      <c r="BB266" s="38">
        <f t="shared" si="249"/>
        <v>2.1885086767029294E-3</v>
      </c>
      <c r="BC266" s="38">
        <f t="shared" si="250"/>
        <v>0.27018458243144083</v>
      </c>
      <c r="BD266" s="38">
        <f t="shared" si="251"/>
        <v>0.74930241645111273</v>
      </c>
      <c r="BE266" s="38">
        <f t="shared" si="252"/>
        <v>0</v>
      </c>
      <c r="BF266" s="38">
        <f t="shared" si="253"/>
        <v>0</v>
      </c>
      <c r="BG266" s="38">
        <f t="shared" si="254"/>
        <v>0</v>
      </c>
      <c r="BH266" s="41">
        <f t="shared" si="255"/>
        <v>5</v>
      </c>
      <c r="BI266" s="42">
        <f t="shared" si="256"/>
        <v>7.9681677208516879</v>
      </c>
      <c r="BJ266" s="38">
        <f t="shared" si="257"/>
        <v>3.9752503202711522</v>
      </c>
      <c r="BK266" s="38">
        <f t="shared" si="258"/>
        <v>1.0216755075592565</v>
      </c>
      <c r="BL266" s="16"/>
      <c r="BM266" s="16">
        <f t="shared" si="259"/>
        <v>2.1420780477856343E-3</v>
      </c>
      <c r="BN266" s="16">
        <f t="shared" si="260"/>
        <v>0.26445244153586633</v>
      </c>
      <c r="BO266" s="16">
        <f t="shared" si="261"/>
        <v>0.73340548041634812</v>
      </c>
      <c r="BP266" s="15"/>
      <c r="BQ266" s="38">
        <f t="shared" si="262"/>
        <v>1.0917110519307591</v>
      </c>
      <c r="BR266" s="38">
        <f t="shared" si="263"/>
        <v>0</v>
      </c>
      <c r="BS266" s="38">
        <f t="shared" si="264"/>
        <v>0.36582973715182426</v>
      </c>
      <c r="BT266" s="38">
        <f t="shared" si="265"/>
        <v>0</v>
      </c>
      <c r="BU266" s="38">
        <f t="shared" si="266"/>
        <v>1.1271570263117901E-3</v>
      </c>
      <c r="BV266" s="38">
        <f t="shared" si="267"/>
        <v>0</v>
      </c>
      <c r="BW266" s="38">
        <f t="shared" si="268"/>
        <v>0</v>
      </c>
      <c r="BX266" s="38">
        <f t="shared" si="269"/>
        <v>8.0242510699001424E-4</v>
      </c>
      <c r="BY266" s="38">
        <f t="shared" si="270"/>
        <v>9.9064214262665373E-2</v>
      </c>
      <c r="BZ266" s="38">
        <f t="shared" si="271"/>
        <v>0.27473460721868365</v>
      </c>
      <c r="CA266" s="38">
        <f t="shared" si="272"/>
        <v>0</v>
      </c>
      <c r="CB266" s="38">
        <f t="shared" si="273"/>
        <v>0</v>
      </c>
      <c r="CC266" s="38">
        <f t="shared" si="274"/>
        <v>0</v>
      </c>
      <c r="CD266" s="38">
        <f t="shared" si="275"/>
        <v>1.8332691926972342</v>
      </c>
      <c r="CE266" s="38">
        <f t="shared" si="276"/>
        <v>2.9209957024632311</v>
      </c>
      <c r="CF266" s="38">
        <f t="shared" si="277"/>
        <v>2.7273681464333395</v>
      </c>
      <c r="CG266" s="38">
        <f t="shared" si="278"/>
        <v>7.9666306347668927</v>
      </c>
      <c r="CH266" s="15"/>
      <c r="CI266" s="16"/>
      <c r="CJ266" s="13"/>
      <c r="CK266" s="104"/>
      <c r="CL266" s="13"/>
      <c r="CM266" s="13"/>
      <c r="CN266" s="13"/>
      <c r="CO266" s="16"/>
      <c r="CP266" s="16"/>
      <c r="CQ266" s="16"/>
      <c r="CR266" s="16"/>
      <c r="CS266" s="16"/>
      <c r="CT266" s="16"/>
      <c r="CU266" s="16"/>
      <c r="CV266" s="16"/>
      <c r="CW266" s="16"/>
      <c r="CX266" s="16"/>
      <c r="CY266" s="104"/>
      <c r="CZ266" s="104"/>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3"/>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row>
    <row r="267" spans="1:167" x14ac:dyDescent="0.25">
      <c r="A267" s="35" t="s">
        <v>88</v>
      </c>
      <c r="B267" s="15">
        <v>913</v>
      </c>
      <c r="C267" s="102" t="s">
        <v>100</v>
      </c>
      <c r="D267" s="102" t="s">
        <v>104</v>
      </c>
      <c r="E267" s="15">
        <v>71</v>
      </c>
      <c r="F267" s="16">
        <v>54.81</v>
      </c>
      <c r="G267" s="16">
        <v>0</v>
      </c>
      <c r="H267" s="16">
        <v>28.19</v>
      </c>
      <c r="I267" s="16">
        <v>0</v>
      </c>
      <c r="J267" s="16">
        <v>0.37343651579231529</v>
      </c>
      <c r="K267" s="16">
        <v>0</v>
      </c>
      <c r="L267" s="16">
        <v>0</v>
      </c>
      <c r="M267" s="16">
        <v>11.24</v>
      </c>
      <c r="N267" s="16">
        <v>5.6</v>
      </c>
      <c r="O267" s="16">
        <v>0.26600000000000001</v>
      </c>
      <c r="P267" s="16">
        <v>0</v>
      </c>
      <c r="Q267" s="16"/>
      <c r="R267" s="16"/>
      <c r="S267" s="16">
        <f t="shared" si="224"/>
        <v>100.47943651579232</v>
      </c>
      <c r="T267" s="16"/>
      <c r="U267" s="15"/>
      <c r="V267" s="15"/>
      <c r="W267" s="15"/>
      <c r="X267" s="15" t="s">
        <v>185</v>
      </c>
      <c r="Y267" s="15"/>
      <c r="Z267" s="37">
        <v>8</v>
      </c>
      <c r="AA267" s="37">
        <v>5</v>
      </c>
      <c r="AB267" s="15"/>
      <c r="AC267" s="38">
        <f t="shared" si="225"/>
        <v>2.4716342464481977</v>
      </c>
      <c r="AD267" s="38">
        <f t="shared" si="226"/>
        <v>0</v>
      </c>
      <c r="AE267" s="38">
        <f t="shared" si="227"/>
        <v>1.4981302411415589</v>
      </c>
      <c r="AF267" s="38">
        <f t="shared" si="228"/>
        <v>0</v>
      </c>
      <c r="AG267" s="38">
        <f t="shared" si="229"/>
        <v>1.4081351382373829E-2</v>
      </c>
      <c r="AH267" s="38">
        <f t="shared" si="230"/>
        <v>0</v>
      </c>
      <c r="AI267" s="38">
        <f t="shared" si="231"/>
        <v>0</v>
      </c>
      <c r="AJ267" s="38">
        <f t="shared" si="232"/>
        <v>0.54301600748346801</v>
      </c>
      <c r="AK267" s="38">
        <f t="shared" si="233"/>
        <v>0.48957674074109586</v>
      </c>
      <c r="AL267" s="38">
        <f t="shared" si="234"/>
        <v>1.5300832309753964E-2</v>
      </c>
      <c r="AM267" s="38">
        <f t="shared" si="235"/>
        <v>0</v>
      </c>
      <c r="AN267" s="38">
        <f t="shared" si="236"/>
        <v>0</v>
      </c>
      <c r="AO267" s="38">
        <f t="shared" si="237"/>
        <v>0</v>
      </c>
      <c r="AP267" s="38">
        <f t="shared" si="238"/>
        <v>5.0317394195064482</v>
      </c>
      <c r="AQ267" s="38">
        <f t="shared" si="239"/>
        <v>3.9697644875897566</v>
      </c>
      <c r="AR267" s="38">
        <f t="shared" si="240"/>
        <v>1.0478935805343177</v>
      </c>
      <c r="AS267" s="40"/>
      <c r="AT267" s="38">
        <f t="shared" si="241"/>
        <v>2.4560435670281935</v>
      </c>
      <c r="AU267" s="38">
        <f t="shared" si="242"/>
        <v>0</v>
      </c>
      <c r="AV267" s="38">
        <f t="shared" si="243"/>
        <v>1.4886802716112304</v>
      </c>
      <c r="AW267" s="38">
        <f t="shared" si="244"/>
        <v>0</v>
      </c>
      <c r="AX267" s="38">
        <f t="shared" si="245"/>
        <v>0</v>
      </c>
      <c r="AY267" s="38">
        <f t="shared" si="246"/>
        <v>1.3992528436374232E-2</v>
      </c>
      <c r="AZ267" s="38">
        <f t="shared" si="247"/>
        <v>0</v>
      </c>
      <c r="BA267" s="38">
        <f t="shared" si="248"/>
        <v>0</v>
      </c>
      <c r="BB267" s="38">
        <f t="shared" si="249"/>
        <v>0.53959074806056939</v>
      </c>
      <c r="BC267" s="38">
        <f t="shared" si="250"/>
        <v>0.48648856779343841</v>
      </c>
      <c r="BD267" s="38">
        <f t="shared" si="251"/>
        <v>1.5204317070193976E-2</v>
      </c>
      <c r="BE267" s="38">
        <f t="shared" si="252"/>
        <v>0</v>
      </c>
      <c r="BF267" s="38">
        <f t="shared" si="253"/>
        <v>0</v>
      </c>
      <c r="BG267" s="38">
        <f t="shared" si="254"/>
        <v>0</v>
      </c>
      <c r="BH267" s="41">
        <f t="shared" si="255"/>
        <v>5</v>
      </c>
      <c r="BI267" s="42">
        <f t="shared" si="256"/>
        <v>7.9565335246201787</v>
      </c>
      <c r="BJ267" s="38">
        <f t="shared" si="257"/>
        <v>3.9447238386394239</v>
      </c>
      <c r="BK267" s="38">
        <f t="shared" si="258"/>
        <v>1.0412836329242017</v>
      </c>
      <c r="BL267" s="16"/>
      <c r="BM267" s="16">
        <f t="shared" si="259"/>
        <v>0.51819766584177929</v>
      </c>
      <c r="BN267" s="16">
        <f t="shared" si="260"/>
        <v>0.467200820613351</v>
      </c>
      <c r="BO267" s="16">
        <f t="shared" si="261"/>
        <v>1.4601513544869811E-2</v>
      </c>
      <c r="BP267" s="15"/>
      <c r="BQ267" s="38">
        <f t="shared" si="262"/>
        <v>0.91228362183754996</v>
      </c>
      <c r="BR267" s="38">
        <f t="shared" si="263"/>
        <v>0</v>
      </c>
      <c r="BS267" s="38">
        <f t="shared" si="264"/>
        <v>0.55296194586112202</v>
      </c>
      <c r="BT267" s="38">
        <f t="shared" si="265"/>
        <v>0</v>
      </c>
      <c r="BU267" s="38">
        <f t="shared" si="266"/>
        <v>5.1974462879932539E-3</v>
      </c>
      <c r="BV267" s="38">
        <f t="shared" si="267"/>
        <v>0</v>
      </c>
      <c r="BW267" s="38">
        <f t="shared" si="268"/>
        <v>0</v>
      </c>
      <c r="BX267" s="38">
        <f t="shared" si="269"/>
        <v>0.20042796005706134</v>
      </c>
      <c r="BY267" s="38">
        <f t="shared" si="270"/>
        <v>0.18070345272668603</v>
      </c>
      <c r="BZ267" s="38">
        <f t="shared" si="271"/>
        <v>5.6475583864118899E-3</v>
      </c>
      <c r="CA267" s="38">
        <f t="shared" si="272"/>
        <v>0</v>
      </c>
      <c r="CB267" s="38">
        <f t="shared" si="273"/>
        <v>0</v>
      </c>
      <c r="CC267" s="38">
        <f t="shared" si="274"/>
        <v>0</v>
      </c>
      <c r="CD267" s="38">
        <f t="shared" si="275"/>
        <v>1.8572219851568246</v>
      </c>
      <c r="CE267" s="38">
        <f t="shared" si="276"/>
        <v>2.9528110743683862</v>
      </c>
      <c r="CF267" s="38">
        <f t="shared" si="277"/>
        <v>2.6921929849854744</v>
      </c>
      <c r="CG267" s="38">
        <f t="shared" si="278"/>
        <v>7.9495372604019909</v>
      </c>
      <c r="CH267" s="15"/>
      <c r="CI267" s="16"/>
      <c r="CJ267" s="13"/>
      <c r="CK267" s="104"/>
      <c r="CL267" s="13"/>
      <c r="CM267" s="13"/>
      <c r="CN267" s="13"/>
      <c r="CO267" s="16"/>
      <c r="CP267" s="16"/>
      <c r="CQ267" s="16"/>
      <c r="CR267" s="16"/>
      <c r="CS267" s="16"/>
      <c r="CT267" s="16"/>
      <c r="CU267" s="16"/>
      <c r="CV267" s="16"/>
      <c r="CW267" s="16"/>
      <c r="CX267" s="16"/>
      <c r="CY267" s="104"/>
      <c r="CZ267" s="104"/>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3"/>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row>
    <row r="268" spans="1:167" x14ac:dyDescent="0.25">
      <c r="A268" s="35" t="s">
        <v>88</v>
      </c>
      <c r="B268" s="15">
        <v>914</v>
      </c>
      <c r="C268" s="102" t="s">
        <v>100</v>
      </c>
      <c r="D268" s="102" t="s">
        <v>104</v>
      </c>
      <c r="E268" s="15">
        <v>72</v>
      </c>
      <c r="F268" s="16">
        <v>54.91</v>
      </c>
      <c r="G268" s="16">
        <v>0</v>
      </c>
      <c r="H268" s="16">
        <v>28.21</v>
      </c>
      <c r="I268" s="16">
        <v>0</v>
      </c>
      <c r="J268" s="16">
        <v>0.32484477638801407</v>
      </c>
      <c r="K268" s="16">
        <v>0</v>
      </c>
      <c r="L268" s="16">
        <v>0</v>
      </c>
      <c r="M268" s="16">
        <v>11.23</v>
      </c>
      <c r="N268" s="16">
        <v>5.63</v>
      </c>
      <c r="O268" s="16">
        <v>0.254</v>
      </c>
      <c r="P268" s="16">
        <v>0</v>
      </c>
      <c r="Q268" s="16"/>
      <c r="R268" s="16"/>
      <c r="S268" s="16">
        <f t="shared" si="224"/>
        <v>100.55884477638803</v>
      </c>
      <c r="T268" s="16"/>
      <c r="U268" s="15"/>
      <c r="V268" s="15"/>
      <c r="W268" s="15"/>
      <c r="X268" s="15" t="s">
        <v>185</v>
      </c>
      <c r="Y268" s="15"/>
      <c r="Z268" s="37">
        <v>8</v>
      </c>
      <c r="AA268" s="37">
        <v>5</v>
      </c>
      <c r="AB268" s="15"/>
      <c r="AC268" s="38">
        <f t="shared" si="225"/>
        <v>2.4732796193243956</v>
      </c>
      <c r="AD268" s="38">
        <f t="shared" si="226"/>
        <v>0</v>
      </c>
      <c r="AE268" s="38">
        <f t="shared" si="227"/>
        <v>1.4974590472963261</v>
      </c>
      <c r="AF268" s="38">
        <f t="shared" si="228"/>
        <v>0</v>
      </c>
      <c r="AG268" s="38">
        <f t="shared" si="229"/>
        <v>1.2234910989351897E-2</v>
      </c>
      <c r="AH268" s="38">
        <f t="shared" si="230"/>
        <v>0</v>
      </c>
      <c r="AI268" s="38">
        <f t="shared" si="231"/>
        <v>0</v>
      </c>
      <c r="AJ268" s="38">
        <f t="shared" si="232"/>
        <v>0.54190536463076888</v>
      </c>
      <c r="AK268" s="38">
        <f t="shared" si="233"/>
        <v>0.4916301600091561</v>
      </c>
      <c r="AL268" s="38">
        <f t="shared" si="234"/>
        <v>1.4593669564041858E-2</v>
      </c>
      <c r="AM268" s="38">
        <f t="shared" si="235"/>
        <v>0</v>
      </c>
      <c r="AN268" s="38">
        <f t="shared" si="236"/>
        <v>0</v>
      </c>
      <c r="AO268" s="38">
        <f t="shared" si="237"/>
        <v>0</v>
      </c>
      <c r="AP268" s="38">
        <f t="shared" si="238"/>
        <v>5.03110277181404</v>
      </c>
      <c r="AQ268" s="38">
        <f t="shared" si="239"/>
        <v>3.9707386666207216</v>
      </c>
      <c r="AR268" s="38">
        <f t="shared" si="240"/>
        <v>1.0481291942039668</v>
      </c>
      <c r="AS268" s="40"/>
      <c r="AT268" s="38">
        <f t="shared" si="241"/>
        <v>2.4579895616330423</v>
      </c>
      <c r="AU268" s="38">
        <f t="shared" si="242"/>
        <v>0</v>
      </c>
      <c r="AV268" s="38">
        <f t="shared" si="243"/>
        <v>1.4882016082891449</v>
      </c>
      <c r="AW268" s="38">
        <f t="shared" si="244"/>
        <v>0</v>
      </c>
      <c r="AX268" s="38">
        <f t="shared" si="245"/>
        <v>0</v>
      </c>
      <c r="AY268" s="38">
        <f t="shared" si="246"/>
        <v>1.21592735671154E-2</v>
      </c>
      <c r="AZ268" s="38">
        <f t="shared" si="247"/>
        <v>0</v>
      </c>
      <c r="BA268" s="38">
        <f t="shared" si="248"/>
        <v>0</v>
      </c>
      <c r="BB268" s="38">
        <f t="shared" si="249"/>
        <v>0.53855525240580271</v>
      </c>
      <c r="BC268" s="38">
        <f t="shared" si="250"/>
        <v>0.48859085404042679</v>
      </c>
      <c r="BD268" s="38">
        <f t="shared" si="251"/>
        <v>1.4503450064467566E-2</v>
      </c>
      <c r="BE268" s="38">
        <f t="shared" si="252"/>
        <v>0</v>
      </c>
      <c r="BF268" s="38">
        <f t="shared" si="253"/>
        <v>0</v>
      </c>
      <c r="BG268" s="38">
        <f t="shared" si="254"/>
        <v>0</v>
      </c>
      <c r="BH268" s="41">
        <f t="shared" si="255"/>
        <v>5</v>
      </c>
      <c r="BI268" s="42">
        <f t="shared" si="256"/>
        <v>7.9566228505087251</v>
      </c>
      <c r="BJ268" s="38">
        <f t="shared" si="257"/>
        <v>3.9461911699221872</v>
      </c>
      <c r="BK268" s="38">
        <f t="shared" si="258"/>
        <v>1.0416495565106971</v>
      </c>
      <c r="BL268" s="16"/>
      <c r="BM268" s="16">
        <f t="shared" si="259"/>
        <v>0.51702153477590629</v>
      </c>
      <c r="BN268" s="16">
        <f t="shared" si="260"/>
        <v>0.46905492445760888</v>
      </c>
      <c r="BO268" s="16">
        <f t="shared" si="261"/>
        <v>1.392354076648486E-2</v>
      </c>
      <c r="BP268" s="15"/>
      <c r="BQ268" s="38">
        <f t="shared" si="262"/>
        <v>0.91394806924101191</v>
      </c>
      <c r="BR268" s="38">
        <f t="shared" si="263"/>
        <v>0</v>
      </c>
      <c r="BS268" s="38">
        <f t="shared" si="264"/>
        <v>0.55335425657120441</v>
      </c>
      <c r="BT268" s="38">
        <f t="shared" si="265"/>
        <v>0</v>
      </c>
      <c r="BU268" s="38">
        <f t="shared" si="266"/>
        <v>4.5211520722061808E-3</v>
      </c>
      <c r="BV268" s="38">
        <f t="shared" si="267"/>
        <v>0</v>
      </c>
      <c r="BW268" s="38">
        <f t="shared" si="268"/>
        <v>0</v>
      </c>
      <c r="BX268" s="38">
        <f t="shared" si="269"/>
        <v>0.20024964336661913</v>
      </c>
      <c r="BY268" s="38">
        <f t="shared" si="270"/>
        <v>0.18167150693772185</v>
      </c>
      <c r="BZ268" s="38">
        <f t="shared" si="271"/>
        <v>5.3927813163481952E-3</v>
      </c>
      <c r="CA268" s="38">
        <f t="shared" si="272"/>
        <v>0</v>
      </c>
      <c r="CB268" s="38">
        <f t="shared" si="273"/>
        <v>0</v>
      </c>
      <c r="CC268" s="38">
        <f t="shared" si="274"/>
        <v>0</v>
      </c>
      <c r="CD268" s="38">
        <f t="shared" si="275"/>
        <v>1.8591374095051119</v>
      </c>
      <c r="CE268" s="38">
        <f t="shared" si="276"/>
        <v>2.9562304629046907</v>
      </c>
      <c r="CF268" s="38">
        <f t="shared" si="277"/>
        <v>2.689419283607962</v>
      </c>
      <c r="CG268" s="38">
        <f t="shared" si="278"/>
        <v>7.950543213725167</v>
      </c>
      <c r="CH268" s="15"/>
      <c r="CI268" s="16"/>
      <c r="CJ268" s="13"/>
      <c r="CK268" s="104"/>
      <c r="CL268" s="13"/>
      <c r="CM268" s="13"/>
      <c r="CN268" s="13"/>
      <c r="CO268" s="16"/>
      <c r="CP268" s="16"/>
      <c r="CQ268" s="16"/>
      <c r="CR268" s="16"/>
      <c r="CS268" s="16"/>
      <c r="CT268" s="16"/>
      <c r="CU268" s="16"/>
      <c r="CV268" s="16"/>
      <c r="CW268" s="16"/>
      <c r="CX268" s="16"/>
      <c r="CY268" s="104"/>
      <c r="CZ268" s="104"/>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3"/>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row>
    <row r="269" spans="1:167" x14ac:dyDescent="0.25">
      <c r="A269" s="35" t="s">
        <v>88</v>
      </c>
      <c r="B269" s="15">
        <v>915</v>
      </c>
      <c r="C269" s="102" t="s">
        <v>100</v>
      </c>
      <c r="D269" s="102" t="s">
        <v>104</v>
      </c>
      <c r="E269" s="15">
        <v>73</v>
      </c>
      <c r="F269" s="16">
        <v>45.86</v>
      </c>
      <c r="G269" s="16">
        <v>0</v>
      </c>
      <c r="H269" s="16">
        <v>34.04</v>
      </c>
      <c r="I269" s="16">
        <v>0</v>
      </c>
      <c r="J269" s="16">
        <v>0.3275443174660308</v>
      </c>
      <c r="K269" s="16">
        <v>0</v>
      </c>
      <c r="L269" s="16">
        <v>0</v>
      </c>
      <c r="M269" s="16">
        <v>18.149999999999999</v>
      </c>
      <c r="N269" s="16">
        <v>1.27</v>
      </c>
      <c r="O269" s="16">
        <v>1.4E-2</v>
      </c>
      <c r="P269" s="16">
        <v>0</v>
      </c>
      <c r="Q269" s="16"/>
      <c r="R269" s="16"/>
      <c r="S269" s="16">
        <f t="shared" si="224"/>
        <v>99.661544317466024</v>
      </c>
      <c r="T269" s="16"/>
      <c r="U269" s="15">
        <v>2</v>
      </c>
      <c r="V269" s="15"/>
      <c r="W269" s="15"/>
      <c r="X269" s="15" t="s">
        <v>185</v>
      </c>
      <c r="Y269" s="15"/>
      <c r="Z269" s="37">
        <v>8</v>
      </c>
      <c r="AA269" s="37">
        <v>5</v>
      </c>
      <c r="AB269" s="15"/>
      <c r="AC269" s="38">
        <f t="shared" si="225"/>
        <v>2.1225002869660372</v>
      </c>
      <c r="AD269" s="38">
        <f t="shared" si="226"/>
        <v>0</v>
      </c>
      <c r="AE269" s="38">
        <f t="shared" si="227"/>
        <v>1.8566641488751994</v>
      </c>
      <c r="AF269" s="38">
        <f t="shared" si="228"/>
        <v>0</v>
      </c>
      <c r="AG269" s="38">
        <f t="shared" si="229"/>
        <v>1.267613711075825E-2</v>
      </c>
      <c r="AH269" s="38">
        <f t="shared" si="230"/>
        <v>0</v>
      </c>
      <c r="AI269" s="38">
        <f t="shared" si="231"/>
        <v>0</v>
      </c>
      <c r="AJ269" s="38">
        <f t="shared" si="232"/>
        <v>0.89993730645005954</v>
      </c>
      <c r="AK269" s="38">
        <f t="shared" si="233"/>
        <v>0.11395300335052287</v>
      </c>
      <c r="AL269" s="38">
        <f t="shared" si="234"/>
        <v>8.2651503809381694E-4</v>
      </c>
      <c r="AM269" s="38">
        <f t="shared" si="235"/>
        <v>0</v>
      </c>
      <c r="AN269" s="38">
        <f t="shared" si="236"/>
        <v>0</v>
      </c>
      <c r="AO269" s="38">
        <f t="shared" si="237"/>
        <v>0</v>
      </c>
      <c r="AP269" s="38">
        <f t="shared" si="238"/>
        <v>5.0065573977906714</v>
      </c>
      <c r="AQ269" s="38">
        <f t="shared" si="239"/>
        <v>3.9791644358412368</v>
      </c>
      <c r="AR269" s="38">
        <f t="shared" si="240"/>
        <v>1.0147168248386762</v>
      </c>
      <c r="AS269" s="40"/>
      <c r="AT269" s="38">
        <f t="shared" si="241"/>
        <v>2.1197203171011969</v>
      </c>
      <c r="AU269" s="38">
        <f t="shared" si="242"/>
        <v>0</v>
      </c>
      <c r="AV269" s="38">
        <f t="shared" si="243"/>
        <v>1.8542323610376672</v>
      </c>
      <c r="AW269" s="38">
        <f t="shared" si="244"/>
        <v>0</v>
      </c>
      <c r="AX269" s="38">
        <f t="shared" si="245"/>
        <v>0</v>
      </c>
      <c r="AY269" s="38">
        <f t="shared" si="246"/>
        <v>1.2659534390190016E-2</v>
      </c>
      <c r="AZ269" s="38">
        <f t="shared" si="247"/>
        <v>0</v>
      </c>
      <c r="BA269" s="38">
        <f t="shared" si="248"/>
        <v>0</v>
      </c>
      <c r="BB269" s="38">
        <f t="shared" si="249"/>
        <v>0.8987586029146396</v>
      </c>
      <c r="BC269" s="38">
        <f t="shared" si="250"/>
        <v>0.11380375205606236</v>
      </c>
      <c r="BD269" s="38">
        <f t="shared" si="251"/>
        <v>8.2543250024312835E-4</v>
      </c>
      <c r="BE269" s="38">
        <f t="shared" si="252"/>
        <v>0</v>
      </c>
      <c r="BF269" s="38">
        <f t="shared" si="253"/>
        <v>0</v>
      </c>
      <c r="BG269" s="38">
        <f t="shared" si="254"/>
        <v>0</v>
      </c>
      <c r="BH269" s="41">
        <f t="shared" si="255"/>
        <v>5</v>
      </c>
      <c r="BI269" s="42">
        <f t="shared" si="256"/>
        <v>7.9958516725369728</v>
      </c>
      <c r="BJ269" s="38">
        <f t="shared" si="257"/>
        <v>3.9739526781388639</v>
      </c>
      <c r="BK269" s="38">
        <f t="shared" si="258"/>
        <v>1.0133877874709449</v>
      </c>
      <c r="BL269" s="16"/>
      <c r="BM269" s="16">
        <f t="shared" si="259"/>
        <v>0.886885172711249</v>
      </c>
      <c r="BN269" s="16">
        <f t="shared" si="260"/>
        <v>0.11230029951325542</v>
      </c>
      <c r="BO269" s="16">
        <f t="shared" si="261"/>
        <v>8.1452777549561141E-4</v>
      </c>
      <c r="BP269" s="15"/>
      <c r="BQ269" s="38">
        <f t="shared" si="262"/>
        <v>0.76331557922769644</v>
      </c>
      <c r="BR269" s="38">
        <f t="shared" si="263"/>
        <v>0</v>
      </c>
      <c r="BS269" s="38">
        <f t="shared" si="264"/>
        <v>0.66771282856021974</v>
      </c>
      <c r="BT269" s="38">
        <f t="shared" si="265"/>
        <v>0</v>
      </c>
      <c r="BU269" s="38">
        <f t="shared" si="266"/>
        <v>4.5587239730832405E-3</v>
      </c>
      <c r="BV269" s="38">
        <f t="shared" si="267"/>
        <v>0</v>
      </c>
      <c r="BW269" s="38">
        <f t="shared" si="268"/>
        <v>0</v>
      </c>
      <c r="BX269" s="38">
        <f t="shared" si="269"/>
        <v>0.32364479315263905</v>
      </c>
      <c r="BY269" s="38">
        <f t="shared" si="270"/>
        <v>4.09809616005163E-2</v>
      </c>
      <c r="BZ269" s="38">
        <f t="shared" si="271"/>
        <v>2.9723991507430998E-4</v>
      </c>
      <c r="CA269" s="38">
        <f t="shared" si="272"/>
        <v>0</v>
      </c>
      <c r="CB269" s="38">
        <f t="shared" si="273"/>
        <v>0</v>
      </c>
      <c r="CC269" s="38">
        <f t="shared" si="274"/>
        <v>0</v>
      </c>
      <c r="CD269" s="38">
        <f t="shared" si="275"/>
        <v>1.8005101264292294</v>
      </c>
      <c r="CE269" s="38">
        <f t="shared" si="276"/>
        <v>2.87704301917924</v>
      </c>
      <c r="CF269" s="38">
        <f t="shared" si="277"/>
        <v>2.7769907686750961</v>
      </c>
      <c r="CG269" s="38">
        <f t="shared" si="278"/>
        <v>7.9895219053418769</v>
      </c>
      <c r="CH269" s="15"/>
      <c r="CI269" s="16"/>
      <c r="CJ269" s="13"/>
      <c r="CK269" s="104"/>
      <c r="CL269" s="13"/>
      <c r="CM269" s="13"/>
      <c r="CN269" s="13"/>
      <c r="CO269" s="16"/>
      <c r="CP269" s="16"/>
      <c r="CQ269" s="16"/>
      <c r="CR269" s="16"/>
      <c r="CS269" s="16"/>
      <c r="CT269" s="16"/>
      <c r="CU269" s="16"/>
      <c r="CV269" s="16"/>
      <c r="CW269" s="16"/>
      <c r="CX269" s="16"/>
      <c r="CY269" s="104"/>
      <c r="CZ269" s="104"/>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3"/>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row>
    <row r="270" spans="1:167" x14ac:dyDescent="0.25">
      <c r="A270" s="35" t="s">
        <v>88</v>
      </c>
      <c r="B270" s="15">
        <v>916</v>
      </c>
      <c r="C270" s="102" t="s">
        <v>100</v>
      </c>
      <c r="D270" s="102" t="s">
        <v>104</v>
      </c>
      <c r="E270" s="15">
        <v>74</v>
      </c>
      <c r="F270" s="16">
        <v>54.29</v>
      </c>
      <c r="G270" s="16">
        <v>0</v>
      </c>
      <c r="H270" s="16">
        <v>28.86</v>
      </c>
      <c r="I270" s="16">
        <v>0</v>
      </c>
      <c r="J270" s="16">
        <v>0.31764600017996941</v>
      </c>
      <c r="K270" s="16">
        <v>0</v>
      </c>
      <c r="L270" s="16">
        <v>0</v>
      </c>
      <c r="M270" s="16">
        <v>11.56</v>
      </c>
      <c r="N270" s="16">
        <v>5.31</v>
      </c>
      <c r="O270" s="16">
        <v>0.24099999999999999</v>
      </c>
      <c r="P270" s="16">
        <v>0</v>
      </c>
      <c r="Q270" s="16"/>
      <c r="R270" s="16"/>
      <c r="S270" s="16">
        <f t="shared" si="224"/>
        <v>100.57864600017997</v>
      </c>
      <c r="T270" s="16"/>
      <c r="U270" s="15">
        <v>2</v>
      </c>
      <c r="V270" s="15"/>
      <c r="W270" s="15"/>
      <c r="X270" s="15" t="s">
        <v>185</v>
      </c>
      <c r="Y270" s="15"/>
      <c r="Z270" s="37">
        <v>8</v>
      </c>
      <c r="AA270" s="37">
        <v>5</v>
      </c>
      <c r="AB270" s="15"/>
      <c r="AC270" s="38">
        <f t="shared" si="225"/>
        <v>2.4462061947753631</v>
      </c>
      <c r="AD270" s="38">
        <f t="shared" si="226"/>
        <v>0</v>
      </c>
      <c r="AE270" s="38">
        <f t="shared" si="227"/>
        <v>1.5324970232496367</v>
      </c>
      <c r="AF270" s="38">
        <f t="shared" si="228"/>
        <v>0</v>
      </c>
      <c r="AG270" s="38">
        <f t="shared" si="229"/>
        <v>1.1967949901825543E-2</v>
      </c>
      <c r="AH270" s="38">
        <f t="shared" si="230"/>
        <v>0</v>
      </c>
      <c r="AI270" s="38">
        <f t="shared" si="231"/>
        <v>0</v>
      </c>
      <c r="AJ270" s="38">
        <f t="shared" si="232"/>
        <v>0.55802412237744736</v>
      </c>
      <c r="AK270" s="38">
        <f t="shared" si="233"/>
        <v>0.46384842771399548</v>
      </c>
      <c r="AL270" s="38">
        <f t="shared" si="234"/>
        <v>1.385157887709553E-2</v>
      </c>
      <c r="AM270" s="38">
        <f t="shared" si="235"/>
        <v>0</v>
      </c>
      <c r="AN270" s="38">
        <f t="shared" si="236"/>
        <v>0</v>
      </c>
      <c r="AO270" s="38">
        <f t="shared" si="237"/>
        <v>0</v>
      </c>
      <c r="AP270" s="38">
        <f t="shared" si="238"/>
        <v>5.0263952968953634</v>
      </c>
      <c r="AQ270" s="38">
        <f t="shared" si="239"/>
        <v>3.9787032180249997</v>
      </c>
      <c r="AR270" s="38">
        <f t="shared" si="240"/>
        <v>1.0357241289685382</v>
      </c>
      <c r="AS270" s="40"/>
      <c r="AT270" s="38">
        <f t="shared" si="241"/>
        <v>2.4333603410443096</v>
      </c>
      <c r="AU270" s="38">
        <f t="shared" si="242"/>
        <v>0</v>
      </c>
      <c r="AV270" s="38">
        <f t="shared" si="243"/>
        <v>1.5244493645338726</v>
      </c>
      <c r="AW270" s="38">
        <f t="shared" si="244"/>
        <v>0</v>
      </c>
      <c r="AX270" s="38">
        <f t="shared" si="245"/>
        <v>0</v>
      </c>
      <c r="AY270" s="38">
        <f t="shared" si="246"/>
        <v>1.1905102160605779E-2</v>
      </c>
      <c r="AZ270" s="38">
        <f t="shared" si="247"/>
        <v>0</v>
      </c>
      <c r="BA270" s="38">
        <f t="shared" si="248"/>
        <v>0</v>
      </c>
      <c r="BB270" s="38">
        <f t="shared" si="249"/>
        <v>0.55509374951281709</v>
      </c>
      <c r="BC270" s="38">
        <f t="shared" si="250"/>
        <v>0.46141260318353705</v>
      </c>
      <c r="BD270" s="38">
        <f t="shared" si="251"/>
        <v>1.3778839564857929E-2</v>
      </c>
      <c r="BE270" s="38">
        <f t="shared" si="252"/>
        <v>0</v>
      </c>
      <c r="BF270" s="38">
        <f t="shared" si="253"/>
        <v>0</v>
      </c>
      <c r="BG270" s="38">
        <f t="shared" si="254"/>
        <v>0</v>
      </c>
      <c r="BH270" s="41">
        <f t="shared" si="255"/>
        <v>5</v>
      </c>
      <c r="BI270" s="42">
        <f t="shared" si="256"/>
        <v>7.963941853017352</v>
      </c>
      <c r="BJ270" s="38">
        <f t="shared" si="257"/>
        <v>3.9578097055781822</v>
      </c>
      <c r="BK270" s="38">
        <f t="shared" si="258"/>
        <v>1.030285192261212</v>
      </c>
      <c r="BL270" s="16"/>
      <c r="BM270" s="16">
        <f t="shared" si="259"/>
        <v>0.53877679081704422</v>
      </c>
      <c r="BN270" s="16">
        <f t="shared" si="260"/>
        <v>0.44784939805924484</v>
      </c>
      <c r="BO270" s="16">
        <f t="shared" si="261"/>
        <v>1.33738111237112E-2</v>
      </c>
      <c r="BP270" s="15"/>
      <c r="BQ270" s="38">
        <f t="shared" si="262"/>
        <v>0.90362849533954726</v>
      </c>
      <c r="BR270" s="38">
        <f t="shared" si="263"/>
        <v>0</v>
      </c>
      <c r="BS270" s="38">
        <f t="shared" si="264"/>
        <v>0.56610435464888198</v>
      </c>
      <c r="BT270" s="38">
        <f t="shared" si="265"/>
        <v>0</v>
      </c>
      <c r="BU270" s="38">
        <f t="shared" si="266"/>
        <v>4.4209603365340218E-3</v>
      </c>
      <c r="BV270" s="38">
        <f t="shared" si="267"/>
        <v>0</v>
      </c>
      <c r="BW270" s="38">
        <f t="shared" si="268"/>
        <v>0</v>
      </c>
      <c r="BX270" s="38">
        <f t="shared" si="269"/>
        <v>0.20613409415121256</v>
      </c>
      <c r="BY270" s="38">
        <f t="shared" si="270"/>
        <v>0.17134559535333979</v>
      </c>
      <c r="BZ270" s="38">
        <f t="shared" si="271"/>
        <v>5.1167728237791928E-3</v>
      </c>
      <c r="CA270" s="38">
        <f t="shared" si="272"/>
        <v>0</v>
      </c>
      <c r="CB270" s="38">
        <f t="shared" si="273"/>
        <v>0</v>
      </c>
      <c r="CC270" s="38">
        <f t="shared" si="274"/>
        <v>0</v>
      </c>
      <c r="CD270" s="38">
        <f t="shared" si="275"/>
        <v>1.8567502726532947</v>
      </c>
      <c r="CE270" s="38">
        <f t="shared" si="276"/>
        <v>2.9551997612287235</v>
      </c>
      <c r="CF270" s="38">
        <f t="shared" si="277"/>
        <v>2.6928769440033546</v>
      </c>
      <c r="CG270" s="38">
        <f t="shared" si="278"/>
        <v>7.9579893019370482</v>
      </c>
      <c r="CH270" s="15"/>
      <c r="CI270" s="16"/>
      <c r="CJ270" s="13"/>
      <c r="CK270" s="104"/>
      <c r="CL270" s="13"/>
      <c r="CM270" s="13"/>
      <c r="CN270" s="13"/>
      <c r="CO270" s="16"/>
      <c r="CP270" s="16"/>
      <c r="CQ270" s="16"/>
      <c r="CR270" s="16"/>
      <c r="CS270" s="16"/>
      <c r="CT270" s="16"/>
      <c r="CU270" s="16"/>
      <c r="CV270" s="16"/>
      <c r="CW270" s="16"/>
      <c r="CX270" s="16"/>
      <c r="CY270" s="104"/>
      <c r="CZ270" s="104"/>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3"/>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row>
    <row r="271" spans="1:167" x14ac:dyDescent="0.25">
      <c r="A271" s="35" t="s">
        <v>88</v>
      </c>
      <c r="B271" s="15">
        <v>917</v>
      </c>
      <c r="C271" s="102" t="s">
        <v>100</v>
      </c>
      <c r="D271" s="102" t="s">
        <v>104</v>
      </c>
      <c r="E271" s="15">
        <v>75</v>
      </c>
      <c r="F271" s="16">
        <v>59.93</v>
      </c>
      <c r="G271" s="16">
        <v>0</v>
      </c>
      <c r="H271" s="16">
        <v>24.99</v>
      </c>
      <c r="I271" s="16">
        <v>0</v>
      </c>
      <c r="J271" s="16">
        <v>0.21506343921533339</v>
      </c>
      <c r="K271" s="16">
        <v>0</v>
      </c>
      <c r="L271" s="16">
        <v>0</v>
      </c>
      <c r="M271" s="16">
        <v>7.2</v>
      </c>
      <c r="N271" s="16">
        <v>7.99</v>
      </c>
      <c r="O271" s="16">
        <v>0.39200000000000002</v>
      </c>
      <c r="P271" s="16">
        <v>0</v>
      </c>
      <c r="Q271" s="16"/>
      <c r="R271" s="16"/>
      <c r="S271" s="16">
        <f t="shared" si="224"/>
        <v>100.71706343921532</v>
      </c>
      <c r="T271" s="16"/>
      <c r="U271" s="15">
        <v>3</v>
      </c>
      <c r="V271" s="15">
        <v>1</v>
      </c>
      <c r="W271" s="15">
        <v>0</v>
      </c>
      <c r="X271" s="15" t="s">
        <v>185</v>
      </c>
      <c r="Y271" s="15"/>
      <c r="Z271" s="37">
        <v>8</v>
      </c>
      <c r="AA271" s="37">
        <v>5</v>
      </c>
      <c r="AB271" s="15"/>
      <c r="AC271" s="38">
        <f t="shared" si="225"/>
        <v>2.6646719084403321</v>
      </c>
      <c r="AD271" s="38">
        <f t="shared" si="226"/>
        <v>0</v>
      </c>
      <c r="AE271" s="38">
        <f t="shared" si="227"/>
        <v>1.3094707888884578</v>
      </c>
      <c r="AF271" s="38">
        <f t="shared" si="228"/>
        <v>0</v>
      </c>
      <c r="AG271" s="38">
        <f t="shared" si="229"/>
        <v>7.9959340596923723E-3</v>
      </c>
      <c r="AH271" s="38">
        <f t="shared" si="230"/>
        <v>0</v>
      </c>
      <c r="AI271" s="38">
        <f t="shared" si="231"/>
        <v>0</v>
      </c>
      <c r="AJ271" s="38">
        <f t="shared" si="232"/>
        <v>0.34296822144424233</v>
      </c>
      <c r="AK271" s="38">
        <f t="shared" si="233"/>
        <v>0.68873886867698797</v>
      </c>
      <c r="AL271" s="38">
        <f t="shared" si="234"/>
        <v>2.223281988844214E-2</v>
      </c>
      <c r="AM271" s="38">
        <f t="shared" si="235"/>
        <v>0</v>
      </c>
      <c r="AN271" s="38">
        <f t="shared" si="236"/>
        <v>0</v>
      </c>
      <c r="AO271" s="38">
        <f t="shared" si="237"/>
        <v>0</v>
      </c>
      <c r="AP271" s="38">
        <f t="shared" si="238"/>
        <v>5.0360785413981546</v>
      </c>
      <c r="AQ271" s="38">
        <f t="shared" si="239"/>
        <v>3.9741426973287899</v>
      </c>
      <c r="AR271" s="38">
        <f t="shared" si="240"/>
        <v>1.0539399100096725</v>
      </c>
      <c r="AS271" s="40"/>
      <c r="AT271" s="38">
        <f t="shared" si="241"/>
        <v>2.6455821593486761</v>
      </c>
      <c r="AU271" s="38">
        <f t="shared" si="242"/>
        <v>0</v>
      </c>
      <c r="AV271" s="38">
        <f t="shared" si="243"/>
        <v>1.3000897207263498</v>
      </c>
      <c r="AW271" s="38">
        <f t="shared" si="244"/>
        <v>0</v>
      </c>
      <c r="AX271" s="38">
        <f t="shared" si="245"/>
        <v>0</v>
      </c>
      <c r="AY271" s="38">
        <f t="shared" si="246"/>
        <v>7.9386510694415043E-3</v>
      </c>
      <c r="AZ271" s="38">
        <f t="shared" si="247"/>
        <v>0</v>
      </c>
      <c r="BA271" s="38">
        <f t="shared" si="248"/>
        <v>0</v>
      </c>
      <c r="BB271" s="38">
        <f t="shared" si="249"/>
        <v>0.34051119201670044</v>
      </c>
      <c r="BC271" s="38">
        <f t="shared" si="250"/>
        <v>0.68380473320197177</v>
      </c>
      <c r="BD271" s="38">
        <f t="shared" si="251"/>
        <v>2.207354363686085E-2</v>
      </c>
      <c r="BE271" s="38">
        <f t="shared" si="252"/>
        <v>0</v>
      </c>
      <c r="BF271" s="38">
        <f t="shared" si="253"/>
        <v>0</v>
      </c>
      <c r="BG271" s="38">
        <f t="shared" si="254"/>
        <v>0</v>
      </c>
      <c r="BH271" s="41">
        <f t="shared" si="255"/>
        <v>5</v>
      </c>
      <c r="BI271" s="42">
        <f t="shared" si="256"/>
        <v>7.9466572068271564</v>
      </c>
      <c r="BJ271" s="38">
        <f t="shared" si="257"/>
        <v>3.9456718800750261</v>
      </c>
      <c r="BK271" s="38">
        <f t="shared" si="258"/>
        <v>1.0463894688555331</v>
      </c>
      <c r="BL271" s="16"/>
      <c r="BM271" s="16">
        <f t="shared" si="259"/>
        <v>0.32541534691583579</v>
      </c>
      <c r="BN271" s="16">
        <f t="shared" si="260"/>
        <v>0.65348969342157948</v>
      </c>
      <c r="BO271" s="16">
        <f t="shared" si="261"/>
        <v>2.1094959662584654E-2</v>
      </c>
      <c r="BP271" s="15"/>
      <c r="BQ271" s="38">
        <f t="shared" si="262"/>
        <v>0.99750332889480697</v>
      </c>
      <c r="BR271" s="38">
        <f t="shared" si="263"/>
        <v>0</v>
      </c>
      <c r="BS271" s="38">
        <f t="shared" si="264"/>
        <v>0.49019223224794034</v>
      </c>
      <c r="BT271" s="38">
        <f t="shared" si="265"/>
        <v>0</v>
      </c>
      <c r="BU271" s="38">
        <f t="shared" si="266"/>
        <v>2.9932281032057535E-3</v>
      </c>
      <c r="BV271" s="38">
        <f t="shared" si="267"/>
        <v>0</v>
      </c>
      <c r="BW271" s="38">
        <f t="shared" si="268"/>
        <v>0</v>
      </c>
      <c r="BX271" s="38">
        <f t="shared" si="269"/>
        <v>0.12838801711840228</v>
      </c>
      <c r="BY271" s="38">
        <f t="shared" si="270"/>
        <v>0.25782510487253957</v>
      </c>
      <c r="BZ271" s="38">
        <f t="shared" si="271"/>
        <v>8.3227176220806789E-3</v>
      </c>
      <c r="CA271" s="38">
        <f t="shared" si="272"/>
        <v>0</v>
      </c>
      <c r="CB271" s="38">
        <f t="shared" si="273"/>
        <v>0</v>
      </c>
      <c r="CC271" s="38">
        <f t="shared" si="274"/>
        <v>0</v>
      </c>
      <c r="CD271" s="38">
        <f t="shared" si="275"/>
        <v>1.8852246288589753</v>
      </c>
      <c r="CE271" s="38">
        <f t="shared" si="276"/>
        <v>2.9947501626304427</v>
      </c>
      <c r="CF271" s="38">
        <f t="shared" si="277"/>
        <v>2.6522038400411891</v>
      </c>
      <c r="CG271" s="38">
        <f t="shared" si="278"/>
        <v>7.9426878812924357</v>
      </c>
      <c r="CH271" s="15"/>
      <c r="CI271" s="16"/>
      <c r="CJ271" s="13"/>
      <c r="CK271" s="104"/>
      <c r="CL271" s="13"/>
      <c r="CM271" s="13"/>
      <c r="CN271" s="13"/>
      <c r="CO271" s="16"/>
      <c r="CP271" s="16"/>
      <c r="CQ271" s="16"/>
      <c r="CR271" s="16"/>
      <c r="CS271" s="16"/>
      <c r="CT271" s="16"/>
      <c r="CU271" s="16"/>
      <c r="CV271" s="16"/>
      <c r="CW271" s="16"/>
      <c r="CX271" s="16"/>
      <c r="CY271" s="104"/>
      <c r="CZ271" s="104"/>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3"/>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row>
    <row r="272" spans="1:167" x14ac:dyDescent="0.25">
      <c r="A272" s="35" t="s">
        <v>88</v>
      </c>
      <c r="B272" s="15">
        <v>918</v>
      </c>
      <c r="C272" s="102" t="s">
        <v>100</v>
      </c>
      <c r="D272" s="102" t="s">
        <v>104</v>
      </c>
      <c r="E272" s="15">
        <v>76</v>
      </c>
      <c r="F272" s="16">
        <v>58.6</v>
      </c>
      <c r="G272" s="16">
        <v>0</v>
      </c>
      <c r="H272" s="16">
        <v>26</v>
      </c>
      <c r="I272" s="16">
        <v>0</v>
      </c>
      <c r="J272" s="16">
        <v>0.26005579051561234</v>
      </c>
      <c r="K272" s="16">
        <v>0</v>
      </c>
      <c r="L272" s="16">
        <v>0</v>
      </c>
      <c r="M272" s="16">
        <v>8.02</v>
      </c>
      <c r="N272" s="16">
        <v>7.36</v>
      </c>
      <c r="O272" s="16">
        <v>0.29699999999999999</v>
      </c>
      <c r="P272" s="16">
        <v>0</v>
      </c>
      <c r="Q272" s="16"/>
      <c r="R272" s="16"/>
      <c r="S272" s="16">
        <f t="shared" si="224"/>
        <v>100.53705579051559</v>
      </c>
      <c r="T272" s="16"/>
      <c r="U272" s="15">
        <v>3</v>
      </c>
      <c r="V272" s="15">
        <v>2</v>
      </c>
      <c r="W272" s="15">
        <v>18.399999999999999</v>
      </c>
      <c r="X272" s="15" t="s">
        <v>185</v>
      </c>
      <c r="Y272" s="15"/>
      <c r="Z272" s="37">
        <v>8</v>
      </c>
      <c r="AA272" s="37">
        <v>5</v>
      </c>
      <c r="AB272" s="15"/>
      <c r="AC272" s="38">
        <f t="shared" si="225"/>
        <v>2.6146874583003754</v>
      </c>
      <c r="AD272" s="38">
        <f t="shared" si="226"/>
        <v>0</v>
      </c>
      <c r="AE272" s="38">
        <f t="shared" si="227"/>
        <v>1.3671797227788753</v>
      </c>
      <c r="AF272" s="38">
        <f t="shared" si="228"/>
        <v>0</v>
      </c>
      <c r="AG272" s="38">
        <f t="shared" si="229"/>
        <v>9.7026831126392054E-3</v>
      </c>
      <c r="AH272" s="38">
        <f t="shared" si="230"/>
        <v>0</v>
      </c>
      <c r="AI272" s="38">
        <f t="shared" si="231"/>
        <v>0</v>
      </c>
      <c r="AJ272" s="38">
        <f t="shared" si="232"/>
        <v>0.38337029146787677</v>
      </c>
      <c r="AK272" s="38">
        <f t="shared" si="233"/>
        <v>0.63666112131343322</v>
      </c>
      <c r="AL272" s="38">
        <f t="shared" si="234"/>
        <v>1.6903927987406756E-2</v>
      </c>
      <c r="AM272" s="38">
        <f t="shared" si="235"/>
        <v>0</v>
      </c>
      <c r="AN272" s="38">
        <f t="shared" si="236"/>
        <v>0</v>
      </c>
      <c r="AO272" s="38">
        <f t="shared" si="237"/>
        <v>0</v>
      </c>
      <c r="AP272" s="38">
        <f t="shared" si="238"/>
        <v>5.0285052049606067</v>
      </c>
      <c r="AQ272" s="38">
        <f t="shared" si="239"/>
        <v>3.9818671810792505</v>
      </c>
      <c r="AR272" s="38">
        <f t="shared" si="240"/>
        <v>1.0369353407687167</v>
      </c>
      <c r="AS272" s="40"/>
      <c r="AT272" s="38">
        <f t="shared" si="241"/>
        <v>2.5998655184059403</v>
      </c>
      <c r="AU272" s="38">
        <f t="shared" si="242"/>
        <v>0</v>
      </c>
      <c r="AV272" s="38">
        <f t="shared" si="243"/>
        <v>1.3594295591363377</v>
      </c>
      <c r="AW272" s="38">
        <f t="shared" si="244"/>
        <v>0</v>
      </c>
      <c r="AX272" s="38">
        <f t="shared" si="245"/>
        <v>0</v>
      </c>
      <c r="AY272" s="38">
        <f t="shared" si="246"/>
        <v>9.6476812861479543E-3</v>
      </c>
      <c r="AZ272" s="38">
        <f t="shared" si="247"/>
        <v>0</v>
      </c>
      <c r="BA272" s="38">
        <f t="shared" si="248"/>
        <v>0</v>
      </c>
      <c r="BB272" s="38">
        <f t="shared" si="249"/>
        <v>0.38119707133810171</v>
      </c>
      <c r="BC272" s="38">
        <f t="shared" si="250"/>
        <v>0.63305206553765592</v>
      </c>
      <c r="BD272" s="38">
        <f t="shared" si="251"/>
        <v>1.6808104295816459E-2</v>
      </c>
      <c r="BE272" s="38">
        <f t="shared" si="252"/>
        <v>0</v>
      </c>
      <c r="BF272" s="38">
        <f t="shared" si="253"/>
        <v>0</v>
      </c>
      <c r="BG272" s="38">
        <f t="shared" si="254"/>
        <v>0</v>
      </c>
      <c r="BH272" s="41">
        <f t="shared" si="255"/>
        <v>5.0000000000000009</v>
      </c>
      <c r="BI272" s="42">
        <f t="shared" si="256"/>
        <v>7.9594740537004469</v>
      </c>
      <c r="BJ272" s="38">
        <f t="shared" si="257"/>
        <v>3.9592950775422779</v>
      </c>
      <c r="BK272" s="38">
        <f t="shared" si="258"/>
        <v>1.0310572411715739</v>
      </c>
      <c r="BL272" s="16"/>
      <c r="BM272" s="16">
        <f t="shared" si="259"/>
        <v>0.36971475114703956</v>
      </c>
      <c r="BN272" s="16">
        <f t="shared" si="260"/>
        <v>0.61398343395399546</v>
      </c>
      <c r="BO272" s="16">
        <f t="shared" si="261"/>
        <v>1.6301814898964942E-2</v>
      </c>
      <c r="BP272" s="15"/>
      <c r="BQ272" s="38">
        <f t="shared" si="262"/>
        <v>0.97536617842876172</v>
      </c>
      <c r="BR272" s="38">
        <f t="shared" si="263"/>
        <v>0</v>
      </c>
      <c r="BS272" s="38">
        <f t="shared" si="264"/>
        <v>0.51000392310710085</v>
      </c>
      <c r="BT272" s="38">
        <f t="shared" si="265"/>
        <v>0</v>
      </c>
      <c r="BU272" s="38">
        <f t="shared" si="266"/>
        <v>3.6194264511567481E-3</v>
      </c>
      <c r="BV272" s="38">
        <f t="shared" si="267"/>
        <v>0</v>
      </c>
      <c r="BW272" s="38">
        <f t="shared" si="268"/>
        <v>0</v>
      </c>
      <c r="BX272" s="38">
        <f t="shared" si="269"/>
        <v>0.14300998573466475</v>
      </c>
      <c r="BY272" s="38">
        <f t="shared" si="270"/>
        <v>0.23749596644078738</v>
      </c>
      <c r="BZ272" s="38">
        <f t="shared" si="271"/>
        <v>6.3057324840764322E-3</v>
      </c>
      <c r="CA272" s="38">
        <f t="shared" si="272"/>
        <v>0</v>
      </c>
      <c r="CB272" s="38">
        <f t="shared" si="273"/>
        <v>0</v>
      </c>
      <c r="CC272" s="38">
        <f t="shared" si="274"/>
        <v>0</v>
      </c>
      <c r="CD272" s="38">
        <f t="shared" si="275"/>
        <v>1.8758012126465478</v>
      </c>
      <c r="CE272" s="38">
        <f t="shared" si="276"/>
        <v>2.9842685031664282</v>
      </c>
      <c r="CF272" s="38">
        <f t="shared" si="277"/>
        <v>2.6655276509527113</v>
      </c>
      <c r="CG272" s="38">
        <f t="shared" si="278"/>
        <v>7.9546502130573735</v>
      </c>
      <c r="CH272" s="15"/>
      <c r="CI272" s="16"/>
      <c r="CJ272" s="13"/>
      <c r="CK272" s="104"/>
      <c r="CL272" s="13"/>
      <c r="CM272" s="13"/>
      <c r="CN272" s="13"/>
      <c r="CO272" s="16"/>
      <c r="CP272" s="16"/>
      <c r="CQ272" s="16"/>
      <c r="CR272" s="16"/>
      <c r="CS272" s="16"/>
      <c r="CT272" s="16"/>
      <c r="CU272" s="16"/>
      <c r="CV272" s="16"/>
      <c r="CW272" s="16"/>
      <c r="CX272" s="16"/>
      <c r="CY272" s="104"/>
      <c r="CZ272" s="104"/>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3"/>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row>
    <row r="273" spans="1:167" x14ac:dyDescent="0.25">
      <c r="A273" s="35" t="s">
        <v>88</v>
      </c>
      <c r="B273" s="15">
        <v>919</v>
      </c>
      <c r="C273" s="102" t="s">
        <v>100</v>
      </c>
      <c r="D273" s="102" t="s">
        <v>104</v>
      </c>
      <c r="E273" s="15">
        <v>77</v>
      </c>
      <c r="F273" s="16">
        <v>57.34</v>
      </c>
      <c r="G273" s="16">
        <v>0</v>
      </c>
      <c r="H273" s="16">
        <v>26.85</v>
      </c>
      <c r="I273" s="16">
        <v>0</v>
      </c>
      <c r="J273" s="16">
        <v>0.29514982452982996</v>
      </c>
      <c r="K273" s="16">
        <v>0</v>
      </c>
      <c r="L273" s="16">
        <v>0</v>
      </c>
      <c r="M273" s="16">
        <v>9.32</v>
      </c>
      <c r="N273" s="16">
        <v>6.47</v>
      </c>
      <c r="O273" s="16">
        <v>0.23599999999999999</v>
      </c>
      <c r="P273" s="16">
        <v>0</v>
      </c>
      <c r="Q273" s="16"/>
      <c r="R273" s="16"/>
      <c r="S273" s="16">
        <f t="shared" si="224"/>
        <v>100.51114982452982</v>
      </c>
      <c r="T273" s="16"/>
      <c r="U273" s="15">
        <v>3</v>
      </c>
      <c r="V273" s="15">
        <v>3</v>
      </c>
      <c r="W273" s="15">
        <v>36.799999999999997</v>
      </c>
      <c r="X273" s="15" t="s">
        <v>185</v>
      </c>
      <c r="Y273" s="15"/>
      <c r="Z273" s="37">
        <v>8</v>
      </c>
      <c r="AA273" s="37">
        <v>5</v>
      </c>
      <c r="AB273" s="15"/>
      <c r="AC273" s="38">
        <f t="shared" si="225"/>
        <v>2.5655783968806736</v>
      </c>
      <c r="AD273" s="38">
        <f t="shared" si="226"/>
        <v>0</v>
      </c>
      <c r="AE273" s="38">
        <f t="shared" si="227"/>
        <v>1.4158002487729051</v>
      </c>
      <c r="AF273" s="38">
        <f t="shared" si="228"/>
        <v>0</v>
      </c>
      <c r="AG273" s="38">
        <f t="shared" si="229"/>
        <v>1.1042649364339036E-2</v>
      </c>
      <c r="AH273" s="38">
        <f t="shared" si="230"/>
        <v>0</v>
      </c>
      <c r="AI273" s="38">
        <f t="shared" si="231"/>
        <v>0</v>
      </c>
      <c r="AJ273" s="38">
        <f t="shared" si="232"/>
        <v>0.44675089661773815</v>
      </c>
      <c r="AK273" s="38">
        <f t="shared" si="233"/>
        <v>0.56122916269067902</v>
      </c>
      <c r="AL273" s="38">
        <f t="shared" si="234"/>
        <v>1.3469411503759169E-2</v>
      </c>
      <c r="AM273" s="38">
        <f t="shared" si="235"/>
        <v>0</v>
      </c>
      <c r="AN273" s="38">
        <f t="shared" si="236"/>
        <v>0</v>
      </c>
      <c r="AO273" s="38">
        <f t="shared" si="237"/>
        <v>0</v>
      </c>
      <c r="AP273" s="38">
        <f t="shared" si="238"/>
        <v>5.0138707658300934</v>
      </c>
      <c r="AQ273" s="38">
        <f t="shared" si="239"/>
        <v>3.9813786456535789</v>
      </c>
      <c r="AR273" s="38">
        <f t="shared" si="240"/>
        <v>1.0214494708121764</v>
      </c>
      <c r="AS273" s="40"/>
      <c r="AT273" s="38">
        <f t="shared" si="241"/>
        <v>2.5584807793265067</v>
      </c>
      <c r="AU273" s="38">
        <f t="shared" si="242"/>
        <v>0</v>
      </c>
      <c r="AV273" s="38">
        <f t="shared" si="243"/>
        <v>1.4118834677807117</v>
      </c>
      <c r="AW273" s="38">
        <f t="shared" si="244"/>
        <v>0</v>
      </c>
      <c r="AX273" s="38">
        <f t="shared" si="245"/>
        <v>0</v>
      </c>
      <c r="AY273" s="38">
        <f t="shared" si="246"/>
        <v>1.1012100111948959E-2</v>
      </c>
      <c r="AZ273" s="38">
        <f t="shared" si="247"/>
        <v>0</v>
      </c>
      <c r="BA273" s="38">
        <f t="shared" si="248"/>
        <v>0</v>
      </c>
      <c r="BB273" s="38">
        <f t="shared" si="249"/>
        <v>0.44551496985361005</v>
      </c>
      <c r="BC273" s="38">
        <f t="shared" si="250"/>
        <v>0.55967653426121189</v>
      </c>
      <c r="BD273" s="38">
        <f t="shared" si="251"/>
        <v>1.343214866601092E-2</v>
      </c>
      <c r="BE273" s="38">
        <f t="shared" si="252"/>
        <v>0</v>
      </c>
      <c r="BF273" s="38">
        <f t="shared" si="253"/>
        <v>0</v>
      </c>
      <c r="BG273" s="38">
        <f t="shared" si="254"/>
        <v>0</v>
      </c>
      <c r="BH273" s="41">
        <f t="shared" si="255"/>
        <v>5</v>
      </c>
      <c r="BI273" s="42">
        <f t="shared" si="256"/>
        <v>7.9833742218092265</v>
      </c>
      <c r="BJ273" s="38">
        <f t="shared" si="257"/>
        <v>3.9703642471072182</v>
      </c>
      <c r="BK273" s="38">
        <f t="shared" si="258"/>
        <v>1.0186236527808328</v>
      </c>
      <c r="BL273" s="16"/>
      <c r="BM273" s="16">
        <f t="shared" si="259"/>
        <v>0.43736955119524112</v>
      </c>
      <c r="BN273" s="16">
        <f t="shared" si="260"/>
        <v>0.54944388217699469</v>
      </c>
      <c r="BO273" s="16">
        <f t="shared" si="261"/>
        <v>1.3186566627764122E-2</v>
      </c>
      <c r="BP273" s="15"/>
      <c r="BQ273" s="38">
        <f t="shared" si="262"/>
        <v>0.95439414114513987</v>
      </c>
      <c r="BR273" s="38">
        <f t="shared" si="263"/>
        <v>0</v>
      </c>
      <c r="BS273" s="38">
        <f t="shared" si="264"/>
        <v>0.5266771282856022</v>
      </c>
      <c r="BT273" s="38">
        <f t="shared" si="265"/>
        <v>0</v>
      </c>
      <c r="BU273" s="38">
        <f t="shared" si="266"/>
        <v>4.1078611625585248E-3</v>
      </c>
      <c r="BV273" s="38">
        <f t="shared" si="267"/>
        <v>0</v>
      </c>
      <c r="BW273" s="38">
        <f t="shared" si="268"/>
        <v>0</v>
      </c>
      <c r="BX273" s="38">
        <f t="shared" si="269"/>
        <v>0.16619115549215407</v>
      </c>
      <c r="BY273" s="38">
        <f t="shared" si="270"/>
        <v>0.20877702484672475</v>
      </c>
      <c r="BZ273" s="38">
        <f t="shared" si="271"/>
        <v>5.0106157112526535E-3</v>
      </c>
      <c r="CA273" s="38">
        <f t="shared" si="272"/>
        <v>0</v>
      </c>
      <c r="CB273" s="38">
        <f t="shared" si="273"/>
        <v>0</v>
      </c>
      <c r="CC273" s="38">
        <f t="shared" si="274"/>
        <v>0</v>
      </c>
      <c r="CD273" s="38">
        <f t="shared" si="275"/>
        <v>1.8651579266434319</v>
      </c>
      <c r="CE273" s="38">
        <f t="shared" si="276"/>
        <v>2.9759968116523843</v>
      </c>
      <c r="CF273" s="38">
        <f t="shared" si="277"/>
        <v>2.680738144784383</v>
      </c>
      <c r="CG273" s="38">
        <f t="shared" si="278"/>
        <v>7.9778681717532516</v>
      </c>
      <c r="CH273" s="15"/>
      <c r="CI273" s="16"/>
      <c r="CJ273" s="13"/>
      <c r="CK273" s="104"/>
      <c r="CL273" s="13"/>
      <c r="CM273" s="13"/>
      <c r="CN273" s="13"/>
      <c r="CO273" s="16"/>
      <c r="CP273" s="16"/>
      <c r="CQ273" s="16"/>
      <c r="CR273" s="16"/>
      <c r="CS273" s="16"/>
      <c r="CT273" s="16"/>
      <c r="CU273" s="16"/>
      <c r="CV273" s="16"/>
      <c r="CW273" s="16"/>
      <c r="CX273" s="16"/>
      <c r="CY273" s="104"/>
      <c r="CZ273" s="104"/>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3"/>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row>
    <row r="274" spans="1:167" x14ac:dyDescent="0.25">
      <c r="A274" s="35" t="s">
        <v>88</v>
      </c>
      <c r="B274" s="15">
        <v>920</v>
      </c>
      <c r="C274" s="102" t="s">
        <v>100</v>
      </c>
      <c r="D274" s="102" t="s">
        <v>104</v>
      </c>
      <c r="E274" s="15">
        <v>78</v>
      </c>
      <c r="F274" s="16">
        <v>59.6</v>
      </c>
      <c r="G274" s="16">
        <v>0</v>
      </c>
      <c r="H274" s="16">
        <v>25.35</v>
      </c>
      <c r="I274" s="16">
        <v>0</v>
      </c>
      <c r="J274" s="16">
        <v>0.33384324664806986</v>
      </c>
      <c r="K274" s="16">
        <v>0</v>
      </c>
      <c r="L274" s="16">
        <v>0</v>
      </c>
      <c r="M274" s="16">
        <v>7.42</v>
      </c>
      <c r="N274" s="16">
        <v>7.84</v>
      </c>
      <c r="O274" s="16">
        <v>0.32100000000000001</v>
      </c>
      <c r="P274" s="16">
        <v>0</v>
      </c>
      <c r="Q274" s="16"/>
      <c r="R274" s="16"/>
      <c r="S274" s="16">
        <f t="shared" si="224"/>
        <v>100.86484324664808</v>
      </c>
      <c r="T274" s="16"/>
      <c r="U274" s="15">
        <v>3</v>
      </c>
      <c r="V274" s="15">
        <v>4</v>
      </c>
      <c r="W274" s="15">
        <v>55.199999999999996</v>
      </c>
      <c r="X274" s="15" t="s">
        <v>258</v>
      </c>
      <c r="Y274" s="15"/>
      <c r="Z274" s="37">
        <v>8</v>
      </c>
      <c r="AA274" s="37">
        <v>5</v>
      </c>
      <c r="AB274" s="15"/>
      <c r="AC274" s="38">
        <f t="shared" si="225"/>
        <v>2.6482222801008892</v>
      </c>
      <c r="AD274" s="38">
        <f t="shared" si="226"/>
        <v>0</v>
      </c>
      <c r="AE274" s="38">
        <f t="shared" si="227"/>
        <v>1.3274440703215293</v>
      </c>
      <c r="AF274" s="38">
        <f t="shared" si="228"/>
        <v>0</v>
      </c>
      <c r="AG274" s="38">
        <f t="shared" si="229"/>
        <v>1.240377621162304E-2</v>
      </c>
      <c r="AH274" s="38">
        <f t="shared" si="230"/>
        <v>0</v>
      </c>
      <c r="AI274" s="38">
        <f t="shared" si="231"/>
        <v>0</v>
      </c>
      <c r="AJ274" s="38">
        <f t="shared" si="232"/>
        <v>0.35321082054590747</v>
      </c>
      <c r="AK274" s="38">
        <f t="shared" si="233"/>
        <v>0.67535572504095143</v>
      </c>
      <c r="AL274" s="38">
        <f t="shared" si="234"/>
        <v>1.8193750075840391E-2</v>
      </c>
      <c r="AM274" s="38">
        <f t="shared" si="235"/>
        <v>0</v>
      </c>
      <c r="AN274" s="38">
        <f t="shared" si="236"/>
        <v>0</v>
      </c>
      <c r="AO274" s="38">
        <f t="shared" si="237"/>
        <v>0</v>
      </c>
      <c r="AP274" s="38">
        <f t="shared" si="238"/>
        <v>5.034830422296741</v>
      </c>
      <c r="AQ274" s="38">
        <f t="shared" si="239"/>
        <v>3.9756663504224186</v>
      </c>
      <c r="AR274" s="38">
        <f t="shared" si="240"/>
        <v>1.0467602956626993</v>
      </c>
      <c r="AS274" s="40"/>
      <c r="AT274" s="38">
        <f t="shared" si="241"/>
        <v>2.6299021595377274</v>
      </c>
      <c r="AU274" s="38">
        <f t="shared" si="242"/>
        <v>0</v>
      </c>
      <c r="AV274" s="38">
        <f t="shared" si="243"/>
        <v>1.3182609531822014</v>
      </c>
      <c r="AW274" s="38">
        <f t="shared" si="244"/>
        <v>0</v>
      </c>
      <c r="AX274" s="38">
        <f t="shared" si="245"/>
        <v>0</v>
      </c>
      <c r="AY274" s="38">
        <f t="shared" si="246"/>
        <v>1.231796820474125E-2</v>
      </c>
      <c r="AZ274" s="38">
        <f t="shared" si="247"/>
        <v>0</v>
      </c>
      <c r="BA274" s="38">
        <f t="shared" si="248"/>
        <v>0</v>
      </c>
      <c r="BB274" s="38">
        <f t="shared" si="249"/>
        <v>0.35076734559093964</v>
      </c>
      <c r="BC274" s="38">
        <f t="shared" si="250"/>
        <v>0.67068368583988391</v>
      </c>
      <c r="BD274" s="38">
        <f t="shared" si="251"/>
        <v>1.8067887644506748E-2</v>
      </c>
      <c r="BE274" s="38">
        <f t="shared" si="252"/>
        <v>0</v>
      </c>
      <c r="BF274" s="38">
        <f t="shared" si="253"/>
        <v>0</v>
      </c>
      <c r="BG274" s="38">
        <f t="shared" si="254"/>
        <v>0</v>
      </c>
      <c r="BH274" s="41">
        <f t="shared" si="255"/>
        <v>5</v>
      </c>
      <c r="BI274" s="42">
        <f t="shared" si="256"/>
        <v>7.9508158334890027</v>
      </c>
      <c r="BJ274" s="38">
        <f t="shared" si="257"/>
        <v>3.9481631127199286</v>
      </c>
      <c r="BK274" s="38">
        <f t="shared" si="258"/>
        <v>1.0395189190753304</v>
      </c>
      <c r="BL274" s="16"/>
      <c r="BM274" s="16">
        <f t="shared" si="259"/>
        <v>0.33743238257073099</v>
      </c>
      <c r="BN274" s="16">
        <f t="shared" si="260"/>
        <v>0.64518660847122278</v>
      </c>
      <c r="BO274" s="16">
        <f t="shared" si="261"/>
        <v>1.7381008958046128E-2</v>
      </c>
      <c r="BP274" s="15"/>
      <c r="BQ274" s="38">
        <f t="shared" si="262"/>
        <v>0.99201065246338216</v>
      </c>
      <c r="BR274" s="38">
        <f t="shared" si="263"/>
        <v>0</v>
      </c>
      <c r="BS274" s="38">
        <f t="shared" si="264"/>
        <v>0.49725382502942334</v>
      </c>
      <c r="BT274" s="38">
        <f t="shared" si="265"/>
        <v>0</v>
      </c>
      <c r="BU274" s="38">
        <f t="shared" si="266"/>
        <v>4.6463917417963801E-3</v>
      </c>
      <c r="BV274" s="38">
        <f t="shared" si="267"/>
        <v>0</v>
      </c>
      <c r="BW274" s="38">
        <f t="shared" si="268"/>
        <v>0</v>
      </c>
      <c r="BX274" s="38">
        <f t="shared" si="269"/>
        <v>0.13231098430813124</v>
      </c>
      <c r="BY274" s="38">
        <f t="shared" si="270"/>
        <v>0.25298483381736042</v>
      </c>
      <c r="BZ274" s="38">
        <f t="shared" si="271"/>
        <v>6.8152866242038217E-3</v>
      </c>
      <c r="CA274" s="38">
        <f t="shared" si="272"/>
        <v>0</v>
      </c>
      <c r="CB274" s="38">
        <f t="shared" si="273"/>
        <v>0</v>
      </c>
      <c r="CC274" s="38">
        <f t="shared" si="274"/>
        <v>0</v>
      </c>
      <c r="CD274" s="38">
        <f t="shared" si="275"/>
        <v>1.8860219739842972</v>
      </c>
      <c r="CE274" s="38">
        <f t="shared" si="276"/>
        <v>2.9967594787416094</v>
      </c>
      <c r="CF274" s="38">
        <f t="shared" si="277"/>
        <v>2.6510825796145414</v>
      </c>
      <c r="CG274" s="38">
        <f t="shared" si="278"/>
        <v>7.9446568493866341</v>
      </c>
      <c r="CH274" s="15"/>
      <c r="CI274" s="16"/>
      <c r="CJ274" s="13"/>
      <c r="CK274" s="104"/>
      <c r="CL274" s="13"/>
      <c r="CM274" s="13"/>
      <c r="CN274" s="13"/>
      <c r="CO274" s="16"/>
      <c r="CP274" s="16"/>
      <c r="CQ274" s="16"/>
      <c r="CR274" s="16"/>
      <c r="CS274" s="16"/>
      <c r="CT274" s="16"/>
      <c r="CU274" s="16"/>
      <c r="CV274" s="16"/>
      <c r="CW274" s="16"/>
      <c r="CX274" s="16"/>
      <c r="CY274" s="104"/>
      <c r="CZ274" s="104"/>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3"/>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row>
    <row r="275" spans="1:167" x14ac:dyDescent="0.25">
      <c r="A275" s="35" t="s">
        <v>88</v>
      </c>
      <c r="B275" s="15">
        <v>921</v>
      </c>
      <c r="C275" s="102" t="s">
        <v>100</v>
      </c>
      <c r="D275" s="102" t="s">
        <v>104</v>
      </c>
      <c r="E275" s="15">
        <v>79</v>
      </c>
      <c r="F275" s="16">
        <v>59.92</v>
      </c>
      <c r="G275" s="16">
        <v>0</v>
      </c>
      <c r="H275" s="16">
        <v>25.11</v>
      </c>
      <c r="I275" s="16">
        <v>0</v>
      </c>
      <c r="J275" s="16">
        <v>0.31134707099793035</v>
      </c>
      <c r="K275" s="16">
        <v>0</v>
      </c>
      <c r="L275" s="16">
        <v>0</v>
      </c>
      <c r="M275" s="16">
        <v>7.3</v>
      </c>
      <c r="N275" s="16">
        <v>7.7</v>
      </c>
      <c r="O275" s="16">
        <v>0.34599999999999997</v>
      </c>
      <c r="P275" s="16">
        <v>0</v>
      </c>
      <c r="Q275" s="16"/>
      <c r="R275" s="16"/>
      <c r="S275" s="16">
        <f t="shared" si="224"/>
        <v>100.68734707099793</v>
      </c>
      <c r="T275" s="16"/>
      <c r="U275" s="15">
        <v>3</v>
      </c>
      <c r="V275" s="15">
        <v>5</v>
      </c>
      <c r="W275" s="15">
        <v>73.599999999999994</v>
      </c>
      <c r="X275" s="15" t="s">
        <v>258</v>
      </c>
      <c r="Y275" s="15"/>
      <c r="Z275" s="37">
        <v>8</v>
      </c>
      <c r="AA275" s="37">
        <v>5</v>
      </c>
      <c r="AB275" s="15"/>
      <c r="AC275" s="38">
        <f t="shared" si="225"/>
        <v>2.6632011377511735</v>
      </c>
      <c r="AD275" s="38">
        <f t="shared" si="226"/>
        <v>0</v>
      </c>
      <c r="AE275" s="38">
        <f t="shared" si="227"/>
        <v>1.3152519930397037</v>
      </c>
      <c r="AF275" s="38">
        <f t="shared" si="228"/>
        <v>0</v>
      </c>
      <c r="AG275" s="38">
        <f t="shared" si="229"/>
        <v>1.1571245263442973E-2</v>
      </c>
      <c r="AH275" s="38">
        <f t="shared" si="230"/>
        <v>0</v>
      </c>
      <c r="AI275" s="38">
        <f t="shared" si="231"/>
        <v>0</v>
      </c>
      <c r="AJ275" s="38">
        <f t="shared" si="232"/>
        <v>0.34759773843710917</v>
      </c>
      <c r="AK275" s="38">
        <f t="shared" si="233"/>
        <v>0.66348519416762253</v>
      </c>
      <c r="AL275" s="38">
        <f t="shared" si="234"/>
        <v>1.9616308307469871E-2</v>
      </c>
      <c r="AM275" s="38">
        <f t="shared" si="235"/>
        <v>0</v>
      </c>
      <c r="AN275" s="38">
        <f t="shared" si="236"/>
        <v>0</v>
      </c>
      <c r="AO275" s="38">
        <f t="shared" si="237"/>
        <v>0</v>
      </c>
      <c r="AP275" s="38">
        <f t="shared" si="238"/>
        <v>5.0207236169665217</v>
      </c>
      <c r="AQ275" s="38">
        <f t="shared" si="239"/>
        <v>3.9784531307908773</v>
      </c>
      <c r="AR275" s="38">
        <f t="shared" si="240"/>
        <v>1.0306992409122016</v>
      </c>
      <c r="AS275" s="40"/>
      <c r="AT275" s="38">
        <f t="shared" si="241"/>
        <v>2.6522084672729473</v>
      </c>
      <c r="AU275" s="38">
        <f t="shared" si="242"/>
        <v>0</v>
      </c>
      <c r="AV275" s="38">
        <f t="shared" si="243"/>
        <v>1.3098231384367336</v>
      </c>
      <c r="AW275" s="38">
        <f t="shared" si="244"/>
        <v>0</v>
      </c>
      <c r="AX275" s="38">
        <f t="shared" si="245"/>
        <v>0</v>
      </c>
      <c r="AY275" s="38">
        <f t="shared" si="246"/>
        <v>1.1523483611346665E-2</v>
      </c>
      <c r="AZ275" s="38">
        <f t="shared" si="247"/>
        <v>0</v>
      </c>
      <c r="BA275" s="38">
        <f t="shared" si="248"/>
        <v>0</v>
      </c>
      <c r="BB275" s="38">
        <f t="shared" si="249"/>
        <v>0.3461629886003611</v>
      </c>
      <c r="BC275" s="38">
        <f t="shared" si="250"/>
        <v>0.6607465823507076</v>
      </c>
      <c r="BD275" s="38">
        <f t="shared" si="251"/>
        <v>1.9535339727903479E-2</v>
      </c>
      <c r="BE275" s="38">
        <f t="shared" si="252"/>
        <v>0</v>
      </c>
      <c r="BF275" s="38">
        <f t="shared" si="253"/>
        <v>0</v>
      </c>
      <c r="BG275" s="38">
        <f t="shared" si="254"/>
        <v>0</v>
      </c>
      <c r="BH275" s="41">
        <f t="shared" si="255"/>
        <v>5</v>
      </c>
      <c r="BI275" s="42">
        <f t="shared" si="256"/>
        <v>7.9727408172576819</v>
      </c>
      <c r="BJ275" s="38">
        <f t="shared" si="257"/>
        <v>3.9620316057096812</v>
      </c>
      <c r="BK275" s="38">
        <f t="shared" si="258"/>
        <v>1.0264449106789721</v>
      </c>
      <c r="BL275" s="16"/>
      <c r="BM275" s="16">
        <f t="shared" si="259"/>
        <v>0.3372445856557284</v>
      </c>
      <c r="BN275" s="16">
        <f t="shared" si="260"/>
        <v>0.64372337519179412</v>
      </c>
      <c r="BO275" s="16">
        <f t="shared" si="261"/>
        <v>1.903203915247751E-2</v>
      </c>
      <c r="BP275" s="15"/>
      <c r="BQ275" s="38">
        <f t="shared" si="262"/>
        <v>0.99733688415446076</v>
      </c>
      <c r="BR275" s="38">
        <f t="shared" si="263"/>
        <v>0</v>
      </c>
      <c r="BS275" s="38">
        <f t="shared" si="264"/>
        <v>0.49254609650843467</v>
      </c>
      <c r="BT275" s="38">
        <f t="shared" si="265"/>
        <v>0</v>
      </c>
      <c r="BU275" s="38">
        <f t="shared" si="266"/>
        <v>4.3332925678208822E-3</v>
      </c>
      <c r="BV275" s="38">
        <f t="shared" si="267"/>
        <v>0</v>
      </c>
      <c r="BW275" s="38">
        <f t="shared" si="268"/>
        <v>0</v>
      </c>
      <c r="BX275" s="38">
        <f t="shared" si="269"/>
        <v>0.13017118402282454</v>
      </c>
      <c r="BY275" s="38">
        <f t="shared" si="270"/>
        <v>0.2484672474991933</v>
      </c>
      <c r="BZ275" s="38">
        <f t="shared" si="271"/>
        <v>7.3460721868365171E-3</v>
      </c>
      <c r="CA275" s="38">
        <f t="shared" si="272"/>
        <v>0</v>
      </c>
      <c r="CB275" s="38">
        <f t="shared" si="273"/>
        <v>0</v>
      </c>
      <c r="CC275" s="38">
        <f t="shared" si="274"/>
        <v>0</v>
      </c>
      <c r="CD275" s="38">
        <f t="shared" si="275"/>
        <v>1.8802007769395708</v>
      </c>
      <c r="CE275" s="38">
        <f t="shared" si="276"/>
        <v>2.9959040495052336</v>
      </c>
      <c r="CF275" s="38">
        <f t="shared" si="277"/>
        <v>2.6592904658504453</v>
      </c>
      <c r="CG275" s="38">
        <f t="shared" si="278"/>
        <v>7.9669790754520085</v>
      </c>
      <c r="CH275" s="15"/>
      <c r="CI275" s="16"/>
      <c r="CJ275" s="13"/>
      <c r="CK275" s="104"/>
      <c r="CL275" s="13"/>
      <c r="CM275" s="13"/>
      <c r="CN275" s="13"/>
      <c r="CO275" s="16"/>
      <c r="CP275" s="16"/>
      <c r="CQ275" s="16"/>
      <c r="CR275" s="16"/>
      <c r="CS275" s="16"/>
      <c r="CT275" s="16"/>
      <c r="CU275" s="16"/>
      <c r="CV275" s="16"/>
      <c r="CW275" s="16"/>
      <c r="CX275" s="16"/>
      <c r="CY275" s="104"/>
      <c r="CZ275" s="104"/>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3"/>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row>
    <row r="276" spans="1:167" x14ac:dyDescent="0.25">
      <c r="A276" s="35" t="s">
        <v>88</v>
      </c>
      <c r="B276" s="15">
        <v>922</v>
      </c>
      <c r="C276" s="102" t="s">
        <v>100</v>
      </c>
      <c r="D276" s="102" t="s">
        <v>104</v>
      </c>
      <c r="E276" s="15">
        <v>80</v>
      </c>
      <c r="F276" s="16">
        <v>59.83</v>
      </c>
      <c r="G276" s="16">
        <v>0</v>
      </c>
      <c r="H276" s="16">
        <v>25.05</v>
      </c>
      <c r="I276" s="16">
        <v>0</v>
      </c>
      <c r="J276" s="16">
        <v>0.39773238549446593</v>
      </c>
      <c r="K276" s="16">
        <v>0</v>
      </c>
      <c r="L276" s="16">
        <v>0</v>
      </c>
      <c r="M276" s="16">
        <v>7.24</v>
      </c>
      <c r="N276" s="16">
        <v>7.69</v>
      </c>
      <c r="O276" s="16">
        <v>0.29399999999999998</v>
      </c>
      <c r="P276" s="16">
        <v>0</v>
      </c>
      <c r="Q276" s="16"/>
      <c r="R276" s="16"/>
      <c r="S276" s="16">
        <f t="shared" si="224"/>
        <v>100.50173238549445</v>
      </c>
      <c r="T276" s="16"/>
      <c r="U276" s="15">
        <v>3</v>
      </c>
      <c r="V276" s="15">
        <v>6</v>
      </c>
      <c r="W276" s="15">
        <v>92</v>
      </c>
      <c r="X276" s="15" t="s">
        <v>258</v>
      </c>
      <c r="Y276" s="15"/>
      <c r="Z276" s="37">
        <v>8</v>
      </c>
      <c r="AA276" s="37">
        <v>5</v>
      </c>
      <c r="AB276" s="15"/>
      <c r="AC276" s="38">
        <f t="shared" si="225"/>
        <v>2.6639514194680949</v>
      </c>
      <c r="AD276" s="38">
        <f t="shared" si="226"/>
        <v>0</v>
      </c>
      <c r="AE276" s="38">
        <f t="shared" si="227"/>
        <v>1.3144531783774311</v>
      </c>
      <c r="AF276" s="38">
        <f t="shared" si="228"/>
        <v>0</v>
      </c>
      <c r="AG276" s="38">
        <f t="shared" si="229"/>
        <v>1.4808170436654109E-2</v>
      </c>
      <c r="AH276" s="38">
        <f t="shared" si="230"/>
        <v>0</v>
      </c>
      <c r="AI276" s="38">
        <f t="shared" si="231"/>
        <v>0</v>
      </c>
      <c r="AJ276" s="38">
        <f t="shared" si="232"/>
        <v>0.34535661826408071</v>
      </c>
      <c r="AK276" s="38">
        <f t="shared" si="233"/>
        <v>0.66380724079947284</v>
      </c>
      <c r="AL276" s="38">
        <f t="shared" si="234"/>
        <v>1.6697968794387737E-2</v>
      </c>
      <c r="AM276" s="38">
        <f t="shared" si="235"/>
        <v>0</v>
      </c>
      <c r="AN276" s="38">
        <f t="shared" si="236"/>
        <v>0</v>
      </c>
      <c r="AO276" s="38">
        <f t="shared" si="237"/>
        <v>0</v>
      </c>
      <c r="AP276" s="38">
        <f t="shared" si="238"/>
        <v>5.019074596140122</v>
      </c>
      <c r="AQ276" s="38">
        <f t="shared" si="239"/>
        <v>3.9784045978455262</v>
      </c>
      <c r="AR276" s="38">
        <f t="shared" si="240"/>
        <v>1.0258618278579414</v>
      </c>
      <c r="AS276" s="40"/>
      <c r="AT276" s="38">
        <f t="shared" si="241"/>
        <v>2.6538272827393175</v>
      </c>
      <c r="AU276" s="38">
        <f t="shared" si="242"/>
        <v>0</v>
      </c>
      <c r="AV276" s="38">
        <f t="shared" si="243"/>
        <v>1.3094577030079417</v>
      </c>
      <c r="AW276" s="38">
        <f t="shared" si="244"/>
        <v>0</v>
      </c>
      <c r="AX276" s="38">
        <f t="shared" si="245"/>
        <v>0</v>
      </c>
      <c r="AY276" s="38">
        <f t="shared" si="246"/>
        <v>1.4751893155804273E-2</v>
      </c>
      <c r="AZ276" s="38">
        <f t="shared" si="247"/>
        <v>0</v>
      </c>
      <c r="BA276" s="38">
        <f t="shared" si="248"/>
        <v>0</v>
      </c>
      <c r="BB276" s="38">
        <f t="shared" si="249"/>
        <v>0.34404411774401045</v>
      </c>
      <c r="BC276" s="38">
        <f t="shared" si="250"/>
        <v>0.66128449386861909</v>
      </c>
      <c r="BD276" s="38">
        <f t="shared" si="251"/>
        <v>1.6634509484307301E-2</v>
      </c>
      <c r="BE276" s="38">
        <f t="shared" si="252"/>
        <v>0</v>
      </c>
      <c r="BF276" s="38">
        <f t="shared" si="253"/>
        <v>0</v>
      </c>
      <c r="BG276" s="38">
        <f t="shared" si="254"/>
        <v>0</v>
      </c>
      <c r="BH276" s="41">
        <f t="shared" si="255"/>
        <v>5</v>
      </c>
      <c r="BI276" s="42">
        <f t="shared" si="256"/>
        <v>7.9769725791447268</v>
      </c>
      <c r="BJ276" s="38">
        <f t="shared" si="257"/>
        <v>3.9632849857472592</v>
      </c>
      <c r="BK276" s="38">
        <f t="shared" si="258"/>
        <v>1.0219631210969367</v>
      </c>
      <c r="BL276" s="16"/>
      <c r="BM276" s="16">
        <f t="shared" si="259"/>
        <v>0.33665022801872374</v>
      </c>
      <c r="BN276" s="16">
        <f t="shared" si="260"/>
        <v>0.64707275655781105</v>
      </c>
      <c r="BO276" s="16">
        <f t="shared" si="261"/>
        <v>1.6277015423465026E-2</v>
      </c>
      <c r="BP276" s="15"/>
      <c r="BQ276" s="38">
        <f t="shared" si="262"/>
        <v>0.99583888149134492</v>
      </c>
      <c r="BR276" s="38">
        <f t="shared" si="263"/>
        <v>0</v>
      </c>
      <c r="BS276" s="38">
        <f t="shared" si="264"/>
        <v>0.49136916437818756</v>
      </c>
      <c r="BT276" s="38">
        <f t="shared" si="265"/>
        <v>0</v>
      </c>
      <c r="BU276" s="38">
        <f t="shared" si="266"/>
        <v>5.5355933958867913E-3</v>
      </c>
      <c r="BV276" s="38">
        <f t="shared" si="267"/>
        <v>0</v>
      </c>
      <c r="BW276" s="38">
        <f t="shared" si="268"/>
        <v>0</v>
      </c>
      <c r="BX276" s="38">
        <f t="shared" si="269"/>
        <v>0.1291012838801712</v>
      </c>
      <c r="BY276" s="38">
        <f t="shared" si="270"/>
        <v>0.24814456276218139</v>
      </c>
      <c r="BZ276" s="38">
        <f t="shared" si="271"/>
        <v>6.2420382165605092E-3</v>
      </c>
      <c r="CA276" s="38">
        <f t="shared" si="272"/>
        <v>0</v>
      </c>
      <c r="CB276" s="38">
        <f t="shared" si="273"/>
        <v>0</v>
      </c>
      <c r="CC276" s="38">
        <f t="shared" si="274"/>
        <v>0</v>
      </c>
      <c r="CD276" s="38">
        <f t="shared" si="275"/>
        <v>1.8762315241243324</v>
      </c>
      <c r="CE276" s="38">
        <f t="shared" si="276"/>
        <v>2.9905616873153997</v>
      </c>
      <c r="CF276" s="38">
        <f t="shared" si="277"/>
        <v>2.6649163153431084</v>
      </c>
      <c r="CG276" s="38">
        <f t="shared" si="278"/>
        <v>7.9695966325668239</v>
      </c>
      <c r="CH276" s="15"/>
      <c r="CI276" s="16"/>
      <c r="CJ276" s="13"/>
      <c r="CK276" s="104"/>
      <c r="CL276" s="13"/>
      <c r="CM276" s="13"/>
      <c r="CN276" s="13"/>
      <c r="CO276" s="16"/>
      <c r="CP276" s="16"/>
      <c r="CQ276" s="16"/>
      <c r="CR276" s="16"/>
      <c r="CS276" s="16"/>
      <c r="CT276" s="16"/>
      <c r="CU276" s="16"/>
      <c r="CV276" s="16"/>
      <c r="CW276" s="16"/>
      <c r="CX276" s="16"/>
      <c r="CY276" s="104"/>
      <c r="CZ276" s="104"/>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3"/>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row>
    <row r="277" spans="1:167" x14ac:dyDescent="0.25">
      <c r="A277" s="35" t="s">
        <v>88</v>
      </c>
      <c r="B277" s="15">
        <v>923</v>
      </c>
      <c r="C277" s="102" t="s">
        <v>100</v>
      </c>
      <c r="D277" s="102" t="s">
        <v>104</v>
      </c>
      <c r="E277" s="15">
        <v>81</v>
      </c>
      <c r="F277" s="16">
        <v>60.29</v>
      </c>
      <c r="G277" s="16">
        <v>0</v>
      </c>
      <c r="H277" s="16">
        <v>25.01</v>
      </c>
      <c r="I277" s="16">
        <v>0</v>
      </c>
      <c r="J277" s="16">
        <v>0.31404661207594708</v>
      </c>
      <c r="K277" s="16">
        <v>0</v>
      </c>
      <c r="L277" s="16">
        <v>0</v>
      </c>
      <c r="M277" s="16">
        <v>7.15</v>
      </c>
      <c r="N277" s="16">
        <v>7.99</v>
      </c>
      <c r="O277" s="16">
        <v>0.26200000000000001</v>
      </c>
      <c r="P277" s="16">
        <v>0</v>
      </c>
      <c r="Q277" s="16"/>
      <c r="R277" s="16"/>
      <c r="S277" s="16">
        <f t="shared" si="224"/>
        <v>101.01604661207594</v>
      </c>
      <c r="T277" s="16"/>
      <c r="U277" s="15">
        <v>3</v>
      </c>
      <c r="V277" s="15">
        <v>7</v>
      </c>
      <c r="W277" s="15">
        <v>110.4</v>
      </c>
      <c r="X277" s="15" t="s">
        <v>258</v>
      </c>
      <c r="Y277" s="15"/>
      <c r="Z277" s="37">
        <v>8</v>
      </c>
      <c r="AA277" s="37">
        <v>5</v>
      </c>
      <c r="AB277" s="15"/>
      <c r="AC277" s="38">
        <f t="shared" si="225"/>
        <v>2.6702654953981386</v>
      </c>
      <c r="AD277" s="38">
        <f t="shared" si="226"/>
        <v>0</v>
      </c>
      <c r="AE277" s="38">
        <f t="shared" si="227"/>
        <v>1.3054280633007029</v>
      </c>
      <c r="AF277" s="38">
        <f t="shared" si="228"/>
        <v>0</v>
      </c>
      <c r="AG277" s="38">
        <f t="shared" si="229"/>
        <v>1.1630715276755946E-2</v>
      </c>
      <c r="AH277" s="38">
        <f t="shared" si="230"/>
        <v>0</v>
      </c>
      <c r="AI277" s="38">
        <f t="shared" si="231"/>
        <v>0</v>
      </c>
      <c r="AJ277" s="38">
        <f t="shared" si="232"/>
        <v>0.3392634865237566</v>
      </c>
      <c r="AK277" s="38">
        <f t="shared" si="233"/>
        <v>0.68606345665656032</v>
      </c>
      <c r="AL277" s="38">
        <f t="shared" si="234"/>
        <v>1.4801968247751679E-2</v>
      </c>
      <c r="AM277" s="38">
        <f t="shared" si="235"/>
        <v>0</v>
      </c>
      <c r="AN277" s="38">
        <f t="shared" si="236"/>
        <v>0</v>
      </c>
      <c r="AO277" s="38">
        <f t="shared" si="237"/>
        <v>0</v>
      </c>
      <c r="AP277" s="38">
        <f t="shared" si="238"/>
        <v>5.0274531854036661</v>
      </c>
      <c r="AQ277" s="38">
        <f t="shared" si="239"/>
        <v>3.9756935586988416</v>
      </c>
      <c r="AR277" s="38">
        <f t="shared" si="240"/>
        <v>1.0401289114280685</v>
      </c>
      <c r="AS277" s="40"/>
      <c r="AT277" s="38">
        <f t="shared" si="241"/>
        <v>2.655684097815957</v>
      </c>
      <c r="AU277" s="38">
        <f t="shared" si="242"/>
        <v>0</v>
      </c>
      <c r="AV277" s="38">
        <f t="shared" si="243"/>
        <v>1.2982995715313528</v>
      </c>
      <c r="AW277" s="38">
        <f t="shared" si="244"/>
        <v>0</v>
      </c>
      <c r="AX277" s="38">
        <f t="shared" si="245"/>
        <v>0</v>
      </c>
      <c r="AY277" s="38">
        <f t="shared" si="246"/>
        <v>1.1567203957784928E-2</v>
      </c>
      <c r="AZ277" s="38">
        <f t="shared" si="247"/>
        <v>0</v>
      </c>
      <c r="BA277" s="38">
        <f t="shared" si="248"/>
        <v>0</v>
      </c>
      <c r="BB277" s="38">
        <f t="shared" si="249"/>
        <v>0.3374108858027251</v>
      </c>
      <c r="BC277" s="38">
        <f t="shared" si="250"/>
        <v>0.68231710108054899</v>
      </c>
      <c r="BD277" s="38">
        <f t="shared" si="251"/>
        <v>1.4721139811631279E-2</v>
      </c>
      <c r="BE277" s="38">
        <f t="shared" si="252"/>
        <v>0</v>
      </c>
      <c r="BF277" s="38">
        <f t="shared" si="253"/>
        <v>0</v>
      </c>
      <c r="BG277" s="38">
        <f t="shared" si="254"/>
        <v>0</v>
      </c>
      <c r="BH277" s="41">
        <f t="shared" si="255"/>
        <v>5</v>
      </c>
      <c r="BI277" s="42">
        <f t="shared" si="256"/>
        <v>7.9620983651144357</v>
      </c>
      <c r="BJ277" s="38">
        <f t="shared" si="257"/>
        <v>3.95398366934731</v>
      </c>
      <c r="BK277" s="38">
        <f t="shared" si="258"/>
        <v>1.0344491266949054</v>
      </c>
      <c r="BL277" s="16"/>
      <c r="BM277" s="16">
        <f t="shared" si="259"/>
        <v>0.32617446048870724</v>
      </c>
      <c r="BN277" s="16">
        <f t="shared" si="260"/>
        <v>0.65959464170130022</v>
      </c>
      <c r="BO277" s="16">
        <f t="shared" si="261"/>
        <v>1.4230897809992591E-2</v>
      </c>
      <c r="BP277" s="15"/>
      <c r="BQ277" s="38">
        <f t="shared" si="262"/>
        <v>1.0034953395472703</v>
      </c>
      <c r="BR277" s="38">
        <f t="shared" si="263"/>
        <v>0</v>
      </c>
      <c r="BS277" s="38">
        <f t="shared" si="264"/>
        <v>0.49058454295802284</v>
      </c>
      <c r="BT277" s="38">
        <f t="shared" si="265"/>
        <v>0</v>
      </c>
      <c r="BU277" s="38">
        <f t="shared" si="266"/>
        <v>4.3708644686979419E-3</v>
      </c>
      <c r="BV277" s="38">
        <f t="shared" si="267"/>
        <v>0</v>
      </c>
      <c r="BW277" s="38">
        <f t="shared" si="268"/>
        <v>0</v>
      </c>
      <c r="BX277" s="38">
        <f t="shared" si="269"/>
        <v>0.12749643366619118</v>
      </c>
      <c r="BY277" s="38">
        <f t="shared" si="270"/>
        <v>0.25782510487253957</v>
      </c>
      <c r="BZ277" s="38">
        <f t="shared" si="271"/>
        <v>5.5626326963906583E-3</v>
      </c>
      <c r="CA277" s="38">
        <f t="shared" si="272"/>
        <v>0</v>
      </c>
      <c r="CB277" s="38">
        <f t="shared" si="273"/>
        <v>0</v>
      </c>
      <c r="CC277" s="38">
        <f t="shared" si="274"/>
        <v>0</v>
      </c>
      <c r="CD277" s="38">
        <f t="shared" si="275"/>
        <v>1.8893349182091126</v>
      </c>
      <c r="CE277" s="38">
        <f t="shared" si="276"/>
        <v>3.0064286604509292</v>
      </c>
      <c r="CF277" s="38">
        <f t="shared" si="277"/>
        <v>2.6464339127016534</v>
      </c>
      <c r="CG277" s="38">
        <f t="shared" si="278"/>
        <v>7.9563147631355431</v>
      </c>
      <c r="CH277" s="15"/>
      <c r="CI277" s="16"/>
      <c r="CJ277" s="13"/>
      <c r="CK277" s="104"/>
      <c r="CL277" s="13"/>
      <c r="CM277" s="13"/>
      <c r="CN277" s="13"/>
      <c r="CO277" s="16"/>
      <c r="CP277" s="16"/>
      <c r="CQ277" s="16"/>
      <c r="CR277" s="16"/>
      <c r="CS277" s="16"/>
      <c r="CT277" s="16"/>
      <c r="CU277" s="16"/>
      <c r="CV277" s="16"/>
      <c r="CW277" s="16"/>
      <c r="CX277" s="16"/>
      <c r="CY277" s="104"/>
      <c r="CZ277" s="104"/>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3"/>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row>
    <row r="278" spans="1:167" x14ac:dyDescent="0.25">
      <c r="A278" s="35" t="s">
        <v>88</v>
      </c>
      <c r="B278" s="15">
        <v>924</v>
      </c>
      <c r="C278" s="102" t="s">
        <v>100</v>
      </c>
      <c r="D278" s="102" t="s">
        <v>104</v>
      </c>
      <c r="E278" s="15">
        <v>82</v>
      </c>
      <c r="F278" s="16">
        <v>62.48</v>
      </c>
      <c r="G278" s="16">
        <v>0</v>
      </c>
      <c r="H278" s="16">
        <v>23.63</v>
      </c>
      <c r="I278" s="16">
        <v>0</v>
      </c>
      <c r="J278" s="16">
        <v>0.27175380185368486</v>
      </c>
      <c r="K278" s="16">
        <v>0</v>
      </c>
      <c r="L278" s="16">
        <v>0</v>
      </c>
      <c r="M278" s="16">
        <v>5.6</v>
      </c>
      <c r="N278" s="16">
        <v>8.83</v>
      </c>
      <c r="O278" s="16">
        <v>0.378</v>
      </c>
      <c r="P278" s="16">
        <v>0</v>
      </c>
      <c r="Q278" s="16"/>
      <c r="R278" s="16"/>
      <c r="S278" s="16">
        <f t="shared" si="224"/>
        <v>101.18975380185368</v>
      </c>
      <c r="T278" s="16"/>
      <c r="U278" s="15">
        <v>3</v>
      </c>
      <c r="V278" s="15">
        <v>8</v>
      </c>
      <c r="W278" s="15">
        <v>128.80000000000001</v>
      </c>
      <c r="X278" s="15" t="s">
        <v>186</v>
      </c>
      <c r="Y278" s="15"/>
      <c r="Z278" s="37">
        <v>8</v>
      </c>
      <c r="AA278" s="37">
        <v>5</v>
      </c>
      <c r="AB278" s="15"/>
      <c r="AC278" s="38">
        <f t="shared" si="225"/>
        <v>2.750014393476512</v>
      </c>
      <c r="AD278" s="38">
        <f t="shared" si="226"/>
        <v>0</v>
      </c>
      <c r="AE278" s="38">
        <f t="shared" si="227"/>
        <v>1.2257100881243714</v>
      </c>
      <c r="AF278" s="38">
        <f t="shared" si="228"/>
        <v>0</v>
      </c>
      <c r="AG278" s="38">
        <f t="shared" si="229"/>
        <v>1.0001674722489282E-2</v>
      </c>
      <c r="AH278" s="38">
        <f t="shared" si="230"/>
        <v>0</v>
      </c>
      <c r="AI278" s="38">
        <f t="shared" si="231"/>
        <v>0</v>
      </c>
      <c r="AJ278" s="38">
        <f t="shared" si="232"/>
        <v>0.26406077410003315</v>
      </c>
      <c r="AK278" s="38">
        <f t="shared" si="233"/>
        <v>0.75346485103379357</v>
      </c>
      <c r="AL278" s="38">
        <f t="shared" si="234"/>
        <v>2.1222413042001391E-2</v>
      </c>
      <c r="AM278" s="38">
        <f t="shared" si="235"/>
        <v>0</v>
      </c>
      <c r="AN278" s="38">
        <f t="shared" si="236"/>
        <v>0</v>
      </c>
      <c r="AO278" s="38">
        <f t="shared" si="237"/>
        <v>0</v>
      </c>
      <c r="AP278" s="38">
        <f t="shared" si="238"/>
        <v>5.0244741944992013</v>
      </c>
      <c r="AQ278" s="38">
        <f t="shared" si="239"/>
        <v>3.9757244816008832</v>
      </c>
      <c r="AR278" s="38">
        <f t="shared" si="240"/>
        <v>1.0387480381758281</v>
      </c>
      <c r="AS278" s="40"/>
      <c r="AT278" s="38">
        <f t="shared" si="241"/>
        <v>2.7366190839304445</v>
      </c>
      <c r="AU278" s="38">
        <f t="shared" si="242"/>
        <v>0</v>
      </c>
      <c r="AV278" s="38">
        <f t="shared" si="243"/>
        <v>1.2197396589938507</v>
      </c>
      <c r="AW278" s="38">
        <f t="shared" si="244"/>
        <v>0</v>
      </c>
      <c r="AX278" s="38">
        <f t="shared" si="245"/>
        <v>0</v>
      </c>
      <c r="AY278" s="38">
        <f t="shared" si="246"/>
        <v>9.9529566033388396E-3</v>
      </c>
      <c r="AZ278" s="38">
        <f t="shared" si="247"/>
        <v>0</v>
      </c>
      <c r="BA278" s="38">
        <f t="shared" si="248"/>
        <v>0</v>
      </c>
      <c r="BB278" s="38">
        <f t="shared" si="249"/>
        <v>0.26277453508381748</v>
      </c>
      <c r="BC278" s="38">
        <f t="shared" si="250"/>
        <v>0.74979472663894631</v>
      </c>
      <c r="BD278" s="38">
        <f t="shared" si="251"/>
        <v>2.1119038749602605E-2</v>
      </c>
      <c r="BE278" s="38">
        <f t="shared" si="252"/>
        <v>0</v>
      </c>
      <c r="BF278" s="38">
        <f t="shared" si="253"/>
        <v>0</v>
      </c>
      <c r="BG278" s="38">
        <f t="shared" si="254"/>
        <v>0</v>
      </c>
      <c r="BH278" s="41">
        <f t="shared" si="255"/>
        <v>5</v>
      </c>
      <c r="BI278" s="42">
        <f t="shared" si="256"/>
        <v>7.9660085090347659</v>
      </c>
      <c r="BJ278" s="38">
        <f t="shared" si="257"/>
        <v>3.9563587429242952</v>
      </c>
      <c r="BK278" s="38">
        <f t="shared" si="258"/>
        <v>1.0336883004723663</v>
      </c>
      <c r="BL278" s="16"/>
      <c r="BM278" s="16">
        <f t="shared" si="259"/>
        <v>0.2542106116164195</v>
      </c>
      <c r="BN278" s="16">
        <f t="shared" si="260"/>
        <v>0.72535862725379718</v>
      </c>
      <c r="BO278" s="16">
        <f t="shared" si="261"/>
        <v>2.0430761129783322E-2</v>
      </c>
      <c r="BP278" s="15"/>
      <c r="BQ278" s="38">
        <f t="shared" si="262"/>
        <v>1.0399467376830891</v>
      </c>
      <c r="BR278" s="38">
        <f t="shared" si="263"/>
        <v>0</v>
      </c>
      <c r="BS278" s="38">
        <f t="shared" si="264"/>
        <v>0.46351510396233819</v>
      </c>
      <c r="BT278" s="38">
        <f t="shared" si="265"/>
        <v>0</v>
      </c>
      <c r="BU278" s="38">
        <f t="shared" si="266"/>
        <v>3.7822380216240067E-3</v>
      </c>
      <c r="BV278" s="38">
        <f t="shared" si="267"/>
        <v>0</v>
      </c>
      <c r="BW278" s="38">
        <f t="shared" si="268"/>
        <v>0</v>
      </c>
      <c r="BX278" s="38">
        <f t="shared" si="269"/>
        <v>9.9857346647646214E-2</v>
      </c>
      <c r="BY278" s="38">
        <f t="shared" si="270"/>
        <v>0.28493062278154246</v>
      </c>
      <c r="BZ278" s="38">
        <f t="shared" si="271"/>
        <v>8.0254777070063697E-3</v>
      </c>
      <c r="CA278" s="38">
        <f t="shared" si="272"/>
        <v>0</v>
      </c>
      <c r="CB278" s="38">
        <f t="shared" si="273"/>
        <v>0</v>
      </c>
      <c r="CC278" s="38">
        <f t="shared" si="274"/>
        <v>0</v>
      </c>
      <c r="CD278" s="38">
        <f t="shared" si="275"/>
        <v>1.9000575268032462</v>
      </c>
      <c r="CE278" s="38">
        <f t="shared" si="276"/>
        <v>3.0252837662232297</v>
      </c>
      <c r="CF278" s="38">
        <f t="shared" si="277"/>
        <v>2.6314992727679436</v>
      </c>
      <c r="CG278" s="38">
        <f t="shared" si="278"/>
        <v>7.9610320307330946</v>
      </c>
      <c r="CH278" s="15"/>
      <c r="CI278" s="16"/>
      <c r="CJ278" s="13"/>
      <c r="CK278" s="104"/>
      <c r="CL278" s="13"/>
      <c r="CM278" s="13"/>
      <c r="CN278" s="13"/>
      <c r="CO278" s="16"/>
      <c r="CP278" s="16"/>
      <c r="CQ278" s="16"/>
      <c r="CR278" s="16"/>
      <c r="CS278" s="16"/>
      <c r="CT278" s="16"/>
      <c r="CU278" s="16"/>
      <c r="CV278" s="16"/>
      <c r="CW278" s="16"/>
      <c r="CX278" s="16"/>
      <c r="CY278" s="104"/>
      <c r="CZ278" s="104"/>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3"/>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row>
    <row r="279" spans="1:167" x14ac:dyDescent="0.25">
      <c r="A279" s="35" t="s">
        <v>88</v>
      </c>
      <c r="B279" s="15">
        <v>925</v>
      </c>
      <c r="C279" s="102" t="s">
        <v>100</v>
      </c>
      <c r="D279" s="102" t="s">
        <v>104</v>
      </c>
      <c r="E279" s="15">
        <v>83</v>
      </c>
      <c r="F279" s="16">
        <v>64.489999999999995</v>
      </c>
      <c r="G279" s="16">
        <v>0</v>
      </c>
      <c r="H279" s="16">
        <v>22.05</v>
      </c>
      <c r="I279" s="16">
        <v>0</v>
      </c>
      <c r="J279" s="16">
        <v>0.16917124088904886</v>
      </c>
      <c r="K279" s="16">
        <v>0</v>
      </c>
      <c r="L279" s="16">
        <v>0</v>
      </c>
      <c r="M279" s="16">
        <v>3.61</v>
      </c>
      <c r="N279" s="16">
        <v>10.029999999999999</v>
      </c>
      <c r="O279" s="16">
        <v>0.498</v>
      </c>
      <c r="P279" s="16">
        <v>0</v>
      </c>
      <c r="Q279" s="16"/>
      <c r="R279" s="16"/>
      <c r="S279" s="16">
        <f t="shared" si="224"/>
        <v>100.84717124088904</v>
      </c>
      <c r="T279" s="16"/>
      <c r="U279" s="15">
        <v>3</v>
      </c>
      <c r="V279" s="15">
        <v>9</v>
      </c>
      <c r="W279" s="15">
        <v>147.20000000000002</v>
      </c>
      <c r="X279" s="15" t="s">
        <v>186</v>
      </c>
      <c r="Y279" s="15"/>
      <c r="Z279" s="37">
        <v>8</v>
      </c>
      <c r="AA279" s="37">
        <v>5</v>
      </c>
      <c r="AB279" s="15"/>
      <c r="AC279" s="38">
        <f t="shared" si="225"/>
        <v>2.8346001916975752</v>
      </c>
      <c r="AD279" s="38">
        <f t="shared" si="226"/>
        <v>0</v>
      </c>
      <c r="AE279" s="38">
        <f t="shared" si="227"/>
        <v>1.1421893907339991</v>
      </c>
      <c r="AF279" s="38">
        <f t="shared" si="228"/>
        <v>0</v>
      </c>
      <c r="AG279" s="38">
        <f t="shared" si="229"/>
        <v>6.2176908068859926E-3</v>
      </c>
      <c r="AH279" s="38">
        <f t="shared" si="230"/>
        <v>0</v>
      </c>
      <c r="AI279" s="38">
        <f t="shared" si="231"/>
        <v>0</v>
      </c>
      <c r="AJ279" s="38">
        <f t="shared" si="232"/>
        <v>0.1699920284385002</v>
      </c>
      <c r="AK279" s="38">
        <f t="shared" si="233"/>
        <v>0.85469018365280758</v>
      </c>
      <c r="AL279" s="38">
        <f t="shared" si="234"/>
        <v>2.7921438864124092E-2</v>
      </c>
      <c r="AM279" s="38">
        <f t="shared" si="235"/>
        <v>0</v>
      </c>
      <c r="AN279" s="38">
        <f t="shared" si="236"/>
        <v>0</v>
      </c>
      <c r="AO279" s="38">
        <f t="shared" si="237"/>
        <v>0</v>
      </c>
      <c r="AP279" s="38">
        <f t="shared" si="238"/>
        <v>5.0356109241938913</v>
      </c>
      <c r="AQ279" s="38">
        <f t="shared" si="239"/>
        <v>3.9767895824315742</v>
      </c>
      <c r="AR279" s="38">
        <f t="shared" si="240"/>
        <v>1.0526036509554317</v>
      </c>
      <c r="AS279" s="40"/>
      <c r="AT279" s="38">
        <f t="shared" si="241"/>
        <v>2.8145544149157451</v>
      </c>
      <c r="AU279" s="38">
        <f t="shared" si="242"/>
        <v>0</v>
      </c>
      <c r="AV279" s="38">
        <f t="shared" si="243"/>
        <v>1.1341120351914822</v>
      </c>
      <c r="AW279" s="38">
        <f t="shared" si="244"/>
        <v>0</v>
      </c>
      <c r="AX279" s="38">
        <f t="shared" si="245"/>
        <v>0</v>
      </c>
      <c r="AY279" s="38">
        <f t="shared" si="246"/>
        <v>6.1737204288487887E-3</v>
      </c>
      <c r="AZ279" s="38">
        <f t="shared" si="247"/>
        <v>0</v>
      </c>
      <c r="BA279" s="38">
        <f t="shared" si="248"/>
        <v>0</v>
      </c>
      <c r="BB279" s="38">
        <f t="shared" si="249"/>
        <v>0.16878987574453319</v>
      </c>
      <c r="BC279" s="38">
        <f t="shared" si="250"/>
        <v>0.84864597019042698</v>
      </c>
      <c r="BD279" s="38">
        <f t="shared" si="251"/>
        <v>2.7723983528963561E-2</v>
      </c>
      <c r="BE279" s="38">
        <f t="shared" si="252"/>
        <v>0</v>
      </c>
      <c r="BF279" s="38">
        <f t="shared" si="253"/>
        <v>0</v>
      </c>
      <c r="BG279" s="38">
        <f t="shared" si="254"/>
        <v>0</v>
      </c>
      <c r="BH279" s="41">
        <f t="shared" si="255"/>
        <v>5.0000000000000009</v>
      </c>
      <c r="BI279" s="42">
        <f t="shared" si="256"/>
        <v>7.9465123158662152</v>
      </c>
      <c r="BJ279" s="38">
        <f t="shared" si="257"/>
        <v>3.9486664501072273</v>
      </c>
      <c r="BK279" s="38">
        <f t="shared" si="258"/>
        <v>1.0451598294639237</v>
      </c>
      <c r="BL279" s="16"/>
      <c r="BM279" s="16">
        <f t="shared" si="259"/>
        <v>0.16149671178149641</v>
      </c>
      <c r="BN279" s="16">
        <f t="shared" si="260"/>
        <v>0.81197721751869167</v>
      </c>
      <c r="BO279" s="16">
        <f t="shared" si="261"/>
        <v>2.6526070699812072E-2</v>
      </c>
      <c r="BP279" s="15"/>
      <c r="BQ279" s="38">
        <f t="shared" si="262"/>
        <v>1.0734021304926764</v>
      </c>
      <c r="BR279" s="38">
        <f t="shared" si="263"/>
        <v>0</v>
      </c>
      <c r="BS279" s="38">
        <f t="shared" si="264"/>
        <v>0.43252255786582977</v>
      </c>
      <c r="BT279" s="38">
        <f t="shared" si="265"/>
        <v>0</v>
      </c>
      <c r="BU279" s="38">
        <f t="shared" si="266"/>
        <v>2.3545057882957392E-3</v>
      </c>
      <c r="BV279" s="38">
        <f t="shared" si="267"/>
        <v>0</v>
      </c>
      <c r="BW279" s="38">
        <f t="shared" si="268"/>
        <v>0</v>
      </c>
      <c r="BX279" s="38">
        <f t="shared" si="269"/>
        <v>6.437232524964337E-2</v>
      </c>
      <c r="BY279" s="38">
        <f t="shared" si="270"/>
        <v>0.32365279122297513</v>
      </c>
      <c r="BZ279" s="38">
        <f t="shared" si="271"/>
        <v>1.0573248407643312E-2</v>
      </c>
      <c r="CA279" s="38">
        <f t="shared" si="272"/>
        <v>0</v>
      </c>
      <c r="CB279" s="38">
        <f t="shared" si="273"/>
        <v>0</v>
      </c>
      <c r="CC279" s="38">
        <f t="shared" si="274"/>
        <v>0</v>
      </c>
      <c r="CD279" s="38">
        <f t="shared" si="275"/>
        <v>1.9068775590270637</v>
      </c>
      <c r="CE279" s="38">
        <f t="shared" si="276"/>
        <v>3.0294279486373457</v>
      </c>
      <c r="CF279" s="38">
        <f t="shared" si="277"/>
        <v>2.6220875988236623</v>
      </c>
      <c r="CG279" s="38">
        <f t="shared" si="278"/>
        <v>7.9434254556517905</v>
      </c>
      <c r="CH279" s="15"/>
      <c r="CI279" s="16"/>
      <c r="CJ279" s="13"/>
      <c r="CK279" s="104"/>
      <c r="CL279" s="13"/>
      <c r="CM279" s="13"/>
      <c r="CN279" s="13"/>
      <c r="CO279" s="16"/>
      <c r="CP279" s="16"/>
      <c r="CQ279" s="16"/>
      <c r="CR279" s="16"/>
      <c r="CS279" s="16"/>
      <c r="CT279" s="16"/>
      <c r="CU279" s="16"/>
      <c r="CV279" s="16"/>
      <c r="CW279" s="16"/>
      <c r="CX279" s="16"/>
      <c r="CY279" s="104"/>
      <c r="CZ279" s="104"/>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3"/>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row>
    <row r="280" spans="1:167" x14ac:dyDescent="0.25">
      <c r="A280" s="35" t="s">
        <v>88</v>
      </c>
      <c r="B280" s="15">
        <v>926</v>
      </c>
      <c r="C280" s="102" t="s">
        <v>100</v>
      </c>
      <c r="D280" s="102" t="s">
        <v>104</v>
      </c>
      <c r="E280" s="15">
        <v>84</v>
      </c>
      <c r="F280" s="16">
        <v>64.59</v>
      </c>
      <c r="G280" s="16">
        <v>0</v>
      </c>
      <c r="H280" s="16">
        <v>22.12</v>
      </c>
      <c r="I280" s="16">
        <v>0</v>
      </c>
      <c r="J280" s="16">
        <v>0.24655808512552868</v>
      </c>
      <c r="K280" s="16">
        <v>0</v>
      </c>
      <c r="L280" s="16">
        <v>0</v>
      </c>
      <c r="M280" s="16">
        <v>3.58</v>
      </c>
      <c r="N280" s="16">
        <v>9.8699999999999992</v>
      </c>
      <c r="O280" s="16">
        <v>0.51</v>
      </c>
      <c r="P280" s="16">
        <v>0</v>
      </c>
      <c r="Q280" s="16"/>
      <c r="R280" s="16"/>
      <c r="S280" s="16">
        <f t="shared" si="224"/>
        <v>100.91655808512554</v>
      </c>
      <c r="T280" s="16"/>
      <c r="U280" s="15">
        <v>3</v>
      </c>
      <c r="V280" s="15">
        <v>10</v>
      </c>
      <c r="W280" s="15">
        <v>165.60000000000002</v>
      </c>
      <c r="X280" s="15" t="s">
        <v>186</v>
      </c>
      <c r="Y280" s="15"/>
      <c r="Z280" s="37">
        <v>8</v>
      </c>
      <c r="AA280" s="37">
        <v>5</v>
      </c>
      <c r="AB280" s="15"/>
      <c r="AC280" s="38">
        <f t="shared" si="225"/>
        <v>2.8357413276226247</v>
      </c>
      <c r="AD280" s="38">
        <f t="shared" si="226"/>
        <v>0</v>
      </c>
      <c r="AE280" s="38">
        <f t="shared" si="227"/>
        <v>1.1445019673158556</v>
      </c>
      <c r="AF280" s="38">
        <f t="shared" si="228"/>
        <v>0</v>
      </c>
      <c r="AG280" s="38">
        <f t="shared" si="229"/>
        <v>9.0515661164974823E-3</v>
      </c>
      <c r="AH280" s="38">
        <f t="shared" si="230"/>
        <v>0</v>
      </c>
      <c r="AI280" s="38">
        <f t="shared" si="231"/>
        <v>0</v>
      </c>
      <c r="AJ280" s="38">
        <f t="shared" si="232"/>
        <v>0.16838611371805867</v>
      </c>
      <c r="AK280" s="38">
        <f t="shared" si="233"/>
        <v>0.84009196018933086</v>
      </c>
      <c r="AL280" s="38">
        <f t="shared" si="234"/>
        <v>2.8561467703492223E-2</v>
      </c>
      <c r="AM280" s="38">
        <f t="shared" si="235"/>
        <v>0</v>
      </c>
      <c r="AN280" s="38">
        <f t="shared" si="236"/>
        <v>0</v>
      </c>
      <c r="AO280" s="38">
        <f t="shared" si="237"/>
        <v>0</v>
      </c>
      <c r="AP280" s="38">
        <f t="shared" si="238"/>
        <v>5.0263344026658601</v>
      </c>
      <c r="AQ280" s="38">
        <f t="shared" si="239"/>
        <v>3.9802432949384805</v>
      </c>
      <c r="AR280" s="38">
        <f t="shared" si="240"/>
        <v>1.0370395416108817</v>
      </c>
      <c r="AS280" s="40"/>
      <c r="AT280" s="38">
        <f t="shared" si="241"/>
        <v>2.8208840682372904</v>
      </c>
      <c r="AU280" s="38">
        <f t="shared" si="242"/>
        <v>0</v>
      </c>
      <c r="AV280" s="38">
        <f t="shared" si="243"/>
        <v>1.1385055943639926</v>
      </c>
      <c r="AW280" s="38">
        <f t="shared" si="244"/>
        <v>0</v>
      </c>
      <c r="AX280" s="38">
        <f t="shared" si="245"/>
        <v>0</v>
      </c>
      <c r="AY280" s="38">
        <f t="shared" si="246"/>
        <v>9.0041423743083288E-3</v>
      </c>
      <c r="AZ280" s="38">
        <f t="shared" si="247"/>
        <v>0</v>
      </c>
      <c r="BA280" s="38">
        <f t="shared" si="248"/>
        <v>0</v>
      </c>
      <c r="BB280" s="38">
        <f t="shared" si="249"/>
        <v>0.16750389073670693</v>
      </c>
      <c r="BC280" s="38">
        <f t="shared" si="250"/>
        <v>0.83569047827753373</v>
      </c>
      <c r="BD280" s="38">
        <f t="shared" si="251"/>
        <v>2.8411826010167403E-2</v>
      </c>
      <c r="BE280" s="38">
        <f t="shared" si="252"/>
        <v>0</v>
      </c>
      <c r="BF280" s="38">
        <f t="shared" si="253"/>
        <v>0</v>
      </c>
      <c r="BG280" s="38">
        <f t="shared" si="254"/>
        <v>0</v>
      </c>
      <c r="BH280" s="41">
        <f t="shared" si="255"/>
        <v>4.9999999999999991</v>
      </c>
      <c r="BI280" s="42">
        <f t="shared" si="256"/>
        <v>7.9625877844625892</v>
      </c>
      <c r="BJ280" s="38">
        <f t="shared" si="257"/>
        <v>3.959389662601283</v>
      </c>
      <c r="BK280" s="38">
        <f t="shared" si="258"/>
        <v>1.031606195024408</v>
      </c>
      <c r="BL280" s="16"/>
      <c r="BM280" s="16">
        <f t="shared" si="259"/>
        <v>0.16237193179393786</v>
      </c>
      <c r="BN280" s="16">
        <f t="shared" si="260"/>
        <v>0.81008671943634569</v>
      </c>
      <c r="BO280" s="16">
        <f t="shared" si="261"/>
        <v>2.7541348769716503E-2</v>
      </c>
      <c r="BP280" s="15"/>
      <c r="BQ280" s="38">
        <f t="shared" si="262"/>
        <v>1.0750665778961386</v>
      </c>
      <c r="BR280" s="38">
        <f t="shared" si="263"/>
        <v>0</v>
      </c>
      <c r="BS280" s="38">
        <f t="shared" si="264"/>
        <v>0.43389564535111813</v>
      </c>
      <c r="BT280" s="38">
        <f t="shared" si="265"/>
        <v>0</v>
      </c>
      <c r="BU280" s="38">
        <f t="shared" si="266"/>
        <v>3.4315669467714503E-3</v>
      </c>
      <c r="BV280" s="38">
        <f t="shared" si="267"/>
        <v>0</v>
      </c>
      <c r="BW280" s="38">
        <f t="shared" si="268"/>
        <v>0</v>
      </c>
      <c r="BX280" s="38">
        <f t="shared" si="269"/>
        <v>6.3837375178316697E-2</v>
      </c>
      <c r="BY280" s="38">
        <f t="shared" si="270"/>
        <v>0.31848983543078413</v>
      </c>
      <c r="BZ280" s="38">
        <f t="shared" si="271"/>
        <v>1.0828025477707006E-2</v>
      </c>
      <c r="CA280" s="38">
        <f t="shared" si="272"/>
        <v>0</v>
      </c>
      <c r="CB280" s="38">
        <f t="shared" si="273"/>
        <v>0</v>
      </c>
      <c r="CC280" s="38">
        <f t="shared" si="274"/>
        <v>0</v>
      </c>
      <c r="CD280" s="38">
        <f t="shared" si="275"/>
        <v>1.9055490262808361</v>
      </c>
      <c r="CE280" s="38">
        <f t="shared" si="276"/>
        <v>3.0329044963982876</v>
      </c>
      <c r="CF280" s="38">
        <f t="shared" si="277"/>
        <v>2.6239156962331074</v>
      </c>
      <c r="CG280" s="38">
        <f t="shared" si="278"/>
        <v>7.9580857132754348</v>
      </c>
      <c r="CH280" s="15"/>
      <c r="CI280" s="16"/>
      <c r="CJ280" s="13"/>
      <c r="CK280" s="104"/>
      <c r="CL280" s="13"/>
      <c r="CM280" s="13"/>
      <c r="CN280" s="13"/>
      <c r="CO280" s="16"/>
      <c r="CP280" s="16"/>
      <c r="CQ280" s="16"/>
      <c r="CR280" s="16"/>
      <c r="CS280" s="16"/>
      <c r="CT280" s="16"/>
      <c r="CU280" s="16"/>
      <c r="CV280" s="16"/>
      <c r="CW280" s="16"/>
      <c r="CX280" s="16"/>
      <c r="CY280" s="104"/>
      <c r="CZ280" s="104"/>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3"/>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row>
    <row r="281" spans="1:167" x14ac:dyDescent="0.25">
      <c r="A281" s="35" t="s">
        <v>88</v>
      </c>
      <c r="B281" s="15">
        <v>927</v>
      </c>
      <c r="C281" s="102" t="s">
        <v>100</v>
      </c>
      <c r="D281" s="102" t="s">
        <v>104</v>
      </c>
      <c r="E281" s="15">
        <v>85</v>
      </c>
      <c r="F281" s="16">
        <v>66.569999999999993</v>
      </c>
      <c r="G281" s="16">
        <v>0</v>
      </c>
      <c r="H281" s="16">
        <v>18.62</v>
      </c>
      <c r="I281" s="16">
        <v>0</v>
      </c>
      <c r="J281" s="16">
        <v>0.11877980743273645</v>
      </c>
      <c r="K281" s="16">
        <v>0</v>
      </c>
      <c r="L281" s="16">
        <v>0</v>
      </c>
      <c r="M281" s="16">
        <v>0.11799999999999999</v>
      </c>
      <c r="N281" s="16">
        <v>3.75</v>
      </c>
      <c r="O281" s="16">
        <v>12.13</v>
      </c>
      <c r="P281" s="16">
        <v>0</v>
      </c>
      <c r="Q281" s="16"/>
      <c r="R281" s="16"/>
      <c r="S281" s="16">
        <f t="shared" si="224"/>
        <v>101.30677980743272</v>
      </c>
      <c r="T281" s="16"/>
      <c r="U281" s="15">
        <v>3</v>
      </c>
      <c r="V281" s="15">
        <v>11</v>
      </c>
      <c r="W281" s="15">
        <v>184.00000000000003</v>
      </c>
      <c r="X281" s="15" t="s">
        <v>187</v>
      </c>
      <c r="Y281" s="15"/>
      <c r="Z281" s="37">
        <v>8</v>
      </c>
      <c r="AA281" s="37">
        <v>5</v>
      </c>
      <c r="AB281" s="15"/>
      <c r="AC281" s="38">
        <f t="shared" si="225"/>
        <v>2.9977584077802018</v>
      </c>
      <c r="AD281" s="38">
        <f t="shared" si="226"/>
        <v>0</v>
      </c>
      <c r="AE281" s="38">
        <f t="shared" si="227"/>
        <v>0.98816130213926079</v>
      </c>
      <c r="AF281" s="38">
        <f t="shared" si="228"/>
        <v>0</v>
      </c>
      <c r="AG281" s="38">
        <f t="shared" si="229"/>
        <v>4.4726389460275698E-3</v>
      </c>
      <c r="AH281" s="38">
        <f t="shared" si="230"/>
        <v>0</v>
      </c>
      <c r="AI281" s="38">
        <f t="shared" si="231"/>
        <v>0</v>
      </c>
      <c r="AJ281" s="38">
        <f t="shared" si="232"/>
        <v>5.692748520604504E-3</v>
      </c>
      <c r="AK281" s="38">
        <f t="shared" si="233"/>
        <v>0.32738417911823042</v>
      </c>
      <c r="AL281" s="38">
        <f t="shared" si="234"/>
        <v>0.69676750840991442</v>
      </c>
      <c r="AM281" s="38">
        <f t="shared" si="235"/>
        <v>0</v>
      </c>
      <c r="AN281" s="38">
        <f t="shared" si="236"/>
        <v>0</v>
      </c>
      <c r="AO281" s="38">
        <f t="shared" si="237"/>
        <v>0</v>
      </c>
      <c r="AP281" s="38">
        <f t="shared" si="238"/>
        <v>5.02023678491424</v>
      </c>
      <c r="AQ281" s="38">
        <f t="shared" si="239"/>
        <v>3.9859197099194628</v>
      </c>
      <c r="AR281" s="38">
        <f t="shared" si="240"/>
        <v>1.0298444360487493</v>
      </c>
      <c r="AS281" s="40"/>
      <c r="AT281" s="38">
        <f t="shared" si="241"/>
        <v>2.9856743179808123</v>
      </c>
      <c r="AU281" s="38">
        <f t="shared" si="242"/>
        <v>0</v>
      </c>
      <c r="AV281" s="38">
        <f t="shared" si="243"/>
        <v>0.98417798250938615</v>
      </c>
      <c r="AW281" s="38">
        <f t="shared" si="244"/>
        <v>0</v>
      </c>
      <c r="AX281" s="38">
        <f t="shared" si="245"/>
        <v>0</v>
      </c>
      <c r="AY281" s="38">
        <f t="shared" si="246"/>
        <v>4.4546095509556474E-3</v>
      </c>
      <c r="AZ281" s="38">
        <f t="shared" si="247"/>
        <v>0</v>
      </c>
      <c r="BA281" s="38">
        <f t="shared" si="248"/>
        <v>0</v>
      </c>
      <c r="BB281" s="38">
        <f t="shared" si="249"/>
        <v>5.6698008126938905E-3</v>
      </c>
      <c r="BC281" s="38">
        <f t="shared" si="250"/>
        <v>0.32606447976917791</v>
      </c>
      <c r="BD281" s="38">
        <f t="shared" si="251"/>
        <v>0.69395880937697363</v>
      </c>
      <c r="BE281" s="38">
        <f t="shared" si="252"/>
        <v>0</v>
      </c>
      <c r="BF281" s="38">
        <f t="shared" si="253"/>
        <v>0</v>
      </c>
      <c r="BG281" s="38">
        <f t="shared" si="254"/>
        <v>0</v>
      </c>
      <c r="BH281" s="41">
        <f t="shared" si="255"/>
        <v>5</v>
      </c>
      <c r="BI281" s="42">
        <f t="shared" si="256"/>
        <v>7.9699789694379071</v>
      </c>
      <c r="BJ281" s="38">
        <f t="shared" si="257"/>
        <v>3.9698523004901984</v>
      </c>
      <c r="BK281" s="38">
        <f t="shared" si="258"/>
        <v>1.0256930899588454</v>
      </c>
      <c r="BL281" s="16"/>
      <c r="BM281" s="16">
        <f t="shared" si="259"/>
        <v>5.527775187528448E-3</v>
      </c>
      <c r="BN281" s="16">
        <f t="shared" si="260"/>
        <v>0.31789673047544936</v>
      </c>
      <c r="BO281" s="16">
        <f t="shared" si="261"/>
        <v>0.67657549433702224</v>
      </c>
      <c r="BP281" s="15"/>
      <c r="BQ281" s="38">
        <f t="shared" si="262"/>
        <v>1.108022636484687</v>
      </c>
      <c r="BR281" s="38">
        <f t="shared" si="263"/>
        <v>0</v>
      </c>
      <c r="BS281" s="38">
        <f t="shared" si="264"/>
        <v>0.36524127108670074</v>
      </c>
      <c r="BT281" s="38">
        <f t="shared" si="265"/>
        <v>0</v>
      </c>
      <c r="BU281" s="38">
        <f t="shared" si="266"/>
        <v>1.6531636385906257E-3</v>
      </c>
      <c r="BV281" s="38">
        <f t="shared" si="267"/>
        <v>0</v>
      </c>
      <c r="BW281" s="38">
        <f t="shared" si="268"/>
        <v>0</v>
      </c>
      <c r="BX281" s="38">
        <f t="shared" si="269"/>
        <v>2.1041369472182595E-3</v>
      </c>
      <c r="BY281" s="38">
        <f t="shared" si="270"/>
        <v>0.12100677637947725</v>
      </c>
      <c r="BZ281" s="38">
        <f t="shared" si="271"/>
        <v>0.25753715498938429</v>
      </c>
      <c r="CA281" s="38">
        <f t="shared" si="272"/>
        <v>0</v>
      </c>
      <c r="CB281" s="38">
        <f t="shared" si="273"/>
        <v>0</v>
      </c>
      <c r="CC281" s="38">
        <f t="shared" si="274"/>
        <v>0</v>
      </c>
      <c r="CD281" s="38">
        <f t="shared" si="275"/>
        <v>1.8555651395260584</v>
      </c>
      <c r="CE281" s="38">
        <f t="shared" si="276"/>
        <v>2.956936445869665</v>
      </c>
      <c r="CF281" s="38">
        <f t="shared" si="277"/>
        <v>2.6945968608124864</v>
      </c>
      <c r="CG281" s="38">
        <f t="shared" si="278"/>
        <v>7.9677516646624298</v>
      </c>
      <c r="CH281" s="15"/>
      <c r="CI281" s="16"/>
      <c r="CJ281" s="13"/>
      <c r="CK281" s="104"/>
      <c r="CL281" s="13"/>
      <c r="CM281" s="13"/>
      <c r="CN281" s="13"/>
      <c r="CO281" s="16"/>
      <c r="CP281" s="16"/>
      <c r="CQ281" s="16"/>
      <c r="CR281" s="16"/>
      <c r="CS281" s="16"/>
      <c r="CT281" s="16"/>
      <c r="CU281" s="16"/>
      <c r="CV281" s="16"/>
      <c r="CW281" s="16"/>
      <c r="CX281" s="16"/>
      <c r="CY281" s="104"/>
      <c r="CZ281" s="104"/>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3"/>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row>
    <row r="282" spans="1:167" x14ac:dyDescent="0.25">
      <c r="A282" s="35" t="s">
        <v>88</v>
      </c>
      <c r="B282" s="15">
        <v>928</v>
      </c>
      <c r="C282" s="102" t="s">
        <v>100</v>
      </c>
      <c r="D282" s="102" t="s">
        <v>104</v>
      </c>
      <c r="E282" s="15">
        <v>86</v>
      </c>
      <c r="F282" s="16">
        <v>66.790000000000006</v>
      </c>
      <c r="G282" s="16">
        <v>0</v>
      </c>
      <c r="H282" s="16">
        <v>18.579999999999998</v>
      </c>
      <c r="I282" s="16">
        <v>0</v>
      </c>
      <c r="J282" s="16">
        <v>0.16647169981103213</v>
      </c>
      <c r="K282" s="16">
        <v>0</v>
      </c>
      <c r="L282" s="16">
        <v>0</v>
      </c>
      <c r="M282" s="16">
        <v>8.2000000000000003E-2</v>
      </c>
      <c r="N282" s="16">
        <v>3.03</v>
      </c>
      <c r="O282" s="16">
        <v>13.01</v>
      </c>
      <c r="P282" s="16">
        <v>0</v>
      </c>
      <c r="Q282" s="16"/>
      <c r="R282" s="16"/>
      <c r="S282" s="16">
        <f t="shared" si="224"/>
        <v>101.65847169981103</v>
      </c>
      <c r="T282" s="16"/>
      <c r="U282" s="15">
        <v>3</v>
      </c>
      <c r="V282" s="15">
        <v>12</v>
      </c>
      <c r="W282" s="15">
        <v>202.40000000000003</v>
      </c>
      <c r="X282" s="15" t="s">
        <v>187</v>
      </c>
      <c r="Y282" s="15"/>
      <c r="Z282" s="37">
        <v>8</v>
      </c>
      <c r="AA282" s="37">
        <v>5</v>
      </c>
      <c r="AB282" s="15"/>
      <c r="AC282" s="38">
        <f t="shared" si="225"/>
        <v>3.0037101428684267</v>
      </c>
      <c r="AD282" s="38">
        <f t="shared" si="226"/>
        <v>0</v>
      </c>
      <c r="AE282" s="38">
        <f t="shared" si="227"/>
        <v>0.98474181591813525</v>
      </c>
      <c r="AF282" s="38">
        <f t="shared" si="228"/>
        <v>0</v>
      </c>
      <c r="AG282" s="38">
        <f t="shared" si="229"/>
        <v>6.2602278919769924E-3</v>
      </c>
      <c r="AH282" s="38">
        <f t="shared" si="230"/>
        <v>0</v>
      </c>
      <c r="AI282" s="38">
        <f t="shared" si="231"/>
        <v>0</v>
      </c>
      <c r="AJ282" s="38">
        <f t="shared" si="232"/>
        <v>3.9507754737499552E-3</v>
      </c>
      <c r="AK282" s="38">
        <f t="shared" si="233"/>
        <v>0.26417855105137356</v>
      </c>
      <c r="AL282" s="38">
        <f t="shared" si="234"/>
        <v>0.74633342298905969</v>
      </c>
      <c r="AM282" s="38">
        <f t="shared" si="235"/>
        <v>0</v>
      </c>
      <c r="AN282" s="38">
        <f t="shared" si="236"/>
        <v>0</v>
      </c>
      <c r="AO282" s="38">
        <f t="shared" si="237"/>
        <v>0</v>
      </c>
      <c r="AP282" s="38">
        <f t="shared" si="238"/>
        <v>5.0091749361927222</v>
      </c>
      <c r="AQ282" s="38">
        <f t="shared" si="239"/>
        <v>3.9884519587865621</v>
      </c>
      <c r="AR282" s="38">
        <f t="shared" si="240"/>
        <v>1.0144627495141831</v>
      </c>
      <c r="AS282" s="40"/>
      <c r="AT282" s="38">
        <f t="shared" si="241"/>
        <v>2.9982084685900681</v>
      </c>
      <c r="AU282" s="38">
        <f t="shared" si="242"/>
        <v>0</v>
      </c>
      <c r="AV282" s="38">
        <f t="shared" si="243"/>
        <v>0.98293813698049737</v>
      </c>
      <c r="AW282" s="38">
        <f t="shared" si="244"/>
        <v>0</v>
      </c>
      <c r="AX282" s="38">
        <f t="shared" si="245"/>
        <v>0</v>
      </c>
      <c r="AY282" s="38">
        <f t="shared" si="246"/>
        <v>6.2487614943781003E-3</v>
      </c>
      <c r="AZ282" s="38">
        <f t="shared" si="247"/>
        <v>0</v>
      </c>
      <c r="BA282" s="38">
        <f t="shared" si="248"/>
        <v>0</v>
      </c>
      <c r="BB282" s="38">
        <f t="shared" si="249"/>
        <v>3.943539129772123E-3</v>
      </c>
      <c r="BC282" s="38">
        <f t="shared" si="250"/>
        <v>0.26369467468844815</v>
      </c>
      <c r="BD282" s="38">
        <f t="shared" si="251"/>
        <v>0.74496641911683614</v>
      </c>
      <c r="BE282" s="38">
        <f t="shared" si="252"/>
        <v>0</v>
      </c>
      <c r="BF282" s="38">
        <f t="shared" si="253"/>
        <v>0</v>
      </c>
      <c r="BG282" s="38">
        <f t="shared" si="254"/>
        <v>0</v>
      </c>
      <c r="BH282" s="41">
        <f t="shared" si="255"/>
        <v>5</v>
      </c>
      <c r="BI282" s="42">
        <f t="shared" si="256"/>
        <v>7.9884713709248638</v>
      </c>
      <c r="BJ282" s="38">
        <f t="shared" si="257"/>
        <v>3.9811466055705655</v>
      </c>
      <c r="BK282" s="38">
        <f t="shared" si="258"/>
        <v>1.0126046329350564</v>
      </c>
      <c r="BL282" s="16"/>
      <c r="BM282" s="16">
        <f t="shared" si="259"/>
        <v>3.894451004378372E-3</v>
      </c>
      <c r="BN282" s="16">
        <f t="shared" si="260"/>
        <v>0.26041227356833579</v>
      </c>
      <c r="BO282" s="16">
        <f t="shared" si="261"/>
        <v>0.73569327542728591</v>
      </c>
      <c r="BP282" s="15"/>
      <c r="BQ282" s="38">
        <f t="shared" si="262"/>
        <v>1.1116844207723038</v>
      </c>
      <c r="BR282" s="38">
        <f t="shared" si="263"/>
        <v>0</v>
      </c>
      <c r="BS282" s="38">
        <f t="shared" si="264"/>
        <v>0.3644566496665359</v>
      </c>
      <c r="BT282" s="38">
        <f t="shared" si="265"/>
        <v>0</v>
      </c>
      <c r="BU282" s="38">
        <f t="shared" si="266"/>
        <v>2.31693388741868E-3</v>
      </c>
      <c r="BV282" s="38">
        <f t="shared" si="267"/>
        <v>0</v>
      </c>
      <c r="BW282" s="38">
        <f t="shared" si="268"/>
        <v>0</v>
      </c>
      <c r="BX282" s="38">
        <f t="shared" si="269"/>
        <v>1.4621968616262482E-3</v>
      </c>
      <c r="BY282" s="38">
        <f t="shared" si="270"/>
        <v>9.7773475314617622E-2</v>
      </c>
      <c r="BZ282" s="38">
        <f t="shared" si="271"/>
        <v>0.2762208067940552</v>
      </c>
      <c r="CA282" s="38">
        <f t="shared" si="272"/>
        <v>0</v>
      </c>
      <c r="CB282" s="38">
        <f t="shared" si="273"/>
        <v>0</v>
      </c>
      <c r="CC282" s="38">
        <f t="shared" si="274"/>
        <v>0</v>
      </c>
      <c r="CD282" s="38">
        <f t="shared" si="275"/>
        <v>1.8539144832965575</v>
      </c>
      <c r="CE282" s="38">
        <f t="shared" si="276"/>
        <v>2.9608300878477927</v>
      </c>
      <c r="CF282" s="38">
        <f t="shared" si="277"/>
        <v>2.6969960292392763</v>
      </c>
      <c r="CG282" s="38">
        <f t="shared" si="278"/>
        <v>7.9853469901776748</v>
      </c>
      <c r="CH282" s="15"/>
      <c r="CI282" s="16"/>
      <c r="CJ282" s="13"/>
      <c r="CK282" s="104"/>
      <c r="CL282" s="13"/>
      <c r="CM282" s="13"/>
      <c r="CN282" s="13"/>
      <c r="CO282" s="16"/>
      <c r="CP282" s="16"/>
      <c r="CQ282" s="16"/>
      <c r="CR282" s="16"/>
      <c r="CS282" s="16"/>
      <c r="CT282" s="16"/>
      <c r="CU282" s="16"/>
      <c r="CV282" s="16"/>
      <c r="CW282" s="16"/>
      <c r="CX282" s="16"/>
      <c r="CY282" s="104"/>
      <c r="CZ282" s="104"/>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3"/>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row>
    <row r="283" spans="1:167" x14ac:dyDescent="0.25">
      <c r="A283" s="35" t="s">
        <v>88</v>
      </c>
      <c r="B283" s="15">
        <v>929</v>
      </c>
      <c r="C283" s="102" t="s">
        <v>100</v>
      </c>
      <c r="D283" s="102" t="s">
        <v>104</v>
      </c>
      <c r="E283" s="15">
        <v>87</v>
      </c>
      <c r="F283" s="16">
        <v>66.239999999999995</v>
      </c>
      <c r="G283" s="16">
        <v>0</v>
      </c>
      <c r="H283" s="16">
        <v>18.46</v>
      </c>
      <c r="I283" s="16">
        <v>0</v>
      </c>
      <c r="J283" s="16">
        <v>8.368577341851885E-2</v>
      </c>
      <c r="K283" s="16">
        <v>0</v>
      </c>
      <c r="L283" s="16">
        <v>0</v>
      </c>
      <c r="M283" s="16">
        <v>6.0999999999999999E-2</v>
      </c>
      <c r="N283" s="16">
        <v>2.8</v>
      </c>
      <c r="O283" s="16">
        <v>13.45</v>
      </c>
      <c r="P283" s="16">
        <v>0</v>
      </c>
      <c r="Q283" s="16"/>
      <c r="R283" s="16"/>
      <c r="S283" s="16">
        <f t="shared" si="224"/>
        <v>101.09468577341852</v>
      </c>
      <c r="T283" s="16"/>
      <c r="U283" s="15">
        <v>3</v>
      </c>
      <c r="V283" s="15">
        <v>13</v>
      </c>
      <c r="W283" s="15">
        <v>220.80000000000004</v>
      </c>
      <c r="X283" s="15" t="s">
        <v>187</v>
      </c>
      <c r="Y283" s="15"/>
      <c r="Z283" s="37">
        <v>8</v>
      </c>
      <c r="AA283" s="37">
        <v>5</v>
      </c>
      <c r="AB283" s="15"/>
      <c r="AC283" s="38">
        <f t="shared" si="225"/>
        <v>3.0016908606161885</v>
      </c>
      <c r="AD283" s="38">
        <f t="shared" si="226"/>
        <v>0</v>
      </c>
      <c r="AE283" s="38">
        <f t="shared" si="227"/>
        <v>0.9858422545764397</v>
      </c>
      <c r="AF283" s="38">
        <f t="shared" si="228"/>
        <v>0</v>
      </c>
      <c r="AG283" s="38">
        <f t="shared" si="229"/>
        <v>3.1710305411284897E-3</v>
      </c>
      <c r="AH283" s="38">
        <f t="shared" si="230"/>
        <v>0</v>
      </c>
      <c r="AI283" s="38">
        <f t="shared" si="231"/>
        <v>0</v>
      </c>
      <c r="AJ283" s="38">
        <f t="shared" si="232"/>
        <v>2.9614021897567009E-3</v>
      </c>
      <c r="AK283" s="38">
        <f t="shared" si="233"/>
        <v>0.24598692198136696</v>
      </c>
      <c r="AL283" s="38">
        <f t="shared" si="234"/>
        <v>0.77745800636278783</v>
      </c>
      <c r="AM283" s="38">
        <f t="shared" si="235"/>
        <v>0</v>
      </c>
      <c r="AN283" s="38">
        <f t="shared" si="236"/>
        <v>0</v>
      </c>
      <c r="AO283" s="38">
        <f t="shared" si="237"/>
        <v>0</v>
      </c>
      <c r="AP283" s="38">
        <f t="shared" si="238"/>
        <v>5.0171104762676677</v>
      </c>
      <c r="AQ283" s="38">
        <f t="shared" si="239"/>
        <v>3.9875331151926283</v>
      </c>
      <c r="AR283" s="38">
        <f t="shared" si="240"/>
        <v>1.0264063305339115</v>
      </c>
      <c r="AS283" s="40"/>
      <c r="AT283" s="38">
        <f t="shared" si="241"/>
        <v>2.9914538206952224</v>
      </c>
      <c r="AU283" s="38">
        <f t="shared" si="242"/>
        <v>0</v>
      </c>
      <c r="AV283" s="38">
        <f t="shared" si="243"/>
        <v>0.98248011404148705</v>
      </c>
      <c r="AW283" s="38">
        <f t="shared" si="244"/>
        <v>0</v>
      </c>
      <c r="AX283" s="38">
        <f t="shared" si="245"/>
        <v>0</v>
      </c>
      <c r="AY283" s="38">
        <f t="shared" si="246"/>
        <v>3.1602159810197009E-3</v>
      </c>
      <c r="AZ283" s="38">
        <f t="shared" si="247"/>
        <v>0</v>
      </c>
      <c r="BA283" s="38">
        <f t="shared" si="248"/>
        <v>0</v>
      </c>
      <c r="BB283" s="38">
        <f t="shared" si="249"/>
        <v>2.9513025513041415E-3</v>
      </c>
      <c r="BC283" s="38">
        <f t="shared" si="250"/>
        <v>0.2451480021667389</v>
      </c>
      <c r="BD283" s="38">
        <f t="shared" si="251"/>
        <v>0.77480654456422771</v>
      </c>
      <c r="BE283" s="38">
        <f t="shared" si="252"/>
        <v>0</v>
      </c>
      <c r="BF283" s="38">
        <f t="shared" si="253"/>
        <v>0</v>
      </c>
      <c r="BG283" s="38">
        <f t="shared" si="254"/>
        <v>0</v>
      </c>
      <c r="BH283" s="41">
        <f t="shared" si="255"/>
        <v>4.9999999999999991</v>
      </c>
      <c r="BI283" s="42">
        <f t="shared" si="256"/>
        <v>7.9742967123409922</v>
      </c>
      <c r="BJ283" s="38">
        <f t="shared" si="257"/>
        <v>3.9739339347367095</v>
      </c>
      <c r="BK283" s="38">
        <f t="shared" si="258"/>
        <v>1.0229058492822707</v>
      </c>
      <c r="BL283" s="16"/>
      <c r="BM283" s="16">
        <f t="shared" si="259"/>
        <v>2.885214268131269E-3</v>
      </c>
      <c r="BN283" s="16">
        <f t="shared" si="260"/>
        <v>0.23965842246258415</v>
      </c>
      <c r="BO283" s="16">
        <f t="shared" si="261"/>
        <v>0.75745636326928456</v>
      </c>
      <c r="BP283" s="15"/>
      <c r="BQ283" s="38">
        <f t="shared" si="262"/>
        <v>1.1025299600532623</v>
      </c>
      <c r="BR283" s="38">
        <f t="shared" si="263"/>
        <v>0</v>
      </c>
      <c r="BS283" s="38">
        <f t="shared" si="264"/>
        <v>0.36210278540604163</v>
      </c>
      <c r="BT283" s="38">
        <f t="shared" si="265"/>
        <v>0</v>
      </c>
      <c r="BU283" s="38">
        <f t="shared" si="266"/>
        <v>1.1647289271888499E-3</v>
      </c>
      <c r="BV283" s="38">
        <f t="shared" si="267"/>
        <v>0</v>
      </c>
      <c r="BW283" s="38">
        <f t="shared" si="268"/>
        <v>0</v>
      </c>
      <c r="BX283" s="38">
        <f t="shared" si="269"/>
        <v>1.0877318116975748E-3</v>
      </c>
      <c r="BY283" s="38">
        <f t="shared" si="270"/>
        <v>9.0351726363343016E-2</v>
      </c>
      <c r="BZ283" s="38">
        <f t="shared" si="271"/>
        <v>0.28556263269639065</v>
      </c>
      <c r="CA283" s="38">
        <f t="shared" si="272"/>
        <v>0</v>
      </c>
      <c r="CB283" s="38">
        <f t="shared" si="273"/>
        <v>0</v>
      </c>
      <c r="CC283" s="38">
        <f t="shared" si="274"/>
        <v>0</v>
      </c>
      <c r="CD283" s="38">
        <f t="shared" si="275"/>
        <v>1.8427995652579241</v>
      </c>
      <c r="CE283" s="38">
        <f t="shared" si="276"/>
        <v>2.9384237384843406</v>
      </c>
      <c r="CF283" s="38">
        <f t="shared" si="277"/>
        <v>2.7132630668382993</v>
      </c>
      <c r="CG283" s="38">
        <f t="shared" si="278"/>
        <v>7.9727166043504827</v>
      </c>
      <c r="CH283" s="15"/>
      <c r="CI283" s="16"/>
      <c r="CJ283" s="13"/>
      <c r="CK283" s="104"/>
      <c r="CL283" s="13"/>
      <c r="CM283" s="13"/>
      <c r="CN283" s="13"/>
      <c r="CO283" s="16"/>
      <c r="CP283" s="16"/>
      <c r="CQ283" s="16"/>
      <c r="CR283" s="16"/>
      <c r="CS283" s="16"/>
      <c r="CT283" s="16"/>
      <c r="CU283" s="16"/>
      <c r="CV283" s="16"/>
      <c r="CW283" s="16"/>
      <c r="CX283" s="16"/>
      <c r="CY283" s="104"/>
      <c r="CZ283" s="104"/>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3"/>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row>
    <row r="284" spans="1:167" x14ac:dyDescent="0.25">
      <c r="A284" s="35" t="s">
        <v>88</v>
      </c>
      <c r="B284" s="15">
        <v>930</v>
      </c>
      <c r="C284" s="102" t="s">
        <v>100</v>
      </c>
      <c r="D284" s="102" t="s">
        <v>104</v>
      </c>
      <c r="E284" s="15">
        <v>88</v>
      </c>
      <c r="F284" s="16">
        <v>66.34</v>
      </c>
      <c r="G284" s="16">
        <v>0</v>
      </c>
      <c r="H284" s="16">
        <v>18.54</v>
      </c>
      <c r="I284" s="16">
        <v>0</v>
      </c>
      <c r="J284" s="16">
        <v>6.0289750742373804E-2</v>
      </c>
      <c r="K284" s="16">
        <v>0</v>
      </c>
      <c r="L284" s="16">
        <v>0</v>
      </c>
      <c r="M284" s="16">
        <v>7.0000000000000007E-2</v>
      </c>
      <c r="N284" s="16">
        <v>2.7</v>
      </c>
      <c r="O284" s="16">
        <v>13.39</v>
      </c>
      <c r="P284" s="16">
        <v>0</v>
      </c>
      <c r="Q284" s="16"/>
      <c r="R284" s="16"/>
      <c r="S284" s="16">
        <f t="shared" si="224"/>
        <v>101.10028975074236</v>
      </c>
      <c r="T284" s="16"/>
      <c r="U284" s="15">
        <v>3</v>
      </c>
      <c r="V284" s="15">
        <v>14</v>
      </c>
      <c r="W284" s="15">
        <v>239.20000000000005</v>
      </c>
      <c r="X284" s="15" t="s">
        <v>187</v>
      </c>
      <c r="Y284" s="15"/>
      <c r="Z284" s="37">
        <v>8</v>
      </c>
      <c r="AA284" s="37">
        <v>5</v>
      </c>
      <c r="AB284" s="15"/>
      <c r="AC284" s="38">
        <f t="shared" si="225"/>
        <v>3.0028834709212364</v>
      </c>
      <c r="AD284" s="38">
        <f t="shared" si="226"/>
        <v>0</v>
      </c>
      <c r="AE284" s="38">
        <f t="shared" si="227"/>
        <v>0.98901490089301047</v>
      </c>
      <c r="AF284" s="38">
        <f t="shared" si="228"/>
        <v>0</v>
      </c>
      <c r="AG284" s="38">
        <f t="shared" si="229"/>
        <v>2.2819685364112454E-3</v>
      </c>
      <c r="AH284" s="38">
        <f t="shared" si="230"/>
        <v>0</v>
      </c>
      <c r="AI284" s="38">
        <f t="shared" si="231"/>
        <v>0</v>
      </c>
      <c r="AJ284" s="38">
        <f t="shared" si="232"/>
        <v>3.3945559503979496E-3</v>
      </c>
      <c r="AK284" s="38">
        <f t="shared" si="233"/>
        <v>0.23693822144722074</v>
      </c>
      <c r="AL284" s="38">
        <f t="shared" si="234"/>
        <v>0.77313014321518492</v>
      </c>
      <c r="AM284" s="38">
        <f t="shared" si="235"/>
        <v>0</v>
      </c>
      <c r="AN284" s="38">
        <f t="shared" si="236"/>
        <v>0</v>
      </c>
      <c r="AO284" s="38">
        <f t="shared" si="237"/>
        <v>0</v>
      </c>
      <c r="AP284" s="38">
        <f t="shared" si="238"/>
        <v>5.0076432609634614</v>
      </c>
      <c r="AQ284" s="38">
        <f t="shared" si="239"/>
        <v>3.9918983718142469</v>
      </c>
      <c r="AR284" s="38">
        <f t="shared" si="240"/>
        <v>1.0134629206128036</v>
      </c>
      <c r="AS284" s="40"/>
      <c r="AT284" s="38">
        <f t="shared" si="241"/>
        <v>2.9983001128793334</v>
      </c>
      <c r="AU284" s="38">
        <f t="shared" si="242"/>
        <v>0</v>
      </c>
      <c r="AV284" s="38">
        <f t="shared" si="243"/>
        <v>0.98750534867646067</v>
      </c>
      <c r="AW284" s="38">
        <f t="shared" si="244"/>
        <v>0</v>
      </c>
      <c r="AX284" s="38">
        <f t="shared" si="245"/>
        <v>0</v>
      </c>
      <c r="AY284" s="38">
        <f t="shared" si="246"/>
        <v>2.2784855245181726E-3</v>
      </c>
      <c r="AZ284" s="38">
        <f t="shared" si="247"/>
        <v>0</v>
      </c>
      <c r="BA284" s="38">
        <f t="shared" si="248"/>
        <v>0</v>
      </c>
      <c r="BB284" s="38">
        <f t="shared" si="249"/>
        <v>3.3893747752159597E-3</v>
      </c>
      <c r="BC284" s="38">
        <f t="shared" si="250"/>
        <v>0.23657657814230384</v>
      </c>
      <c r="BD284" s="38">
        <f t="shared" si="251"/>
        <v>0.77195010000216746</v>
      </c>
      <c r="BE284" s="38">
        <f t="shared" si="252"/>
        <v>0</v>
      </c>
      <c r="BF284" s="38">
        <f t="shared" si="253"/>
        <v>0</v>
      </c>
      <c r="BG284" s="38">
        <f t="shared" si="254"/>
        <v>0</v>
      </c>
      <c r="BH284" s="41">
        <f t="shared" si="255"/>
        <v>5</v>
      </c>
      <c r="BI284" s="42">
        <f t="shared" si="256"/>
        <v>7.9889286909075867</v>
      </c>
      <c r="BJ284" s="38">
        <f t="shared" si="257"/>
        <v>3.9858054615557941</v>
      </c>
      <c r="BK284" s="38">
        <f t="shared" si="258"/>
        <v>1.0119160529196873</v>
      </c>
      <c r="BL284" s="16"/>
      <c r="BM284" s="16">
        <f t="shared" si="259"/>
        <v>3.3494624039578941E-3</v>
      </c>
      <c r="BN284" s="16">
        <f t="shared" si="260"/>
        <v>0.23379071560304637</v>
      </c>
      <c r="BO284" s="16">
        <f t="shared" si="261"/>
        <v>0.76285982199299573</v>
      </c>
      <c r="BP284" s="15"/>
      <c r="BQ284" s="38">
        <f t="shared" si="262"/>
        <v>1.1041944074567245</v>
      </c>
      <c r="BR284" s="38">
        <f t="shared" si="263"/>
        <v>0</v>
      </c>
      <c r="BS284" s="38">
        <f t="shared" si="264"/>
        <v>0.36367202824637113</v>
      </c>
      <c r="BT284" s="38">
        <f t="shared" si="265"/>
        <v>0</v>
      </c>
      <c r="BU284" s="38">
        <f t="shared" si="266"/>
        <v>8.3910578625433273E-4</v>
      </c>
      <c r="BV284" s="38">
        <f t="shared" si="267"/>
        <v>0</v>
      </c>
      <c r="BW284" s="38">
        <f t="shared" si="268"/>
        <v>0</v>
      </c>
      <c r="BX284" s="38">
        <f t="shared" si="269"/>
        <v>1.2482168330955779E-3</v>
      </c>
      <c r="BY284" s="38">
        <f t="shared" si="270"/>
        <v>8.7124878993223631E-2</v>
      </c>
      <c r="BZ284" s="38">
        <f t="shared" si="271"/>
        <v>0.28428874734607218</v>
      </c>
      <c r="CA284" s="38">
        <f t="shared" si="272"/>
        <v>0</v>
      </c>
      <c r="CB284" s="38">
        <f t="shared" si="273"/>
        <v>0</v>
      </c>
      <c r="CC284" s="38">
        <f t="shared" si="274"/>
        <v>0</v>
      </c>
      <c r="CD284" s="38">
        <f t="shared" si="275"/>
        <v>1.8413673846617415</v>
      </c>
      <c r="CE284" s="38">
        <f t="shared" si="276"/>
        <v>2.9416909930720032</v>
      </c>
      <c r="CF284" s="38">
        <f t="shared" si="277"/>
        <v>2.7153733913444427</v>
      </c>
      <c r="CG284" s="38">
        <f t="shared" si="278"/>
        <v>7.9877894481453264</v>
      </c>
      <c r="CH284" s="15"/>
      <c r="CI284" s="16"/>
      <c r="CJ284" s="13"/>
      <c r="CK284" s="104"/>
      <c r="CL284" s="13"/>
      <c r="CM284" s="13"/>
      <c r="CN284" s="13"/>
      <c r="CO284" s="16"/>
      <c r="CP284" s="16"/>
      <c r="CQ284" s="16"/>
      <c r="CR284" s="16"/>
      <c r="CS284" s="16"/>
      <c r="CT284" s="16"/>
      <c r="CU284" s="16"/>
      <c r="CV284" s="16"/>
      <c r="CW284" s="16"/>
      <c r="CX284" s="16"/>
      <c r="CY284" s="104"/>
      <c r="CZ284" s="104"/>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3"/>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row>
    <row r="285" spans="1:167" x14ac:dyDescent="0.25">
      <c r="A285" s="35" t="s">
        <v>88</v>
      </c>
      <c r="B285" s="15">
        <v>931</v>
      </c>
      <c r="C285" s="102" t="s">
        <v>100</v>
      </c>
      <c r="D285" s="102" t="s">
        <v>104</v>
      </c>
      <c r="E285" s="15">
        <v>89</v>
      </c>
      <c r="F285" s="16">
        <v>65.86</v>
      </c>
      <c r="G285" s="16">
        <v>0</v>
      </c>
      <c r="H285" s="16">
        <v>18.329999999999998</v>
      </c>
      <c r="I285" s="16">
        <v>0</v>
      </c>
      <c r="J285" s="16">
        <v>8.18860793665077E-2</v>
      </c>
      <c r="K285" s="16">
        <v>0</v>
      </c>
      <c r="L285" s="16">
        <v>0</v>
      </c>
      <c r="M285" s="16">
        <v>4.2999999999999997E-2</v>
      </c>
      <c r="N285" s="16">
        <v>2.76</v>
      </c>
      <c r="O285" s="16">
        <v>13.25</v>
      </c>
      <c r="P285" s="16">
        <v>0</v>
      </c>
      <c r="Q285" s="16"/>
      <c r="R285" s="16"/>
      <c r="S285" s="16">
        <f t="shared" si="224"/>
        <v>100.32488607936652</v>
      </c>
      <c r="T285" s="16"/>
      <c r="U285" s="15"/>
      <c r="V285" s="15"/>
      <c r="W285" s="15"/>
      <c r="X285" s="15" t="s">
        <v>187</v>
      </c>
      <c r="Y285" s="15"/>
      <c r="Z285" s="37">
        <v>8</v>
      </c>
      <c r="AA285" s="37">
        <v>5</v>
      </c>
      <c r="AB285" s="15"/>
      <c r="AC285" s="38">
        <f t="shared" si="225"/>
        <v>3.0045008864410323</v>
      </c>
      <c r="AD285" s="38">
        <f t="shared" si="226"/>
        <v>0</v>
      </c>
      <c r="AE285" s="38">
        <f t="shared" si="227"/>
        <v>0.98546945552197407</v>
      </c>
      <c r="AF285" s="38">
        <f t="shared" si="228"/>
        <v>0</v>
      </c>
      <c r="AG285" s="38">
        <f t="shared" si="229"/>
        <v>3.1236605994061964E-3</v>
      </c>
      <c r="AH285" s="38">
        <f t="shared" si="230"/>
        <v>0</v>
      </c>
      <c r="AI285" s="38">
        <f t="shared" si="231"/>
        <v>0</v>
      </c>
      <c r="AJ285" s="38">
        <f t="shared" si="232"/>
        <v>2.1015560852471883E-3</v>
      </c>
      <c r="AK285" s="38">
        <f t="shared" si="233"/>
        <v>0.24410014642339839</v>
      </c>
      <c r="AL285" s="38">
        <f t="shared" si="234"/>
        <v>0.77103750787724079</v>
      </c>
      <c r="AM285" s="38">
        <f t="shared" si="235"/>
        <v>0</v>
      </c>
      <c r="AN285" s="38">
        <f t="shared" si="236"/>
        <v>0</v>
      </c>
      <c r="AO285" s="38">
        <f t="shared" si="237"/>
        <v>0</v>
      </c>
      <c r="AP285" s="38">
        <f t="shared" si="238"/>
        <v>5.0103332129482991</v>
      </c>
      <c r="AQ285" s="38">
        <f t="shared" si="239"/>
        <v>3.9899703419630064</v>
      </c>
      <c r="AR285" s="38">
        <f t="shared" si="240"/>
        <v>1.0172392103858863</v>
      </c>
      <c r="AS285" s="40"/>
      <c r="AT285" s="38">
        <f t="shared" si="241"/>
        <v>2.9983044627415638</v>
      </c>
      <c r="AU285" s="38">
        <f t="shared" si="242"/>
        <v>0</v>
      </c>
      <c r="AV285" s="38">
        <f t="shared" si="243"/>
        <v>0.983437042645394</v>
      </c>
      <c r="AW285" s="38">
        <f t="shared" si="244"/>
        <v>0</v>
      </c>
      <c r="AX285" s="38">
        <f t="shared" si="245"/>
        <v>0</v>
      </c>
      <c r="AY285" s="38">
        <f t="shared" si="246"/>
        <v>3.1172184230518455E-3</v>
      </c>
      <c r="AZ285" s="38">
        <f t="shared" si="247"/>
        <v>0</v>
      </c>
      <c r="BA285" s="38">
        <f t="shared" si="248"/>
        <v>0</v>
      </c>
      <c r="BB285" s="38">
        <f t="shared" si="249"/>
        <v>2.0972218771958093E-3</v>
      </c>
      <c r="BC285" s="38">
        <f t="shared" si="250"/>
        <v>0.24359671906906888</v>
      </c>
      <c r="BD285" s="38">
        <f t="shared" si="251"/>
        <v>0.76944733524372588</v>
      </c>
      <c r="BE285" s="38">
        <f t="shared" si="252"/>
        <v>0</v>
      </c>
      <c r="BF285" s="38">
        <f t="shared" si="253"/>
        <v>0</v>
      </c>
      <c r="BG285" s="38">
        <f t="shared" si="254"/>
        <v>0</v>
      </c>
      <c r="BH285" s="41">
        <f t="shared" si="255"/>
        <v>5</v>
      </c>
      <c r="BI285" s="42">
        <f t="shared" si="256"/>
        <v>7.9850595661193893</v>
      </c>
      <c r="BJ285" s="38">
        <f t="shared" si="257"/>
        <v>3.9817415053869576</v>
      </c>
      <c r="BK285" s="38">
        <f t="shared" si="258"/>
        <v>1.0151412761899905</v>
      </c>
      <c r="BL285" s="16"/>
      <c r="BM285" s="16">
        <f t="shared" si="259"/>
        <v>2.065940895504775E-3</v>
      </c>
      <c r="BN285" s="16">
        <f t="shared" si="260"/>
        <v>0.23996336744707258</v>
      </c>
      <c r="BO285" s="16">
        <f t="shared" si="261"/>
        <v>0.7579706916574227</v>
      </c>
      <c r="BP285" s="15"/>
      <c r="BQ285" s="38">
        <f t="shared" si="262"/>
        <v>1.0962050599201065</v>
      </c>
      <c r="BR285" s="38">
        <f t="shared" si="263"/>
        <v>0</v>
      </c>
      <c r="BS285" s="38">
        <f t="shared" si="264"/>
        <v>0.35955276579050605</v>
      </c>
      <c r="BT285" s="38">
        <f t="shared" si="265"/>
        <v>0</v>
      </c>
      <c r="BU285" s="38">
        <f t="shared" si="266"/>
        <v>1.1396809932708101E-3</v>
      </c>
      <c r="BV285" s="38">
        <f t="shared" si="267"/>
        <v>0</v>
      </c>
      <c r="BW285" s="38">
        <f t="shared" si="268"/>
        <v>0</v>
      </c>
      <c r="BX285" s="38">
        <f t="shared" si="269"/>
        <v>7.6676176890156918E-4</v>
      </c>
      <c r="BY285" s="38">
        <f t="shared" si="270"/>
        <v>8.9060987415295251E-2</v>
      </c>
      <c r="BZ285" s="38">
        <f t="shared" si="271"/>
        <v>0.28131634819532908</v>
      </c>
      <c r="CA285" s="38">
        <f t="shared" si="272"/>
        <v>0</v>
      </c>
      <c r="CB285" s="38">
        <f t="shared" si="273"/>
        <v>0</v>
      </c>
      <c r="CC285" s="38">
        <f t="shared" si="274"/>
        <v>0</v>
      </c>
      <c r="CD285" s="38">
        <f t="shared" si="275"/>
        <v>1.8280416040834093</v>
      </c>
      <c r="CE285" s="38">
        <f t="shared" si="276"/>
        <v>2.918834379093457</v>
      </c>
      <c r="CF285" s="38">
        <f t="shared" si="277"/>
        <v>2.7351675086776974</v>
      </c>
      <c r="CG285" s="38">
        <f t="shared" si="278"/>
        <v>7.9835009569078643</v>
      </c>
      <c r="CH285" s="15"/>
      <c r="CI285" s="16"/>
      <c r="CJ285" s="13"/>
      <c r="CK285" s="104"/>
      <c r="CL285" s="13"/>
      <c r="CM285" s="13"/>
      <c r="CN285" s="13"/>
      <c r="CO285" s="16"/>
      <c r="CP285" s="16"/>
      <c r="CQ285" s="16"/>
      <c r="CR285" s="16"/>
      <c r="CS285" s="16"/>
      <c r="CT285" s="16"/>
      <c r="CU285" s="16"/>
      <c r="CV285" s="16"/>
      <c r="CW285" s="16"/>
      <c r="CX285" s="16"/>
      <c r="CY285" s="104"/>
      <c r="CZ285" s="104"/>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3"/>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row>
    <row r="286" spans="1:167" x14ac:dyDescent="0.25">
      <c r="A286" s="35" t="s">
        <v>88</v>
      </c>
      <c r="B286" s="15">
        <v>932</v>
      </c>
      <c r="C286" s="102" t="s">
        <v>100</v>
      </c>
      <c r="D286" s="102" t="s">
        <v>104</v>
      </c>
      <c r="E286" s="15">
        <v>90</v>
      </c>
      <c r="F286" s="16">
        <v>65.84</v>
      </c>
      <c r="G286" s="16">
        <v>0</v>
      </c>
      <c r="H286" s="16">
        <v>18.579999999999998</v>
      </c>
      <c r="I286" s="16">
        <v>0</v>
      </c>
      <c r="J286" s="16">
        <v>0.12147934851075319</v>
      </c>
      <c r="K286" s="16">
        <v>0</v>
      </c>
      <c r="L286" s="16">
        <v>0</v>
      </c>
      <c r="M286" s="16">
        <v>5.1999999999999998E-2</v>
      </c>
      <c r="N286" s="16">
        <v>2.81</v>
      </c>
      <c r="O286" s="16">
        <v>13.25</v>
      </c>
      <c r="P286" s="16">
        <v>0</v>
      </c>
      <c r="Q286" s="16"/>
      <c r="R286" s="16"/>
      <c r="S286" s="16">
        <f t="shared" si="224"/>
        <v>100.65347934851076</v>
      </c>
      <c r="T286" s="16"/>
      <c r="U286" s="15"/>
      <c r="V286" s="15"/>
      <c r="W286" s="15"/>
      <c r="X286" s="15" t="s">
        <v>187</v>
      </c>
      <c r="Y286" s="15"/>
      <c r="Z286" s="37">
        <v>8</v>
      </c>
      <c r="AA286" s="37">
        <v>5</v>
      </c>
      <c r="AB286" s="15"/>
      <c r="AC286" s="38">
        <f t="shared" si="225"/>
        <v>2.9951655407477036</v>
      </c>
      <c r="AD286" s="38">
        <f t="shared" si="226"/>
        <v>0</v>
      </c>
      <c r="AE286" s="38">
        <f t="shared" si="227"/>
        <v>0.99610887804538562</v>
      </c>
      <c r="AF286" s="38">
        <f t="shared" si="228"/>
        <v>0</v>
      </c>
      <c r="AG286" s="38">
        <f t="shared" si="229"/>
        <v>4.6210068682559528E-3</v>
      </c>
      <c r="AH286" s="38">
        <f t="shared" si="230"/>
        <v>0</v>
      </c>
      <c r="AI286" s="38">
        <f t="shared" si="231"/>
        <v>0</v>
      </c>
      <c r="AJ286" s="38">
        <f t="shared" si="232"/>
        <v>2.5342897730130215E-3</v>
      </c>
      <c r="AK286" s="38">
        <f t="shared" si="233"/>
        <v>0.24782532021638645</v>
      </c>
      <c r="AL286" s="38">
        <f t="shared" si="234"/>
        <v>0.7688752893741041</v>
      </c>
      <c r="AM286" s="38">
        <f t="shared" si="235"/>
        <v>0</v>
      </c>
      <c r="AN286" s="38">
        <f t="shared" si="236"/>
        <v>0</v>
      </c>
      <c r="AO286" s="38">
        <f t="shared" si="237"/>
        <v>0</v>
      </c>
      <c r="AP286" s="38">
        <f t="shared" si="238"/>
        <v>5.015130325024848</v>
      </c>
      <c r="AQ286" s="38">
        <f t="shared" si="239"/>
        <v>3.9912744187930893</v>
      </c>
      <c r="AR286" s="38">
        <f t="shared" si="240"/>
        <v>1.0192348993635036</v>
      </c>
      <c r="AS286" s="40"/>
      <c r="AT286" s="38">
        <f t="shared" si="241"/>
        <v>2.9861293193142124</v>
      </c>
      <c r="AU286" s="38">
        <f t="shared" si="242"/>
        <v>0</v>
      </c>
      <c r="AV286" s="38">
        <f t="shared" si="243"/>
        <v>0.99310368174774211</v>
      </c>
      <c r="AW286" s="38">
        <f t="shared" si="244"/>
        <v>0</v>
      </c>
      <c r="AX286" s="38">
        <f t="shared" si="245"/>
        <v>0</v>
      </c>
      <c r="AY286" s="38">
        <f t="shared" si="246"/>
        <v>4.607065588303586E-3</v>
      </c>
      <c r="AZ286" s="38">
        <f t="shared" si="247"/>
        <v>0</v>
      </c>
      <c r="BA286" s="38">
        <f t="shared" si="248"/>
        <v>0</v>
      </c>
      <c r="BB286" s="38">
        <f t="shared" si="249"/>
        <v>2.5266439840728014E-3</v>
      </c>
      <c r="BC286" s="38">
        <f t="shared" si="250"/>
        <v>0.2470776471947003</v>
      </c>
      <c r="BD286" s="38">
        <f t="shared" si="251"/>
        <v>0.76655564217096839</v>
      </c>
      <c r="BE286" s="38">
        <f t="shared" si="252"/>
        <v>0</v>
      </c>
      <c r="BF286" s="38">
        <f t="shared" si="253"/>
        <v>0</v>
      </c>
      <c r="BG286" s="38">
        <f t="shared" si="254"/>
        <v>0</v>
      </c>
      <c r="BH286" s="41">
        <f t="shared" si="255"/>
        <v>5</v>
      </c>
      <c r="BI286" s="42">
        <f t="shared" si="256"/>
        <v>7.9781680482994002</v>
      </c>
      <c r="BJ286" s="38">
        <f t="shared" si="257"/>
        <v>3.9792330010619548</v>
      </c>
      <c r="BK286" s="38">
        <f t="shared" si="258"/>
        <v>1.0161599333497415</v>
      </c>
      <c r="BL286" s="16"/>
      <c r="BM286" s="16">
        <f t="shared" si="259"/>
        <v>2.4864629091837869E-3</v>
      </c>
      <c r="BN286" s="16">
        <f t="shared" si="260"/>
        <v>0.24314838549106738</v>
      </c>
      <c r="BO286" s="16">
        <f t="shared" si="261"/>
        <v>0.75436515159974871</v>
      </c>
      <c r="BP286" s="15"/>
      <c r="BQ286" s="38">
        <f t="shared" si="262"/>
        <v>1.0958721704394141</v>
      </c>
      <c r="BR286" s="38">
        <f t="shared" si="263"/>
        <v>0</v>
      </c>
      <c r="BS286" s="38">
        <f t="shared" si="264"/>
        <v>0.3644566496665359</v>
      </c>
      <c r="BT286" s="38">
        <f t="shared" si="265"/>
        <v>0</v>
      </c>
      <c r="BU286" s="38">
        <f t="shared" si="266"/>
        <v>1.6907355394676854E-3</v>
      </c>
      <c r="BV286" s="38">
        <f t="shared" si="267"/>
        <v>0</v>
      </c>
      <c r="BW286" s="38">
        <f t="shared" si="268"/>
        <v>0</v>
      </c>
      <c r="BX286" s="38">
        <f t="shared" si="269"/>
        <v>9.2724679029957205E-4</v>
      </c>
      <c r="BY286" s="38">
        <f t="shared" si="270"/>
        <v>9.0674411100354957E-2</v>
      </c>
      <c r="BZ286" s="38">
        <f t="shared" si="271"/>
        <v>0.28131634819532908</v>
      </c>
      <c r="CA286" s="38">
        <f t="shared" si="272"/>
        <v>0</v>
      </c>
      <c r="CB286" s="38">
        <f t="shared" si="273"/>
        <v>0</v>
      </c>
      <c r="CC286" s="38">
        <f t="shared" si="274"/>
        <v>0</v>
      </c>
      <c r="CD286" s="38">
        <f t="shared" si="275"/>
        <v>1.8349375617314014</v>
      </c>
      <c r="CE286" s="38">
        <f t="shared" si="276"/>
        <v>2.9270426773562415</v>
      </c>
      <c r="CF286" s="38">
        <f t="shared" si="277"/>
        <v>2.7248883582077443</v>
      </c>
      <c r="CG286" s="38">
        <f t="shared" si="278"/>
        <v>7.9758645155052488</v>
      </c>
      <c r="CH286" s="15"/>
      <c r="CI286" s="16"/>
      <c r="CJ286" s="13"/>
      <c r="CK286" s="104"/>
      <c r="CL286" s="13"/>
      <c r="CM286" s="13"/>
      <c r="CN286" s="13"/>
      <c r="CO286" s="16"/>
      <c r="CP286" s="16"/>
      <c r="CQ286" s="16"/>
      <c r="CR286" s="16"/>
      <c r="CS286" s="16"/>
      <c r="CT286" s="16"/>
      <c r="CU286" s="16"/>
      <c r="CV286" s="16"/>
      <c r="CW286" s="16"/>
      <c r="CX286" s="16"/>
      <c r="CY286" s="104"/>
      <c r="CZ286" s="104"/>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3"/>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row>
    <row r="287" spans="1:167" x14ac:dyDescent="0.25">
      <c r="A287" s="35" t="s">
        <v>88</v>
      </c>
      <c r="B287" s="15">
        <v>934</v>
      </c>
      <c r="C287" s="102" t="s">
        <v>100</v>
      </c>
      <c r="D287" s="102" t="s">
        <v>104</v>
      </c>
      <c r="E287" s="15">
        <v>92</v>
      </c>
      <c r="F287" s="16">
        <v>46.41</v>
      </c>
      <c r="G287" s="16">
        <v>0</v>
      </c>
      <c r="H287" s="16">
        <v>33.64</v>
      </c>
      <c r="I287" s="16">
        <v>0</v>
      </c>
      <c r="J287" s="16">
        <v>0.35184018716818144</v>
      </c>
      <c r="K287" s="16">
        <v>0</v>
      </c>
      <c r="L287" s="16">
        <v>0</v>
      </c>
      <c r="M287" s="16">
        <v>17.82</v>
      </c>
      <c r="N287" s="16">
        <v>1.43</v>
      </c>
      <c r="O287" s="16">
        <v>4.7E-2</v>
      </c>
      <c r="P287" s="16">
        <v>0</v>
      </c>
      <c r="Q287" s="16"/>
      <c r="R287" s="16"/>
      <c r="S287" s="16">
        <f t="shared" si="224"/>
        <v>99.698840187168173</v>
      </c>
      <c r="T287" s="16"/>
      <c r="U287" s="15">
        <v>4</v>
      </c>
      <c r="V287" s="15">
        <v>1</v>
      </c>
      <c r="W287" s="15">
        <v>0</v>
      </c>
      <c r="X287" s="15" t="s">
        <v>185</v>
      </c>
      <c r="Y287" s="15"/>
      <c r="Z287" s="37">
        <v>8</v>
      </c>
      <c r="AA287" s="37">
        <v>5</v>
      </c>
      <c r="AB287" s="15"/>
      <c r="AC287" s="38">
        <f t="shared" si="225"/>
        <v>2.1450290594406702</v>
      </c>
      <c r="AD287" s="38">
        <f t="shared" si="226"/>
        <v>0</v>
      </c>
      <c r="AE287" s="38">
        <f t="shared" si="227"/>
        <v>1.8323468742573659</v>
      </c>
      <c r="AF287" s="38">
        <f t="shared" si="228"/>
        <v>0</v>
      </c>
      <c r="AG287" s="38">
        <f t="shared" si="229"/>
        <v>1.3597848752495423E-2</v>
      </c>
      <c r="AH287" s="38">
        <f t="shared" si="230"/>
        <v>0</v>
      </c>
      <c r="AI287" s="38">
        <f t="shared" si="231"/>
        <v>0</v>
      </c>
      <c r="AJ287" s="38">
        <f t="shared" si="232"/>
        <v>0.88237100867273965</v>
      </c>
      <c r="AK287" s="38">
        <f t="shared" si="233"/>
        <v>0.12813447590875074</v>
      </c>
      <c r="AL287" s="38">
        <f t="shared" si="234"/>
        <v>2.7709487060022966E-3</v>
      </c>
      <c r="AM287" s="38">
        <f t="shared" si="235"/>
        <v>0</v>
      </c>
      <c r="AN287" s="38">
        <f t="shared" si="236"/>
        <v>0</v>
      </c>
      <c r="AO287" s="38">
        <f t="shared" si="237"/>
        <v>0</v>
      </c>
      <c r="AP287" s="38">
        <f t="shared" si="238"/>
        <v>5.0042502157380246</v>
      </c>
      <c r="AQ287" s="38">
        <f t="shared" si="239"/>
        <v>3.9773759336980361</v>
      </c>
      <c r="AR287" s="38">
        <f t="shared" si="240"/>
        <v>1.0132764332874928</v>
      </c>
      <c r="AS287" s="40"/>
      <c r="AT287" s="38">
        <f t="shared" si="241"/>
        <v>2.1432072408117211</v>
      </c>
      <c r="AU287" s="38">
        <f t="shared" si="242"/>
        <v>0</v>
      </c>
      <c r="AV287" s="38">
        <f t="shared" si="243"/>
        <v>1.830790623233387</v>
      </c>
      <c r="AW287" s="38">
        <f t="shared" si="244"/>
        <v>0</v>
      </c>
      <c r="AX287" s="38">
        <f t="shared" si="245"/>
        <v>0</v>
      </c>
      <c r="AY287" s="38">
        <f t="shared" si="246"/>
        <v>1.3586299811439403E-2</v>
      </c>
      <c r="AZ287" s="38">
        <f t="shared" si="247"/>
        <v>0</v>
      </c>
      <c r="BA287" s="38">
        <f t="shared" si="248"/>
        <v>0</v>
      </c>
      <c r="BB287" s="38">
        <f t="shared" si="249"/>
        <v>0.88162159227944203</v>
      </c>
      <c r="BC287" s="38">
        <f t="shared" si="250"/>
        <v>0.12802564858345469</v>
      </c>
      <c r="BD287" s="38">
        <f t="shared" si="251"/>
        <v>2.7685952805555692E-3</v>
      </c>
      <c r="BE287" s="38">
        <f t="shared" si="252"/>
        <v>0</v>
      </c>
      <c r="BF287" s="38">
        <f t="shared" si="253"/>
        <v>0</v>
      </c>
      <c r="BG287" s="38">
        <f t="shared" si="254"/>
        <v>0</v>
      </c>
      <c r="BH287" s="41">
        <f t="shared" si="255"/>
        <v>4.9999999999999991</v>
      </c>
      <c r="BI287" s="42">
        <f t="shared" si="256"/>
        <v>7.9999985804021287</v>
      </c>
      <c r="BJ287" s="38">
        <f t="shared" si="257"/>
        <v>3.9739978640451081</v>
      </c>
      <c r="BK287" s="38">
        <f t="shared" si="258"/>
        <v>1.0124158361434523</v>
      </c>
      <c r="BL287" s="16"/>
      <c r="BM287" s="16">
        <f t="shared" si="259"/>
        <v>0.87080976097505669</v>
      </c>
      <c r="BN287" s="16">
        <f t="shared" si="260"/>
        <v>0.12645559661644243</v>
      </c>
      <c r="BO287" s="16">
        <f t="shared" si="261"/>
        <v>2.7346424085006884E-3</v>
      </c>
      <c r="BP287" s="15"/>
      <c r="BQ287" s="38">
        <f t="shared" si="262"/>
        <v>0.77247003994673769</v>
      </c>
      <c r="BR287" s="38">
        <f t="shared" si="263"/>
        <v>0</v>
      </c>
      <c r="BS287" s="38">
        <f t="shared" si="264"/>
        <v>0.65986661435857208</v>
      </c>
      <c r="BT287" s="38">
        <f t="shared" si="265"/>
        <v>0</v>
      </c>
      <c r="BU287" s="38">
        <f t="shared" si="266"/>
        <v>4.8968710809767779E-3</v>
      </c>
      <c r="BV287" s="38">
        <f t="shared" si="267"/>
        <v>0</v>
      </c>
      <c r="BW287" s="38">
        <f t="shared" si="268"/>
        <v>0</v>
      </c>
      <c r="BX287" s="38">
        <f t="shared" si="269"/>
        <v>0.31776034236804568</v>
      </c>
      <c r="BY287" s="38">
        <f t="shared" si="270"/>
        <v>4.6143917392707325E-2</v>
      </c>
      <c r="BZ287" s="38">
        <f t="shared" si="271"/>
        <v>9.9787685774946908E-4</v>
      </c>
      <c r="CA287" s="38">
        <f t="shared" si="272"/>
        <v>0</v>
      </c>
      <c r="CB287" s="38">
        <f t="shared" si="273"/>
        <v>0</v>
      </c>
      <c r="CC287" s="38">
        <f t="shared" si="274"/>
        <v>0</v>
      </c>
      <c r="CD287" s="38">
        <f t="shared" si="275"/>
        <v>1.802135662004789</v>
      </c>
      <c r="CE287" s="38">
        <f t="shared" si="276"/>
        <v>2.8809681120055841</v>
      </c>
      <c r="CF287" s="38">
        <f t="shared" si="277"/>
        <v>2.7744859088120708</v>
      </c>
      <c r="CG287" s="38">
        <f t="shared" si="278"/>
        <v>7.9932054304964089</v>
      </c>
      <c r="CH287" s="15"/>
      <c r="CI287" s="16"/>
      <c r="CJ287" s="13"/>
      <c r="CK287" s="104"/>
      <c r="CL287" s="13"/>
      <c r="CM287" s="13"/>
      <c r="CN287" s="13"/>
      <c r="CO287" s="16"/>
      <c r="CP287" s="16"/>
      <c r="CQ287" s="16"/>
      <c r="CR287" s="16"/>
      <c r="CS287" s="16"/>
      <c r="CT287" s="16"/>
      <c r="CU287" s="16"/>
      <c r="CV287" s="16"/>
      <c r="CW287" s="16"/>
      <c r="CX287" s="16"/>
      <c r="CY287" s="104"/>
      <c r="CZ287" s="104"/>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3"/>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row>
    <row r="288" spans="1:167" x14ac:dyDescent="0.25">
      <c r="A288" s="35" t="s">
        <v>88</v>
      </c>
      <c r="B288" s="15">
        <v>935</v>
      </c>
      <c r="C288" s="102" t="s">
        <v>100</v>
      </c>
      <c r="D288" s="102" t="s">
        <v>104</v>
      </c>
      <c r="E288" s="15">
        <v>93</v>
      </c>
      <c r="F288" s="16">
        <v>46.22</v>
      </c>
      <c r="G288" s="16">
        <v>0</v>
      </c>
      <c r="H288" s="16">
        <v>33.909999999999997</v>
      </c>
      <c r="I288" s="16">
        <v>0</v>
      </c>
      <c r="J288" s="16">
        <v>0.36803743363628183</v>
      </c>
      <c r="K288" s="16">
        <v>0</v>
      </c>
      <c r="L288" s="16">
        <v>0</v>
      </c>
      <c r="M288" s="16">
        <v>18.22</v>
      </c>
      <c r="N288" s="16">
        <v>1.2749999999999999</v>
      </c>
      <c r="O288" s="16">
        <v>4.2999999999999997E-2</v>
      </c>
      <c r="P288" s="16">
        <v>0</v>
      </c>
      <c r="Q288" s="16"/>
      <c r="R288" s="16"/>
      <c r="S288" s="16">
        <f t="shared" si="224"/>
        <v>100.0360374336363</v>
      </c>
      <c r="T288" s="16"/>
      <c r="U288" s="15">
        <v>4</v>
      </c>
      <c r="V288" s="15">
        <v>2</v>
      </c>
      <c r="W288" s="15">
        <v>22.5</v>
      </c>
      <c r="X288" s="15" t="s">
        <v>185</v>
      </c>
      <c r="Y288" s="15"/>
      <c r="Z288" s="37">
        <v>8</v>
      </c>
      <c r="AA288" s="37">
        <v>5</v>
      </c>
      <c r="AB288" s="15"/>
      <c r="AC288" s="38">
        <f t="shared" si="225"/>
        <v>2.1314870630387013</v>
      </c>
      <c r="AD288" s="38">
        <f t="shared" si="226"/>
        <v>0</v>
      </c>
      <c r="AE288" s="38">
        <f t="shared" si="227"/>
        <v>1.8429376503368899</v>
      </c>
      <c r="AF288" s="38">
        <f t="shared" si="228"/>
        <v>0</v>
      </c>
      <c r="AG288" s="38">
        <f t="shared" si="229"/>
        <v>1.4192140602812044E-2</v>
      </c>
      <c r="AH288" s="38">
        <f t="shared" si="230"/>
        <v>0</v>
      </c>
      <c r="AI288" s="38">
        <f t="shared" si="231"/>
        <v>0</v>
      </c>
      <c r="AJ288" s="38">
        <f t="shared" si="232"/>
        <v>0.90016692512311391</v>
      </c>
      <c r="AK288" s="38">
        <f t="shared" si="233"/>
        <v>0.11399119130910627</v>
      </c>
      <c r="AL288" s="38">
        <f t="shared" si="234"/>
        <v>2.5294740735652258E-3</v>
      </c>
      <c r="AM288" s="38">
        <f t="shared" si="235"/>
        <v>0</v>
      </c>
      <c r="AN288" s="38">
        <f t="shared" si="236"/>
        <v>0</v>
      </c>
      <c r="AO288" s="38">
        <f t="shared" si="237"/>
        <v>0</v>
      </c>
      <c r="AP288" s="38">
        <f t="shared" si="238"/>
        <v>5.0053044444841888</v>
      </c>
      <c r="AQ288" s="38">
        <f t="shared" si="239"/>
        <v>3.9744247133755914</v>
      </c>
      <c r="AR288" s="38">
        <f t="shared" si="240"/>
        <v>1.0166875905057855</v>
      </c>
      <c r="AS288" s="40"/>
      <c r="AT288" s="38">
        <f t="shared" si="241"/>
        <v>2.1292281884946931</v>
      </c>
      <c r="AU288" s="38">
        <f t="shared" si="242"/>
        <v>0</v>
      </c>
      <c r="AV288" s="38">
        <f t="shared" si="243"/>
        <v>1.8409845702470653</v>
      </c>
      <c r="AW288" s="38">
        <f t="shared" si="244"/>
        <v>0</v>
      </c>
      <c r="AX288" s="38">
        <f t="shared" si="245"/>
        <v>0</v>
      </c>
      <c r="AY288" s="38">
        <f t="shared" si="246"/>
        <v>1.4177100274541428E-2</v>
      </c>
      <c r="AZ288" s="38">
        <f t="shared" si="247"/>
        <v>0</v>
      </c>
      <c r="BA288" s="38">
        <f t="shared" si="248"/>
        <v>0</v>
      </c>
      <c r="BB288" s="38">
        <f t="shared" si="249"/>
        <v>0.89921296007787466</v>
      </c>
      <c r="BC288" s="38">
        <f t="shared" si="250"/>
        <v>0.11387038747935081</v>
      </c>
      <c r="BD288" s="38">
        <f t="shared" si="251"/>
        <v>2.5267934264744767E-3</v>
      </c>
      <c r="BE288" s="38">
        <f t="shared" si="252"/>
        <v>0</v>
      </c>
      <c r="BF288" s="38">
        <f t="shared" si="253"/>
        <v>0</v>
      </c>
      <c r="BG288" s="38">
        <f t="shared" si="254"/>
        <v>0</v>
      </c>
      <c r="BH288" s="41">
        <f t="shared" si="255"/>
        <v>5</v>
      </c>
      <c r="BI288" s="42">
        <f t="shared" si="256"/>
        <v>7.9986104333025834</v>
      </c>
      <c r="BJ288" s="38">
        <f t="shared" si="257"/>
        <v>3.9702127587417584</v>
      </c>
      <c r="BK288" s="38">
        <f t="shared" si="258"/>
        <v>1.0156101409836999</v>
      </c>
      <c r="BL288" s="16"/>
      <c r="BM288" s="16">
        <f t="shared" si="259"/>
        <v>0.88539186818961324</v>
      </c>
      <c r="BN288" s="16">
        <f t="shared" si="260"/>
        <v>0.11212017572910231</v>
      </c>
      <c r="BO288" s="16">
        <f t="shared" si="261"/>
        <v>2.4879560812843733E-3</v>
      </c>
      <c r="BP288" s="15"/>
      <c r="BQ288" s="38">
        <f t="shared" si="262"/>
        <v>0.76930758988015979</v>
      </c>
      <c r="BR288" s="38">
        <f t="shared" si="263"/>
        <v>0</v>
      </c>
      <c r="BS288" s="38">
        <f t="shared" si="264"/>
        <v>0.66516280894468416</v>
      </c>
      <c r="BT288" s="38">
        <f t="shared" si="265"/>
        <v>0</v>
      </c>
      <c r="BU288" s="38">
        <f t="shared" si="266"/>
        <v>5.1223024862391353E-3</v>
      </c>
      <c r="BV288" s="38">
        <f t="shared" si="267"/>
        <v>0</v>
      </c>
      <c r="BW288" s="38">
        <f t="shared" si="268"/>
        <v>0</v>
      </c>
      <c r="BX288" s="38">
        <f t="shared" si="269"/>
        <v>0.32489300998573467</v>
      </c>
      <c r="BY288" s="38">
        <f t="shared" si="270"/>
        <v>4.1142303969022263E-2</v>
      </c>
      <c r="BZ288" s="38">
        <f t="shared" si="271"/>
        <v>9.1295116772823772E-4</v>
      </c>
      <c r="CA288" s="38">
        <f t="shared" si="272"/>
        <v>0</v>
      </c>
      <c r="CB288" s="38">
        <f t="shared" si="273"/>
        <v>0</v>
      </c>
      <c r="CC288" s="38">
        <f t="shared" si="274"/>
        <v>0</v>
      </c>
      <c r="CD288" s="38">
        <f t="shared" si="275"/>
        <v>1.8065409664335683</v>
      </c>
      <c r="CE288" s="38">
        <f t="shared" si="276"/>
        <v>2.887402333217695</v>
      </c>
      <c r="CF288" s="38">
        <f t="shared" si="277"/>
        <v>2.7677202415569271</v>
      </c>
      <c r="CG288" s="38">
        <f t="shared" si="278"/>
        <v>7.9915218831653139</v>
      </c>
      <c r="CH288" s="15"/>
      <c r="CI288" s="16"/>
      <c r="CJ288" s="13"/>
      <c r="CK288" s="104"/>
      <c r="CL288" s="13"/>
      <c r="CM288" s="13"/>
      <c r="CN288" s="13"/>
      <c r="CO288" s="16"/>
      <c r="CP288" s="16"/>
      <c r="CQ288" s="16"/>
      <c r="CR288" s="16"/>
      <c r="CS288" s="16"/>
      <c r="CT288" s="16"/>
      <c r="CU288" s="16"/>
      <c r="CV288" s="16"/>
      <c r="CW288" s="16"/>
      <c r="CX288" s="16"/>
      <c r="CY288" s="104"/>
      <c r="CZ288" s="104"/>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3"/>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row>
    <row r="289" spans="1:167" x14ac:dyDescent="0.25">
      <c r="A289" s="35" t="s">
        <v>88</v>
      </c>
      <c r="B289" s="15">
        <v>936</v>
      </c>
      <c r="C289" s="102" t="s">
        <v>100</v>
      </c>
      <c r="D289" s="102" t="s">
        <v>104</v>
      </c>
      <c r="E289" s="15">
        <v>94</v>
      </c>
      <c r="F289" s="16">
        <v>50.41</v>
      </c>
      <c r="G289" s="16">
        <v>0</v>
      </c>
      <c r="H289" s="16">
        <v>31.24</v>
      </c>
      <c r="I289" s="16">
        <v>0</v>
      </c>
      <c r="J289" s="16">
        <v>0.30594798884189689</v>
      </c>
      <c r="K289" s="16">
        <v>0</v>
      </c>
      <c r="L289" s="16">
        <v>0</v>
      </c>
      <c r="M289" s="16">
        <v>14.66</v>
      </c>
      <c r="N289" s="16">
        <v>3.4</v>
      </c>
      <c r="O289" s="16">
        <v>0.156</v>
      </c>
      <c r="P289" s="16">
        <v>0</v>
      </c>
      <c r="Q289" s="16"/>
      <c r="R289" s="16"/>
      <c r="S289" s="16">
        <f t="shared" si="224"/>
        <v>100.17194798884189</v>
      </c>
      <c r="T289" s="16"/>
      <c r="U289" s="15">
        <v>4</v>
      </c>
      <c r="V289" s="15">
        <v>3</v>
      </c>
      <c r="W289" s="15">
        <v>45</v>
      </c>
      <c r="X289" s="15" t="s">
        <v>185</v>
      </c>
      <c r="Y289" s="15"/>
      <c r="Z289" s="37">
        <v>8</v>
      </c>
      <c r="AA289" s="37">
        <v>5</v>
      </c>
      <c r="AB289" s="15"/>
      <c r="AC289" s="38">
        <f t="shared" si="225"/>
        <v>2.2991845036398288</v>
      </c>
      <c r="AD289" s="38">
        <f t="shared" si="226"/>
        <v>0</v>
      </c>
      <c r="AE289" s="38">
        <f t="shared" si="227"/>
        <v>1.6791838332242859</v>
      </c>
      <c r="AF289" s="38">
        <f t="shared" si="228"/>
        <v>0</v>
      </c>
      <c r="AG289" s="38">
        <f t="shared" si="229"/>
        <v>1.1668307895270706E-2</v>
      </c>
      <c r="AH289" s="38">
        <f t="shared" si="230"/>
        <v>0</v>
      </c>
      <c r="AI289" s="38">
        <f t="shared" si="231"/>
        <v>0</v>
      </c>
      <c r="AJ289" s="38">
        <f t="shared" si="232"/>
        <v>0.71632979503430716</v>
      </c>
      <c r="AK289" s="38">
        <f t="shared" si="233"/>
        <v>0.30063835818794127</v>
      </c>
      <c r="AL289" s="38">
        <f t="shared" si="234"/>
        <v>9.0759217207325507E-3</v>
      </c>
      <c r="AM289" s="38">
        <f t="shared" si="235"/>
        <v>0</v>
      </c>
      <c r="AN289" s="38">
        <f t="shared" si="236"/>
        <v>0</v>
      </c>
      <c r="AO289" s="38">
        <f t="shared" si="237"/>
        <v>0</v>
      </c>
      <c r="AP289" s="38">
        <f t="shared" si="238"/>
        <v>5.0160807197023676</v>
      </c>
      <c r="AQ289" s="38">
        <f t="shared" si="239"/>
        <v>3.978368336864115</v>
      </c>
      <c r="AR289" s="38">
        <f t="shared" si="240"/>
        <v>1.0260440749429811</v>
      </c>
      <c r="AS289" s="40"/>
      <c r="AT289" s="38">
        <f t="shared" si="241"/>
        <v>2.2918137008930084</v>
      </c>
      <c r="AU289" s="38">
        <f t="shared" si="242"/>
        <v>0</v>
      </c>
      <c r="AV289" s="38">
        <f t="shared" si="243"/>
        <v>1.6738006494081319</v>
      </c>
      <c r="AW289" s="38">
        <f t="shared" si="244"/>
        <v>0</v>
      </c>
      <c r="AX289" s="38">
        <f t="shared" si="245"/>
        <v>0</v>
      </c>
      <c r="AY289" s="38">
        <f t="shared" si="246"/>
        <v>1.1630901242716702E-2</v>
      </c>
      <c r="AZ289" s="38">
        <f t="shared" si="247"/>
        <v>0</v>
      </c>
      <c r="BA289" s="38">
        <f t="shared" si="248"/>
        <v>0</v>
      </c>
      <c r="BB289" s="38">
        <f t="shared" si="249"/>
        <v>0.7140333609671371</v>
      </c>
      <c r="BC289" s="38">
        <f t="shared" si="250"/>
        <v>0.29967456166233697</v>
      </c>
      <c r="BD289" s="38">
        <f t="shared" si="251"/>
        <v>9.0468258266695918E-3</v>
      </c>
      <c r="BE289" s="38">
        <f t="shared" si="252"/>
        <v>0</v>
      </c>
      <c r="BF289" s="38">
        <f t="shared" si="253"/>
        <v>0</v>
      </c>
      <c r="BG289" s="38">
        <f t="shared" si="254"/>
        <v>0</v>
      </c>
      <c r="BH289" s="41">
        <f t="shared" si="255"/>
        <v>5.0000000000000009</v>
      </c>
      <c r="BI289" s="42">
        <f t="shared" si="256"/>
        <v>7.98016878247393</v>
      </c>
      <c r="BJ289" s="38">
        <f t="shared" si="257"/>
        <v>3.9656143503011405</v>
      </c>
      <c r="BK289" s="38">
        <f t="shared" si="258"/>
        <v>1.0227547484561437</v>
      </c>
      <c r="BL289" s="16"/>
      <c r="BM289" s="16">
        <f t="shared" si="259"/>
        <v>0.69814719711150297</v>
      </c>
      <c r="BN289" s="16">
        <f t="shared" si="260"/>
        <v>0.29300725527277982</v>
      </c>
      <c r="BO289" s="16">
        <f t="shared" si="261"/>
        <v>8.8455476157171063E-3</v>
      </c>
      <c r="BP289" s="15"/>
      <c r="BQ289" s="38">
        <f t="shared" si="262"/>
        <v>0.83904793608521966</v>
      </c>
      <c r="BR289" s="38">
        <f t="shared" si="263"/>
        <v>0</v>
      </c>
      <c r="BS289" s="38">
        <f t="shared" si="264"/>
        <v>0.61278932914868578</v>
      </c>
      <c r="BT289" s="38">
        <f t="shared" si="265"/>
        <v>0</v>
      </c>
      <c r="BU289" s="38">
        <f t="shared" si="266"/>
        <v>4.2581487660667628E-3</v>
      </c>
      <c r="BV289" s="38">
        <f t="shared" si="267"/>
        <v>0</v>
      </c>
      <c r="BW289" s="38">
        <f t="shared" si="268"/>
        <v>0</v>
      </c>
      <c r="BX289" s="38">
        <f t="shared" si="269"/>
        <v>0.26141226818830243</v>
      </c>
      <c r="BY289" s="38">
        <f t="shared" si="270"/>
        <v>0.10971281058405938</v>
      </c>
      <c r="BZ289" s="38">
        <f t="shared" si="271"/>
        <v>3.3121019108280254E-3</v>
      </c>
      <c r="CA289" s="38">
        <f t="shared" si="272"/>
        <v>0</v>
      </c>
      <c r="CB289" s="38">
        <f t="shared" si="273"/>
        <v>0</v>
      </c>
      <c r="CC289" s="38">
        <f t="shared" si="274"/>
        <v>0</v>
      </c>
      <c r="CD289" s="38">
        <f t="shared" si="275"/>
        <v>1.8305325946831619</v>
      </c>
      <c r="CE289" s="38">
        <f t="shared" si="276"/>
        <v>2.9194627390952808</v>
      </c>
      <c r="CF289" s="38">
        <f t="shared" si="277"/>
        <v>2.7314454899752421</v>
      </c>
      <c r="CG289" s="38">
        <f t="shared" si="278"/>
        <v>7.974353331852571</v>
      </c>
      <c r="CH289" s="15"/>
      <c r="CI289" s="16"/>
      <c r="CJ289" s="13"/>
      <c r="CK289" s="104"/>
      <c r="CL289" s="13"/>
      <c r="CM289" s="13"/>
      <c r="CN289" s="13"/>
      <c r="CO289" s="16"/>
      <c r="CP289" s="16"/>
      <c r="CQ289" s="16"/>
      <c r="CR289" s="16"/>
      <c r="CS289" s="16"/>
      <c r="CT289" s="16"/>
      <c r="CU289" s="16"/>
      <c r="CV289" s="16"/>
      <c r="CW289" s="16"/>
      <c r="CX289" s="16"/>
      <c r="CY289" s="104"/>
      <c r="CZ289" s="104"/>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3"/>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row>
    <row r="290" spans="1:167" x14ac:dyDescent="0.25">
      <c r="A290" s="35" t="s">
        <v>88</v>
      </c>
      <c r="B290" s="15">
        <v>937</v>
      </c>
      <c r="C290" s="102" t="s">
        <v>100</v>
      </c>
      <c r="D290" s="102" t="s">
        <v>104</v>
      </c>
      <c r="E290" s="15">
        <v>95</v>
      </c>
      <c r="F290" s="16">
        <v>55.2</v>
      </c>
      <c r="G290" s="16">
        <v>0</v>
      </c>
      <c r="H290" s="16">
        <v>27.88</v>
      </c>
      <c r="I290" s="16">
        <v>0</v>
      </c>
      <c r="J290" s="16">
        <v>0.27625303698371279</v>
      </c>
      <c r="K290" s="16">
        <v>0</v>
      </c>
      <c r="L290" s="16">
        <v>0</v>
      </c>
      <c r="M290" s="16">
        <v>10.73</v>
      </c>
      <c r="N290" s="16">
        <v>5.78</v>
      </c>
      <c r="O290" s="16">
        <v>0.32</v>
      </c>
      <c r="P290" s="16">
        <v>0</v>
      </c>
      <c r="Q290" s="16"/>
      <c r="R290" s="16"/>
      <c r="S290" s="16">
        <f t="shared" si="224"/>
        <v>100.18625303698371</v>
      </c>
      <c r="T290" s="16"/>
      <c r="U290" s="15">
        <v>4</v>
      </c>
      <c r="V290" s="15">
        <v>4</v>
      </c>
      <c r="W290" s="15">
        <v>67.5</v>
      </c>
      <c r="X290" s="15" t="s">
        <v>258</v>
      </c>
      <c r="Y290" s="15"/>
      <c r="Z290" s="37">
        <v>8</v>
      </c>
      <c r="AA290" s="37">
        <v>5</v>
      </c>
      <c r="AB290" s="15"/>
      <c r="AC290" s="38">
        <f t="shared" si="225"/>
        <v>2.4918438251773054</v>
      </c>
      <c r="AD290" s="38">
        <f t="shared" si="226"/>
        <v>0</v>
      </c>
      <c r="AE290" s="38">
        <f t="shared" si="227"/>
        <v>1.4832166916922065</v>
      </c>
      <c r="AF290" s="38">
        <f t="shared" si="228"/>
        <v>0</v>
      </c>
      <c r="AG290" s="38">
        <f t="shared" si="229"/>
        <v>1.0427782270231889E-2</v>
      </c>
      <c r="AH290" s="38">
        <f t="shared" si="230"/>
        <v>0</v>
      </c>
      <c r="AI290" s="38">
        <f t="shared" si="231"/>
        <v>0</v>
      </c>
      <c r="AJ290" s="38">
        <f t="shared" si="232"/>
        <v>0.51892355298224369</v>
      </c>
      <c r="AK290" s="38">
        <f t="shared" si="233"/>
        <v>0.50584554341761223</v>
      </c>
      <c r="AL290" s="38">
        <f t="shared" si="234"/>
        <v>1.8426410291596973E-2</v>
      </c>
      <c r="AM290" s="38">
        <f t="shared" si="235"/>
        <v>0</v>
      </c>
      <c r="AN290" s="38">
        <f t="shared" si="236"/>
        <v>0</v>
      </c>
      <c r="AO290" s="38">
        <f t="shared" si="237"/>
        <v>0</v>
      </c>
      <c r="AP290" s="38">
        <f t="shared" si="238"/>
        <v>5.0286838058311965</v>
      </c>
      <c r="AQ290" s="38">
        <f t="shared" si="239"/>
        <v>3.9750605168695117</v>
      </c>
      <c r="AR290" s="38">
        <f t="shared" si="240"/>
        <v>1.0431955066914529</v>
      </c>
      <c r="AS290" s="40"/>
      <c r="AT290" s="38">
        <f t="shared" si="241"/>
        <v>2.4776302521624003</v>
      </c>
      <c r="AU290" s="38">
        <f t="shared" si="242"/>
        <v>0</v>
      </c>
      <c r="AV290" s="38">
        <f t="shared" si="243"/>
        <v>1.4747563666384109</v>
      </c>
      <c r="AW290" s="38">
        <f t="shared" si="244"/>
        <v>0</v>
      </c>
      <c r="AX290" s="38">
        <f t="shared" si="245"/>
        <v>0</v>
      </c>
      <c r="AY290" s="38">
        <f t="shared" si="246"/>
        <v>1.0368301799110899E-2</v>
      </c>
      <c r="AZ290" s="38">
        <f t="shared" si="247"/>
        <v>0</v>
      </c>
      <c r="BA290" s="38">
        <f t="shared" si="248"/>
        <v>0</v>
      </c>
      <c r="BB290" s="38">
        <f t="shared" si="249"/>
        <v>0.51596359307827888</v>
      </c>
      <c r="BC290" s="38">
        <f t="shared" si="250"/>
        <v>0.50296018098318318</v>
      </c>
      <c r="BD290" s="38">
        <f t="shared" si="251"/>
        <v>1.8321305338615586E-2</v>
      </c>
      <c r="BE290" s="38">
        <f t="shared" si="252"/>
        <v>0</v>
      </c>
      <c r="BF290" s="38">
        <f t="shared" si="253"/>
        <v>0</v>
      </c>
      <c r="BG290" s="38">
        <f t="shared" si="254"/>
        <v>0</v>
      </c>
      <c r="BH290" s="41">
        <f t="shared" si="255"/>
        <v>5</v>
      </c>
      <c r="BI290" s="42">
        <f t="shared" si="256"/>
        <v>7.9595518432202619</v>
      </c>
      <c r="BJ290" s="38">
        <f t="shared" si="257"/>
        <v>3.9523866188008112</v>
      </c>
      <c r="BK290" s="38">
        <f t="shared" si="258"/>
        <v>1.0372450794000776</v>
      </c>
      <c r="BL290" s="16"/>
      <c r="BM290" s="16">
        <f t="shared" si="259"/>
        <v>0.49743653002114235</v>
      </c>
      <c r="BN290" s="16">
        <f t="shared" si="260"/>
        <v>0.48490004047460561</v>
      </c>
      <c r="BO290" s="16">
        <f t="shared" si="261"/>
        <v>1.7663429504252048E-2</v>
      </c>
      <c r="BP290" s="15"/>
      <c r="BQ290" s="38">
        <f t="shared" si="262"/>
        <v>0.91877496671105197</v>
      </c>
      <c r="BR290" s="38">
        <f t="shared" si="263"/>
        <v>0</v>
      </c>
      <c r="BS290" s="38">
        <f t="shared" si="264"/>
        <v>0.54688112985484505</v>
      </c>
      <c r="BT290" s="38">
        <f t="shared" si="265"/>
        <v>0</v>
      </c>
      <c r="BU290" s="38">
        <f t="shared" si="266"/>
        <v>3.8448578564191068E-3</v>
      </c>
      <c r="BV290" s="38">
        <f t="shared" si="267"/>
        <v>0</v>
      </c>
      <c r="BW290" s="38">
        <f t="shared" si="268"/>
        <v>0</v>
      </c>
      <c r="BX290" s="38">
        <f t="shared" si="269"/>
        <v>0.19133380884450785</v>
      </c>
      <c r="BY290" s="38">
        <f t="shared" si="270"/>
        <v>0.18651177799290095</v>
      </c>
      <c r="BZ290" s="38">
        <f t="shared" si="271"/>
        <v>6.794055201698514E-3</v>
      </c>
      <c r="CA290" s="38">
        <f t="shared" si="272"/>
        <v>0</v>
      </c>
      <c r="CB290" s="38">
        <f t="shared" si="273"/>
        <v>0</v>
      </c>
      <c r="CC290" s="38">
        <f t="shared" si="274"/>
        <v>0</v>
      </c>
      <c r="CD290" s="38">
        <f t="shared" si="275"/>
        <v>1.8541405964614235</v>
      </c>
      <c r="CE290" s="38">
        <f t="shared" si="276"/>
        <v>2.9497032115025981</v>
      </c>
      <c r="CF290" s="38">
        <f t="shared" si="277"/>
        <v>2.6966671295274818</v>
      </c>
      <c r="CG290" s="38">
        <f t="shared" si="278"/>
        <v>7.9543676923207052</v>
      </c>
      <c r="CH290" s="15"/>
      <c r="CI290" s="16"/>
      <c r="CJ290" s="13"/>
      <c r="CK290" s="104"/>
      <c r="CL290" s="13"/>
      <c r="CM290" s="13"/>
      <c r="CN290" s="13"/>
      <c r="CO290" s="16"/>
      <c r="CP290" s="16"/>
      <c r="CQ290" s="16"/>
      <c r="CR290" s="16"/>
      <c r="CS290" s="16"/>
      <c r="CT290" s="16"/>
      <c r="CU290" s="16"/>
      <c r="CV290" s="16"/>
      <c r="CW290" s="16"/>
      <c r="CX290" s="16"/>
      <c r="CY290" s="104"/>
      <c r="CZ290" s="104"/>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3"/>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row>
    <row r="291" spans="1:167" x14ac:dyDescent="0.25">
      <c r="A291" s="35" t="s">
        <v>88</v>
      </c>
      <c r="B291" s="15">
        <v>938</v>
      </c>
      <c r="C291" s="102" t="s">
        <v>100</v>
      </c>
      <c r="D291" s="102" t="s">
        <v>104</v>
      </c>
      <c r="E291" s="15">
        <v>96</v>
      </c>
      <c r="F291" s="16">
        <v>55.74</v>
      </c>
      <c r="G291" s="16">
        <v>0</v>
      </c>
      <c r="H291" s="16">
        <v>27.91</v>
      </c>
      <c r="I291" s="16">
        <v>0</v>
      </c>
      <c r="J291" s="16">
        <v>0.26995410780167373</v>
      </c>
      <c r="K291" s="16">
        <v>0</v>
      </c>
      <c r="L291" s="16">
        <v>0</v>
      </c>
      <c r="M291" s="16">
        <v>10.59</v>
      </c>
      <c r="N291" s="16">
        <v>5.77</v>
      </c>
      <c r="O291" s="16">
        <v>0.34599999999999997</v>
      </c>
      <c r="P291" s="16">
        <v>0</v>
      </c>
      <c r="Q291" s="16"/>
      <c r="R291" s="16"/>
      <c r="S291" s="16">
        <f t="shared" si="224"/>
        <v>100.62595410780169</v>
      </c>
      <c r="T291" s="16"/>
      <c r="U291" s="15">
        <v>4</v>
      </c>
      <c r="V291" s="15">
        <v>5</v>
      </c>
      <c r="W291" s="15">
        <v>90</v>
      </c>
      <c r="X291" s="15" t="s">
        <v>258</v>
      </c>
      <c r="Y291" s="15"/>
      <c r="Z291" s="37">
        <v>8</v>
      </c>
      <c r="AA291" s="37">
        <v>5</v>
      </c>
      <c r="AB291" s="15"/>
      <c r="AC291" s="38">
        <f t="shared" si="225"/>
        <v>2.5023170529523617</v>
      </c>
      <c r="AD291" s="38">
        <f t="shared" si="226"/>
        <v>0</v>
      </c>
      <c r="AE291" s="38">
        <f t="shared" si="227"/>
        <v>1.4766082840164345</v>
      </c>
      <c r="AF291" s="38">
        <f t="shared" si="228"/>
        <v>0</v>
      </c>
      <c r="AG291" s="38">
        <f t="shared" si="229"/>
        <v>1.0133709797725605E-2</v>
      </c>
      <c r="AH291" s="38">
        <f t="shared" si="230"/>
        <v>0</v>
      </c>
      <c r="AI291" s="38">
        <f t="shared" si="231"/>
        <v>0</v>
      </c>
      <c r="AJ291" s="38">
        <f t="shared" si="232"/>
        <v>0.50932295528057714</v>
      </c>
      <c r="AK291" s="38">
        <f t="shared" si="233"/>
        <v>0.50218013848452014</v>
      </c>
      <c r="AL291" s="38">
        <f t="shared" si="234"/>
        <v>1.9813467500122552E-2</v>
      </c>
      <c r="AM291" s="38">
        <f t="shared" si="235"/>
        <v>0</v>
      </c>
      <c r="AN291" s="38">
        <f t="shared" si="236"/>
        <v>0</v>
      </c>
      <c r="AO291" s="38">
        <f t="shared" si="237"/>
        <v>0</v>
      </c>
      <c r="AP291" s="38">
        <f t="shared" si="238"/>
        <v>5.020375608031741</v>
      </c>
      <c r="AQ291" s="38">
        <f t="shared" si="239"/>
        <v>3.9789253369687962</v>
      </c>
      <c r="AR291" s="38">
        <f t="shared" si="240"/>
        <v>1.0313165612652198</v>
      </c>
      <c r="AS291" s="40"/>
      <c r="AT291" s="38">
        <f t="shared" si="241"/>
        <v>2.4921611930281498</v>
      </c>
      <c r="AU291" s="38">
        <f t="shared" si="242"/>
        <v>0</v>
      </c>
      <c r="AV291" s="38">
        <f t="shared" si="243"/>
        <v>1.4706153476386445</v>
      </c>
      <c r="AW291" s="38">
        <f t="shared" si="244"/>
        <v>0</v>
      </c>
      <c r="AX291" s="38">
        <f t="shared" si="245"/>
        <v>0</v>
      </c>
      <c r="AY291" s="38">
        <f t="shared" si="246"/>
        <v>1.0092581301599629E-2</v>
      </c>
      <c r="AZ291" s="38">
        <f t="shared" si="247"/>
        <v>0</v>
      </c>
      <c r="BA291" s="38">
        <f t="shared" si="248"/>
        <v>0</v>
      </c>
      <c r="BB291" s="38">
        <f t="shared" si="249"/>
        <v>0.50725582610367592</v>
      </c>
      <c r="BC291" s="38">
        <f t="shared" si="250"/>
        <v>0.50014199901807921</v>
      </c>
      <c r="BD291" s="38">
        <f t="shared" si="251"/>
        <v>1.9733052909850401E-2</v>
      </c>
      <c r="BE291" s="38">
        <f t="shared" si="252"/>
        <v>0</v>
      </c>
      <c r="BF291" s="38">
        <f t="shared" si="253"/>
        <v>0</v>
      </c>
      <c r="BG291" s="38">
        <f t="shared" si="254"/>
        <v>0</v>
      </c>
      <c r="BH291" s="41">
        <f t="shared" si="255"/>
        <v>4.9999999999999991</v>
      </c>
      <c r="BI291" s="42">
        <f t="shared" si="256"/>
        <v>7.972577631534306</v>
      </c>
      <c r="BJ291" s="38">
        <f t="shared" si="257"/>
        <v>3.9627765406667943</v>
      </c>
      <c r="BK291" s="38">
        <f t="shared" si="258"/>
        <v>1.0271308780316055</v>
      </c>
      <c r="BL291" s="16"/>
      <c r="BM291" s="16">
        <f t="shared" si="259"/>
        <v>0.49385705069618918</v>
      </c>
      <c r="BN291" s="16">
        <f t="shared" si="260"/>
        <v>0.48693112992236376</v>
      </c>
      <c r="BO291" s="16">
        <f t="shared" si="261"/>
        <v>1.9211819381447125E-2</v>
      </c>
      <c r="BP291" s="15"/>
      <c r="BQ291" s="38">
        <f t="shared" si="262"/>
        <v>0.92776298268974711</v>
      </c>
      <c r="BR291" s="38">
        <f t="shared" si="263"/>
        <v>0</v>
      </c>
      <c r="BS291" s="38">
        <f t="shared" si="264"/>
        <v>0.54746959591996869</v>
      </c>
      <c r="BT291" s="38">
        <f t="shared" si="265"/>
        <v>0</v>
      </c>
      <c r="BU291" s="38">
        <f t="shared" si="266"/>
        <v>3.7571900877059672E-3</v>
      </c>
      <c r="BV291" s="38">
        <f t="shared" si="267"/>
        <v>0</v>
      </c>
      <c r="BW291" s="38">
        <f t="shared" si="268"/>
        <v>0</v>
      </c>
      <c r="BX291" s="38">
        <f t="shared" si="269"/>
        <v>0.1888373751783167</v>
      </c>
      <c r="BY291" s="38">
        <f t="shared" si="270"/>
        <v>0.186189093255889</v>
      </c>
      <c r="BZ291" s="38">
        <f t="shared" si="271"/>
        <v>7.3460721868365171E-3</v>
      </c>
      <c r="CA291" s="38">
        <f t="shared" si="272"/>
        <v>0</v>
      </c>
      <c r="CB291" s="38">
        <f t="shared" si="273"/>
        <v>0</v>
      </c>
      <c r="CC291" s="38">
        <f t="shared" si="274"/>
        <v>0</v>
      </c>
      <c r="CD291" s="38">
        <f t="shared" si="275"/>
        <v>1.8613623093184641</v>
      </c>
      <c r="CE291" s="38">
        <f t="shared" si="276"/>
        <v>2.9660925072468327</v>
      </c>
      <c r="CF291" s="38">
        <f t="shared" si="277"/>
        <v>2.686204601312006</v>
      </c>
      <c r="CG291" s="38">
        <f t="shared" si="278"/>
        <v>7.9675313408835065</v>
      </c>
      <c r="CH291" s="15"/>
      <c r="CI291" s="16"/>
      <c r="CJ291" s="13"/>
      <c r="CK291" s="104"/>
      <c r="CL291" s="13"/>
      <c r="CM291" s="13"/>
      <c r="CN291" s="13"/>
      <c r="CO291" s="16"/>
      <c r="CP291" s="16"/>
      <c r="CQ291" s="16"/>
      <c r="CR291" s="16"/>
      <c r="CS291" s="16"/>
      <c r="CT291" s="16"/>
      <c r="CU291" s="16"/>
      <c r="CV291" s="16"/>
      <c r="CW291" s="16"/>
      <c r="CX291" s="16"/>
      <c r="CY291" s="104"/>
      <c r="CZ291" s="104"/>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3"/>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row>
    <row r="292" spans="1:167" x14ac:dyDescent="0.25">
      <c r="A292" s="35" t="s">
        <v>88</v>
      </c>
      <c r="B292" s="15">
        <v>939</v>
      </c>
      <c r="C292" s="102" t="s">
        <v>100</v>
      </c>
      <c r="D292" s="102" t="s">
        <v>104</v>
      </c>
      <c r="E292" s="15">
        <v>97</v>
      </c>
      <c r="F292" s="16">
        <v>55.22</v>
      </c>
      <c r="G292" s="16">
        <v>0</v>
      </c>
      <c r="H292" s="16">
        <v>27.93</v>
      </c>
      <c r="I292" s="16">
        <v>0</v>
      </c>
      <c r="J292" s="16">
        <v>0.36083865742823723</v>
      </c>
      <c r="K292" s="16">
        <v>0</v>
      </c>
      <c r="L292" s="16">
        <v>0</v>
      </c>
      <c r="M292" s="16">
        <v>10.94</v>
      </c>
      <c r="N292" s="16">
        <v>5.61</v>
      </c>
      <c r="O292" s="16">
        <v>0.317</v>
      </c>
      <c r="P292" s="16">
        <v>0</v>
      </c>
      <c r="Q292" s="16"/>
      <c r="R292" s="16"/>
      <c r="S292" s="16">
        <f t="shared" si="224"/>
        <v>100.37783865742823</v>
      </c>
      <c r="T292" s="16"/>
      <c r="U292" s="15">
        <v>4</v>
      </c>
      <c r="V292" s="15">
        <v>6</v>
      </c>
      <c r="W292" s="15">
        <v>112.5</v>
      </c>
      <c r="X292" s="15" t="s">
        <v>258</v>
      </c>
      <c r="Y292" s="15"/>
      <c r="Z292" s="37">
        <v>8</v>
      </c>
      <c r="AA292" s="37">
        <v>5</v>
      </c>
      <c r="AB292" s="15"/>
      <c r="AC292" s="38">
        <f t="shared" si="225"/>
        <v>2.4891314263521331</v>
      </c>
      <c r="AD292" s="38">
        <f t="shared" si="226"/>
        <v>0</v>
      </c>
      <c r="AE292" s="38">
        <f t="shared" si="227"/>
        <v>1.483721719825625</v>
      </c>
      <c r="AF292" s="38">
        <f t="shared" si="228"/>
        <v>0</v>
      </c>
      <c r="AG292" s="38">
        <f t="shared" si="229"/>
        <v>1.3600899624177801E-2</v>
      </c>
      <c r="AH292" s="38">
        <f t="shared" si="230"/>
        <v>0</v>
      </c>
      <c r="AI292" s="38">
        <f t="shared" si="231"/>
        <v>0</v>
      </c>
      <c r="AJ292" s="38">
        <f t="shared" si="232"/>
        <v>0.52831223287432671</v>
      </c>
      <c r="AK292" s="38">
        <f t="shared" si="233"/>
        <v>0.49025568078489817</v>
      </c>
      <c r="AL292" s="38">
        <f t="shared" si="234"/>
        <v>1.8227189332686571E-2</v>
      </c>
      <c r="AM292" s="38">
        <f t="shared" si="235"/>
        <v>0</v>
      </c>
      <c r="AN292" s="38">
        <f t="shared" si="236"/>
        <v>0</v>
      </c>
      <c r="AO292" s="38">
        <f t="shared" si="237"/>
        <v>0</v>
      </c>
      <c r="AP292" s="38">
        <f t="shared" si="238"/>
        <v>5.0232491487938473</v>
      </c>
      <c r="AQ292" s="38">
        <f t="shared" si="239"/>
        <v>3.9728531461777581</v>
      </c>
      <c r="AR292" s="38">
        <f t="shared" si="240"/>
        <v>1.0367951029919116</v>
      </c>
      <c r="AS292" s="40"/>
      <c r="AT292" s="38">
        <f t="shared" si="241"/>
        <v>2.4776109571927249</v>
      </c>
      <c r="AU292" s="38">
        <f t="shared" si="242"/>
        <v>0</v>
      </c>
      <c r="AV292" s="38">
        <f t="shared" si="243"/>
        <v>1.4768545973694012</v>
      </c>
      <c r="AW292" s="38">
        <f t="shared" si="244"/>
        <v>0</v>
      </c>
      <c r="AX292" s="38">
        <f t="shared" si="245"/>
        <v>0</v>
      </c>
      <c r="AY292" s="38">
        <f t="shared" si="246"/>
        <v>1.3537950459259589E-2</v>
      </c>
      <c r="AZ292" s="38">
        <f t="shared" si="247"/>
        <v>0</v>
      </c>
      <c r="BA292" s="38">
        <f t="shared" si="248"/>
        <v>0</v>
      </c>
      <c r="BB292" s="38">
        <f t="shared" si="249"/>
        <v>0.52586704065951206</v>
      </c>
      <c r="BC292" s="38">
        <f t="shared" si="250"/>
        <v>0.487986626049213</v>
      </c>
      <c r="BD292" s="38">
        <f t="shared" si="251"/>
        <v>1.8142828269888996E-2</v>
      </c>
      <c r="BE292" s="38">
        <f t="shared" si="252"/>
        <v>0</v>
      </c>
      <c r="BF292" s="38">
        <f t="shared" si="253"/>
        <v>0</v>
      </c>
      <c r="BG292" s="38">
        <f t="shared" si="254"/>
        <v>0</v>
      </c>
      <c r="BH292" s="41">
        <f t="shared" si="255"/>
        <v>4.9999999999999991</v>
      </c>
      <c r="BI292" s="42">
        <f t="shared" si="256"/>
        <v>7.9697425039475043</v>
      </c>
      <c r="BJ292" s="38">
        <f t="shared" si="257"/>
        <v>3.9544655545621259</v>
      </c>
      <c r="BK292" s="38">
        <f t="shared" si="258"/>
        <v>1.031996494978614</v>
      </c>
      <c r="BL292" s="16"/>
      <c r="BM292" s="16">
        <f t="shared" si="259"/>
        <v>0.50956281655821856</v>
      </c>
      <c r="BN292" s="16">
        <f t="shared" si="260"/>
        <v>0.47285686378162112</v>
      </c>
      <c r="BO292" s="16">
        <f t="shared" si="261"/>
        <v>1.7580319660160246E-2</v>
      </c>
      <c r="BP292" s="15"/>
      <c r="BQ292" s="38">
        <f t="shared" si="262"/>
        <v>0.9191078561917444</v>
      </c>
      <c r="BR292" s="38">
        <f t="shared" si="263"/>
        <v>0</v>
      </c>
      <c r="BS292" s="38">
        <f t="shared" si="264"/>
        <v>0.54786190663005108</v>
      </c>
      <c r="BT292" s="38">
        <f t="shared" si="265"/>
        <v>0</v>
      </c>
      <c r="BU292" s="38">
        <f t="shared" si="266"/>
        <v>5.0221107505669764E-3</v>
      </c>
      <c r="BV292" s="38">
        <f t="shared" si="267"/>
        <v>0</v>
      </c>
      <c r="BW292" s="38">
        <f t="shared" si="268"/>
        <v>0</v>
      </c>
      <c r="BX292" s="38">
        <f t="shared" si="269"/>
        <v>0.19507845934379459</v>
      </c>
      <c r="BY292" s="38">
        <f t="shared" si="270"/>
        <v>0.181026137463698</v>
      </c>
      <c r="BZ292" s="38">
        <f t="shared" si="271"/>
        <v>6.7303609341825901E-3</v>
      </c>
      <c r="CA292" s="38">
        <f t="shared" si="272"/>
        <v>0</v>
      </c>
      <c r="CB292" s="38">
        <f t="shared" si="273"/>
        <v>0</v>
      </c>
      <c r="CC292" s="38">
        <f t="shared" si="274"/>
        <v>0</v>
      </c>
      <c r="CD292" s="38">
        <f t="shared" si="275"/>
        <v>1.8548268313140377</v>
      </c>
      <c r="CE292" s="38">
        <f t="shared" si="276"/>
        <v>2.9539873916218671</v>
      </c>
      <c r="CF292" s="38">
        <f t="shared" si="277"/>
        <v>2.6956694369456522</v>
      </c>
      <c r="CG292" s="38">
        <f t="shared" si="278"/>
        <v>7.9629735287178738</v>
      </c>
      <c r="CH292" s="15"/>
      <c r="CI292" s="16"/>
      <c r="CJ292" s="13"/>
      <c r="CK292" s="104"/>
      <c r="CL292" s="13"/>
      <c r="CM292" s="13"/>
      <c r="CN292" s="13"/>
      <c r="CO292" s="16"/>
      <c r="CP292" s="16"/>
      <c r="CQ292" s="16"/>
      <c r="CR292" s="16"/>
      <c r="CS292" s="16"/>
      <c r="CT292" s="16"/>
      <c r="CU292" s="16"/>
      <c r="CV292" s="16"/>
      <c r="CW292" s="16"/>
      <c r="CX292" s="16"/>
      <c r="CY292" s="104"/>
      <c r="CZ292" s="104"/>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3"/>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row>
    <row r="293" spans="1:167" x14ac:dyDescent="0.25">
      <c r="A293" s="35" t="s">
        <v>88</v>
      </c>
      <c r="B293" s="15">
        <v>940</v>
      </c>
      <c r="C293" s="102" t="s">
        <v>100</v>
      </c>
      <c r="D293" s="102" t="s">
        <v>104</v>
      </c>
      <c r="E293" s="15">
        <v>98</v>
      </c>
      <c r="F293" s="16">
        <v>55.81</v>
      </c>
      <c r="G293" s="16">
        <v>0</v>
      </c>
      <c r="H293" s="16">
        <v>27.69</v>
      </c>
      <c r="I293" s="16">
        <v>0</v>
      </c>
      <c r="J293" s="16">
        <v>0.37973544497435435</v>
      </c>
      <c r="K293" s="16">
        <v>0</v>
      </c>
      <c r="L293" s="16">
        <v>0</v>
      </c>
      <c r="M293" s="16">
        <v>10.62</v>
      </c>
      <c r="N293" s="16">
        <v>5.86</v>
      </c>
      <c r="O293" s="16">
        <v>0.33700000000000002</v>
      </c>
      <c r="P293" s="16">
        <v>0</v>
      </c>
      <c r="Q293" s="16"/>
      <c r="R293" s="16"/>
      <c r="S293" s="16">
        <f t="shared" si="224"/>
        <v>100.69673544497437</v>
      </c>
      <c r="T293" s="16"/>
      <c r="U293" s="15">
        <v>4</v>
      </c>
      <c r="V293" s="15">
        <v>7</v>
      </c>
      <c r="W293" s="15">
        <v>135</v>
      </c>
      <c r="X293" s="15" t="s">
        <v>258</v>
      </c>
      <c r="Y293" s="15"/>
      <c r="Z293" s="37">
        <v>8</v>
      </c>
      <c r="AA293" s="37">
        <v>5</v>
      </c>
      <c r="AB293" s="15"/>
      <c r="AC293" s="38">
        <f t="shared" si="225"/>
        <v>2.5060708177375104</v>
      </c>
      <c r="AD293" s="38">
        <f t="shared" si="226"/>
        <v>0</v>
      </c>
      <c r="AE293" s="38">
        <f t="shared" si="227"/>
        <v>1.465326370620009</v>
      </c>
      <c r="AF293" s="38">
        <f t="shared" si="228"/>
        <v>0</v>
      </c>
      <c r="AG293" s="38">
        <f t="shared" si="229"/>
        <v>1.4258229635621684E-2</v>
      </c>
      <c r="AH293" s="38">
        <f t="shared" si="230"/>
        <v>0</v>
      </c>
      <c r="AI293" s="38">
        <f t="shared" si="231"/>
        <v>0</v>
      </c>
      <c r="AJ293" s="38">
        <f t="shared" si="232"/>
        <v>0.51089041240554145</v>
      </c>
      <c r="AK293" s="38">
        <f t="shared" si="233"/>
        <v>0.51013753650056071</v>
      </c>
      <c r="AL293" s="38">
        <f t="shared" si="234"/>
        <v>1.930279660704242E-2</v>
      </c>
      <c r="AM293" s="38">
        <f t="shared" si="235"/>
        <v>0</v>
      </c>
      <c r="AN293" s="38">
        <f t="shared" si="236"/>
        <v>0</v>
      </c>
      <c r="AO293" s="38">
        <f t="shared" si="237"/>
        <v>0</v>
      </c>
      <c r="AP293" s="38">
        <f t="shared" si="238"/>
        <v>5.0259861635062855</v>
      </c>
      <c r="AQ293" s="38">
        <f t="shared" si="239"/>
        <v>3.9713971883575194</v>
      </c>
      <c r="AR293" s="38">
        <f t="shared" si="240"/>
        <v>1.0403307455131448</v>
      </c>
      <c r="AS293" s="40"/>
      <c r="AT293" s="38">
        <f t="shared" si="241"/>
        <v>2.4931135265891751</v>
      </c>
      <c r="AU293" s="38">
        <f t="shared" si="242"/>
        <v>0</v>
      </c>
      <c r="AV293" s="38">
        <f t="shared" si="243"/>
        <v>1.4577501041086747</v>
      </c>
      <c r="AW293" s="38">
        <f t="shared" si="244"/>
        <v>0</v>
      </c>
      <c r="AX293" s="38">
        <f t="shared" si="245"/>
        <v>0</v>
      </c>
      <c r="AY293" s="38">
        <f t="shared" si="246"/>
        <v>1.41845094393124E-2</v>
      </c>
      <c r="AZ293" s="38">
        <f t="shared" si="247"/>
        <v>0</v>
      </c>
      <c r="BA293" s="38">
        <f t="shared" si="248"/>
        <v>0</v>
      </c>
      <c r="BB293" s="38">
        <f t="shared" si="249"/>
        <v>0.5082489244748819</v>
      </c>
      <c r="BC293" s="38">
        <f t="shared" si="250"/>
        <v>0.50749994121021691</v>
      </c>
      <c r="BD293" s="38">
        <f t="shared" si="251"/>
        <v>1.9202994177739824E-2</v>
      </c>
      <c r="BE293" s="38">
        <f t="shared" si="252"/>
        <v>0</v>
      </c>
      <c r="BF293" s="38">
        <f t="shared" si="253"/>
        <v>0</v>
      </c>
      <c r="BG293" s="38">
        <f t="shared" si="254"/>
        <v>0</v>
      </c>
      <c r="BH293" s="41">
        <f t="shared" si="255"/>
        <v>5</v>
      </c>
      <c r="BI293" s="42">
        <f t="shared" si="256"/>
        <v>7.9657293656691914</v>
      </c>
      <c r="BJ293" s="38">
        <f t="shared" si="257"/>
        <v>3.9508636306978495</v>
      </c>
      <c r="BK293" s="38">
        <f t="shared" si="258"/>
        <v>1.0349518598628387</v>
      </c>
      <c r="BL293" s="16"/>
      <c r="BM293" s="16">
        <f t="shared" si="259"/>
        <v>0.49108460420781275</v>
      </c>
      <c r="BN293" s="16">
        <f t="shared" si="260"/>
        <v>0.49036091521926001</v>
      </c>
      <c r="BO293" s="16">
        <f t="shared" si="261"/>
        <v>1.855448057292711E-2</v>
      </c>
      <c r="BP293" s="15"/>
      <c r="BQ293" s="38">
        <f t="shared" si="262"/>
        <v>0.92892809587217051</v>
      </c>
      <c r="BR293" s="38">
        <f t="shared" si="263"/>
        <v>0</v>
      </c>
      <c r="BS293" s="38">
        <f t="shared" si="264"/>
        <v>0.54315417810906241</v>
      </c>
      <c r="BT293" s="38">
        <f t="shared" si="265"/>
        <v>0</v>
      </c>
      <c r="BU293" s="38">
        <f t="shared" si="266"/>
        <v>5.2851140567063935E-3</v>
      </c>
      <c r="BV293" s="38">
        <f t="shared" si="267"/>
        <v>0</v>
      </c>
      <c r="BW293" s="38">
        <f t="shared" si="268"/>
        <v>0</v>
      </c>
      <c r="BX293" s="38">
        <f t="shared" si="269"/>
        <v>0.18937232524964337</v>
      </c>
      <c r="BY293" s="38">
        <f t="shared" si="270"/>
        <v>0.18909325588899648</v>
      </c>
      <c r="BZ293" s="38">
        <f t="shared" si="271"/>
        <v>7.154989384288748E-3</v>
      </c>
      <c r="CA293" s="38">
        <f t="shared" si="272"/>
        <v>0</v>
      </c>
      <c r="CB293" s="38">
        <f t="shared" si="273"/>
        <v>0</v>
      </c>
      <c r="CC293" s="38">
        <f t="shared" si="274"/>
        <v>0</v>
      </c>
      <c r="CD293" s="38">
        <f t="shared" si="275"/>
        <v>1.8629879585608677</v>
      </c>
      <c r="CE293" s="38">
        <f t="shared" si="276"/>
        <v>2.9653690208509271</v>
      </c>
      <c r="CF293" s="38">
        <f t="shared" si="277"/>
        <v>2.683860610598058</v>
      </c>
      <c r="CG293" s="38">
        <f t="shared" si="278"/>
        <v>7.9586371109495344</v>
      </c>
      <c r="CH293" s="15"/>
      <c r="CI293" s="16"/>
      <c r="CJ293" s="13"/>
      <c r="CK293" s="104"/>
      <c r="CL293" s="13"/>
      <c r="CM293" s="13"/>
      <c r="CN293" s="13"/>
      <c r="CO293" s="16"/>
      <c r="CP293" s="16"/>
      <c r="CQ293" s="16"/>
      <c r="CR293" s="16"/>
      <c r="CS293" s="16"/>
      <c r="CT293" s="16"/>
      <c r="CU293" s="16"/>
      <c r="CV293" s="16"/>
      <c r="CW293" s="16"/>
      <c r="CX293" s="16"/>
      <c r="CY293" s="104"/>
      <c r="CZ293" s="104"/>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3"/>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row>
    <row r="294" spans="1:167" x14ac:dyDescent="0.25">
      <c r="A294" s="35" t="s">
        <v>88</v>
      </c>
      <c r="B294" s="15">
        <v>941</v>
      </c>
      <c r="C294" s="102" t="s">
        <v>100</v>
      </c>
      <c r="D294" s="102" t="s">
        <v>104</v>
      </c>
      <c r="E294" s="15">
        <v>99</v>
      </c>
      <c r="F294" s="16">
        <v>55.52</v>
      </c>
      <c r="G294" s="16">
        <v>0</v>
      </c>
      <c r="H294" s="16">
        <v>27.84</v>
      </c>
      <c r="I294" s="16">
        <v>0</v>
      </c>
      <c r="J294" s="16">
        <v>0.38513452713038782</v>
      </c>
      <c r="K294" s="16">
        <v>0</v>
      </c>
      <c r="L294" s="16">
        <v>0</v>
      </c>
      <c r="M294" s="16">
        <v>10.81</v>
      </c>
      <c r="N294" s="16">
        <v>5.65</v>
      </c>
      <c r="O294" s="16">
        <v>0.31900000000000001</v>
      </c>
      <c r="P294" s="16">
        <v>0</v>
      </c>
      <c r="Q294" s="16"/>
      <c r="R294" s="16"/>
      <c r="S294" s="16">
        <f t="shared" si="224"/>
        <v>100.5241345271304</v>
      </c>
      <c r="T294" s="16"/>
      <c r="U294" s="15">
        <v>4</v>
      </c>
      <c r="V294" s="15">
        <v>8</v>
      </c>
      <c r="W294" s="15">
        <v>157.5</v>
      </c>
      <c r="X294" s="15" t="s">
        <v>258</v>
      </c>
      <c r="Y294" s="15"/>
      <c r="Z294" s="37">
        <v>8</v>
      </c>
      <c r="AA294" s="37">
        <v>5</v>
      </c>
      <c r="AB294" s="15"/>
      <c r="AC294" s="38">
        <f t="shared" si="225"/>
        <v>2.4975601667355267</v>
      </c>
      <c r="AD294" s="38">
        <f t="shared" si="226"/>
        <v>0</v>
      </c>
      <c r="AE294" s="38">
        <f t="shared" si="227"/>
        <v>1.4759302217312917</v>
      </c>
      <c r="AF294" s="38">
        <f t="shared" si="228"/>
        <v>0</v>
      </c>
      <c r="AG294" s="38">
        <f t="shared" si="229"/>
        <v>1.4487121685233808E-2</v>
      </c>
      <c r="AH294" s="38">
        <f t="shared" si="230"/>
        <v>0</v>
      </c>
      <c r="AI294" s="38">
        <f t="shared" si="231"/>
        <v>0</v>
      </c>
      <c r="AJ294" s="38">
        <f t="shared" si="232"/>
        <v>0.52097167892128915</v>
      </c>
      <c r="AK294" s="38">
        <f t="shared" si="233"/>
        <v>0.49274621549778769</v>
      </c>
      <c r="AL294" s="38">
        <f t="shared" si="234"/>
        <v>1.8304851153186343E-2</v>
      </c>
      <c r="AM294" s="38">
        <f t="shared" si="235"/>
        <v>0</v>
      </c>
      <c r="AN294" s="38">
        <f t="shared" si="236"/>
        <v>0</v>
      </c>
      <c r="AO294" s="38">
        <f t="shared" si="237"/>
        <v>0</v>
      </c>
      <c r="AP294" s="38">
        <f t="shared" si="238"/>
        <v>5.020000255724316</v>
      </c>
      <c r="AQ294" s="38">
        <f t="shared" si="239"/>
        <v>3.9734903884668187</v>
      </c>
      <c r="AR294" s="38">
        <f t="shared" si="240"/>
        <v>1.032022745572263</v>
      </c>
      <c r="AS294" s="40"/>
      <c r="AT294" s="38">
        <f t="shared" si="241"/>
        <v>2.4876096011026632</v>
      </c>
      <c r="AU294" s="38">
        <f t="shared" si="242"/>
        <v>0</v>
      </c>
      <c r="AV294" s="38">
        <f t="shared" si="243"/>
        <v>1.4700499467587531</v>
      </c>
      <c r="AW294" s="38">
        <f t="shared" si="244"/>
        <v>0</v>
      </c>
      <c r="AX294" s="38">
        <f t="shared" si="245"/>
        <v>0</v>
      </c>
      <c r="AY294" s="38">
        <f t="shared" si="246"/>
        <v>1.4429403333908315E-2</v>
      </c>
      <c r="AZ294" s="38">
        <f t="shared" si="247"/>
        <v>0</v>
      </c>
      <c r="BA294" s="38">
        <f t="shared" si="248"/>
        <v>0</v>
      </c>
      <c r="BB294" s="38">
        <f t="shared" si="249"/>
        <v>0.51889606810998079</v>
      </c>
      <c r="BC294" s="38">
        <f t="shared" si="250"/>
        <v>0.4907830581640989</v>
      </c>
      <c r="BD294" s="38">
        <f t="shared" si="251"/>
        <v>1.8231922530594781E-2</v>
      </c>
      <c r="BE294" s="38">
        <f t="shared" si="252"/>
        <v>0</v>
      </c>
      <c r="BF294" s="38">
        <f t="shared" si="253"/>
        <v>0</v>
      </c>
      <c r="BG294" s="38">
        <f t="shared" si="254"/>
        <v>0</v>
      </c>
      <c r="BH294" s="41">
        <f t="shared" si="255"/>
        <v>4.9999999999999991</v>
      </c>
      <c r="BI294" s="42">
        <f t="shared" si="256"/>
        <v>7.9753417858016462</v>
      </c>
      <c r="BJ294" s="38">
        <f t="shared" si="257"/>
        <v>3.9576595478614163</v>
      </c>
      <c r="BK294" s="38">
        <f t="shared" si="258"/>
        <v>1.0279110488046743</v>
      </c>
      <c r="BL294" s="16"/>
      <c r="BM294" s="16">
        <f t="shared" si="259"/>
        <v>0.50480639225873569</v>
      </c>
      <c r="BN294" s="16">
        <f t="shared" si="260"/>
        <v>0.47745673979749048</v>
      </c>
      <c r="BO294" s="16">
        <f t="shared" si="261"/>
        <v>1.7736867943774038E-2</v>
      </c>
      <c r="BP294" s="15"/>
      <c r="BQ294" s="38">
        <f t="shared" si="262"/>
        <v>0.92410119840213056</v>
      </c>
      <c r="BR294" s="38">
        <f t="shared" si="263"/>
        <v>0</v>
      </c>
      <c r="BS294" s="38">
        <f t="shared" si="264"/>
        <v>0.54609650843468027</v>
      </c>
      <c r="BT294" s="38">
        <f t="shared" si="265"/>
        <v>0</v>
      </c>
      <c r="BU294" s="38">
        <f t="shared" si="266"/>
        <v>5.360257858460513E-3</v>
      </c>
      <c r="BV294" s="38">
        <f t="shared" si="267"/>
        <v>0</v>
      </c>
      <c r="BW294" s="38">
        <f t="shared" si="268"/>
        <v>0</v>
      </c>
      <c r="BX294" s="38">
        <f t="shared" si="269"/>
        <v>0.19276034236804565</v>
      </c>
      <c r="BY294" s="38">
        <f t="shared" si="270"/>
        <v>0.18231687641174574</v>
      </c>
      <c r="BZ294" s="38">
        <f t="shared" si="271"/>
        <v>6.7728237791932055E-3</v>
      </c>
      <c r="CA294" s="38">
        <f t="shared" si="272"/>
        <v>0</v>
      </c>
      <c r="CB294" s="38">
        <f t="shared" si="273"/>
        <v>0</v>
      </c>
      <c r="CC294" s="38">
        <f t="shared" si="274"/>
        <v>0</v>
      </c>
      <c r="CD294" s="38">
        <f t="shared" si="275"/>
        <v>1.8574080072542563</v>
      </c>
      <c r="CE294" s="38">
        <f t="shared" si="276"/>
        <v>2.9600126097782571</v>
      </c>
      <c r="CF294" s="38">
        <f t="shared" si="277"/>
        <v>2.6919233579655617</v>
      </c>
      <c r="CG294" s="38">
        <f t="shared" si="278"/>
        <v>7.9681270841346921</v>
      </c>
      <c r="CH294" s="15"/>
      <c r="CI294" s="16"/>
      <c r="CJ294" s="13"/>
      <c r="CK294" s="104"/>
      <c r="CL294" s="13"/>
      <c r="CM294" s="13"/>
      <c r="CN294" s="13"/>
      <c r="CO294" s="16"/>
      <c r="CP294" s="16"/>
      <c r="CQ294" s="16"/>
      <c r="CR294" s="16"/>
      <c r="CS294" s="16"/>
      <c r="CT294" s="16"/>
      <c r="CU294" s="16"/>
      <c r="CV294" s="16"/>
      <c r="CW294" s="16"/>
      <c r="CX294" s="16"/>
      <c r="CY294" s="104"/>
      <c r="CZ294" s="104"/>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3"/>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row>
    <row r="295" spans="1:167" x14ac:dyDescent="0.25">
      <c r="A295" s="35" t="s">
        <v>88</v>
      </c>
      <c r="B295" s="15">
        <v>942</v>
      </c>
      <c r="C295" s="102" t="s">
        <v>100</v>
      </c>
      <c r="D295" s="102" t="s">
        <v>104</v>
      </c>
      <c r="E295" s="15">
        <v>100</v>
      </c>
      <c r="F295" s="16">
        <v>55.5</v>
      </c>
      <c r="G295" s="16">
        <v>0</v>
      </c>
      <c r="H295" s="16">
        <v>27.97</v>
      </c>
      <c r="I295" s="16">
        <v>0</v>
      </c>
      <c r="J295" s="16">
        <v>0.30504814181589135</v>
      </c>
      <c r="K295" s="16">
        <v>0</v>
      </c>
      <c r="L295" s="16">
        <v>0</v>
      </c>
      <c r="M295" s="16">
        <v>10.85</v>
      </c>
      <c r="N295" s="16">
        <v>5.69</v>
      </c>
      <c r="O295" s="16">
        <v>0.30299999999999999</v>
      </c>
      <c r="P295" s="16">
        <v>0</v>
      </c>
      <c r="Q295" s="16"/>
      <c r="R295" s="16"/>
      <c r="S295" s="16">
        <f t="shared" si="224"/>
        <v>100.61804814181588</v>
      </c>
      <c r="T295" s="16"/>
      <c r="U295" s="15">
        <v>4</v>
      </c>
      <c r="V295" s="15">
        <v>9</v>
      </c>
      <c r="W295" s="15">
        <v>180</v>
      </c>
      <c r="X295" s="15" t="s">
        <v>258</v>
      </c>
      <c r="Y295" s="15"/>
      <c r="Z295" s="37">
        <v>8</v>
      </c>
      <c r="AA295" s="37">
        <v>5</v>
      </c>
      <c r="AB295" s="15"/>
      <c r="AC295" s="38">
        <f t="shared" si="225"/>
        <v>2.493936190702041</v>
      </c>
      <c r="AD295" s="38">
        <f t="shared" si="226"/>
        <v>0</v>
      </c>
      <c r="AE295" s="38">
        <f t="shared" si="227"/>
        <v>1.4812041276941248</v>
      </c>
      <c r="AF295" s="38">
        <f t="shared" si="228"/>
        <v>0</v>
      </c>
      <c r="AG295" s="38">
        <f t="shared" si="229"/>
        <v>1.1462091994690161E-2</v>
      </c>
      <c r="AH295" s="38">
        <f t="shared" si="230"/>
        <v>0</v>
      </c>
      <c r="AI295" s="38">
        <f t="shared" si="231"/>
        <v>0</v>
      </c>
      <c r="AJ295" s="38">
        <f t="shared" si="232"/>
        <v>0.5223288470655042</v>
      </c>
      <c r="AK295" s="38">
        <f t="shared" si="233"/>
        <v>0.49569320836403746</v>
      </c>
      <c r="AL295" s="38">
        <f t="shared" si="234"/>
        <v>1.7367767625036137E-2</v>
      </c>
      <c r="AM295" s="38">
        <f t="shared" si="235"/>
        <v>0</v>
      </c>
      <c r="AN295" s="38">
        <f t="shared" si="236"/>
        <v>0</v>
      </c>
      <c r="AO295" s="38">
        <f t="shared" si="237"/>
        <v>0</v>
      </c>
      <c r="AP295" s="38">
        <f t="shared" si="238"/>
        <v>5.0219922334454337</v>
      </c>
      <c r="AQ295" s="38">
        <f t="shared" si="239"/>
        <v>3.975140318396166</v>
      </c>
      <c r="AR295" s="38">
        <f t="shared" si="240"/>
        <v>1.0353898230545777</v>
      </c>
      <c r="AS295" s="40"/>
      <c r="AT295" s="38">
        <f t="shared" si="241"/>
        <v>2.4830147825527682</v>
      </c>
      <c r="AU295" s="38">
        <f t="shared" si="242"/>
        <v>0</v>
      </c>
      <c r="AV295" s="38">
        <f t="shared" si="243"/>
        <v>1.4747176606821595</v>
      </c>
      <c r="AW295" s="38">
        <f t="shared" si="244"/>
        <v>0</v>
      </c>
      <c r="AX295" s="38">
        <f t="shared" si="245"/>
        <v>0</v>
      </c>
      <c r="AY295" s="38">
        <f t="shared" si="246"/>
        <v>1.1411897372475997E-2</v>
      </c>
      <c r="AZ295" s="38">
        <f t="shared" si="247"/>
        <v>0</v>
      </c>
      <c r="BA295" s="38">
        <f t="shared" si="248"/>
        <v>0</v>
      </c>
      <c r="BB295" s="38">
        <f t="shared" si="249"/>
        <v>0.52004147237315668</v>
      </c>
      <c r="BC295" s="38">
        <f t="shared" si="250"/>
        <v>0.49352247606320737</v>
      </c>
      <c r="BD295" s="38">
        <f t="shared" si="251"/>
        <v>1.7291710956232054E-2</v>
      </c>
      <c r="BE295" s="38">
        <f t="shared" si="252"/>
        <v>0</v>
      </c>
      <c r="BF295" s="38">
        <f t="shared" si="253"/>
        <v>0</v>
      </c>
      <c r="BG295" s="38">
        <f t="shared" si="254"/>
        <v>0</v>
      </c>
      <c r="BH295" s="41">
        <f t="shared" si="255"/>
        <v>5</v>
      </c>
      <c r="BI295" s="42">
        <f t="shared" si="256"/>
        <v>7.970672468070366</v>
      </c>
      <c r="BJ295" s="38">
        <f t="shared" si="257"/>
        <v>3.9577324432349279</v>
      </c>
      <c r="BK295" s="38">
        <f t="shared" si="258"/>
        <v>1.0308556593925962</v>
      </c>
      <c r="BL295" s="16"/>
      <c r="BM295" s="16">
        <f t="shared" si="259"/>
        <v>0.50447554673132133</v>
      </c>
      <c r="BN295" s="16">
        <f t="shared" si="260"/>
        <v>0.47875031927748468</v>
      </c>
      <c r="BO295" s="16">
        <f t="shared" si="261"/>
        <v>1.6774133991194002E-2</v>
      </c>
      <c r="BP295" s="15"/>
      <c r="BQ295" s="38">
        <f t="shared" si="262"/>
        <v>0.92376830892143813</v>
      </c>
      <c r="BR295" s="38">
        <f t="shared" si="263"/>
        <v>0</v>
      </c>
      <c r="BS295" s="38">
        <f t="shared" si="264"/>
        <v>0.54864652805021574</v>
      </c>
      <c r="BT295" s="38">
        <f t="shared" si="265"/>
        <v>0</v>
      </c>
      <c r="BU295" s="38">
        <f t="shared" si="266"/>
        <v>4.2456247991077434E-3</v>
      </c>
      <c r="BV295" s="38">
        <f t="shared" si="267"/>
        <v>0</v>
      </c>
      <c r="BW295" s="38">
        <f t="shared" si="268"/>
        <v>0</v>
      </c>
      <c r="BX295" s="38">
        <f t="shared" si="269"/>
        <v>0.19347360912981454</v>
      </c>
      <c r="BY295" s="38">
        <f t="shared" si="270"/>
        <v>0.1836076153597935</v>
      </c>
      <c r="BZ295" s="38">
        <f t="shared" si="271"/>
        <v>6.43312101910828E-3</v>
      </c>
      <c r="CA295" s="38">
        <f t="shared" si="272"/>
        <v>0</v>
      </c>
      <c r="CB295" s="38">
        <f t="shared" si="273"/>
        <v>0</v>
      </c>
      <c r="CC295" s="38">
        <f t="shared" si="274"/>
        <v>0</v>
      </c>
      <c r="CD295" s="38">
        <f t="shared" si="275"/>
        <v>1.8601748072794779</v>
      </c>
      <c r="CE295" s="38">
        <f t="shared" si="276"/>
        <v>2.9632460120365729</v>
      </c>
      <c r="CF295" s="38">
        <f t="shared" si="277"/>
        <v>2.6879194258697354</v>
      </c>
      <c r="CG295" s="38">
        <f t="shared" si="278"/>
        <v>7.9649665193841281</v>
      </c>
      <c r="CH295" s="15"/>
      <c r="CI295" s="16"/>
      <c r="CJ295" s="13"/>
      <c r="CK295" s="104"/>
      <c r="CL295" s="13"/>
      <c r="CM295" s="13"/>
      <c r="CN295" s="13"/>
      <c r="CO295" s="16"/>
      <c r="CP295" s="16"/>
      <c r="CQ295" s="16"/>
      <c r="CR295" s="16"/>
      <c r="CS295" s="16"/>
      <c r="CT295" s="16"/>
      <c r="CU295" s="16"/>
      <c r="CV295" s="16"/>
      <c r="CW295" s="16"/>
      <c r="CX295" s="16"/>
      <c r="CY295" s="104"/>
      <c r="CZ295" s="104"/>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3"/>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row>
    <row r="296" spans="1:167" x14ac:dyDescent="0.25">
      <c r="A296" s="35" t="s">
        <v>88</v>
      </c>
      <c r="B296" s="15">
        <v>943</v>
      </c>
      <c r="C296" s="102" t="s">
        <v>100</v>
      </c>
      <c r="D296" s="102" t="s">
        <v>104</v>
      </c>
      <c r="E296" s="15">
        <v>101</v>
      </c>
      <c r="F296" s="16">
        <v>55.98</v>
      </c>
      <c r="G296" s="16">
        <v>0</v>
      </c>
      <c r="H296" s="16">
        <v>27.59</v>
      </c>
      <c r="I296" s="16">
        <v>0</v>
      </c>
      <c r="J296" s="16">
        <v>0.30234860073787462</v>
      </c>
      <c r="K296" s="16">
        <v>0</v>
      </c>
      <c r="L296" s="16">
        <v>0</v>
      </c>
      <c r="M296" s="16">
        <v>10.38</v>
      </c>
      <c r="N296" s="16">
        <v>5.84</v>
      </c>
      <c r="O296" s="16">
        <v>0.34799999999999998</v>
      </c>
      <c r="P296" s="16">
        <v>0</v>
      </c>
      <c r="Q296" s="16"/>
      <c r="R296" s="16"/>
      <c r="S296" s="16">
        <f t="shared" si="224"/>
        <v>100.44034860073786</v>
      </c>
      <c r="T296" s="16"/>
      <c r="U296" s="15">
        <v>4</v>
      </c>
      <c r="V296" s="15">
        <v>10</v>
      </c>
      <c r="W296" s="15">
        <v>202.5</v>
      </c>
      <c r="X296" s="15" t="s">
        <v>258</v>
      </c>
      <c r="Y296" s="15"/>
      <c r="Z296" s="37">
        <v>8</v>
      </c>
      <c r="AA296" s="37">
        <v>5</v>
      </c>
      <c r="AB296" s="15"/>
      <c r="AC296" s="38">
        <f t="shared" si="225"/>
        <v>2.5161190825152504</v>
      </c>
      <c r="AD296" s="38">
        <f t="shared" si="226"/>
        <v>0</v>
      </c>
      <c r="AE296" s="38">
        <f t="shared" si="227"/>
        <v>1.4614369740141016</v>
      </c>
      <c r="AF296" s="38">
        <f t="shared" si="228"/>
        <v>0</v>
      </c>
      <c r="AG296" s="38">
        <f t="shared" si="229"/>
        <v>1.1363429239444578E-2</v>
      </c>
      <c r="AH296" s="38">
        <f t="shared" si="230"/>
        <v>0</v>
      </c>
      <c r="AI296" s="38">
        <f t="shared" si="231"/>
        <v>0</v>
      </c>
      <c r="AJ296" s="38">
        <f t="shared" si="232"/>
        <v>0.49982453417125577</v>
      </c>
      <c r="AK296" s="38">
        <f t="shared" si="233"/>
        <v>0.50888481546888542</v>
      </c>
      <c r="AL296" s="38">
        <f t="shared" si="234"/>
        <v>1.995200560640616E-2</v>
      </c>
      <c r="AM296" s="38">
        <f t="shared" si="235"/>
        <v>0</v>
      </c>
      <c r="AN296" s="38">
        <f t="shared" si="236"/>
        <v>0</v>
      </c>
      <c r="AO296" s="38">
        <f t="shared" si="237"/>
        <v>0</v>
      </c>
      <c r="AP296" s="38">
        <f t="shared" si="238"/>
        <v>5.0175808410153433</v>
      </c>
      <c r="AQ296" s="38">
        <f t="shared" si="239"/>
        <v>3.9775560565293517</v>
      </c>
      <c r="AR296" s="38">
        <f t="shared" si="240"/>
        <v>1.0286613552465473</v>
      </c>
      <c r="AS296" s="40"/>
      <c r="AT296" s="38">
        <f t="shared" si="241"/>
        <v>2.5073029834892462</v>
      </c>
      <c r="AU296" s="38">
        <f t="shared" si="242"/>
        <v>0</v>
      </c>
      <c r="AV296" s="38">
        <f t="shared" si="243"/>
        <v>1.4563163208730379</v>
      </c>
      <c r="AW296" s="38">
        <f t="shared" si="244"/>
        <v>0</v>
      </c>
      <c r="AX296" s="38">
        <f t="shared" si="245"/>
        <v>0</v>
      </c>
      <c r="AY296" s="38">
        <f t="shared" si="246"/>
        <v>1.132361350967801E-2</v>
      </c>
      <c r="AZ296" s="38">
        <f t="shared" si="247"/>
        <v>0</v>
      </c>
      <c r="BA296" s="38">
        <f t="shared" si="248"/>
        <v>0</v>
      </c>
      <c r="BB296" s="38">
        <f t="shared" si="249"/>
        <v>0.49807322493493966</v>
      </c>
      <c r="BC296" s="38">
        <f t="shared" si="250"/>
        <v>0.50710176038330546</v>
      </c>
      <c r="BD296" s="38">
        <f t="shared" si="251"/>
        <v>1.9882096809793231E-2</v>
      </c>
      <c r="BE296" s="38">
        <f t="shared" si="252"/>
        <v>0</v>
      </c>
      <c r="BF296" s="38">
        <f t="shared" si="253"/>
        <v>0</v>
      </c>
      <c r="BG296" s="38">
        <f t="shared" si="254"/>
        <v>0</v>
      </c>
      <c r="BH296" s="41">
        <f t="shared" si="255"/>
        <v>5</v>
      </c>
      <c r="BI296" s="42">
        <f t="shared" si="256"/>
        <v>7.9776310220840552</v>
      </c>
      <c r="BJ296" s="38">
        <f t="shared" si="257"/>
        <v>3.9636193043622843</v>
      </c>
      <c r="BK296" s="38">
        <f t="shared" si="258"/>
        <v>1.0250570821280383</v>
      </c>
      <c r="BL296" s="16"/>
      <c r="BM296" s="16">
        <f t="shared" si="259"/>
        <v>0.48589803789358732</v>
      </c>
      <c r="BN296" s="16">
        <f t="shared" si="260"/>
        <v>0.49470587465290461</v>
      </c>
      <c r="BO296" s="16">
        <f t="shared" si="261"/>
        <v>1.9396087453508064E-2</v>
      </c>
      <c r="BP296" s="15"/>
      <c r="BQ296" s="38">
        <f t="shared" si="262"/>
        <v>0.93175765645805586</v>
      </c>
      <c r="BR296" s="38">
        <f t="shared" si="263"/>
        <v>0</v>
      </c>
      <c r="BS296" s="38">
        <f t="shared" si="264"/>
        <v>0.54119262455865047</v>
      </c>
      <c r="BT296" s="38">
        <f t="shared" si="265"/>
        <v>0</v>
      </c>
      <c r="BU296" s="38">
        <f t="shared" si="266"/>
        <v>4.2080528982306837E-3</v>
      </c>
      <c r="BV296" s="38">
        <f t="shared" si="267"/>
        <v>0</v>
      </c>
      <c r="BW296" s="38">
        <f t="shared" si="268"/>
        <v>0</v>
      </c>
      <c r="BX296" s="38">
        <f t="shared" si="269"/>
        <v>0.18509272467902999</v>
      </c>
      <c r="BY296" s="38">
        <f t="shared" si="270"/>
        <v>0.18844788641497257</v>
      </c>
      <c r="BZ296" s="38">
        <f t="shared" si="271"/>
        <v>7.3885350318471333E-3</v>
      </c>
      <c r="CA296" s="38">
        <f t="shared" si="272"/>
        <v>0</v>
      </c>
      <c r="CB296" s="38">
        <f t="shared" si="273"/>
        <v>0</v>
      </c>
      <c r="CC296" s="38">
        <f t="shared" si="274"/>
        <v>0</v>
      </c>
      <c r="CD296" s="38">
        <f t="shared" si="275"/>
        <v>1.8580874800407867</v>
      </c>
      <c r="CE296" s="38">
        <f t="shared" si="276"/>
        <v>2.9625232380547581</v>
      </c>
      <c r="CF296" s="38">
        <f t="shared" si="277"/>
        <v>2.6909389647737392</v>
      </c>
      <c r="CG296" s="38">
        <f t="shared" si="278"/>
        <v>7.9719692153292163</v>
      </c>
      <c r="CH296" s="15"/>
      <c r="CI296" s="16"/>
      <c r="CJ296" s="13"/>
      <c r="CK296" s="104"/>
      <c r="CL296" s="13"/>
      <c r="CM296" s="13"/>
      <c r="CN296" s="13"/>
      <c r="CO296" s="16"/>
      <c r="CP296" s="16"/>
      <c r="CQ296" s="16"/>
      <c r="CR296" s="16"/>
      <c r="CS296" s="16"/>
      <c r="CT296" s="16"/>
      <c r="CU296" s="16"/>
      <c r="CV296" s="16"/>
      <c r="CW296" s="16"/>
      <c r="CX296" s="16"/>
      <c r="CY296" s="104"/>
      <c r="CZ296" s="104"/>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3"/>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row>
    <row r="297" spans="1:167" x14ac:dyDescent="0.25">
      <c r="A297" s="35" t="s">
        <v>88</v>
      </c>
      <c r="B297" s="15">
        <v>944</v>
      </c>
      <c r="C297" s="102" t="s">
        <v>100</v>
      </c>
      <c r="D297" s="102" t="s">
        <v>104</v>
      </c>
      <c r="E297" s="15">
        <v>102</v>
      </c>
      <c r="F297" s="16">
        <v>55.65</v>
      </c>
      <c r="G297" s="16">
        <v>0</v>
      </c>
      <c r="H297" s="16">
        <v>27.91</v>
      </c>
      <c r="I297" s="16">
        <v>0</v>
      </c>
      <c r="J297" s="16">
        <v>0.26725456672365699</v>
      </c>
      <c r="K297" s="16">
        <v>0</v>
      </c>
      <c r="L297" s="16">
        <v>0</v>
      </c>
      <c r="M297" s="16">
        <v>10.54</v>
      </c>
      <c r="N297" s="16">
        <v>5.89</v>
      </c>
      <c r="O297" s="16">
        <v>0.32400000000000001</v>
      </c>
      <c r="P297" s="16">
        <v>0</v>
      </c>
      <c r="Q297" s="16"/>
      <c r="R297" s="16"/>
      <c r="S297" s="16">
        <f t="shared" si="224"/>
        <v>100.58125456672366</v>
      </c>
      <c r="T297" s="16"/>
      <c r="U297" s="15">
        <v>4</v>
      </c>
      <c r="V297" s="15">
        <v>11</v>
      </c>
      <c r="W297" s="15">
        <v>225</v>
      </c>
      <c r="X297" s="15" t="s">
        <v>258</v>
      </c>
      <c r="Y297" s="15"/>
      <c r="Z297" s="37">
        <v>8</v>
      </c>
      <c r="AA297" s="37">
        <v>5</v>
      </c>
      <c r="AB297" s="15"/>
      <c r="AC297" s="38">
        <f t="shared" si="225"/>
        <v>2.5001501641001789</v>
      </c>
      <c r="AD297" s="38">
        <f t="shared" si="226"/>
        <v>0</v>
      </c>
      <c r="AE297" s="38">
        <f t="shared" si="227"/>
        <v>1.4777155885131437</v>
      </c>
      <c r="AF297" s="38">
        <f t="shared" si="228"/>
        <v>0</v>
      </c>
      <c r="AG297" s="38">
        <f t="shared" si="229"/>
        <v>1.0039895948482183E-2</v>
      </c>
      <c r="AH297" s="38">
        <f t="shared" si="230"/>
        <v>0</v>
      </c>
      <c r="AI297" s="38">
        <f t="shared" si="231"/>
        <v>0</v>
      </c>
      <c r="AJ297" s="38">
        <f t="shared" si="232"/>
        <v>0.50729835647295118</v>
      </c>
      <c r="AK297" s="38">
        <f t="shared" si="233"/>
        <v>0.51300850823705835</v>
      </c>
      <c r="AL297" s="38">
        <f t="shared" si="234"/>
        <v>1.856756497992685E-2</v>
      </c>
      <c r="AM297" s="38">
        <f t="shared" si="235"/>
        <v>0</v>
      </c>
      <c r="AN297" s="38">
        <f t="shared" si="236"/>
        <v>0</v>
      </c>
      <c r="AO297" s="38">
        <f t="shared" si="237"/>
        <v>0</v>
      </c>
      <c r="AP297" s="38">
        <f t="shared" si="238"/>
        <v>5.0267800782517416</v>
      </c>
      <c r="AQ297" s="38">
        <f t="shared" si="239"/>
        <v>3.9778657526133223</v>
      </c>
      <c r="AR297" s="38">
        <f t="shared" si="240"/>
        <v>1.0388744296899364</v>
      </c>
      <c r="AS297" s="40"/>
      <c r="AT297" s="38">
        <f t="shared" si="241"/>
        <v>2.4868306601645718</v>
      </c>
      <c r="AU297" s="38">
        <f t="shared" si="242"/>
        <v>0</v>
      </c>
      <c r="AV297" s="38">
        <f t="shared" si="243"/>
        <v>1.4698430859412859</v>
      </c>
      <c r="AW297" s="38">
        <f t="shared" si="244"/>
        <v>0</v>
      </c>
      <c r="AX297" s="38">
        <f t="shared" si="245"/>
        <v>0</v>
      </c>
      <c r="AY297" s="38">
        <f t="shared" si="246"/>
        <v>9.9864085877951793E-3</v>
      </c>
      <c r="AZ297" s="38">
        <f t="shared" si="247"/>
        <v>0</v>
      </c>
      <c r="BA297" s="38">
        <f t="shared" si="248"/>
        <v>0</v>
      </c>
      <c r="BB297" s="38">
        <f t="shared" si="249"/>
        <v>0.50459573382548284</v>
      </c>
      <c r="BC297" s="38">
        <f t="shared" si="250"/>
        <v>0.51027546486127262</v>
      </c>
      <c r="BD297" s="38">
        <f t="shared" si="251"/>
        <v>1.8468646619591564E-2</v>
      </c>
      <c r="BE297" s="38">
        <f t="shared" si="252"/>
        <v>0</v>
      </c>
      <c r="BF297" s="38">
        <f t="shared" si="253"/>
        <v>0</v>
      </c>
      <c r="BG297" s="38">
        <f t="shared" si="254"/>
        <v>0</v>
      </c>
      <c r="BH297" s="41">
        <f t="shared" si="255"/>
        <v>4.9999999999999991</v>
      </c>
      <c r="BI297" s="42">
        <f t="shared" si="256"/>
        <v>7.9623733516886794</v>
      </c>
      <c r="BJ297" s="38">
        <f t="shared" si="257"/>
        <v>3.9566737461058574</v>
      </c>
      <c r="BK297" s="38">
        <f t="shared" si="258"/>
        <v>1.0333398453063469</v>
      </c>
      <c r="BL297" s="16"/>
      <c r="BM297" s="16">
        <f t="shared" si="259"/>
        <v>0.48831537476994213</v>
      </c>
      <c r="BN297" s="16">
        <f t="shared" si="260"/>
        <v>0.49381185403723088</v>
      </c>
      <c r="BO297" s="16">
        <f t="shared" si="261"/>
        <v>1.7872771192826976E-2</v>
      </c>
      <c r="BP297" s="15"/>
      <c r="BQ297" s="38">
        <f t="shared" si="262"/>
        <v>0.92626498002663116</v>
      </c>
      <c r="BR297" s="38">
        <f t="shared" si="263"/>
        <v>0</v>
      </c>
      <c r="BS297" s="38">
        <f t="shared" si="264"/>
        <v>0.54746959591996869</v>
      </c>
      <c r="BT297" s="38">
        <f t="shared" si="265"/>
        <v>0</v>
      </c>
      <c r="BU297" s="38">
        <f t="shared" si="266"/>
        <v>3.7196181868289079E-3</v>
      </c>
      <c r="BV297" s="38">
        <f t="shared" si="267"/>
        <v>0</v>
      </c>
      <c r="BW297" s="38">
        <f t="shared" si="268"/>
        <v>0</v>
      </c>
      <c r="BX297" s="38">
        <f t="shared" si="269"/>
        <v>0.18794579172610557</v>
      </c>
      <c r="BY297" s="38">
        <f t="shared" si="270"/>
        <v>0.19006131010003227</v>
      </c>
      <c r="BZ297" s="38">
        <f t="shared" si="271"/>
        <v>6.8789808917197456E-3</v>
      </c>
      <c r="CA297" s="38">
        <f t="shared" si="272"/>
        <v>0</v>
      </c>
      <c r="CB297" s="38">
        <f t="shared" si="273"/>
        <v>0</v>
      </c>
      <c r="CC297" s="38">
        <f t="shared" si="274"/>
        <v>0</v>
      </c>
      <c r="CD297" s="38">
        <f t="shared" si="275"/>
        <v>1.8623402768512864</v>
      </c>
      <c r="CE297" s="38">
        <f t="shared" si="276"/>
        <v>2.963869909342026</v>
      </c>
      <c r="CF297" s="38">
        <f t="shared" si="277"/>
        <v>2.6847939993295142</v>
      </c>
      <c r="CG297" s="38">
        <f t="shared" si="278"/>
        <v>7.9573801473947832</v>
      </c>
      <c r="CH297" s="15"/>
      <c r="CI297" s="16"/>
      <c r="CJ297" s="13"/>
      <c r="CK297" s="104"/>
      <c r="CL297" s="13"/>
      <c r="CM297" s="13"/>
      <c r="CN297" s="13"/>
      <c r="CO297" s="16"/>
      <c r="CP297" s="16"/>
      <c r="CQ297" s="16"/>
      <c r="CR297" s="16"/>
      <c r="CS297" s="16"/>
      <c r="CT297" s="16"/>
      <c r="CU297" s="16"/>
      <c r="CV297" s="16"/>
      <c r="CW297" s="16"/>
      <c r="CX297" s="16"/>
      <c r="CY297" s="104"/>
      <c r="CZ297" s="104"/>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3"/>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row>
    <row r="298" spans="1:167" x14ac:dyDescent="0.25">
      <c r="A298" s="35" t="s">
        <v>88</v>
      </c>
      <c r="B298" s="15">
        <v>945</v>
      </c>
      <c r="C298" s="102" t="s">
        <v>100</v>
      </c>
      <c r="D298" s="102" t="s">
        <v>104</v>
      </c>
      <c r="E298" s="15">
        <v>103</v>
      </c>
      <c r="F298" s="16">
        <v>56.21</v>
      </c>
      <c r="G298" s="16">
        <v>0</v>
      </c>
      <c r="H298" s="16">
        <v>27.66</v>
      </c>
      <c r="I298" s="16">
        <v>0</v>
      </c>
      <c r="J298" s="16">
        <v>0.27625303698371279</v>
      </c>
      <c r="K298" s="16">
        <v>0</v>
      </c>
      <c r="L298" s="16">
        <v>0</v>
      </c>
      <c r="M298" s="16">
        <v>10.24</v>
      </c>
      <c r="N298" s="16">
        <v>5.98</v>
      </c>
      <c r="O298" s="16">
        <v>0.30599999999999999</v>
      </c>
      <c r="P298" s="16">
        <v>0</v>
      </c>
      <c r="Q298" s="16"/>
      <c r="R298" s="16"/>
      <c r="S298" s="16">
        <f t="shared" si="224"/>
        <v>100.67225303698372</v>
      </c>
      <c r="T298" s="16"/>
      <c r="U298" s="15">
        <v>4</v>
      </c>
      <c r="V298" s="15">
        <v>12</v>
      </c>
      <c r="W298" s="15">
        <v>247.5</v>
      </c>
      <c r="X298" s="15" t="s">
        <v>258</v>
      </c>
      <c r="Y298" s="15"/>
      <c r="Z298" s="37">
        <v>8</v>
      </c>
      <c r="AA298" s="37">
        <v>5</v>
      </c>
      <c r="AB298" s="15"/>
      <c r="AC298" s="38">
        <f t="shared" si="225"/>
        <v>2.5190850985177784</v>
      </c>
      <c r="AD298" s="38">
        <f t="shared" si="226"/>
        <v>0</v>
      </c>
      <c r="AE298" s="38">
        <f t="shared" si="227"/>
        <v>1.4608698371572419</v>
      </c>
      <c r="AF298" s="38">
        <f t="shared" si="228"/>
        <v>0</v>
      </c>
      <c r="AG298" s="38">
        <f t="shared" si="229"/>
        <v>1.0352362388401079E-2</v>
      </c>
      <c r="AH298" s="38">
        <f t="shared" si="230"/>
        <v>0</v>
      </c>
      <c r="AI298" s="38">
        <f t="shared" si="231"/>
        <v>0</v>
      </c>
      <c r="AJ298" s="38">
        <f t="shared" si="232"/>
        <v>0.49164443678637748</v>
      </c>
      <c r="AK298" s="38">
        <f t="shared" si="233"/>
        <v>0.51956368135884534</v>
      </c>
      <c r="AL298" s="38">
        <f t="shared" si="234"/>
        <v>1.7492814748755751E-2</v>
      </c>
      <c r="AM298" s="38">
        <f t="shared" si="235"/>
        <v>0</v>
      </c>
      <c r="AN298" s="38">
        <f t="shared" si="236"/>
        <v>0</v>
      </c>
      <c r="AO298" s="38">
        <f t="shared" si="237"/>
        <v>0</v>
      </c>
      <c r="AP298" s="38">
        <f t="shared" si="238"/>
        <v>5.0190082309574002</v>
      </c>
      <c r="AQ298" s="38">
        <f t="shared" si="239"/>
        <v>3.9799549356750203</v>
      </c>
      <c r="AR298" s="38">
        <f t="shared" si="240"/>
        <v>1.0287009328939787</v>
      </c>
      <c r="AS298" s="40"/>
      <c r="AT298" s="38">
        <f t="shared" si="241"/>
        <v>2.5095446974762683</v>
      </c>
      <c r="AU298" s="38">
        <f t="shared" si="242"/>
        <v>0</v>
      </c>
      <c r="AV298" s="38">
        <f t="shared" si="243"/>
        <v>1.4553371601849054</v>
      </c>
      <c r="AW298" s="38">
        <f t="shared" si="244"/>
        <v>0</v>
      </c>
      <c r="AX298" s="38">
        <f t="shared" si="245"/>
        <v>0</v>
      </c>
      <c r="AY298" s="38">
        <f t="shared" si="246"/>
        <v>1.0313155420375067E-2</v>
      </c>
      <c r="AZ298" s="38">
        <f t="shared" si="247"/>
        <v>0</v>
      </c>
      <c r="BA298" s="38">
        <f t="shared" si="248"/>
        <v>0</v>
      </c>
      <c r="BB298" s="38">
        <f t="shared" si="249"/>
        <v>0.4897824571734104</v>
      </c>
      <c r="BC298" s="38">
        <f t="shared" si="250"/>
        <v>0.51759596463117974</v>
      </c>
      <c r="BD298" s="38">
        <f t="shared" si="251"/>
        <v>1.7426565113860065E-2</v>
      </c>
      <c r="BE298" s="38">
        <f t="shared" si="252"/>
        <v>0</v>
      </c>
      <c r="BF298" s="38">
        <f t="shared" si="253"/>
        <v>0</v>
      </c>
      <c r="BG298" s="38">
        <f t="shared" si="254"/>
        <v>0</v>
      </c>
      <c r="BH298" s="41">
        <f t="shared" si="255"/>
        <v>4.9999999999999991</v>
      </c>
      <c r="BI298" s="42">
        <f t="shared" si="256"/>
        <v>7.9748585904063871</v>
      </c>
      <c r="BJ298" s="38">
        <f t="shared" si="257"/>
        <v>3.9648818576611737</v>
      </c>
      <c r="BK298" s="38">
        <f t="shared" si="258"/>
        <v>1.0248049869184501</v>
      </c>
      <c r="BL298" s="16"/>
      <c r="BM298" s="16">
        <f t="shared" si="259"/>
        <v>0.47792747247080408</v>
      </c>
      <c r="BN298" s="16">
        <f t="shared" si="260"/>
        <v>0.5050677653194986</v>
      </c>
      <c r="BO298" s="16">
        <f t="shared" si="261"/>
        <v>1.7004762209697169E-2</v>
      </c>
      <c r="BP298" s="15"/>
      <c r="BQ298" s="38">
        <f t="shared" si="262"/>
        <v>0.93558588548601873</v>
      </c>
      <c r="BR298" s="38">
        <f t="shared" si="263"/>
        <v>0</v>
      </c>
      <c r="BS298" s="38">
        <f t="shared" si="264"/>
        <v>0.54256571204393889</v>
      </c>
      <c r="BT298" s="38">
        <f t="shared" si="265"/>
        <v>0</v>
      </c>
      <c r="BU298" s="38">
        <f t="shared" si="266"/>
        <v>3.8448578564191068E-3</v>
      </c>
      <c r="BV298" s="38">
        <f t="shared" si="267"/>
        <v>0</v>
      </c>
      <c r="BW298" s="38">
        <f t="shared" si="268"/>
        <v>0</v>
      </c>
      <c r="BX298" s="38">
        <f t="shared" si="269"/>
        <v>0.18259629101283881</v>
      </c>
      <c r="BY298" s="38">
        <f t="shared" si="270"/>
        <v>0.19296547273313974</v>
      </c>
      <c r="BZ298" s="38">
        <f t="shared" si="271"/>
        <v>6.4968152866242031E-3</v>
      </c>
      <c r="CA298" s="38">
        <f t="shared" si="272"/>
        <v>0</v>
      </c>
      <c r="CB298" s="38">
        <f t="shared" si="273"/>
        <v>0</v>
      </c>
      <c r="CC298" s="38">
        <f t="shared" si="274"/>
        <v>0</v>
      </c>
      <c r="CD298" s="38">
        <f t="shared" si="275"/>
        <v>1.8640550344189797</v>
      </c>
      <c r="CE298" s="38">
        <f t="shared" si="276"/>
        <v>2.971192631917086</v>
      </c>
      <c r="CF298" s="38">
        <f t="shared" si="277"/>
        <v>2.6823242381137553</v>
      </c>
      <c r="CG298" s="38">
        <f t="shared" si="278"/>
        <v>7.9697020126962013</v>
      </c>
      <c r="CH298" s="15"/>
      <c r="CI298" s="16"/>
      <c r="CJ298" s="13"/>
      <c r="CK298" s="104"/>
      <c r="CL298" s="13"/>
      <c r="CM298" s="13"/>
      <c r="CN298" s="13"/>
      <c r="CO298" s="16"/>
      <c r="CP298" s="16"/>
      <c r="CQ298" s="16"/>
      <c r="CR298" s="16"/>
      <c r="CS298" s="16"/>
      <c r="CT298" s="16"/>
      <c r="CU298" s="16"/>
      <c r="CV298" s="16"/>
      <c r="CW298" s="16"/>
      <c r="CX298" s="16"/>
      <c r="CY298" s="104"/>
      <c r="CZ298" s="104"/>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3"/>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row>
    <row r="299" spans="1:167" x14ac:dyDescent="0.25">
      <c r="A299" s="35" t="s">
        <v>88</v>
      </c>
      <c r="B299" s="15">
        <v>946</v>
      </c>
      <c r="C299" s="102" t="s">
        <v>100</v>
      </c>
      <c r="D299" s="102" t="s">
        <v>104</v>
      </c>
      <c r="E299" s="15">
        <v>104</v>
      </c>
      <c r="F299" s="16">
        <v>57.11</v>
      </c>
      <c r="G299" s="16">
        <v>0</v>
      </c>
      <c r="H299" s="16">
        <v>26.79</v>
      </c>
      <c r="I299" s="16">
        <v>0</v>
      </c>
      <c r="J299" s="16">
        <v>0.27445334293170159</v>
      </c>
      <c r="K299" s="16">
        <v>0</v>
      </c>
      <c r="L299" s="16">
        <v>0</v>
      </c>
      <c r="M299" s="16">
        <v>9.4700000000000006</v>
      </c>
      <c r="N299" s="16">
        <v>6.49</v>
      </c>
      <c r="O299" s="16">
        <v>0.32</v>
      </c>
      <c r="P299" s="16">
        <v>0</v>
      </c>
      <c r="Q299" s="16"/>
      <c r="R299" s="16"/>
      <c r="S299" s="16">
        <f t="shared" si="224"/>
        <v>100.4544533429317</v>
      </c>
      <c r="T299" s="16"/>
      <c r="U299" s="15">
        <v>4</v>
      </c>
      <c r="V299" s="15">
        <v>13</v>
      </c>
      <c r="W299" s="15">
        <v>270</v>
      </c>
      <c r="X299" s="15" t="s">
        <v>258</v>
      </c>
      <c r="Y299" s="15"/>
      <c r="Z299" s="37">
        <v>8</v>
      </c>
      <c r="AA299" s="37">
        <v>5</v>
      </c>
      <c r="AB299" s="15"/>
      <c r="AC299" s="38">
        <f t="shared" si="225"/>
        <v>2.5602951292718896</v>
      </c>
      <c r="AD299" s="38">
        <f t="shared" si="226"/>
        <v>0</v>
      </c>
      <c r="AE299" s="38">
        <f t="shared" si="227"/>
        <v>1.4154048398930226</v>
      </c>
      <c r="AF299" s="38">
        <f t="shared" si="228"/>
        <v>0</v>
      </c>
      <c r="AG299" s="38">
        <f t="shared" si="229"/>
        <v>1.0288440406558935E-2</v>
      </c>
      <c r="AH299" s="38">
        <f t="shared" si="230"/>
        <v>0</v>
      </c>
      <c r="AI299" s="38">
        <f t="shared" si="231"/>
        <v>0</v>
      </c>
      <c r="AJ299" s="38">
        <f t="shared" si="232"/>
        <v>0.45483069688642513</v>
      </c>
      <c r="AK299" s="38">
        <f t="shared" si="233"/>
        <v>0.56406728802807515</v>
      </c>
      <c r="AL299" s="38">
        <f t="shared" si="234"/>
        <v>1.8299400619332096E-2</v>
      </c>
      <c r="AM299" s="38">
        <f t="shared" si="235"/>
        <v>0</v>
      </c>
      <c r="AN299" s="38">
        <f t="shared" si="236"/>
        <v>0</v>
      </c>
      <c r="AO299" s="38">
        <f t="shared" si="237"/>
        <v>0</v>
      </c>
      <c r="AP299" s="38">
        <f t="shared" si="238"/>
        <v>5.0231857951053032</v>
      </c>
      <c r="AQ299" s="38">
        <f t="shared" si="239"/>
        <v>3.9756999691649124</v>
      </c>
      <c r="AR299" s="38">
        <f t="shared" si="240"/>
        <v>1.0371973855338323</v>
      </c>
      <c r="AS299" s="40"/>
      <c r="AT299" s="38">
        <f t="shared" si="241"/>
        <v>2.5484774341481597</v>
      </c>
      <c r="AU299" s="38">
        <f t="shared" si="242"/>
        <v>0</v>
      </c>
      <c r="AV299" s="38">
        <f t="shared" si="243"/>
        <v>1.4088716778824133</v>
      </c>
      <c r="AW299" s="38">
        <f t="shared" si="244"/>
        <v>0</v>
      </c>
      <c r="AX299" s="38">
        <f t="shared" si="245"/>
        <v>0</v>
      </c>
      <c r="AY299" s="38">
        <f t="shared" si="246"/>
        <v>1.0240951485991426E-2</v>
      </c>
      <c r="AZ299" s="38">
        <f t="shared" si="247"/>
        <v>0</v>
      </c>
      <c r="BA299" s="38">
        <f t="shared" si="248"/>
        <v>0</v>
      </c>
      <c r="BB299" s="38">
        <f t="shared" si="249"/>
        <v>0.45273130980902765</v>
      </c>
      <c r="BC299" s="38">
        <f t="shared" si="250"/>
        <v>0.56146369160554854</v>
      </c>
      <c r="BD299" s="38">
        <f t="shared" si="251"/>
        <v>1.8214935068859503E-2</v>
      </c>
      <c r="BE299" s="38">
        <f t="shared" si="252"/>
        <v>0</v>
      </c>
      <c r="BF299" s="38">
        <f t="shared" si="253"/>
        <v>0</v>
      </c>
      <c r="BG299" s="38">
        <f t="shared" si="254"/>
        <v>0</v>
      </c>
      <c r="BH299" s="41">
        <f t="shared" si="255"/>
        <v>5</v>
      </c>
      <c r="BI299" s="42">
        <f t="shared" si="256"/>
        <v>7.9681944354951577</v>
      </c>
      <c r="BJ299" s="38">
        <f t="shared" si="257"/>
        <v>3.957349112030573</v>
      </c>
      <c r="BK299" s="38">
        <f t="shared" si="258"/>
        <v>1.0324099364834356</v>
      </c>
      <c r="BL299" s="16"/>
      <c r="BM299" s="16">
        <f t="shared" si="259"/>
        <v>0.43851893885398635</v>
      </c>
      <c r="BN299" s="16">
        <f t="shared" si="260"/>
        <v>0.54383793855955087</v>
      </c>
      <c r="BO299" s="16">
        <f t="shared" si="261"/>
        <v>1.7643122586462775E-2</v>
      </c>
      <c r="BP299" s="15"/>
      <c r="BQ299" s="38">
        <f t="shared" si="262"/>
        <v>0.95056591211717711</v>
      </c>
      <c r="BR299" s="38">
        <f t="shared" si="263"/>
        <v>0</v>
      </c>
      <c r="BS299" s="38">
        <f t="shared" si="264"/>
        <v>0.52550019615535504</v>
      </c>
      <c r="BT299" s="38">
        <f t="shared" si="265"/>
        <v>0</v>
      </c>
      <c r="BU299" s="38">
        <f t="shared" si="266"/>
        <v>3.8198099225010664E-3</v>
      </c>
      <c r="BV299" s="38">
        <f t="shared" si="267"/>
        <v>0</v>
      </c>
      <c r="BW299" s="38">
        <f t="shared" si="268"/>
        <v>0</v>
      </c>
      <c r="BX299" s="38">
        <f t="shared" si="269"/>
        <v>0.16886590584878747</v>
      </c>
      <c r="BY299" s="38">
        <f t="shared" si="270"/>
        <v>0.20942239432074863</v>
      </c>
      <c r="BZ299" s="38">
        <f t="shared" si="271"/>
        <v>6.794055201698514E-3</v>
      </c>
      <c r="CA299" s="38">
        <f t="shared" si="272"/>
        <v>0</v>
      </c>
      <c r="CB299" s="38">
        <f t="shared" si="273"/>
        <v>0</v>
      </c>
      <c r="CC299" s="38">
        <f t="shared" si="274"/>
        <v>0</v>
      </c>
      <c r="CD299" s="38">
        <f t="shared" si="275"/>
        <v>1.8649682735662678</v>
      </c>
      <c r="CE299" s="38">
        <f t="shared" si="276"/>
        <v>2.9701760589998987</v>
      </c>
      <c r="CF299" s="38">
        <f t="shared" si="277"/>
        <v>2.6810107554477578</v>
      </c>
      <c r="CG299" s="38">
        <f t="shared" si="278"/>
        <v>7.9630739597521627</v>
      </c>
      <c r="CH299" s="15"/>
      <c r="CI299" s="16"/>
      <c r="CJ299" s="13"/>
      <c r="CK299" s="104"/>
      <c r="CL299" s="13"/>
      <c r="CM299" s="13"/>
      <c r="CN299" s="13"/>
      <c r="CO299" s="16"/>
      <c r="CP299" s="16"/>
      <c r="CQ299" s="16"/>
      <c r="CR299" s="16"/>
      <c r="CS299" s="16"/>
      <c r="CT299" s="16"/>
      <c r="CU299" s="16"/>
      <c r="CV299" s="16"/>
      <c r="CW299" s="16"/>
      <c r="CX299" s="16"/>
      <c r="CY299" s="104"/>
      <c r="CZ299" s="104"/>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3"/>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row>
    <row r="300" spans="1:167" x14ac:dyDescent="0.25">
      <c r="A300" s="35" t="s">
        <v>88</v>
      </c>
      <c r="B300" s="15">
        <v>947</v>
      </c>
      <c r="C300" s="102" t="s">
        <v>100</v>
      </c>
      <c r="D300" s="102" t="s">
        <v>104</v>
      </c>
      <c r="E300" s="15">
        <v>105</v>
      </c>
      <c r="F300" s="16">
        <v>57.85</v>
      </c>
      <c r="G300" s="16">
        <v>0</v>
      </c>
      <c r="H300" s="16">
        <v>26.61</v>
      </c>
      <c r="I300" s="16">
        <v>0</v>
      </c>
      <c r="J300" s="16">
        <v>0.40313146765049945</v>
      </c>
      <c r="K300" s="16">
        <v>0</v>
      </c>
      <c r="L300" s="16">
        <v>0</v>
      </c>
      <c r="M300" s="16">
        <v>9.11</v>
      </c>
      <c r="N300" s="16">
        <v>6.88</v>
      </c>
      <c r="O300" s="16">
        <v>0.33800000000000002</v>
      </c>
      <c r="P300" s="16">
        <v>0</v>
      </c>
      <c r="Q300" s="16"/>
      <c r="R300" s="16"/>
      <c r="S300" s="16">
        <f t="shared" si="224"/>
        <v>101.19113146765049</v>
      </c>
      <c r="T300" s="16"/>
      <c r="U300" s="15">
        <v>4</v>
      </c>
      <c r="V300" s="15">
        <v>14</v>
      </c>
      <c r="W300" s="15">
        <v>292.5</v>
      </c>
      <c r="X300" s="15" t="s">
        <v>258</v>
      </c>
      <c r="Y300" s="15"/>
      <c r="Z300" s="37">
        <v>8</v>
      </c>
      <c r="AA300" s="37">
        <v>5</v>
      </c>
      <c r="AB300" s="15"/>
      <c r="AC300" s="38">
        <f t="shared" si="225"/>
        <v>2.5750963825397788</v>
      </c>
      <c r="AD300" s="38">
        <f t="shared" si="226"/>
        <v>0</v>
      </c>
      <c r="AE300" s="38">
        <f t="shared" si="227"/>
        <v>1.3959346673961863</v>
      </c>
      <c r="AF300" s="38">
        <f t="shared" si="228"/>
        <v>0</v>
      </c>
      <c r="AG300" s="38">
        <f t="shared" si="229"/>
        <v>1.5005137403396219E-2</v>
      </c>
      <c r="AH300" s="38">
        <f t="shared" si="230"/>
        <v>0</v>
      </c>
      <c r="AI300" s="38">
        <f t="shared" si="231"/>
        <v>0</v>
      </c>
      <c r="AJ300" s="38">
        <f t="shared" si="232"/>
        <v>0.43444061667054162</v>
      </c>
      <c r="AK300" s="38">
        <f t="shared" si="233"/>
        <v>0.59372715360622941</v>
      </c>
      <c r="AL300" s="38">
        <f t="shared" si="234"/>
        <v>1.919180589822151E-2</v>
      </c>
      <c r="AM300" s="38">
        <f t="shared" si="235"/>
        <v>0</v>
      </c>
      <c r="AN300" s="38">
        <f t="shared" si="236"/>
        <v>0</v>
      </c>
      <c r="AO300" s="38">
        <f t="shared" si="237"/>
        <v>0</v>
      </c>
      <c r="AP300" s="38">
        <f t="shared" si="238"/>
        <v>5.0333957635143536</v>
      </c>
      <c r="AQ300" s="38">
        <f t="shared" si="239"/>
        <v>3.9710310499359651</v>
      </c>
      <c r="AR300" s="38">
        <f t="shared" si="240"/>
        <v>1.0473595761749925</v>
      </c>
      <c r="AS300" s="40"/>
      <c r="AT300" s="38">
        <f t="shared" si="241"/>
        <v>2.5580110362132813</v>
      </c>
      <c r="AU300" s="38">
        <f t="shared" si="242"/>
        <v>0</v>
      </c>
      <c r="AV300" s="38">
        <f t="shared" si="243"/>
        <v>1.3866728675647932</v>
      </c>
      <c r="AW300" s="38">
        <f t="shared" si="244"/>
        <v>0</v>
      </c>
      <c r="AX300" s="38">
        <f t="shared" si="245"/>
        <v>0</v>
      </c>
      <c r="AY300" s="38">
        <f t="shared" si="246"/>
        <v>1.490558075341916E-2</v>
      </c>
      <c r="AZ300" s="38">
        <f t="shared" si="247"/>
        <v>0</v>
      </c>
      <c r="BA300" s="38">
        <f t="shared" si="248"/>
        <v>0</v>
      </c>
      <c r="BB300" s="38">
        <f t="shared" si="249"/>
        <v>0.43155817372804001</v>
      </c>
      <c r="BC300" s="38">
        <f t="shared" si="250"/>
        <v>0.58978787035780866</v>
      </c>
      <c r="BD300" s="38">
        <f t="shared" si="251"/>
        <v>1.9064471382657232E-2</v>
      </c>
      <c r="BE300" s="38">
        <f t="shared" si="252"/>
        <v>0</v>
      </c>
      <c r="BF300" s="38">
        <f t="shared" si="253"/>
        <v>0</v>
      </c>
      <c r="BG300" s="38">
        <f t="shared" si="254"/>
        <v>0</v>
      </c>
      <c r="BH300" s="41">
        <f t="shared" si="255"/>
        <v>5</v>
      </c>
      <c r="BI300" s="42">
        <f t="shared" si="256"/>
        <v>7.9543740895021537</v>
      </c>
      <c r="BJ300" s="38">
        <f t="shared" si="257"/>
        <v>3.9446839037780745</v>
      </c>
      <c r="BK300" s="38">
        <f t="shared" si="258"/>
        <v>1.0404105154685059</v>
      </c>
      <c r="BL300" s="16"/>
      <c r="BM300" s="16">
        <f t="shared" si="259"/>
        <v>0.41479605147368742</v>
      </c>
      <c r="BN300" s="16">
        <f t="shared" si="260"/>
        <v>0.56687995900562582</v>
      </c>
      <c r="BO300" s="16">
        <f t="shared" si="261"/>
        <v>1.8323989520686781E-2</v>
      </c>
      <c r="BP300" s="15"/>
      <c r="BQ300" s="38">
        <f t="shared" si="262"/>
        <v>0.96288282290279636</v>
      </c>
      <c r="BR300" s="38">
        <f t="shared" si="263"/>
        <v>0</v>
      </c>
      <c r="BS300" s="38">
        <f t="shared" si="264"/>
        <v>0.52196939976461354</v>
      </c>
      <c r="BT300" s="38">
        <f t="shared" si="265"/>
        <v>0</v>
      </c>
      <c r="BU300" s="38">
        <f t="shared" si="266"/>
        <v>5.6107371976409116E-3</v>
      </c>
      <c r="BV300" s="38">
        <f t="shared" si="267"/>
        <v>0</v>
      </c>
      <c r="BW300" s="38">
        <f t="shared" si="268"/>
        <v>0</v>
      </c>
      <c r="BX300" s="38">
        <f t="shared" si="269"/>
        <v>0.16244650499286734</v>
      </c>
      <c r="BY300" s="38">
        <f t="shared" si="270"/>
        <v>0.22200709906421426</v>
      </c>
      <c r="BZ300" s="38">
        <f t="shared" si="271"/>
        <v>7.1762208067940557E-3</v>
      </c>
      <c r="CA300" s="38">
        <f t="shared" si="272"/>
        <v>0</v>
      </c>
      <c r="CB300" s="38">
        <f t="shared" si="273"/>
        <v>0</v>
      </c>
      <c r="CC300" s="38">
        <f t="shared" si="274"/>
        <v>0</v>
      </c>
      <c r="CD300" s="38">
        <f t="shared" si="275"/>
        <v>1.8820927847289264</v>
      </c>
      <c r="CE300" s="38">
        <f t="shared" si="276"/>
        <v>2.9913686475785255</v>
      </c>
      <c r="CF300" s="38">
        <f t="shared" si="277"/>
        <v>2.656617166044839</v>
      </c>
      <c r="CG300" s="38">
        <f t="shared" si="278"/>
        <v>7.946921299125445</v>
      </c>
      <c r="CH300" s="15"/>
      <c r="CI300" s="16"/>
      <c r="CJ300" s="13"/>
      <c r="CK300" s="104"/>
      <c r="CL300" s="13"/>
      <c r="CM300" s="13"/>
      <c r="CN300" s="13"/>
      <c r="CO300" s="16"/>
      <c r="CP300" s="16"/>
      <c r="CQ300" s="16"/>
      <c r="CR300" s="16"/>
      <c r="CS300" s="16"/>
      <c r="CT300" s="16"/>
      <c r="CU300" s="16"/>
      <c r="CV300" s="16"/>
      <c r="CW300" s="16"/>
      <c r="CX300" s="16"/>
      <c r="CY300" s="104"/>
      <c r="CZ300" s="104"/>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3"/>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row>
    <row r="301" spans="1:167" x14ac:dyDescent="0.25">
      <c r="A301" s="35" t="s">
        <v>88</v>
      </c>
      <c r="B301" s="15">
        <v>948</v>
      </c>
      <c r="C301" s="102" t="s">
        <v>100</v>
      </c>
      <c r="D301" s="102" t="s">
        <v>104</v>
      </c>
      <c r="E301" s="15">
        <v>106</v>
      </c>
      <c r="F301" s="16">
        <v>59.75</v>
      </c>
      <c r="G301" s="16">
        <v>0</v>
      </c>
      <c r="H301" s="16">
        <v>25.36</v>
      </c>
      <c r="I301" s="16">
        <v>0</v>
      </c>
      <c r="J301" s="16">
        <v>0.36713758661027623</v>
      </c>
      <c r="K301" s="16">
        <v>0</v>
      </c>
      <c r="L301" s="16">
        <v>0</v>
      </c>
      <c r="M301" s="16">
        <v>7.41</v>
      </c>
      <c r="N301" s="16">
        <v>7.79</v>
      </c>
      <c r="O301" s="16">
        <v>0.42199999999999999</v>
      </c>
      <c r="P301" s="16">
        <v>0</v>
      </c>
      <c r="Q301" s="16"/>
      <c r="R301" s="16"/>
      <c r="S301" s="16">
        <f t="shared" si="224"/>
        <v>101.09913758661027</v>
      </c>
      <c r="T301" s="16"/>
      <c r="U301" s="15">
        <v>4</v>
      </c>
      <c r="V301" s="15">
        <v>15</v>
      </c>
      <c r="W301" s="15">
        <v>315</v>
      </c>
      <c r="X301" s="15" t="s">
        <v>186</v>
      </c>
      <c r="Y301" s="15"/>
      <c r="Z301" s="37">
        <v>8</v>
      </c>
      <c r="AA301" s="37">
        <v>5</v>
      </c>
      <c r="AB301" s="15"/>
      <c r="AC301" s="38">
        <f t="shared" si="225"/>
        <v>2.6497252215963072</v>
      </c>
      <c r="AD301" s="38">
        <f t="shared" si="226"/>
        <v>0</v>
      </c>
      <c r="AE301" s="38">
        <f t="shared" si="227"/>
        <v>1.3253856741623233</v>
      </c>
      <c r="AF301" s="38">
        <f t="shared" si="228"/>
        <v>0</v>
      </c>
      <c r="AG301" s="38">
        <f t="shared" si="229"/>
        <v>1.3614287897573185E-2</v>
      </c>
      <c r="AH301" s="38">
        <f t="shared" si="230"/>
        <v>0</v>
      </c>
      <c r="AI301" s="38">
        <f t="shared" si="231"/>
        <v>0</v>
      </c>
      <c r="AJ301" s="38">
        <f t="shared" si="232"/>
        <v>0.35204895297007877</v>
      </c>
      <c r="AK301" s="38">
        <f t="shared" si="233"/>
        <v>0.66974385168502881</v>
      </c>
      <c r="AL301" s="38">
        <f t="shared" si="234"/>
        <v>2.3871757707468161E-2</v>
      </c>
      <c r="AM301" s="38">
        <f t="shared" si="235"/>
        <v>0</v>
      </c>
      <c r="AN301" s="38">
        <f t="shared" si="236"/>
        <v>0</v>
      </c>
      <c r="AO301" s="38">
        <f t="shared" si="237"/>
        <v>0</v>
      </c>
      <c r="AP301" s="38">
        <f t="shared" si="238"/>
        <v>5.0343897460187801</v>
      </c>
      <c r="AQ301" s="38">
        <f t="shared" si="239"/>
        <v>3.9751108957586307</v>
      </c>
      <c r="AR301" s="38">
        <f t="shared" si="240"/>
        <v>1.0456645623625755</v>
      </c>
      <c r="AS301" s="40"/>
      <c r="AT301" s="38">
        <f t="shared" si="241"/>
        <v>2.6316250382598239</v>
      </c>
      <c r="AU301" s="38">
        <f t="shared" si="242"/>
        <v>0</v>
      </c>
      <c r="AV301" s="38">
        <f t="shared" si="243"/>
        <v>1.3163320094659385</v>
      </c>
      <c r="AW301" s="38">
        <f t="shared" si="244"/>
        <v>0</v>
      </c>
      <c r="AX301" s="38">
        <f t="shared" si="245"/>
        <v>0</v>
      </c>
      <c r="AY301" s="38">
        <f t="shared" si="246"/>
        <v>1.3521289157578066E-2</v>
      </c>
      <c r="AZ301" s="38">
        <f t="shared" si="247"/>
        <v>0</v>
      </c>
      <c r="BA301" s="38">
        <f t="shared" si="248"/>
        <v>0</v>
      </c>
      <c r="BB301" s="38">
        <f t="shared" si="249"/>
        <v>0.34964411848375543</v>
      </c>
      <c r="BC301" s="38">
        <f t="shared" si="250"/>
        <v>0.66516885409464521</v>
      </c>
      <c r="BD301" s="38">
        <f t="shared" si="251"/>
        <v>2.3708690538258449E-2</v>
      </c>
      <c r="BE301" s="38">
        <f t="shared" si="252"/>
        <v>0</v>
      </c>
      <c r="BF301" s="38">
        <f t="shared" si="253"/>
        <v>0</v>
      </c>
      <c r="BG301" s="38">
        <f t="shared" si="254"/>
        <v>0</v>
      </c>
      <c r="BH301" s="41">
        <f t="shared" si="255"/>
        <v>5</v>
      </c>
      <c r="BI301" s="42">
        <f t="shared" si="256"/>
        <v>7.95211291525513</v>
      </c>
      <c r="BJ301" s="38">
        <f t="shared" si="257"/>
        <v>3.9479570477257626</v>
      </c>
      <c r="BK301" s="38">
        <f t="shared" si="258"/>
        <v>1.0385216631166589</v>
      </c>
      <c r="BL301" s="16"/>
      <c r="BM301" s="16">
        <f t="shared" si="259"/>
        <v>0.33667484357953092</v>
      </c>
      <c r="BN301" s="16">
        <f t="shared" si="260"/>
        <v>0.64049588729660001</v>
      </c>
      <c r="BO301" s="16">
        <f t="shared" si="261"/>
        <v>2.2829269123869216E-2</v>
      </c>
      <c r="BP301" s="15"/>
      <c r="BQ301" s="38">
        <f t="shared" si="262"/>
        <v>0.9945073235685753</v>
      </c>
      <c r="BR301" s="38">
        <f t="shared" si="263"/>
        <v>0</v>
      </c>
      <c r="BS301" s="38">
        <f t="shared" si="264"/>
        <v>0.49744998038446453</v>
      </c>
      <c r="BT301" s="38">
        <f t="shared" si="265"/>
        <v>0</v>
      </c>
      <c r="BU301" s="38">
        <f t="shared" si="266"/>
        <v>5.1097785192801152E-3</v>
      </c>
      <c r="BV301" s="38">
        <f t="shared" si="267"/>
        <v>0</v>
      </c>
      <c r="BW301" s="38">
        <f t="shared" si="268"/>
        <v>0</v>
      </c>
      <c r="BX301" s="38">
        <f t="shared" si="269"/>
        <v>0.13213266761768902</v>
      </c>
      <c r="BY301" s="38">
        <f t="shared" si="270"/>
        <v>0.25137141013230074</v>
      </c>
      <c r="BZ301" s="38">
        <f t="shared" si="271"/>
        <v>8.9596602972399145E-3</v>
      </c>
      <c r="CA301" s="38">
        <f t="shared" si="272"/>
        <v>0</v>
      </c>
      <c r="CB301" s="38">
        <f t="shared" si="273"/>
        <v>0</v>
      </c>
      <c r="CC301" s="38">
        <f t="shared" si="274"/>
        <v>0</v>
      </c>
      <c r="CD301" s="38">
        <f t="shared" si="275"/>
        <v>1.8895308205195498</v>
      </c>
      <c r="CE301" s="38">
        <f t="shared" si="276"/>
        <v>3.0025975990655867</v>
      </c>
      <c r="CF301" s="38">
        <f t="shared" si="277"/>
        <v>2.6461595363790829</v>
      </c>
      <c r="CG301" s="38">
        <f t="shared" si="278"/>
        <v>7.9453522706763398</v>
      </c>
      <c r="CH301" s="15"/>
      <c r="CI301" s="16"/>
      <c r="CJ301" s="13"/>
      <c r="CK301" s="104"/>
      <c r="CL301" s="13"/>
      <c r="CM301" s="13"/>
      <c r="CN301" s="13"/>
      <c r="CO301" s="16"/>
      <c r="CP301" s="16"/>
      <c r="CQ301" s="16"/>
      <c r="CR301" s="16"/>
      <c r="CS301" s="16"/>
      <c r="CT301" s="16"/>
      <c r="CU301" s="16"/>
      <c r="CV301" s="16"/>
      <c r="CW301" s="16"/>
      <c r="CX301" s="16"/>
      <c r="CY301" s="104"/>
      <c r="CZ301" s="104"/>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3"/>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row>
    <row r="302" spans="1:167" x14ac:dyDescent="0.25">
      <c r="A302" s="35" t="s">
        <v>88</v>
      </c>
      <c r="B302" s="15">
        <v>949</v>
      </c>
      <c r="C302" s="102" t="s">
        <v>100</v>
      </c>
      <c r="D302" s="102" t="s">
        <v>104</v>
      </c>
      <c r="E302" s="15">
        <v>107</v>
      </c>
      <c r="F302" s="16">
        <v>61.65</v>
      </c>
      <c r="G302" s="16">
        <v>0</v>
      </c>
      <c r="H302" s="16">
        <v>23.89</v>
      </c>
      <c r="I302" s="16">
        <v>0</v>
      </c>
      <c r="J302" s="16">
        <v>0.26455502564564026</v>
      </c>
      <c r="K302" s="16">
        <v>0</v>
      </c>
      <c r="L302" s="16">
        <v>0</v>
      </c>
      <c r="M302" s="16">
        <v>5.8</v>
      </c>
      <c r="N302" s="16">
        <v>8.67</v>
      </c>
      <c r="O302" s="16">
        <v>0.56000000000000005</v>
      </c>
      <c r="P302" s="16">
        <v>0</v>
      </c>
      <c r="Q302" s="16"/>
      <c r="R302" s="16"/>
      <c r="S302" s="16">
        <f t="shared" si="224"/>
        <v>100.83455502564563</v>
      </c>
      <c r="T302" s="16"/>
      <c r="U302" s="15">
        <v>4</v>
      </c>
      <c r="V302" s="15">
        <v>16</v>
      </c>
      <c r="W302" s="15">
        <v>337.5</v>
      </c>
      <c r="X302" s="15" t="s">
        <v>186</v>
      </c>
      <c r="Y302" s="15"/>
      <c r="Z302" s="37">
        <v>8</v>
      </c>
      <c r="AA302" s="37">
        <v>5</v>
      </c>
      <c r="AB302" s="15"/>
      <c r="AC302" s="38">
        <f t="shared" si="225"/>
        <v>2.7289644775192801</v>
      </c>
      <c r="AD302" s="38">
        <f t="shared" si="226"/>
        <v>0</v>
      </c>
      <c r="AE302" s="38">
        <f t="shared" si="227"/>
        <v>1.246266853049435</v>
      </c>
      <c r="AF302" s="38">
        <f t="shared" si="228"/>
        <v>0</v>
      </c>
      <c r="AG302" s="38">
        <f t="shared" si="229"/>
        <v>9.7922832930767076E-3</v>
      </c>
      <c r="AH302" s="38">
        <f t="shared" si="230"/>
        <v>0</v>
      </c>
      <c r="AI302" s="38">
        <f t="shared" si="231"/>
        <v>0</v>
      </c>
      <c r="AJ302" s="38">
        <f t="shared" si="232"/>
        <v>0.27505194111941761</v>
      </c>
      <c r="AK302" s="38">
        <f t="shared" si="233"/>
        <v>0.74403308341211327</v>
      </c>
      <c r="AL302" s="38">
        <f t="shared" si="234"/>
        <v>3.1619998537473777E-2</v>
      </c>
      <c r="AM302" s="38">
        <f t="shared" si="235"/>
        <v>0</v>
      </c>
      <c r="AN302" s="38">
        <f t="shared" si="236"/>
        <v>0</v>
      </c>
      <c r="AO302" s="38">
        <f t="shared" si="237"/>
        <v>0</v>
      </c>
      <c r="AP302" s="38">
        <f t="shared" si="238"/>
        <v>5.0357286369307968</v>
      </c>
      <c r="AQ302" s="38">
        <f t="shared" si="239"/>
        <v>3.975231330568715</v>
      </c>
      <c r="AR302" s="38">
        <f t="shared" si="240"/>
        <v>1.0507050230690047</v>
      </c>
      <c r="AS302" s="40"/>
      <c r="AT302" s="38">
        <f t="shared" si="241"/>
        <v>2.7096023974621319</v>
      </c>
      <c r="AU302" s="38">
        <f t="shared" si="242"/>
        <v>0</v>
      </c>
      <c r="AV302" s="38">
        <f t="shared" si="243"/>
        <v>1.237424554521882</v>
      </c>
      <c r="AW302" s="38">
        <f t="shared" si="244"/>
        <v>0</v>
      </c>
      <c r="AX302" s="38">
        <f t="shared" si="245"/>
        <v>0</v>
      </c>
      <c r="AY302" s="38">
        <f t="shared" si="246"/>
        <v>9.7228067664950294E-3</v>
      </c>
      <c r="AZ302" s="38">
        <f t="shared" si="247"/>
        <v>0</v>
      </c>
      <c r="BA302" s="38">
        <f t="shared" si="248"/>
        <v>0</v>
      </c>
      <c r="BB302" s="38">
        <f t="shared" si="249"/>
        <v>0.27310043982737103</v>
      </c>
      <c r="BC302" s="38">
        <f t="shared" si="250"/>
        <v>0.73875414766748704</v>
      </c>
      <c r="BD302" s="38">
        <f t="shared" si="251"/>
        <v>3.1395653754632928E-2</v>
      </c>
      <c r="BE302" s="38">
        <f t="shared" si="252"/>
        <v>0</v>
      </c>
      <c r="BF302" s="38">
        <f t="shared" si="253"/>
        <v>0</v>
      </c>
      <c r="BG302" s="38">
        <f t="shared" si="254"/>
        <v>0</v>
      </c>
      <c r="BH302" s="41">
        <f t="shared" si="255"/>
        <v>5</v>
      </c>
      <c r="BI302" s="42">
        <f t="shared" si="256"/>
        <v>7.9481011773952606</v>
      </c>
      <c r="BJ302" s="38">
        <f t="shared" si="257"/>
        <v>3.947026951984014</v>
      </c>
      <c r="BK302" s="38">
        <f t="shared" si="258"/>
        <v>1.0432502412494911</v>
      </c>
      <c r="BL302" s="16"/>
      <c r="BM302" s="16">
        <f t="shared" si="259"/>
        <v>0.26177845834982144</v>
      </c>
      <c r="BN302" s="16">
        <f t="shared" si="260"/>
        <v>0.70812746401351234</v>
      </c>
      <c r="BO302" s="16">
        <f t="shared" si="261"/>
        <v>3.0094077636666199E-2</v>
      </c>
      <c r="BP302" s="15"/>
      <c r="BQ302" s="38">
        <f t="shared" si="262"/>
        <v>1.0261318242343542</v>
      </c>
      <c r="BR302" s="38">
        <f t="shared" si="263"/>
        <v>0</v>
      </c>
      <c r="BS302" s="38">
        <f t="shared" si="264"/>
        <v>0.46861514319340924</v>
      </c>
      <c r="BT302" s="38">
        <f t="shared" si="265"/>
        <v>0</v>
      </c>
      <c r="BU302" s="38">
        <f t="shared" si="266"/>
        <v>3.6820462859518482E-3</v>
      </c>
      <c r="BV302" s="38">
        <f t="shared" si="267"/>
        <v>0</v>
      </c>
      <c r="BW302" s="38">
        <f t="shared" si="268"/>
        <v>0</v>
      </c>
      <c r="BX302" s="38">
        <f t="shared" si="269"/>
        <v>0.10342368045649072</v>
      </c>
      <c r="BY302" s="38">
        <f t="shared" si="270"/>
        <v>0.2797676669893514</v>
      </c>
      <c r="BZ302" s="38">
        <f t="shared" si="271"/>
        <v>1.18895966029724E-2</v>
      </c>
      <c r="CA302" s="38">
        <f t="shared" si="272"/>
        <v>0</v>
      </c>
      <c r="CB302" s="38">
        <f t="shared" si="273"/>
        <v>0</v>
      </c>
      <c r="CC302" s="38">
        <f t="shared" si="274"/>
        <v>0</v>
      </c>
      <c r="CD302" s="38">
        <f t="shared" si="275"/>
        <v>1.8935099577625298</v>
      </c>
      <c r="CE302" s="38">
        <f t="shared" si="276"/>
        <v>3.0081207217974266</v>
      </c>
      <c r="CF302" s="38">
        <f t="shared" si="277"/>
        <v>2.6405987354343048</v>
      </c>
      <c r="CG302" s="38">
        <f t="shared" si="278"/>
        <v>7.9432397740120129</v>
      </c>
      <c r="CH302" s="15"/>
      <c r="CI302" s="16"/>
      <c r="CJ302" s="13"/>
      <c r="CK302" s="104"/>
      <c r="CL302" s="13"/>
      <c r="CM302" s="13"/>
      <c r="CN302" s="13"/>
      <c r="CO302" s="16"/>
      <c r="CP302" s="16"/>
      <c r="CQ302" s="16"/>
      <c r="CR302" s="16"/>
      <c r="CS302" s="16"/>
      <c r="CT302" s="16"/>
      <c r="CU302" s="16"/>
      <c r="CV302" s="16"/>
      <c r="CW302" s="16"/>
      <c r="CX302" s="16"/>
      <c r="CY302" s="104"/>
      <c r="CZ302" s="104"/>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3"/>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row>
    <row r="303" spans="1:167" x14ac:dyDescent="0.25">
      <c r="A303" s="35" t="s">
        <v>88</v>
      </c>
      <c r="B303" s="15">
        <v>950</v>
      </c>
      <c r="C303" s="102" t="s">
        <v>100</v>
      </c>
      <c r="D303" s="102" t="s">
        <v>104</v>
      </c>
      <c r="E303" s="15">
        <v>108</v>
      </c>
      <c r="F303" s="16">
        <v>62.82</v>
      </c>
      <c r="G303" s="16">
        <v>0</v>
      </c>
      <c r="H303" s="16">
        <v>23.69</v>
      </c>
      <c r="I303" s="16">
        <v>0</v>
      </c>
      <c r="J303" s="16">
        <v>0.19976603977323856</v>
      </c>
      <c r="K303" s="16">
        <v>0</v>
      </c>
      <c r="L303" s="16">
        <v>0</v>
      </c>
      <c r="M303" s="16">
        <v>5.32</v>
      </c>
      <c r="N303" s="16">
        <v>8.8699999999999992</v>
      </c>
      <c r="O303" s="16">
        <v>0.56100000000000005</v>
      </c>
      <c r="P303" s="16">
        <v>0</v>
      </c>
      <c r="Q303" s="16"/>
      <c r="R303" s="16"/>
      <c r="S303" s="16">
        <f t="shared" si="224"/>
        <v>101.46076603977326</v>
      </c>
      <c r="T303" s="16"/>
      <c r="U303" s="15">
        <v>4</v>
      </c>
      <c r="V303" s="15">
        <v>17</v>
      </c>
      <c r="W303" s="15">
        <v>360</v>
      </c>
      <c r="X303" s="15" t="s">
        <v>186</v>
      </c>
      <c r="Y303" s="15"/>
      <c r="Z303" s="37">
        <v>8</v>
      </c>
      <c r="AA303" s="37">
        <v>5</v>
      </c>
      <c r="AB303" s="15"/>
      <c r="AC303" s="38">
        <f t="shared" si="225"/>
        <v>2.7561631893954193</v>
      </c>
      <c r="AD303" s="38">
        <f t="shared" si="226"/>
        <v>0</v>
      </c>
      <c r="AE303" s="38">
        <f t="shared" si="227"/>
        <v>1.2249042729028681</v>
      </c>
      <c r="AF303" s="38">
        <f t="shared" si="228"/>
        <v>0</v>
      </c>
      <c r="AG303" s="38">
        <f t="shared" si="229"/>
        <v>7.3287820706283294E-3</v>
      </c>
      <c r="AH303" s="38">
        <f t="shared" si="230"/>
        <v>0</v>
      </c>
      <c r="AI303" s="38">
        <f t="shared" si="231"/>
        <v>0</v>
      </c>
      <c r="AJ303" s="38">
        <f t="shared" si="232"/>
        <v>0.25005788142411978</v>
      </c>
      <c r="AK303" s="38">
        <f t="shared" si="233"/>
        <v>0.75446476751927816</v>
      </c>
      <c r="AL303" s="38">
        <f t="shared" si="234"/>
        <v>3.1396329200942097E-2</v>
      </c>
      <c r="AM303" s="38">
        <f t="shared" si="235"/>
        <v>0</v>
      </c>
      <c r="AN303" s="38">
        <f t="shared" si="236"/>
        <v>0</v>
      </c>
      <c r="AO303" s="38">
        <f t="shared" si="237"/>
        <v>0</v>
      </c>
      <c r="AP303" s="38">
        <f t="shared" si="238"/>
        <v>5.0243152225132555</v>
      </c>
      <c r="AQ303" s="38">
        <f t="shared" si="239"/>
        <v>3.9810674622982871</v>
      </c>
      <c r="AR303" s="38">
        <f t="shared" si="240"/>
        <v>1.0359189781443399</v>
      </c>
      <c r="AS303" s="40"/>
      <c r="AT303" s="38">
        <f t="shared" si="241"/>
        <v>2.7428247107640029</v>
      </c>
      <c r="AU303" s="38">
        <f t="shared" si="242"/>
        <v>0</v>
      </c>
      <c r="AV303" s="38">
        <f t="shared" si="243"/>
        <v>1.2189763367296731</v>
      </c>
      <c r="AW303" s="38">
        <f t="shared" si="244"/>
        <v>0</v>
      </c>
      <c r="AX303" s="38">
        <f t="shared" si="245"/>
        <v>0</v>
      </c>
      <c r="AY303" s="38">
        <f t="shared" si="246"/>
        <v>7.2933143583319374E-3</v>
      </c>
      <c r="AZ303" s="38">
        <f t="shared" si="247"/>
        <v>0</v>
      </c>
      <c r="BA303" s="38">
        <f t="shared" si="248"/>
        <v>0</v>
      </c>
      <c r="BB303" s="38">
        <f t="shared" si="249"/>
        <v>0.24884772386856355</v>
      </c>
      <c r="BC303" s="38">
        <f t="shared" si="250"/>
        <v>0.75081352791981171</v>
      </c>
      <c r="BD303" s="38">
        <f t="shared" si="251"/>
        <v>3.1244386359617252E-2</v>
      </c>
      <c r="BE303" s="38">
        <f t="shared" si="252"/>
        <v>0</v>
      </c>
      <c r="BF303" s="38">
        <f t="shared" si="253"/>
        <v>0</v>
      </c>
      <c r="BG303" s="38">
        <f t="shared" si="254"/>
        <v>0</v>
      </c>
      <c r="BH303" s="41">
        <f t="shared" si="255"/>
        <v>5.0000000000000009</v>
      </c>
      <c r="BI303" s="42">
        <f t="shared" si="256"/>
        <v>7.9649305791682918</v>
      </c>
      <c r="BJ303" s="38">
        <f t="shared" si="257"/>
        <v>3.961801047493676</v>
      </c>
      <c r="BK303" s="38">
        <f t="shared" si="258"/>
        <v>1.0309056381479926</v>
      </c>
      <c r="BL303" s="16"/>
      <c r="BM303" s="16">
        <f t="shared" si="259"/>
        <v>0.24138748946568478</v>
      </c>
      <c r="BN303" s="16">
        <f t="shared" si="260"/>
        <v>0.72830480321034796</v>
      </c>
      <c r="BO303" s="16">
        <f t="shared" si="261"/>
        <v>3.030770732396746E-2</v>
      </c>
      <c r="BP303" s="15"/>
      <c r="BQ303" s="38">
        <f t="shared" si="262"/>
        <v>1.0456058588548602</v>
      </c>
      <c r="BR303" s="38">
        <f t="shared" si="263"/>
        <v>0</v>
      </c>
      <c r="BS303" s="38">
        <f t="shared" si="264"/>
        <v>0.46469203609258536</v>
      </c>
      <c r="BT303" s="38">
        <f t="shared" si="265"/>
        <v>0</v>
      </c>
      <c r="BU303" s="38">
        <f t="shared" si="266"/>
        <v>2.7803206649024159E-3</v>
      </c>
      <c r="BV303" s="38">
        <f t="shared" si="267"/>
        <v>0</v>
      </c>
      <c r="BW303" s="38">
        <f t="shared" si="268"/>
        <v>0</v>
      </c>
      <c r="BX303" s="38">
        <f t="shared" si="269"/>
        <v>9.4864479315263914E-2</v>
      </c>
      <c r="BY303" s="38">
        <f t="shared" si="270"/>
        <v>0.28622136172959017</v>
      </c>
      <c r="BZ303" s="38">
        <f t="shared" si="271"/>
        <v>1.1910828025477709E-2</v>
      </c>
      <c r="CA303" s="38">
        <f t="shared" si="272"/>
        <v>0</v>
      </c>
      <c r="CB303" s="38">
        <f t="shared" si="273"/>
        <v>0</v>
      </c>
      <c r="CC303" s="38">
        <f t="shared" si="274"/>
        <v>0</v>
      </c>
      <c r="CD303" s="38">
        <f t="shared" si="275"/>
        <v>1.9060748846826796</v>
      </c>
      <c r="CE303" s="38">
        <f t="shared" si="276"/>
        <v>3.0349606667062989</v>
      </c>
      <c r="CF303" s="38">
        <f t="shared" si="277"/>
        <v>2.6231917959678652</v>
      </c>
      <c r="CG303" s="38">
        <f t="shared" si="278"/>
        <v>7.9612839219891258</v>
      </c>
      <c r="CH303" s="15"/>
      <c r="CI303" s="16"/>
      <c r="CJ303" s="13"/>
      <c r="CK303" s="104"/>
      <c r="CL303" s="13"/>
      <c r="CM303" s="13"/>
      <c r="CN303" s="13"/>
      <c r="CO303" s="16"/>
      <c r="CP303" s="16"/>
      <c r="CQ303" s="16"/>
      <c r="CR303" s="16"/>
      <c r="CS303" s="16"/>
      <c r="CT303" s="16"/>
      <c r="CU303" s="16"/>
      <c r="CV303" s="16"/>
      <c r="CW303" s="16"/>
      <c r="CX303" s="16"/>
      <c r="CY303" s="104"/>
      <c r="CZ303" s="104"/>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3"/>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row>
    <row r="304" spans="1:167" x14ac:dyDescent="0.25">
      <c r="A304" s="35" t="s">
        <v>88</v>
      </c>
      <c r="B304" s="15">
        <v>951</v>
      </c>
      <c r="C304" s="102" t="s">
        <v>100</v>
      </c>
      <c r="D304" s="102" t="s">
        <v>104</v>
      </c>
      <c r="E304" s="15">
        <v>109</v>
      </c>
      <c r="F304" s="16">
        <v>64.959999999999994</v>
      </c>
      <c r="G304" s="16">
        <v>0</v>
      </c>
      <c r="H304" s="16">
        <v>22.15</v>
      </c>
      <c r="I304" s="16">
        <v>0</v>
      </c>
      <c r="J304" s="16">
        <v>0.15657338252497074</v>
      </c>
      <c r="K304" s="16">
        <v>0</v>
      </c>
      <c r="L304" s="16">
        <v>0</v>
      </c>
      <c r="M304" s="16">
        <v>3.37</v>
      </c>
      <c r="N304" s="16">
        <v>9.84</v>
      </c>
      <c r="O304" s="16">
        <v>0.72599999999999998</v>
      </c>
      <c r="P304" s="16">
        <v>0</v>
      </c>
      <c r="Q304" s="16"/>
      <c r="R304" s="16"/>
      <c r="S304" s="16">
        <f t="shared" si="224"/>
        <v>101.20257338252496</v>
      </c>
      <c r="T304" s="16"/>
      <c r="U304" s="15">
        <v>4</v>
      </c>
      <c r="V304" s="15">
        <v>18</v>
      </c>
      <c r="W304" s="15">
        <v>382.5</v>
      </c>
      <c r="X304" s="15" t="s">
        <v>186</v>
      </c>
      <c r="Y304" s="15"/>
      <c r="Z304" s="37">
        <v>8</v>
      </c>
      <c r="AA304" s="37">
        <v>5</v>
      </c>
      <c r="AB304" s="15"/>
      <c r="AC304" s="38">
        <f t="shared" si="225"/>
        <v>2.8426023569196093</v>
      </c>
      <c r="AD304" s="38">
        <f t="shared" si="226"/>
        <v>0</v>
      </c>
      <c r="AE304" s="38">
        <f t="shared" si="227"/>
        <v>1.1422835405493892</v>
      </c>
      <c r="AF304" s="38">
        <f t="shared" si="228"/>
        <v>0</v>
      </c>
      <c r="AG304" s="38">
        <f t="shared" si="229"/>
        <v>5.729163033164065E-3</v>
      </c>
      <c r="AH304" s="38">
        <f t="shared" si="230"/>
        <v>0</v>
      </c>
      <c r="AI304" s="38">
        <f t="shared" si="231"/>
        <v>0</v>
      </c>
      <c r="AJ304" s="38">
        <f t="shared" si="232"/>
        <v>0.15798720483442755</v>
      </c>
      <c r="AK304" s="38">
        <f t="shared" si="233"/>
        <v>0.83478289521563487</v>
      </c>
      <c r="AL304" s="38">
        <f t="shared" si="234"/>
        <v>4.0524319722575669E-2</v>
      </c>
      <c r="AM304" s="38">
        <f t="shared" si="235"/>
        <v>0</v>
      </c>
      <c r="AN304" s="38">
        <f t="shared" si="236"/>
        <v>0</v>
      </c>
      <c r="AO304" s="38">
        <f t="shared" si="237"/>
        <v>0</v>
      </c>
      <c r="AP304" s="38">
        <f t="shared" si="238"/>
        <v>5.023909480274801</v>
      </c>
      <c r="AQ304" s="38">
        <f t="shared" si="239"/>
        <v>3.9848858974689985</v>
      </c>
      <c r="AR304" s="38">
        <f t="shared" si="240"/>
        <v>1.0332944197726381</v>
      </c>
      <c r="AS304" s="40"/>
      <c r="AT304" s="38">
        <f t="shared" si="241"/>
        <v>2.829074019028825</v>
      </c>
      <c r="AU304" s="38">
        <f t="shared" si="242"/>
        <v>0</v>
      </c>
      <c r="AV304" s="38">
        <f t="shared" si="243"/>
        <v>1.1368472551449194</v>
      </c>
      <c r="AW304" s="38">
        <f t="shared" si="244"/>
        <v>0</v>
      </c>
      <c r="AX304" s="38">
        <f t="shared" si="245"/>
        <v>0</v>
      </c>
      <c r="AY304" s="38">
        <f t="shared" si="246"/>
        <v>5.7018971536591931E-3</v>
      </c>
      <c r="AZ304" s="38">
        <f t="shared" si="247"/>
        <v>0</v>
      </c>
      <c r="BA304" s="38">
        <f t="shared" si="248"/>
        <v>0</v>
      </c>
      <c r="BB304" s="38">
        <f t="shared" si="249"/>
        <v>0.15723532186908137</v>
      </c>
      <c r="BC304" s="38">
        <f t="shared" si="250"/>
        <v>0.83081004792504087</v>
      </c>
      <c r="BD304" s="38">
        <f t="shared" si="251"/>
        <v>4.0331458878473905E-2</v>
      </c>
      <c r="BE304" s="38">
        <f t="shared" si="252"/>
        <v>0</v>
      </c>
      <c r="BF304" s="38">
        <f t="shared" si="253"/>
        <v>0</v>
      </c>
      <c r="BG304" s="38">
        <f t="shared" si="254"/>
        <v>0</v>
      </c>
      <c r="BH304" s="41">
        <f t="shared" si="255"/>
        <v>4.9999999999999991</v>
      </c>
      <c r="BI304" s="42">
        <f t="shared" si="256"/>
        <v>7.9647778417763568</v>
      </c>
      <c r="BJ304" s="38">
        <f t="shared" si="257"/>
        <v>3.9659212741737444</v>
      </c>
      <c r="BK304" s="38">
        <f t="shared" si="258"/>
        <v>1.0283768286725963</v>
      </c>
      <c r="BL304" s="16"/>
      <c r="BM304" s="16">
        <f t="shared" si="259"/>
        <v>0.1528966012118699</v>
      </c>
      <c r="BN304" s="16">
        <f t="shared" si="260"/>
        <v>0.80788483828192648</v>
      </c>
      <c r="BO304" s="16">
        <f t="shared" si="261"/>
        <v>3.9218560506203523E-2</v>
      </c>
      <c r="BP304" s="15"/>
      <c r="BQ304" s="38">
        <f t="shared" si="262"/>
        <v>1.0812250332889479</v>
      </c>
      <c r="BR304" s="38">
        <f t="shared" si="263"/>
        <v>0</v>
      </c>
      <c r="BS304" s="38">
        <f t="shared" si="264"/>
        <v>0.43448411141624166</v>
      </c>
      <c r="BT304" s="38">
        <f t="shared" si="265"/>
        <v>0</v>
      </c>
      <c r="BU304" s="38">
        <f t="shared" si="266"/>
        <v>2.1791702508694609E-3</v>
      </c>
      <c r="BV304" s="38">
        <f t="shared" si="267"/>
        <v>0</v>
      </c>
      <c r="BW304" s="38">
        <f t="shared" si="268"/>
        <v>0</v>
      </c>
      <c r="BX304" s="38">
        <f t="shared" si="269"/>
        <v>6.0092724679029964E-2</v>
      </c>
      <c r="BY304" s="38">
        <f t="shared" si="270"/>
        <v>0.31752178121974833</v>
      </c>
      <c r="BZ304" s="38">
        <f t="shared" si="271"/>
        <v>1.5414012738853502E-2</v>
      </c>
      <c r="CA304" s="38">
        <f t="shared" si="272"/>
        <v>0</v>
      </c>
      <c r="CB304" s="38">
        <f t="shared" si="273"/>
        <v>0</v>
      </c>
      <c r="CC304" s="38">
        <f t="shared" si="274"/>
        <v>0</v>
      </c>
      <c r="CD304" s="38">
        <f t="shared" si="275"/>
        <v>1.910916833593691</v>
      </c>
      <c r="CE304" s="38">
        <f t="shared" si="276"/>
        <v>3.0429160256114587</v>
      </c>
      <c r="CF304" s="38">
        <f t="shared" si="277"/>
        <v>2.6165450594712412</v>
      </c>
      <c r="CG304" s="38">
        <f t="shared" si="278"/>
        <v>7.9619268931995268</v>
      </c>
      <c r="CH304" s="15"/>
      <c r="CI304" s="16"/>
      <c r="CJ304" s="13"/>
      <c r="CK304" s="104"/>
      <c r="CL304" s="13"/>
      <c r="CM304" s="13"/>
      <c r="CN304" s="13"/>
      <c r="CO304" s="16"/>
      <c r="CP304" s="16"/>
      <c r="CQ304" s="16"/>
      <c r="CR304" s="16"/>
      <c r="CS304" s="16"/>
      <c r="CT304" s="16"/>
      <c r="CU304" s="16"/>
      <c r="CV304" s="16"/>
      <c r="CW304" s="16"/>
      <c r="CX304" s="16"/>
      <c r="CY304" s="104"/>
      <c r="CZ304" s="104"/>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3"/>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row>
    <row r="305" spans="1:167" x14ac:dyDescent="0.25">
      <c r="A305" s="35" t="s">
        <v>88</v>
      </c>
      <c r="B305" s="15">
        <v>952</v>
      </c>
      <c r="C305" s="102" t="s">
        <v>100</v>
      </c>
      <c r="D305" s="102" t="s">
        <v>104</v>
      </c>
      <c r="E305" s="15">
        <v>110</v>
      </c>
      <c r="F305" s="16">
        <v>65.92</v>
      </c>
      <c r="G305" s="16">
        <v>0</v>
      </c>
      <c r="H305" s="16">
        <v>21.61</v>
      </c>
      <c r="I305" s="16">
        <v>0</v>
      </c>
      <c r="J305" s="16">
        <v>0.2654548726716458</v>
      </c>
      <c r="K305" s="16">
        <v>0</v>
      </c>
      <c r="L305" s="16">
        <v>0</v>
      </c>
      <c r="M305" s="16">
        <v>2.75</v>
      </c>
      <c r="N305" s="16">
        <v>10.4</v>
      </c>
      <c r="O305" s="16">
        <v>0.66800000000000004</v>
      </c>
      <c r="P305" s="16">
        <v>0</v>
      </c>
      <c r="Q305" s="16"/>
      <c r="R305" s="16"/>
      <c r="S305" s="16">
        <f t="shared" si="224"/>
        <v>101.61345487267165</v>
      </c>
      <c r="T305" s="16"/>
      <c r="U305" s="15">
        <v>4</v>
      </c>
      <c r="V305" s="15">
        <v>19</v>
      </c>
      <c r="W305" s="15">
        <v>405</v>
      </c>
      <c r="X305" s="15" t="s">
        <v>186</v>
      </c>
      <c r="Y305" s="15"/>
      <c r="Z305" s="37">
        <v>8</v>
      </c>
      <c r="AA305" s="37">
        <v>5</v>
      </c>
      <c r="AB305" s="15"/>
      <c r="AC305" s="38">
        <f t="shared" si="225"/>
        <v>2.8705101530836625</v>
      </c>
      <c r="AD305" s="38">
        <f t="shared" si="226"/>
        <v>0</v>
      </c>
      <c r="AE305" s="38">
        <f t="shared" si="227"/>
        <v>1.10898774863433</v>
      </c>
      <c r="AF305" s="38">
        <f t="shared" si="228"/>
        <v>0</v>
      </c>
      <c r="AG305" s="38">
        <f t="shared" si="229"/>
        <v>9.66575408752233E-3</v>
      </c>
      <c r="AH305" s="38">
        <f t="shared" si="230"/>
        <v>0</v>
      </c>
      <c r="AI305" s="38">
        <f t="shared" si="231"/>
        <v>0</v>
      </c>
      <c r="AJ305" s="38">
        <f t="shared" si="232"/>
        <v>0.12829109190528859</v>
      </c>
      <c r="AK305" s="38">
        <f t="shared" si="233"/>
        <v>0.87797788276693689</v>
      </c>
      <c r="AL305" s="38">
        <f t="shared" si="234"/>
        <v>3.7104567009800846E-2</v>
      </c>
      <c r="AM305" s="38">
        <f t="shared" si="235"/>
        <v>0</v>
      </c>
      <c r="AN305" s="38">
        <f t="shared" si="236"/>
        <v>0</v>
      </c>
      <c r="AO305" s="38">
        <f t="shared" si="237"/>
        <v>0</v>
      </c>
      <c r="AP305" s="38">
        <f t="shared" si="238"/>
        <v>5.0325371974875415</v>
      </c>
      <c r="AQ305" s="38">
        <f t="shared" si="239"/>
        <v>3.9794979017179926</v>
      </c>
      <c r="AR305" s="38">
        <f t="shared" si="240"/>
        <v>1.0433735416820265</v>
      </c>
      <c r="AS305" s="40"/>
      <c r="AT305" s="38">
        <f t="shared" si="241"/>
        <v>2.8519512528558599</v>
      </c>
      <c r="AU305" s="38">
        <f t="shared" si="242"/>
        <v>0</v>
      </c>
      <c r="AV305" s="38">
        <f t="shared" si="243"/>
        <v>1.1018177363775716</v>
      </c>
      <c r="AW305" s="38">
        <f t="shared" si="244"/>
        <v>0</v>
      </c>
      <c r="AX305" s="38">
        <f t="shared" si="245"/>
        <v>0</v>
      </c>
      <c r="AY305" s="38">
        <f t="shared" si="246"/>
        <v>9.6032614446922432E-3</v>
      </c>
      <c r="AZ305" s="38">
        <f t="shared" si="247"/>
        <v>0</v>
      </c>
      <c r="BA305" s="38">
        <f t="shared" si="248"/>
        <v>0</v>
      </c>
      <c r="BB305" s="38">
        <f t="shared" si="249"/>
        <v>0.12746164297537335</v>
      </c>
      <c r="BC305" s="38">
        <f t="shared" si="250"/>
        <v>0.87230143396184057</v>
      </c>
      <c r="BD305" s="38">
        <f t="shared" si="251"/>
        <v>3.6864672384662192E-2</v>
      </c>
      <c r="BE305" s="38">
        <f t="shared" si="252"/>
        <v>0</v>
      </c>
      <c r="BF305" s="38">
        <f t="shared" si="253"/>
        <v>0</v>
      </c>
      <c r="BG305" s="38">
        <f t="shared" si="254"/>
        <v>0</v>
      </c>
      <c r="BH305" s="41">
        <f t="shared" si="255"/>
        <v>5</v>
      </c>
      <c r="BI305" s="42">
        <f t="shared" si="256"/>
        <v>7.9530786985937407</v>
      </c>
      <c r="BJ305" s="38">
        <f t="shared" si="257"/>
        <v>3.9537689892334313</v>
      </c>
      <c r="BK305" s="38">
        <f t="shared" si="258"/>
        <v>1.0366277493218761</v>
      </c>
      <c r="BL305" s="16"/>
      <c r="BM305" s="16">
        <f t="shared" si="259"/>
        <v>0.12295796929877102</v>
      </c>
      <c r="BN305" s="16">
        <f t="shared" si="260"/>
        <v>0.84147991844948011</v>
      </c>
      <c r="BO305" s="16">
        <f t="shared" si="261"/>
        <v>3.5562112251748719E-2</v>
      </c>
      <c r="BP305" s="15"/>
      <c r="BQ305" s="38">
        <f t="shared" si="262"/>
        <v>1.0972037283621838</v>
      </c>
      <c r="BR305" s="38">
        <f t="shared" si="263"/>
        <v>0</v>
      </c>
      <c r="BS305" s="38">
        <f t="shared" si="264"/>
        <v>0.42389172224401728</v>
      </c>
      <c r="BT305" s="38">
        <f t="shared" si="265"/>
        <v>0</v>
      </c>
      <c r="BU305" s="38">
        <f t="shared" si="266"/>
        <v>3.6945702529108675E-3</v>
      </c>
      <c r="BV305" s="38">
        <f t="shared" si="267"/>
        <v>0</v>
      </c>
      <c r="BW305" s="38">
        <f t="shared" si="268"/>
        <v>0</v>
      </c>
      <c r="BX305" s="38">
        <f t="shared" si="269"/>
        <v>4.9037089871611983E-2</v>
      </c>
      <c r="BY305" s="38">
        <f t="shared" si="270"/>
        <v>0.33559212649241693</v>
      </c>
      <c r="BZ305" s="38">
        <f t="shared" si="271"/>
        <v>1.4182590233545648E-2</v>
      </c>
      <c r="CA305" s="38">
        <f t="shared" si="272"/>
        <v>0</v>
      </c>
      <c r="CB305" s="38">
        <f t="shared" si="273"/>
        <v>0</v>
      </c>
      <c r="CC305" s="38">
        <f t="shared" si="274"/>
        <v>0</v>
      </c>
      <c r="CD305" s="38">
        <f t="shared" si="275"/>
        <v>1.9236018274566866</v>
      </c>
      <c r="CE305" s="38">
        <f t="shared" si="276"/>
        <v>3.057864058577898</v>
      </c>
      <c r="CF305" s="38">
        <f t="shared" si="277"/>
        <v>2.5992905229305228</v>
      </c>
      <c r="CG305" s="38">
        <f t="shared" si="278"/>
        <v>7.9482770678713948</v>
      </c>
      <c r="CH305" s="15"/>
      <c r="CI305" s="16"/>
      <c r="CJ305" s="13"/>
      <c r="CK305" s="104"/>
      <c r="CL305" s="13"/>
      <c r="CM305" s="13"/>
      <c r="CN305" s="13"/>
      <c r="CO305" s="16"/>
      <c r="CP305" s="16"/>
      <c r="CQ305" s="16"/>
      <c r="CR305" s="16"/>
      <c r="CS305" s="16"/>
      <c r="CT305" s="16"/>
      <c r="CU305" s="16"/>
      <c r="CV305" s="16"/>
      <c r="CW305" s="16"/>
      <c r="CX305" s="16"/>
      <c r="CY305" s="104"/>
      <c r="CZ305" s="104"/>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3"/>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row>
    <row r="306" spans="1:167" x14ac:dyDescent="0.25">
      <c r="A306" s="35" t="s">
        <v>88</v>
      </c>
      <c r="B306" s="15">
        <v>953</v>
      </c>
      <c r="C306" s="102" t="s">
        <v>100</v>
      </c>
      <c r="D306" s="102" t="s">
        <v>104</v>
      </c>
      <c r="E306" s="15">
        <v>111</v>
      </c>
      <c r="F306" s="16">
        <v>55.78</v>
      </c>
      <c r="G306" s="16">
        <v>0</v>
      </c>
      <c r="H306" s="16">
        <v>27.9</v>
      </c>
      <c r="I306" s="16">
        <v>0</v>
      </c>
      <c r="J306" s="16">
        <v>0.15567353549896518</v>
      </c>
      <c r="K306" s="16">
        <v>0</v>
      </c>
      <c r="L306" s="16">
        <v>0</v>
      </c>
      <c r="M306" s="16">
        <v>10.42</v>
      </c>
      <c r="N306" s="16">
        <v>5.84</v>
      </c>
      <c r="O306" s="16">
        <v>0.23</v>
      </c>
      <c r="P306" s="16">
        <v>0</v>
      </c>
      <c r="Q306" s="16"/>
      <c r="R306" s="16"/>
      <c r="S306" s="16">
        <f t="shared" si="224"/>
        <v>100.32567353549898</v>
      </c>
      <c r="T306" s="16"/>
      <c r="U306" s="15"/>
      <c r="V306" s="15">
        <v>20</v>
      </c>
      <c r="W306" s="15"/>
      <c r="X306" s="15" t="s">
        <v>187</v>
      </c>
      <c r="Y306" s="15"/>
      <c r="Z306" s="37">
        <v>8</v>
      </c>
      <c r="AA306" s="37">
        <v>5</v>
      </c>
      <c r="AB306" s="15"/>
      <c r="AC306" s="38">
        <f t="shared" si="225"/>
        <v>2.5072290555080077</v>
      </c>
      <c r="AD306" s="38">
        <f t="shared" si="226"/>
        <v>0</v>
      </c>
      <c r="AE306" s="38">
        <f t="shared" si="227"/>
        <v>1.4779161613347549</v>
      </c>
      <c r="AF306" s="38">
        <f t="shared" si="228"/>
        <v>0</v>
      </c>
      <c r="AG306" s="38">
        <f t="shared" si="229"/>
        <v>5.8510450563464484E-3</v>
      </c>
      <c r="AH306" s="38">
        <f t="shared" si="230"/>
        <v>0</v>
      </c>
      <c r="AI306" s="38">
        <f t="shared" si="231"/>
        <v>0</v>
      </c>
      <c r="AJ306" s="38">
        <f t="shared" si="232"/>
        <v>0.50177051775017589</v>
      </c>
      <c r="AK306" s="38">
        <f t="shared" si="233"/>
        <v>0.50890497557230208</v>
      </c>
      <c r="AL306" s="38">
        <f t="shared" si="234"/>
        <v>1.3187192778359573E-2</v>
      </c>
      <c r="AM306" s="38">
        <f t="shared" si="235"/>
        <v>0</v>
      </c>
      <c r="AN306" s="38">
        <f t="shared" si="236"/>
        <v>0</v>
      </c>
      <c r="AO306" s="38">
        <f t="shared" si="237"/>
        <v>0</v>
      </c>
      <c r="AP306" s="38">
        <f t="shared" si="238"/>
        <v>5.0148589479999472</v>
      </c>
      <c r="AQ306" s="38">
        <f t="shared" si="239"/>
        <v>3.9851452168427626</v>
      </c>
      <c r="AR306" s="38">
        <f t="shared" si="240"/>
        <v>1.0238626861008375</v>
      </c>
      <c r="AS306" s="40"/>
      <c r="AT306" s="38">
        <f t="shared" si="241"/>
        <v>2.4998001753448662</v>
      </c>
      <c r="AU306" s="38">
        <f t="shared" si="242"/>
        <v>0</v>
      </c>
      <c r="AV306" s="38">
        <f t="shared" si="243"/>
        <v>1.4735371190491662</v>
      </c>
      <c r="AW306" s="38">
        <f t="shared" si="244"/>
        <v>0</v>
      </c>
      <c r="AX306" s="38">
        <f t="shared" si="245"/>
        <v>0</v>
      </c>
      <c r="AY306" s="38">
        <f t="shared" si="246"/>
        <v>5.8337085020905653E-3</v>
      </c>
      <c r="AZ306" s="38">
        <f t="shared" si="247"/>
        <v>0</v>
      </c>
      <c r="BA306" s="38">
        <f t="shared" si="248"/>
        <v>0</v>
      </c>
      <c r="BB306" s="38">
        <f t="shared" si="249"/>
        <v>0.5002837796168671</v>
      </c>
      <c r="BC306" s="38">
        <f t="shared" si="250"/>
        <v>0.50739709815294642</v>
      </c>
      <c r="BD306" s="38">
        <f t="shared" si="251"/>
        <v>1.3148119334063185E-2</v>
      </c>
      <c r="BE306" s="38">
        <f t="shared" si="252"/>
        <v>0</v>
      </c>
      <c r="BF306" s="38">
        <f t="shared" si="253"/>
        <v>0</v>
      </c>
      <c r="BG306" s="38">
        <f t="shared" si="254"/>
        <v>0</v>
      </c>
      <c r="BH306" s="41">
        <f t="shared" si="255"/>
        <v>4.9999999999999991</v>
      </c>
      <c r="BI306" s="42">
        <f t="shared" si="256"/>
        <v>7.9792129803769898</v>
      </c>
      <c r="BJ306" s="38">
        <f t="shared" si="257"/>
        <v>3.9733372943940326</v>
      </c>
      <c r="BK306" s="38">
        <f t="shared" si="258"/>
        <v>1.0208289971038766</v>
      </c>
      <c r="BL306" s="16"/>
      <c r="BM306" s="16">
        <f t="shared" si="259"/>
        <v>0.49007598827637894</v>
      </c>
      <c r="BN306" s="16">
        <f t="shared" si="260"/>
        <v>0.49704416664539075</v>
      </c>
      <c r="BO306" s="16">
        <f t="shared" si="261"/>
        <v>1.2879845078230345E-2</v>
      </c>
      <c r="BP306" s="15"/>
      <c r="BQ306" s="38">
        <f t="shared" si="262"/>
        <v>0.92842876165113186</v>
      </c>
      <c r="BR306" s="38">
        <f t="shared" si="263"/>
        <v>0</v>
      </c>
      <c r="BS306" s="38">
        <f t="shared" si="264"/>
        <v>0.54727344056492744</v>
      </c>
      <c r="BT306" s="38">
        <f t="shared" si="265"/>
        <v>0</v>
      </c>
      <c r="BU306" s="38">
        <f t="shared" si="266"/>
        <v>2.1666462839104411E-3</v>
      </c>
      <c r="BV306" s="38">
        <f t="shared" si="267"/>
        <v>0</v>
      </c>
      <c r="BW306" s="38">
        <f t="shared" si="268"/>
        <v>0</v>
      </c>
      <c r="BX306" s="38">
        <f t="shared" si="269"/>
        <v>0.18580599144079887</v>
      </c>
      <c r="BY306" s="38">
        <f t="shared" si="270"/>
        <v>0.18844788641497257</v>
      </c>
      <c r="BZ306" s="38">
        <f t="shared" si="271"/>
        <v>4.8832271762208066E-3</v>
      </c>
      <c r="CA306" s="38">
        <f t="shared" si="272"/>
        <v>0</v>
      </c>
      <c r="CB306" s="38">
        <f t="shared" si="273"/>
        <v>0</v>
      </c>
      <c r="CC306" s="38">
        <f t="shared" si="274"/>
        <v>0</v>
      </c>
      <c r="CD306" s="38">
        <f t="shared" si="275"/>
        <v>1.8570059535319621</v>
      </c>
      <c r="CE306" s="38">
        <f t="shared" si="276"/>
        <v>2.9624058786699607</v>
      </c>
      <c r="CF306" s="38">
        <f t="shared" si="277"/>
        <v>2.6925061766712002</v>
      </c>
      <c r="CG306" s="38">
        <f t="shared" si="278"/>
        <v>7.9762961261259431</v>
      </c>
      <c r="CH306" s="15"/>
      <c r="CI306" s="16"/>
      <c r="CJ306" s="13"/>
      <c r="CK306" s="104"/>
      <c r="CL306" s="13"/>
      <c r="CM306" s="13"/>
      <c r="CN306" s="13"/>
      <c r="CO306" s="16"/>
      <c r="CP306" s="16"/>
      <c r="CQ306" s="16"/>
      <c r="CR306" s="16"/>
      <c r="CS306" s="16"/>
      <c r="CT306" s="16"/>
      <c r="CU306" s="16"/>
      <c r="CV306" s="16"/>
      <c r="CW306" s="16"/>
      <c r="CX306" s="16"/>
      <c r="CY306" s="104"/>
      <c r="CZ306" s="104"/>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3"/>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row>
    <row r="307" spans="1:167" x14ac:dyDescent="0.25">
      <c r="A307" s="35" t="s">
        <v>88</v>
      </c>
      <c r="B307" s="15">
        <v>954</v>
      </c>
      <c r="C307" s="102" t="s">
        <v>100</v>
      </c>
      <c r="D307" s="102" t="s">
        <v>104</v>
      </c>
      <c r="E307" s="15">
        <v>112</v>
      </c>
      <c r="F307" s="16">
        <v>64.8</v>
      </c>
      <c r="G307" s="16">
        <v>0</v>
      </c>
      <c r="H307" s="16">
        <v>22.05</v>
      </c>
      <c r="I307" s="16">
        <v>0</v>
      </c>
      <c r="J307" s="16">
        <v>0.10438225501664718</v>
      </c>
      <c r="K307" s="16">
        <v>0</v>
      </c>
      <c r="L307" s="16">
        <v>0</v>
      </c>
      <c r="M307" s="16">
        <v>3.13</v>
      </c>
      <c r="N307" s="16">
        <v>10.15</v>
      </c>
      <c r="O307" s="16">
        <v>0.57799999999999996</v>
      </c>
      <c r="P307" s="16">
        <v>0</v>
      </c>
      <c r="Q307" s="16"/>
      <c r="R307" s="16"/>
      <c r="S307" s="16">
        <f t="shared" si="224"/>
        <v>100.81238225501664</v>
      </c>
      <c r="T307" s="16"/>
      <c r="U307" s="15"/>
      <c r="V307" s="15">
        <v>21</v>
      </c>
      <c r="W307" s="15"/>
      <c r="X307" s="15" t="s">
        <v>187</v>
      </c>
      <c r="Y307" s="15"/>
      <c r="Z307" s="37">
        <v>8</v>
      </c>
      <c r="AA307" s="37">
        <v>5</v>
      </c>
      <c r="AB307" s="15"/>
      <c r="AC307" s="38">
        <f t="shared" si="225"/>
        <v>2.8448040304396036</v>
      </c>
      <c r="AD307" s="38">
        <f t="shared" si="226"/>
        <v>0</v>
      </c>
      <c r="AE307" s="38">
        <f t="shared" si="227"/>
        <v>1.140817134346225</v>
      </c>
      <c r="AF307" s="38">
        <f t="shared" si="228"/>
        <v>0</v>
      </c>
      <c r="AG307" s="38">
        <f t="shared" si="229"/>
        <v>3.8318383101467748E-3</v>
      </c>
      <c r="AH307" s="38">
        <f t="shared" si="230"/>
        <v>0</v>
      </c>
      <c r="AI307" s="38">
        <f t="shared" si="231"/>
        <v>0</v>
      </c>
      <c r="AJ307" s="38">
        <f t="shared" si="232"/>
        <v>0.14721213297740982</v>
      </c>
      <c r="AK307" s="38">
        <f t="shared" si="233"/>
        <v>0.8638766564535133</v>
      </c>
      <c r="AL307" s="38">
        <f t="shared" si="234"/>
        <v>3.2367876174285395E-2</v>
      </c>
      <c r="AM307" s="38">
        <f t="shared" si="235"/>
        <v>0</v>
      </c>
      <c r="AN307" s="38">
        <f t="shared" si="236"/>
        <v>0</v>
      </c>
      <c r="AO307" s="38">
        <f t="shared" si="237"/>
        <v>0</v>
      </c>
      <c r="AP307" s="38">
        <f t="shared" si="238"/>
        <v>5.0329096687011843</v>
      </c>
      <c r="AQ307" s="38">
        <f t="shared" si="239"/>
        <v>3.9856211647858286</v>
      </c>
      <c r="AR307" s="38">
        <f t="shared" si="240"/>
        <v>1.0434566656052084</v>
      </c>
      <c r="AS307" s="40"/>
      <c r="AT307" s="38">
        <f t="shared" si="241"/>
        <v>2.8262021551181018</v>
      </c>
      <c r="AU307" s="38">
        <f t="shared" si="242"/>
        <v>0</v>
      </c>
      <c r="AV307" s="38">
        <f t="shared" si="243"/>
        <v>1.1333574507017028</v>
      </c>
      <c r="AW307" s="38">
        <f t="shared" si="244"/>
        <v>0</v>
      </c>
      <c r="AX307" s="38">
        <f t="shared" si="245"/>
        <v>0</v>
      </c>
      <c r="AY307" s="38">
        <f t="shared" si="246"/>
        <v>3.8067823211454907E-3</v>
      </c>
      <c r="AZ307" s="38">
        <f t="shared" si="247"/>
        <v>0</v>
      </c>
      <c r="BA307" s="38">
        <f t="shared" si="248"/>
        <v>0</v>
      </c>
      <c r="BB307" s="38">
        <f t="shared" si="249"/>
        <v>0.14624952827277751</v>
      </c>
      <c r="BC307" s="38">
        <f t="shared" si="250"/>
        <v>0.85822785756102138</v>
      </c>
      <c r="BD307" s="38">
        <f t="shared" si="251"/>
        <v>3.2156226025251124E-2</v>
      </c>
      <c r="BE307" s="38">
        <f t="shared" si="252"/>
        <v>0</v>
      </c>
      <c r="BF307" s="38">
        <f t="shared" si="253"/>
        <v>0</v>
      </c>
      <c r="BG307" s="38">
        <f t="shared" si="254"/>
        <v>0</v>
      </c>
      <c r="BH307" s="41">
        <f t="shared" si="255"/>
        <v>5.0000000000000009</v>
      </c>
      <c r="BI307" s="42">
        <f t="shared" si="256"/>
        <v>7.9495922298363899</v>
      </c>
      <c r="BJ307" s="38">
        <f t="shared" si="257"/>
        <v>3.9595596058198046</v>
      </c>
      <c r="BK307" s="38">
        <f t="shared" si="258"/>
        <v>1.03663361185905</v>
      </c>
      <c r="BL307" s="16"/>
      <c r="BM307" s="16">
        <f t="shared" si="259"/>
        <v>0.14108121384420527</v>
      </c>
      <c r="BN307" s="16">
        <f t="shared" si="260"/>
        <v>0.82789892951851707</v>
      </c>
      <c r="BO307" s="16">
        <f t="shared" si="261"/>
        <v>3.1019856637277712E-2</v>
      </c>
      <c r="BP307" s="15"/>
      <c r="BQ307" s="38">
        <f t="shared" si="262"/>
        <v>1.0785619174434087</v>
      </c>
      <c r="BR307" s="38">
        <f t="shared" si="263"/>
        <v>0</v>
      </c>
      <c r="BS307" s="38">
        <f t="shared" si="264"/>
        <v>0.43252255786582977</v>
      </c>
      <c r="BT307" s="38">
        <f t="shared" si="265"/>
        <v>0</v>
      </c>
      <c r="BU307" s="38">
        <f t="shared" si="266"/>
        <v>1.4527801672463074E-3</v>
      </c>
      <c r="BV307" s="38">
        <f t="shared" si="267"/>
        <v>0</v>
      </c>
      <c r="BW307" s="38">
        <f t="shared" si="268"/>
        <v>0</v>
      </c>
      <c r="BX307" s="38">
        <f t="shared" si="269"/>
        <v>5.5813124108416545E-2</v>
      </c>
      <c r="BY307" s="38">
        <f t="shared" si="270"/>
        <v>0.32752500806711843</v>
      </c>
      <c r="BZ307" s="38">
        <f t="shared" si="271"/>
        <v>1.227176220806794E-2</v>
      </c>
      <c r="CA307" s="38">
        <f t="shared" si="272"/>
        <v>0</v>
      </c>
      <c r="CB307" s="38">
        <f t="shared" si="273"/>
        <v>0</v>
      </c>
      <c r="CC307" s="38">
        <f t="shared" si="274"/>
        <v>0</v>
      </c>
      <c r="CD307" s="38">
        <f t="shared" si="275"/>
        <v>1.9081471498600877</v>
      </c>
      <c r="CE307" s="38">
        <f t="shared" si="276"/>
        <v>3.0330719610988179</v>
      </c>
      <c r="CF307" s="38">
        <f t="shared" si="277"/>
        <v>2.6203429857946849</v>
      </c>
      <c r="CG307" s="38">
        <f t="shared" si="278"/>
        <v>7.9476888386758171</v>
      </c>
      <c r="CH307" s="15"/>
      <c r="CI307" s="16"/>
      <c r="CJ307" s="13"/>
      <c r="CK307" s="104"/>
      <c r="CL307" s="13"/>
      <c r="CM307" s="13"/>
      <c r="CN307" s="13"/>
      <c r="CO307" s="16"/>
      <c r="CP307" s="16"/>
      <c r="CQ307" s="16"/>
      <c r="CR307" s="16"/>
      <c r="CS307" s="16"/>
      <c r="CT307" s="16"/>
      <c r="CU307" s="16"/>
      <c r="CV307" s="16"/>
      <c r="CW307" s="16"/>
      <c r="CX307" s="16"/>
      <c r="CY307" s="104"/>
      <c r="CZ307" s="104"/>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3"/>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row>
    <row r="308" spans="1:167" x14ac:dyDescent="0.25">
      <c r="A308" s="35" t="s">
        <v>88</v>
      </c>
      <c r="B308" s="15">
        <v>955</v>
      </c>
      <c r="C308" s="102" t="s">
        <v>100</v>
      </c>
      <c r="D308" s="102" t="s">
        <v>104</v>
      </c>
      <c r="E308" s="15">
        <v>113</v>
      </c>
      <c r="F308" s="16">
        <v>65.91</v>
      </c>
      <c r="G308" s="16">
        <v>0</v>
      </c>
      <c r="H308" s="16">
        <v>18.649999999999999</v>
      </c>
      <c r="I308" s="16">
        <v>0</v>
      </c>
      <c r="J308" s="16">
        <v>0.13947628903086476</v>
      </c>
      <c r="K308" s="16">
        <v>0</v>
      </c>
      <c r="L308" s="16">
        <v>0</v>
      </c>
      <c r="M308" s="16">
        <v>3.7999999999999999E-2</v>
      </c>
      <c r="N308" s="16">
        <v>2.91</v>
      </c>
      <c r="O308" s="16">
        <v>13.45</v>
      </c>
      <c r="P308" s="16">
        <v>0</v>
      </c>
      <c r="Q308" s="16"/>
      <c r="R308" s="16"/>
      <c r="S308" s="16">
        <f t="shared" si="224"/>
        <v>101.09747628903087</v>
      </c>
      <c r="T308" s="16"/>
      <c r="U308" s="15"/>
      <c r="V308" s="15">
        <v>22</v>
      </c>
      <c r="W308" s="15"/>
      <c r="X308" s="15" t="s">
        <v>187</v>
      </c>
      <c r="Y308" s="15"/>
      <c r="Z308" s="37">
        <v>8</v>
      </c>
      <c r="AA308" s="37">
        <v>5</v>
      </c>
      <c r="AB308" s="15"/>
      <c r="AC308" s="38">
        <f t="shared" si="225"/>
        <v>2.9900477511608425</v>
      </c>
      <c r="AD308" s="38">
        <f t="shared" si="226"/>
        <v>0</v>
      </c>
      <c r="AE308" s="38">
        <f t="shared" si="227"/>
        <v>0.99709317013115972</v>
      </c>
      <c r="AF308" s="38">
        <f t="shared" si="228"/>
        <v>0</v>
      </c>
      <c r="AG308" s="38">
        <f t="shared" si="229"/>
        <v>5.2909096792579857E-3</v>
      </c>
      <c r="AH308" s="38">
        <f t="shared" si="230"/>
        <v>0</v>
      </c>
      <c r="AI308" s="38">
        <f t="shared" si="231"/>
        <v>0</v>
      </c>
      <c r="AJ308" s="38">
        <f t="shared" si="232"/>
        <v>1.8468529952470119E-3</v>
      </c>
      <c r="AK308" s="38">
        <f t="shared" si="233"/>
        <v>0.25593409714742155</v>
      </c>
      <c r="AL308" s="38">
        <f t="shared" si="234"/>
        <v>0.7783198624667198</v>
      </c>
      <c r="AM308" s="38">
        <f t="shared" si="235"/>
        <v>0</v>
      </c>
      <c r="AN308" s="38">
        <f t="shared" si="236"/>
        <v>0</v>
      </c>
      <c r="AO308" s="38">
        <f t="shared" si="237"/>
        <v>0</v>
      </c>
      <c r="AP308" s="38">
        <f t="shared" si="238"/>
        <v>5.0285326435806486</v>
      </c>
      <c r="AQ308" s="38">
        <f t="shared" si="239"/>
        <v>3.9871409212920024</v>
      </c>
      <c r="AR308" s="38">
        <f t="shared" si="240"/>
        <v>1.0361008126093885</v>
      </c>
      <c r="AS308" s="40"/>
      <c r="AT308" s="38">
        <f t="shared" si="241"/>
        <v>2.9730817746384663</v>
      </c>
      <c r="AU308" s="38">
        <f t="shared" si="242"/>
        <v>0</v>
      </c>
      <c r="AV308" s="38">
        <f t="shared" si="243"/>
        <v>0.99143551489521931</v>
      </c>
      <c r="AW308" s="38">
        <f t="shared" si="244"/>
        <v>0</v>
      </c>
      <c r="AX308" s="38">
        <f t="shared" si="245"/>
        <v>0</v>
      </c>
      <c r="AY308" s="38">
        <f t="shared" si="246"/>
        <v>5.2608882692770061E-3</v>
      </c>
      <c r="AZ308" s="38">
        <f t="shared" si="247"/>
        <v>0</v>
      </c>
      <c r="BA308" s="38">
        <f t="shared" si="248"/>
        <v>0</v>
      </c>
      <c r="BB308" s="38">
        <f t="shared" si="249"/>
        <v>1.8363736761306279E-3</v>
      </c>
      <c r="BC308" s="38">
        <f t="shared" si="250"/>
        <v>0.25448188894044799</v>
      </c>
      <c r="BD308" s="38">
        <f t="shared" si="251"/>
        <v>0.77390355958045898</v>
      </c>
      <c r="BE308" s="38">
        <f t="shared" si="252"/>
        <v>0</v>
      </c>
      <c r="BF308" s="38">
        <f t="shared" si="253"/>
        <v>0</v>
      </c>
      <c r="BG308" s="38">
        <f t="shared" si="254"/>
        <v>0</v>
      </c>
      <c r="BH308" s="41">
        <f t="shared" si="255"/>
        <v>5</v>
      </c>
      <c r="BI308" s="42">
        <f t="shared" si="256"/>
        <v>7.9572372519602617</v>
      </c>
      <c r="BJ308" s="38">
        <f t="shared" si="257"/>
        <v>3.9645172895336858</v>
      </c>
      <c r="BK308" s="38">
        <f t="shared" si="258"/>
        <v>1.0302218221970376</v>
      </c>
      <c r="BL308" s="16"/>
      <c r="BM308" s="16">
        <f t="shared" si="259"/>
        <v>1.7825031819015456E-3</v>
      </c>
      <c r="BN308" s="16">
        <f t="shared" si="260"/>
        <v>0.2470165972583877</v>
      </c>
      <c r="BO308" s="16">
        <f t="shared" si="261"/>
        <v>0.75120089955971059</v>
      </c>
      <c r="BP308" s="15"/>
      <c r="BQ308" s="38">
        <f t="shared" si="262"/>
        <v>1.0970372836218376</v>
      </c>
      <c r="BR308" s="38">
        <f t="shared" si="263"/>
        <v>0</v>
      </c>
      <c r="BS308" s="38">
        <f t="shared" si="264"/>
        <v>0.36582973715182426</v>
      </c>
      <c r="BT308" s="38">
        <f t="shared" si="265"/>
        <v>0</v>
      </c>
      <c r="BU308" s="38">
        <f t="shared" si="266"/>
        <v>1.941214878648083E-3</v>
      </c>
      <c r="BV308" s="38">
        <f t="shared" si="267"/>
        <v>0</v>
      </c>
      <c r="BW308" s="38">
        <f t="shared" si="268"/>
        <v>0</v>
      </c>
      <c r="BX308" s="38">
        <f t="shared" si="269"/>
        <v>6.7760342368045653E-4</v>
      </c>
      <c r="BY308" s="38">
        <f t="shared" si="270"/>
        <v>9.3901258470474355E-2</v>
      </c>
      <c r="BZ308" s="38">
        <f t="shared" si="271"/>
        <v>0.28556263269639065</v>
      </c>
      <c r="CA308" s="38">
        <f t="shared" si="272"/>
        <v>0</v>
      </c>
      <c r="CB308" s="38">
        <f t="shared" si="273"/>
        <v>0</v>
      </c>
      <c r="CC308" s="38">
        <f t="shared" si="274"/>
        <v>0</v>
      </c>
      <c r="CD308" s="38">
        <f t="shared" si="275"/>
        <v>1.8449497302428555</v>
      </c>
      <c r="CE308" s="38">
        <f t="shared" si="276"/>
        <v>2.9351699368571729</v>
      </c>
      <c r="CF308" s="38">
        <f t="shared" si="277"/>
        <v>2.7101009409843582</v>
      </c>
      <c r="CG308" s="38">
        <f t="shared" si="278"/>
        <v>7.9546068078256233</v>
      </c>
      <c r="CH308" s="15"/>
      <c r="CI308" s="16"/>
      <c r="CJ308" s="13"/>
      <c r="CK308" s="104"/>
      <c r="CL308" s="13"/>
      <c r="CM308" s="13"/>
      <c r="CN308" s="13"/>
      <c r="CO308" s="16"/>
      <c r="CP308" s="16"/>
      <c r="CQ308" s="16"/>
      <c r="CR308" s="16"/>
      <c r="CS308" s="16"/>
      <c r="CT308" s="16"/>
      <c r="CU308" s="16"/>
      <c r="CV308" s="16"/>
      <c r="CW308" s="16"/>
      <c r="CX308" s="16"/>
      <c r="CY308" s="104"/>
      <c r="CZ308" s="104"/>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3"/>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row>
    <row r="309" spans="1:167" x14ac:dyDescent="0.25">
      <c r="A309" s="35" t="s">
        <v>88</v>
      </c>
      <c r="B309" s="15">
        <v>956</v>
      </c>
      <c r="C309" s="102" t="s">
        <v>100</v>
      </c>
      <c r="D309" s="102" t="s">
        <v>104</v>
      </c>
      <c r="E309" s="15">
        <v>114</v>
      </c>
      <c r="F309" s="16">
        <v>65.83</v>
      </c>
      <c r="G309" s="16">
        <v>0</v>
      </c>
      <c r="H309" s="16">
        <v>18.79</v>
      </c>
      <c r="I309" s="16">
        <v>0</v>
      </c>
      <c r="J309" s="16">
        <v>0.45082336002879514</v>
      </c>
      <c r="K309" s="16">
        <v>0</v>
      </c>
      <c r="L309" s="16">
        <v>0</v>
      </c>
      <c r="M309" s="16">
        <v>2.1999999999999999E-2</v>
      </c>
      <c r="N309" s="16">
        <v>2.68</v>
      </c>
      <c r="O309" s="16">
        <v>13.57</v>
      </c>
      <c r="P309" s="16">
        <v>0</v>
      </c>
      <c r="Q309" s="16"/>
      <c r="R309" s="16"/>
      <c r="S309" s="16">
        <f t="shared" si="224"/>
        <v>101.3428233600288</v>
      </c>
      <c r="T309" s="16"/>
      <c r="U309" s="15"/>
      <c r="V309" s="15">
        <v>23</v>
      </c>
      <c r="W309" s="15"/>
      <c r="X309" s="15" t="s">
        <v>187</v>
      </c>
      <c r="Y309" s="15"/>
      <c r="Z309" s="37">
        <v>8</v>
      </c>
      <c r="AA309" s="37">
        <v>5</v>
      </c>
      <c r="AB309" s="15"/>
      <c r="AC309" s="38">
        <f t="shared" si="225"/>
        <v>2.9833010632961217</v>
      </c>
      <c r="AD309" s="38">
        <f t="shared" si="226"/>
        <v>0</v>
      </c>
      <c r="AE309" s="38">
        <f t="shared" si="227"/>
        <v>1.0035294009607929</v>
      </c>
      <c r="AF309" s="38">
        <f t="shared" si="228"/>
        <v>0</v>
      </c>
      <c r="AG309" s="38">
        <f t="shared" si="229"/>
        <v>1.7083733613573671E-2</v>
      </c>
      <c r="AH309" s="38">
        <f t="shared" si="230"/>
        <v>0</v>
      </c>
      <c r="AI309" s="38">
        <f t="shared" si="231"/>
        <v>0</v>
      </c>
      <c r="AJ309" s="38">
        <f t="shared" si="232"/>
        <v>1.068114541514087E-3</v>
      </c>
      <c r="AK309" s="38">
        <f t="shared" si="233"/>
        <v>0.23545958248721705</v>
      </c>
      <c r="AL309" s="38">
        <f t="shared" si="234"/>
        <v>0.78444426513573906</v>
      </c>
      <c r="AM309" s="38">
        <f t="shared" si="235"/>
        <v>0</v>
      </c>
      <c r="AN309" s="38">
        <f t="shared" si="236"/>
        <v>0</v>
      </c>
      <c r="AO309" s="38">
        <f t="shared" si="237"/>
        <v>0</v>
      </c>
      <c r="AP309" s="38">
        <f t="shared" si="238"/>
        <v>5.0248861600349581</v>
      </c>
      <c r="AQ309" s="38">
        <f t="shared" si="239"/>
        <v>3.9868304642569146</v>
      </c>
      <c r="AR309" s="38">
        <f t="shared" si="240"/>
        <v>1.0209719621644702</v>
      </c>
      <c r="AS309" s="40"/>
      <c r="AT309" s="38">
        <f t="shared" si="241"/>
        <v>2.9685260205729387</v>
      </c>
      <c r="AU309" s="38">
        <f t="shared" si="242"/>
        <v>0</v>
      </c>
      <c r="AV309" s="38">
        <f t="shared" si="243"/>
        <v>0.9985593394555744</v>
      </c>
      <c r="AW309" s="38">
        <f t="shared" si="244"/>
        <v>0</v>
      </c>
      <c r="AX309" s="38">
        <f t="shared" si="245"/>
        <v>0</v>
      </c>
      <c r="AY309" s="38">
        <f t="shared" si="246"/>
        <v>1.6999125024411321E-2</v>
      </c>
      <c r="AZ309" s="38">
        <f t="shared" si="247"/>
        <v>0</v>
      </c>
      <c r="BA309" s="38">
        <f t="shared" si="248"/>
        <v>0</v>
      </c>
      <c r="BB309" s="38">
        <f t="shared" si="249"/>
        <v>1.0628246168134646E-3</v>
      </c>
      <c r="BC309" s="38">
        <f t="shared" si="250"/>
        <v>0.23429344963068671</v>
      </c>
      <c r="BD309" s="38">
        <f t="shared" si="251"/>
        <v>0.78055924069957605</v>
      </c>
      <c r="BE309" s="38">
        <f t="shared" si="252"/>
        <v>0</v>
      </c>
      <c r="BF309" s="38">
        <f t="shared" si="253"/>
        <v>0</v>
      </c>
      <c r="BG309" s="38">
        <f t="shared" si="254"/>
        <v>0</v>
      </c>
      <c r="BH309" s="41">
        <f t="shared" si="255"/>
        <v>5.0000000000000009</v>
      </c>
      <c r="BI309" s="42">
        <f t="shared" si="256"/>
        <v>7.9688789076478015</v>
      </c>
      <c r="BJ309" s="38">
        <f t="shared" si="257"/>
        <v>3.9670853600285132</v>
      </c>
      <c r="BK309" s="38">
        <f t="shared" si="258"/>
        <v>1.0159155149470762</v>
      </c>
      <c r="BL309" s="16"/>
      <c r="BM309" s="16">
        <f t="shared" si="259"/>
        <v>1.0461742154502208E-3</v>
      </c>
      <c r="BN309" s="16">
        <f t="shared" si="260"/>
        <v>0.23062296636240678</v>
      </c>
      <c r="BO309" s="16">
        <f t="shared" si="261"/>
        <v>0.76833085942214308</v>
      </c>
      <c r="BP309" s="15"/>
      <c r="BQ309" s="38">
        <f t="shared" si="262"/>
        <v>1.0957057256990679</v>
      </c>
      <c r="BR309" s="38">
        <f t="shared" si="263"/>
        <v>0</v>
      </c>
      <c r="BS309" s="38">
        <f t="shared" si="264"/>
        <v>0.36857591212240093</v>
      </c>
      <c r="BT309" s="38">
        <f t="shared" si="265"/>
        <v>0</v>
      </c>
      <c r="BU309" s="38">
        <f t="shared" si="266"/>
        <v>6.2745074464689654E-3</v>
      </c>
      <c r="BV309" s="38">
        <f t="shared" si="267"/>
        <v>0</v>
      </c>
      <c r="BW309" s="38">
        <f t="shared" si="268"/>
        <v>0</v>
      </c>
      <c r="BX309" s="38">
        <f t="shared" si="269"/>
        <v>3.9229671897289585E-4</v>
      </c>
      <c r="BY309" s="38">
        <f t="shared" si="270"/>
        <v>8.6479509519199749E-2</v>
      </c>
      <c r="BZ309" s="38">
        <f t="shared" si="271"/>
        <v>0.28811040339702759</v>
      </c>
      <c r="CA309" s="38">
        <f t="shared" si="272"/>
        <v>0</v>
      </c>
      <c r="CB309" s="38">
        <f t="shared" si="273"/>
        <v>0</v>
      </c>
      <c r="CC309" s="38">
        <f t="shared" si="274"/>
        <v>0</v>
      </c>
      <c r="CD309" s="38">
        <f t="shared" si="275"/>
        <v>1.8455383549031379</v>
      </c>
      <c r="CE309" s="38">
        <f t="shared" si="276"/>
        <v>2.9382370802052931</v>
      </c>
      <c r="CF309" s="38">
        <f t="shared" si="277"/>
        <v>2.7092365686772317</v>
      </c>
      <c r="CG309" s="38">
        <f t="shared" si="278"/>
        <v>7.9603793451355962</v>
      </c>
      <c r="CH309" s="15"/>
      <c r="CI309" s="16"/>
      <c r="CJ309" s="13"/>
      <c r="CK309" s="104"/>
      <c r="CL309" s="13"/>
      <c r="CM309" s="13"/>
      <c r="CN309" s="13"/>
      <c r="CO309" s="16"/>
      <c r="CP309" s="16"/>
      <c r="CQ309" s="16"/>
      <c r="CR309" s="16"/>
      <c r="CS309" s="16"/>
      <c r="CT309" s="16"/>
      <c r="CU309" s="16"/>
      <c r="CV309" s="16"/>
      <c r="CW309" s="16"/>
      <c r="CX309" s="16"/>
      <c r="CY309" s="104"/>
      <c r="CZ309" s="104"/>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3"/>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row>
    <row r="310" spans="1:167" x14ac:dyDescent="0.25">
      <c r="A310" s="35" t="s">
        <v>92</v>
      </c>
      <c r="B310" s="15">
        <v>1003</v>
      </c>
      <c r="C310" s="102" t="s">
        <v>255</v>
      </c>
      <c r="D310" s="102" t="s">
        <v>106</v>
      </c>
      <c r="E310" s="15">
        <v>161</v>
      </c>
      <c r="F310" s="16">
        <v>64.900000000000006</v>
      </c>
      <c r="G310" s="16">
        <v>0</v>
      </c>
      <c r="H310" s="16">
        <v>18.11</v>
      </c>
      <c r="I310" s="16">
        <v>0</v>
      </c>
      <c r="J310" s="16">
        <v>0.33500000000000002</v>
      </c>
      <c r="K310" s="16">
        <v>0</v>
      </c>
      <c r="L310" s="16">
        <v>0.01</v>
      </c>
      <c r="M310" s="16">
        <v>0.39300000000000002</v>
      </c>
      <c r="N310" s="16">
        <v>4.22</v>
      </c>
      <c r="O310" s="16">
        <v>10.210000000000001</v>
      </c>
      <c r="P310" s="16">
        <v>0.01</v>
      </c>
      <c r="Q310" s="16"/>
      <c r="R310" s="16"/>
      <c r="S310" s="16">
        <f t="shared" si="224"/>
        <v>98.188000000000002</v>
      </c>
      <c r="T310" s="16"/>
      <c r="U310" s="15"/>
      <c r="V310" s="15"/>
      <c r="W310" s="15"/>
      <c r="X310" s="15" t="s">
        <v>252</v>
      </c>
      <c r="Y310" s="15" t="s">
        <v>260</v>
      </c>
      <c r="Z310" s="37">
        <v>8</v>
      </c>
      <c r="AA310" s="37">
        <v>5</v>
      </c>
      <c r="AB310" s="15"/>
      <c r="AC310" s="38">
        <f t="shared" si="225"/>
        <v>2.9984919692722429</v>
      </c>
      <c r="AD310" s="38">
        <f t="shared" si="226"/>
        <v>0</v>
      </c>
      <c r="AE310" s="38">
        <f t="shared" si="227"/>
        <v>0.98606770744148131</v>
      </c>
      <c r="AF310" s="38">
        <f t="shared" si="228"/>
        <v>0</v>
      </c>
      <c r="AG310" s="38">
        <f t="shared" si="229"/>
        <v>1.2942141738780945E-2</v>
      </c>
      <c r="AH310" s="38">
        <f t="shared" si="230"/>
        <v>0</v>
      </c>
      <c r="AI310" s="38">
        <f t="shared" si="231"/>
        <v>6.8878403313315129E-4</v>
      </c>
      <c r="AJ310" s="38">
        <f t="shared" si="232"/>
        <v>1.9452376316618291E-2</v>
      </c>
      <c r="AK310" s="38">
        <f t="shared" si="233"/>
        <v>0.37798885246473862</v>
      </c>
      <c r="AL310" s="38">
        <f t="shared" si="234"/>
        <v>0.60171792914026712</v>
      </c>
      <c r="AM310" s="38">
        <f t="shared" si="235"/>
        <v>3.9112296090271941E-4</v>
      </c>
      <c r="AN310" s="38">
        <f t="shared" si="236"/>
        <v>0</v>
      </c>
      <c r="AO310" s="38">
        <f t="shared" si="237"/>
        <v>0</v>
      </c>
      <c r="AP310" s="38">
        <f t="shared" si="238"/>
        <v>4.9977408833681647</v>
      </c>
      <c r="AQ310" s="38">
        <f t="shared" si="239"/>
        <v>3.9845596767137241</v>
      </c>
      <c r="AR310" s="38">
        <f t="shared" si="240"/>
        <v>0.99915915792162402</v>
      </c>
      <c r="AS310" s="40"/>
      <c r="AT310" s="38">
        <f t="shared" si="241"/>
        <v>2.9998473702896806</v>
      </c>
      <c r="AU310" s="38">
        <f t="shared" si="242"/>
        <v>0</v>
      </c>
      <c r="AV310" s="38">
        <f t="shared" si="243"/>
        <v>0.98651343722419371</v>
      </c>
      <c r="AW310" s="38">
        <f t="shared" si="244"/>
        <v>0</v>
      </c>
      <c r="AX310" s="38">
        <f t="shared" si="245"/>
        <v>1.2947991943570663E-2</v>
      </c>
      <c r="AY310" s="38">
        <f t="shared" si="246"/>
        <v>0</v>
      </c>
      <c r="AZ310" s="38">
        <f t="shared" si="247"/>
        <v>0</v>
      </c>
      <c r="BA310" s="38">
        <f t="shared" si="248"/>
        <v>6.8909538250105701E-4</v>
      </c>
      <c r="BB310" s="38">
        <f t="shared" si="249"/>
        <v>1.9461169326878552E-2</v>
      </c>
      <c r="BC310" s="38">
        <f t="shared" si="250"/>
        <v>0.37815971384454583</v>
      </c>
      <c r="BD310" s="38">
        <f t="shared" si="251"/>
        <v>0.6019899222293682</v>
      </c>
      <c r="BE310" s="38">
        <f t="shared" si="252"/>
        <v>3.912997592615556E-4</v>
      </c>
      <c r="BF310" s="38">
        <f t="shared" si="253"/>
        <v>0</v>
      </c>
      <c r="BG310" s="38">
        <f t="shared" si="254"/>
        <v>0</v>
      </c>
      <c r="BH310" s="41">
        <f t="shared" si="255"/>
        <v>5</v>
      </c>
      <c r="BI310" s="42">
        <f t="shared" si="256"/>
        <v>8.0036162205037122</v>
      </c>
      <c r="BJ310" s="38">
        <f t="shared" si="257"/>
        <v>3.9863608075138743</v>
      </c>
      <c r="BK310" s="38">
        <f t="shared" si="258"/>
        <v>0.99961080540079261</v>
      </c>
      <c r="BL310" s="16"/>
      <c r="BM310" s="16">
        <f t="shared" si="259"/>
        <v>1.9468746457853289E-2</v>
      </c>
      <c r="BN310" s="16">
        <f t="shared" si="260"/>
        <v>0.37830694886588712</v>
      </c>
      <c r="BO310" s="16">
        <f t="shared" si="261"/>
        <v>0.60222430467625965</v>
      </c>
      <c r="BP310" s="15"/>
      <c r="BQ310" s="38">
        <f t="shared" si="262"/>
        <v>1.0802263648468711</v>
      </c>
      <c r="BR310" s="38">
        <f t="shared" si="263"/>
        <v>0</v>
      </c>
      <c r="BS310" s="38">
        <f t="shared" si="264"/>
        <v>0.35523734797959983</v>
      </c>
      <c r="BT310" s="38">
        <f t="shared" si="265"/>
        <v>0</v>
      </c>
      <c r="BU310" s="38">
        <f t="shared" si="266"/>
        <v>4.6624913013221993E-3</v>
      </c>
      <c r="BV310" s="38">
        <f t="shared" si="267"/>
        <v>0</v>
      </c>
      <c r="BW310" s="38">
        <f t="shared" si="268"/>
        <v>2.4813895781637717E-4</v>
      </c>
      <c r="BX310" s="38">
        <f t="shared" si="269"/>
        <v>7.0078459343794587E-3</v>
      </c>
      <c r="BY310" s="38">
        <f t="shared" si="270"/>
        <v>0.13617295901903839</v>
      </c>
      <c r="BZ310" s="38">
        <f t="shared" si="271"/>
        <v>0.21677282377919321</v>
      </c>
      <c r="CA310" s="38">
        <f t="shared" si="272"/>
        <v>1.409046075806679E-4</v>
      </c>
      <c r="CB310" s="38">
        <f t="shared" si="273"/>
        <v>0</v>
      </c>
      <c r="CC310" s="38">
        <f t="shared" si="274"/>
        <v>0</v>
      </c>
      <c r="CD310" s="38">
        <f t="shared" si="275"/>
        <v>1.8004688764258012</v>
      </c>
      <c r="CE310" s="38">
        <f t="shared" si="276"/>
        <v>2.8820523807747276</v>
      </c>
      <c r="CF310" s="38">
        <f t="shared" si="277"/>
        <v>2.7770543914792598</v>
      </c>
      <c r="CG310" s="38">
        <f t="shared" si="278"/>
        <v>8.0036162205037122</v>
      </c>
      <c r="CH310" s="15"/>
      <c r="CI310" s="16"/>
      <c r="CJ310" s="13"/>
      <c r="CK310" s="104"/>
      <c r="CL310" s="13"/>
      <c r="CM310" s="13"/>
      <c r="CN310" s="13"/>
      <c r="CO310" s="16"/>
      <c r="CP310" s="16"/>
      <c r="CQ310" s="16"/>
      <c r="CR310" s="16"/>
      <c r="CS310" s="16"/>
      <c r="CT310" s="16"/>
      <c r="CU310" s="16"/>
      <c r="CV310" s="16"/>
      <c r="CW310" s="16"/>
      <c r="CX310" s="16"/>
      <c r="CY310" s="104"/>
      <c r="CZ310" s="104"/>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3"/>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row>
    <row r="311" spans="1:167" x14ac:dyDescent="0.25">
      <c r="A311" s="35" t="s">
        <v>92</v>
      </c>
      <c r="B311" s="15">
        <v>1040</v>
      </c>
      <c r="C311" s="102" t="s">
        <v>255</v>
      </c>
      <c r="D311" s="102" t="s">
        <v>106</v>
      </c>
      <c r="E311" s="15">
        <v>198</v>
      </c>
      <c r="F311" s="16">
        <v>64.150000000000006</v>
      </c>
      <c r="G311" s="16"/>
      <c r="H311" s="16">
        <v>22.02</v>
      </c>
      <c r="I311" s="16"/>
      <c r="J311" s="44">
        <v>0.249</v>
      </c>
      <c r="K311" s="16"/>
      <c r="L311" s="16"/>
      <c r="M311" s="16">
        <v>3.84</v>
      </c>
      <c r="N311" s="16">
        <v>9</v>
      </c>
      <c r="O311" s="16">
        <v>1.63</v>
      </c>
      <c r="P311" s="16"/>
      <c r="Q311" s="16"/>
      <c r="R311" s="16"/>
      <c r="S311" s="16">
        <f t="shared" si="224"/>
        <v>100.889</v>
      </c>
      <c r="T311" s="16"/>
      <c r="U311" s="15">
        <v>1</v>
      </c>
      <c r="V311" s="15">
        <v>14</v>
      </c>
      <c r="W311" s="15">
        <v>211.90000000000006</v>
      </c>
      <c r="X311" s="15" t="s">
        <v>186</v>
      </c>
      <c r="Y311" s="15"/>
      <c r="Z311" s="37">
        <v>8</v>
      </c>
      <c r="AA311" s="37">
        <v>5</v>
      </c>
      <c r="AB311" s="15"/>
      <c r="AC311" s="38">
        <f t="shared" si="225"/>
        <v>2.8304845739138158</v>
      </c>
      <c r="AD311" s="38">
        <f t="shared" si="226"/>
        <v>0</v>
      </c>
      <c r="AE311" s="38">
        <f t="shared" si="227"/>
        <v>1.1450159571327438</v>
      </c>
      <c r="AF311" s="38">
        <f t="shared" si="228"/>
        <v>0</v>
      </c>
      <c r="AG311" s="38">
        <f t="shared" si="229"/>
        <v>9.1868501022112446E-3</v>
      </c>
      <c r="AH311" s="38">
        <f t="shared" si="230"/>
        <v>0</v>
      </c>
      <c r="AI311" s="38">
        <f t="shared" si="231"/>
        <v>0</v>
      </c>
      <c r="AJ311" s="38">
        <f t="shared" si="232"/>
        <v>0.18151698739326</v>
      </c>
      <c r="AK311" s="38">
        <f t="shared" si="233"/>
        <v>0.76986573186516982</v>
      </c>
      <c r="AL311" s="38">
        <f t="shared" si="234"/>
        <v>9.1740426090393082E-2</v>
      </c>
      <c r="AM311" s="38">
        <f t="shared" si="235"/>
        <v>0</v>
      </c>
      <c r="AN311" s="38">
        <f t="shared" si="236"/>
        <v>0</v>
      </c>
      <c r="AO311" s="38">
        <f t="shared" si="237"/>
        <v>0</v>
      </c>
      <c r="AP311" s="38">
        <f t="shared" si="238"/>
        <v>5.0278105264975936</v>
      </c>
      <c r="AQ311" s="38">
        <f t="shared" si="239"/>
        <v>3.9755005310465599</v>
      </c>
      <c r="AR311" s="38">
        <f t="shared" si="240"/>
        <v>1.043123145348823</v>
      </c>
      <c r="AS311" s="40"/>
      <c r="AT311" s="38">
        <f t="shared" si="241"/>
        <v>2.8148282030484051</v>
      </c>
      <c r="AU311" s="38">
        <f t="shared" si="242"/>
        <v>0</v>
      </c>
      <c r="AV311" s="38">
        <f t="shared" si="243"/>
        <v>1.1386824852470818</v>
      </c>
      <c r="AW311" s="38">
        <f t="shared" si="244"/>
        <v>0</v>
      </c>
      <c r="AX311" s="38">
        <f t="shared" si="245"/>
        <v>0</v>
      </c>
      <c r="AY311" s="38">
        <f t="shared" si="246"/>
        <v>9.1360345162120344E-3</v>
      </c>
      <c r="AZ311" s="38">
        <f t="shared" si="247"/>
        <v>0</v>
      </c>
      <c r="BA311" s="38">
        <f t="shared" si="248"/>
        <v>0</v>
      </c>
      <c r="BB311" s="38">
        <f t="shared" si="249"/>
        <v>0.18051295532779946</v>
      </c>
      <c r="BC311" s="38">
        <f t="shared" si="250"/>
        <v>0.76560734320418333</v>
      </c>
      <c r="BD311" s="38">
        <f t="shared" si="251"/>
        <v>9.1232978656317881E-2</v>
      </c>
      <c r="BE311" s="38">
        <f t="shared" si="252"/>
        <v>0</v>
      </c>
      <c r="BF311" s="38">
        <f t="shared" si="253"/>
        <v>0</v>
      </c>
      <c r="BG311" s="38">
        <f t="shared" si="254"/>
        <v>0</v>
      </c>
      <c r="BH311" s="41">
        <f t="shared" si="255"/>
        <v>4.9999999999999991</v>
      </c>
      <c r="BI311" s="42">
        <f t="shared" si="256"/>
        <v>7.960317301999801</v>
      </c>
      <c r="BJ311" s="38">
        <f t="shared" si="257"/>
        <v>3.9535106882954869</v>
      </c>
      <c r="BK311" s="38">
        <f t="shared" si="258"/>
        <v>1.0373532771883007</v>
      </c>
      <c r="BL311" s="16"/>
      <c r="BM311" s="16">
        <f t="shared" si="259"/>
        <v>0.17401299952227622</v>
      </c>
      <c r="BN311" s="16">
        <f t="shared" si="260"/>
        <v>0.73803916181701135</v>
      </c>
      <c r="BO311" s="16">
        <f t="shared" si="261"/>
        <v>8.7947838660712346E-2</v>
      </c>
      <c r="BP311" s="15"/>
      <c r="BQ311" s="38">
        <f t="shared" si="262"/>
        <v>1.0677430093209055</v>
      </c>
      <c r="BR311" s="38">
        <f t="shared" si="263"/>
        <v>0</v>
      </c>
      <c r="BS311" s="38">
        <f t="shared" si="264"/>
        <v>0.43193409180070619</v>
      </c>
      <c r="BT311" s="38">
        <f t="shared" si="265"/>
        <v>0</v>
      </c>
      <c r="BU311" s="38">
        <f t="shared" si="266"/>
        <v>3.4655532359081421E-3</v>
      </c>
      <c r="BV311" s="38">
        <f t="shared" si="267"/>
        <v>0</v>
      </c>
      <c r="BW311" s="38">
        <f t="shared" si="268"/>
        <v>0</v>
      </c>
      <c r="BX311" s="38">
        <f t="shared" si="269"/>
        <v>6.8473609129814553E-2</v>
      </c>
      <c r="BY311" s="38">
        <f t="shared" si="270"/>
        <v>0.29041626331074544</v>
      </c>
      <c r="BZ311" s="38">
        <f t="shared" si="271"/>
        <v>3.4607218683651804E-2</v>
      </c>
      <c r="CA311" s="38">
        <f t="shared" si="272"/>
        <v>0</v>
      </c>
      <c r="CB311" s="38">
        <f t="shared" si="273"/>
        <v>0</v>
      </c>
      <c r="CC311" s="38">
        <f t="shared" si="274"/>
        <v>0</v>
      </c>
      <c r="CD311" s="38">
        <f t="shared" si="275"/>
        <v>1.8966397454817319</v>
      </c>
      <c r="CE311" s="38">
        <f t="shared" si="276"/>
        <v>3.0178380597057917</v>
      </c>
      <c r="CF311" s="38">
        <f t="shared" si="277"/>
        <v>2.6362412850997377</v>
      </c>
      <c r="CG311" s="38">
        <f t="shared" si="278"/>
        <v>7.9557492847416951</v>
      </c>
      <c r="CH311" s="15"/>
      <c r="CI311" s="16"/>
      <c r="CJ311" s="13"/>
      <c r="CK311" s="104"/>
      <c r="CL311" s="13"/>
      <c r="CM311" s="13"/>
      <c r="CN311" s="13"/>
      <c r="CO311" s="16"/>
      <c r="CP311" s="16"/>
      <c r="CQ311" s="16"/>
      <c r="CR311" s="16"/>
      <c r="CS311" s="16"/>
      <c r="CT311" s="16"/>
      <c r="CU311" s="16"/>
      <c r="CV311" s="16"/>
      <c r="CW311" s="16"/>
      <c r="CX311" s="16"/>
      <c r="CY311" s="104"/>
      <c r="CZ311" s="104"/>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3"/>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row>
    <row r="312" spans="1:167" x14ac:dyDescent="0.25">
      <c r="A312" s="35" t="s">
        <v>92</v>
      </c>
      <c r="B312" s="15">
        <v>1041</v>
      </c>
      <c r="C312" s="102" t="s">
        <v>255</v>
      </c>
      <c r="D312" s="102" t="s">
        <v>106</v>
      </c>
      <c r="E312" s="15">
        <v>199</v>
      </c>
      <c r="F312" s="16">
        <v>57.31</v>
      </c>
      <c r="G312" s="16"/>
      <c r="H312" s="16">
        <v>26.79</v>
      </c>
      <c r="I312" s="16"/>
      <c r="J312" s="44">
        <v>0.38100000000000001</v>
      </c>
      <c r="K312" s="16"/>
      <c r="L312" s="16"/>
      <c r="M312" s="16">
        <v>9.3800000000000008</v>
      </c>
      <c r="N312" s="16">
        <v>6.45</v>
      </c>
      <c r="O312" s="16">
        <v>0.44600000000000001</v>
      </c>
      <c r="P312" s="16"/>
      <c r="Q312" s="16"/>
      <c r="R312" s="16"/>
      <c r="S312" s="16">
        <f t="shared" si="224"/>
        <v>100.75699999999999</v>
      </c>
      <c r="T312" s="16"/>
      <c r="U312" s="15">
        <v>1</v>
      </c>
      <c r="V312" s="15">
        <v>13</v>
      </c>
      <c r="W312" s="15">
        <v>195.60000000000005</v>
      </c>
      <c r="X312" s="15" t="s">
        <v>186</v>
      </c>
      <c r="Y312" s="15"/>
      <c r="Z312" s="37">
        <v>8</v>
      </c>
      <c r="AA312" s="37">
        <v>5</v>
      </c>
      <c r="AB312" s="15"/>
      <c r="AC312" s="38">
        <f t="shared" si="225"/>
        <v>2.5630240863431308</v>
      </c>
      <c r="AD312" s="38">
        <f t="shared" si="226"/>
        <v>0</v>
      </c>
      <c r="AE312" s="38">
        <f t="shared" si="227"/>
        <v>1.4119687520548392</v>
      </c>
      <c r="AF312" s="38">
        <f t="shared" si="228"/>
        <v>0</v>
      </c>
      <c r="AG312" s="38">
        <f t="shared" si="229"/>
        <v>1.4247885169549562E-2</v>
      </c>
      <c r="AH312" s="38">
        <f t="shared" si="230"/>
        <v>0</v>
      </c>
      <c r="AI312" s="38">
        <f t="shared" si="231"/>
        <v>0</v>
      </c>
      <c r="AJ312" s="38">
        <f t="shared" si="232"/>
        <v>0.44941445449477108</v>
      </c>
      <c r="AK312" s="38">
        <f t="shared" si="233"/>
        <v>0.55922984586826141</v>
      </c>
      <c r="AL312" s="38">
        <f t="shared" si="234"/>
        <v>2.5442873266057733E-2</v>
      </c>
      <c r="AM312" s="38">
        <f t="shared" si="235"/>
        <v>0</v>
      </c>
      <c r="AN312" s="38">
        <f t="shared" si="236"/>
        <v>0</v>
      </c>
      <c r="AO312" s="38">
        <f t="shared" si="237"/>
        <v>0</v>
      </c>
      <c r="AP312" s="38">
        <f t="shared" si="238"/>
        <v>5.0233278971966095</v>
      </c>
      <c r="AQ312" s="38">
        <f t="shared" si="239"/>
        <v>3.97499283839797</v>
      </c>
      <c r="AR312" s="38">
        <f t="shared" si="240"/>
        <v>1.0340871736290902</v>
      </c>
      <c r="AS312" s="40"/>
      <c r="AT312" s="38">
        <f t="shared" si="241"/>
        <v>2.5511216257388738</v>
      </c>
      <c r="AU312" s="38">
        <f t="shared" si="242"/>
        <v>0</v>
      </c>
      <c r="AV312" s="38">
        <f t="shared" si="243"/>
        <v>1.4054116921601143</v>
      </c>
      <c r="AW312" s="38">
        <f t="shared" si="244"/>
        <v>0</v>
      </c>
      <c r="AX312" s="38">
        <f t="shared" si="245"/>
        <v>0</v>
      </c>
      <c r="AY312" s="38">
        <f t="shared" si="246"/>
        <v>1.4181719231887033E-2</v>
      </c>
      <c r="AZ312" s="38">
        <f t="shared" si="247"/>
        <v>0</v>
      </c>
      <c r="BA312" s="38">
        <f t="shared" si="248"/>
        <v>0</v>
      </c>
      <c r="BB312" s="38">
        <f t="shared" si="249"/>
        <v>0.44732741291443245</v>
      </c>
      <c r="BC312" s="38">
        <f t="shared" si="250"/>
        <v>0.5566328311758757</v>
      </c>
      <c r="BD312" s="38">
        <f t="shared" si="251"/>
        <v>2.5324718778816677E-2</v>
      </c>
      <c r="BE312" s="38">
        <f t="shared" si="252"/>
        <v>0</v>
      </c>
      <c r="BF312" s="38">
        <f t="shared" si="253"/>
        <v>0</v>
      </c>
      <c r="BG312" s="38">
        <f t="shared" si="254"/>
        <v>0</v>
      </c>
      <c r="BH312" s="41">
        <f t="shared" si="255"/>
        <v>4.9999999999999991</v>
      </c>
      <c r="BI312" s="42">
        <f t="shared" si="256"/>
        <v>7.9699395564575282</v>
      </c>
      <c r="BJ312" s="38">
        <f t="shared" si="257"/>
        <v>3.9565333178989883</v>
      </c>
      <c r="BK312" s="38">
        <f t="shared" si="258"/>
        <v>1.0292849628691247</v>
      </c>
      <c r="BL312" s="16"/>
      <c r="BM312" s="16">
        <f t="shared" si="259"/>
        <v>0.4346001632701505</v>
      </c>
      <c r="BN312" s="16">
        <f t="shared" si="260"/>
        <v>0.54079565062746615</v>
      </c>
      <c r="BO312" s="16">
        <f t="shared" si="261"/>
        <v>2.4604186102383345E-2</v>
      </c>
      <c r="BP312" s="15"/>
      <c r="BQ312" s="38">
        <f t="shared" si="262"/>
        <v>0.95389480692410122</v>
      </c>
      <c r="BR312" s="38">
        <f t="shared" si="263"/>
        <v>0</v>
      </c>
      <c r="BS312" s="38">
        <f t="shared" si="264"/>
        <v>0.52550019615535504</v>
      </c>
      <c r="BT312" s="38">
        <f t="shared" si="265"/>
        <v>0</v>
      </c>
      <c r="BU312" s="38">
        <f t="shared" si="266"/>
        <v>5.3027139874739044E-3</v>
      </c>
      <c r="BV312" s="38">
        <f t="shared" si="267"/>
        <v>0</v>
      </c>
      <c r="BW312" s="38">
        <f t="shared" si="268"/>
        <v>0</v>
      </c>
      <c r="BX312" s="38">
        <f t="shared" si="269"/>
        <v>0.16726105563480745</v>
      </c>
      <c r="BY312" s="38">
        <f t="shared" si="270"/>
        <v>0.2081316553727009</v>
      </c>
      <c r="BZ312" s="38">
        <f t="shared" si="271"/>
        <v>9.4692144373673039E-3</v>
      </c>
      <c r="CA312" s="38">
        <f t="shared" si="272"/>
        <v>0</v>
      </c>
      <c r="CB312" s="38">
        <f t="shared" si="273"/>
        <v>0</v>
      </c>
      <c r="CC312" s="38">
        <f t="shared" si="274"/>
        <v>0</v>
      </c>
      <c r="CD312" s="38">
        <f t="shared" si="275"/>
        <v>1.869559642511806</v>
      </c>
      <c r="CE312" s="38">
        <f t="shared" si="276"/>
        <v>2.9774041126085504</v>
      </c>
      <c r="CF312" s="38">
        <f t="shared" si="277"/>
        <v>2.6744265795566489</v>
      </c>
      <c r="CG312" s="38">
        <f t="shared" si="278"/>
        <v>7.9628486968415846</v>
      </c>
      <c r="CH312" s="15"/>
      <c r="CI312" s="16"/>
      <c r="CJ312" s="13"/>
      <c r="CK312" s="104"/>
      <c r="CL312" s="13"/>
      <c r="CM312" s="13"/>
      <c r="CN312" s="13"/>
      <c r="CO312" s="16"/>
      <c r="CP312" s="16"/>
      <c r="CQ312" s="16"/>
      <c r="CR312" s="16"/>
      <c r="CS312" s="16"/>
      <c r="CT312" s="16"/>
      <c r="CU312" s="16"/>
      <c r="CV312" s="16"/>
      <c r="CW312" s="16"/>
      <c r="CX312" s="16"/>
      <c r="CY312" s="104"/>
      <c r="CZ312" s="104"/>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3"/>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row>
    <row r="313" spans="1:167" x14ac:dyDescent="0.25">
      <c r="A313" s="35" t="s">
        <v>92</v>
      </c>
      <c r="B313" s="15">
        <v>1042</v>
      </c>
      <c r="C313" s="102" t="s">
        <v>255</v>
      </c>
      <c r="D313" s="102" t="s">
        <v>106</v>
      </c>
      <c r="E313" s="15">
        <v>200</v>
      </c>
      <c r="F313" s="16">
        <v>53.42</v>
      </c>
      <c r="G313" s="16"/>
      <c r="H313" s="16">
        <v>29.63</v>
      </c>
      <c r="I313" s="16"/>
      <c r="J313" s="44">
        <v>0.45200000000000001</v>
      </c>
      <c r="K313" s="16"/>
      <c r="L313" s="16"/>
      <c r="M313" s="16">
        <v>12.44</v>
      </c>
      <c r="N313" s="16">
        <v>4.7699999999999996</v>
      </c>
      <c r="O313" s="16">
        <v>0.23499999999999999</v>
      </c>
      <c r="P313" s="16"/>
      <c r="Q313" s="16"/>
      <c r="R313" s="16"/>
      <c r="S313" s="16">
        <f t="shared" si="224"/>
        <v>100.94699999999999</v>
      </c>
      <c r="T313" s="16"/>
      <c r="U313" s="15">
        <v>1</v>
      </c>
      <c r="V313" s="15">
        <v>12</v>
      </c>
      <c r="W313" s="15">
        <v>179.30000000000004</v>
      </c>
      <c r="X313" s="15" t="s">
        <v>258</v>
      </c>
      <c r="Y313" s="15"/>
      <c r="Z313" s="37">
        <v>8</v>
      </c>
      <c r="AA313" s="37">
        <v>5</v>
      </c>
      <c r="AB313" s="15"/>
      <c r="AC313" s="38">
        <f t="shared" si="225"/>
        <v>2.4049872169700777</v>
      </c>
      <c r="AD313" s="38">
        <f t="shared" si="226"/>
        <v>0</v>
      </c>
      <c r="AE313" s="38">
        <f t="shared" si="227"/>
        <v>1.5720654857890952</v>
      </c>
      <c r="AF313" s="38">
        <f t="shared" si="228"/>
        <v>0</v>
      </c>
      <c r="AG313" s="38">
        <f t="shared" si="229"/>
        <v>1.7015725662394159E-2</v>
      </c>
      <c r="AH313" s="38">
        <f t="shared" si="230"/>
        <v>0</v>
      </c>
      <c r="AI313" s="38">
        <f t="shared" si="231"/>
        <v>0</v>
      </c>
      <c r="AJ313" s="38">
        <f t="shared" si="232"/>
        <v>0.59999991388752361</v>
      </c>
      <c r="AK313" s="38">
        <f t="shared" si="233"/>
        <v>0.41632799545537141</v>
      </c>
      <c r="AL313" s="38">
        <f t="shared" si="234"/>
        <v>1.349540019719434E-2</v>
      </c>
      <c r="AM313" s="38">
        <f t="shared" si="235"/>
        <v>0</v>
      </c>
      <c r="AN313" s="38">
        <f t="shared" si="236"/>
        <v>0</v>
      </c>
      <c r="AO313" s="38">
        <f t="shared" si="237"/>
        <v>0</v>
      </c>
      <c r="AP313" s="38">
        <f t="shared" si="238"/>
        <v>5.0238917379616561</v>
      </c>
      <c r="AQ313" s="38">
        <f t="shared" si="239"/>
        <v>3.9770527027591731</v>
      </c>
      <c r="AR313" s="38">
        <f t="shared" si="240"/>
        <v>1.0298233095400893</v>
      </c>
      <c r="AS313" s="40"/>
      <c r="AT313" s="38">
        <f t="shared" si="241"/>
        <v>2.3935500030757559</v>
      </c>
      <c r="AU313" s="38">
        <f t="shared" si="242"/>
        <v>0</v>
      </c>
      <c r="AV313" s="38">
        <f t="shared" si="243"/>
        <v>1.5645893341114565</v>
      </c>
      <c r="AW313" s="38">
        <f t="shared" si="244"/>
        <v>0</v>
      </c>
      <c r="AX313" s="38">
        <f t="shared" si="245"/>
        <v>0</v>
      </c>
      <c r="AY313" s="38">
        <f t="shared" si="246"/>
        <v>1.6934805276375194E-2</v>
      </c>
      <c r="AZ313" s="38">
        <f t="shared" si="247"/>
        <v>0</v>
      </c>
      <c r="BA313" s="38">
        <f t="shared" si="248"/>
        <v>0</v>
      </c>
      <c r="BB313" s="38">
        <f t="shared" si="249"/>
        <v>0.59714654015510449</v>
      </c>
      <c r="BC313" s="38">
        <f t="shared" si="250"/>
        <v>0.41434809622737628</v>
      </c>
      <c r="BD313" s="38">
        <f t="shared" si="251"/>
        <v>1.3431221153931382E-2</v>
      </c>
      <c r="BE313" s="38">
        <f t="shared" si="252"/>
        <v>0</v>
      </c>
      <c r="BF313" s="38">
        <f t="shared" si="253"/>
        <v>0</v>
      </c>
      <c r="BG313" s="38">
        <f t="shared" si="254"/>
        <v>0</v>
      </c>
      <c r="BH313" s="41">
        <f t="shared" si="255"/>
        <v>5</v>
      </c>
      <c r="BI313" s="42">
        <f t="shared" si="256"/>
        <v>7.9704224140790174</v>
      </c>
      <c r="BJ313" s="38">
        <f t="shared" si="257"/>
        <v>3.9581393371872124</v>
      </c>
      <c r="BK313" s="38">
        <f t="shared" si="258"/>
        <v>1.0249258575364122</v>
      </c>
      <c r="BL313" s="16"/>
      <c r="BM313" s="16">
        <f t="shared" si="259"/>
        <v>0.58262413399389712</v>
      </c>
      <c r="BN313" s="16">
        <f t="shared" si="260"/>
        <v>0.40427128770400439</v>
      </c>
      <c r="BO313" s="16">
        <f t="shared" si="261"/>
        <v>1.3104578302098518E-2</v>
      </c>
      <c r="BP313" s="15"/>
      <c r="BQ313" s="38">
        <f t="shared" si="262"/>
        <v>0.88914780292942752</v>
      </c>
      <c r="BR313" s="38">
        <f t="shared" si="263"/>
        <v>0</v>
      </c>
      <c r="BS313" s="38">
        <f t="shared" si="264"/>
        <v>0.58120831698705377</v>
      </c>
      <c r="BT313" s="38">
        <f t="shared" si="265"/>
        <v>0</v>
      </c>
      <c r="BU313" s="38">
        <f t="shared" si="266"/>
        <v>6.29088378566458E-3</v>
      </c>
      <c r="BV313" s="38">
        <f t="shared" si="267"/>
        <v>0</v>
      </c>
      <c r="BW313" s="38">
        <f t="shared" si="268"/>
        <v>0</v>
      </c>
      <c r="BX313" s="38">
        <f t="shared" si="269"/>
        <v>0.22182596291012838</v>
      </c>
      <c r="BY313" s="38">
        <f t="shared" si="270"/>
        <v>0.15392061955469505</v>
      </c>
      <c r="BZ313" s="38">
        <f t="shared" si="271"/>
        <v>4.9893842887473458E-3</v>
      </c>
      <c r="CA313" s="38">
        <f t="shared" si="272"/>
        <v>0</v>
      </c>
      <c r="CB313" s="38">
        <f t="shared" si="273"/>
        <v>0</v>
      </c>
      <c r="CC313" s="38">
        <f t="shared" si="274"/>
        <v>0</v>
      </c>
      <c r="CD313" s="38">
        <f t="shared" si="275"/>
        <v>1.8573829704557168</v>
      </c>
      <c r="CE313" s="38">
        <f t="shared" si="276"/>
        <v>2.9576799299569503</v>
      </c>
      <c r="CF313" s="38">
        <f t="shared" si="277"/>
        <v>2.6919596440432687</v>
      </c>
      <c r="CG313" s="38">
        <f t="shared" si="278"/>
        <v>7.961955011440832</v>
      </c>
      <c r="CH313" s="15"/>
      <c r="CI313" s="16"/>
      <c r="CJ313" s="13"/>
      <c r="CK313" s="104"/>
      <c r="CL313" s="13"/>
      <c r="CM313" s="13"/>
      <c r="CN313" s="13"/>
      <c r="CO313" s="16"/>
      <c r="CP313" s="16"/>
      <c r="CQ313" s="16"/>
      <c r="CR313" s="16"/>
      <c r="CS313" s="16"/>
      <c r="CT313" s="16"/>
      <c r="CU313" s="16"/>
      <c r="CV313" s="16"/>
      <c r="CW313" s="16"/>
      <c r="CX313" s="16"/>
      <c r="CY313" s="104"/>
      <c r="CZ313" s="104"/>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3"/>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row>
    <row r="314" spans="1:167" x14ac:dyDescent="0.25">
      <c r="A314" s="35" t="s">
        <v>92</v>
      </c>
      <c r="B314" s="15">
        <v>1043</v>
      </c>
      <c r="C314" s="102" t="s">
        <v>255</v>
      </c>
      <c r="D314" s="102" t="s">
        <v>106</v>
      </c>
      <c r="E314" s="15">
        <v>201</v>
      </c>
      <c r="F314" s="16">
        <v>51.83</v>
      </c>
      <c r="G314" s="16"/>
      <c r="H314" s="16">
        <v>30.55</v>
      </c>
      <c r="I314" s="16"/>
      <c r="J314" s="44">
        <v>0.35499999999999998</v>
      </c>
      <c r="K314" s="16"/>
      <c r="L314" s="16"/>
      <c r="M314" s="16">
        <v>13.55</v>
      </c>
      <c r="N314" s="16">
        <v>3.99</v>
      </c>
      <c r="O314" s="16">
        <v>0.17399999999999999</v>
      </c>
      <c r="P314" s="16"/>
      <c r="Q314" s="16"/>
      <c r="R314" s="16"/>
      <c r="S314" s="16">
        <f t="shared" si="224"/>
        <v>100.449</v>
      </c>
      <c r="T314" s="16"/>
      <c r="U314" s="15">
        <v>1</v>
      </c>
      <c r="V314" s="15">
        <v>11</v>
      </c>
      <c r="W314" s="15">
        <v>163.00000000000003</v>
      </c>
      <c r="X314" s="15" t="s">
        <v>258</v>
      </c>
      <c r="Y314" s="15"/>
      <c r="Z314" s="37">
        <v>8</v>
      </c>
      <c r="AA314" s="37">
        <v>5</v>
      </c>
      <c r="AB314" s="15"/>
      <c r="AC314" s="38">
        <f t="shared" si="225"/>
        <v>2.3498101288407631</v>
      </c>
      <c r="AD314" s="38">
        <f t="shared" si="226"/>
        <v>0</v>
      </c>
      <c r="AE314" s="38">
        <f t="shared" si="227"/>
        <v>1.6322732752237152</v>
      </c>
      <c r="AF314" s="38">
        <f t="shared" si="228"/>
        <v>0</v>
      </c>
      <c r="AG314" s="38">
        <f t="shared" si="229"/>
        <v>1.3458078811522584E-2</v>
      </c>
      <c r="AH314" s="38">
        <f t="shared" si="230"/>
        <v>0</v>
      </c>
      <c r="AI314" s="38">
        <f t="shared" si="231"/>
        <v>0</v>
      </c>
      <c r="AJ314" s="38">
        <f t="shared" si="232"/>
        <v>0.65813165012442054</v>
      </c>
      <c r="AK314" s="38">
        <f t="shared" si="233"/>
        <v>0.35069760993373705</v>
      </c>
      <c r="AL314" s="38">
        <f t="shared" si="234"/>
        <v>1.0062591160179072E-2</v>
      </c>
      <c r="AM314" s="38">
        <f t="shared" si="235"/>
        <v>0</v>
      </c>
      <c r="AN314" s="38">
        <f t="shared" si="236"/>
        <v>0</v>
      </c>
      <c r="AO314" s="38">
        <f t="shared" si="237"/>
        <v>0</v>
      </c>
      <c r="AP314" s="38">
        <f t="shared" si="238"/>
        <v>5.0144333340943366</v>
      </c>
      <c r="AQ314" s="38">
        <f t="shared" si="239"/>
        <v>3.9820834040644781</v>
      </c>
      <c r="AR314" s="38">
        <f t="shared" si="240"/>
        <v>1.0188918512183367</v>
      </c>
      <c r="AS314" s="40"/>
      <c r="AT314" s="38">
        <f t="shared" si="241"/>
        <v>2.3430465341555538</v>
      </c>
      <c r="AU314" s="38">
        <f t="shared" si="242"/>
        <v>0</v>
      </c>
      <c r="AV314" s="38">
        <f t="shared" si="243"/>
        <v>1.6275750084515999</v>
      </c>
      <c r="AW314" s="38">
        <f t="shared" si="244"/>
        <v>0</v>
      </c>
      <c r="AX314" s="38">
        <f t="shared" si="245"/>
        <v>0</v>
      </c>
      <c r="AY314" s="38">
        <f t="shared" si="246"/>
        <v>1.3419341643269909E-2</v>
      </c>
      <c r="AZ314" s="38">
        <f t="shared" si="247"/>
        <v>0</v>
      </c>
      <c r="BA314" s="38">
        <f t="shared" si="248"/>
        <v>0</v>
      </c>
      <c r="BB314" s="38">
        <f t="shared" si="249"/>
        <v>0.65623731165157306</v>
      </c>
      <c r="BC314" s="38">
        <f t="shared" si="250"/>
        <v>0.34968817667717278</v>
      </c>
      <c r="BD314" s="38">
        <f t="shared" si="251"/>
        <v>1.0033627420830481E-2</v>
      </c>
      <c r="BE314" s="38">
        <f t="shared" si="252"/>
        <v>0</v>
      </c>
      <c r="BF314" s="38">
        <f t="shared" si="253"/>
        <v>0</v>
      </c>
      <c r="BG314" s="38">
        <f t="shared" si="254"/>
        <v>0</v>
      </c>
      <c r="BH314" s="41">
        <f t="shared" si="255"/>
        <v>5</v>
      </c>
      <c r="BI314" s="42">
        <f t="shared" si="256"/>
        <v>7.9836828071539871</v>
      </c>
      <c r="BJ314" s="38">
        <f t="shared" si="257"/>
        <v>3.9706215426071534</v>
      </c>
      <c r="BK314" s="38">
        <f t="shared" si="258"/>
        <v>1.0159591157495764</v>
      </c>
      <c r="BL314" s="16"/>
      <c r="BM314" s="16">
        <f t="shared" si="259"/>
        <v>0.64592885823697743</v>
      </c>
      <c r="BN314" s="16">
        <f t="shared" si="260"/>
        <v>0.34419512680800374</v>
      </c>
      <c r="BO314" s="16">
        <f t="shared" si="261"/>
        <v>9.8760149550187887E-3</v>
      </c>
      <c r="BP314" s="15"/>
      <c r="BQ314" s="38">
        <f t="shared" si="262"/>
        <v>0.86268308921438086</v>
      </c>
      <c r="BR314" s="38">
        <f t="shared" si="263"/>
        <v>0</v>
      </c>
      <c r="BS314" s="38">
        <f t="shared" si="264"/>
        <v>0.59925460965084354</v>
      </c>
      <c r="BT314" s="38">
        <f t="shared" si="265"/>
        <v>0</v>
      </c>
      <c r="BU314" s="38">
        <f t="shared" si="266"/>
        <v>4.9408489909533752E-3</v>
      </c>
      <c r="BV314" s="38">
        <f t="shared" si="267"/>
        <v>0</v>
      </c>
      <c r="BW314" s="38">
        <f t="shared" si="268"/>
        <v>0</v>
      </c>
      <c r="BX314" s="38">
        <f t="shared" si="269"/>
        <v>0.24161911554921542</v>
      </c>
      <c r="BY314" s="38">
        <f t="shared" si="270"/>
        <v>0.1287512100677638</v>
      </c>
      <c r="BZ314" s="38">
        <f t="shared" si="271"/>
        <v>3.6942675159235667E-3</v>
      </c>
      <c r="CA314" s="38">
        <f t="shared" si="272"/>
        <v>0</v>
      </c>
      <c r="CB314" s="38">
        <f t="shared" si="273"/>
        <v>0</v>
      </c>
      <c r="CC314" s="38">
        <f t="shared" si="274"/>
        <v>0</v>
      </c>
      <c r="CD314" s="38">
        <f t="shared" si="275"/>
        <v>1.8409431409890806</v>
      </c>
      <c r="CE314" s="38">
        <f t="shared" si="276"/>
        <v>2.9370307962370394</v>
      </c>
      <c r="CF314" s="38">
        <f t="shared" si="277"/>
        <v>2.7159991466730786</v>
      </c>
      <c r="CG314" s="38">
        <f t="shared" si="278"/>
        <v>7.9769731363323517</v>
      </c>
      <c r="CH314" s="15"/>
      <c r="CI314" s="16">
        <v>11.707919022677574</v>
      </c>
      <c r="CJ314" s="13">
        <v>30403.769124121671</v>
      </c>
      <c r="CK314" s="104">
        <v>110.90090258408982</v>
      </c>
      <c r="CL314" s="13">
        <v>156519.93216893743</v>
      </c>
      <c r="CM314" s="13">
        <v>251508.46769788672</v>
      </c>
      <c r="CN314" s="13">
        <v>82742.342696312655</v>
      </c>
      <c r="CO314" s="16">
        <v>0</v>
      </c>
      <c r="CP314" s="16">
        <v>231.32039926438961</v>
      </c>
      <c r="CQ314" s="16">
        <v>1.6516431870869406</v>
      </c>
      <c r="CR314" s="16">
        <v>0</v>
      </c>
      <c r="CS314" s="16">
        <v>41.627558055778067</v>
      </c>
      <c r="CT314" s="16">
        <v>0.52841880371579919</v>
      </c>
      <c r="CU314" s="16">
        <v>0</v>
      </c>
      <c r="CV314" s="16">
        <v>0</v>
      </c>
      <c r="CW314" s="16">
        <v>5.4260586109485427</v>
      </c>
      <c r="CX314" s="16">
        <v>0.68016069208533048</v>
      </c>
      <c r="CY314" s="104">
        <v>334.93797368839074</v>
      </c>
      <c r="CZ314" s="104">
        <v>341.75637528124207</v>
      </c>
      <c r="DA314" s="16">
        <v>0.26148766541165447</v>
      </c>
      <c r="DB314" s="16">
        <v>0</v>
      </c>
      <c r="DC314" s="16">
        <v>0</v>
      </c>
      <c r="DD314" s="16">
        <v>0.10767334849704339</v>
      </c>
      <c r="DE314" s="16">
        <v>79.193332068988127</v>
      </c>
      <c r="DF314" s="16">
        <v>1.7412783062353061</v>
      </c>
      <c r="DG314" s="16">
        <v>2.9934855180831095</v>
      </c>
      <c r="DH314" s="16">
        <v>0.29704391179274925</v>
      </c>
      <c r="DI314" s="16">
        <v>0.95419548379434815</v>
      </c>
      <c r="DJ314" s="16">
        <v>0</v>
      </c>
      <c r="DK314" s="16">
        <v>0.96601605867300577</v>
      </c>
      <c r="DL314" s="16">
        <v>0</v>
      </c>
      <c r="DM314" s="16">
        <v>2.2737452793834337E-2</v>
      </c>
      <c r="DN314" s="16">
        <v>0.1346402601707079</v>
      </c>
      <c r="DO314" s="16">
        <v>3.4645521517404305E-2</v>
      </c>
      <c r="DP314" s="16">
        <v>0</v>
      </c>
      <c r="DQ314" s="16">
        <v>7.5312893625579524E-2</v>
      </c>
      <c r="DR314" s="16">
        <v>0</v>
      </c>
      <c r="DS314" s="16">
        <v>1.4068679571338276E-2</v>
      </c>
      <c r="DT314" s="16">
        <v>0</v>
      </c>
      <c r="DU314" s="16">
        <v>0</v>
      </c>
      <c r="DV314" s="16">
        <v>4.2261322955554856</v>
      </c>
      <c r="DW314" s="16">
        <v>0</v>
      </c>
      <c r="DX314" s="16">
        <v>0</v>
      </c>
      <c r="DY314" s="16" t="e">
        <f>(DK314/0.05883)/SQRT((DJ314/0.1536)*(DL314/0.2069))</f>
        <v>#DIV/0!</v>
      </c>
      <c r="DZ314" s="16"/>
      <c r="EA314" s="13">
        <f>1128+200*((BM314-0.4)/0.4) -273</f>
        <v>977.96442911848862</v>
      </c>
      <c r="EB314" s="16"/>
      <c r="EC314" s="16">
        <f>(-18.482 -16.353 * BM314)/(0.008314 * (EA314+273))</f>
        <v>-2.7926372400255124</v>
      </c>
      <c r="ED314" s="16"/>
      <c r="EE314" s="16"/>
      <c r="EF314" s="16"/>
      <c r="EG314" s="16"/>
      <c r="EH314" s="16"/>
      <c r="EI314" s="16"/>
      <c r="EJ314" s="16"/>
      <c r="EK314" s="16"/>
      <c r="EL314" s="16">
        <f>(23.856 -20.71 * BM314)/(0.008314 * (EA314+273))</f>
        <v>1.0075279981474017</v>
      </c>
      <c r="EM314" s="16"/>
      <c r="EN314" s="16">
        <f>(-4.5269  -51.811 * BM314)/(0.008314 * (EA314+273)) +N("eqn50a")</f>
        <v>-3.6530025822609713</v>
      </c>
      <c r="EO314" s="16" t="e">
        <f>(-187.27 + 2.26018 *#REF!)/(0.008314 * (EA314+273)) +N("fsp eqn35 from SiO2")</f>
        <v>#REF!</v>
      </c>
      <c r="EP314" s="16"/>
      <c r="EQ314" s="16"/>
      <c r="ER314" s="16">
        <f>(10.146 -35.204 * BM314)/(0.008314 * (EA314+273))</f>
        <v>-1.2108319226108673</v>
      </c>
      <c r="ES314" s="16">
        <f>(2.1146 -37.009 * BM314)/(0.008314 * (EA314+273))</f>
        <v>-2.0951437766870362</v>
      </c>
      <c r="ET314" s="16">
        <f>(-3.6812 -33.822 * BM314)/(0.008314 * (EA314+273))</f>
        <v>-2.454474401762293</v>
      </c>
      <c r="EU314" s="16">
        <f>(-6.8025 -26.094 * BM314)/(0.008314 * (EA314+273))</f>
        <v>-2.2746335352753624</v>
      </c>
      <c r="EV314" s="16">
        <f>(-5.6996 -30.85 * BM314)/(0.008314 * (EA314+273))</f>
        <v>-2.4639642589806843</v>
      </c>
      <c r="EW314" s="16">
        <f>(-8.6767 -33.32 * BM314)/(0.008314 * (EA314+273))</f>
        <v>-2.9036100693061551</v>
      </c>
      <c r="EX314" s="16"/>
      <c r="EY314" s="16">
        <f>(-1.9714 -59.897 * BM314)/(0.008314 * (EA314+273))</f>
        <v>-3.9094783347257835</v>
      </c>
      <c r="EZ314" s="16">
        <f>(-4.3691 -44.528 * BM314)/(0.008314 * (EA314+273))</f>
        <v>-3.1855162752070423</v>
      </c>
      <c r="FA314" s="16">
        <f>(-2.2521 -58.215 * BM314)/(0.008314 * (EA314+273))</f>
        <v>-3.8320060089122201</v>
      </c>
      <c r="FB314" s="16"/>
      <c r="FC314" s="16">
        <f>(-8.5 - 57.253 * BM314)/(0.008314 * (EA314+273))</f>
        <v>-4.3729902460168804</v>
      </c>
      <c r="FD314" s="16"/>
      <c r="FE314" s="16">
        <f>(-9.2954 -52.923 * BM314)/(0.008314 * (EA314+273))</f>
        <v>-4.1805506093159499</v>
      </c>
      <c r="FF314" s="16">
        <f>(0.61501 -70.378 * BM314)/(0.008314 * (EA314+273))</f>
        <v>-4.3117246706402996</v>
      </c>
      <c r="FG314" s="16"/>
      <c r="FH314" s="16"/>
      <c r="FI314" s="16"/>
      <c r="FJ314" s="16"/>
      <c r="FK314" s="16"/>
    </row>
    <row r="315" spans="1:167" x14ac:dyDescent="0.25">
      <c r="A315" s="35" t="s">
        <v>92</v>
      </c>
      <c r="B315" s="15">
        <v>1044</v>
      </c>
      <c r="C315" s="102" t="s">
        <v>255</v>
      </c>
      <c r="D315" s="102" t="s">
        <v>106</v>
      </c>
      <c r="E315" s="15">
        <v>202</v>
      </c>
      <c r="F315" s="16">
        <v>52.1</v>
      </c>
      <c r="G315" s="16"/>
      <c r="H315" s="16">
        <v>30.28</v>
      </c>
      <c r="I315" s="16"/>
      <c r="J315" s="44">
        <v>0.495</v>
      </c>
      <c r="K315" s="16"/>
      <c r="L315" s="16"/>
      <c r="M315" s="16">
        <v>13.45</v>
      </c>
      <c r="N315" s="16">
        <v>4</v>
      </c>
      <c r="O315" s="16">
        <v>0.189</v>
      </c>
      <c r="P315" s="16"/>
      <c r="Q315" s="16"/>
      <c r="R315" s="16"/>
      <c r="S315" s="16">
        <f t="shared" ref="S315:S372" si="279">SUM(F315:R315)</f>
        <v>100.514</v>
      </c>
      <c r="T315" s="16"/>
      <c r="U315" s="15">
        <v>1</v>
      </c>
      <c r="V315" s="15">
        <v>10</v>
      </c>
      <c r="W315" s="15">
        <v>146.70000000000002</v>
      </c>
      <c r="X315" s="15" t="s">
        <v>258</v>
      </c>
      <c r="Y315" s="15"/>
      <c r="Z315" s="37">
        <v>8</v>
      </c>
      <c r="AA315" s="37">
        <v>5</v>
      </c>
      <c r="AB315" s="15"/>
      <c r="AC315" s="38">
        <f t="shared" ref="AC315:AC372" si="280">BQ315*($Z315/$CE315)</f>
        <v>2.3608215418339693</v>
      </c>
      <c r="AD315" s="38">
        <f t="shared" ref="AD315:AD372" si="281">BR315*($Z315/$CE315)</f>
        <v>0</v>
      </c>
      <c r="AE315" s="38">
        <f t="shared" ref="AE315:AE372" si="282">BS315*($Z315/$CE315)</f>
        <v>1.6170051374280585</v>
      </c>
      <c r="AF315" s="38">
        <f t="shared" ref="AF315:AF372" si="283">BT315*($Z315/$CE315)</f>
        <v>0</v>
      </c>
      <c r="AG315" s="38">
        <f t="shared" ref="AG315:AG372" si="284">BU315*($Z315/$CE315)</f>
        <v>1.8755721980380193E-2</v>
      </c>
      <c r="AH315" s="38">
        <f t="shared" ref="AH315:AH372" si="285">BV315*($Z315/$CE315)</f>
        <v>0</v>
      </c>
      <c r="AI315" s="38">
        <f t="shared" ref="AI315:AI372" si="286">BW315*($Z315/$CE315)</f>
        <v>0</v>
      </c>
      <c r="AJ315" s="38">
        <f t="shared" ref="AJ315:AJ372" si="287">BX315*($Z315/$CE315)</f>
        <v>0.65293453424057846</v>
      </c>
      <c r="AK315" s="38">
        <f t="shared" ref="AK315:AK372" si="288">BY315*($Z315/$CE315)</f>
        <v>0.3513935415569876</v>
      </c>
      <c r="AL315" s="38">
        <f t="shared" ref="AL315:AL372" si="289">BZ315*($Z315/$CE315)</f>
        <v>1.0924366381044838E-2</v>
      </c>
      <c r="AM315" s="38">
        <f t="shared" ref="AM315:AM372" si="290">CA315*($Z315/$CE315)</f>
        <v>0</v>
      </c>
      <c r="AN315" s="38">
        <f t="shared" ref="AN315:AN372" si="291">CB315*($Z315/$CE315)</f>
        <v>0</v>
      </c>
      <c r="AO315" s="38">
        <f t="shared" ref="AO315:AO372" si="292">CC315*($Z315/$CE315)</f>
        <v>0</v>
      </c>
      <c r="AP315" s="38">
        <f t="shared" ref="AP315:AP372" si="293">SUM(AC315:AN315)</f>
        <v>5.0118348434210187</v>
      </c>
      <c r="AQ315" s="38">
        <f t="shared" ref="AQ315:AQ372" si="294">AC315+AE315</f>
        <v>3.9778266792620278</v>
      </c>
      <c r="AR315" s="38">
        <f t="shared" ref="AR315:AR372" si="295">SUM(AJ315:AL315)</f>
        <v>1.0152524421786109</v>
      </c>
      <c r="AS315" s="40"/>
      <c r="AT315" s="38">
        <f t="shared" ref="AT315:AT372" si="296">IF($AA315&gt;0,BQ315*$CF315,"")</f>
        <v>2.3552467465413334</v>
      </c>
      <c r="AU315" s="38">
        <f t="shared" ref="AU315:AU372" si="297">IF($AA315&gt;0,BR315*$CF315,"")</f>
        <v>0</v>
      </c>
      <c r="AV315" s="38">
        <f t="shared" ref="AV315:AV372" si="298">IF($AA315&gt;0,BS315*$CF315,"")</f>
        <v>1.6131867748502164</v>
      </c>
      <c r="AW315" s="38">
        <f t="shared" ref="AW315:AW372" si="299">IF($AA315&gt;0,BT315*$CF315,"")</f>
        <v>0</v>
      </c>
      <c r="AX315" s="38">
        <f t="shared" ref="AX315:AX372" si="300">IF($AA315&gt;0 +N("so a blank cell if no ideal cations set"),                         BU315*CF315-AY315,"")</f>
        <v>0</v>
      </c>
      <c r="AY315" s="38">
        <f t="shared" ref="AY315:AY372" si="301">IF($AA315&gt;0 +N("so a blank cell if no ideal cations set"),                                                                     IF(AP315&gt;AA315,                          IF(  2*Z315*(1-(AA315/AP315))   &lt;   BU315*CF315,    2*Z315*(1-(AA315/AP315)),    BU315*CF315),0),"")</f>
        <v>1.8711432605366701E-2</v>
      </c>
      <c r="AZ315" s="38">
        <f t="shared" ref="AZ315:AZ372" si="302">IF($AA315&gt;0,BV315*$CF315,"")</f>
        <v>0</v>
      </c>
      <c r="BA315" s="38">
        <f t="shared" ref="BA315:BA372" si="303">IF($AA315&gt;0,BW315*$CF315,"")</f>
        <v>0</v>
      </c>
      <c r="BB315" s="38">
        <f t="shared" ref="BB315:BB372" si="304">IF($AA315&gt;0,BX315*$CF315,"")</f>
        <v>0.65139270809938854</v>
      </c>
      <c r="BC315" s="38">
        <f t="shared" ref="BC315:BC372" si="305">IF($AA315&gt;0,BY315*$CF315,"")</f>
        <v>0.35056376809608769</v>
      </c>
      <c r="BD315" s="38">
        <f t="shared" ref="BD315:BD372" si="306">IF($AA315&gt;0,BZ315*$CF315,"")</f>
        <v>1.0898569807607623E-2</v>
      </c>
      <c r="BE315" s="38">
        <f t="shared" ref="BE315:BE372" si="307">IF($AA315&gt;0,CA315*$CF315,"")</f>
        <v>0</v>
      </c>
      <c r="BF315" s="38">
        <f t="shared" ref="BF315:BF372" si="308">IF($AA315&gt;0,CB315*$CF315,"")</f>
        <v>0</v>
      </c>
      <c r="BG315" s="38">
        <f t="shared" ref="BG315:BG372" si="309">IF($AA315&gt;0,CC315*$CF315,"")</f>
        <v>0</v>
      </c>
      <c r="BH315" s="41">
        <f t="shared" ref="BH315:BH372" si="310">IF(AA315&gt;0,SUM(AT315:BF315),"")</f>
        <v>5</v>
      </c>
      <c r="BI315" s="42">
        <f t="shared" ref="BI315:BI372" si="311">(AT315+AU315)*2+(AV315+AW315+AY315)*1.5+AX315+AZ315+BA315+BB315+(BC315+BD315)*0.5+BE315*2.5+BF315*3  -(0.5*(BG315))</f>
        <v>7.9904646813172775</v>
      </c>
      <c r="BJ315" s="38">
        <f t="shared" ref="BJ315:BJ372" si="312">IF(AA315&gt;0,AT315+AV315,"")</f>
        <v>3.9684335213915496</v>
      </c>
      <c r="BK315" s="38">
        <f t="shared" ref="BK315:BK372" si="313">IF(AA315&gt;0,SUM(BB315:BD315),"")</f>
        <v>1.0128550460030838</v>
      </c>
      <c r="BL315" s="16"/>
      <c r="BM315" s="16">
        <f t="shared" ref="BM315:BM372" si="314">AJ315/(AJ315+AK315+AL315)</f>
        <v>0.64312530274683077</v>
      </c>
      <c r="BN315" s="16">
        <f t="shared" ref="BN315:BN372" si="315">AK315/(AK315+AJ315+AL315)</f>
        <v>0.34611445090734172</v>
      </c>
      <c r="BO315" s="16">
        <f t="shared" ref="BO315:BO372" si="316">AL315/(AJ315+AK315+AL315)</f>
        <v>1.0760246345827494E-2</v>
      </c>
      <c r="BP315" s="15"/>
      <c r="BQ315" s="38">
        <f t="shared" ref="BQ315:BQ372" si="317">F315/60.08</f>
        <v>0.86717709720372838</v>
      </c>
      <c r="BR315" s="38">
        <f t="shared" ref="BR315:BR372" si="318">G315/79.88</f>
        <v>0</v>
      </c>
      <c r="BS315" s="38">
        <f t="shared" ref="BS315:BS372" si="319">H315/101.96*2</f>
        <v>0.59395841506473135</v>
      </c>
      <c r="BT315" s="38">
        <f t="shared" ref="BT315:BT372" si="320">I315/151.99*2</f>
        <v>0</v>
      </c>
      <c r="BU315" s="38">
        <f t="shared" ref="BU315:BU372" si="321">J315/71.85</f>
        <v>6.889352818371608E-3</v>
      </c>
      <c r="BV315" s="38">
        <f t="shared" ref="BV315:BV372" si="322">K315/70.94</f>
        <v>0</v>
      </c>
      <c r="BW315" s="38">
        <f t="shared" ref="BW315:BW372" si="323">L315/40.3</f>
        <v>0</v>
      </c>
      <c r="BX315" s="38">
        <f t="shared" ref="BX315:BX372" si="324">M315/56.08</f>
        <v>0.23983594864479316</v>
      </c>
      <c r="BY315" s="38">
        <f t="shared" ref="BY315:BY372" si="325">N315/61.98*2</f>
        <v>0.12907389480477574</v>
      </c>
      <c r="BZ315" s="38">
        <f t="shared" ref="BZ315:BZ372" si="326">O315/94.2*2</f>
        <v>4.0127388535031849E-3</v>
      </c>
      <c r="CA315" s="38">
        <f t="shared" ref="CA315:CA372" si="327">P315/141.94*2</f>
        <v>0</v>
      </c>
      <c r="CB315" s="38">
        <f t="shared" ref="CB315:CB372" si="328">Q315/80.06</f>
        <v>0</v>
      </c>
      <c r="CC315" s="38">
        <f t="shared" ref="CC315:CC372" si="329">R315/35.45</f>
        <v>0</v>
      </c>
      <c r="CD315" s="38">
        <f t="shared" ref="CD315:CD372" si="330">SUM(BQ315:CB315)</f>
        <v>1.8409474473899035</v>
      </c>
      <c r="CE315" s="38">
        <f t="shared" ref="CE315:CE372" si="331">(BQ315+BR315)*2+(BS315+BT315)*1.5+BU315+BV315+BW315+BX315+(BY315+BZ315)*0.5+CA315*2.5+CB315*3+     -(0.5*(CC315))</f>
        <v>2.938560435296858</v>
      </c>
      <c r="CF315" s="38">
        <f t="shared" ref="CF315:CF372" si="332">AA315/CD315</f>
        <v>2.7159927933244394</v>
      </c>
      <c r="CG315" s="38">
        <f t="shared" ref="CG315:CG372" si="333">CE315*CF315</f>
        <v>7.9811089650145943</v>
      </c>
      <c r="CH315" s="15"/>
      <c r="CI315" s="16"/>
      <c r="CJ315" s="13"/>
      <c r="CK315" s="104"/>
      <c r="CL315" s="13"/>
      <c r="CM315" s="13"/>
      <c r="CN315" s="13"/>
      <c r="CO315" s="16"/>
      <c r="CP315" s="16"/>
      <c r="CQ315" s="16"/>
      <c r="CR315" s="16"/>
      <c r="CS315" s="16"/>
      <c r="CT315" s="16"/>
      <c r="CU315" s="16"/>
      <c r="CV315" s="16"/>
      <c r="CW315" s="16"/>
      <c r="CX315" s="16"/>
      <c r="CY315" s="104"/>
      <c r="CZ315" s="104"/>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3"/>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row>
    <row r="316" spans="1:167" x14ac:dyDescent="0.25">
      <c r="A316" s="35" t="s">
        <v>92</v>
      </c>
      <c r="B316" s="15">
        <v>1045</v>
      </c>
      <c r="C316" s="102" t="s">
        <v>255</v>
      </c>
      <c r="D316" s="102" t="s">
        <v>106</v>
      </c>
      <c r="E316" s="15">
        <v>203</v>
      </c>
      <c r="F316" s="16">
        <v>53.62</v>
      </c>
      <c r="G316" s="16"/>
      <c r="H316" s="16">
        <v>28.83</v>
      </c>
      <c r="I316" s="16"/>
      <c r="J316" s="44">
        <v>0.58499999999999996</v>
      </c>
      <c r="K316" s="16"/>
      <c r="L316" s="16"/>
      <c r="M316" s="16">
        <v>11.95</v>
      </c>
      <c r="N316" s="16">
        <v>4.74</v>
      </c>
      <c r="O316" s="16">
        <v>0.30499999999999999</v>
      </c>
      <c r="P316" s="16"/>
      <c r="Q316" s="16"/>
      <c r="R316" s="16"/>
      <c r="S316" s="16">
        <f t="shared" si="279"/>
        <v>100.02999999999999</v>
      </c>
      <c r="T316" s="16"/>
      <c r="U316" s="15">
        <v>1</v>
      </c>
      <c r="V316" s="15">
        <v>9</v>
      </c>
      <c r="W316" s="15">
        <v>130.4</v>
      </c>
      <c r="X316" s="15" t="s">
        <v>258</v>
      </c>
      <c r="Y316" s="15"/>
      <c r="Z316" s="37">
        <v>8</v>
      </c>
      <c r="AA316" s="37">
        <v>5</v>
      </c>
      <c r="AB316" s="15"/>
      <c r="AC316" s="38">
        <f t="shared" si="280"/>
        <v>2.4333318859481374</v>
      </c>
      <c r="AD316" s="38">
        <f t="shared" si="281"/>
        <v>0</v>
      </c>
      <c r="AE316" s="38">
        <f t="shared" si="282"/>
        <v>1.5418753757845078</v>
      </c>
      <c r="AF316" s="38">
        <f t="shared" si="283"/>
        <v>0</v>
      </c>
      <c r="AG316" s="38">
        <f t="shared" si="284"/>
        <v>2.2199007352453944E-2</v>
      </c>
      <c r="AH316" s="38">
        <f t="shared" si="285"/>
        <v>0</v>
      </c>
      <c r="AI316" s="38">
        <f t="shared" si="286"/>
        <v>0</v>
      </c>
      <c r="AJ316" s="38">
        <f t="shared" si="287"/>
        <v>0.58098425342831661</v>
      </c>
      <c r="AK316" s="38">
        <f t="shared" si="288"/>
        <v>0.41702417019098453</v>
      </c>
      <c r="AL316" s="38">
        <f t="shared" si="289"/>
        <v>1.7655637101403224E-2</v>
      </c>
      <c r="AM316" s="38">
        <f t="shared" si="290"/>
        <v>0</v>
      </c>
      <c r="AN316" s="38">
        <f t="shared" si="291"/>
        <v>0</v>
      </c>
      <c r="AO316" s="38">
        <f t="shared" si="292"/>
        <v>0</v>
      </c>
      <c r="AP316" s="38">
        <f t="shared" si="293"/>
        <v>5.0130703298058039</v>
      </c>
      <c r="AQ316" s="38">
        <f t="shared" si="294"/>
        <v>3.9752072617326455</v>
      </c>
      <c r="AR316" s="38">
        <f t="shared" si="295"/>
        <v>1.0156640607207044</v>
      </c>
      <c r="AS316" s="40"/>
      <c r="AT316" s="38">
        <f t="shared" si="296"/>
        <v>2.4269875803262471</v>
      </c>
      <c r="AU316" s="38">
        <f t="shared" si="297"/>
        <v>0</v>
      </c>
      <c r="AV316" s="38">
        <f t="shared" si="298"/>
        <v>1.5378553205379</v>
      </c>
      <c r="AW316" s="38">
        <f t="shared" si="299"/>
        <v>0</v>
      </c>
      <c r="AX316" s="38">
        <f t="shared" si="300"/>
        <v>0</v>
      </c>
      <c r="AY316" s="38">
        <f t="shared" si="301"/>
        <v>2.2141128980843455E-2</v>
      </c>
      <c r="AZ316" s="38">
        <f t="shared" si="302"/>
        <v>0</v>
      </c>
      <c r="BA316" s="38">
        <f t="shared" si="303"/>
        <v>0</v>
      </c>
      <c r="BB316" s="38">
        <f t="shared" si="304"/>
        <v>0.57946948197994153</v>
      </c>
      <c r="BC316" s="38">
        <f t="shared" si="305"/>
        <v>0.41593688374120541</v>
      </c>
      <c r="BD316" s="38">
        <f t="shared" si="306"/>
        <v>1.7609604433863162E-2</v>
      </c>
      <c r="BE316" s="38">
        <f t="shared" si="307"/>
        <v>0</v>
      </c>
      <c r="BF316" s="38">
        <f t="shared" si="308"/>
        <v>0</v>
      </c>
      <c r="BG316" s="38">
        <f t="shared" si="309"/>
        <v>0</v>
      </c>
      <c r="BH316" s="41">
        <f t="shared" si="310"/>
        <v>5</v>
      </c>
      <c r="BI316" s="42">
        <f t="shared" si="311"/>
        <v>7.990212560998085</v>
      </c>
      <c r="BJ316" s="38">
        <f t="shared" si="312"/>
        <v>3.9648429008641468</v>
      </c>
      <c r="BK316" s="38">
        <f t="shared" si="313"/>
        <v>1.0130159701550101</v>
      </c>
      <c r="BL316" s="16"/>
      <c r="BM316" s="16">
        <f t="shared" si="314"/>
        <v>0.57202403422255232</v>
      </c>
      <c r="BN316" s="16">
        <f t="shared" si="315"/>
        <v>0.41059262242189476</v>
      </c>
      <c r="BO316" s="16">
        <f t="shared" si="316"/>
        <v>1.7383343355552989E-2</v>
      </c>
      <c r="BP316" s="15"/>
      <c r="BQ316" s="38">
        <f t="shared" si="317"/>
        <v>0.89247669773635152</v>
      </c>
      <c r="BR316" s="38">
        <f t="shared" si="318"/>
        <v>0</v>
      </c>
      <c r="BS316" s="38">
        <f t="shared" si="319"/>
        <v>0.56551588858375834</v>
      </c>
      <c r="BT316" s="38">
        <f t="shared" si="320"/>
        <v>0</v>
      </c>
      <c r="BU316" s="38">
        <f t="shared" si="321"/>
        <v>8.1419624217119006E-3</v>
      </c>
      <c r="BV316" s="38">
        <f t="shared" si="322"/>
        <v>0</v>
      </c>
      <c r="BW316" s="38">
        <f t="shared" si="323"/>
        <v>0</v>
      </c>
      <c r="BX316" s="38">
        <f t="shared" si="324"/>
        <v>0.21308844507845934</v>
      </c>
      <c r="BY316" s="38">
        <f t="shared" si="325"/>
        <v>0.15295256534365925</v>
      </c>
      <c r="BZ316" s="38">
        <f t="shared" si="326"/>
        <v>6.4755838641188954E-3</v>
      </c>
      <c r="CA316" s="38">
        <f t="shared" si="327"/>
        <v>0</v>
      </c>
      <c r="CB316" s="38">
        <f t="shared" si="328"/>
        <v>0</v>
      </c>
      <c r="CC316" s="38">
        <f t="shared" si="329"/>
        <v>0</v>
      </c>
      <c r="CD316" s="38">
        <f t="shared" si="330"/>
        <v>1.838651143028059</v>
      </c>
      <c r="CE316" s="38">
        <f t="shared" si="331"/>
        <v>2.9341717104524005</v>
      </c>
      <c r="CF316" s="38">
        <f t="shared" si="332"/>
        <v>2.7193848158523113</v>
      </c>
      <c r="CG316" s="38">
        <f t="shared" si="333"/>
        <v>7.9791419965076624</v>
      </c>
      <c r="CH316" s="15"/>
      <c r="CI316" s="16"/>
      <c r="CJ316" s="13"/>
      <c r="CK316" s="104"/>
      <c r="CL316" s="13"/>
      <c r="CM316" s="13"/>
      <c r="CN316" s="13"/>
      <c r="CO316" s="16"/>
      <c r="CP316" s="16"/>
      <c r="CQ316" s="16"/>
      <c r="CR316" s="16"/>
      <c r="CS316" s="16"/>
      <c r="CT316" s="16"/>
      <c r="CU316" s="16"/>
      <c r="CV316" s="16"/>
      <c r="CW316" s="16"/>
      <c r="CX316" s="16"/>
      <c r="CY316" s="104"/>
      <c r="CZ316" s="104"/>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3"/>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row>
    <row r="317" spans="1:167" x14ac:dyDescent="0.25">
      <c r="A317" s="35" t="s">
        <v>92</v>
      </c>
      <c r="B317" s="15">
        <v>1046</v>
      </c>
      <c r="C317" s="102" t="s">
        <v>255</v>
      </c>
      <c r="D317" s="102" t="s">
        <v>106</v>
      </c>
      <c r="E317" s="15">
        <v>204</v>
      </c>
      <c r="F317" s="16">
        <v>53.1</v>
      </c>
      <c r="G317" s="16"/>
      <c r="H317" s="16">
        <v>29.32</v>
      </c>
      <c r="I317" s="16"/>
      <c r="J317" s="44">
        <v>0.51300000000000001</v>
      </c>
      <c r="K317" s="16"/>
      <c r="L317" s="16"/>
      <c r="M317" s="16">
        <v>12.52</v>
      </c>
      <c r="N317" s="16">
        <v>4.58</v>
      </c>
      <c r="O317" s="16">
        <v>0.25800000000000001</v>
      </c>
      <c r="P317" s="16"/>
      <c r="Q317" s="16"/>
      <c r="R317" s="16"/>
      <c r="S317" s="16">
        <f t="shared" si="279"/>
        <v>100.291</v>
      </c>
      <c r="T317" s="16"/>
      <c r="U317" s="15">
        <v>1</v>
      </c>
      <c r="V317" s="15">
        <v>8</v>
      </c>
      <c r="W317" s="15">
        <v>114.1</v>
      </c>
      <c r="X317" s="15" t="s">
        <v>258</v>
      </c>
      <c r="Y317" s="15"/>
      <c r="Z317" s="37">
        <v>8</v>
      </c>
      <c r="AA317" s="37">
        <v>5</v>
      </c>
      <c r="AB317" s="15"/>
      <c r="AC317" s="38">
        <f t="shared" si="280"/>
        <v>2.4071178033112544</v>
      </c>
      <c r="AD317" s="38">
        <f t="shared" si="281"/>
        <v>0</v>
      </c>
      <c r="AE317" s="38">
        <f t="shared" si="282"/>
        <v>1.5663791107123748</v>
      </c>
      <c r="AF317" s="38">
        <f t="shared" si="283"/>
        <v>0</v>
      </c>
      <c r="AG317" s="38">
        <f t="shared" si="284"/>
        <v>1.9445689217195875E-2</v>
      </c>
      <c r="AH317" s="38">
        <f t="shared" si="285"/>
        <v>0</v>
      </c>
      <c r="AI317" s="38">
        <f t="shared" si="286"/>
        <v>0</v>
      </c>
      <c r="AJ317" s="38">
        <f t="shared" si="287"/>
        <v>0.60803568988048107</v>
      </c>
      <c r="AK317" s="38">
        <f t="shared" si="288"/>
        <v>0.40250997698246987</v>
      </c>
      <c r="AL317" s="38">
        <f t="shared" si="289"/>
        <v>1.4918719440033651E-2</v>
      </c>
      <c r="AM317" s="38">
        <f t="shared" si="290"/>
        <v>0</v>
      </c>
      <c r="AN317" s="38">
        <f t="shared" si="291"/>
        <v>0</v>
      </c>
      <c r="AO317" s="38">
        <f t="shared" si="292"/>
        <v>0</v>
      </c>
      <c r="AP317" s="38">
        <f t="shared" si="293"/>
        <v>5.0184069895438101</v>
      </c>
      <c r="AQ317" s="38">
        <f t="shared" si="294"/>
        <v>3.9734969140236291</v>
      </c>
      <c r="AR317" s="38">
        <f t="shared" si="295"/>
        <v>1.0254643863029846</v>
      </c>
      <c r="AS317" s="40"/>
      <c r="AT317" s="38">
        <f t="shared" si="296"/>
        <v>2.3982887481292838</v>
      </c>
      <c r="AU317" s="38">
        <f t="shared" si="297"/>
        <v>0</v>
      </c>
      <c r="AV317" s="38">
        <f t="shared" si="298"/>
        <v>1.5606337967167982</v>
      </c>
      <c r="AW317" s="38">
        <f t="shared" si="299"/>
        <v>0</v>
      </c>
      <c r="AX317" s="38">
        <f t="shared" si="300"/>
        <v>0</v>
      </c>
      <c r="AY317" s="38">
        <f t="shared" si="301"/>
        <v>1.9374364472343798E-2</v>
      </c>
      <c r="AZ317" s="38">
        <f t="shared" si="302"/>
        <v>0</v>
      </c>
      <c r="BA317" s="38">
        <f t="shared" si="303"/>
        <v>0</v>
      </c>
      <c r="BB317" s="38">
        <f t="shared" si="304"/>
        <v>0.60580547885749847</v>
      </c>
      <c r="BC317" s="38">
        <f t="shared" si="305"/>
        <v>0.40103361267940862</v>
      </c>
      <c r="BD317" s="38">
        <f t="shared" si="306"/>
        <v>1.4863999144666636E-2</v>
      </c>
      <c r="BE317" s="38">
        <f t="shared" si="307"/>
        <v>0</v>
      </c>
      <c r="BF317" s="38">
        <f t="shared" si="308"/>
        <v>0</v>
      </c>
      <c r="BG317" s="38">
        <f t="shared" si="309"/>
        <v>0</v>
      </c>
      <c r="BH317" s="41">
        <f t="shared" si="310"/>
        <v>5</v>
      </c>
      <c r="BI317" s="42">
        <f t="shared" si="311"/>
        <v>7.980344022811817</v>
      </c>
      <c r="BJ317" s="38">
        <f t="shared" si="312"/>
        <v>3.9589225448460823</v>
      </c>
      <c r="BK317" s="38">
        <f t="shared" si="313"/>
        <v>1.0217030906815738</v>
      </c>
      <c r="BL317" s="16"/>
      <c r="BM317" s="16">
        <f t="shared" si="314"/>
        <v>0.59293691521806813</v>
      </c>
      <c r="BN317" s="16">
        <f t="shared" si="315"/>
        <v>0.3925148277782744</v>
      </c>
      <c r="BO317" s="16">
        <f t="shared" si="316"/>
        <v>1.4548257003657417E-2</v>
      </c>
      <c r="BP317" s="15"/>
      <c r="BQ317" s="38">
        <f t="shared" si="317"/>
        <v>0.88382157123834892</v>
      </c>
      <c r="BR317" s="38">
        <f t="shared" si="318"/>
        <v>0</v>
      </c>
      <c r="BS317" s="38">
        <f t="shared" si="319"/>
        <v>0.57512750098077681</v>
      </c>
      <c r="BT317" s="38">
        <f t="shared" si="320"/>
        <v>0</v>
      </c>
      <c r="BU317" s="38">
        <f t="shared" si="321"/>
        <v>7.1398747390396663E-3</v>
      </c>
      <c r="BV317" s="38">
        <f t="shared" si="322"/>
        <v>0</v>
      </c>
      <c r="BW317" s="38">
        <f t="shared" si="323"/>
        <v>0</v>
      </c>
      <c r="BX317" s="38">
        <f t="shared" si="324"/>
        <v>0.22325249643366618</v>
      </c>
      <c r="BY317" s="38">
        <f t="shared" si="325"/>
        <v>0.14778960955146822</v>
      </c>
      <c r="BZ317" s="38">
        <f t="shared" si="326"/>
        <v>5.4777070063694267E-3</v>
      </c>
      <c r="CA317" s="38">
        <f t="shared" si="327"/>
        <v>0</v>
      </c>
      <c r="CB317" s="38">
        <f t="shared" si="328"/>
        <v>0</v>
      </c>
      <c r="CC317" s="38">
        <f t="shared" si="329"/>
        <v>0</v>
      </c>
      <c r="CD317" s="38">
        <f t="shared" si="330"/>
        <v>1.8426087599496692</v>
      </c>
      <c r="CE317" s="38">
        <f t="shared" si="331"/>
        <v>2.9373604233994879</v>
      </c>
      <c r="CF317" s="38">
        <f t="shared" si="332"/>
        <v>2.7135440298984439</v>
      </c>
      <c r="CG317" s="38">
        <f t="shared" si="333"/>
        <v>7.9706568405756455</v>
      </c>
      <c r="CH317" s="15"/>
      <c r="CI317" s="16"/>
      <c r="CJ317" s="13"/>
      <c r="CK317" s="104"/>
      <c r="CL317" s="13"/>
      <c r="CM317" s="13"/>
      <c r="CN317" s="13"/>
      <c r="CO317" s="16"/>
      <c r="CP317" s="16"/>
      <c r="CQ317" s="16"/>
      <c r="CR317" s="16"/>
      <c r="CS317" s="16"/>
      <c r="CT317" s="16"/>
      <c r="CU317" s="16"/>
      <c r="CV317" s="16"/>
      <c r="CW317" s="16"/>
      <c r="CX317" s="16"/>
      <c r="CY317" s="104"/>
      <c r="CZ317" s="104"/>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3"/>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row>
    <row r="318" spans="1:167" x14ac:dyDescent="0.25">
      <c r="A318" s="35" t="s">
        <v>92</v>
      </c>
      <c r="B318" s="15">
        <v>1047</v>
      </c>
      <c r="C318" s="102" t="s">
        <v>255</v>
      </c>
      <c r="D318" s="102" t="s">
        <v>106</v>
      </c>
      <c r="E318" s="15">
        <v>205</v>
      </c>
      <c r="F318" s="16">
        <v>51.85</v>
      </c>
      <c r="G318" s="16"/>
      <c r="H318" s="16">
        <v>30.03</v>
      </c>
      <c r="I318" s="16"/>
      <c r="J318" s="44">
        <v>0.47499999999999998</v>
      </c>
      <c r="K318" s="16"/>
      <c r="L318" s="16"/>
      <c r="M318" s="16">
        <v>13.43</v>
      </c>
      <c r="N318" s="16">
        <v>4.12</v>
      </c>
      <c r="O318" s="16">
        <v>0.221</v>
      </c>
      <c r="P318" s="16"/>
      <c r="Q318" s="16"/>
      <c r="R318" s="16"/>
      <c r="S318" s="16">
        <f t="shared" si="279"/>
        <v>100.126</v>
      </c>
      <c r="T318" s="16"/>
      <c r="U318" s="15">
        <v>1</v>
      </c>
      <c r="V318" s="15">
        <v>7</v>
      </c>
      <c r="W318" s="15">
        <v>97.8</v>
      </c>
      <c r="X318" s="15" t="s">
        <v>258</v>
      </c>
      <c r="Y318" s="15"/>
      <c r="Z318" s="37">
        <v>8</v>
      </c>
      <c r="AA318" s="37">
        <v>5</v>
      </c>
      <c r="AB318" s="15"/>
      <c r="AC318" s="38">
        <f t="shared" si="280"/>
        <v>2.3607704145018391</v>
      </c>
      <c r="AD318" s="38">
        <f t="shared" si="281"/>
        <v>0</v>
      </c>
      <c r="AE318" s="38">
        <f t="shared" si="282"/>
        <v>1.6113519843065174</v>
      </c>
      <c r="AF318" s="38">
        <f t="shared" si="283"/>
        <v>0</v>
      </c>
      <c r="AG318" s="38">
        <f t="shared" si="284"/>
        <v>1.8084302139972978E-2</v>
      </c>
      <c r="AH318" s="38">
        <f t="shared" si="285"/>
        <v>0</v>
      </c>
      <c r="AI318" s="38">
        <f t="shared" si="286"/>
        <v>0</v>
      </c>
      <c r="AJ318" s="38">
        <f t="shared" si="287"/>
        <v>0.6550929488177526</v>
      </c>
      <c r="AK318" s="38">
        <f t="shared" si="288"/>
        <v>0.36367257947922627</v>
      </c>
      <c r="AL318" s="38">
        <f t="shared" si="289"/>
        <v>1.2835307678413673E-2</v>
      </c>
      <c r="AM318" s="38">
        <f t="shared" si="290"/>
        <v>0</v>
      </c>
      <c r="AN318" s="38">
        <f t="shared" si="291"/>
        <v>0</v>
      </c>
      <c r="AO318" s="38">
        <f t="shared" si="292"/>
        <v>0</v>
      </c>
      <c r="AP318" s="38">
        <f t="shared" si="293"/>
        <v>5.0218075369237223</v>
      </c>
      <c r="AQ318" s="38">
        <f t="shared" si="294"/>
        <v>3.9721223988083567</v>
      </c>
      <c r="AR318" s="38">
        <f t="shared" si="295"/>
        <v>1.0316008359753923</v>
      </c>
      <c r="AS318" s="40"/>
      <c r="AT318" s="38">
        <f t="shared" si="296"/>
        <v>2.3505186102253619</v>
      </c>
      <c r="AU318" s="38">
        <f t="shared" si="297"/>
        <v>0</v>
      </c>
      <c r="AV318" s="38">
        <f t="shared" si="298"/>
        <v>1.6043545799582808</v>
      </c>
      <c r="AW318" s="38">
        <f t="shared" si="299"/>
        <v>0</v>
      </c>
      <c r="AX318" s="38">
        <f t="shared" si="300"/>
        <v>0</v>
      </c>
      <c r="AY318" s="38">
        <f t="shared" si="301"/>
        <v>1.8005769841839787E-2</v>
      </c>
      <c r="AZ318" s="38">
        <f t="shared" si="302"/>
        <v>0</v>
      </c>
      <c r="BA318" s="38">
        <f t="shared" si="303"/>
        <v>0</v>
      </c>
      <c r="BB318" s="38">
        <f t="shared" si="304"/>
        <v>0.65224816363537097</v>
      </c>
      <c r="BC318" s="38">
        <f t="shared" si="305"/>
        <v>0.36209330684744462</v>
      </c>
      <c r="BD318" s="38">
        <f t="shared" si="306"/>
        <v>1.277956949170176E-2</v>
      </c>
      <c r="BE318" s="38">
        <f t="shared" si="307"/>
        <v>0</v>
      </c>
      <c r="BF318" s="38">
        <f t="shared" si="308"/>
        <v>0</v>
      </c>
      <c r="BG318" s="38">
        <f t="shared" si="309"/>
        <v>0</v>
      </c>
      <c r="BH318" s="41">
        <f t="shared" si="310"/>
        <v>5</v>
      </c>
      <c r="BI318" s="42">
        <f t="shared" si="311"/>
        <v>7.9742623469558493</v>
      </c>
      <c r="BJ318" s="38">
        <f t="shared" si="312"/>
        <v>3.9548731901836427</v>
      </c>
      <c r="BK318" s="38">
        <f t="shared" si="313"/>
        <v>1.0271210399745172</v>
      </c>
      <c r="BL318" s="16"/>
      <c r="BM318" s="16">
        <f t="shared" si="314"/>
        <v>0.63502560871652791</v>
      </c>
      <c r="BN318" s="16">
        <f t="shared" si="315"/>
        <v>0.35253226519089526</v>
      </c>
      <c r="BO318" s="16">
        <f t="shared" si="316"/>
        <v>1.2442126092576998E-2</v>
      </c>
      <c r="BP318" s="15"/>
      <c r="BQ318" s="38">
        <f t="shared" si="317"/>
        <v>0.86301597869507329</v>
      </c>
      <c r="BR318" s="38">
        <f t="shared" si="318"/>
        <v>0</v>
      </c>
      <c r="BS318" s="38">
        <f t="shared" si="319"/>
        <v>0.58905453118870155</v>
      </c>
      <c r="BT318" s="38">
        <f t="shared" si="320"/>
        <v>0</v>
      </c>
      <c r="BU318" s="38">
        <f t="shared" si="321"/>
        <v>6.6109951287404321E-3</v>
      </c>
      <c r="BV318" s="38">
        <f t="shared" si="322"/>
        <v>0</v>
      </c>
      <c r="BW318" s="38">
        <f t="shared" si="323"/>
        <v>0</v>
      </c>
      <c r="BX318" s="38">
        <f t="shared" si="324"/>
        <v>0.2394793152639087</v>
      </c>
      <c r="BY318" s="38">
        <f t="shared" si="325"/>
        <v>0.13294611164891901</v>
      </c>
      <c r="BZ318" s="38">
        <f t="shared" si="326"/>
        <v>4.6921443736730357E-3</v>
      </c>
      <c r="CA318" s="38">
        <f t="shared" si="327"/>
        <v>0</v>
      </c>
      <c r="CB318" s="38">
        <f t="shared" si="328"/>
        <v>0</v>
      </c>
      <c r="CC318" s="38">
        <f t="shared" si="329"/>
        <v>0</v>
      </c>
      <c r="CD318" s="38">
        <f t="shared" si="330"/>
        <v>1.835799076299016</v>
      </c>
      <c r="CE318" s="38">
        <f t="shared" si="331"/>
        <v>2.9245231925771442</v>
      </c>
      <c r="CF318" s="38">
        <f t="shared" si="332"/>
        <v>2.7236096066025022</v>
      </c>
      <c r="CG318" s="38">
        <f t="shared" si="333"/>
        <v>7.9652594620349291</v>
      </c>
      <c r="CH318" s="15"/>
      <c r="CI318" s="16">
        <v>13.119123549078825</v>
      </c>
      <c r="CJ318" s="13">
        <v>31029.820952292775</v>
      </c>
      <c r="CK318" s="104">
        <v>192.72539057631465</v>
      </c>
      <c r="CL318" s="13">
        <v>152837.62420812747</v>
      </c>
      <c r="CM318" s="13">
        <v>252889.41601347129</v>
      </c>
      <c r="CN318" s="13">
        <v>79916.353104618509</v>
      </c>
      <c r="CO318" s="16">
        <v>0.64664233954770201</v>
      </c>
      <c r="CP318" s="16">
        <v>251.9905426213748</v>
      </c>
      <c r="CQ318" s="16">
        <v>1.9793380396069304</v>
      </c>
      <c r="CR318" s="16">
        <v>0</v>
      </c>
      <c r="CS318" s="16">
        <v>36.437598968622332</v>
      </c>
      <c r="CT318" s="16">
        <v>0</v>
      </c>
      <c r="CU318" s="16">
        <v>36.156092569477757</v>
      </c>
      <c r="CV318" s="16">
        <v>0</v>
      </c>
      <c r="CW318" s="16">
        <v>6.829859231629932</v>
      </c>
      <c r="CX318" s="16">
        <v>1.5813680998316906</v>
      </c>
      <c r="CY318" s="104">
        <v>368.60908478475483</v>
      </c>
      <c r="CZ318" s="104">
        <v>379.67562383168973</v>
      </c>
      <c r="DA318" s="16">
        <v>0.2338526048574959</v>
      </c>
      <c r="DB318" s="16">
        <v>0.36861789408407442</v>
      </c>
      <c r="DC318" s="16">
        <v>0.32722950004310913</v>
      </c>
      <c r="DD318" s="16">
        <v>0.18565946444274198</v>
      </c>
      <c r="DE318" s="16">
        <v>52.034058751991324</v>
      </c>
      <c r="DF318" s="16">
        <v>1.354159285320077</v>
      </c>
      <c r="DG318" s="16">
        <v>1.6396973146185583</v>
      </c>
      <c r="DH318" s="16">
        <v>0.13183849471774953</v>
      </c>
      <c r="DI318" s="16">
        <v>0.67502779742092511</v>
      </c>
      <c r="DJ318" s="16">
        <v>0.1842883057133668</v>
      </c>
      <c r="DK318" s="16">
        <v>0.7245107669119486</v>
      </c>
      <c r="DL318" s="16">
        <v>0</v>
      </c>
      <c r="DM318" s="16">
        <v>0</v>
      </c>
      <c r="DN318" s="16">
        <v>9.6811121226248034E-2</v>
      </c>
      <c r="DO318" s="16">
        <v>1.0808635439801876E-2</v>
      </c>
      <c r="DP318" s="16">
        <v>0</v>
      </c>
      <c r="DQ318" s="16">
        <v>0</v>
      </c>
      <c r="DR318" s="16">
        <v>0</v>
      </c>
      <c r="DS318" s="16">
        <v>0</v>
      </c>
      <c r="DT318" s="16">
        <v>0</v>
      </c>
      <c r="DU318" s="16">
        <v>0</v>
      </c>
      <c r="DV318" s="16">
        <v>1.4027921130962151</v>
      </c>
      <c r="DW318" s="16">
        <v>1.0063281904634534E-2</v>
      </c>
      <c r="DX318" s="16">
        <v>4.3806704321190408E-3</v>
      </c>
      <c r="DY318" s="16" t="e">
        <f>(DK318/0.05883)/SQRT((DJ318/0.1536)*(DL318/0.2069))</f>
        <v>#DIV/0!</v>
      </c>
      <c r="DZ318" s="16"/>
      <c r="EA318" s="13">
        <f>1128+200*((BM318-0.4)/0.4) -273</f>
        <v>972.51280435826402</v>
      </c>
      <c r="EB318" s="16"/>
      <c r="EC318" s="16">
        <f>(-18.482 -16.353 * BM318)/(0.008314 * (EA318+273))</f>
        <v>-2.7876421530484916</v>
      </c>
      <c r="ED318" s="16"/>
      <c r="EE318" s="16"/>
      <c r="EF318" s="16"/>
      <c r="EG318" s="16"/>
      <c r="EH318" s="16"/>
      <c r="EI318" s="16"/>
      <c r="EJ318" s="16"/>
      <c r="EK318" s="16"/>
      <c r="EL318" s="16">
        <f>(23.856 -20.71 * BM318)/(0.008314 * (EA318+273))</f>
        <v>1.033744052156043</v>
      </c>
      <c r="EM318" s="16"/>
      <c r="EN318" s="16">
        <f>(-4.5269  -51.811 * BM318)/(0.008314 * (EA318+273)) +N("eqn50a")</f>
        <v>-3.6144386847325358</v>
      </c>
      <c r="EO318" s="16" t="e">
        <f>(-187.27 + 2.26018 *#REF!)/(0.008314 * (EA318+273)) +N("fsp eqn35 from SiO2")</f>
        <v>#REF!</v>
      </c>
      <c r="EP318" s="16"/>
      <c r="EQ318" s="16"/>
      <c r="ER318" s="16">
        <f>(10.146 -35.204 * BM318)/(0.008314 * (EA318+273))</f>
        <v>-1.1790645516959313</v>
      </c>
      <c r="ES318" s="16">
        <f>(2.1146 -37.009 * BM318)/(0.008314 * (EA318+273))</f>
        <v>-2.0653465186365625</v>
      </c>
      <c r="ET318" s="16">
        <f>(-3.6812 -33.822 * BM318)/(0.008314 * (EA318+273))</f>
        <v>-2.4296056125157621</v>
      </c>
      <c r="EU318" s="16">
        <f>(-6.8025 -26.094 * BM318)/(0.008314 * (EA318+273))</f>
        <v>-2.2571145903201399</v>
      </c>
      <c r="EV318" s="16">
        <f>(-5.6996 -30.85 * BM318)/(0.008314 * (EA318+273))</f>
        <v>-2.4422663021937199</v>
      </c>
      <c r="EW318" s="16">
        <f>(-8.6767 -33.32 * BM318)/(0.008314 * (EA318+273))</f>
        <v>-2.8812357210744648</v>
      </c>
      <c r="EX318" s="16"/>
      <c r="EY318" s="16">
        <f>(-1.9714 -59.897 * BM318)/(0.008314 * (EA318+273))</f>
        <v>-3.8635230773305489</v>
      </c>
      <c r="EZ318" s="16">
        <f>(-4.3691 -44.528 * BM318)/(0.008314 * (EA318+273))</f>
        <v>-3.1525746424173806</v>
      </c>
      <c r="FA318" s="16">
        <f>(-2.2521 -58.215 * BM318)/(0.008314 * (EA318+273))</f>
        <v>-3.7874826752608075</v>
      </c>
      <c r="FB318" s="16"/>
      <c r="FC318" s="16">
        <f>(-8.5 - 57.253 * BM318)/(0.008314 * (EA318+273))</f>
        <v>-4.3318477215223323</v>
      </c>
      <c r="FD318" s="16"/>
      <c r="FE318" s="16">
        <f>(-9.2954 -52.923 * BM318)/(0.008314 * (EA318+273))</f>
        <v>-4.1431249425464429</v>
      </c>
      <c r="FF318" s="16">
        <f>(0.61501 -70.378 * BM318)/(0.008314 * (EA318+273))</f>
        <v>-4.2564943359044083</v>
      </c>
      <c r="FG318" s="16"/>
      <c r="FH318" s="16"/>
      <c r="FI318" s="16"/>
      <c r="FJ318" s="16"/>
      <c r="FK318" s="16"/>
    </row>
    <row r="319" spans="1:167" x14ac:dyDescent="0.25">
      <c r="A319" s="35" t="s">
        <v>92</v>
      </c>
      <c r="B319" s="15">
        <v>1048</v>
      </c>
      <c r="C319" s="102" t="s">
        <v>255</v>
      </c>
      <c r="D319" s="102" t="s">
        <v>106</v>
      </c>
      <c r="E319" s="15">
        <v>206</v>
      </c>
      <c r="F319" s="16">
        <v>49.56</v>
      </c>
      <c r="G319" s="16"/>
      <c r="H319" s="16">
        <v>31.72</v>
      </c>
      <c r="I319" s="16"/>
      <c r="J319" s="44">
        <v>0.52400000000000002</v>
      </c>
      <c r="K319" s="16"/>
      <c r="L319" s="16"/>
      <c r="M319" s="16">
        <v>15.36</v>
      </c>
      <c r="N319" s="16">
        <v>3.03</v>
      </c>
      <c r="O319" s="16">
        <v>0.125</v>
      </c>
      <c r="P319" s="16"/>
      <c r="Q319" s="16"/>
      <c r="R319" s="16"/>
      <c r="S319" s="16">
        <f t="shared" si="279"/>
        <v>100.319</v>
      </c>
      <c r="T319" s="16"/>
      <c r="U319" s="15">
        <v>1</v>
      </c>
      <c r="V319" s="15">
        <v>6</v>
      </c>
      <c r="W319" s="15">
        <v>81.5</v>
      </c>
      <c r="X319" s="15" t="s">
        <v>185</v>
      </c>
      <c r="Y319" s="15"/>
      <c r="Z319" s="37">
        <v>8</v>
      </c>
      <c r="AA319" s="37">
        <v>5</v>
      </c>
      <c r="AB319" s="15"/>
      <c r="AC319" s="38">
        <f t="shared" si="280"/>
        <v>2.2642586015359343</v>
      </c>
      <c r="AD319" s="38">
        <f t="shared" si="281"/>
        <v>0</v>
      </c>
      <c r="AE319" s="38">
        <f t="shared" si="282"/>
        <v>1.7078825453201383</v>
      </c>
      <c r="AF319" s="38">
        <f t="shared" si="283"/>
        <v>0</v>
      </c>
      <c r="AG319" s="38">
        <f t="shared" si="284"/>
        <v>2.0018390971479054E-2</v>
      </c>
      <c r="AH319" s="38">
        <f t="shared" si="285"/>
        <v>0</v>
      </c>
      <c r="AI319" s="38">
        <f t="shared" si="286"/>
        <v>0</v>
      </c>
      <c r="AJ319" s="38">
        <f t="shared" si="287"/>
        <v>0.75180959351893106</v>
      </c>
      <c r="AK319" s="38">
        <f t="shared" si="288"/>
        <v>0.26837725390616851</v>
      </c>
      <c r="AL319" s="38">
        <f t="shared" si="289"/>
        <v>7.2847350088570779E-3</v>
      </c>
      <c r="AM319" s="38">
        <f t="shared" si="290"/>
        <v>0</v>
      </c>
      <c r="AN319" s="38">
        <f t="shared" si="291"/>
        <v>0</v>
      </c>
      <c r="AO319" s="38">
        <f t="shared" si="292"/>
        <v>0</v>
      </c>
      <c r="AP319" s="38">
        <f t="shared" si="293"/>
        <v>5.0196311202615078</v>
      </c>
      <c r="AQ319" s="38">
        <f t="shared" si="294"/>
        <v>3.9721411468560728</v>
      </c>
      <c r="AR319" s="38">
        <f t="shared" si="295"/>
        <v>1.0274715824339569</v>
      </c>
      <c r="AS319" s="40"/>
      <c r="AT319" s="38">
        <f t="shared" si="296"/>
        <v>2.2554033825278115</v>
      </c>
      <c r="AU319" s="38">
        <f t="shared" si="297"/>
        <v>0</v>
      </c>
      <c r="AV319" s="38">
        <f t="shared" si="298"/>
        <v>1.7012032402404529</v>
      </c>
      <c r="AW319" s="38">
        <f t="shared" si="299"/>
        <v>0</v>
      </c>
      <c r="AX319" s="38">
        <f t="shared" si="300"/>
        <v>0</v>
      </c>
      <c r="AY319" s="38">
        <f t="shared" si="301"/>
        <v>1.9940101664717699E-2</v>
      </c>
      <c r="AZ319" s="38">
        <f t="shared" si="302"/>
        <v>0</v>
      </c>
      <c r="BA319" s="38">
        <f t="shared" si="303"/>
        <v>0</v>
      </c>
      <c r="BB319" s="38">
        <f t="shared" si="304"/>
        <v>0.74886936460757703</v>
      </c>
      <c r="BC319" s="38">
        <f t="shared" si="305"/>
        <v>0.26732766559566118</v>
      </c>
      <c r="BD319" s="38">
        <f t="shared" si="306"/>
        <v>7.2562453637804013E-3</v>
      </c>
      <c r="BE319" s="38">
        <f t="shared" si="307"/>
        <v>0</v>
      </c>
      <c r="BF319" s="38">
        <f t="shared" si="308"/>
        <v>0</v>
      </c>
      <c r="BG319" s="38">
        <f t="shared" si="309"/>
        <v>0</v>
      </c>
      <c r="BH319" s="41">
        <f t="shared" si="310"/>
        <v>5.0000000000000009</v>
      </c>
      <c r="BI319" s="42">
        <f t="shared" si="311"/>
        <v>7.9786830980006762</v>
      </c>
      <c r="BJ319" s="38">
        <f t="shared" si="312"/>
        <v>3.9566066227682644</v>
      </c>
      <c r="BK319" s="38">
        <f t="shared" si="313"/>
        <v>1.0234532755670185</v>
      </c>
      <c r="BL319" s="16"/>
      <c r="BM319" s="16">
        <f t="shared" si="314"/>
        <v>0.73170840573321194</v>
      </c>
      <c r="BN319" s="16">
        <f t="shared" si="315"/>
        <v>0.26120163174772681</v>
      </c>
      <c r="BO319" s="16">
        <f t="shared" si="316"/>
        <v>7.0899625190610285E-3</v>
      </c>
      <c r="BP319" s="15"/>
      <c r="BQ319" s="38">
        <f t="shared" si="317"/>
        <v>0.82490013315579236</v>
      </c>
      <c r="BR319" s="38">
        <f t="shared" si="318"/>
        <v>0</v>
      </c>
      <c r="BS319" s="38">
        <f t="shared" si="319"/>
        <v>0.622204786190663</v>
      </c>
      <c r="BT319" s="38">
        <f t="shared" si="320"/>
        <v>0</v>
      </c>
      <c r="BU319" s="38">
        <f t="shared" si="321"/>
        <v>7.2929714683368134E-3</v>
      </c>
      <c r="BV319" s="38">
        <f t="shared" si="322"/>
        <v>0</v>
      </c>
      <c r="BW319" s="38">
        <f t="shared" si="323"/>
        <v>0</v>
      </c>
      <c r="BX319" s="38">
        <f t="shared" si="324"/>
        <v>0.27389443651925821</v>
      </c>
      <c r="BY319" s="38">
        <f t="shared" si="325"/>
        <v>9.7773475314617622E-2</v>
      </c>
      <c r="BZ319" s="38">
        <f t="shared" si="326"/>
        <v>2.6539278131634818E-3</v>
      </c>
      <c r="CA319" s="38">
        <f t="shared" si="327"/>
        <v>0</v>
      </c>
      <c r="CB319" s="38">
        <f t="shared" si="328"/>
        <v>0</v>
      </c>
      <c r="CC319" s="38">
        <f t="shared" si="329"/>
        <v>0</v>
      </c>
      <c r="CD319" s="38">
        <f t="shared" si="330"/>
        <v>1.8287197304618312</v>
      </c>
      <c r="CE319" s="38">
        <f t="shared" si="331"/>
        <v>2.914508555149065</v>
      </c>
      <c r="CF319" s="38">
        <f t="shared" si="332"/>
        <v>2.7341532530724555</v>
      </c>
      <c r="CG319" s="38">
        <f t="shared" si="333"/>
        <v>7.9687130471683183</v>
      </c>
      <c r="CH319" s="15"/>
      <c r="CI319" s="16"/>
      <c r="CJ319" s="13"/>
      <c r="CK319" s="104"/>
      <c r="CL319" s="13"/>
      <c r="CM319" s="13"/>
      <c r="CN319" s="13"/>
      <c r="CO319" s="16"/>
      <c r="CP319" s="16"/>
      <c r="CQ319" s="16"/>
      <c r="CR319" s="16"/>
      <c r="CS319" s="16"/>
      <c r="CT319" s="16"/>
      <c r="CU319" s="16"/>
      <c r="CV319" s="16"/>
      <c r="CW319" s="16"/>
      <c r="CX319" s="16"/>
      <c r="CY319" s="104"/>
      <c r="CZ319" s="104"/>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3"/>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row>
    <row r="320" spans="1:167" x14ac:dyDescent="0.25">
      <c r="A320" s="35" t="s">
        <v>92</v>
      </c>
      <c r="B320" s="15">
        <v>1049</v>
      </c>
      <c r="C320" s="102" t="s">
        <v>255</v>
      </c>
      <c r="D320" s="102" t="s">
        <v>106</v>
      </c>
      <c r="E320" s="15">
        <v>207</v>
      </c>
      <c r="F320" s="16">
        <v>47.52</v>
      </c>
      <c r="G320" s="16"/>
      <c r="H320" s="16">
        <v>33.340000000000003</v>
      </c>
      <c r="I320" s="16"/>
      <c r="J320" s="44">
        <v>0.501</v>
      </c>
      <c r="K320" s="16"/>
      <c r="L320" s="16"/>
      <c r="M320" s="16">
        <v>16.89</v>
      </c>
      <c r="N320" s="16">
        <v>2.13</v>
      </c>
      <c r="O320" s="16">
        <v>7.2999999999999995E-2</v>
      </c>
      <c r="P320" s="16"/>
      <c r="Q320" s="16"/>
      <c r="R320" s="16"/>
      <c r="S320" s="16">
        <f t="shared" si="279"/>
        <v>100.45400000000001</v>
      </c>
      <c r="T320" s="16"/>
      <c r="U320" s="15">
        <v>1</v>
      </c>
      <c r="V320" s="15">
        <v>5</v>
      </c>
      <c r="W320" s="15">
        <v>65.2</v>
      </c>
      <c r="X320" s="15" t="s">
        <v>185</v>
      </c>
      <c r="Y320" s="15"/>
      <c r="Z320" s="37">
        <v>8</v>
      </c>
      <c r="AA320" s="37">
        <v>5</v>
      </c>
      <c r="AB320" s="15"/>
      <c r="AC320" s="38">
        <f t="shared" si="280"/>
        <v>2.1772977121520944</v>
      </c>
      <c r="AD320" s="38">
        <f t="shared" si="281"/>
        <v>0</v>
      </c>
      <c r="AE320" s="38">
        <f t="shared" si="282"/>
        <v>1.800267629812123</v>
      </c>
      <c r="AF320" s="38">
        <f t="shared" si="283"/>
        <v>0</v>
      </c>
      <c r="AG320" s="38">
        <f t="shared" si="284"/>
        <v>1.9194741230325472E-2</v>
      </c>
      <c r="AH320" s="38">
        <f t="shared" si="285"/>
        <v>0</v>
      </c>
      <c r="AI320" s="38">
        <f t="shared" si="286"/>
        <v>0</v>
      </c>
      <c r="AJ320" s="38">
        <f t="shared" si="287"/>
        <v>0.82907334540858257</v>
      </c>
      <c r="AK320" s="38">
        <f t="shared" si="288"/>
        <v>0.18920357383069453</v>
      </c>
      <c r="AL320" s="38">
        <f t="shared" si="289"/>
        <v>4.2665148467446673E-3</v>
      </c>
      <c r="AM320" s="38">
        <f t="shared" si="290"/>
        <v>0</v>
      </c>
      <c r="AN320" s="38">
        <f t="shared" si="291"/>
        <v>0</v>
      </c>
      <c r="AO320" s="38">
        <f t="shared" si="292"/>
        <v>0</v>
      </c>
      <c r="AP320" s="38">
        <f t="shared" si="293"/>
        <v>5.019303517280564</v>
      </c>
      <c r="AQ320" s="38">
        <f t="shared" si="294"/>
        <v>3.9775653419642172</v>
      </c>
      <c r="AR320" s="38">
        <f t="shared" si="295"/>
        <v>1.0225434340860218</v>
      </c>
      <c r="AS320" s="40"/>
      <c r="AT320" s="38">
        <f t="shared" si="296"/>
        <v>2.168924139231716</v>
      </c>
      <c r="AU320" s="38">
        <f t="shared" si="297"/>
        <v>0</v>
      </c>
      <c r="AV320" s="38">
        <f t="shared" si="298"/>
        <v>1.7933440602009056</v>
      </c>
      <c r="AW320" s="38">
        <f t="shared" si="299"/>
        <v>0</v>
      </c>
      <c r="AX320" s="38">
        <f t="shared" si="300"/>
        <v>0</v>
      </c>
      <c r="AY320" s="38">
        <f t="shared" si="301"/>
        <v>1.9120921024442347E-2</v>
      </c>
      <c r="AZ320" s="38">
        <f t="shared" si="302"/>
        <v>0</v>
      </c>
      <c r="BA320" s="38">
        <f t="shared" si="303"/>
        <v>0</v>
      </c>
      <c r="BB320" s="38">
        <f t="shared" si="304"/>
        <v>0.82588484891801361</v>
      </c>
      <c r="BC320" s="38">
        <f t="shared" si="305"/>
        <v>0.18847592417882328</v>
      </c>
      <c r="BD320" s="38">
        <f t="shared" si="306"/>
        <v>4.2501064460993641E-3</v>
      </c>
      <c r="BE320" s="38">
        <f t="shared" si="307"/>
        <v>0</v>
      </c>
      <c r="BF320" s="38">
        <f t="shared" si="308"/>
        <v>0</v>
      </c>
      <c r="BG320" s="38">
        <f t="shared" si="309"/>
        <v>0</v>
      </c>
      <c r="BH320" s="41">
        <f t="shared" si="310"/>
        <v>5.0000000000000009</v>
      </c>
      <c r="BI320" s="42">
        <f t="shared" si="311"/>
        <v>7.9787936145319289</v>
      </c>
      <c r="BJ320" s="38">
        <f t="shared" si="312"/>
        <v>3.9622681994326214</v>
      </c>
      <c r="BK320" s="38">
        <f t="shared" si="313"/>
        <v>1.0186108795429363</v>
      </c>
      <c r="BL320" s="16"/>
      <c r="BM320" s="16">
        <f t="shared" si="314"/>
        <v>0.81079523643866702</v>
      </c>
      <c r="BN320" s="16">
        <f t="shared" si="315"/>
        <v>0.18503231014319702</v>
      </c>
      <c r="BO320" s="16">
        <f t="shared" si="316"/>
        <v>4.1724534181359239E-3</v>
      </c>
      <c r="BP320" s="15"/>
      <c r="BQ320" s="38">
        <f t="shared" si="317"/>
        <v>0.79094540612516651</v>
      </c>
      <c r="BR320" s="38">
        <f t="shared" si="318"/>
        <v>0</v>
      </c>
      <c r="BS320" s="38">
        <f t="shared" si="319"/>
        <v>0.65398195370733636</v>
      </c>
      <c r="BT320" s="38">
        <f t="shared" si="320"/>
        <v>0</v>
      </c>
      <c r="BU320" s="38">
        <f t="shared" si="321"/>
        <v>6.9728601252609613E-3</v>
      </c>
      <c r="BV320" s="38">
        <f t="shared" si="322"/>
        <v>0</v>
      </c>
      <c r="BW320" s="38">
        <f t="shared" si="323"/>
        <v>0</v>
      </c>
      <c r="BX320" s="38">
        <f t="shared" si="324"/>
        <v>0.30117689015691873</v>
      </c>
      <c r="BY320" s="38">
        <f t="shared" si="325"/>
        <v>6.8731848983543078E-2</v>
      </c>
      <c r="BZ320" s="38">
        <f t="shared" si="326"/>
        <v>1.5498938428874732E-3</v>
      </c>
      <c r="CA320" s="38">
        <f t="shared" si="327"/>
        <v>0</v>
      </c>
      <c r="CB320" s="38">
        <f t="shared" si="328"/>
        <v>0</v>
      </c>
      <c r="CC320" s="38">
        <f t="shared" si="329"/>
        <v>0</v>
      </c>
      <c r="CD320" s="38">
        <f t="shared" si="330"/>
        <v>1.8233588529411131</v>
      </c>
      <c r="CE320" s="38">
        <f t="shared" si="331"/>
        <v>2.9061543645067323</v>
      </c>
      <c r="CF320" s="38">
        <f t="shared" si="332"/>
        <v>2.742191967277809</v>
      </c>
      <c r="CG320" s="38">
        <f t="shared" si="333"/>
        <v>7.9692331540197072</v>
      </c>
      <c r="CH320" s="15"/>
      <c r="CI320" s="16"/>
      <c r="CJ320" s="13"/>
      <c r="CK320" s="104"/>
      <c r="CL320" s="13"/>
      <c r="CM320" s="13"/>
      <c r="CN320" s="13"/>
      <c r="CO320" s="16"/>
      <c r="CP320" s="16"/>
      <c r="CQ320" s="16"/>
      <c r="CR320" s="16"/>
      <c r="CS320" s="16"/>
      <c r="CT320" s="16"/>
      <c r="CU320" s="16"/>
      <c r="CV320" s="16"/>
      <c r="CW320" s="16"/>
      <c r="CX320" s="16"/>
      <c r="CY320" s="104"/>
      <c r="CZ320" s="104"/>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3"/>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row>
    <row r="321" spans="1:167" x14ac:dyDescent="0.25">
      <c r="A321" s="35" t="s">
        <v>92</v>
      </c>
      <c r="B321" s="15">
        <v>1050</v>
      </c>
      <c r="C321" s="102" t="s">
        <v>255</v>
      </c>
      <c r="D321" s="102" t="s">
        <v>106</v>
      </c>
      <c r="E321" s="15">
        <v>208</v>
      </c>
      <c r="F321" s="16">
        <v>47.95</v>
      </c>
      <c r="G321" s="16"/>
      <c r="H321" s="16">
        <v>32.770000000000003</v>
      </c>
      <c r="I321" s="16"/>
      <c r="J321" s="44">
        <v>0.47599999999999998</v>
      </c>
      <c r="K321" s="16"/>
      <c r="L321" s="16"/>
      <c r="M321" s="16">
        <v>16.57</v>
      </c>
      <c r="N321" s="16">
        <v>2.34</v>
      </c>
      <c r="O321" s="16">
        <v>9.6000000000000002E-2</v>
      </c>
      <c r="P321" s="16"/>
      <c r="Q321" s="16"/>
      <c r="R321" s="16"/>
      <c r="S321" s="16">
        <f t="shared" si="279"/>
        <v>100.202</v>
      </c>
      <c r="T321" s="16"/>
      <c r="U321" s="15">
        <v>1</v>
      </c>
      <c r="V321" s="15">
        <v>4</v>
      </c>
      <c r="W321" s="15">
        <v>48.900000000000006</v>
      </c>
      <c r="X321" s="15" t="s">
        <v>185</v>
      </c>
      <c r="Y321" s="15"/>
      <c r="Z321" s="37">
        <v>8</v>
      </c>
      <c r="AA321" s="37">
        <v>5</v>
      </c>
      <c r="AB321" s="15"/>
      <c r="AC321" s="38">
        <f t="shared" si="280"/>
        <v>2.2006941503300026</v>
      </c>
      <c r="AD321" s="38">
        <f t="shared" si="281"/>
        <v>0</v>
      </c>
      <c r="AE321" s="38">
        <f t="shared" si="282"/>
        <v>1.7724647700332528</v>
      </c>
      <c r="AF321" s="38">
        <f t="shared" si="283"/>
        <v>0</v>
      </c>
      <c r="AG321" s="38">
        <f t="shared" si="284"/>
        <v>1.826758689184017E-2</v>
      </c>
      <c r="AH321" s="38">
        <f t="shared" si="285"/>
        <v>0</v>
      </c>
      <c r="AI321" s="38">
        <f t="shared" si="286"/>
        <v>0</v>
      </c>
      <c r="AJ321" s="38">
        <f t="shared" si="287"/>
        <v>0.81473337077813979</v>
      </c>
      <c r="AK321" s="38">
        <f t="shared" si="288"/>
        <v>0.20820697897520449</v>
      </c>
      <c r="AL321" s="38">
        <f t="shared" si="289"/>
        <v>5.6201942650697034E-3</v>
      </c>
      <c r="AM321" s="38">
        <f t="shared" si="290"/>
        <v>0</v>
      </c>
      <c r="AN321" s="38">
        <f t="shared" si="291"/>
        <v>0</v>
      </c>
      <c r="AO321" s="38">
        <f t="shared" si="292"/>
        <v>0</v>
      </c>
      <c r="AP321" s="38">
        <f t="shared" si="293"/>
        <v>5.0199870512735094</v>
      </c>
      <c r="AQ321" s="38">
        <f t="shared" si="294"/>
        <v>3.9731589203632556</v>
      </c>
      <c r="AR321" s="38">
        <f t="shared" si="295"/>
        <v>1.028560544018414</v>
      </c>
      <c r="AS321" s="40"/>
      <c r="AT321" s="38">
        <f t="shared" si="296"/>
        <v>2.1919320984819204</v>
      </c>
      <c r="AU321" s="38">
        <f t="shared" si="297"/>
        <v>0</v>
      </c>
      <c r="AV321" s="38">
        <f t="shared" si="298"/>
        <v>1.765407711144992</v>
      </c>
      <c r="AW321" s="38">
        <f t="shared" si="299"/>
        <v>0</v>
      </c>
      <c r="AX321" s="38">
        <f t="shared" si="300"/>
        <v>0</v>
      </c>
      <c r="AY321" s="38">
        <f t="shared" si="301"/>
        <v>1.819485459350528E-2</v>
      </c>
      <c r="AZ321" s="38">
        <f t="shared" si="302"/>
        <v>0</v>
      </c>
      <c r="BA321" s="38">
        <f t="shared" si="303"/>
        <v>0</v>
      </c>
      <c r="BB321" s="38">
        <f t="shared" si="304"/>
        <v>0.81148951427220495</v>
      </c>
      <c r="BC321" s="38">
        <f t="shared" si="305"/>
        <v>0.20737800401535386</v>
      </c>
      <c r="BD321" s="38">
        <f t="shared" si="306"/>
        <v>5.5978174920231398E-3</v>
      </c>
      <c r="BE321" s="38">
        <f t="shared" si="307"/>
        <v>0</v>
      </c>
      <c r="BF321" s="38">
        <f t="shared" si="308"/>
        <v>0</v>
      </c>
      <c r="BG321" s="38">
        <f t="shared" si="309"/>
        <v>0</v>
      </c>
      <c r="BH321" s="41">
        <f t="shared" si="310"/>
        <v>4.9999999999999991</v>
      </c>
      <c r="BI321" s="42">
        <f t="shared" si="311"/>
        <v>7.9772454705974809</v>
      </c>
      <c r="BJ321" s="38">
        <f t="shared" si="312"/>
        <v>3.9573398096269123</v>
      </c>
      <c r="BK321" s="38">
        <f t="shared" si="313"/>
        <v>1.0244653357795819</v>
      </c>
      <c r="BL321" s="16"/>
      <c r="BM321" s="16">
        <f t="shared" si="314"/>
        <v>0.79211027052925131</v>
      </c>
      <c r="BN321" s="16">
        <f t="shared" si="315"/>
        <v>0.2024255938904429</v>
      </c>
      <c r="BO321" s="16">
        <f t="shared" si="316"/>
        <v>5.4641355803057975E-3</v>
      </c>
      <c r="BP321" s="15"/>
      <c r="BQ321" s="38">
        <f t="shared" si="317"/>
        <v>0.79810252996005338</v>
      </c>
      <c r="BR321" s="38">
        <f t="shared" si="318"/>
        <v>0</v>
      </c>
      <c r="BS321" s="38">
        <f t="shared" si="319"/>
        <v>0.64280109846998834</v>
      </c>
      <c r="BT321" s="38">
        <f t="shared" si="320"/>
        <v>0</v>
      </c>
      <c r="BU321" s="38">
        <f t="shared" si="321"/>
        <v>6.6249130132219908E-3</v>
      </c>
      <c r="BV321" s="38">
        <f t="shared" si="322"/>
        <v>0</v>
      </c>
      <c r="BW321" s="38">
        <f t="shared" si="323"/>
        <v>0</v>
      </c>
      <c r="BX321" s="38">
        <f t="shared" si="324"/>
        <v>0.29547075606276751</v>
      </c>
      <c r="BY321" s="38">
        <f t="shared" si="325"/>
        <v>7.5508228460793803E-2</v>
      </c>
      <c r="BZ321" s="38">
        <f t="shared" si="326"/>
        <v>2.0382165605095539E-3</v>
      </c>
      <c r="CA321" s="38">
        <f t="shared" si="327"/>
        <v>0</v>
      </c>
      <c r="CB321" s="38">
        <f t="shared" si="328"/>
        <v>0</v>
      </c>
      <c r="CC321" s="38">
        <f t="shared" si="329"/>
        <v>0</v>
      </c>
      <c r="CD321" s="38">
        <f t="shared" si="330"/>
        <v>1.8205457425273348</v>
      </c>
      <c r="CE321" s="38">
        <f t="shared" si="331"/>
        <v>2.9012755992117301</v>
      </c>
      <c r="CF321" s="38">
        <f t="shared" si="332"/>
        <v>2.7464292070238532</v>
      </c>
      <c r="CG321" s="38">
        <f t="shared" si="333"/>
        <v>7.9681480433007259</v>
      </c>
      <c r="CH321" s="15"/>
      <c r="CI321" s="16"/>
      <c r="CJ321" s="13"/>
      <c r="CK321" s="104"/>
      <c r="CL321" s="13"/>
      <c r="CM321" s="13"/>
      <c r="CN321" s="13"/>
      <c r="CO321" s="16"/>
      <c r="CP321" s="16"/>
      <c r="CQ321" s="16"/>
      <c r="CR321" s="16"/>
      <c r="CS321" s="16"/>
      <c r="CT321" s="16"/>
      <c r="CU321" s="16"/>
      <c r="CV321" s="16"/>
      <c r="CW321" s="16"/>
      <c r="CX321" s="16"/>
      <c r="CY321" s="104"/>
      <c r="CZ321" s="104"/>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3"/>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row>
    <row r="322" spans="1:167" x14ac:dyDescent="0.25">
      <c r="A322" s="35" t="s">
        <v>92</v>
      </c>
      <c r="B322" s="15">
        <v>1051</v>
      </c>
      <c r="C322" s="102" t="s">
        <v>255</v>
      </c>
      <c r="D322" s="102" t="s">
        <v>106</v>
      </c>
      <c r="E322" s="15">
        <v>209</v>
      </c>
      <c r="F322" s="16">
        <v>48.62</v>
      </c>
      <c r="G322" s="16"/>
      <c r="H322" s="16">
        <v>32.450000000000003</v>
      </c>
      <c r="I322" s="16"/>
      <c r="J322" s="44">
        <v>0.70099999999999996</v>
      </c>
      <c r="K322" s="16"/>
      <c r="L322" s="16"/>
      <c r="M322" s="16">
        <v>16.27</v>
      </c>
      <c r="N322" s="16">
        <v>2.4</v>
      </c>
      <c r="O322" s="16">
        <v>0.108</v>
      </c>
      <c r="P322" s="16"/>
      <c r="Q322" s="16"/>
      <c r="R322" s="16"/>
      <c r="S322" s="16">
        <f t="shared" si="279"/>
        <v>100.54899999999999</v>
      </c>
      <c r="T322" s="16"/>
      <c r="U322" s="15">
        <v>1</v>
      </c>
      <c r="V322" s="15">
        <v>3</v>
      </c>
      <c r="W322" s="15">
        <v>32.6</v>
      </c>
      <c r="X322" s="15" t="s">
        <v>185</v>
      </c>
      <c r="Y322" s="15"/>
      <c r="Z322" s="37">
        <v>8</v>
      </c>
      <c r="AA322" s="37">
        <v>5</v>
      </c>
      <c r="AB322" s="15"/>
      <c r="AC322" s="38">
        <f t="shared" si="280"/>
        <v>2.2224315306324147</v>
      </c>
      <c r="AD322" s="38">
        <f t="shared" si="281"/>
        <v>0</v>
      </c>
      <c r="AE322" s="38">
        <f t="shared" si="282"/>
        <v>1.7480676246170832</v>
      </c>
      <c r="AF322" s="38">
        <f t="shared" si="283"/>
        <v>0</v>
      </c>
      <c r="AG322" s="38">
        <f t="shared" si="284"/>
        <v>2.6793818117306193E-2</v>
      </c>
      <c r="AH322" s="38">
        <f t="shared" si="285"/>
        <v>0</v>
      </c>
      <c r="AI322" s="38">
        <f t="shared" si="286"/>
        <v>0</v>
      </c>
      <c r="AJ322" s="38">
        <f t="shared" si="287"/>
        <v>0.79675153240993313</v>
      </c>
      <c r="AK322" s="38">
        <f t="shared" si="288"/>
        <v>0.21268312110934867</v>
      </c>
      <c r="AL322" s="38">
        <f t="shared" si="289"/>
        <v>6.2971814552662889E-3</v>
      </c>
      <c r="AM322" s="38">
        <f t="shared" si="290"/>
        <v>0</v>
      </c>
      <c r="AN322" s="38">
        <f t="shared" si="291"/>
        <v>0</v>
      </c>
      <c r="AO322" s="38">
        <f t="shared" si="292"/>
        <v>0</v>
      </c>
      <c r="AP322" s="38">
        <f t="shared" si="293"/>
        <v>5.0130248083413518</v>
      </c>
      <c r="AQ322" s="38">
        <f t="shared" si="294"/>
        <v>3.9704991552494979</v>
      </c>
      <c r="AR322" s="38">
        <f t="shared" si="295"/>
        <v>1.0157318349745481</v>
      </c>
      <c r="AS322" s="40"/>
      <c r="AT322" s="38">
        <f t="shared" si="296"/>
        <v>2.2166572235334154</v>
      </c>
      <c r="AU322" s="38">
        <f t="shared" si="297"/>
        <v>0</v>
      </c>
      <c r="AV322" s="38">
        <f t="shared" si="298"/>
        <v>1.7435258067229293</v>
      </c>
      <c r="AW322" s="38">
        <f t="shared" si="299"/>
        <v>0</v>
      </c>
      <c r="AX322" s="38">
        <f t="shared" si="300"/>
        <v>0</v>
      </c>
      <c r="AY322" s="38">
        <f t="shared" si="301"/>
        <v>2.6724202593933898E-2</v>
      </c>
      <c r="AZ322" s="38">
        <f t="shared" si="302"/>
        <v>0</v>
      </c>
      <c r="BA322" s="38">
        <f t="shared" si="303"/>
        <v>0</v>
      </c>
      <c r="BB322" s="38">
        <f t="shared" si="304"/>
        <v>0.79468141777813417</v>
      </c>
      <c r="BC322" s="38">
        <f t="shared" si="305"/>
        <v>0.21213052921208125</v>
      </c>
      <c r="BD322" s="38">
        <f t="shared" si="306"/>
        <v>6.280820159505476E-3</v>
      </c>
      <c r="BE322" s="38">
        <f t="shared" si="307"/>
        <v>0</v>
      </c>
      <c r="BF322" s="38">
        <f t="shared" si="308"/>
        <v>0</v>
      </c>
      <c r="BG322" s="38">
        <f t="shared" si="309"/>
        <v>0</v>
      </c>
      <c r="BH322" s="41">
        <f t="shared" si="310"/>
        <v>4.9999999999999991</v>
      </c>
      <c r="BI322" s="42">
        <f t="shared" si="311"/>
        <v>7.992576553506054</v>
      </c>
      <c r="BJ322" s="38">
        <f t="shared" si="312"/>
        <v>3.9601830302563448</v>
      </c>
      <c r="BK322" s="38">
        <f t="shared" si="313"/>
        <v>1.013092767149721</v>
      </c>
      <c r="BL322" s="16"/>
      <c r="BM322" s="16">
        <f t="shared" si="314"/>
        <v>0.78441130323526576</v>
      </c>
      <c r="BN322" s="16">
        <f t="shared" si="315"/>
        <v>0.20938904717373363</v>
      </c>
      <c r="BO322" s="16">
        <f t="shared" si="316"/>
        <v>6.1996495910006423E-3</v>
      </c>
      <c r="BP322" s="15"/>
      <c r="BQ322" s="38">
        <f t="shared" si="317"/>
        <v>0.809254327563249</v>
      </c>
      <c r="BR322" s="38">
        <f t="shared" si="318"/>
        <v>0</v>
      </c>
      <c r="BS322" s="38">
        <f t="shared" si="319"/>
        <v>0.63652412710867012</v>
      </c>
      <c r="BT322" s="38">
        <f t="shared" si="320"/>
        <v>0</v>
      </c>
      <c r="BU322" s="38">
        <f t="shared" si="321"/>
        <v>9.7564370215727208E-3</v>
      </c>
      <c r="BV322" s="38">
        <f t="shared" si="322"/>
        <v>0</v>
      </c>
      <c r="BW322" s="38">
        <f t="shared" si="323"/>
        <v>0</v>
      </c>
      <c r="BX322" s="38">
        <f t="shared" si="324"/>
        <v>0.29012125534950073</v>
      </c>
      <c r="BY322" s="38">
        <f t="shared" si="325"/>
        <v>7.7444336882865436E-2</v>
      </c>
      <c r="BZ322" s="38">
        <f t="shared" si="326"/>
        <v>2.2929936305732482E-3</v>
      </c>
      <c r="CA322" s="38">
        <f t="shared" si="327"/>
        <v>0</v>
      </c>
      <c r="CB322" s="38">
        <f t="shared" si="328"/>
        <v>0</v>
      </c>
      <c r="CC322" s="38">
        <f t="shared" si="329"/>
        <v>0</v>
      </c>
      <c r="CD322" s="38">
        <f t="shared" si="330"/>
        <v>1.8253934775564313</v>
      </c>
      <c r="CE322" s="38">
        <f t="shared" si="331"/>
        <v>2.9130412034172957</v>
      </c>
      <c r="CF322" s="38">
        <f t="shared" si="332"/>
        <v>2.7391354584509995</v>
      </c>
      <c r="CG322" s="38">
        <f t="shared" si="333"/>
        <v>7.9792144522090851</v>
      </c>
      <c r="CH322" s="15"/>
      <c r="CI322" s="16"/>
      <c r="CJ322" s="13"/>
      <c r="CK322" s="104"/>
      <c r="CL322" s="13"/>
      <c r="CM322" s="13"/>
      <c r="CN322" s="13"/>
      <c r="CO322" s="16"/>
      <c r="CP322" s="16"/>
      <c r="CQ322" s="16"/>
      <c r="CR322" s="16"/>
      <c r="CS322" s="16"/>
      <c r="CT322" s="16"/>
      <c r="CU322" s="16"/>
      <c r="CV322" s="16"/>
      <c r="CW322" s="16"/>
      <c r="CX322" s="16"/>
      <c r="CY322" s="104"/>
      <c r="CZ322" s="104"/>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3"/>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row>
    <row r="323" spans="1:167" x14ac:dyDescent="0.25">
      <c r="A323" s="35" t="s">
        <v>92</v>
      </c>
      <c r="B323" s="15">
        <v>1052</v>
      </c>
      <c r="C323" s="102" t="s">
        <v>255</v>
      </c>
      <c r="D323" s="102" t="s">
        <v>106</v>
      </c>
      <c r="E323" s="15">
        <v>210</v>
      </c>
      <c r="F323" s="16">
        <v>48.48</v>
      </c>
      <c r="G323" s="16"/>
      <c r="H323" s="16">
        <v>32.1</v>
      </c>
      <c r="I323" s="16"/>
      <c r="J323" s="44">
        <v>0.57899999999999996</v>
      </c>
      <c r="K323" s="16"/>
      <c r="L323" s="16"/>
      <c r="M323" s="16">
        <v>16.11</v>
      </c>
      <c r="N323" s="16">
        <v>2.25</v>
      </c>
      <c r="O323" s="16">
        <v>0.14299999999999999</v>
      </c>
      <c r="P323" s="16"/>
      <c r="Q323" s="16"/>
      <c r="R323" s="16"/>
      <c r="S323" s="16">
        <f t="shared" si="279"/>
        <v>99.661999999999992</v>
      </c>
      <c r="T323" s="16"/>
      <c r="U323" s="15">
        <v>1</v>
      </c>
      <c r="V323" s="15">
        <v>2</v>
      </c>
      <c r="W323" s="15">
        <v>16.3</v>
      </c>
      <c r="X323" s="15" t="s">
        <v>185</v>
      </c>
      <c r="Y323" s="15"/>
      <c r="Z323" s="37">
        <v>8</v>
      </c>
      <c r="AA323" s="37">
        <v>5</v>
      </c>
      <c r="AB323" s="15"/>
      <c r="AC323" s="38">
        <f t="shared" si="280"/>
        <v>2.2325543324923136</v>
      </c>
      <c r="AD323" s="38">
        <f t="shared" si="281"/>
        <v>0</v>
      </c>
      <c r="AE323" s="38">
        <f t="shared" si="282"/>
        <v>1.7421058976349189</v>
      </c>
      <c r="AF323" s="38">
        <f t="shared" si="283"/>
        <v>0</v>
      </c>
      <c r="AG323" s="38">
        <f t="shared" si="284"/>
        <v>2.2295701483042465E-2</v>
      </c>
      <c r="AH323" s="38">
        <f t="shared" si="285"/>
        <v>0</v>
      </c>
      <c r="AI323" s="38">
        <f t="shared" si="286"/>
        <v>0</v>
      </c>
      <c r="AJ323" s="38">
        <f t="shared" si="287"/>
        <v>0.79479821885268909</v>
      </c>
      <c r="AK323" s="38">
        <f t="shared" si="288"/>
        <v>0.20087703599313353</v>
      </c>
      <c r="AL323" s="38">
        <f t="shared" si="289"/>
        <v>8.400100461392692E-3</v>
      </c>
      <c r="AM323" s="38">
        <f t="shared" si="290"/>
        <v>0</v>
      </c>
      <c r="AN323" s="38">
        <f t="shared" si="291"/>
        <v>0</v>
      </c>
      <c r="AO323" s="38">
        <f t="shared" si="292"/>
        <v>0</v>
      </c>
      <c r="AP323" s="38">
        <f t="shared" si="293"/>
        <v>5.00103128691749</v>
      </c>
      <c r="AQ323" s="38">
        <f t="shared" si="294"/>
        <v>3.9746602301272325</v>
      </c>
      <c r="AR323" s="38">
        <f t="shared" si="295"/>
        <v>1.0040753553072153</v>
      </c>
      <c r="AS323" s="40"/>
      <c r="AT323" s="38">
        <f t="shared" si="296"/>
        <v>2.232093946635159</v>
      </c>
      <c r="AU323" s="38">
        <f t="shared" si="297"/>
        <v>0</v>
      </c>
      <c r="AV323" s="38">
        <f t="shared" si="298"/>
        <v>1.7417466495282707</v>
      </c>
      <c r="AW323" s="38">
        <f t="shared" si="299"/>
        <v>0</v>
      </c>
      <c r="AX323" s="38">
        <f t="shared" si="300"/>
        <v>1.8991666175700441E-2</v>
      </c>
      <c r="AY323" s="38">
        <f t="shared" si="301"/>
        <v>3.2994376026014294E-3</v>
      </c>
      <c r="AZ323" s="38">
        <f t="shared" si="302"/>
        <v>0</v>
      </c>
      <c r="BA323" s="38">
        <f t="shared" si="303"/>
        <v>0</v>
      </c>
      <c r="BB323" s="38">
        <f t="shared" si="304"/>
        <v>0.79463431965707898</v>
      </c>
      <c r="BC323" s="38">
        <f t="shared" si="305"/>
        <v>0.20083561216525511</v>
      </c>
      <c r="BD323" s="38">
        <f t="shared" si="306"/>
        <v>8.3983682359346952E-3</v>
      </c>
      <c r="BE323" s="38">
        <f t="shared" si="307"/>
        <v>0</v>
      </c>
      <c r="BF323" s="38">
        <f t="shared" si="308"/>
        <v>0</v>
      </c>
      <c r="BG323" s="38">
        <f t="shared" si="309"/>
        <v>0</v>
      </c>
      <c r="BH323" s="41">
        <f t="shared" si="310"/>
        <v>5.0000000000000009</v>
      </c>
      <c r="BI323" s="42">
        <f t="shared" si="311"/>
        <v>8</v>
      </c>
      <c r="BJ323" s="38">
        <f t="shared" si="312"/>
        <v>3.9738405961634298</v>
      </c>
      <c r="BK323" s="38">
        <f t="shared" si="313"/>
        <v>1.0038683000582689</v>
      </c>
      <c r="BL323" s="16"/>
      <c r="BM323" s="16">
        <f t="shared" si="314"/>
        <v>0.79157228055807227</v>
      </c>
      <c r="BN323" s="16">
        <f t="shared" si="315"/>
        <v>0.200061713427546</v>
      </c>
      <c r="BO323" s="16">
        <f t="shared" si="316"/>
        <v>8.3660060143817862E-3</v>
      </c>
      <c r="BP323" s="15"/>
      <c r="BQ323" s="38">
        <f t="shared" si="317"/>
        <v>0.80692410119840208</v>
      </c>
      <c r="BR323" s="38">
        <f t="shared" si="318"/>
        <v>0</v>
      </c>
      <c r="BS323" s="38">
        <f t="shared" si="319"/>
        <v>0.62965868968222838</v>
      </c>
      <c r="BT323" s="38">
        <f t="shared" si="320"/>
        <v>0</v>
      </c>
      <c r="BU323" s="38">
        <f t="shared" si="321"/>
        <v>8.0584551148225464E-3</v>
      </c>
      <c r="BV323" s="38">
        <f t="shared" si="322"/>
        <v>0</v>
      </c>
      <c r="BW323" s="38">
        <f t="shared" si="323"/>
        <v>0</v>
      </c>
      <c r="BX323" s="38">
        <f t="shared" si="324"/>
        <v>0.28726818830242512</v>
      </c>
      <c r="BY323" s="38">
        <f t="shared" si="325"/>
        <v>7.2604065827686359E-2</v>
      </c>
      <c r="BZ323" s="38">
        <f t="shared" si="326"/>
        <v>3.036093418259023E-3</v>
      </c>
      <c r="CA323" s="38">
        <f t="shared" si="327"/>
        <v>0</v>
      </c>
      <c r="CB323" s="38">
        <f t="shared" si="328"/>
        <v>0</v>
      </c>
      <c r="CC323" s="38">
        <f t="shared" si="329"/>
        <v>0</v>
      </c>
      <c r="CD323" s="38">
        <f t="shared" si="330"/>
        <v>1.8075495935438233</v>
      </c>
      <c r="CE323" s="38">
        <f t="shared" si="331"/>
        <v>2.8914829599603671</v>
      </c>
      <c r="CF323" s="38">
        <f t="shared" si="332"/>
        <v>2.7661758315561134</v>
      </c>
      <c r="CG323" s="38">
        <f t="shared" si="333"/>
        <v>7.9983502811987002</v>
      </c>
      <c r="CH323" s="15"/>
      <c r="CI323" s="16"/>
      <c r="CJ323" s="13"/>
      <c r="CK323" s="104"/>
      <c r="CL323" s="13"/>
      <c r="CM323" s="13"/>
      <c r="CN323" s="13"/>
      <c r="CO323" s="16"/>
      <c r="CP323" s="16"/>
      <c r="CQ323" s="16"/>
      <c r="CR323" s="16"/>
      <c r="CS323" s="16"/>
      <c r="CT323" s="16"/>
      <c r="CU323" s="16"/>
      <c r="CV323" s="16"/>
      <c r="CW323" s="16"/>
      <c r="CX323" s="16"/>
      <c r="CY323" s="104"/>
      <c r="CZ323" s="104"/>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3"/>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row>
    <row r="324" spans="1:167" x14ac:dyDescent="0.25">
      <c r="A324" s="35" t="s">
        <v>92</v>
      </c>
      <c r="B324" s="15">
        <v>1053</v>
      </c>
      <c r="C324" s="102" t="s">
        <v>255</v>
      </c>
      <c r="D324" s="102" t="s">
        <v>106</v>
      </c>
      <c r="E324" s="15">
        <v>211</v>
      </c>
      <c r="F324" s="16">
        <v>47.72</v>
      </c>
      <c r="G324" s="16"/>
      <c r="H324" s="16">
        <v>33.049999999999997</v>
      </c>
      <c r="I324" s="16"/>
      <c r="J324" s="44">
        <v>0.65600000000000003</v>
      </c>
      <c r="K324" s="16"/>
      <c r="L324" s="16"/>
      <c r="M324" s="16">
        <v>16.920000000000002</v>
      </c>
      <c r="N324" s="16">
        <v>2.17</v>
      </c>
      <c r="O324" s="16">
        <v>6.0999999999999999E-2</v>
      </c>
      <c r="P324" s="16"/>
      <c r="Q324" s="16"/>
      <c r="R324" s="16"/>
      <c r="S324" s="16">
        <f t="shared" si="279"/>
        <v>100.57700000000001</v>
      </c>
      <c r="T324" s="16"/>
      <c r="U324" s="15">
        <v>1</v>
      </c>
      <c r="V324" s="15">
        <v>1</v>
      </c>
      <c r="W324" s="15">
        <v>0</v>
      </c>
      <c r="X324" s="15" t="s">
        <v>185</v>
      </c>
      <c r="Y324" s="15"/>
      <c r="Z324" s="37">
        <v>8</v>
      </c>
      <c r="AA324" s="37">
        <v>5</v>
      </c>
      <c r="AB324" s="15"/>
      <c r="AC324" s="38">
        <f t="shared" si="280"/>
        <v>2.1854573130811974</v>
      </c>
      <c r="AD324" s="38">
        <f t="shared" si="281"/>
        <v>0</v>
      </c>
      <c r="AE324" s="38">
        <f t="shared" si="282"/>
        <v>1.7837888701549383</v>
      </c>
      <c r="AF324" s="38">
        <f t="shared" si="283"/>
        <v>0</v>
      </c>
      <c r="AG324" s="38">
        <f t="shared" si="284"/>
        <v>2.5121691846215672E-2</v>
      </c>
      <c r="AH324" s="38">
        <f t="shared" si="285"/>
        <v>0</v>
      </c>
      <c r="AI324" s="38">
        <f t="shared" si="286"/>
        <v>0</v>
      </c>
      <c r="AJ324" s="38">
        <f t="shared" si="287"/>
        <v>0.83016452489551296</v>
      </c>
      <c r="AK324" s="38">
        <f t="shared" si="288"/>
        <v>0.19266817105423431</v>
      </c>
      <c r="AL324" s="38">
        <f t="shared" si="289"/>
        <v>3.5635326727055288E-3</v>
      </c>
      <c r="AM324" s="38">
        <f t="shared" si="290"/>
        <v>0</v>
      </c>
      <c r="AN324" s="38">
        <f t="shared" si="291"/>
        <v>0</v>
      </c>
      <c r="AO324" s="38">
        <f t="shared" si="292"/>
        <v>0</v>
      </c>
      <c r="AP324" s="38">
        <f t="shared" si="293"/>
        <v>5.0207641037048045</v>
      </c>
      <c r="AQ324" s="38">
        <f t="shared" si="294"/>
        <v>3.9692461832361356</v>
      </c>
      <c r="AR324" s="38">
        <f t="shared" si="295"/>
        <v>1.0263962286224528</v>
      </c>
      <c r="AS324" s="40"/>
      <c r="AT324" s="38">
        <f t="shared" si="296"/>
        <v>2.1764190349717452</v>
      </c>
      <c r="AU324" s="38">
        <f t="shared" si="297"/>
        <v>0</v>
      </c>
      <c r="AV324" s="38">
        <f t="shared" si="298"/>
        <v>1.7764117505925912</v>
      </c>
      <c r="AW324" s="38">
        <f t="shared" si="299"/>
        <v>0</v>
      </c>
      <c r="AX324" s="38">
        <f t="shared" si="300"/>
        <v>0</v>
      </c>
      <c r="AY324" s="38">
        <f t="shared" si="301"/>
        <v>2.5017797418204202E-2</v>
      </c>
      <c r="AZ324" s="38">
        <f t="shared" si="302"/>
        <v>0</v>
      </c>
      <c r="BA324" s="38">
        <f t="shared" si="303"/>
        <v>0</v>
      </c>
      <c r="BB324" s="38">
        <f t="shared" si="304"/>
        <v>0.82673125817934534</v>
      </c>
      <c r="BC324" s="38">
        <f t="shared" si="305"/>
        <v>0.19187136367556601</v>
      </c>
      <c r="BD324" s="38">
        <f t="shared" si="306"/>
        <v>3.548795162549074E-3</v>
      </c>
      <c r="BE324" s="38">
        <f t="shared" si="307"/>
        <v>0</v>
      </c>
      <c r="BF324" s="38">
        <f t="shared" si="308"/>
        <v>0</v>
      </c>
      <c r="BG324" s="38">
        <f t="shared" si="309"/>
        <v>0</v>
      </c>
      <c r="BH324" s="41">
        <f t="shared" si="310"/>
        <v>5.0000000000000009</v>
      </c>
      <c r="BI324" s="42">
        <f t="shared" si="311"/>
        <v>7.9794237295580857</v>
      </c>
      <c r="BJ324" s="38">
        <f t="shared" si="312"/>
        <v>3.9528307855643363</v>
      </c>
      <c r="BK324" s="38">
        <f t="shared" si="313"/>
        <v>1.0221514170174604</v>
      </c>
      <c r="BL324" s="16"/>
      <c r="BM324" s="16">
        <f t="shared" si="314"/>
        <v>0.80881486286216542</v>
      </c>
      <c r="BN324" s="16">
        <f t="shared" si="315"/>
        <v>0.18771324921255622</v>
      </c>
      <c r="BO324" s="16">
        <f t="shared" si="316"/>
        <v>3.4718879252783482E-3</v>
      </c>
      <c r="BP324" s="15"/>
      <c r="BQ324" s="38">
        <f t="shared" si="317"/>
        <v>0.7942743009320905</v>
      </c>
      <c r="BR324" s="38">
        <f t="shared" si="318"/>
        <v>0</v>
      </c>
      <c r="BS324" s="38">
        <f t="shared" si="319"/>
        <v>0.64829344841114156</v>
      </c>
      <c r="BT324" s="38">
        <f t="shared" si="320"/>
        <v>0</v>
      </c>
      <c r="BU324" s="38">
        <f t="shared" si="321"/>
        <v>9.1301322199025762E-3</v>
      </c>
      <c r="BV324" s="38">
        <f t="shared" si="322"/>
        <v>0</v>
      </c>
      <c r="BW324" s="38">
        <f t="shared" si="323"/>
        <v>0</v>
      </c>
      <c r="BX324" s="38">
        <f t="shared" si="324"/>
        <v>0.30171184022824538</v>
      </c>
      <c r="BY324" s="38">
        <f t="shared" si="325"/>
        <v>7.0022587931590843E-2</v>
      </c>
      <c r="BZ324" s="38">
        <f t="shared" si="326"/>
        <v>1.2951167728237792E-3</v>
      </c>
      <c r="CA324" s="38">
        <f t="shared" si="327"/>
        <v>0</v>
      </c>
      <c r="CB324" s="38">
        <f t="shared" si="328"/>
        <v>0</v>
      </c>
      <c r="CC324" s="38">
        <f t="shared" si="329"/>
        <v>0</v>
      </c>
      <c r="CD324" s="38">
        <f t="shared" si="330"/>
        <v>1.8247274264957944</v>
      </c>
      <c r="CE324" s="38">
        <f t="shared" si="331"/>
        <v>2.9074895992812482</v>
      </c>
      <c r="CF324" s="38">
        <f t="shared" si="332"/>
        <v>2.740135281246908</v>
      </c>
      <c r="CG324" s="38">
        <f t="shared" si="333"/>
        <v>7.9669148308489826</v>
      </c>
      <c r="CH324" s="15"/>
      <c r="CI324" s="16">
        <v>7.2384006295836887</v>
      </c>
      <c r="CJ324" s="13">
        <v>15751.567932261125</v>
      </c>
      <c r="CK324" s="104">
        <v>199.36627788851803</v>
      </c>
      <c r="CL324" s="13">
        <v>175396.97648003552</v>
      </c>
      <c r="CM324" s="13">
        <v>231820.25137196569</v>
      </c>
      <c r="CN324" s="13">
        <v>107554.40127579396</v>
      </c>
      <c r="CO324" s="16">
        <v>1.4621553871249791</v>
      </c>
      <c r="CP324" s="16">
        <v>158.00651042082211</v>
      </c>
      <c r="CQ324" s="16">
        <v>2.7487673085455517</v>
      </c>
      <c r="CR324" s="16">
        <v>0</v>
      </c>
      <c r="CS324" s="16">
        <v>55.352859339759071</v>
      </c>
      <c r="CT324" s="16">
        <v>0</v>
      </c>
      <c r="CU324" s="16">
        <v>0</v>
      </c>
      <c r="CV324" s="16">
        <v>4.0481966758435197</v>
      </c>
      <c r="CW324" s="16">
        <v>5.9537063235680874</v>
      </c>
      <c r="CX324" s="16">
        <v>0</v>
      </c>
      <c r="CY324" s="104">
        <v>362.53645850123195</v>
      </c>
      <c r="CZ324" s="104">
        <v>353.36185002728848</v>
      </c>
      <c r="DA324" s="16">
        <v>0.39708495432851981</v>
      </c>
      <c r="DB324" s="16">
        <v>0</v>
      </c>
      <c r="DC324" s="16">
        <v>0</v>
      </c>
      <c r="DD324" s="16">
        <v>0</v>
      </c>
      <c r="DE324" s="16">
        <v>23.637784085984492</v>
      </c>
      <c r="DF324" s="16">
        <v>0.93817419661905965</v>
      </c>
      <c r="DG324" s="16">
        <v>1.1033343893993828</v>
      </c>
      <c r="DH324" s="16">
        <v>0</v>
      </c>
      <c r="DI324" s="16">
        <v>0.84468233530655568</v>
      </c>
      <c r="DJ324" s="16">
        <v>0.22972588207712161</v>
      </c>
      <c r="DK324" s="16">
        <v>0.38698192730965086</v>
      </c>
      <c r="DL324" s="16">
        <v>0</v>
      </c>
      <c r="DM324" s="16">
        <v>0</v>
      </c>
      <c r="DN324" s="16">
        <v>7.508432505014076E-2</v>
      </c>
      <c r="DO324" s="16">
        <v>0</v>
      </c>
      <c r="DP324" s="16">
        <v>7.6019390304394099E-2</v>
      </c>
      <c r="DQ324" s="16">
        <v>0</v>
      </c>
      <c r="DR324" s="16">
        <v>0</v>
      </c>
      <c r="DS324" s="16">
        <v>0</v>
      </c>
      <c r="DT324" s="16">
        <v>0</v>
      </c>
      <c r="DU324" s="16">
        <v>0</v>
      </c>
      <c r="DV324" s="16">
        <v>0.9544960184917417</v>
      </c>
      <c r="DW324" s="16">
        <v>0</v>
      </c>
      <c r="DX324" s="16">
        <v>0</v>
      </c>
      <c r="DY324" s="16" t="e">
        <f>(DK324/0.05883)/SQRT((DJ324/0.1536)*(DL324/0.2069))</f>
        <v>#DIV/0!</v>
      </c>
      <c r="DZ324" s="16"/>
      <c r="EA324" s="13">
        <f>1128+200*((BM324-0.4)/0.4) -273</f>
        <v>1059.4074314310826</v>
      </c>
      <c r="EB324" s="16"/>
      <c r="EC324" s="16">
        <f>(-18.482 -16.353 * BM324)/(0.008314 * (EA324+273))</f>
        <v>-2.862393313247658</v>
      </c>
      <c r="ED324" s="16"/>
      <c r="EE324" s="16"/>
      <c r="EF324" s="16"/>
      <c r="EG324" s="16"/>
      <c r="EH324" s="16"/>
      <c r="EI324" s="16"/>
      <c r="EJ324" s="16"/>
      <c r="EK324" s="16"/>
      <c r="EL324" s="16">
        <f>(23.856 -20.71 * BM324)/(0.008314 * (EA324+273))</f>
        <v>0.64142246456301266</v>
      </c>
      <c r="EM324" s="16"/>
      <c r="EN324" s="16">
        <f>(-4.5269  -51.811 * BM324)/(0.008314 * (EA324+273)) +N("eqn50a")</f>
        <v>-4.1915449684296746</v>
      </c>
      <c r="EO324" s="16" t="e">
        <f>(-187.27 + 2.26018 *#REF!)/(0.008314 * (EA324+273)) +N("fsp eqn35 from SiO2")</f>
        <v>#REF!</v>
      </c>
      <c r="EP324" s="16"/>
      <c r="EQ324" s="16"/>
      <c r="ER324" s="16">
        <f>(10.146 -35.204 * BM324)/(0.008314 * (EA324+273))</f>
        <v>-1.6544612451455316</v>
      </c>
      <c r="ES324" s="16">
        <f>(2.1146 -37.009 * BM324)/(0.008314 * (EA324+273))</f>
        <v>-2.5112605978655571</v>
      </c>
      <c r="ET324" s="16">
        <f>(-3.6812 -33.822 * BM324)/(0.008314 * (EA324+273))</f>
        <v>-2.8017654682857973</v>
      </c>
      <c r="EU324" s="16">
        <f>(-6.8025 -26.094 * BM324)/(0.008314 * (EA324+273))</f>
        <v>-2.519284491843913</v>
      </c>
      <c r="EV324" s="16">
        <f>(-5.6996 -30.85 * BM324)/(0.008314 * (EA324+273))</f>
        <v>-2.7669748510615597</v>
      </c>
      <c r="EW324" s="16">
        <f>(-8.6767 -33.32 * BM324)/(0.008314 * (EA324+273))</f>
        <v>-3.2160664250668516</v>
      </c>
      <c r="EX324" s="16"/>
      <c r="EY324" s="16">
        <f>(-1.9714 -59.897 * BM324)/(0.008314 * (EA324+273))</f>
        <v>-4.5512405932313706</v>
      </c>
      <c r="EZ324" s="16">
        <f>(-4.3691 -44.528 * BM324)/(0.008314 * (EA324+273))</f>
        <v>-3.645544090439059</v>
      </c>
      <c r="FA324" s="16">
        <f>(-2.2521 -58.215 * BM324)/(0.008314 * (EA324+273))</f>
        <v>-4.4537715430400109</v>
      </c>
      <c r="FB324" s="16"/>
      <c r="FC324" s="16">
        <f>(-8.5 - 57.253 * BM324)/(0.008314 * (EA324+273))</f>
        <v>-4.9475429944251728</v>
      </c>
      <c r="FD324" s="16"/>
      <c r="FE324" s="16">
        <f>(-9.2954 -52.923 * BM324)/(0.008314 * (EA324+273))</f>
        <v>-4.7031976750370301</v>
      </c>
      <c r="FF324" s="16">
        <f>(0.61501 -70.378 * BM324)/(0.008314 * (EA324+273))</f>
        <v>-5.0830127966818051</v>
      </c>
      <c r="FG324" s="16"/>
      <c r="FH324" s="16"/>
      <c r="FI324" s="16"/>
      <c r="FJ324" s="16"/>
      <c r="FK324" s="16"/>
    </row>
    <row r="325" spans="1:167" x14ac:dyDescent="0.25">
      <c r="A325" s="35" t="s">
        <v>92</v>
      </c>
      <c r="B325" s="15">
        <v>1054</v>
      </c>
      <c r="C325" s="102" t="s">
        <v>255</v>
      </c>
      <c r="D325" s="102" t="s">
        <v>106</v>
      </c>
      <c r="E325" s="15">
        <v>212</v>
      </c>
      <c r="F325" s="16">
        <v>60.63</v>
      </c>
      <c r="G325" s="16"/>
      <c r="H325" s="16">
        <v>24.42</v>
      </c>
      <c r="I325" s="16"/>
      <c r="J325" s="44">
        <v>0.36799999999999999</v>
      </c>
      <c r="K325" s="16"/>
      <c r="L325" s="16"/>
      <c r="M325" s="16">
        <v>6.63</v>
      </c>
      <c r="N325" s="16">
        <v>7.7</v>
      </c>
      <c r="O325" s="16">
        <v>0.87</v>
      </c>
      <c r="P325" s="16"/>
      <c r="Q325" s="16"/>
      <c r="R325" s="16"/>
      <c r="S325" s="16">
        <f t="shared" si="279"/>
        <v>100.61800000000001</v>
      </c>
      <c r="T325" s="16"/>
      <c r="U325" s="15">
        <v>1</v>
      </c>
      <c r="V325" s="15"/>
      <c r="W325" s="15"/>
      <c r="X325" s="15" t="s">
        <v>185</v>
      </c>
      <c r="Y325" s="15"/>
      <c r="Z325" s="37">
        <v>8</v>
      </c>
      <c r="AA325" s="37">
        <v>5</v>
      </c>
      <c r="AB325" s="15"/>
      <c r="AC325" s="38">
        <f t="shared" si="280"/>
        <v>2.6967948440125027</v>
      </c>
      <c r="AD325" s="38">
        <f t="shared" si="281"/>
        <v>0</v>
      </c>
      <c r="AE325" s="38">
        <f t="shared" si="282"/>
        <v>1.2800769971576667</v>
      </c>
      <c r="AF325" s="38">
        <f t="shared" si="283"/>
        <v>0</v>
      </c>
      <c r="AG325" s="38">
        <f t="shared" si="284"/>
        <v>1.368709593021908E-2</v>
      </c>
      <c r="AH325" s="38">
        <f t="shared" si="285"/>
        <v>0</v>
      </c>
      <c r="AI325" s="38">
        <f t="shared" si="286"/>
        <v>0</v>
      </c>
      <c r="AJ325" s="38">
        <f t="shared" si="287"/>
        <v>0.31593357976312841</v>
      </c>
      <c r="AK325" s="38">
        <f t="shared" si="288"/>
        <v>0.66398675132879958</v>
      </c>
      <c r="AL325" s="38">
        <f t="shared" si="289"/>
        <v>4.9361529761494369E-2</v>
      </c>
      <c r="AM325" s="38">
        <f t="shared" si="290"/>
        <v>0</v>
      </c>
      <c r="AN325" s="38">
        <f t="shared" si="291"/>
        <v>0</v>
      </c>
      <c r="AO325" s="38">
        <f t="shared" si="292"/>
        <v>0</v>
      </c>
      <c r="AP325" s="38">
        <f t="shared" si="293"/>
        <v>5.01984079795381</v>
      </c>
      <c r="AQ325" s="38">
        <f t="shared" si="294"/>
        <v>3.9768718411701691</v>
      </c>
      <c r="AR325" s="38">
        <f t="shared" si="295"/>
        <v>1.0292818608534224</v>
      </c>
      <c r="AS325" s="40"/>
      <c r="AT325" s="38">
        <f t="shared" si="296"/>
        <v>2.6861358283630934</v>
      </c>
      <c r="AU325" s="38">
        <f t="shared" si="297"/>
        <v>0</v>
      </c>
      <c r="AV325" s="38">
        <f t="shared" si="298"/>
        <v>1.275017524140857</v>
      </c>
      <c r="AW325" s="38">
        <f t="shared" si="299"/>
        <v>0</v>
      </c>
      <c r="AX325" s="38">
        <f t="shared" si="300"/>
        <v>0</v>
      </c>
      <c r="AY325" s="38">
        <f t="shared" si="301"/>
        <v>1.3632998018381597E-2</v>
      </c>
      <c r="AZ325" s="38">
        <f t="shared" si="302"/>
        <v>0</v>
      </c>
      <c r="BA325" s="38">
        <f t="shared" si="303"/>
        <v>0</v>
      </c>
      <c r="BB325" s="38">
        <f t="shared" si="304"/>
        <v>0.31468486001778123</v>
      </c>
      <c r="BC325" s="38">
        <f t="shared" si="305"/>
        <v>0.66136235993724546</v>
      </c>
      <c r="BD325" s="38">
        <f t="shared" si="306"/>
        <v>4.9166429522640567E-2</v>
      </c>
      <c r="BE325" s="38">
        <f t="shared" si="307"/>
        <v>0</v>
      </c>
      <c r="BF325" s="38">
        <f t="shared" si="308"/>
        <v>0</v>
      </c>
      <c r="BG325" s="38">
        <f t="shared" si="309"/>
        <v>0</v>
      </c>
      <c r="BH325" s="41">
        <f t="shared" si="310"/>
        <v>4.9999999999999991</v>
      </c>
      <c r="BI325" s="42">
        <f t="shared" si="311"/>
        <v>7.9751966947127686</v>
      </c>
      <c r="BJ325" s="38">
        <f t="shared" si="312"/>
        <v>3.9611533525039504</v>
      </c>
      <c r="BK325" s="38">
        <f t="shared" si="313"/>
        <v>1.0252136494776674</v>
      </c>
      <c r="BL325" s="16"/>
      <c r="BM325" s="16">
        <f t="shared" si="314"/>
        <v>0.30694564023616827</v>
      </c>
      <c r="BN325" s="16">
        <f t="shared" si="315"/>
        <v>0.64509710758747774</v>
      </c>
      <c r="BO325" s="16">
        <f t="shared" si="316"/>
        <v>4.7957252176353882E-2</v>
      </c>
      <c r="BP325" s="15"/>
      <c r="BQ325" s="38">
        <f t="shared" si="317"/>
        <v>1.0091544607190412</v>
      </c>
      <c r="BR325" s="38">
        <f t="shared" si="318"/>
        <v>0</v>
      </c>
      <c r="BS325" s="38">
        <f t="shared" si="319"/>
        <v>0.47901137701059243</v>
      </c>
      <c r="BT325" s="38">
        <f t="shared" si="320"/>
        <v>0</v>
      </c>
      <c r="BU325" s="38">
        <f t="shared" si="321"/>
        <v>5.1217814892136398E-3</v>
      </c>
      <c r="BV325" s="38">
        <f t="shared" si="322"/>
        <v>0</v>
      </c>
      <c r="BW325" s="38">
        <f t="shared" si="323"/>
        <v>0</v>
      </c>
      <c r="BX325" s="38">
        <f t="shared" si="324"/>
        <v>0.11822396576319544</v>
      </c>
      <c r="BY325" s="38">
        <f t="shared" si="325"/>
        <v>0.2484672474991933</v>
      </c>
      <c r="BZ325" s="38">
        <f t="shared" si="326"/>
        <v>1.8471337579617834E-2</v>
      </c>
      <c r="CA325" s="38">
        <f t="shared" si="327"/>
        <v>0</v>
      </c>
      <c r="CB325" s="38">
        <f t="shared" si="328"/>
        <v>0</v>
      </c>
      <c r="CC325" s="38">
        <f t="shared" si="329"/>
        <v>0</v>
      </c>
      <c r="CD325" s="38">
        <f t="shared" si="330"/>
        <v>1.878450170060854</v>
      </c>
      <c r="CE325" s="38">
        <f t="shared" si="331"/>
        <v>2.9936410267457858</v>
      </c>
      <c r="CF325" s="38">
        <f t="shared" si="332"/>
        <v>2.6617687707084721</v>
      </c>
      <c r="CG325" s="38">
        <f t="shared" si="333"/>
        <v>7.9683801957035785</v>
      </c>
      <c r="CH325" s="15"/>
      <c r="CI325" s="16"/>
      <c r="CJ325" s="13"/>
      <c r="CK325" s="104"/>
      <c r="CL325" s="13"/>
      <c r="CM325" s="13"/>
      <c r="CN325" s="13"/>
      <c r="CO325" s="16"/>
      <c r="CP325" s="16"/>
      <c r="CQ325" s="16"/>
      <c r="CR325" s="16"/>
      <c r="CS325" s="16"/>
      <c r="CT325" s="16"/>
      <c r="CU325" s="16"/>
      <c r="CV325" s="16"/>
      <c r="CW325" s="16"/>
      <c r="CX325" s="16"/>
      <c r="CY325" s="104"/>
      <c r="CZ325" s="104"/>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3"/>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row>
    <row r="326" spans="1:167" x14ac:dyDescent="0.25">
      <c r="A326" s="35" t="s">
        <v>92</v>
      </c>
      <c r="B326" s="15">
        <v>1055</v>
      </c>
      <c r="C326" s="102" t="s">
        <v>255</v>
      </c>
      <c r="D326" s="102" t="s">
        <v>106</v>
      </c>
      <c r="E326" s="15">
        <v>213</v>
      </c>
      <c r="F326" s="16">
        <v>66.260000000000005</v>
      </c>
      <c r="G326" s="16"/>
      <c r="H326" s="16">
        <v>18.649999999999999</v>
      </c>
      <c r="I326" s="16"/>
      <c r="J326" s="44">
        <v>0.13200000000000001</v>
      </c>
      <c r="K326" s="16"/>
      <c r="L326" s="16"/>
      <c r="M326" s="16">
        <v>0.42799999999999999</v>
      </c>
      <c r="N326" s="16">
        <v>4.63</v>
      </c>
      <c r="O326" s="16">
        <v>10.43</v>
      </c>
      <c r="P326" s="16"/>
      <c r="Q326" s="16"/>
      <c r="R326" s="16"/>
      <c r="S326" s="16">
        <f t="shared" si="279"/>
        <v>100.53</v>
      </c>
      <c r="T326" s="16"/>
      <c r="U326" s="15"/>
      <c r="V326" s="15"/>
      <c r="W326" s="15"/>
      <c r="X326" s="15" t="s">
        <v>187</v>
      </c>
      <c r="Y326" s="15"/>
      <c r="Z326" s="37">
        <v>8</v>
      </c>
      <c r="AA326" s="37">
        <v>5</v>
      </c>
      <c r="AB326" s="15"/>
      <c r="AC326" s="38">
        <f t="shared" si="280"/>
        <v>2.9914606577626102</v>
      </c>
      <c r="AD326" s="38">
        <f t="shared" si="281"/>
        <v>0</v>
      </c>
      <c r="AE326" s="38">
        <f t="shared" si="282"/>
        <v>0.99229497719664173</v>
      </c>
      <c r="AF326" s="38">
        <f t="shared" si="283"/>
        <v>0</v>
      </c>
      <c r="AG326" s="38">
        <f t="shared" si="284"/>
        <v>4.9832072162163833E-3</v>
      </c>
      <c r="AH326" s="38">
        <f t="shared" si="285"/>
        <v>0</v>
      </c>
      <c r="AI326" s="38">
        <f t="shared" si="286"/>
        <v>0</v>
      </c>
      <c r="AJ326" s="38">
        <f t="shared" si="287"/>
        <v>2.0701296804300533E-2</v>
      </c>
      <c r="AK326" s="38">
        <f t="shared" si="288"/>
        <v>0.40524830106149368</v>
      </c>
      <c r="AL326" s="38">
        <f t="shared" si="289"/>
        <v>0.60065512825710665</v>
      </c>
      <c r="AM326" s="38">
        <f t="shared" si="290"/>
        <v>0</v>
      </c>
      <c r="AN326" s="38">
        <f t="shared" si="291"/>
        <v>0</v>
      </c>
      <c r="AO326" s="38">
        <f t="shared" si="292"/>
        <v>0</v>
      </c>
      <c r="AP326" s="38">
        <f t="shared" si="293"/>
        <v>5.0153435682983689</v>
      </c>
      <c r="AQ326" s="38">
        <f t="shared" si="294"/>
        <v>3.9837556349592518</v>
      </c>
      <c r="AR326" s="38">
        <f t="shared" si="295"/>
        <v>1.0266047261229008</v>
      </c>
      <c r="AS326" s="40"/>
      <c r="AT326" s="38">
        <f t="shared" si="296"/>
        <v>2.9823088059922958</v>
      </c>
      <c r="AU326" s="38">
        <f t="shared" si="297"/>
        <v>0</v>
      </c>
      <c r="AV326" s="38">
        <f t="shared" si="298"/>
        <v>0.98925922390329124</v>
      </c>
      <c r="AW326" s="38">
        <f t="shared" si="299"/>
        <v>0</v>
      </c>
      <c r="AX326" s="38">
        <f t="shared" si="300"/>
        <v>0</v>
      </c>
      <c r="AY326" s="38">
        <f t="shared" si="301"/>
        <v>4.967961963478317E-3</v>
      </c>
      <c r="AZ326" s="38">
        <f t="shared" si="302"/>
        <v>0</v>
      </c>
      <c r="BA326" s="38">
        <f t="shared" si="303"/>
        <v>0</v>
      </c>
      <c r="BB326" s="38">
        <f t="shared" si="304"/>
        <v>2.0637964799811483E-2</v>
      </c>
      <c r="BC326" s="38">
        <f t="shared" si="305"/>
        <v>0.40400851461407294</v>
      </c>
      <c r="BD326" s="38">
        <f t="shared" si="306"/>
        <v>0.59881752872704974</v>
      </c>
      <c r="BE326" s="38">
        <f t="shared" si="307"/>
        <v>0</v>
      </c>
      <c r="BF326" s="38">
        <f t="shared" si="308"/>
        <v>0</v>
      </c>
      <c r="BG326" s="38">
        <f t="shared" si="309"/>
        <v>0</v>
      </c>
      <c r="BH326" s="41">
        <f t="shared" si="310"/>
        <v>5</v>
      </c>
      <c r="BI326" s="42">
        <f t="shared" si="311"/>
        <v>7.9780093772551188</v>
      </c>
      <c r="BJ326" s="38">
        <f t="shared" si="312"/>
        <v>3.9715680298955869</v>
      </c>
      <c r="BK326" s="38">
        <f t="shared" si="313"/>
        <v>1.0234640081409343</v>
      </c>
      <c r="BL326" s="16"/>
      <c r="BM326" s="16">
        <f t="shared" si="314"/>
        <v>2.0164817361090409E-2</v>
      </c>
      <c r="BN326" s="16">
        <f t="shared" si="315"/>
        <v>0.39474618687171237</v>
      </c>
      <c r="BO326" s="16">
        <f t="shared" si="316"/>
        <v>0.58508899576719731</v>
      </c>
      <c r="BP326" s="15"/>
      <c r="BQ326" s="38">
        <f t="shared" si="317"/>
        <v>1.1028628495339547</v>
      </c>
      <c r="BR326" s="38">
        <f t="shared" si="318"/>
        <v>0</v>
      </c>
      <c r="BS326" s="38">
        <f t="shared" si="319"/>
        <v>0.36582973715182426</v>
      </c>
      <c r="BT326" s="38">
        <f t="shared" si="320"/>
        <v>0</v>
      </c>
      <c r="BU326" s="38">
        <f t="shared" si="321"/>
        <v>1.8371607515657623E-3</v>
      </c>
      <c r="BV326" s="38">
        <f t="shared" si="322"/>
        <v>0</v>
      </c>
      <c r="BW326" s="38">
        <f t="shared" si="323"/>
        <v>0</v>
      </c>
      <c r="BX326" s="38">
        <f t="shared" si="324"/>
        <v>7.6319543509272472E-3</v>
      </c>
      <c r="BY326" s="38">
        <f t="shared" si="325"/>
        <v>0.14940303323652793</v>
      </c>
      <c r="BZ326" s="38">
        <f t="shared" si="326"/>
        <v>0.22144373673036091</v>
      </c>
      <c r="CA326" s="38">
        <f t="shared" si="327"/>
        <v>0</v>
      </c>
      <c r="CB326" s="38">
        <f t="shared" si="328"/>
        <v>0</v>
      </c>
      <c r="CC326" s="38">
        <f t="shared" si="329"/>
        <v>0</v>
      </c>
      <c r="CD326" s="38">
        <f t="shared" si="330"/>
        <v>1.8490084717551609</v>
      </c>
      <c r="CE326" s="38">
        <f t="shared" si="331"/>
        <v>2.9493628048815834</v>
      </c>
      <c r="CF326" s="38">
        <f t="shared" si="332"/>
        <v>2.7041520233024015</v>
      </c>
      <c r="CG326" s="38">
        <f t="shared" si="333"/>
        <v>7.9755253962733796</v>
      </c>
      <c r="CH326" s="15"/>
      <c r="CI326" s="16"/>
      <c r="CJ326" s="13"/>
      <c r="CK326" s="104"/>
      <c r="CL326" s="13"/>
      <c r="CM326" s="13"/>
      <c r="CN326" s="13"/>
      <c r="CO326" s="16"/>
      <c r="CP326" s="16"/>
      <c r="CQ326" s="16"/>
      <c r="CR326" s="16"/>
      <c r="CS326" s="16"/>
      <c r="CT326" s="16"/>
      <c r="CU326" s="16"/>
      <c r="CV326" s="16"/>
      <c r="CW326" s="16"/>
      <c r="CX326" s="16"/>
      <c r="CY326" s="104"/>
      <c r="CZ326" s="104"/>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3"/>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row>
    <row r="327" spans="1:167" x14ac:dyDescent="0.25">
      <c r="A327" s="35" t="s">
        <v>92</v>
      </c>
      <c r="B327" s="15">
        <v>1056</v>
      </c>
      <c r="C327" s="102" t="s">
        <v>255</v>
      </c>
      <c r="D327" s="102" t="s">
        <v>106</v>
      </c>
      <c r="E327" s="15">
        <v>214</v>
      </c>
      <c r="F327" s="16">
        <v>66.319999999999993</v>
      </c>
      <c r="G327" s="16"/>
      <c r="H327" s="16">
        <v>18.559999999999999</v>
      </c>
      <c r="I327" s="16"/>
      <c r="J327" s="44">
        <v>0.217</v>
      </c>
      <c r="K327" s="16"/>
      <c r="L327" s="16"/>
      <c r="M327" s="16">
        <v>0.38200000000000001</v>
      </c>
      <c r="N327" s="16">
        <v>4.55</v>
      </c>
      <c r="O327" s="16">
        <v>10.36</v>
      </c>
      <c r="P327" s="16"/>
      <c r="Q327" s="16"/>
      <c r="R327" s="16"/>
      <c r="S327" s="16">
        <f t="shared" si="279"/>
        <v>100.389</v>
      </c>
      <c r="T327" s="16"/>
      <c r="U327" s="15"/>
      <c r="V327" s="15"/>
      <c r="W327" s="15"/>
      <c r="X327" s="15" t="s">
        <v>187</v>
      </c>
      <c r="Y327" s="15"/>
      <c r="Z327" s="37">
        <v>8</v>
      </c>
      <c r="AA327" s="37">
        <v>5</v>
      </c>
      <c r="AB327" s="15"/>
      <c r="AC327" s="38">
        <f t="shared" si="280"/>
        <v>2.9965284623714408</v>
      </c>
      <c r="AD327" s="38">
        <f t="shared" si="281"/>
        <v>0</v>
      </c>
      <c r="AE327" s="38">
        <f t="shared" si="282"/>
        <v>0.98828443246913156</v>
      </c>
      <c r="AF327" s="38">
        <f t="shared" si="283"/>
        <v>0</v>
      </c>
      <c r="AG327" s="38">
        <f t="shared" si="284"/>
        <v>8.1985448159621957E-3</v>
      </c>
      <c r="AH327" s="38">
        <f t="shared" si="285"/>
        <v>0</v>
      </c>
      <c r="AI327" s="38">
        <f t="shared" si="286"/>
        <v>0</v>
      </c>
      <c r="AJ327" s="38">
        <f t="shared" si="287"/>
        <v>1.8490947757340535E-2</v>
      </c>
      <c r="AK327" s="38">
        <f t="shared" si="288"/>
        <v>0.39855993012051177</v>
      </c>
      <c r="AL327" s="38">
        <f t="shared" si="289"/>
        <v>0.59709393783972875</v>
      </c>
      <c r="AM327" s="38">
        <f t="shared" si="290"/>
        <v>0</v>
      </c>
      <c r="AN327" s="38">
        <f t="shared" si="291"/>
        <v>0</v>
      </c>
      <c r="AO327" s="38">
        <f t="shared" si="292"/>
        <v>0</v>
      </c>
      <c r="AP327" s="38">
        <f t="shared" si="293"/>
        <v>5.0071562553741158</v>
      </c>
      <c r="AQ327" s="38">
        <f t="shared" si="294"/>
        <v>3.9848128948405721</v>
      </c>
      <c r="AR327" s="38">
        <f t="shared" si="295"/>
        <v>1.014144815717581</v>
      </c>
      <c r="AS327" s="40"/>
      <c r="AT327" s="38">
        <f t="shared" si="296"/>
        <v>2.9922458073435449</v>
      </c>
      <c r="AU327" s="38">
        <f t="shared" si="297"/>
        <v>0</v>
      </c>
      <c r="AV327" s="38">
        <f t="shared" si="298"/>
        <v>0.98687197090006795</v>
      </c>
      <c r="AW327" s="38">
        <f t="shared" si="299"/>
        <v>0</v>
      </c>
      <c r="AX327" s="38">
        <f t="shared" si="300"/>
        <v>0</v>
      </c>
      <c r="AY327" s="38">
        <f t="shared" si="301"/>
        <v>8.1868274104316234E-3</v>
      </c>
      <c r="AZ327" s="38">
        <f t="shared" si="302"/>
        <v>0</v>
      </c>
      <c r="BA327" s="38">
        <f t="shared" si="303"/>
        <v>0</v>
      </c>
      <c r="BB327" s="38">
        <f t="shared" si="304"/>
        <v>1.8464520392682413E-2</v>
      </c>
      <c r="BC327" s="38">
        <f t="shared" si="305"/>
        <v>0.39799030606718389</v>
      </c>
      <c r="BD327" s="38">
        <f t="shared" si="306"/>
        <v>0.59624056788608848</v>
      </c>
      <c r="BE327" s="38">
        <f t="shared" si="307"/>
        <v>0</v>
      </c>
      <c r="BF327" s="38">
        <f t="shared" si="308"/>
        <v>0</v>
      </c>
      <c r="BG327" s="38">
        <f t="shared" si="309"/>
        <v>0</v>
      </c>
      <c r="BH327" s="41">
        <f t="shared" si="310"/>
        <v>4.9999999999999991</v>
      </c>
      <c r="BI327" s="42">
        <f t="shared" si="311"/>
        <v>7.9926597695221577</v>
      </c>
      <c r="BJ327" s="38">
        <f t="shared" si="312"/>
        <v>3.9791177782436131</v>
      </c>
      <c r="BK327" s="38">
        <f t="shared" si="313"/>
        <v>1.0126953943459549</v>
      </c>
      <c r="BL327" s="16"/>
      <c r="BM327" s="16">
        <f t="shared" si="314"/>
        <v>1.8233044700087381E-2</v>
      </c>
      <c r="BN327" s="16">
        <f t="shared" si="315"/>
        <v>0.39300100335128346</v>
      </c>
      <c r="BO327" s="16">
        <f t="shared" si="316"/>
        <v>0.58876595194862924</v>
      </c>
      <c r="BP327" s="15"/>
      <c r="BQ327" s="38">
        <f t="shared" si="317"/>
        <v>1.1038615179760318</v>
      </c>
      <c r="BR327" s="38">
        <f t="shared" si="318"/>
        <v>0</v>
      </c>
      <c r="BS327" s="38">
        <f t="shared" si="319"/>
        <v>0.36406433895645351</v>
      </c>
      <c r="BT327" s="38">
        <f t="shared" si="320"/>
        <v>0</v>
      </c>
      <c r="BU327" s="38">
        <f t="shared" si="321"/>
        <v>3.0201809324982604E-3</v>
      </c>
      <c r="BV327" s="38">
        <f t="shared" si="322"/>
        <v>0</v>
      </c>
      <c r="BW327" s="38">
        <f t="shared" si="323"/>
        <v>0</v>
      </c>
      <c r="BX327" s="38">
        <f t="shared" si="324"/>
        <v>6.8116975748930102E-3</v>
      </c>
      <c r="BY327" s="38">
        <f t="shared" si="325"/>
        <v>0.1468215553404324</v>
      </c>
      <c r="BZ327" s="38">
        <f t="shared" si="326"/>
        <v>0.21995753715498936</v>
      </c>
      <c r="CA327" s="38">
        <f t="shared" si="327"/>
        <v>0</v>
      </c>
      <c r="CB327" s="38">
        <f t="shared" si="328"/>
        <v>0</v>
      </c>
      <c r="CC327" s="38">
        <f t="shared" si="329"/>
        <v>0</v>
      </c>
      <c r="CD327" s="38">
        <f t="shared" si="330"/>
        <v>1.8445368279352985</v>
      </c>
      <c r="CE327" s="38">
        <f t="shared" si="331"/>
        <v>2.9470409691418453</v>
      </c>
      <c r="CF327" s="38">
        <f t="shared" si="332"/>
        <v>2.7107076011037425</v>
      </c>
      <c r="CG327" s="38">
        <f t="shared" si="333"/>
        <v>7.98856635581694</v>
      </c>
      <c r="CH327" s="15"/>
      <c r="CI327" s="16"/>
      <c r="CJ327" s="13"/>
      <c r="CK327" s="104"/>
      <c r="CL327" s="13"/>
      <c r="CM327" s="13"/>
      <c r="CN327" s="13"/>
      <c r="CO327" s="16"/>
      <c r="CP327" s="16"/>
      <c r="CQ327" s="16"/>
      <c r="CR327" s="16"/>
      <c r="CS327" s="16"/>
      <c r="CT327" s="16"/>
      <c r="CU327" s="16"/>
      <c r="CV327" s="16"/>
      <c r="CW327" s="16"/>
      <c r="CX327" s="16"/>
      <c r="CY327" s="104"/>
      <c r="CZ327" s="104"/>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3"/>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row>
    <row r="328" spans="1:167" x14ac:dyDescent="0.25">
      <c r="A328" s="35" t="s">
        <v>92</v>
      </c>
      <c r="B328" s="15">
        <v>1058</v>
      </c>
      <c r="C328" s="102" t="s">
        <v>255</v>
      </c>
      <c r="D328" s="102" t="s">
        <v>106</v>
      </c>
      <c r="E328" s="15">
        <v>216</v>
      </c>
      <c r="F328" s="16">
        <v>65.66</v>
      </c>
      <c r="G328" s="16"/>
      <c r="H328" s="16">
        <v>20.29</v>
      </c>
      <c r="I328" s="16"/>
      <c r="J328" s="16">
        <v>0.38200000000000001</v>
      </c>
      <c r="K328" s="16"/>
      <c r="L328" s="16"/>
      <c r="M328" s="16">
        <v>1.93</v>
      </c>
      <c r="N328" s="16">
        <v>7.53</v>
      </c>
      <c r="O328" s="16">
        <v>5.1100000000000003</v>
      </c>
      <c r="P328" s="16"/>
      <c r="Q328" s="16"/>
      <c r="R328" s="16"/>
      <c r="S328" s="16">
        <f t="shared" si="279"/>
        <v>100.902</v>
      </c>
      <c r="T328" s="16"/>
      <c r="U328" s="15"/>
      <c r="V328" s="15"/>
      <c r="W328" s="15"/>
      <c r="X328" s="15" t="s">
        <v>187</v>
      </c>
      <c r="Y328" s="15"/>
      <c r="Z328" s="37">
        <v>8</v>
      </c>
      <c r="AA328" s="37">
        <v>5</v>
      </c>
      <c r="AB328" s="15"/>
      <c r="AC328" s="38">
        <f t="shared" si="280"/>
        <v>2.916066645280627</v>
      </c>
      <c r="AD328" s="38">
        <f t="shared" si="281"/>
        <v>0</v>
      </c>
      <c r="AE328" s="38">
        <f t="shared" si="282"/>
        <v>1.0619613400509487</v>
      </c>
      <c r="AF328" s="38">
        <f t="shared" si="283"/>
        <v>0</v>
      </c>
      <c r="AG328" s="38">
        <f t="shared" si="284"/>
        <v>1.4186102105575346E-2</v>
      </c>
      <c r="AH328" s="38">
        <f t="shared" si="285"/>
        <v>0</v>
      </c>
      <c r="AI328" s="38">
        <f t="shared" si="286"/>
        <v>0</v>
      </c>
      <c r="AJ328" s="38">
        <f t="shared" si="287"/>
        <v>9.1828141549431336E-2</v>
      </c>
      <c r="AK328" s="38">
        <f t="shared" si="288"/>
        <v>0.64833563227037283</v>
      </c>
      <c r="AL328" s="38">
        <f t="shared" si="289"/>
        <v>0.28948527914426014</v>
      </c>
      <c r="AM328" s="38">
        <f t="shared" si="290"/>
        <v>0</v>
      </c>
      <c r="AN328" s="38">
        <f t="shared" si="291"/>
        <v>0</v>
      </c>
      <c r="AO328" s="38">
        <f t="shared" si="292"/>
        <v>0</v>
      </c>
      <c r="AP328" s="38">
        <f t="shared" si="293"/>
        <v>5.0218631404012157</v>
      </c>
      <c r="AQ328" s="38">
        <f t="shared" si="294"/>
        <v>3.9780279853315754</v>
      </c>
      <c r="AR328" s="38">
        <f t="shared" si="295"/>
        <v>1.0296490529640643</v>
      </c>
      <c r="AS328" s="40"/>
      <c r="AT328" s="38">
        <f t="shared" si="296"/>
        <v>2.9033712824834681</v>
      </c>
      <c r="AU328" s="38">
        <f t="shared" si="297"/>
        <v>0</v>
      </c>
      <c r="AV328" s="38">
        <f t="shared" si="298"/>
        <v>1.0573379942469963</v>
      </c>
      <c r="AW328" s="38">
        <f t="shared" si="299"/>
        <v>0</v>
      </c>
      <c r="AX328" s="38">
        <f t="shared" si="300"/>
        <v>0</v>
      </c>
      <c r="AY328" s="38">
        <f t="shared" si="301"/>
        <v>1.4124341612824165E-2</v>
      </c>
      <c r="AZ328" s="38">
        <f t="shared" si="302"/>
        <v>0</v>
      </c>
      <c r="BA328" s="38">
        <f t="shared" si="303"/>
        <v>0</v>
      </c>
      <c r="BB328" s="38">
        <f t="shared" si="304"/>
        <v>9.1428359338059179E-2</v>
      </c>
      <c r="BC328" s="38">
        <f t="shared" si="305"/>
        <v>0.64551304380885099</v>
      </c>
      <c r="BD328" s="38">
        <f t="shared" si="306"/>
        <v>0.28822497850980072</v>
      </c>
      <c r="BE328" s="38">
        <f t="shared" si="307"/>
        <v>0</v>
      </c>
      <c r="BF328" s="38">
        <f t="shared" si="308"/>
        <v>0</v>
      </c>
      <c r="BG328" s="38">
        <f t="shared" si="309"/>
        <v>0</v>
      </c>
      <c r="BH328" s="41">
        <f t="shared" si="310"/>
        <v>4.9999999999999991</v>
      </c>
      <c r="BI328" s="42">
        <f t="shared" si="311"/>
        <v>7.9722334392540519</v>
      </c>
      <c r="BJ328" s="38">
        <f t="shared" si="312"/>
        <v>3.9607092767304644</v>
      </c>
      <c r="BK328" s="38">
        <f t="shared" si="313"/>
        <v>1.0251663816567109</v>
      </c>
      <c r="BL328" s="16"/>
      <c r="BM328" s="16">
        <f t="shared" si="314"/>
        <v>8.9183922701705456E-2</v>
      </c>
      <c r="BN328" s="16">
        <f t="shared" si="315"/>
        <v>0.62966661349709452</v>
      </c>
      <c r="BO328" s="16">
        <f t="shared" si="316"/>
        <v>0.28114946380120009</v>
      </c>
      <c r="BP328" s="15"/>
      <c r="BQ328" s="38">
        <f t="shared" si="317"/>
        <v>1.0928761651131824</v>
      </c>
      <c r="BR328" s="38">
        <f t="shared" si="318"/>
        <v>0</v>
      </c>
      <c r="BS328" s="38">
        <f t="shared" si="319"/>
        <v>0.39799921537857985</v>
      </c>
      <c r="BT328" s="38">
        <f t="shared" si="320"/>
        <v>0</v>
      </c>
      <c r="BU328" s="38">
        <f t="shared" si="321"/>
        <v>5.3166318719554632E-3</v>
      </c>
      <c r="BV328" s="38">
        <f t="shared" si="322"/>
        <v>0</v>
      </c>
      <c r="BW328" s="38">
        <f t="shared" si="323"/>
        <v>0</v>
      </c>
      <c r="BX328" s="38">
        <f t="shared" si="324"/>
        <v>3.4415121255349498E-2</v>
      </c>
      <c r="BY328" s="38">
        <f t="shared" si="325"/>
        <v>0.24298160696999033</v>
      </c>
      <c r="BZ328" s="38">
        <f t="shared" si="326"/>
        <v>0.10849256900212315</v>
      </c>
      <c r="CA328" s="38">
        <f t="shared" si="327"/>
        <v>0</v>
      </c>
      <c r="CB328" s="38">
        <f t="shared" si="328"/>
        <v>0</v>
      </c>
      <c r="CC328" s="38">
        <f t="shared" si="329"/>
        <v>0</v>
      </c>
      <c r="CD328" s="38">
        <f t="shared" si="330"/>
        <v>1.8820813095911808</v>
      </c>
      <c r="CE328" s="38">
        <f t="shared" si="331"/>
        <v>2.998219994407596</v>
      </c>
      <c r="CF328" s="38">
        <f t="shared" si="332"/>
        <v>2.6566333635639166</v>
      </c>
      <c r="CG328" s="38">
        <f t="shared" si="333"/>
        <v>7.965171268447639</v>
      </c>
      <c r="CH328" s="15"/>
      <c r="CI328" s="16"/>
      <c r="CJ328" s="13"/>
      <c r="CK328" s="104"/>
      <c r="CL328" s="13"/>
      <c r="CM328" s="13"/>
      <c r="CN328" s="13"/>
      <c r="CO328" s="16"/>
      <c r="CP328" s="16"/>
      <c r="CQ328" s="16"/>
      <c r="CR328" s="16"/>
      <c r="CS328" s="16"/>
      <c r="CT328" s="16"/>
      <c r="CU328" s="16"/>
      <c r="CV328" s="16"/>
      <c r="CW328" s="16"/>
      <c r="CX328" s="16"/>
      <c r="CY328" s="104"/>
      <c r="CZ328" s="104"/>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3"/>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row>
    <row r="329" spans="1:167" x14ac:dyDescent="0.25">
      <c r="A329" s="35" t="s">
        <v>92</v>
      </c>
      <c r="B329" s="15">
        <v>1059</v>
      </c>
      <c r="C329" s="102" t="s">
        <v>255</v>
      </c>
      <c r="D329" s="102" t="s">
        <v>106</v>
      </c>
      <c r="E329" s="15">
        <v>217</v>
      </c>
      <c r="F329" s="16">
        <v>58.23</v>
      </c>
      <c r="G329" s="16"/>
      <c r="H329" s="16">
        <v>26.17</v>
      </c>
      <c r="I329" s="16"/>
      <c r="J329" s="16">
        <v>0.439</v>
      </c>
      <c r="K329" s="16"/>
      <c r="L329" s="16"/>
      <c r="M329" s="16">
        <v>8.68</v>
      </c>
      <c r="N329" s="16">
        <v>7.04</v>
      </c>
      <c r="O329" s="16">
        <v>0.49399999999999999</v>
      </c>
      <c r="P329" s="16"/>
      <c r="Q329" s="16"/>
      <c r="R329" s="16"/>
      <c r="S329" s="16">
        <f t="shared" si="279"/>
        <v>101.05300000000001</v>
      </c>
      <c r="T329" s="16"/>
      <c r="U329" s="15"/>
      <c r="V329" s="15"/>
      <c r="W329" s="15"/>
      <c r="X329" s="15" t="s">
        <v>185</v>
      </c>
      <c r="Y329" s="15"/>
      <c r="Z329" s="37">
        <v>8</v>
      </c>
      <c r="AA329" s="37">
        <v>5</v>
      </c>
      <c r="AB329" s="15"/>
      <c r="AC329" s="38">
        <f t="shared" si="280"/>
        <v>2.5948109392491845</v>
      </c>
      <c r="AD329" s="38">
        <f t="shared" si="281"/>
        <v>0</v>
      </c>
      <c r="AE329" s="38">
        <f t="shared" si="282"/>
        <v>1.3743354392635185</v>
      </c>
      <c r="AF329" s="38">
        <f t="shared" si="283"/>
        <v>0</v>
      </c>
      <c r="AG329" s="38">
        <f t="shared" si="284"/>
        <v>1.6357864327756967E-2</v>
      </c>
      <c r="AH329" s="38">
        <f t="shared" si="285"/>
        <v>0</v>
      </c>
      <c r="AI329" s="38">
        <f t="shared" si="286"/>
        <v>0</v>
      </c>
      <c r="AJ329" s="38">
        <f t="shared" si="287"/>
        <v>0.41438170620721837</v>
      </c>
      <c r="AK329" s="38">
        <f t="shared" si="288"/>
        <v>0.60819092687870802</v>
      </c>
      <c r="AL329" s="38">
        <f t="shared" si="289"/>
        <v>2.8079857264046975E-2</v>
      </c>
      <c r="AM329" s="38">
        <f t="shared" si="290"/>
        <v>0</v>
      </c>
      <c r="AN329" s="38">
        <f t="shared" si="291"/>
        <v>0</v>
      </c>
      <c r="AO329" s="38">
        <f t="shared" si="292"/>
        <v>0</v>
      </c>
      <c r="AP329" s="38">
        <f t="shared" si="293"/>
        <v>5.0361567331904338</v>
      </c>
      <c r="AQ329" s="38">
        <f t="shared" si="294"/>
        <v>3.9691463785127032</v>
      </c>
      <c r="AR329" s="38">
        <f t="shared" si="295"/>
        <v>1.0506524903499734</v>
      </c>
      <c r="AS329" s="40"/>
      <c r="AT329" s="38">
        <f t="shared" si="296"/>
        <v>2.576181676543412</v>
      </c>
      <c r="AU329" s="38">
        <f t="shared" si="297"/>
        <v>0</v>
      </c>
      <c r="AV329" s="38">
        <f t="shared" si="298"/>
        <v>1.3644684946023011</v>
      </c>
      <c r="AW329" s="38">
        <f t="shared" si="299"/>
        <v>0</v>
      </c>
      <c r="AX329" s="38">
        <f t="shared" si="300"/>
        <v>0</v>
      </c>
      <c r="AY329" s="38">
        <f t="shared" si="301"/>
        <v>1.6240424190883125E-2</v>
      </c>
      <c r="AZ329" s="38">
        <f t="shared" si="302"/>
        <v>0</v>
      </c>
      <c r="BA329" s="38">
        <f t="shared" si="303"/>
        <v>0</v>
      </c>
      <c r="BB329" s="38">
        <f t="shared" si="304"/>
        <v>0.41140668188130958</v>
      </c>
      <c r="BC329" s="38">
        <f t="shared" si="305"/>
        <v>0.60382446287907299</v>
      </c>
      <c r="BD329" s="38">
        <f t="shared" si="306"/>
        <v>2.7878259903021556E-2</v>
      </c>
      <c r="BE329" s="38">
        <f t="shared" si="307"/>
        <v>0</v>
      </c>
      <c r="BF329" s="38">
        <f t="shared" si="308"/>
        <v>0</v>
      </c>
      <c r="BG329" s="38">
        <f t="shared" si="309"/>
        <v>0</v>
      </c>
      <c r="BH329" s="41">
        <f t="shared" si="310"/>
        <v>5</v>
      </c>
      <c r="BI329" s="42">
        <f t="shared" si="311"/>
        <v>7.9506847745489573</v>
      </c>
      <c r="BJ329" s="38">
        <f t="shared" si="312"/>
        <v>3.9406501711457134</v>
      </c>
      <c r="BK329" s="38">
        <f t="shared" si="313"/>
        <v>1.0431094046634042</v>
      </c>
      <c r="BL329" s="16"/>
      <c r="BM329" s="16">
        <f t="shared" si="314"/>
        <v>0.39440415362189585</v>
      </c>
      <c r="BN329" s="16">
        <f t="shared" si="315"/>
        <v>0.57886973329889413</v>
      </c>
      <c r="BO329" s="16">
        <f t="shared" si="316"/>
        <v>2.6726113079209992E-2</v>
      </c>
      <c r="BP329" s="15"/>
      <c r="BQ329" s="38">
        <f t="shared" si="317"/>
        <v>0.96920772303595204</v>
      </c>
      <c r="BR329" s="38">
        <f t="shared" si="318"/>
        <v>0</v>
      </c>
      <c r="BS329" s="38">
        <f t="shared" si="319"/>
        <v>0.51333856414280121</v>
      </c>
      <c r="BT329" s="38">
        <f t="shared" si="320"/>
        <v>0</v>
      </c>
      <c r="BU329" s="38">
        <f t="shared" si="321"/>
        <v>6.1099512874043154E-3</v>
      </c>
      <c r="BV329" s="38">
        <f t="shared" si="322"/>
        <v>0</v>
      </c>
      <c r="BW329" s="38">
        <f t="shared" si="323"/>
        <v>0</v>
      </c>
      <c r="BX329" s="38">
        <f t="shared" si="324"/>
        <v>0.15477888730385164</v>
      </c>
      <c r="BY329" s="38">
        <f t="shared" si="325"/>
        <v>0.22717005485640532</v>
      </c>
      <c r="BZ329" s="38">
        <f t="shared" si="326"/>
        <v>1.0488322717622079E-2</v>
      </c>
      <c r="CA329" s="38">
        <f t="shared" si="327"/>
        <v>0</v>
      </c>
      <c r="CB329" s="38">
        <f t="shared" si="328"/>
        <v>0</v>
      </c>
      <c r="CC329" s="38">
        <f t="shared" si="329"/>
        <v>0</v>
      </c>
      <c r="CD329" s="38">
        <f t="shared" si="330"/>
        <v>1.8810935033440366</v>
      </c>
      <c r="CE329" s="38">
        <f t="shared" si="331"/>
        <v>2.9881413196643756</v>
      </c>
      <c r="CF329" s="38">
        <f t="shared" si="332"/>
        <v>2.6580284239520555</v>
      </c>
      <c r="CG329" s="38">
        <f t="shared" si="333"/>
        <v>7.9425645624535157</v>
      </c>
      <c r="CH329" s="15"/>
      <c r="CI329" s="16"/>
      <c r="CJ329" s="13"/>
      <c r="CK329" s="104"/>
      <c r="CL329" s="13"/>
      <c r="CM329" s="13"/>
      <c r="CN329" s="13"/>
      <c r="CO329" s="16"/>
      <c r="CP329" s="16"/>
      <c r="CQ329" s="16"/>
      <c r="CR329" s="16"/>
      <c r="CS329" s="16"/>
      <c r="CT329" s="16"/>
      <c r="CU329" s="16"/>
      <c r="CV329" s="16"/>
      <c r="CW329" s="16"/>
      <c r="CX329" s="16"/>
      <c r="CY329" s="104"/>
      <c r="CZ329" s="104"/>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3"/>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row>
    <row r="330" spans="1:167" x14ac:dyDescent="0.25">
      <c r="A330" s="35" t="s">
        <v>92</v>
      </c>
      <c r="B330" s="15">
        <v>1060</v>
      </c>
      <c r="C330" s="102" t="s">
        <v>255</v>
      </c>
      <c r="D330" s="102" t="s">
        <v>106</v>
      </c>
      <c r="E330" s="15">
        <v>218</v>
      </c>
      <c r="F330" s="16">
        <v>53</v>
      </c>
      <c r="G330" s="16"/>
      <c r="H330" s="16">
        <v>29.65</v>
      </c>
      <c r="I330" s="16"/>
      <c r="J330" s="16">
        <v>0.46800000000000003</v>
      </c>
      <c r="K330" s="16"/>
      <c r="L330" s="16"/>
      <c r="M330" s="16">
        <v>12.06</v>
      </c>
      <c r="N330" s="16">
        <v>4.83</v>
      </c>
      <c r="O330" s="16">
        <v>0.23899999999999999</v>
      </c>
      <c r="P330" s="16"/>
      <c r="Q330" s="16"/>
      <c r="R330" s="16"/>
      <c r="S330" s="16">
        <f t="shared" si="279"/>
        <v>100.24700000000001</v>
      </c>
      <c r="T330" s="16"/>
      <c r="U330" s="15">
        <v>2</v>
      </c>
      <c r="V330" s="15"/>
      <c r="W330" s="15"/>
      <c r="X330" s="15" t="s">
        <v>185</v>
      </c>
      <c r="Y330" s="15"/>
      <c r="Z330" s="37">
        <v>8</v>
      </c>
      <c r="AA330" s="37">
        <v>5</v>
      </c>
      <c r="AB330" s="15"/>
      <c r="AC330" s="38">
        <f t="shared" si="280"/>
        <v>2.4014533059188183</v>
      </c>
      <c r="AD330" s="38">
        <f t="shared" si="281"/>
        <v>0</v>
      </c>
      <c r="AE330" s="38">
        <f t="shared" si="282"/>
        <v>1.5832630178579898</v>
      </c>
      <c r="AF330" s="38">
        <f t="shared" si="283"/>
        <v>0</v>
      </c>
      <c r="AG330" s="38">
        <f t="shared" si="284"/>
        <v>1.7731573703594759E-2</v>
      </c>
      <c r="AH330" s="38">
        <f t="shared" si="285"/>
        <v>0</v>
      </c>
      <c r="AI330" s="38">
        <f t="shared" si="286"/>
        <v>0</v>
      </c>
      <c r="AJ330" s="38">
        <f t="shared" si="287"/>
        <v>0.58541993052795449</v>
      </c>
      <c r="AK330" s="38">
        <f t="shared" si="288"/>
        <v>0.42428116776116492</v>
      </c>
      <c r="AL330" s="38">
        <f t="shared" si="289"/>
        <v>1.3813546526493218E-2</v>
      </c>
      <c r="AM330" s="38">
        <f t="shared" si="290"/>
        <v>0</v>
      </c>
      <c r="AN330" s="38">
        <f t="shared" si="291"/>
        <v>0</v>
      </c>
      <c r="AO330" s="38">
        <f t="shared" si="292"/>
        <v>0</v>
      </c>
      <c r="AP330" s="38">
        <f t="shared" si="293"/>
        <v>5.025962542296015</v>
      </c>
      <c r="AQ330" s="38">
        <f t="shared" si="294"/>
        <v>3.9847163237768082</v>
      </c>
      <c r="AR330" s="38">
        <f t="shared" si="295"/>
        <v>1.0235146448156127</v>
      </c>
      <c r="AS330" s="40"/>
      <c r="AT330" s="38">
        <f t="shared" si="296"/>
        <v>2.3890481531740186</v>
      </c>
      <c r="AU330" s="38">
        <f t="shared" si="297"/>
        <v>0</v>
      </c>
      <c r="AV330" s="38">
        <f t="shared" si="298"/>
        <v>1.5750843788966105</v>
      </c>
      <c r="AW330" s="38">
        <f t="shared" si="299"/>
        <v>0</v>
      </c>
      <c r="AX330" s="38">
        <f t="shared" si="300"/>
        <v>0</v>
      </c>
      <c r="AY330" s="38">
        <f t="shared" si="301"/>
        <v>1.7639977968771755E-2</v>
      </c>
      <c r="AZ330" s="38">
        <f t="shared" si="302"/>
        <v>0</v>
      </c>
      <c r="BA330" s="38">
        <f t="shared" si="303"/>
        <v>0</v>
      </c>
      <c r="BB330" s="38">
        <f t="shared" si="304"/>
        <v>0.58239583522693394</v>
      </c>
      <c r="BC330" s="38">
        <f t="shared" si="305"/>
        <v>0.42208946464545288</v>
      </c>
      <c r="BD330" s="38">
        <f t="shared" si="306"/>
        <v>1.3742190088212199E-2</v>
      </c>
      <c r="BE330" s="38">
        <f t="shared" si="307"/>
        <v>0</v>
      </c>
      <c r="BF330" s="38">
        <f t="shared" si="308"/>
        <v>0</v>
      </c>
      <c r="BG330" s="38">
        <f t="shared" si="309"/>
        <v>0</v>
      </c>
      <c r="BH330" s="41">
        <f t="shared" si="310"/>
        <v>5</v>
      </c>
      <c r="BI330" s="42">
        <f t="shared" si="311"/>
        <v>7.9674945042398768</v>
      </c>
      <c r="BJ330" s="38">
        <f t="shared" si="312"/>
        <v>3.9641325320706291</v>
      </c>
      <c r="BK330" s="38">
        <f t="shared" si="313"/>
        <v>1.018227489960599</v>
      </c>
      <c r="BL330" s="16"/>
      <c r="BM330" s="16">
        <f t="shared" si="314"/>
        <v>0.57197025317934613</v>
      </c>
      <c r="BN330" s="16">
        <f t="shared" si="315"/>
        <v>0.4145335583718977</v>
      </c>
      <c r="BO330" s="16">
        <f t="shared" si="316"/>
        <v>1.3496188448756143E-2</v>
      </c>
      <c r="BP330" s="15"/>
      <c r="BQ330" s="38">
        <f t="shared" si="317"/>
        <v>0.88215712383488687</v>
      </c>
      <c r="BR330" s="38">
        <f t="shared" si="318"/>
        <v>0</v>
      </c>
      <c r="BS330" s="38">
        <f t="shared" si="319"/>
        <v>0.58160062769713616</v>
      </c>
      <c r="BT330" s="38">
        <f t="shared" si="320"/>
        <v>0</v>
      </c>
      <c r="BU330" s="38">
        <f t="shared" si="321"/>
        <v>6.5135699373695208E-3</v>
      </c>
      <c r="BV330" s="38">
        <f t="shared" si="322"/>
        <v>0</v>
      </c>
      <c r="BW330" s="38">
        <f t="shared" si="323"/>
        <v>0</v>
      </c>
      <c r="BX330" s="38">
        <f t="shared" si="324"/>
        <v>0.21504992867332384</v>
      </c>
      <c r="BY330" s="38">
        <f t="shared" si="325"/>
        <v>0.1558567279767667</v>
      </c>
      <c r="BZ330" s="38">
        <f t="shared" si="326"/>
        <v>5.0743099787685774E-3</v>
      </c>
      <c r="CA330" s="38">
        <f t="shared" si="327"/>
        <v>0</v>
      </c>
      <c r="CB330" s="38">
        <f t="shared" si="328"/>
        <v>0</v>
      </c>
      <c r="CC330" s="38">
        <f t="shared" si="329"/>
        <v>0</v>
      </c>
      <c r="CD330" s="38">
        <f t="shared" si="330"/>
        <v>1.8462522880982517</v>
      </c>
      <c r="CE330" s="38">
        <f t="shared" si="331"/>
        <v>2.9387442068039391</v>
      </c>
      <c r="CF330" s="38">
        <f t="shared" si="332"/>
        <v>2.7081889253338685</v>
      </c>
      <c r="CG330" s="38">
        <f t="shared" si="333"/>
        <v>7.9586745152554919</v>
      </c>
      <c r="CH330" s="15"/>
      <c r="CI330" s="16"/>
      <c r="CJ330" s="13"/>
      <c r="CK330" s="104"/>
      <c r="CL330" s="13"/>
      <c r="CM330" s="13"/>
      <c r="CN330" s="13"/>
      <c r="CO330" s="16"/>
      <c r="CP330" s="16"/>
      <c r="CQ330" s="16"/>
      <c r="CR330" s="16"/>
      <c r="CS330" s="16"/>
      <c r="CT330" s="16"/>
      <c r="CU330" s="16"/>
      <c r="CV330" s="16"/>
      <c r="CW330" s="16"/>
      <c r="CX330" s="16"/>
      <c r="CY330" s="104"/>
      <c r="CZ330" s="104"/>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3"/>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row>
    <row r="331" spans="1:167" x14ac:dyDescent="0.25">
      <c r="A331" s="35" t="s">
        <v>92</v>
      </c>
      <c r="B331" s="15">
        <v>1061</v>
      </c>
      <c r="C331" s="102" t="s">
        <v>255</v>
      </c>
      <c r="D331" s="102" t="s">
        <v>106</v>
      </c>
      <c r="E331" s="15">
        <v>219</v>
      </c>
      <c r="F331" s="16">
        <v>58.46</v>
      </c>
      <c r="G331" s="16"/>
      <c r="H331" s="16">
        <v>26.47</v>
      </c>
      <c r="I331" s="16"/>
      <c r="J331" s="16">
        <v>0.33700000000000002</v>
      </c>
      <c r="K331" s="16"/>
      <c r="L331" s="16"/>
      <c r="M331" s="16">
        <v>8.48</v>
      </c>
      <c r="N331" s="16">
        <v>6.96</v>
      </c>
      <c r="O331" s="16">
        <v>0.51800000000000002</v>
      </c>
      <c r="P331" s="16"/>
      <c r="Q331" s="16"/>
      <c r="R331" s="16"/>
      <c r="S331" s="16">
        <f t="shared" si="279"/>
        <v>101.22500000000001</v>
      </c>
      <c r="T331" s="16"/>
      <c r="U331" s="15">
        <v>2</v>
      </c>
      <c r="V331" s="15"/>
      <c r="W331" s="15"/>
      <c r="X331" s="15" t="s">
        <v>186</v>
      </c>
      <c r="Y331" s="15"/>
      <c r="Z331" s="37">
        <v>8</v>
      </c>
      <c r="AA331" s="37">
        <v>5</v>
      </c>
      <c r="AB331" s="15"/>
      <c r="AC331" s="38">
        <f t="shared" si="280"/>
        <v>2.5959715270877295</v>
      </c>
      <c r="AD331" s="38">
        <f t="shared" si="281"/>
        <v>0</v>
      </c>
      <c r="AE331" s="38">
        <f t="shared" si="282"/>
        <v>1.3852403962145217</v>
      </c>
      <c r="AF331" s="38">
        <f t="shared" si="283"/>
        <v>0</v>
      </c>
      <c r="AG331" s="38">
        <f t="shared" si="284"/>
        <v>1.2513366542482803E-2</v>
      </c>
      <c r="AH331" s="38">
        <f t="shared" si="285"/>
        <v>0</v>
      </c>
      <c r="AI331" s="38">
        <f t="shared" si="286"/>
        <v>0</v>
      </c>
      <c r="AJ331" s="38">
        <f t="shared" si="287"/>
        <v>0.40342135619823849</v>
      </c>
      <c r="AK331" s="38">
        <f t="shared" si="288"/>
        <v>0.59918192114223023</v>
      </c>
      <c r="AL331" s="38">
        <f t="shared" si="289"/>
        <v>2.9341336381843518E-2</v>
      </c>
      <c r="AM331" s="38">
        <f t="shared" si="290"/>
        <v>0</v>
      </c>
      <c r="AN331" s="38">
        <f t="shared" si="291"/>
        <v>0</v>
      </c>
      <c r="AO331" s="38">
        <f t="shared" si="292"/>
        <v>0</v>
      </c>
      <c r="AP331" s="38">
        <f t="shared" si="293"/>
        <v>5.0256699035670458</v>
      </c>
      <c r="AQ331" s="38">
        <f t="shared" si="294"/>
        <v>3.9812119233022512</v>
      </c>
      <c r="AR331" s="38">
        <f t="shared" si="295"/>
        <v>1.0319446137223123</v>
      </c>
      <c r="AS331" s="40"/>
      <c r="AT331" s="38">
        <f t="shared" si="296"/>
        <v>2.5827119338311491</v>
      </c>
      <c r="AU331" s="38">
        <f t="shared" si="297"/>
        <v>0</v>
      </c>
      <c r="AV331" s="38">
        <f t="shared" si="298"/>
        <v>1.3781649240744265</v>
      </c>
      <c r="AW331" s="38">
        <f t="shared" si="299"/>
        <v>0</v>
      </c>
      <c r="AX331" s="38">
        <f t="shared" si="300"/>
        <v>0</v>
      </c>
      <c r="AY331" s="38">
        <f t="shared" si="301"/>
        <v>1.2449451299618039E-2</v>
      </c>
      <c r="AZ331" s="38">
        <f t="shared" si="302"/>
        <v>0</v>
      </c>
      <c r="BA331" s="38">
        <f t="shared" si="303"/>
        <v>0</v>
      </c>
      <c r="BB331" s="38">
        <f t="shared" si="304"/>
        <v>0.40136077770637513</v>
      </c>
      <c r="BC331" s="38">
        <f t="shared" si="305"/>
        <v>0.59612144514003174</v>
      </c>
      <c r="BD331" s="38">
        <f t="shared" si="306"/>
        <v>2.9191467948400333E-2</v>
      </c>
      <c r="BE331" s="38">
        <f t="shared" si="307"/>
        <v>0</v>
      </c>
      <c r="BF331" s="38">
        <f t="shared" si="308"/>
        <v>0</v>
      </c>
      <c r="BG331" s="38">
        <f t="shared" si="309"/>
        <v>0</v>
      </c>
      <c r="BH331" s="41">
        <f t="shared" si="310"/>
        <v>5</v>
      </c>
      <c r="BI331" s="42">
        <f t="shared" si="311"/>
        <v>7.9653626649739566</v>
      </c>
      <c r="BJ331" s="38">
        <f t="shared" si="312"/>
        <v>3.9608768579055758</v>
      </c>
      <c r="BK331" s="38">
        <f t="shared" si="313"/>
        <v>1.0266736907948073</v>
      </c>
      <c r="BL331" s="16"/>
      <c r="BM331" s="16">
        <f t="shared" si="314"/>
        <v>0.39093314780050381</v>
      </c>
      <c r="BN331" s="16">
        <f t="shared" si="315"/>
        <v>0.58063379872775334</v>
      </c>
      <c r="BO331" s="16">
        <f t="shared" si="316"/>
        <v>2.8433053471742843E-2</v>
      </c>
      <c r="BP331" s="15"/>
      <c r="BQ331" s="38">
        <f t="shared" si="317"/>
        <v>0.9730359520639148</v>
      </c>
      <c r="BR331" s="38">
        <f t="shared" si="318"/>
        <v>0</v>
      </c>
      <c r="BS331" s="38">
        <f t="shared" si="319"/>
        <v>0.51922322479403693</v>
      </c>
      <c r="BT331" s="38">
        <f t="shared" si="320"/>
        <v>0</v>
      </c>
      <c r="BU331" s="38">
        <f t="shared" si="321"/>
        <v>4.6903270702853177E-3</v>
      </c>
      <c r="BV331" s="38">
        <f t="shared" si="322"/>
        <v>0</v>
      </c>
      <c r="BW331" s="38">
        <f t="shared" si="323"/>
        <v>0</v>
      </c>
      <c r="BX331" s="38">
        <f t="shared" si="324"/>
        <v>0.15121255349500715</v>
      </c>
      <c r="BY331" s="38">
        <f t="shared" si="325"/>
        <v>0.22458857696030979</v>
      </c>
      <c r="BZ331" s="38">
        <f t="shared" si="326"/>
        <v>1.0997876857749469E-2</v>
      </c>
      <c r="CA331" s="38">
        <f t="shared" si="327"/>
        <v>0</v>
      </c>
      <c r="CB331" s="38">
        <f t="shared" si="328"/>
        <v>0</v>
      </c>
      <c r="CC331" s="38">
        <f t="shared" si="329"/>
        <v>0</v>
      </c>
      <c r="CD331" s="38">
        <f t="shared" si="330"/>
        <v>1.8837485112413033</v>
      </c>
      <c r="CE331" s="38">
        <f t="shared" si="331"/>
        <v>2.9986028487932073</v>
      </c>
      <c r="CF331" s="38">
        <f t="shared" si="332"/>
        <v>2.6542821242657446</v>
      </c>
      <c r="CG331" s="38">
        <f t="shared" si="333"/>
        <v>7.9591379393241475</v>
      </c>
      <c r="CH331" s="15"/>
      <c r="CI331" s="16"/>
      <c r="CJ331" s="13"/>
      <c r="CK331" s="104"/>
      <c r="CL331" s="13"/>
      <c r="CM331" s="13"/>
      <c r="CN331" s="13"/>
      <c r="CO331" s="16"/>
      <c r="CP331" s="16"/>
      <c r="CQ331" s="16"/>
      <c r="CR331" s="16"/>
      <c r="CS331" s="16"/>
      <c r="CT331" s="16"/>
      <c r="CU331" s="16"/>
      <c r="CV331" s="16"/>
      <c r="CW331" s="16"/>
      <c r="CX331" s="16"/>
      <c r="CY331" s="104"/>
      <c r="CZ331" s="104"/>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3"/>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row>
    <row r="332" spans="1:167" x14ac:dyDescent="0.25">
      <c r="A332" s="35" t="s">
        <v>92</v>
      </c>
      <c r="B332" s="15">
        <v>1063</v>
      </c>
      <c r="C332" s="102" t="s">
        <v>255</v>
      </c>
      <c r="D332" s="102" t="s">
        <v>106</v>
      </c>
      <c r="E332" s="15">
        <v>221</v>
      </c>
      <c r="F332" s="16">
        <v>54.72</v>
      </c>
      <c r="G332" s="16"/>
      <c r="H332" s="16">
        <v>28.27</v>
      </c>
      <c r="I332" s="16"/>
      <c r="J332" s="16">
        <v>0.54300000000000004</v>
      </c>
      <c r="K332" s="16"/>
      <c r="L332" s="16"/>
      <c r="M332" s="16">
        <v>11.5</v>
      </c>
      <c r="N332" s="16">
        <v>5.39</v>
      </c>
      <c r="O332" s="16">
        <v>0.185</v>
      </c>
      <c r="P332" s="16"/>
      <c r="Q332" s="16"/>
      <c r="R332" s="16"/>
      <c r="S332" s="16">
        <f t="shared" si="279"/>
        <v>100.608</v>
      </c>
      <c r="T332" s="16"/>
      <c r="U332" s="15">
        <v>1</v>
      </c>
      <c r="V332" s="15"/>
      <c r="W332" s="15"/>
      <c r="X332" s="15" t="s">
        <v>185</v>
      </c>
      <c r="Y332" s="15"/>
      <c r="Z332" s="37">
        <v>8</v>
      </c>
      <c r="AA332" s="37">
        <v>5</v>
      </c>
      <c r="AB332" s="15"/>
      <c r="AC332" s="38">
        <f t="shared" si="280"/>
        <v>2.4658170706861235</v>
      </c>
      <c r="AD332" s="38">
        <f t="shared" si="281"/>
        <v>0</v>
      </c>
      <c r="AE332" s="38">
        <f t="shared" si="282"/>
        <v>1.5013110028761085</v>
      </c>
      <c r="AF332" s="38">
        <f t="shared" si="283"/>
        <v>0</v>
      </c>
      <c r="AG332" s="38">
        <f t="shared" si="284"/>
        <v>2.0460570891808926E-2</v>
      </c>
      <c r="AH332" s="38">
        <f t="shared" si="285"/>
        <v>0</v>
      </c>
      <c r="AI332" s="38">
        <f t="shared" si="286"/>
        <v>0</v>
      </c>
      <c r="AJ332" s="38">
        <f t="shared" si="287"/>
        <v>0.55518091143241233</v>
      </c>
      <c r="AK332" s="38">
        <f t="shared" si="288"/>
        <v>0.47088177200434639</v>
      </c>
      <c r="AL332" s="38">
        <f t="shared" si="289"/>
        <v>1.0633971974391197E-2</v>
      </c>
      <c r="AM332" s="38">
        <f t="shared" si="290"/>
        <v>0</v>
      </c>
      <c r="AN332" s="38">
        <f t="shared" si="291"/>
        <v>0</v>
      </c>
      <c r="AO332" s="38">
        <f t="shared" si="292"/>
        <v>0</v>
      </c>
      <c r="AP332" s="38">
        <f t="shared" si="293"/>
        <v>5.0242852998651903</v>
      </c>
      <c r="AQ332" s="38">
        <f t="shared" si="294"/>
        <v>3.9671280735622321</v>
      </c>
      <c r="AR332" s="38">
        <f t="shared" si="295"/>
        <v>1.0366966554111499</v>
      </c>
      <c r="AS332" s="40"/>
      <c r="AT332" s="38">
        <f t="shared" si="296"/>
        <v>2.4538983392844798</v>
      </c>
      <c r="AU332" s="38">
        <f t="shared" si="297"/>
        <v>0</v>
      </c>
      <c r="AV332" s="38">
        <f t="shared" si="298"/>
        <v>1.4940542915789345</v>
      </c>
      <c r="AW332" s="38">
        <f t="shared" si="299"/>
        <v>0</v>
      </c>
      <c r="AX332" s="38">
        <f t="shared" si="300"/>
        <v>0</v>
      </c>
      <c r="AY332" s="38">
        <f t="shared" si="301"/>
        <v>2.0361673024776195E-2</v>
      </c>
      <c r="AZ332" s="38">
        <f t="shared" si="302"/>
        <v>0</v>
      </c>
      <c r="BA332" s="38">
        <f t="shared" si="303"/>
        <v>0</v>
      </c>
      <c r="BB332" s="38">
        <f t="shared" si="304"/>
        <v>0.55249739843327439</v>
      </c>
      <c r="BC332" s="38">
        <f t="shared" si="305"/>
        <v>0.46860572588998961</v>
      </c>
      <c r="BD332" s="38">
        <f t="shared" si="306"/>
        <v>1.0582571788545249E-2</v>
      </c>
      <c r="BE332" s="38">
        <f t="shared" si="307"/>
        <v>0</v>
      </c>
      <c r="BF332" s="38">
        <f t="shared" si="308"/>
        <v>0</v>
      </c>
      <c r="BG332" s="38">
        <f t="shared" si="309"/>
        <v>0</v>
      </c>
      <c r="BH332" s="41">
        <f t="shared" si="310"/>
        <v>5</v>
      </c>
      <c r="BI332" s="42">
        <f t="shared" si="311"/>
        <v>7.9715121727470679</v>
      </c>
      <c r="BJ332" s="38">
        <f t="shared" si="312"/>
        <v>3.9479526308634143</v>
      </c>
      <c r="BK332" s="38">
        <f t="shared" si="313"/>
        <v>1.0316856961118093</v>
      </c>
      <c r="BL332" s="16"/>
      <c r="BM332" s="16">
        <f t="shared" si="314"/>
        <v>0.53552879575195478</v>
      </c>
      <c r="BN332" s="16">
        <f t="shared" si="315"/>
        <v>0.45421365019991938</v>
      </c>
      <c r="BO332" s="16">
        <f t="shared" si="316"/>
        <v>1.0257554048125877E-2</v>
      </c>
      <c r="BP332" s="15"/>
      <c r="BQ332" s="38">
        <f t="shared" si="317"/>
        <v>0.91078561917443412</v>
      </c>
      <c r="BR332" s="38">
        <f t="shared" si="318"/>
        <v>0</v>
      </c>
      <c r="BS332" s="38">
        <f t="shared" si="319"/>
        <v>0.55453118870145157</v>
      </c>
      <c r="BT332" s="38">
        <f t="shared" si="320"/>
        <v>0</v>
      </c>
      <c r="BU332" s="38">
        <f t="shared" si="321"/>
        <v>7.5574112734864314E-3</v>
      </c>
      <c r="BV332" s="38">
        <f t="shared" si="322"/>
        <v>0</v>
      </c>
      <c r="BW332" s="38">
        <f t="shared" si="323"/>
        <v>0</v>
      </c>
      <c r="BX332" s="38">
        <f t="shared" si="324"/>
        <v>0.20506419400855921</v>
      </c>
      <c r="BY332" s="38">
        <f t="shared" si="325"/>
        <v>0.17392707324943529</v>
      </c>
      <c r="BZ332" s="38">
        <f t="shared" si="326"/>
        <v>3.9278131634819533E-3</v>
      </c>
      <c r="CA332" s="38">
        <f t="shared" si="327"/>
        <v>0</v>
      </c>
      <c r="CB332" s="38">
        <f t="shared" si="328"/>
        <v>0</v>
      </c>
      <c r="CC332" s="38">
        <f t="shared" si="329"/>
        <v>0</v>
      </c>
      <c r="CD332" s="38">
        <f t="shared" si="330"/>
        <v>1.8557932995708486</v>
      </c>
      <c r="CE332" s="38">
        <f t="shared" si="331"/>
        <v>2.9549170698895502</v>
      </c>
      <c r="CF332" s="38">
        <f t="shared" si="332"/>
        <v>2.6942655742728716</v>
      </c>
      <c r="CG332" s="38">
        <f t="shared" si="333"/>
        <v>7.9613313362346796</v>
      </c>
      <c r="CH332" s="15"/>
      <c r="CI332" s="16"/>
      <c r="CJ332" s="13"/>
      <c r="CK332" s="104"/>
      <c r="CL332" s="13"/>
      <c r="CM332" s="13"/>
      <c r="CN332" s="13"/>
      <c r="CO332" s="16"/>
      <c r="CP332" s="16"/>
      <c r="CQ332" s="16"/>
      <c r="CR332" s="16"/>
      <c r="CS332" s="16"/>
      <c r="CT332" s="16"/>
      <c r="CU332" s="16"/>
      <c r="CV332" s="16"/>
      <c r="CW332" s="16"/>
      <c r="CX332" s="16"/>
      <c r="CY332" s="104"/>
      <c r="CZ332" s="104"/>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3"/>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row>
    <row r="333" spans="1:167" x14ac:dyDescent="0.25">
      <c r="A333" s="35" t="s">
        <v>92</v>
      </c>
      <c r="B333" s="15">
        <v>1064</v>
      </c>
      <c r="C333" s="102" t="s">
        <v>255</v>
      </c>
      <c r="D333" s="102" t="s">
        <v>106</v>
      </c>
      <c r="E333" s="15">
        <v>222</v>
      </c>
      <c r="F333" s="16">
        <v>55.14</v>
      </c>
      <c r="G333" s="16"/>
      <c r="H333" s="16">
        <v>28.02</v>
      </c>
      <c r="I333" s="16"/>
      <c r="J333" s="16">
        <v>0.65600000000000003</v>
      </c>
      <c r="K333" s="16"/>
      <c r="L333" s="16"/>
      <c r="M333" s="16">
        <v>11.04</v>
      </c>
      <c r="N333" s="16">
        <v>5.52</v>
      </c>
      <c r="O333" s="16">
        <v>0.22600000000000001</v>
      </c>
      <c r="P333" s="16"/>
      <c r="Q333" s="16"/>
      <c r="R333" s="16"/>
      <c r="S333" s="16">
        <f t="shared" si="279"/>
        <v>100.60199999999999</v>
      </c>
      <c r="T333" s="16"/>
      <c r="U333" s="15">
        <v>1</v>
      </c>
      <c r="V333" s="15"/>
      <c r="W333" s="15"/>
      <c r="X333" s="15" t="s">
        <v>185</v>
      </c>
      <c r="Y333" s="15"/>
      <c r="Z333" s="37">
        <v>8</v>
      </c>
      <c r="AA333" s="37">
        <v>5</v>
      </c>
      <c r="AB333" s="15"/>
      <c r="AC333" s="38">
        <f t="shared" si="280"/>
        <v>2.482619040412835</v>
      </c>
      <c r="AD333" s="38">
        <f t="shared" si="281"/>
        <v>0</v>
      </c>
      <c r="AE333" s="38">
        <f t="shared" si="282"/>
        <v>1.486762313064746</v>
      </c>
      <c r="AF333" s="38">
        <f t="shared" si="283"/>
        <v>0</v>
      </c>
      <c r="AG333" s="38">
        <f t="shared" si="284"/>
        <v>2.4697347418285449E-2</v>
      </c>
      <c r="AH333" s="38">
        <f t="shared" si="285"/>
        <v>0</v>
      </c>
      <c r="AI333" s="38">
        <f t="shared" si="286"/>
        <v>0</v>
      </c>
      <c r="AJ333" s="38">
        <f t="shared" si="287"/>
        <v>0.53251802489589273</v>
      </c>
      <c r="AK333" s="38">
        <f t="shared" si="288"/>
        <v>0.48182657044468641</v>
      </c>
      <c r="AL333" s="38">
        <f t="shared" si="289"/>
        <v>1.2979584081380459E-2</v>
      </c>
      <c r="AM333" s="38">
        <f t="shared" si="290"/>
        <v>0</v>
      </c>
      <c r="AN333" s="38">
        <f t="shared" si="291"/>
        <v>0</v>
      </c>
      <c r="AO333" s="38">
        <f t="shared" si="292"/>
        <v>0</v>
      </c>
      <c r="AP333" s="38">
        <f t="shared" si="293"/>
        <v>5.021402880317825</v>
      </c>
      <c r="AQ333" s="38">
        <f t="shared" si="294"/>
        <v>3.9693813534775808</v>
      </c>
      <c r="AR333" s="38">
        <f t="shared" si="295"/>
        <v>1.0273241794219596</v>
      </c>
      <c r="AS333" s="40"/>
      <c r="AT333" s="38">
        <f t="shared" si="296"/>
        <v>2.4720372967322022</v>
      </c>
      <c r="AU333" s="38">
        <f t="shared" si="297"/>
        <v>0</v>
      </c>
      <c r="AV333" s="38">
        <f t="shared" si="298"/>
        <v>1.4804252402175728</v>
      </c>
      <c r="AW333" s="38">
        <f t="shared" si="299"/>
        <v>0</v>
      </c>
      <c r="AX333" s="38">
        <f t="shared" si="300"/>
        <v>0</v>
      </c>
      <c r="AY333" s="38">
        <f t="shared" si="301"/>
        <v>2.4592079152910194E-2</v>
      </c>
      <c r="AZ333" s="38">
        <f t="shared" si="302"/>
        <v>0</v>
      </c>
      <c r="BA333" s="38">
        <f t="shared" si="303"/>
        <v>0</v>
      </c>
      <c r="BB333" s="38">
        <f t="shared" si="304"/>
        <v>0.53024825689966082</v>
      </c>
      <c r="BC333" s="38">
        <f t="shared" si="305"/>
        <v>0.47977286619769244</v>
      </c>
      <c r="BD333" s="38">
        <f t="shared" si="306"/>
        <v>1.292426079996087E-2</v>
      </c>
      <c r="BE333" s="38">
        <f t="shared" si="307"/>
        <v>0</v>
      </c>
      <c r="BF333" s="38">
        <f t="shared" si="308"/>
        <v>0</v>
      </c>
      <c r="BG333" s="38">
        <f t="shared" si="309"/>
        <v>0</v>
      </c>
      <c r="BH333" s="41">
        <f t="shared" si="310"/>
        <v>5</v>
      </c>
      <c r="BI333" s="42">
        <f t="shared" si="311"/>
        <v>7.9781973929186165</v>
      </c>
      <c r="BJ333" s="38">
        <f t="shared" si="312"/>
        <v>3.952462536949775</v>
      </c>
      <c r="BK333" s="38">
        <f t="shared" si="313"/>
        <v>1.0229453838973142</v>
      </c>
      <c r="BL333" s="16"/>
      <c r="BM333" s="16">
        <f t="shared" si="314"/>
        <v>0.51835441583349329</v>
      </c>
      <c r="BN333" s="16">
        <f t="shared" si="315"/>
        <v>0.46901122361959185</v>
      </c>
      <c r="BO333" s="16">
        <f t="shared" si="316"/>
        <v>1.263436054691483E-2</v>
      </c>
      <c r="BP333" s="15"/>
      <c r="BQ333" s="38">
        <f t="shared" si="317"/>
        <v>0.91777629826897478</v>
      </c>
      <c r="BR333" s="38">
        <f t="shared" si="318"/>
        <v>0</v>
      </c>
      <c r="BS333" s="38">
        <f t="shared" si="319"/>
        <v>0.54962730482542177</v>
      </c>
      <c r="BT333" s="38">
        <f t="shared" si="320"/>
        <v>0</v>
      </c>
      <c r="BU333" s="38">
        <f t="shared" si="321"/>
        <v>9.1301322199025762E-3</v>
      </c>
      <c r="BV333" s="38">
        <f t="shared" si="322"/>
        <v>0</v>
      </c>
      <c r="BW333" s="38">
        <f t="shared" si="323"/>
        <v>0</v>
      </c>
      <c r="BX333" s="38">
        <f t="shared" si="324"/>
        <v>0.19686162624821682</v>
      </c>
      <c r="BY333" s="38">
        <f t="shared" si="325"/>
        <v>0.1781219748305905</v>
      </c>
      <c r="BZ333" s="38">
        <f t="shared" si="326"/>
        <v>4.798301486199575E-3</v>
      </c>
      <c r="CA333" s="38">
        <f t="shared" si="327"/>
        <v>0</v>
      </c>
      <c r="CB333" s="38">
        <f t="shared" si="328"/>
        <v>0</v>
      </c>
      <c r="CC333" s="38">
        <f t="shared" si="329"/>
        <v>0</v>
      </c>
      <c r="CD333" s="38">
        <f t="shared" si="330"/>
        <v>1.8563156378793062</v>
      </c>
      <c r="CE333" s="38">
        <f t="shared" si="331"/>
        <v>2.9574454504025964</v>
      </c>
      <c r="CF333" s="38">
        <f t="shared" si="332"/>
        <v>2.6935074499033496</v>
      </c>
      <c r="CG333" s="38">
        <f t="shared" si="333"/>
        <v>7.9659013533421605</v>
      </c>
      <c r="CH333" s="15"/>
      <c r="CI333" s="16"/>
      <c r="CJ333" s="13"/>
      <c r="CK333" s="104"/>
      <c r="CL333" s="13"/>
      <c r="CM333" s="13"/>
      <c r="CN333" s="13"/>
      <c r="CO333" s="16"/>
      <c r="CP333" s="16"/>
      <c r="CQ333" s="16"/>
      <c r="CR333" s="16"/>
      <c r="CS333" s="16"/>
      <c r="CT333" s="16"/>
      <c r="CU333" s="16"/>
      <c r="CV333" s="16"/>
      <c r="CW333" s="16"/>
      <c r="CX333" s="16"/>
      <c r="CY333" s="104"/>
      <c r="CZ333" s="104"/>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3"/>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row>
    <row r="334" spans="1:167" x14ac:dyDescent="0.25">
      <c r="A334" s="35" t="s">
        <v>92</v>
      </c>
      <c r="B334" s="15">
        <v>1065</v>
      </c>
      <c r="C334" s="102" t="s">
        <v>255</v>
      </c>
      <c r="D334" s="102" t="s">
        <v>106</v>
      </c>
      <c r="E334" s="15">
        <v>223</v>
      </c>
      <c r="F334" s="16">
        <v>54.65</v>
      </c>
      <c r="G334" s="16"/>
      <c r="H334" s="16">
        <v>28.55</v>
      </c>
      <c r="I334" s="16"/>
      <c r="J334" s="16">
        <v>0.71399999999999997</v>
      </c>
      <c r="K334" s="16"/>
      <c r="L334" s="16"/>
      <c r="M334" s="16">
        <v>11.66</v>
      </c>
      <c r="N334" s="16">
        <v>5.1100000000000003</v>
      </c>
      <c r="O334" s="16">
        <v>0.21</v>
      </c>
      <c r="P334" s="16"/>
      <c r="Q334" s="16"/>
      <c r="R334" s="16"/>
      <c r="S334" s="16">
        <f t="shared" si="279"/>
        <v>100.89399999999999</v>
      </c>
      <c r="T334" s="16"/>
      <c r="U334" s="15">
        <v>1</v>
      </c>
      <c r="V334" s="15"/>
      <c r="W334" s="15"/>
      <c r="X334" s="15" t="s">
        <v>185</v>
      </c>
      <c r="Y334" s="15"/>
      <c r="Z334" s="37">
        <v>8</v>
      </c>
      <c r="AA334" s="37">
        <v>5</v>
      </c>
      <c r="AB334" s="15"/>
      <c r="AC334" s="38">
        <f t="shared" si="280"/>
        <v>2.4569345717021882</v>
      </c>
      <c r="AD334" s="38">
        <f t="shared" si="281"/>
        <v>0</v>
      </c>
      <c r="AE334" s="38">
        <f t="shared" si="282"/>
        <v>1.512654105744289</v>
      </c>
      <c r="AF334" s="38">
        <f t="shared" si="283"/>
        <v>0</v>
      </c>
      <c r="AG334" s="38">
        <f t="shared" si="284"/>
        <v>2.6841376776604552E-2</v>
      </c>
      <c r="AH334" s="38">
        <f t="shared" si="285"/>
        <v>0</v>
      </c>
      <c r="AI334" s="38">
        <f t="shared" si="286"/>
        <v>0</v>
      </c>
      <c r="AJ334" s="38">
        <f t="shared" si="287"/>
        <v>0.56159585604780216</v>
      </c>
      <c r="AK334" s="38">
        <f t="shared" si="288"/>
        <v>0.4453820121042516</v>
      </c>
      <c r="AL334" s="38">
        <f t="shared" si="289"/>
        <v>1.2042918205314331E-2</v>
      </c>
      <c r="AM334" s="38">
        <f t="shared" si="290"/>
        <v>0</v>
      </c>
      <c r="AN334" s="38">
        <f t="shared" si="291"/>
        <v>0</v>
      </c>
      <c r="AO334" s="38">
        <f t="shared" si="292"/>
        <v>0</v>
      </c>
      <c r="AP334" s="38">
        <f t="shared" si="293"/>
        <v>5.0154508405804501</v>
      </c>
      <c r="AQ334" s="38">
        <f t="shared" si="294"/>
        <v>3.9695886774464775</v>
      </c>
      <c r="AR334" s="38">
        <f t="shared" si="295"/>
        <v>1.0190207863573681</v>
      </c>
      <c r="AS334" s="40"/>
      <c r="AT334" s="38">
        <f t="shared" si="296"/>
        <v>2.4493656201581278</v>
      </c>
      <c r="AU334" s="38">
        <f t="shared" si="297"/>
        <v>0</v>
      </c>
      <c r="AV334" s="38">
        <f t="shared" si="298"/>
        <v>1.507994150301776</v>
      </c>
      <c r="AW334" s="38">
        <f t="shared" si="299"/>
        <v>0</v>
      </c>
      <c r="AX334" s="38">
        <f t="shared" si="300"/>
        <v>0</v>
      </c>
      <c r="AY334" s="38">
        <f t="shared" si="301"/>
        <v>2.6758687932327663E-2</v>
      </c>
      <c r="AZ334" s="38">
        <f t="shared" si="302"/>
        <v>0</v>
      </c>
      <c r="BA334" s="38">
        <f t="shared" si="303"/>
        <v>0</v>
      </c>
      <c r="BB334" s="38">
        <f t="shared" si="304"/>
        <v>0.55986577667542969</v>
      </c>
      <c r="BC334" s="38">
        <f t="shared" si="305"/>
        <v>0.44400994672365923</v>
      </c>
      <c r="BD334" s="38">
        <f t="shared" si="306"/>
        <v>1.2005818208678298E-2</v>
      </c>
      <c r="BE334" s="38">
        <f t="shared" si="307"/>
        <v>0</v>
      </c>
      <c r="BF334" s="38">
        <f t="shared" si="308"/>
        <v>0</v>
      </c>
      <c r="BG334" s="38">
        <f t="shared" si="309"/>
        <v>0</v>
      </c>
      <c r="BH334" s="41">
        <f t="shared" si="310"/>
        <v>4.9999999999999982</v>
      </c>
      <c r="BI334" s="42">
        <f t="shared" si="311"/>
        <v>7.9887341568090093</v>
      </c>
      <c r="BJ334" s="38">
        <f t="shared" si="312"/>
        <v>3.9573597704599037</v>
      </c>
      <c r="BK334" s="38">
        <f t="shared" si="313"/>
        <v>1.0158815416077673</v>
      </c>
      <c r="BL334" s="16"/>
      <c r="BM334" s="16">
        <f t="shared" si="314"/>
        <v>0.55111324868583378</v>
      </c>
      <c r="BN334" s="16">
        <f t="shared" si="315"/>
        <v>0.43706862319887674</v>
      </c>
      <c r="BO334" s="16">
        <f t="shared" si="316"/>
        <v>1.1818128115289405E-2</v>
      </c>
      <c r="BP334" s="15"/>
      <c r="BQ334" s="38">
        <f t="shared" si="317"/>
        <v>0.90962050599201061</v>
      </c>
      <c r="BR334" s="38">
        <f t="shared" si="318"/>
        <v>0</v>
      </c>
      <c r="BS334" s="38">
        <f t="shared" si="319"/>
        <v>0.56002353864260501</v>
      </c>
      <c r="BT334" s="38">
        <f t="shared" si="320"/>
        <v>0</v>
      </c>
      <c r="BU334" s="38">
        <f t="shared" si="321"/>
        <v>9.9373695198329854E-3</v>
      </c>
      <c r="BV334" s="38">
        <f t="shared" si="322"/>
        <v>0</v>
      </c>
      <c r="BW334" s="38">
        <f t="shared" si="323"/>
        <v>0</v>
      </c>
      <c r="BX334" s="38">
        <f t="shared" si="324"/>
        <v>0.20791726105563482</v>
      </c>
      <c r="BY334" s="38">
        <f t="shared" si="325"/>
        <v>0.16489190061310102</v>
      </c>
      <c r="BZ334" s="38">
        <f t="shared" si="326"/>
        <v>4.4585987261146496E-3</v>
      </c>
      <c r="CA334" s="38">
        <f t="shared" si="327"/>
        <v>0</v>
      </c>
      <c r="CB334" s="38">
        <f t="shared" si="328"/>
        <v>0</v>
      </c>
      <c r="CC334" s="38">
        <f t="shared" si="329"/>
        <v>0</v>
      </c>
      <c r="CD334" s="38">
        <f t="shared" si="330"/>
        <v>1.8568491745492994</v>
      </c>
      <c r="CE334" s="38">
        <f t="shared" si="331"/>
        <v>2.9618062001930046</v>
      </c>
      <c r="CF334" s="38">
        <f t="shared" si="332"/>
        <v>2.6927335125178469</v>
      </c>
      <c r="CG334" s="38">
        <f t="shared" si="333"/>
        <v>7.9753548128428466</v>
      </c>
      <c r="CH334" s="15"/>
      <c r="CI334" s="16"/>
      <c r="CJ334" s="13"/>
      <c r="CK334" s="104"/>
      <c r="CL334" s="13"/>
      <c r="CM334" s="13"/>
      <c r="CN334" s="13"/>
      <c r="CO334" s="16"/>
      <c r="CP334" s="16"/>
      <c r="CQ334" s="16"/>
      <c r="CR334" s="16"/>
      <c r="CS334" s="16"/>
      <c r="CT334" s="16"/>
      <c r="CU334" s="16"/>
      <c r="CV334" s="16"/>
      <c r="CW334" s="16"/>
      <c r="CX334" s="16"/>
      <c r="CY334" s="104"/>
      <c r="CZ334" s="104"/>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3"/>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row>
    <row r="335" spans="1:167" x14ac:dyDescent="0.25">
      <c r="A335" s="35" t="s">
        <v>92</v>
      </c>
      <c r="B335" s="15">
        <v>1066</v>
      </c>
      <c r="C335" s="102" t="s">
        <v>255</v>
      </c>
      <c r="D335" s="102" t="s">
        <v>106</v>
      </c>
      <c r="E335" s="15">
        <v>224</v>
      </c>
      <c r="F335" s="16">
        <v>56.61</v>
      </c>
      <c r="G335" s="16"/>
      <c r="H335" s="16">
        <v>27.27</v>
      </c>
      <c r="I335" s="16"/>
      <c r="J335" s="16">
        <v>0.41399999999999998</v>
      </c>
      <c r="K335" s="16"/>
      <c r="L335" s="16"/>
      <c r="M335" s="16">
        <v>9.8699999999999992</v>
      </c>
      <c r="N335" s="16">
        <v>6.08</v>
      </c>
      <c r="O335" s="16">
        <v>0.39800000000000002</v>
      </c>
      <c r="P335" s="16"/>
      <c r="Q335" s="16"/>
      <c r="R335" s="16"/>
      <c r="S335" s="16">
        <f t="shared" si="279"/>
        <v>100.642</v>
      </c>
      <c r="T335" s="16"/>
      <c r="U335" s="15">
        <v>3</v>
      </c>
      <c r="V335" s="15">
        <v>1</v>
      </c>
      <c r="W335" s="15">
        <v>0</v>
      </c>
      <c r="X335" s="15" t="s">
        <v>185</v>
      </c>
      <c r="Y335" s="15"/>
      <c r="Z335" s="37">
        <v>8</v>
      </c>
      <c r="AA335" s="37">
        <v>5</v>
      </c>
      <c r="AB335" s="15"/>
      <c r="AC335" s="38">
        <f t="shared" si="280"/>
        <v>2.5372248350090842</v>
      </c>
      <c r="AD335" s="38">
        <f t="shared" si="281"/>
        <v>0</v>
      </c>
      <c r="AE335" s="38">
        <f t="shared" si="282"/>
        <v>1.4403930912919427</v>
      </c>
      <c r="AF335" s="38">
        <f t="shared" si="283"/>
        <v>0</v>
      </c>
      <c r="AG335" s="38">
        <f t="shared" si="284"/>
        <v>1.5515625606734368E-2</v>
      </c>
      <c r="AH335" s="38">
        <f t="shared" si="285"/>
        <v>0</v>
      </c>
      <c r="AI335" s="38">
        <f t="shared" si="286"/>
        <v>0</v>
      </c>
      <c r="AJ335" s="38">
        <f t="shared" si="287"/>
        <v>0.47391981854161669</v>
      </c>
      <c r="AK335" s="38">
        <f t="shared" si="288"/>
        <v>0.52829649076846474</v>
      </c>
      <c r="AL335" s="38">
        <f t="shared" si="289"/>
        <v>2.2754007022670338E-2</v>
      </c>
      <c r="AM335" s="38">
        <f t="shared" si="290"/>
        <v>0</v>
      </c>
      <c r="AN335" s="38">
        <f t="shared" si="291"/>
        <v>0</v>
      </c>
      <c r="AO335" s="38">
        <f t="shared" si="292"/>
        <v>0</v>
      </c>
      <c r="AP335" s="38">
        <f t="shared" si="293"/>
        <v>5.0181038682405132</v>
      </c>
      <c r="AQ335" s="38">
        <f t="shared" si="294"/>
        <v>3.977617926301027</v>
      </c>
      <c r="AR335" s="38">
        <f t="shared" si="295"/>
        <v>1.0249703163327517</v>
      </c>
      <c r="AS335" s="40"/>
      <c r="AT335" s="38">
        <f t="shared" si="296"/>
        <v>2.5280712612059841</v>
      </c>
      <c r="AU335" s="38">
        <f t="shared" si="297"/>
        <v>0</v>
      </c>
      <c r="AV335" s="38">
        <f t="shared" si="298"/>
        <v>1.4351965693737072</v>
      </c>
      <c r="AW335" s="38">
        <f t="shared" si="299"/>
        <v>0</v>
      </c>
      <c r="AX335" s="38">
        <f t="shared" si="300"/>
        <v>0</v>
      </c>
      <c r="AY335" s="38">
        <f t="shared" si="301"/>
        <v>1.5459649714439428E-2</v>
      </c>
      <c r="AZ335" s="38">
        <f t="shared" si="302"/>
        <v>0</v>
      </c>
      <c r="BA335" s="38">
        <f t="shared" si="303"/>
        <v>0</v>
      </c>
      <c r="BB335" s="38">
        <f t="shared" si="304"/>
        <v>0.47221005282597528</v>
      </c>
      <c r="BC335" s="38">
        <f t="shared" si="305"/>
        <v>0.52639054973736543</v>
      </c>
      <c r="BD335" s="38">
        <f t="shared" si="306"/>
        <v>2.2671917142528704E-2</v>
      </c>
      <c r="BE335" s="38">
        <f t="shared" si="307"/>
        <v>0</v>
      </c>
      <c r="BF335" s="38">
        <f t="shared" si="308"/>
        <v>0</v>
      </c>
      <c r="BG335" s="38">
        <f t="shared" si="309"/>
        <v>0</v>
      </c>
      <c r="BH335" s="41">
        <f t="shared" si="310"/>
        <v>5</v>
      </c>
      <c r="BI335" s="42">
        <f t="shared" si="311"/>
        <v>7.9788681373101102</v>
      </c>
      <c r="BJ335" s="38">
        <f t="shared" si="312"/>
        <v>3.9632678305796913</v>
      </c>
      <c r="BK335" s="38">
        <f t="shared" si="313"/>
        <v>1.0212725197058694</v>
      </c>
      <c r="BL335" s="16"/>
      <c r="BM335" s="16">
        <f t="shared" si="314"/>
        <v>0.46237418878359099</v>
      </c>
      <c r="BN335" s="16">
        <f t="shared" si="315"/>
        <v>0.51542613707942331</v>
      </c>
      <c r="BO335" s="16">
        <f t="shared" si="316"/>
        <v>2.2199674136985797E-2</v>
      </c>
      <c r="BP335" s="15"/>
      <c r="BQ335" s="38">
        <f t="shared" si="317"/>
        <v>0.94224367509986684</v>
      </c>
      <c r="BR335" s="38">
        <f t="shared" si="318"/>
        <v>0</v>
      </c>
      <c r="BS335" s="38">
        <f t="shared" si="319"/>
        <v>0.53491565319733236</v>
      </c>
      <c r="BT335" s="38">
        <f t="shared" si="320"/>
        <v>0</v>
      </c>
      <c r="BU335" s="38">
        <f t="shared" si="321"/>
        <v>5.7620041753653449E-3</v>
      </c>
      <c r="BV335" s="38">
        <f t="shared" si="322"/>
        <v>0</v>
      </c>
      <c r="BW335" s="38">
        <f t="shared" si="323"/>
        <v>0</v>
      </c>
      <c r="BX335" s="38">
        <f t="shared" si="324"/>
        <v>0.17599857346647646</v>
      </c>
      <c r="BY335" s="38">
        <f t="shared" si="325"/>
        <v>0.19619232010325913</v>
      </c>
      <c r="BZ335" s="38">
        <f t="shared" si="326"/>
        <v>8.4501061571125267E-3</v>
      </c>
      <c r="CA335" s="38">
        <f t="shared" si="327"/>
        <v>0</v>
      </c>
      <c r="CB335" s="38">
        <f t="shared" si="328"/>
        <v>0</v>
      </c>
      <c r="CC335" s="38">
        <f t="shared" si="329"/>
        <v>0</v>
      </c>
      <c r="CD335" s="38">
        <f t="shared" si="330"/>
        <v>1.8635623321994126</v>
      </c>
      <c r="CE335" s="38">
        <f t="shared" si="331"/>
        <v>2.9709426207677594</v>
      </c>
      <c r="CF335" s="38">
        <f t="shared" si="332"/>
        <v>2.6830334105856832</v>
      </c>
      <c r="CG335" s="38">
        <f t="shared" si="333"/>
        <v>7.9711383124528892</v>
      </c>
      <c r="CH335" s="15"/>
      <c r="CI335" s="16"/>
      <c r="CJ335" s="13"/>
      <c r="CK335" s="104"/>
      <c r="CL335" s="13"/>
      <c r="CM335" s="13"/>
      <c r="CN335" s="13"/>
      <c r="CO335" s="16"/>
      <c r="CP335" s="16"/>
      <c r="CQ335" s="16"/>
      <c r="CR335" s="16"/>
      <c r="CS335" s="16"/>
      <c r="CT335" s="16"/>
      <c r="CU335" s="16"/>
      <c r="CV335" s="16"/>
      <c r="CW335" s="16"/>
      <c r="CX335" s="16"/>
      <c r="CY335" s="104"/>
      <c r="CZ335" s="104"/>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3"/>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row>
    <row r="336" spans="1:167" x14ac:dyDescent="0.25">
      <c r="A336" s="35" t="s">
        <v>92</v>
      </c>
      <c r="B336" s="15">
        <v>1067</v>
      </c>
      <c r="C336" s="102" t="s">
        <v>255</v>
      </c>
      <c r="D336" s="102" t="s">
        <v>106</v>
      </c>
      <c r="E336" s="15">
        <v>225</v>
      </c>
      <c r="F336" s="16">
        <v>56.04</v>
      </c>
      <c r="G336" s="16"/>
      <c r="H336" s="16">
        <v>26.52</v>
      </c>
      <c r="I336" s="16"/>
      <c r="J336" s="16">
        <v>0.44900000000000001</v>
      </c>
      <c r="K336" s="16"/>
      <c r="L336" s="16"/>
      <c r="M336" s="16">
        <v>9.65</v>
      </c>
      <c r="N336" s="16">
        <v>6.18</v>
      </c>
      <c r="O336" s="16">
        <v>0.42499999999999999</v>
      </c>
      <c r="P336" s="16"/>
      <c r="Q336" s="16"/>
      <c r="R336" s="16"/>
      <c r="S336" s="16">
        <f t="shared" si="279"/>
        <v>99.263999999999996</v>
      </c>
      <c r="T336" s="16"/>
      <c r="U336" s="15">
        <v>3</v>
      </c>
      <c r="V336" s="15">
        <v>2</v>
      </c>
      <c r="W336" s="15">
        <v>13.6</v>
      </c>
      <c r="X336" s="15" t="s">
        <v>185</v>
      </c>
      <c r="Y336" s="15"/>
      <c r="Z336" s="37">
        <v>8</v>
      </c>
      <c r="AA336" s="37">
        <v>5</v>
      </c>
      <c r="AB336" s="15"/>
      <c r="AC336" s="38">
        <f t="shared" si="280"/>
        <v>2.5481971995071686</v>
      </c>
      <c r="AD336" s="38">
        <f t="shared" si="281"/>
        <v>0</v>
      </c>
      <c r="AE336" s="38">
        <f t="shared" si="282"/>
        <v>1.4211454209255485</v>
      </c>
      <c r="AF336" s="38">
        <f t="shared" si="283"/>
        <v>0</v>
      </c>
      <c r="AG336" s="38">
        <f t="shared" si="284"/>
        <v>1.7071999918074579E-2</v>
      </c>
      <c r="AH336" s="38">
        <f t="shared" si="285"/>
        <v>0</v>
      </c>
      <c r="AI336" s="38">
        <f t="shared" si="286"/>
        <v>0</v>
      </c>
      <c r="AJ336" s="38">
        <f t="shared" si="287"/>
        <v>0.47009338485574237</v>
      </c>
      <c r="AK336" s="38">
        <f t="shared" si="288"/>
        <v>0.54479326542022755</v>
      </c>
      <c r="AL336" s="38">
        <f t="shared" si="289"/>
        <v>2.4650904226817077E-2</v>
      </c>
      <c r="AM336" s="38">
        <f t="shared" si="290"/>
        <v>0</v>
      </c>
      <c r="AN336" s="38">
        <f t="shared" si="291"/>
        <v>0</v>
      </c>
      <c r="AO336" s="38">
        <f t="shared" si="292"/>
        <v>0</v>
      </c>
      <c r="AP336" s="38">
        <f t="shared" si="293"/>
        <v>5.0259521748535789</v>
      </c>
      <c r="AQ336" s="38">
        <f t="shared" si="294"/>
        <v>3.9693426204327169</v>
      </c>
      <c r="AR336" s="38">
        <f t="shared" si="295"/>
        <v>1.039537554502787</v>
      </c>
      <c r="AS336" s="40"/>
      <c r="AT336" s="38">
        <f t="shared" si="296"/>
        <v>2.5350392431672968</v>
      </c>
      <c r="AU336" s="38">
        <f t="shared" si="297"/>
        <v>0</v>
      </c>
      <c r="AV336" s="38">
        <f t="shared" si="298"/>
        <v>1.413807146868594</v>
      </c>
      <c r="AW336" s="38">
        <f t="shared" si="299"/>
        <v>0</v>
      </c>
      <c r="AX336" s="38">
        <f t="shared" si="300"/>
        <v>0</v>
      </c>
      <c r="AY336" s="38">
        <f t="shared" si="301"/>
        <v>1.6983846367949116E-2</v>
      </c>
      <c r="AZ336" s="38">
        <f t="shared" si="302"/>
        <v>0</v>
      </c>
      <c r="BA336" s="38">
        <f t="shared" si="303"/>
        <v>0</v>
      </c>
      <c r="BB336" s="38">
        <f t="shared" si="304"/>
        <v>0.46766599492108946</v>
      </c>
      <c r="BC336" s="38">
        <f t="shared" si="305"/>
        <v>0.54198015268231148</v>
      </c>
      <c r="BD336" s="38">
        <f t="shared" si="306"/>
        <v>2.4523615992759856E-2</v>
      </c>
      <c r="BE336" s="38">
        <f t="shared" si="307"/>
        <v>0</v>
      </c>
      <c r="BF336" s="38">
        <f t="shared" si="308"/>
        <v>0</v>
      </c>
      <c r="BG336" s="38">
        <f t="shared" si="309"/>
        <v>0</v>
      </c>
      <c r="BH336" s="41">
        <f t="shared" si="310"/>
        <v>5.0000000000000018</v>
      </c>
      <c r="BI336" s="42">
        <f t="shared" si="311"/>
        <v>7.9671828554480335</v>
      </c>
      <c r="BJ336" s="38">
        <f t="shared" si="312"/>
        <v>3.9488463900358908</v>
      </c>
      <c r="BK336" s="38">
        <f t="shared" si="313"/>
        <v>1.0341697635961606</v>
      </c>
      <c r="BL336" s="16"/>
      <c r="BM336" s="16">
        <f t="shared" si="314"/>
        <v>0.4522139511165511</v>
      </c>
      <c r="BN336" s="16">
        <f t="shared" si="315"/>
        <v>0.52407271200587202</v>
      </c>
      <c r="BO336" s="16">
        <f t="shared" si="316"/>
        <v>2.3713336877576933E-2</v>
      </c>
      <c r="BP336" s="15"/>
      <c r="BQ336" s="38">
        <f t="shared" si="317"/>
        <v>0.93275632490013316</v>
      </c>
      <c r="BR336" s="38">
        <f t="shared" si="318"/>
        <v>0</v>
      </c>
      <c r="BS336" s="38">
        <f t="shared" si="319"/>
        <v>0.52020400156924285</v>
      </c>
      <c r="BT336" s="38">
        <f t="shared" si="320"/>
        <v>0</v>
      </c>
      <c r="BU336" s="38">
        <f t="shared" si="321"/>
        <v>6.2491301322199029E-3</v>
      </c>
      <c r="BV336" s="38">
        <f t="shared" si="322"/>
        <v>0</v>
      </c>
      <c r="BW336" s="38">
        <f t="shared" si="323"/>
        <v>0</v>
      </c>
      <c r="BX336" s="38">
        <f t="shared" si="324"/>
        <v>0.17207560627674751</v>
      </c>
      <c r="BY336" s="38">
        <f t="shared" si="325"/>
        <v>0.19941916747337851</v>
      </c>
      <c r="BZ336" s="38">
        <f t="shared" si="326"/>
        <v>9.0233545647558384E-3</v>
      </c>
      <c r="CA336" s="38">
        <f t="shared" si="327"/>
        <v>0</v>
      </c>
      <c r="CB336" s="38">
        <f t="shared" si="328"/>
        <v>0</v>
      </c>
      <c r="CC336" s="38">
        <f t="shared" si="329"/>
        <v>0</v>
      </c>
      <c r="CD336" s="38">
        <f t="shared" si="330"/>
        <v>1.8397275849164776</v>
      </c>
      <c r="CE336" s="38">
        <f t="shared" si="331"/>
        <v>2.9283646495821651</v>
      </c>
      <c r="CF336" s="38">
        <f t="shared" si="332"/>
        <v>2.7177936782564451</v>
      </c>
      <c r="CG336" s="38">
        <f t="shared" si="333"/>
        <v>7.9586909322640587</v>
      </c>
      <c r="CH336" s="15"/>
      <c r="CI336" s="16"/>
      <c r="CJ336" s="13"/>
      <c r="CK336" s="104"/>
      <c r="CL336" s="13"/>
      <c r="CM336" s="13"/>
      <c r="CN336" s="13"/>
      <c r="CO336" s="16"/>
      <c r="CP336" s="16"/>
      <c r="CQ336" s="16"/>
      <c r="CR336" s="16"/>
      <c r="CS336" s="16"/>
      <c r="CT336" s="16"/>
      <c r="CU336" s="16"/>
      <c r="CV336" s="16"/>
      <c r="CW336" s="16"/>
      <c r="CX336" s="16"/>
      <c r="CY336" s="104"/>
      <c r="CZ336" s="104"/>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3"/>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row>
    <row r="337" spans="1:167" x14ac:dyDescent="0.25">
      <c r="A337" s="35" t="s">
        <v>92</v>
      </c>
      <c r="B337" s="15">
        <v>1068</v>
      </c>
      <c r="C337" s="102" t="s">
        <v>255</v>
      </c>
      <c r="D337" s="102" t="s">
        <v>106</v>
      </c>
      <c r="E337" s="15">
        <v>226</v>
      </c>
      <c r="F337" s="16">
        <v>58.38</v>
      </c>
      <c r="G337" s="16"/>
      <c r="H337" s="16">
        <v>25.76</v>
      </c>
      <c r="I337" s="16"/>
      <c r="J337" s="16">
        <v>0.36299999999999999</v>
      </c>
      <c r="K337" s="16"/>
      <c r="L337" s="16"/>
      <c r="M337" s="16">
        <v>8.48</v>
      </c>
      <c r="N337" s="16">
        <v>6.99</v>
      </c>
      <c r="O337" s="16">
        <v>0.55700000000000005</v>
      </c>
      <c r="P337" s="16"/>
      <c r="Q337" s="16"/>
      <c r="R337" s="16"/>
      <c r="S337" s="16">
        <f t="shared" si="279"/>
        <v>100.53</v>
      </c>
      <c r="T337" s="16"/>
      <c r="U337" s="15">
        <v>3</v>
      </c>
      <c r="V337" s="15">
        <v>3</v>
      </c>
      <c r="W337" s="15">
        <v>27.2</v>
      </c>
      <c r="X337" s="15" t="s">
        <v>185</v>
      </c>
      <c r="Y337" s="15"/>
      <c r="Z337" s="37">
        <v>8</v>
      </c>
      <c r="AA337" s="37">
        <v>5</v>
      </c>
      <c r="AB337" s="15"/>
      <c r="AC337" s="38">
        <f t="shared" si="280"/>
        <v>2.6118373164866737</v>
      </c>
      <c r="AD337" s="38">
        <f t="shared" si="281"/>
        <v>0</v>
      </c>
      <c r="AE337" s="38">
        <f t="shared" si="282"/>
        <v>1.3581820406042322</v>
      </c>
      <c r="AF337" s="38">
        <f t="shared" si="283"/>
        <v>0</v>
      </c>
      <c r="AG337" s="38">
        <f t="shared" si="284"/>
        <v>1.3579751053615927E-2</v>
      </c>
      <c r="AH337" s="38">
        <f t="shared" si="285"/>
        <v>0</v>
      </c>
      <c r="AI337" s="38">
        <f t="shared" si="286"/>
        <v>0</v>
      </c>
      <c r="AJ337" s="38">
        <f t="shared" si="287"/>
        <v>0.40644314497370643</v>
      </c>
      <c r="AK337" s="38">
        <f t="shared" si="288"/>
        <v>0.60627206157181313</v>
      </c>
      <c r="AL337" s="38">
        <f t="shared" si="289"/>
        <v>3.178675861414864E-2</v>
      </c>
      <c r="AM337" s="38">
        <f t="shared" si="290"/>
        <v>0</v>
      </c>
      <c r="AN337" s="38">
        <f t="shared" si="291"/>
        <v>0</v>
      </c>
      <c r="AO337" s="38">
        <f t="shared" si="292"/>
        <v>0</v>
      </c>
      <c r="AP337" s="38">
        <f t="shared" si="293"/>
        <v>5.0281010733041898</v>
      </c>
      <c r="AQ337" s="38">
        <f t="shared" si="294"/>
        <v>3.9700193570909059</v>
      </c>
      <c r="AR337" s="38">
        <f t="shared" si="295"/>
        <v>1.0445019651596683</v>
      </c>
      <c r="AS337" s="40"/>
      <c r="AT337" s="38">
        <f t="shared" si="296"/>
        <v>2.597240268651082</v>
      </c>
      <c r="AU337" s="38">
        <f t="shared" si="297"/>
        <v>0</v>
      </c>
      <c r="AV337" s="38">
        <f t="shared" si="298"/>
        <v>1.350591426866157</v>
      </c>
      <c r="AW337" s="38">
        <f t="shared" si="299"/>
        <v>0</v>
      </c>
      <c r="AX337" s="38">
        <f t="shared" si="300"/>
        <v>0</v>
      </c>
      <c r="AY337" s="38">
        <f t="shared" si="301"/>
        <v>1.3503856481441081E-2</v>
      </c>
      <c r="AZ337" s="38">
        <f t="shared" si="302"/>
        <v>0</v>
      </c>
      <c r="BA337" s="38">
        <f t="shared" si="303"/>
        <v>0</v>
      </c>
      <c r="BB337" s="38">
        <f t="shared" si="304"/>
        <v>0.40417161374464428</v>
      </c>
      <c r="BC337" s="38">
        <f t="shared" si="305"/>
        <v>0.60288372561831249</v>
      </c>
      <c r="BD337" s="38">
        <f t="shared" si="306"/>
        <v>3.160910863836329E-2</v>
      </c>
      <c r="BE337" s="38">
        <f t="shared" si="307"/>
        <v>0</v>
      </c>
      <c r="BF337" s="38">
        <f t="shared" si="308"/>
        <v>0</v>
      </c>
      <c r="BG337" s="38">
        <f t="shared" si="309"/>
        <v>0</v>
      </c>
      <c r="BH337" s="41">
        <f t="shared" si="310"/>
        <v>5</v>
      </c>
      <c r="BI337" s="42">
        <f t="shared" si="311"/>
        <v>7.9620414931965433</v>
      </c>
      <c r="BJ337" s="38">
        <f t="shared" si="312"/>
        <v>3.9478316955172392</v>
      </c>
      <c r="BK337" s="38">
        <f t="shared" si="313"/>
        <v>1.0386644480013199</v>
      </c>
      <c r="BL337" s="16"/>
      <c r="BM337" s="16">
        <f t="shared" si="314"/>
        <v>0.38912626163568326</v>
      </c>
      <c r="BN337" s="16">
        <f t="shared" si="315"/>
        <v>0.58044128378364046</v>
      </c>
      <c r="BO337" s="16">
        <f t="shared" si="316"/>
        <v>3.0432454580676199E-2</v>
      </c>
      <c r="BP337" s="15"/>
      <c r="BQ337" s="38">
        <f t="shared" si="317"/>
        <v>0.97170439414114518</v>
      </c>
      <c r="BR337" s="38">
        <f t="shared" si="318"/>
        <v>0</v>
      </c>
      <c r="BS337" s="38">
        <f t="shared" si="319"/>
        <v>0.5052961945861123</v>
      </c>
      <c r="BT337" s="38">
        <f t="shared" si="320"/>
        <v>0</v>
      </c>
      <c r="BU337" s="38">
        <f t="shared" si="321"/>
        <v>5.0521920668058461E-3</v>
      </c>
      <c r="BV337" s="38">
        <f t="shared" si="322"/>
        <v>0</v>
      </c>
      <c r="BW337" s="38">
        <f t="shared" si="323"/>
        <v>0</v>
      </c>
      <c r="BX337" s="38">
        <f t="shared" si="324"/>
        <v>0.15121255349500715</v>
      </c>
      <c r="BY337" s="38">
        <f t="shared" si="325"/>
        <v>0.22555663117134561</v>
      </c>
      <c r="BZ337" s="38">
        <f t="shared" si="326"/>
        <v>1.1825902335456476E-2</v>
      </c>
      <c r="CA337" s="38">
        <f t="shared" si="327"/>
        <v>0</v>
      </c>
      <c r="CB337" s="38">
        <f t="shared" si="328"/>
        <v>0</v>
      </c>
      <c r="CC337" s="38">
        <f t="shared" si="329"/>
        <v>0</v>
      </c>
      <c r="CD337" s="38">
        <f t="shared" si="330"/>
        <v>1.8706478677958724</v>
      </c>
      <c r="CE337" s="38">
        <f t="shared" si="331"/>
        <v>2.9763090924766731</v>
      </c>
      <c r="CF337" s="38">
        <f t="shared" si="332"/>
        <v>2.672870766367883</v>
      </c>
      <c r="CG337" s="38">
        <f t="shared" si="333"/>
        <v>7.955289564955824</v>
      </c>
      <c r="CH337" s="15"/>
      <c r="CI337" s="16"/>
      <c r="CJ337" s="13"/>
      <c r="CK337" s="104"/>
      <c r="CL337" s="13"/>
      <c r="CM337" s="13"/>
      <c r="CN337" s="13"/>
      <c r="CO337" s="16"/>
      <c r="CP337" s="16"/>
      <c r="CQ337" s="16"/>
      <c r="CR337" s="16"/>
      <c r="CS337" s="16"/>
      <c r="CT337" s="16"/>
      <c r="CU337" s="16"/>
      <c r="CV337" s="16"/>
      <c r="CW337" s="16"/>
      <c r="CX337" s="16"/>
      <c r="CY337" s="104"/>
      <c r="CZ337" s="104"/>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3"/>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row>
    <row r="338" spans="1:167" x14ac:dyDescent="0.25">
      <c r="A338" s="35" t="s">
        <v>92</v>
      </c>
      <c r="B338" s="15">
        <v>1069</v>
      </c>
      <c r="C338" s="102" t="s">
        <v>255</v>
      </c>
      <c r="D338" s="102" t="s">
        <v>106</v>
      </c>
      <c r="E338" s="15">
        <v>227</v>
      </c>
      <c r="F338" s="16">
        <v>65.77</v>
      </c>
      <c r="G338" s="16"/>
      <c r="H338" s="16">
        <v>18.38</v>
      </c>
      <c r="I338" s="16"/>
      <c r="J338" s="16">
        <v>0.32500000000000001</v>
      </c>
      <c r="K338" s="16"/>
      <c r="L338" s="16"/>
      <c r="M338" s="16">
        <v>0.36499999999999999</v>
      </c>
      <c r="N338" s="16">
        <v>4.59</v>
      </c>
      <c r="O338" s="16">
        <v>10.23</v>
      </c>
      <c r="P338" s="16"/>
      <c r="Q338" s="16"/>
      <c r="R338" s="16"/>
      <c r="S338" s="16">
        <f t="shared" si="279"/>
        <v>99.66</v>
      </c>
      <c r="T338" s="16"/>
      <c r="U338" s="15">
        <v>3</v>
      </c>
      <c r="V338" s="15">
        <v>4</v>
      </c>
      <c r="W338" s="15">
        <v>40.799999999999997</v>
      </c>
      <c r="X338" s="15" t="s">
        <v>186</v>
      </c>
      <c r="Y338" s="15"/>
      <c r="Z338" s="37">
        <v>8</v>
      </c>
      <c r="AA338" s="37">
        <v>5</v>
      </c>
      <c r="AB338" s="15"/>
      <c r="AC338" s="38">
        <f t="shared" si="280"/>
        <v>2.995195780927991</v>
      </c>
      <c r="AD338" s="38">
        <f t="shared" si="281"/>
        <v>0</v>
      </c>
      <c r="AE338" s="38">
        <f t="shared" si="282"/>
        <v>0.98644522150215386</v>
      </c>
      <c r="AF338" s="38">
        <f t="shared" si="283"/>
        <v>0</v>
      </c>
      <c r="AG338" s="38">
        <f t="shared" si="284"/>
        <v>1.2376102168826239E-2</v>
      </c>
      <c r="AH338" s="38">
        <f t="shared" si="285"/>
        <v>0</v>
      </c>
      <c r="AI338" s="38">
        <f t="shared" si="286"/>
        <v>0</v>
      </c>
      <c r="AJ338" s="38">
        <f t="shared" si="287"/>
        <v>1.7807877395095484E-2</v>
      </c>
      <c r="AK338" s="38">
        <f t="shared" si="288"/>
        <v>0.40524569200093907</v>
      </c>
      <c r="AL338" s="38">
        <f t="shared" si="289"/>
        <v>0.59426756065279041</v>
      </c>
      <c r="AM338" s="38">
        <f t="shared" si="290"/>
        <v>0</v>
      </c>
      <c r="AN338" s="38">
        <f t="shared" si="291"/>
        <v>0</v>
      </c>
      <c r="AO338" s="38">
        <f t="shared" si="292"/>
        <v>0</v>
      </c>
      <c r="AP338" s="38">
        <f t="shared" si="293"/>
        <v>5.0113382346477957</v>
      </c>
      <c r="AQ338" s="38">
        <f t="shared" si="294"/>
        <v>3.9816410024301447</v>
      </c>
      <c r="AR338" s="38">
        <f t="shared" si="295"/>
        <v>1.017321130048825</v>
      </c>
      <c r="AS338" s="40"/>
      <c r="AT338" s="38">
        <f t="shared" si="296"/>
        <v>2.9884191015281751</v>
      </c>
      <c r="AU338" s="38">
        <f t="shared" si="297"/>
        <v>0</v>
      </c>
      <c r="AV338" s="38">
        <f t="shared" si="298"/>
        <v>0.98421337306868362</v>
      </c>
      <c r="AW338" s="38">
        <f t="shared" si="299"/>
        <v>0</v>
      </c>
      <c r="AX338" s="38">
        <f t="shared" si="300"/>
        <v>0</v>
      </c>
      <c r="AY338" s="38">
        <f t="shared" si="301"/>
        <v>1.2348101035427366E-2</v>
      </c>
      <c r="AZ338" s="38">
        <f t="shared" si="302"/>
        <v>0</v>
      </c>
      <c r="BA338" s="38">
        <f t="shared" si="303"/>
        <v>0</v>
      </c>
      <c r="BB338" s="38">
        <f t="shared" si="304"/>
        <v>1.7767586781484775E-2</v>
      </c>
      <c r="BC338" s="38">
        <f t="shared" si="305"/>
        <v>0.40432881700053552</v>
      </c>
      <c r="BD338" s="38">
        <f t="shared" si="306"/>
        <v>0.59292302058569435</v>
      </c>
      <c r="BE338" s="38">
        <f t="shared" si="307"/>
        <v>0</v>
      </c>
      <c r="BF338" s="38">
        <f t="shared" si="308"/>
        <v>0</v>
      </c>
      <c r="BG338" s="38">
        <f t="shared" si="309"/>
        <v>0</v>
      </c>
      <c r="BH338" s="41">
        <f t="shared" si="310"/>
        <v>5</v>
      </c>
      <c r="BI338" s="42">
        <f t="shared" si="311"/>
        <v>7.9880739197871167</v>
      </c>
      <c r="BJ338" s="38">
        <f t="shared" si="312"/>
        <v>3.9726324745968586</v>
      </c>
      <c r="BK338" s="38">
        <f t="shared" si="313"/>
        <v>1.0150194243677146</v>
      </c>
      <c r="BL338" s="16"/>
      <c r="BM338" s="16">
        <f t="shared" si="314"/>
        <v>1.7504676614984709E-2</v>
      </c>
      <c r="BN338" s="16">
        <f t="shared" si="315"/>
        <v>0.39834589101819784</v>
      </c>
      <c r="BO338" s="16">
        <f t="shared" si="316"/>
        <v>0.58414943236681749</v>
      </c>
      <c r="BP338" s="15"/>
      <c r="BQ338" s="38">
        <f t="shared" si="317"/>
        <v>1.0947070572569906</v>
      </c>
      <c r="BR338" s="38">
        <f t="shared" si="318"/>
        <v>0</v>
      </c>
      <c r="BS338" s="38">
        <f t="shared" si="319"/>
        <v>0.36053354256571207</v>
      </c>
      <c r="BT338" s="38">
        <f t="shared" si="320"/>
        <v>0</v>
      </c>
      <c r="BU338" s="38">
        <f t="shared" si="321"/>
        <v>4.5233124565066118E-3</v>
      </c>
      <c r="BV338" s="38">
        <f t="shared" si="322"/>
        <v>0</v>
      </c>
      <c r="BW338" s="38">
        <f t="shared" si="323"/>
        <v>0</v>
      </c>
      <c r="BX338" s="38">
        <f t="shared" si="324"/>
        <v>6.5085592011412266E-3</v>
      </c>
      <c r="BY338" s="38">
        <f t="shared" si="325"/>
        <v>0.14811229428848016</v>
      </c>
      <c r="BZ338" s="38">
        <f t="shared" si="326"/>
        <v>0.21719745222929937</v>
      </c>
      <c r="CA338" s="38">
        <f t="shared" si="327"/>
        <v>0</v>
      </c>
      <c r="CB338" s="38">
        <f t="shared" si="328"/>
        <v>0</v>
      </c>
      <c r="CC338" s="38">
        <f t="shared" si="329"/>
        <v>0</v>
      </c>
      <c r="CD338" s="38">
        <f t="shared" si="330"/>
        <v>1.8315822179981298</v>
      </c>
      <c r="CE338" s="38">
        <f t="shared" si="331"/>
        <v>2.9239011732790869</v>
      </c>
      <c r="CF338" s="38">
        <f t="shared" si="332"/>
        <v>2.7298801827552497</v>
      </c>
      <c r="CG338" s="38">
        <f t="shared" si="333"/>
        <v>7.9818998692694025</v>
      </c>
      <c r="CH338" s="15"/>
      <c r="CI338" s="16"/>
      <c r="CJ338" s="13"/>
      <c r="CK338" s="104"/>
      <c r="CL338" s="13"/>
      <c r="CM338" s="13"/>
      <c r="CN338" s="13"/>
      <c r="CO338" s="16"/>
      <c r="CP338" s="16"/>
      <c r="CQ338" s="16"/>
      <c r="CR338" s="16"/>
      <c r="CS338" s="16"/>
      <c r="CT338" s="16"/>
      <c r="CU338" s="16"/>
      <c r="CV338" s="16"/>
      <c r="CW338" s="16"/>
      <c r="CX338" s="16"/>
      <c r="CY338" s="104"/>
      <c r="CZ338" s="104"/>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3"/>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row>
    <row r="339" spans="1:167" x14ac:dyDescent="0.25">
      <c r="A339" s="35" t="s">
        <v>92</v>
      </c>
      <c r="B339" s="15">
        <v>1070</v>
      </c>
      <c r="C339" s="102" t="s">
        <v>255</v>
      </c>
      <c r="D339" s="102" t="s">
        <v>106</v>
      </c>
      <c r="E339" s="15">
        <v>228</v>
      </c>
      <c r="F339" s="16">
        <v>58.59</v>
      </c>
      <c r="G339" s="16"/>
      <c r="H339" s="16">
        <v>25.62</v>
      </c>
      <c r="I339" s="16"/>
      <c r="J339" s="16">
        <v>0.74299999999999999</v>
      </c>
      <c r="K339" s="16"/>
      <c r="L339" s="16"/>
      <c r="M339" s="16">
        <v>7.98</v>
      </c>
      <c r="N339" s="16">
        <v>7.12</v>
      </c>
      <c r="O339" s="16">
        <v>0.54500000000000004</v>
      </c>
      <c r="P339" s="16"/>
      <c r="Q339" s="16"/>
      <c r="R339" s="16"/>
      <c r="S339" s="16">
        <f t="shared" si="279"/>
        <v>100.59800000000001</v>
      </c>
      <c r="T339" s="16"/>
      <c r="U339" s="15"/>
      <c r="V339" s="15"/>
      <c r="W339" s="15"/>
      <c r="X339" s="15" t="s">
        <v>252</v>
      </c>
      <c r="Y339" s="15" t="s">
        <v>260</v>
      </c>
      <c r="Z339" s="37">
        <v>8</v>
      </c>
      <c r="AA339" s="37">
        <v>5</v>
      </c>
      <c r="AB339" s="15"/>
      <c r="AC339" s="38">
        <f t="shared" si="280"/>
        <v>2.6201632944855993</v>
      </c>
      <c r="AD339" s="38">
        <f t="shared" si="281"/>
        <v>0</v>
      </c>
      <c r="AE339" s="38">
        <f t="shared" si="282"/>
        <v>1.3502496663523096</v>
      </c>
      <c r="AF339" s="38">
        <f t="shared" si="283"/>
        <v>0</v>
      </c>
      <c r="AG339" s="38">
        <f t="shared" si="284"/>
        <v>2.7784131491438803E-2</v>
      </c>
      <c r="AH339" s="38">
        <f t="shared" si="285"/>
        <v>0</v>
      </c>
      <c r="AI339" s="38">
        <f t="shared" si="286"/>
        <v>0</v>
      </c>
      <c r="AJ339" s="38">
        <f t="shared" si="287"/>
        <v>0.38232233572126878</v>
      </c>
      <c r="AK339" s="38">
        <f t="shared" si="288"/>
        <v>0.61729562896112145</v>
      </c>
      <c r="AL339" s="38">
        <f t="shared" si="289"/>
        <v>3.108925961413771E-2</v>
      </c>
      <c r="AM339" s="38">
        <f t="shared" si="290"/>
        <v>0</v>
      </c>
      <c r="AN339" s="38">
        <f t="shared" si="291"/>
        <v>0</v>
      </c>
      <c r="AO339" s="38">
        <f t="shared" si="292"/>
        <v>0</v>
      </c>
      <c r="AP339" s="38">
        <f t="shared" si="293"/>
        <v>5.0289043166258756</v>
      </c>
      <c r="AQ339" s="38">
        <f t="shared" si="294"/>
        <v>3.9704129608379088</v>
      </c>
      <c r="AR339" s="38">
        <f t="shared" si="295"/>
        <v>1.0307072242965278</v>
      </c>
      <c r="AS339" s="40"/>
      <c r="AT339" s="38">
        <f t="shared" si="296"/>
        <v>2.6051035469328516</v>
      </c>
      <c r="AU339" s="38">
        <f t="shared" si="297"/>
        <v>0</v>
      </c>
      <c r="AV339" s="38">
        <f t="shared" si="298"/>
        <v>1.3424889213822371</v>
      </c>
      <c r="AW339" s="38">
        <f t="shared" si="299"/>
        <v>0</v>
      </c>
      <c r="AX339" s="38">
        <f t="shared" si="300"/>
        <v>0</v>
      </c>
      <c r="AY339" s="38">
        <f t="shared" si="301"/>
        <v>2.7624438388679125E-2</v>
      </c>
      <c r="AZ339" s="38">
        <f t="shared" si="302"/>
        <v>0</v>
      </c>
      <c r="BA339" s="38">
        <f t="shared" si="303"/>
        <v>0</v>
      </c>
      <c r="BB339" s="38">
        <f t="shared" si="304"/>
        <v>0.3801248857104787</v>
      </c>
      <c r="BC339" s="38">
        <f t="shared" si="305"/>
        <v>0.61374763775113306</v>
      </c>
      <c r="BD339" s="38">
        <f t="shared" si="306"/>
        <v>3.0910569834620486E-2</v>
      </c>
      <c r="BE339" s="38">
        <f t="shared" si="307"/>
        <v>0</v>
      </c>
      <c r="BF339" s="38">
        <f t="shared" si="308"/>
        <v>0</v>
      </c>
      <c r="BG339" s="38">
        <f t="shared" si="309"/>
        <v>0</v>
      </c>
      <c r="BH339" s="41">
        <f t="shared" si="310"/>
        <v>5</v>
      </c>
      <c r="BI339" s="42">
        <f t="shared" si="311"/>
        <v>7.9678311230254328</v>
      </c>
      <c r="BJ339" s="38">
        <f t="shared" si="312"/>
        <v>3.9475924683150887</v>
      </c>
      <c r="BK339" s="38">
        <f t="shared" si="313"/>
        <v>1.0247830932962323</v>
      </c>
      <c r="BL339" s="16"/>
      <c r="BM339" s="16">
        <f t="shared" si="314"/>
        <v>0.37093204229960564</v>
      </c>
      <c r="BN339" s="16">
        <f t="shared" si="315"/>
        <v>0.59890492121313532</v>
      </c>
      <c r="BO339" s="16">
        <f t="shared" si="316"/>
        <v>3.0163036487259091E-2</v>
      </c>
      <c r="BP339" s="15"/>
      <c r="BQ339" s="38">
        <f t="shared" si="317"/>
        <v>0.9751997336884155</v>
      </c>
      <c r="BR339" s="38">
        <f t="shared" si="318"/>
        <v>0</v>
      </c>
      <c r="BS339" s="38">
        <f t="shared" si="319"/>
        <v>0.50255001961553558</v>
      </c>
      <c r="BT339" s="38">
        <f t="shared" si="320"/>
        <v>0</v>
      </c>
      <c r="BU339" s="38">
        <f t="shared" si="321"/>
        <v>1.0340988169798192E-2</v>
      </c>
      <c r="BV339" s="38">
        <f t="shared" si="322"/>
        <v>0</v>
      </c>
      <c r="BW339" s="38">
        <f t="shared" si="323"/>
        <v>0</v>
      </c>
      <c r="BX339" s="38">
        <f t="shared" si="324"/>
        <v>0.14229671897289586</v>
      </c>
      <c r="BY339" s="38">
        <f t="shared" si="325"/>
        <v>0.22975153275250082</v>
      </c>
      <c r="BZ339" s="38">
        <f t="shared" si="326"/>
        <v>1.1571125265392782E-2</v>
      </c>
      <c r="CA339" s="38">
        <f t="shared" si="327"/>
        <v>0</v>
      </c>
      <c r="CB339" s="38">
        <f t="shared" si="328"/>
        <v>0</v>
      </c>
      <c r="CC339" s="38">
        <f t="shared" si="329"/>
        <v>0</v>
      </c>
      <c r="CD339" s="38">
        <f t="shared" si="330"/>
        <v>1.8717101184645386</v>
      </c>
      <c r="CE339" s="38">
        <f t="shared" si="331"/>
        <v>2.9775235329517753</v>
      </c>
      <c r="CF339" s="38">
        <f t="shared" si="332"/>
        <v>2.6713538334139906</v>
      </c>
      <c r="CG339" s="38">
        <f t="shared" si="333"/>
        <v>7.9540189038310931</v>
      </c>
      <c r="CH339" s="15"/>
      <c r="CI339" s="16"/>
      <c r="CJ339" s="13"/>
      <c r="CK339" s="104"/>
      <c r="CL339" s="13"/>
      <c r="CM339" s="13"/>
      <c r="CN339" s="13"/>
      <c r="CO339" s="16"/>
      <c r="CP339" s="16"/>
      <c r="CQ339" s="16"/>
      <c r="CR339" s="16"/>
      <c r="CS339" s="16"/>
      <c r="CT339" s="16"/>
      <c r="CU339" s="16"/>
      <c r="CV339" s="16"/>
      <c r="CW339" s="16"/>
      <c r="CX339" s="16"/>
      <c r="CY339" s="104"/>
      <c r="CZ339" s="104"/>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3"/>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row>
    <row r="340" spans="1:167" x14ac:dyDescent="0.25">
      <c r="A340" s="35" t="s">
        <v>92</v>
      </c>
      <c r="B340" s="15">
        <v>1072</v>
      </c>
      <c r="C340" s="102" t="s">
        <v>255</v>
      </c>
      <c r="D340" s="102" t="s">
        <v>106</v>
      </c>
      <c r="E340" s="15">
        <v>230</v>
      </c>
      <c r="F340" s="16">
        <v>60.6</v>
      </c>
      <c r="G340" s="16"/>
      <c r="H340" s="16">
        <v>22.93</v>
      </c>
      <c r="I340" s="16"/>
      <c r="J340" s="16">
        <v>0.52900000000000003</v>
      </c>
      <c r="K340" s="16"/>
      <c r="L340" s="16"/>
      <c r="M340" s="16">
        <v>5.23</v>
      </c>
      <c r="N340" s="16">
        <v>7.99</v>
      </c>
      <c r="O340" s="16">
        <v>1.35</v>
      </c>
      <c r="P340" s="16"/>
      <c r="Q340" s="16"/>
      <c r="R340" s="16"/>
      <c r="S340" s="16">
        <f t="shared" si="279"/>
        <v>98.628999999999991</v>
      </c>
      <c r="T340" s="16"/>
      <c r="U340" s="15"/>
      <c r="V340" s="15"/>
      <c r="W340" s="15"/>
      <c r="X340" s="15" t="s">
        <v>252</v>
      </c>
      <c r="Y340" s="15" t="s">
        <v>260</v>
      </c>
      <c r="Z340" s="37">
        <v>8</v>
      </c>
      <c r="AA340" s="37">
        <v>5</v>
      </c>
      <c r="AB340" s="15"/>
      <c r="AC340" s="38">
        <f t="shared" si="280"/>
        <v>2.7485171262991872</v>
      </c>
      <c r="AD340" s="38">
        <f t="shared" si="281"/>
        <v>0</v>
      </c>
      <c r="AE340" s="38">
        <f t="shared" si="282"/>
        <v>1.2256316597911638</v>
      </c>
      <c r="AF340" s="38">
        <f t="shared" si="283"/>
        <v>0</v>
      </c>
      <c r="AG340" s="38">
        <f t="shared" si="284"/>
        <v>2.006248138736072E-2</v>
      </c>
      <c r="AH340" s="38">
        <f t="shared" si="285"/>
        <v>0</v>
      </c>
      <c r="AI340" s="38">
        <f t="shared" si="286"/>
        <v>0</v>
      </c>
      <c r="AJ340" s="38">
        <f t="shared" si="287"/>
        <v>0.25412619342662546</v>
      </c>
      <c r="AK340" s="38">
        <f t="shared" si="288"/>
        <v>0.70255600523482009</v>
      </c>
      <c r="AL340" s="38">
        <f t="shared" si="289"/>
        <v>7.810316056696813E-2</v>
      </c>
      <c r="AM340" s="38">
        <f t="shared" si="290"/>
        <v>0</v>
      </c>
      <c r="AN340" s="38">
        <f t="shared" si="291"/>
        <v>0</v>
      </c>
      <c r="AO340" s="38">
        <f t="shared" si="292"/>
        <v>0</v>
      </c>
      <c r="AP340" s="38">
        <f t="shared" si="293"/>
        <v>5.0289966267061255</v>
      </c>
      <c r="AQ340" s="38">
        <f t="shared" si="294"/>
        <v>3.974148786090351</v>
      </c>
      <c r="AR340" s="38">
        <f t="shared" si="295"/>
        <v>1.0347853592284137</v>
      </c>
      <c r="AS340" s="40"/>
      <c r="AT340" s="38">
        <f t="shared" si="296"/>
        <v>2.7326694868946459</v>
      </c>
      <c r="AU340" s="38">
        <f t="shared" si="297"/>
        <v>0</v>
      </c>
      <c r="AV340" s="38">
        <f t="shared" si="298"/>
        <v>1.2185648060316197</v>
      </c>
      <c r="AW340" s="38">
        <f t="shared" si="299"/>
        <v>0</v>
      </c>
      <c r="AX340" s="38">
        <f t="shared" si="300"/>
        <v>0</v>
      </c>
      <c r="AY340" s="38">
        <f t="shared" si="301"/>
        <v>1.9946803385013572E-2</v>
      </c>
      <c r="AZ340" s="38">
        <f t="shared" si="302"/>
        <v>0</v>
      </c>
      <c r="BA340" s="38">
        <f t="shared" si="303"/>
        <v>0</v>
      </c>
      <c r="BB340" s="38">
        <f t="shared" si="304"/>
        <v>0.25266093048969901</v>
      </c>
      <c r="BC340" s="38">
        <f t="shared" si="305"/>
        <v>0.69850514663695218</v>
      </c>
      <c r="BD340" s="38">
        <f t="shared" si="306"/>
        <v>7.7652826562068955E-2</v>
      </c>
      <c r="BE340" s="38">
        <f t="shared" si="307"/>
        <v>0</v>
      </c>
      <c r="BF340" s="38">
        <f t="shared" si="308"/>
        <v>0</v>
      </c>
      <c r="BG340" s="38">
        <f t="shared" si="309"/>
        <v>0</v>
      </c>
      <c r="BH340" s="41">
        <f t="shared" si="310"/>
        <v>5</v>
      </c>
      <c r="BI340" s="42">
        <f t="shared" si="311"/>
        <v>7.963846305003452</v>
      </c>
      <c r="BJ340" s="38">
        <f t="shared" si="312"/>
        <v>3.9512342929262658</v>
      </c>
      <c r="BK340" s="38">
        <f t="shared" si="313"/>
        <v>1.0288189036887201</v>
      </c>
      <c r="BL340" s="16"/>
      <c r="BM340" s="16">
        <f t="shared" si="314"/>
        <v>0.24558348372469657</v>
      </c>
      <c r="BN340" s="16">
        <f t="shared" si="315"/>
        <v>0.67893887265536879</v>
      </c>
      <c r="BO340" s="16">
        <f t="shared" si="316"/>
        <v>7.5477643619934517E-2</v>
      </c>
      <c r="BP340" s="15"/>
      <c r="BQ340" s="38">
        <f t="shared" si="317"/>
        <v>1.0086551264980028</v>
      </c>
      <c r="BR340" s="38">
        <f t="shared" si="318"/>
        <v>0</v>
      </c>
      <c r="BS340" s="38">
        <f t="shared" si="319"/>
        <v>0.4497842291094547</v>
      </c>
      <c r="BT340" s="38">
        <f t="shared" si="320"/>
        <v>0</v>
      </c>
      <c r="BU340" s="38">
        <f t="shared" si="321"/>
        <v>7.362560890744608E-3</v>
      </c>
      <c r="BV340" s="38">
        <f t="shared" si="322"/>
        <v>0</v>
      </c>
      <c r="BW340" s="38">
        <f t="shared" si="323"/>
        <v>0</v>
      </c>
      <c r="BX340" s="38">
        <f t="shared" si="324"/>
        <v>9.3259629101283895E-2</v>
      </c>
      <c r="BY340" s="38">
        <f t="shared" si="325"/>
        <v>0.25782510487253957</v>
      </c>
      <c r="BZ340" s="38">
        <f t="shared" si="326"/>
        <v>2.8662420382165606E-2</v>
      </c>
      <c r="CA340" s="38">
        <f t="shared" si="327"/>
        <v>0</v>
      </c>
      <c r="CB340" s="38">
        <f t="shared" si="328"/>
        <v>0</v>
      </c>
      <c r="CC340" s="38">
        <f t="shared" si="329"/>
        <v>0</v>
      </c>
      <c r="CD340" s="38">
        <f t="shared" si="330"/>
        <v>1.8455490708541913</v>
      </c>
      <c r="CE340" s="38">
        <f t="shared" si="331"/>
        <v>2.9358525492795686</v>
      </c>
      <c r="CF340" s="38">
        <f t="shared" si="332"/>
        <v>2.7092208378321834</v>
      </c>
      <c r="CG340" s="38">
        <f t="shared" si="333"/>
        <v>7.9538729033109448</v>
      </c>
      <c r="CH340" s="15"/>
      <c r="CI340" s="16"/>
      <c r="CJ340" s="13"/>
      <c r="CK340" s="104"/>
      <c r="CL340" s="13"/>
      <c r="CM340" s="13"/>
      <c r="CN340" s="13"/>
      <c r="CO340" s="16"/>
      <c r="CP340" s="16"/>
      <c r="CQ340" s="16"/>
      <c r="CR340" s="16"/>
      <c r="CS340" s="16"/>
      <c r="CT340" s="16"/>
      <c r="CU340" s="16"/>
      <c r="CV340" s="16"/>
      <c r="CW340" s="16"/>
      <c r="CX340" s="16"/>
      <c r="CY340" s="104"/>
      <c r="CZ340" s="104"/>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3"/>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row>
    <row r="341" spans="1:167" x14ac:dyDescent="0.25">
      <c r="A341" s="35" t="s">
        <v>93</v>
      </c>
      <c r="B341" s="15">
        <v>1118</v>
      </c>
      <c r="C341" s="102" t="s">
        <v>101</v>
      </c>
      <c r="D341" s="102" t="s">
        <v>107</v>
      </c>
      <c r="E341" s="15">
        <v>276</v>
      </c>
      <c r="F341" s="16">
        <v>57.44</v>
      </c>
      <c r="G341" s="16">
        <v>0.13100000000000001</v>
      </c>
      <c r="H341" s="16">
        <v>25.65</v>
      </c>
      <c r="I341" s="16">
        <v>0</v>
      </c>
      <c r="J341" s="16">
        <v>0.93100000000000005</v>
      </c>
      <c r="K341" s="16">
        <v>0</v>
      </c>
      <c r="L341" s="16">
        <v>9.7000000000000003E-2</v>
      </c>
      <c r="M341" s="16">
        <v>9.1199999999999992</v>
      </c>
      <c r="N341" s="16">
        <v>6.55</v>
      </c>
      <c r="O341" s="16">
        <v>0.36499999999999999</v>
      </c>
      <c r="P341" s="16">
        <v>0.11</v>
      </c>
      <c r="Q341" s="16"/>
      <c r="R341" s="16"/>
      <c r="S341" s="16">
        <f t="shared" si="279"/>
        <v>100.39399999999999</v>
      </c>
      <c r="T341" s="16"/>
      <c r="U341" s="15"/>
      <c r="V341" s="15"/>
      <c r="W341" s="15"/>
      <c r="X341" s="15" t="s">
        <v>187</v>
      </c>
      <c r="Y341" s="15"/>
      <c r="Z341" s="37">
        <v>8</v>
      </c>
      <c r="AA341" s="37">
        <v>5</v>
      </c>
      <c r="AB341" s="15"/>
      <c r="AC341" s="38">
        <f t="shared" si="280"/>
        <v>2.5826132997047493</v>
      </c>
      <c r="AD341" s="38">
        <f t="shared" si="281"/>
        <v>4.4300447718627553E-3</v>
      </c>
      <c r="AE341" s="38">
        <f t="shared" si="282"/>
        <v>1.3591344299148267</v>
      </c>
      <c r="AF341" s="38">
        <f t="shared" si="283"/>
        <v>0</v>
      </c>
      <c r="AG341" s="38">
        <f t="shared" si="284"/>
        <v>3.5002396851628502E-2</v>
      </c>
      <c r="AH341" s="38">
        <f t="shared" si="285"/>
        <v>0</v>
      </c>
      <c r="AI341" s="38">
        <f t="shared" si="286"/>
        <v>6.50191913861885E-3</v>
      </c>
      <c r="AJ341" s="38">
        <f t="shared" si="287"/>
        <v>0.4393005118849761</v>
      </c>
      <c r="AK341" s="38">
        <f t="shared" si="288"/>
        <v>0.57094542816456417</v>
      </c>
      <c r="AL341" s="38">
        <f t="shared" si="289"/>
        <v>2.0933740357106826E-2</v>
      </c>
      <c r="AM341" s="38">
        <f t="shared" si="290"/>
        <v>4.1869016153910478E-3</v>
      </c>
      <c r="AN341" s="38">
        <f t="shared" si="291"/>
        <v>0</v>
      </c>
      <c r="AO341" s="38">
        <f t="shared" si="292"/>
        <v>0</v>
      </c>
      <c r="AP341" s="38">
        <f t="shared" si="293"/>
        <v>5.023048672403724</v>
      </c>
      <c r="AQ341" s="38">
        <f t="shared" si="294"/>
        <v>3.9417477296195758</v>
      </c>
      <c r="AR341" s="38">
        <f t="shared" si="295"/>
        <v>1.0311796804066471</v>
      </c>
      <c r="AS341" s="40"/>
      <c r="AT341" s="38">
        <f t="shared" si="296"/>
        <v>2.5707627659407777</v>
      </c>
      <c r="AU341" s="38">
        <f t="shared" si="297"/>
        <v>4.4097171466813672E-3</v>
      </c>
      <c r="AV341" s="38">
        <f t="shared" si="298"/>
        <v>1.3528979296794552</v>
      </c>
      <c r="AW341" s="38">
        <f t="shared" si="299"/>
        <v>0</v>
      </c>
      <c r="AX341" s="38">
        <f t="shared" si="300"/>
        <v>0</v>
      </c>
      <c r="AY341" s="38">
        <f t="shared" si="301"/>
        <v>3.4841785471768583E-2</v>
      </c>
      <c r="AZ341" s="38">
        <f t="shared" si="302"/>
        <v>0</v>
      </c>
      <c r="BA341" s="38">
        <f t="shared" si="303"/>
        <v>6.4720845473187809E-3</v>
      </c>
      <c r="BB341" s="38">
        <f t="shared" si="304"/>
        <v>0.43728474531658662</v>
      </c>
      <c r="BC341" s="38">
        <f t="shared" si="305"/>
        <v>0.56832559805890226</v>
      </c>
      <c r="BD341" s="38">
        <f t="shared" si="306"/>
        <v>2.0837684165908376E-2</v>
      </c>
      <c r="BE341" s="38">
        <f t="shared" si="307"/>
        <v>4.1676896726022105E-3</v>
      </c>
      <c r="BF341" s="38">
        <f t="shared" si="308"/>
        <v>0</v>
      </c>
      <c r="BG341" s="38">
        <f t="shared" si="309"/>
        <v>0</v>
      </c>
      <c r="BH341" s="41">
        <f t="shared" si="310"/>
        <v>5.0000000000000018</v>
      </c>
      <c r="BI341" s="42">
        <f t="shared" si="311"/>
        <v>7.9807122340595695</v>
      </c>
      <c r="BJ341" s="38">
        <f t="shared" si="312"/>
        <v>3.9236606956202329</v>
      </c>
      <c r="BK341" s="38">
        <f t="shared" si="313"/>
        <v>1.0264480275413972</v>
      </c>
      <c r="BL341" s="16"/>
      <c r="BM341" s="16">
        <f t="shared" si="314"/>
        <v>0.42601742473410392</v>
      </c>
      <c r="BN341" s="16">
        <f t="shared" si="315"/>
        <v>0.55368180639421738</v>
      </c>
      <c r="BO341" s="16">
        <f t="shared" si="316"/>
        <v>2.0300768871678674E-2</v>
      </c>
      <c r="BP341" s="15"/>
      <c r="BQ341" s="38">
        <f t="shared" si="317"/>
        <v>0.95605858854860182</v>
      </c>
      <c r="BR341" s="38">
        <f t="shared" si="318"/>
        <v>1.6399599399098649E-3</v>
      </c>
      <c r="BS341" s="38">
        <f t="shared" si="319"/>
        <v>0.50313848568065911</v>
      </c>
      <c r="BT341" s="38">
        <f t="shared" si="320"/>
        <v>0</v>
      </c>
      <c r="BU341" s="38">
        <f t="shared" si="321"/>
        <v>1.2957550452331247E-2</v>
      </c>
      <c r="BV341" s="38">
        <f t="shared" si="322"/>
        <v>0</v>
      </c>
      <c r="BW341" s="38">
        <f t="shared" si="323"/>
        <v>2.4069478908188588E-3</v>
      </c>
      <c r="BX341" s="38">
        <f t="shared" si="324"/>
        <v>0.16262482168330955</v>
      </c>
      <c r="BY341" s="38">
        <f t="shared" si="325"/>
        <v>0.21135850274282028</v>
      </c>
      <c r="BZ341" s="38">
        <f t="shared" si="326"/>
        <v>7.7494692144373665E-3</v>
      </c>
      <c r="CA341" s="38">
        <f t="shared" si="327"/>
        <v>1.5499506833873467E-3</v>
      </c>
      <c r="CB341" s="38">
        <f t="shared" si="328"/>
        <v>0</v>
      </c>
      <c r="CC341" s="38">
        <f t="shared" si="329"/>
        <v>0</v>
      </c>
      <c r="CD341" s="38">
        <f t="shared" si="330"/>
        <v>1.8594842768362752</v>
      </c>
      <c r="CE341" s="38">
        <f t="shared" si="331"/>
        <v>2.9615230082115689</v>
      </c>
      <c r="CF341" s="38">
        <f t="shared" si="332"/>
        <v>2.688917600587081</v>
      </c>
      <c r="CG341" s="38">
        <f t="shared" si="333"/>
        <v>7.9632913413236857</v>
      </c>
      <c r="CH341" s="15"/>
      <c r="CI341" s="16"/>
      <c r="CJ341" s="13"/>
      <c r="CK341" s="104"/>
      <c r="CL341" s="13"/>
      <c r="CM341" s="13"/>
      <c r="CN341" s="13"/>
      <c r="CO341" s="16"/>
      <c r="CP341" s="16"/>
      <c r="CQ341" s="16"/>
      <c r="CR341" s="16"/>
      <c r="CS341" s="16"/>
      <c r="CT341" s="16"/>
      <c r="CU341" s="16"/>
      <c r="CV341" s="16"/>
      <c r="CW341" s="16"/>
      <c r="CX341" s="16"/>
      <c r="CY341" s="104"/>
      <c r="CZ341" s="104"/>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3"/>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row>
    <row r="342" spans="1:167" x14ac:dyDescent="0.25">
      <c r="A342" s="35" t="s">
        <v>93</v>
      </c>
      <c r="B342" s="15">
        <v>1119</v>
      </c>
      <c r="C342" s="102" t="s">
        <v>101</v>
      </c>
      <c r="D342" s="102" t="s">
        <v>107</v>
      </c>
      <c r="E342" s="15">
        <v>277</v>
      </c>
      <c r="F342" s="16">
        <v>54.49</v>
      </c>
      <c r="G342" s="16">
        <v>3.7999999999999999E-2</v>
      </c>
      <c r="H342" s="16">
        <v>25.24</v>
      </c>
      <c r="I342" s="16">
        <v>0</v>
      </c>
      <c r="J342" s="16">
        <v>1.29</v>
      </c>
      <c r="K342" s="16">
        <v>3.9E-2</v>
      </c>
      <c r="L342" s="16">
        <v>0.16700000000000001</v>
      </c>
      <c r="M342" s="16">
        <v>10.029999999999999</v>
      </c>
      <c r="N342" s="16">
        <v>5.72</v>
      </c>
      <c r="O342" s="16">
        <v>0.3</v>
      </c>
      <c r="P342" s="16">
        <v>8.2000000000000003E-2</v>
      </c>
      <c r="Q342" s="16"/>
      <c r="R342" s="16"/>
      <c r="S342" s="16">
        <f t="shared" si="279"/>
        <v>97.396000000000001</v>
      </c>
      <c r="T342" s="16"/>
      <c r="U342" s="15"/>
      <c r="V342" s="15"/>
      <c r="W342" s="15"/>
      <c r="X342" s="15" t="s">
        <v>187</v>
      </c>
      <c r="Y342" s="15"/>
      <c r="Z342" s="37">
        <v>8</v>
      </c>
      <c r="AA342" s="37">
        <v>5</v>
      </c>
      <c r="AB342" s="15"/>
      <c r="AC342" s="38">
        <f t="shared" si="280"/>
        <v>2.5392780495390896</v>
      </c>
      <c r="AD342" s="38">
        <f t="shared" si="281"/>
        <v>1.3318917075879288E-3</v>
      </c>
      <c r="AE342" s="38">
        <f t="shared" si="282"/>
        <v>1.3861585050678302</v>
      </c>
      <c r="AF342" s="38">
        <f t="shared" si="283"/>
        <v>0</v>
      </c>
      <c r="AG342" s="38">
        <f t="shared" si="284"/>
        <v>5.0267387241965958E-2</v>
      </c>
      <c r="AH342" s="38">
        <f t="shared" si="285"/>
        <v>1.5392061766366042E-3</v>
      </c>
      <c r="AI342" s="38">
        <f t="shared" si="286"/>
        <v>1.16020517850037E-2</v>
      </c>
      <c r="AJ342" s="38">
        <f t="shared" si="287"/>
        <v>0.50074463234350419</v>
      </c>
      <c r="AK342" s="38">
        <f t="shared" si="288"/>
        <v>0.51677063477535012</v>
      </c>
      <c r="AL342" s="38">
        <f t="shared" si="289"/>
        <v>1.7832971773738476E-2</v>
      </c>
      <c r="AM342" s="38">
        <f t="shared" si="290"/>
        <v>3.234911633297297E-3</v>
      </c>
      <c r="AN342" s="38">
        <f t="shared" si="291"/>
        <v>0</v>
      </c>
      <c r="AO342" s="38">
        <f t="shared" si="292"/>
        <v>0</v>
      </c>
      <c r="AP342" s="38">
        <f t="shared" si="293"/>
        <v>5.0287602420440036</v>
      </c>
      <c r="AQ342" s="38">
        <f t="shared" si="294"/>
        <v>3.9254365546069199</v>
      </c>
      <c r="AR342" s="38">
        <f t="shared" si="295"/>
        <v>1.0353482388925928</v>
      </c>
      <c r="AS342" s="40"/>
      <c r="AT342" s="38">
        <f t="shared" si="296"/>
        <v>2.5247555334900667</v>
      </c>
      <c r="AU342" s="38">
        <f t="shared" si="297"/>
        <v>1.3242744170346087E-3</v>
      </c>
      <c r="AV342" s="38">
        <f t="shared" si="298"/>
        <v>1.3782308544743902</v>
      </c>
      <c r="AW342" s="38">
        <f t="shared" si="299"/>
        <v>0</v>
      </c>
      <c r="AX342" s="38">
        <f t="shared" si="300"/>
        <v>0</v>
      </c>
      <c r="AY342" s="38">
        <f t="shared" si="301"/>
        <v>4.9979900435195651E-2</v>
      </c>
      <c r="AZ342" s="38">
        <f t="shared" si="302"/>
        <v>1.530403223211705E-3</v>
      </c>
      <c r="BA342" s="38">
        <f t="shared" si="303"/>
        <v>1.1535697892297898E-2</v>
      </c>
      <c r="BB342" s="38">
        <f t="shared" si="304"/>
        <v>0.49788079789221562</v>
      </c>
      <c r="BC342" s="38">
        <f t="shared" si="305"/>
        <v>0.51381514518705895</v>
      </c>
      <c r="BD342" s="38">
        <f t="shared" si="306"/>
        <v>1.7730982305183461E-2</v>
      </c>
      <c r="BE342" s="38">
        <f t="shared" si="307"/>
        <v>3.2164106833441164E-3</v>
      </c>
      <c r="BF342" s="38">
        <f t="shared" si="308"/>
        <v>0</v>
      </c>
      <c r="BG342" s="38">
        <f t="shared" si="309"/>
        <v>0</v>
      </c>
      <c r="BH342" s="41">
        <f t="shared" si="310"/>
        <v>4.9999999999999991</v>
      </c>
      <c r="BI342" s="42">
        <f t="shared" si="311"/>
        <v>7.9792367376407896</v>
      </c>
      <c r="BJ342" s="38">
        <f t="shared" si="312"/>
        <v>3.9029863879644568</v>
      </c>
      <c r="BK342" s="38">
        <f t="shared" si="313"/>
        <v>1.0294269253844581</v>
      </c>
      <c r="BL342" s="16"/>
      <c r="BM342" s="16">
        <f t="shared" si="314"/>
        <v>0.48364850929683334</v>
      </c>
      <c r="BN342" s="16">
        <f t="shared" si="315"/>
        <v>0.49912736156106025</v>
      </c>
      <c r="BO342" s="16">
        <f t="shared" si="316"/>
        <v>1.7224129142106429E-2</v>
      </c>
      <c r="BP342" s="15"/>
      <c r="BQ342" s="38">
        <f t="shared" si="317"/>
        <v>0.90695739014647148</v>
      </c>
      <c r="BR342" s="38">
        <f t="shared" si="318"/>
        <v>4.7571357035553331E-4</v>
      </c>
      <c r="BS342" s="38">
        <f t="shared" si="319"/>
        <v>0.4950961161239702</v>
      </c>
      <c r="BT342" s="38">
        <f t="shared" si="320"/>
        <v>0</v>
      </c>
      <c r="BU342" s="38">
        <f t="shared" si="321"/>
        <v>1.7954070981210858E-2</v>
      </c>
      <c r="BV342" s="38">
        <f t="shared" si="322"/>
        <v>5.4976036086833949E-4</v>
      </c>
      <c r="BW342" s="38">
        <f t="shared" si="323"/>
        <v>4.143920595533499E-3</v>
      </c>
      <c r="BX342" s="38">
        <f t="shared" si="324"/>
        <v>0.17885164051355207</v>
      </c>
      <c r="BY342" s="38">
        <f t="shared" si="325"/>
        <v>0.1845756695708293</v>
      </c>
      <c r="BZ342" s="38">
        <f t="shared" si="326"/>
        <v>6.3694267515923561E-3</v>
      </c>
      <c r="CA342" s="38">
        <f t="shared" si="327"/>
        <v>1.1554177821614768E-3</v>
      </c>
      <c r="CB342" s="38">
        <f t="shared" si="328"/>
        <v>0</v>
      </c>
      <c r="CC342" s="38">
        <f t="shared" si="329"/>
        <v>0</v>
      </c>
      <c r="CD342" s="38">
        <f t="shared" si="330"/>
        <v>1.7961291263965455</v>
      </c>
      <c r="CE342" s="38">
        <f t="shared" si="331"/>
        <v>2.8573708666873889</v>
      </c>
      <c r="CF342" s="38">
        <f t="shared" si="332"/>
        <v>2.7837642219138039</v>
      </c>
      <c r="CG342" s="38">
        <f t="shared" si="333"/>
        <v>7.954246787423191</v>
      </c>
      <c r="CH342" s="15"/>
      <c r="CI342" s="16"/>
      <c r="CJ342" s="13"/>
      <c r="CK342" s="104"/>
      <c r="CL342" s="13"/>
      <c r="CM342" s="13"/>
      <c r="CN342" s="13"/>
      <c r="CO342" s="16"/>
      <c r="CP342" s="16"/>
      <c r="CQ342" s="16"/>
      <c r="CR342" s="16"/>
      <c r="CS342" s="16"/>
      <c r="CT342" s="16"/>
      <c r="CU342" s="16"/>
      <c r="CV342" s="16"/>
      <c r="CW342" s="16"/>
      <c r="CX342" s="16"/>
      <c r="CY342" s="104"/>
      <c r="CZ342" s="104"/>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3"/>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row>
    <row r="343" spans="1:167" x14ac:dyDescent="0.25">
      <c r="A343" s="35" t="s">
        <v>93</v>
      </c>
      <c r="B343" s="15">
        <v>1120</v>
      </c>
      <c r="C343" s="102" t="s">
        <v>101</v>
      </c>
      <c r="D343" s="102" t="s">
        <v>107</v>
      </c>
      <c r="E343" s="15">
        <v>278</v>
      </c>
      <c r="F343" s="16">
        <v>59.37</v>
      </c>
      <c r="G343" s="16">
        <v>0.23400000000000001</v>
      </c>
      <c r="H343" s="16">
        <v>24.97</v>
      </c>
      <c r="I343" s="16">
        <v>0</v>
      </c>
      <c r="J343" s="16">
        <v>0.73299999999999998</v>
      </c>
      <c r="K343" s="16">
        <v>7.0999999999999994E-2</v>
      </c>
      <c r="L343" s="16">
        <v>6.8000000000000005E-2</v>
      </c>
      <c r="M343" s="16">
        <v>7.67</v>
      </c>
      <c r="N343" s="16">
        <v>7.29</v>
      </c>
      <c r="O343" s="16">
        <v>0.38700000000000001</v>
      </c>
      <c r="P343" s="16">
        <v>7.8E-2</v>
      </c>
      <c r="Q343" s="16"/>
      <c r="R343" s="16"/>
      <c r="S343" s="16">
        <f t="shared" si="279"/>
        <v>100.87100000000001</v>
      </c>
      <c r="T343" s="16"/>
      <c r="U343" s="15"/>
      <c r="V343" s="15"/>
      <c r="W343" s="15"/>
      <c r="X343" s="15" t="s">
        <v>187</v>
      </c>
      <c r="Y343" s="15"/>
      <c r="Z343" s="37">
        <v>8</v>
      </c>
      <c r="AA343" s="37">
        <v>5</v>
      </c>
      <c r="AB343" s="15"/>
      <c r="AC343" s="38">
        <f t="shared" si="280"/>
        <v>2.6430320732341865</v>
      </c>
      <c r="AD343" s="38">
        <f t="shared" si="281"/>
        <v>7.8350741263948573E-3</v>
      </c>
      <c r="AE343" s="38">
        <f t="shared" si="282"/>
        <v>1.3100383809617009</v>
      </c>
      <c r="AF343" s="38">
        <f t="shared" si="283"/>
        <v>0</v>
      </c>
      <c r="AG343" s="38">
        <f t="shared" si="284"/>
        <v>2.7286165602105329E-2</v>
      </c>
      <c r="AH343" s="38">
        <f t="shared" si="285"/>
        <v>2.6769020049666322E-3</v>
      </c>
      <c r="AI343" s="38">
        <f t="shared" si="286"/>
        <v>4.5130399188476004E-3</v>
      </c>
      <c r="AJ343" s="38">
        <f t="shared" si="287"/>
        <v>0.36580755222468747</v>
      </c>
      <c r="AK343" s="38">
        <f t="shared" si="288"/>
        <v>0.62917471415754611</v>
      </c>
      <c r="AL343" s="38">
        <f t="shared" si="289"/>
        <v>2.197634003944644E-2</v>
      </c>
      <c r="AM343" s="38">
        <f t="shared" si="290"/>
        <v>2.9395787948730506E-3</v>
      </c>
      <c r="AN343" s="38">
        <f t="shared" si="291"/>
        <v>0</v>
      </c>
      <c r="AO343" s="38">
        <f t="shared" si="292"/>
        <v>0</v>
      </c>
      <c r="AP343" s="38">
        <f t="shared" si="293"/>
        <v>5.0152798210647553</v>
      </c>
      <c r="AQ343" s="38">
        <f t="shared" si="294"/>
        <v>3.9530704541958874</v>
      </c>
      <c r="AR343" s="38">
        <f t="shared" si="295"/>
        <v>1.01695860642168</v>
      </c>
      <c r="AS343" s="40"/>
      <c r="AT343" s="38">
        <f t="shared" si="296"/>
        <v>2.6349796696618473</v>
      </c>
      <c r="AU343" s="38">
        <f t="shared" si="297"/>
        <v>7.8112033684408222E-3</v>
      </c>
      <c r="AV343" s="38">
        <f t="shared" si="298"/>
        <v>1.3060471476181534</v>
      </c>
      <c r="AW343" s="38">
        <f t="shared" si="299"/>
        <v>0</v>
      </c>
      <c r="AX343" s="38">
        <f t="shared" si="300"/>
        <v>0</v>
      </c>
      <c r="AY343" s="38">
        <f t="shared" si="301"/>
        <v>2.7203034103401656E-2</v>
      </c>
      <c r="AZ343" s="38">
        <f t="shared" si="302"/>
        <v>2.6687464114398315E-3</v>
      </c>
      <c r="BA343" s="38">
        <f t="shared" si="303"/>
        <v>4.4992902488633956E-3</v>
      </c>
      <c r="BB343" s="38">
        <f t="shared" si="304"/>
        <v>0.36469306327460888</v>
      </c>
      <c r="BC343" s="38">
        <f t="shared" si="305"/>
        <v>0.62725783665643109</v>
      </c>
      <c r="BD343" s="38">
        <f t="shared" si="306"/>
        <v>2.1909385740695141E-2</v>
      </c>
      <c r="BE343" s="38">
        <f t="shared" si="307"/>
        <v>2.9306229161197351E-3</v>
      </c>
      <c r="BF343" s="38">
        <f t="shared" si="308"/>
        <v>0</v>
      </c>
      <c r="BG343" s="38">
        <f t="shared" si="309"/>
        <v>0</v>
      </c>
      <c r="BH343" s="41">
        <f t="shared" si="310"/>
        <v>5.0000000000000009</v>
      </c>
      <c r="BI343" s="42">
        <f t="shared" si="311"/>
        <v>7.989228287066684</v>
      </c>
      <c r="BJ343" s="38">
        <f t="shared" si="312"/>
        <v>3.9410268172800009</v>
      </c>
      <c r="BK343" s="38">
        <f t="shared" si="313"/>
        <v>1.0138602856717351</v>
      </c>
      <c r="BL343" s="16"/>
      <c r="BM343" s="16">
        <f t="shared" si="314"/>
        <v>0.35970741573428999</v>
      </c>
      <c r="BN343" s="16">
        <f t="shared" si="315"/>
        <v>0.6186827174523758</v>
      </c>
      <c r="BO343" s="16">
        <f t="shared" si="316"/>
        <v>2.160986681333418E-2</v>
      </c>
      <c r="BP343" s="15"/>
      <c r="BQ343" s="38">
        <f t="shared" si="317"/>
        <v>0.9881824234354194</v>
      </c>
      <c r="BR343" s="38">
        <f t="shared" si="318"/>
        <v>2.9293940911367055E-3</v>
      </c>
      <c r="BS343" s="38">
        <f t="shared" si="319"/>
        <v>0.48979992153785801</v>
      </c>
      <c r="BT343" s="38">
        <f t="shared" si="320"/>
        <v>0</v>
      </c>
      <c r="BU343" s="38">
        <f t="shared" si="321"/>
        <v>1.0201809324982603E-2</v>
      </c>
      <c r="BV343" s="38">
        <f t="shared" si="322"/>
        <v>1.0008457851705666E-3</v>
      </c>
      <c r="BW343" s="38">
        <f t="shared" si="323"/>
        <v>1.687344913151365E-3</v>
      </c>
      <c r="BX343" s="38">
        <f t="shared" si="324"/>
        <v>0.13676890156918689</v>
      </c>
      <c r="BY343" s="38">
        <f t="shared" si="325"/>
        <v>0.23523717328170379</v>
      </c>
      <c r="BZ343" s="38">
        <f t="shared" si="326"/>
        <v>8.2165605095541397E-3</v>
      </c>
      <c r="CA343" s="38">
        <f t="shared" si="327"/>
        <v>1.0990559391292096E-3</v>
      </c>
      <c r="CB343" s="38">
        <f t="shared" si="328"/>
        <v>0</v>
      </c>
      <c r="CC343" s="38">
        <f t="shared" si="329"/>
        <v>0</v>
      </c>
      <c r="CD343" s="38">
        <f t="shared" si="330"/>
        <v>1.8751234303872923</v>
      </c>
      <c r="CE343" s="38">
        <f t="shared" si="331"/>
        <v>2.9910569256958426</v>
      </c>
      <c r="CF343" s="38">
        <f t="shared" si="332"/>
        <v>2.6664911327822769</v>
      </c>
      <c r="CG343" s="38">
        <f t="shared" si="333"/>
        <v>7.9756267700149817</v>
      </c>
      <c r="CH343" s="15"/>
      <c r="CI343" s="16"/>
      <c r="CJ343" s="13"/>
      <c r="CK343" s="104"/>
      <c r="CL343" s="13"/>
      <c r="CM343" s="13"/>
      <c r="CN343" s="13"/>
      <c r="CO343" s="16"/>
      <c r="CP343" s="16"/>
      <c r="CQ343" s="16"/>
      <c r="CR343" s="16"/>
      <c r="CS343" s="16"/>
      <c r="CT343" s="16"/>
      <c r="CU343" s="16"/>
      <c r="CV343" s="16"/>
      <c r="CW343" s="16"/>
      <c r="CX343" s="16"/>
      <c r="CY343" s="104"/>
      <c r="CZ343" s="104"/>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3"/>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row>
    <row r="344" spans="1:167" x14ac:dyDescent="0.25">
      <c r="A344" s="35" t="s">
        <v>93</v>
      </c>
      <c r="B344" s="15">
        <v>1121</v>
      </c>
      <c r="C344" s="102" t="s">
        <v>101</v>
      </c>
      <c r="D344" s="102" t="s">
        <v>107</v>
      </c>
      <c r="E344" s="15">
        <v>279</v>
      </c>
      <c r="F344" s="16">
        <v>56.76</v>
      </c>
      <c r="G344" s="16">
        <v>5.6000000000000001E-2</v>
      </c>
      <c r="H344" s="16">
        <v>26</v>
      </c>
      <c r="I344" s="16">
        <v>0</v>
      </c>
      <c r="J344" s="16">
        <v>0.80500000000000005</v>
      </c>
      <c r="K344" s="16">
        <v>0</v>
      </c>
      <c r="L344" s="16">
        <v>0.115</v>
      </c>
      <c r="M344" s="16">
        <v>9.49</v>
      </c>
      <c r="N344" s="16">
        <v>6.49</v>
      </c>
      <c r="O344" s="16">
        <v>0.246</v>
      </c>
      <c r="P344" s="16">
        <v>8.4000000000000005E-2</v>
      </c>
      <c r="Q344" s="16"/>
      <c r="R344" s="16"/>
      <c r="S344" s="16">
        <f t="shared" si="279"/>
        <v>100.04599999999999</v>
      </c>
      <c r="T344" s="16"/>
      <c r="U344" s="15"/>
      <c r="V344" s="15"/>
      <c r="W344" s="15"/>
      <c r="X344" s="15" t="s">
        <v>187</v>
      </c>
      <c r="Y344" s="15"/>
      <c r="Z344" s="37">
        <v>8</v>
      </c>
      <c r="AA344" s="37">
        <v>5</v>
      </c>
      <c r="AB344" s="15"/>
      <c r="AC344" s="38">
        <f t="shared" si="280"/>
        <v>2.5624851456702396</v>
      </c>
      <c r="AD344" s="38">
        <f t="shared" si="281"/>
        <v>1.9015110983301522E-3</v>
      </c>
      <c r="AE344" s="38">
        <f t="shared" si="282"/>
        <v>1.3833192182858567</v>
      </c>
      <c r="AF344" s="38">
        <f t="shared" si="283"/>
        <v>0</v>
      </c>
      <c r="AG344" s="38">
        <f t="shared" si="284"/>
        <v>3.038911143263821E-2</v>
      </c>
      <c r="AH344" s="38">
        <f t="shared" si="285"/>
        <v>0</v>
      </c>
      <c r="AI344" s="38">
        <f t="shared" si="286"/>
        <v>7.7400129614854851E-3</v>
      </c>
      <c r="AJ344" s="38">
        <f t="shared" si="287"/>
        <v>0.45899409804025915</v>
      </c>
      <c r="AK344" s="38">
        <f t="shared" si="288"/>
        <v>0.56803096932745323</v>
      </c>
      <c r="AL344" s="38">
        <f t="shared" si="289"/>
        <v>1.4166517215466591E-2</v>
      </c>
      <c r="AM344" s="38">
        <f t="shared" si="290"/>
        <v>3.2103573312937698E-3</v>
      </c>
      <c r="AN344" s="38">
        <f t="shared" si="291"/>
        <v>0</v>
      </c>
      <c r="AO344" s="38">
        <f t="shared" si="292"/>
        <v>0</v>
      </c>
      <c r="AP344" s="38">
        <f t="shared" si="293"/>
        <v>5.0302369413630217</v>
      </c>
      <c r="AQ344" s="38">
        <f t="shared" si="294"/>
        <v>3.9458043639560962</v>
      </c>
      <c r="AR344" s="38">
        <f t="shared" si="295"/>
        <v>1.041191584583179</v>
      </c>
      <c r="AS344" s="40"/>
      <c r="AT344" s="38">
        <f t="shared" si="296"/>
        <v>2.5470819521434844</v>
      </c>
      <c r="AU344" s="38">
        <f t="shared" si="297"/>
        <v>1.8900810443880478E-3</v>
      </c>
      <c r="AV344" s="38">
        <f t="shared" si="298"/>
        <v>1.3750040350097548</v>
      </c>
      <c r="AW344" s="38">
        <f t="shared" si="299"/>
        <v>0</v>
      </c>
      <c r="AX344" s="38">
        <f t="shared" si="300"/>
        <v>0</v>
      </c>
      <c r="AY344" s="38">
        <f t="shared" si="301"/>
        <v>3.0206441353440298E-2</v>
      </c>
      <c r="AZ344" s="38">
        <f t="shared" si="302"/>
        <v>0</v>
      </c>
      <c r="BA344" s="38">
        <f t="shared" si="303"/>
        <v>7.6934874556706329E-3</v>
      </c>
      <c r="BB344" s="38">
        <f t="shared" si="304"/>
        <v>0.45623506744384829</v>
      </c>
      <c r="BC344" s="38">
        <f t="shared" si="305"/>
        <v>0.56461651404191726</v>
      </c>
      <c r="BD344" s="38">
        <f t="shared" si="306"/>
        <v>1.4081361753535956E-2</v>
      </c>
      <c r="BE344" s="38">
        <f t="shared" si="307"/>
        <v>3.1910597539604887E-3</v>
      </c>
      <c r="BF344" s="38">
        <f t="shared" si="308"/>
        <v>0</v>
      </c>
      <c r="BG344" s="38">
        <f t="shared" si="309"/>
        <v>0</v>
      </c>
      <c r="BH344" s="41">
        <f t="shared" si="310"/>
        <v>5</v>
      </c>
      <c r="BI344" s="42">
        <f t="shared" si="311"/>
        <v>7.9670149231026839</v>
      </c>
      <c r="BJ344" s="38">
        <f t="shared" si="312"/>
        <v>3.9220859871532392</v>
      </c>
      <c r="BK344" s="38">
        <f t="shared" si="313"/>
        <v>1.0349329432393015</v>
      </c>
      <c r="BL344" s="16"/>
      <c r="BM344" s="16">
        <f t="shared" si="314"/>
        <v>0.44083538979428905</v>
      </c>
      <c r="BN344" s="16">
        <f t="shared" si="315"/>
        <v>0.54555854824244809</v>
      </c>
      <c r="BO344" s="16">
        <f t="shared" si="316"/>
        <v>1.3606061963262875E-2</v>
      </c>
      <c r="BP344" s="15"/>
      <c r="BQ344" s="38">
        <f t="shared" si="317"/>
        <v>0.94474034620505987</v>
      </c>
      <c r="BR344" s="38">
        <f t="shared" si="318"/>
        <v>7.0105157736604913E-4</v>
      </c>
      <c r="BS344" s="38">
        <f t="shared" si="319"/>
        <v>0.51000392310710085</v>
      </c>
      <c r="BT344" s="38">
        <f t="shared" si="320"/>
        <v>0</v>
      </c>
      <c r="BU344" s="38">
        <f t="shared" si="321"/>
        <v>1.1203897007654838E-2</v>
      </c>
      <c r="BV344" s="38">
        <f t="shared" si="322"/>
        <v>0</v>
      </c>
      <c r="BW344" s="38">
        <f t="shared" si="323"/>
        <v>2.8535980148883377E-3</v>
      </c>
      <c r="BX344" s="38">
        <f t="shared" si="324"/>
        <v>0.1692225392296719</v>
      </c>
      <c r="BY344" s="38">
        <f t="shared" si="325"/>
        <v>0.20942239432074863</v>
      </c>
      <c r="BZ344" s="38">
        <f t="shared" si="326"/>
        <v>5.222929936305732E-3</v>
      </c>
      <c r="CA344" s="38">
        <f t="shared" si="327"/>
        <v>1.1835987036776104E-3</v>
      </c>
      <c r="CB344" s="38">
        <f t="shared" si="328"/>
        <v>0</v>
      </c>
      <c r="CC344" s="38">
        <f t="shared" si="329"/>
        <v>0</v>
      </c>
      <c r="CD344" s="38">
        <f t="shared" si="330"/>
        <v>1.854554278102474</v>
      </c>
      <c r="CE344" s="38">
        <f t="shared" si="331"/>
        <v>2.9494503733654391</v>
      </c>
      <c r="CF344" s="38">
        <f t="shared" si="332"/>
        <v>2.696065604030665</v>
      </c>
      <c r="CG344" s="38">
        <f t="shared" si="333"/>
        <v>7.9519117024259627</v>
      </c>
      <c r="CH344" s="15"/>
      <c r="CI344" s="16"/>
      <c r="CJ344" s="13"/>
      <c r="CK344" s="104"/>
      <c r="CL344" s="13"/>
      <c r="CM344" s="13"/>
      <c r="CN344" s="13"/>
      <c r="CO344" s="16"/>
      <c r="CP344" s="16"/>
      <c r="CQ344" s="16"/>
      <c r="CR344" s="16"/>
      <c r="CS344" s="16"/>
      <c r="CT344" s="16"/>
      <c r="CU344" s="16"/>
      <c r="CV344" s="16"/>
      <c r="CW344" s="16"/>
      <c r="CX344" s="16"/>
      <c r="CY344" s="104"/>
      <c r="CZ344" s="104"/>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3"/>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row>
    <row r="345" spans="1:167" x14ac:dyDescent="0.25">
      <c r="A345" s="35" t="s">
        <v>93</v>
      </c>
      <c r="B345" s="15">
        <v>1122</v>
      </c>
      <c r="C345" s="102" t="s">
        <v>101</v>
      </c>
      <c r="D345" s="102" t="s">
        <v>107</v>
      </c>
      <c r="E345" s="15">
        <v>280</v>
      </c>
      <c r="F345" s="16">
        <v>52.26</v>
      </c>
      <c r="G345" s="16">
        <v>2.5000000000000001E-2</v>
      </c>
      <c r="H345" s="16">
        <v>30.05</v>
      </c>
      <c r="I345" s="16">
        <v>0</v>
      </c>
      <c r="J345" s="16">
        <v>0.91</v>
      </c>
      <c r="K345" s="16">
        <v>7.1999999999999995E-2</v>
      </c>
      <c r="L345" s="16">
        <v>0.14699999999999999</v>
      </c>
      <c r="M345" s="16">
        <v>13.71</v>
      </c>
      <c r="N345" s="16">
        <v>4.0199999999999996</v>
      </c>
      <c r="O345" s="16">
        <v>0.13300000000000001</v>
      </c>
      <c r="P345" s="16">
        <v>0.10100000000000001</v>
      </c>
      <c r="Q345" s="16"/>
      <c r="R345" s="16"/>
      <c r="S345" s="16">
        <f t="shared" si="279"/>
        <v>101.428</v>
      </c>
      <c r="T345" s="16"/>
      <c r="U345" s="15"/>
      <c r="V345" s="15"/>
      <c r="W345" s="15"/>
      <c r="X345" s="15" t="s">
        <v>187</v>
      </c>
      <c r="Y345" s="15"/>
      <c r="Z345" s="37">
        <v>8</v>
      </c>
      <c r="AA345" s="37">
        <v>5</v>
      </c>
      <c r="AB345" s="15"/>
      <c r="AC345" s="38">
        <f t="shared" si="280"/>
        <v>2.3540162720907918</v>
      </c>
      <c r="AD345" s="38">
        <f t="shared" si="281"/>
        <v>8.4697761354056769E-4</v>
      </c>
      <c r="AE345" s="38">
        <f t="shared" si="282"/>
        <v>1.5951981025320499</v>
      </c>
      <c r="AF345" s="38">
        <f t="shared" si="283"/>
        <v>0</v>
      </c>
      <c r="AG345" s="38">
        <f t="shared" si="284"/>
        <v>3.4275563151206515E-2</v>
      </c>
      <c r="AH345" s="38">
        <f t="shared" si="285"/>
        <v>2.7467004045180032E-3</v>
      </c>
      <c r="AI345" s="38">
        <f t="shared" si="286"/>
        <v>9.8714799505054303E-3</v>
      </c>
      <c r="AJ345" s="38">
        <f t="shared" si="287"/>
        <v>0.66160599070006965</v>
      </c>
      <c r="AK345" s="38">
        <f t="shared" si="288"/>
        <v>0.35105442854323915</v>
      </c>
      <c r="AL345" s="38">
        <f t="shared" si="289"/>
        <v>7.6418887858679682E-3</v>
      </c>
      <c r="AM345" s="38">
        <f t="shared" si="290"/>
        <v>3.851381568962477E-3</v>
      </c>
      <c r="AN345" s="38">
        <f t="shared" si="291"/>
        <v>0</v>
      </c>
      <c r="AO345" s="38">
        <f t="shared" si="292"/>
        <v>0</v>
      </c>
      <c r="AP345" s="38">
        <f t="shared" si="293"/>
        <v>5.0211087853407514</v>
      </c>
      <c r="AQ345" s="38">
        <f t="shared" si="294"/>
        <v>3.9492143746228416</v>
      </c>
      <c r="AR345" s="38">
        <f t="shared" si="295"/>
        <v>1.0203023080291769</v>
      </c>
      <c r="AS345" s="40"/>
      <c r="AT345" s="38">
        <f t="shared" si="296"/>
        <v>2.3441199670513009</v>
      </c>
      <c r="AU345" s="38">
        <f t="shared" si="297"/>
        <v>8.4341691222996338E-4</v>
      </c>
      <c r="AV345" s="38">
        <f t="shared" si="298"/>
        <v>1.588491875727996</v>
      </c>
      <c r="AW345" s="38">
        <f t="shared" si="299"/>
        <v>0</v>
      </c>
      <c r="AX345" s="38">
        <f t="shared" si="300"/>
        <v>0</v>
      </c>
      <c r="AY345" s="38">
        <f t="shared" si="301"/>
        <v>3.4131468383312914E-2</v>
      </c>
      <c r="AZ345" s="38">
        <f t="shared" si="302"/>
        <v>2.7351532519441341E-3</v>
      </c>
      <c r="BA345" s="38">
        <f t="shared" si="303"/>
        <v>9.8299801622755666E-3</v>
      </c>
      <c r="BB345" s="38">
        <f t="shared" si="304"/>
        <v>0.65882459331656429</v>
      </c>
      <c r="BC345" s="38">
        <f t="shared" si="305"/>
        <v>0.34957859264884988</v>
      </c>
      <c r="BD345" s="38">
        <f t="shared" si="306"/>
        <v>7.6097622184353461E-3</v>
      </c>
      <c r="BE345" s="38">
        <f t="shared" si="307"/>
        <v>3.8351903270913775E-3</v>
      </c>
      <c r="BF345" s="38">
        <f t="shared" si="308"/>
        <v>0</v>
      </c>
      <c r="BG345" s="38">
        <f t="shared" si="309"/>
        <v>0</v>
      </c>
      <c r="BH345" s="41">
        <f t="shared" si="310"/>
        <v>5</v>
      </c>
      <c r="BI345" s="42">
        <f t="shared" si="311"/>
        <v>7.9834336640761796</v>
      </c>
      <c r="BJ345" s="38">
        <f t="shared" si="312"/>
        <v>3.9326118427792967</v>
      </c>
      <c r="BK345" s="38">
        <f t="shared" si="313"/>
        <v>1.0160129481838496</v>
      </c>
      <c r="BL345" s="16"/>
      <c r="BM345" s="16">
        <f t="shared" si="314"/>
        <v>0.64844113895815103</v>
      </c>
      <c r="BN345" s="16">
        <f t="shared" si="315"/>
        <v>0.34406903305093794</v>
      </c>
      <c r="BO345" s="16">
        <f t="shared" si="316"/>
        <v>7.4898279909109437E-3</v>
      </c>
      <c r="BP345" s="15"/>
      <c r="BQ345" s="38">
        <f t="shared" si="317"/>
        <v>0.86984021304926762</v>
      </c>
      <c r="BR345" s="38">
        <f t="shared" si="318"/>
        <v>3.1296945418127193E-4</v>
      </c>
      <c r="BS345" s="38">
        <f t="shared" si="319"/>
        <v>0.58944684189878394</v>
      </c>
      <c r="BT345" s="38">
        <f t="shared" si="320"/>
        <v>0</v>
      </c>
      <c r="BU345" s="38">
        <f t="shared" si="321"/>
        <v>1.2665274878218512E-2</v>
      </c>
      <c r="BV345" s="38">
        <f t="shared" si="322"/>
        <v>1.0149422046800112E-3</v>
      </c>
      <c r="BW345" s="38">
        <f t="shared" si="323"/>
        <v>3.6476426799007446E-3</v>
      </c>
      <c r="BX345" s="38">
        <f t="shared" si="324"/>
        <v>0.24447218259629103</v>
      </c>
      <c r="BY345" s="38">
        <f t="shared" si="325"/>
        <v>0.1297192642787996</v>
      </c>
      <c r="BZ345" s="38">
        <f t="shared" si="326"/>
        <v>2.823779193205945E-3</v>
      </c>
      <c r="CA345" s="38">
        <f t="shared" si="327"/>
        <v>1.4231365365647457E-3</v>
      </c>
      <c r="CB345" s="38">
        <f t="shared" si="328"/>
        <v>0</v>
      </c>
      <c r="CC345" s="38">
        <f t="shared" si="329"/>
        <v>0</v>
      </c>
      <c r="CD345" s="38">
        <f t="shared" si="330"/>
        <v>1.8553662467698933</v>
      </c>
      <c r="CE345" s="38">
        <f t="shared" si="331"/>
        <v>2.9561060332915789</v>
      </c>
      <c r="CF345" s="38">
        <f t="shared" si="332"/>
        <v>2.6948857179571788</v>
      </c>
      <c r="CG345" s="38">
        <f t="shared" si="333"/>
        <v>7.9663679298845249</v>
      </c>
      <c r="CH345" s="15"/>
      <c r="CI345" s="16"/>
      <c r="CJ345" s="13"/>
      <c r="CK345" s="104"/>
      <c r="CL345" s="13"/>
      <c r="CM345" s="13"/>
      <c r="CN345" s="13"/>
      <c r="CO345" s="16"/>
      <c r="CP345" s="16"/>
      <c r="CQ345" s="16"/>
      <c r="CR345" s="16"/>
      <c r="CS345" s="16"/>
      <c r="CT345" s="16"/>
      <c r="CU345" s="16"/>
      <c r="CV345" s="16"/>
      <c r="CW345" s="16"/>
      <c r="CX345" s="16"/>
      <c r="CY345" s="104"/>
      <c r="CZ345" s="104"/>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3"/>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row>
    <row r="346" spans="1:167" x14ac:dyDescent="0.25">
      <c r="A346" s="35" t="s">
        <v>93</v>
      </c>
      <c r="B346" s="15">
        <v>1137</v>
      </c>
      <c r="C346" s="102" t="s">
        <v>101</v>
      </c>
      <c r="D346" s="102" t="s">
        <v>107</v>
      </c>
      <c r="E346" s="15">
        <v>295</v>
      </c>
      <c r="F346" s="16">
        <v>46.23</v>
      </c>
      <c r="G346" s="16">
        <v>0</v>
      </c>
      <c r="H346" s="16">
        <v>33.299999999999997</v>
      </c>
      <c r="I346" s="16">
        <v>0</v>
      </c>
      <c r="J346" s="16">
        <v>0.63500000000000001</v>
      </c>
      <c r="K346" s="16">
        <v>0</v>
      </c>
      <c r="L346" s="16">
        <v>0</v>
      </c>
      <c r="M346" s="16">
        <v>17.88</v>
      </c>
      <c r="N346" s="16">
        <v>1.48</v>
      </c>
      <c r="O346" s="16">
        <v>1.6E-2</v>
      </c>
      <c r="P346" s="16">
        <v>0</v>
      </c>
      <c r="Q346" s="16"/>
      <c r="R346" s="16"/>
      <c r="S346" s="16">
        <f t="shared" si="279"/>
        <v>99.541000000000011</v>
      </c>
      <c r="T346" s="16"/>
      <c r="U346" s="15"/>
      <c r="V346" s="15"/>
      <c r="W346" s="15"/>
      <c r="X346" s="15" t="s">
        <v>185</v>
      </c>
      <c r="Y346" s="15"/>
      <c r="Z346" s="37">
        <v>8</v>
      </c>
      <c r="AA346" s="37">
        <v>5</v>
      </c>
      <c r="AB346" s="15"/>
      <c r="AC346" s="38">
        <f t="shared" si="280"/>
        <v>2.1445311204212141</v>
      </c>
      <c r="AD346" s="38">
        <f t="shared" si="281"/>
        <v>0</v>
      </c>
      <c r="AE346" s="38">
        <f t="shared" si="282"/>
        <v>1.8204668953602994</v>
      </c>
      <c r="AF346" s="38">
        <f t="shared" si="283"/>
        <v>0</v>
      </c>
      <c r="AG346" s="38">
        <f t="shared" si="284"/>
        <v>2.463118670932821E-2</v>
      </c>
      <c r="AH346" s="38">
        <f t="shared" si="285"/>
        <v>0</v>
      </c>
      <c r="AI346" s="38">
        <f t="shared" si="286"/>
        <v>0</v>
      </c>
      <c r="AJ346" s="38">
        <f t="shared" si="287"/>
        <v>0.88858278048699657</v>
      </c>
      <c r="AK346" s="38">
        <f t="shared" si="288"/>
        <v>0.13310014316513291</v>
      </c>
      <c r="AL346" s="38">
        <f t="shared" si="289"/>
        <v>9.4675467646467416E-4</v>
      </c>
      <c r="AM346" s="38">
        <f t="shared" si="290"/>
        <v>0</v>
      </c>
      <c r="AN346" s="38">
        <f t="shared" si="291"/>
        <v>0</v>
      </c>
      <c r="AO346" s="38">
        <f t="shared" si="292"/>
        <v>0</v>
      </c>
      <c r="AP346" s="38">
        <f t="shared" si="293"/>
        <v>5.0122588808194353</v>
      </c>
      <c r="AQ346" s="38">
        <f t="shared" si="294"/>
        <v>3.9649980157815135</v>
      </c>
      <c r="AR346" s="38">
        <f t="shared" si="295"/>
        <v>1.0226296783285942</v>
      </c>
      <c r="AS346" s="40"/>
      <c r="AT346" s="38">
        <f t="shared" si="296"/>
        <v>2.1392860698274756</v>
      </c>
      <c r="AU346" s="38">
        <f t="shared" si="297"/>
        <v>0</v>
      </c>
      <c r="AV346" s="38">
        <f t="shared" si="298"/>
        <v>1.8160144344566238</v>
      </c>
      <c r="AW346" s="38">
        <f t="shared" si="299"/>
        <v>0</v>
      </c>
      <c r="AX346" s="38">
        <f t="shared" si="300"/>
        <v>0</v>
      </c>
      <c r="AY346" s="38">
        <f t="shared" si="301"/>
        <v>2.4570944253882347E-2</v>
      </c>
      <c r="AZ346" s="38">
        <f t="shared" si="302"/>
        <v>0</v>
      </c>
      <c r="BA346" s="38">
        <f t="shared" si="303"/>
        <v>0</v>
      </c>
      <c r="BB346" s="38">
        <f t="shared" si="304"/>
        <v>0.88640950279659692</v>
      </c>
      <c r="BC346" s="38">
        <f t="shared" si="305"/>
        <v>0.13277460954228773</v>
      </c>
      <c r="BD346" s="38">
        <f t="shared" si="306"/>
        <v>9.4443912313433112E-4</v>
      </c>
      <c r="BE346" s="38">
        <f t="shared" si="307"/>
        <v>0</v>
      </c>
      <c r="BF346" s="38">
        <f t="shared" si="308"/>
        <v>0</v>
      </c>
      <c r="BG346" s="38">
        <f t="shared" si="309"/>
        <v>0</v>
      </c>
      <c r="BH346" s="41">
        <f t="shared" si="310"/>
        <v>5.0000000000000009</v>
      </c>
      <c r="BI346" s="42">
        <f t="shared" si="311"/>
        <v>7.9927192348500178</v>
      </c>
      <c r="BJ346" s="38">
        <f t="shared" si="312"/>
        <v>3.9553005042840992</v>
      </c>
      <c r="BK346" s="38">
        <f t="shared" si="313"/>
        <v>1.0201285514620191</v>
      </c>
      <c r="BL346" s="16"/>
      <c r="BM346" s="16">
        <f t="shared" si="314"/>
        <v>0.86891941366234693</v>
      </c>
      <c r="BN346" s="16">
        <f t="shared" si="315"/>
        <v>0.13015478230856195</v>
      </c>
      <c r="BO346" s="16">
        <f t="shared" si="316"/>
        <v>9.2580402909102778E-4</v>
      </c>
      <c r="BP346" s="15"/>
      <c r="BQ346" s="38">
        <f t="shared" si="317"/>
        <v>0.76947403462050601</v>
      </c>
      <c r="BR346" s="38">
        <f t="shared" si="318"/>
        <v>0</v>
      </c>
      <c r="BS346" s="38">
        <f t="shared" si="319"/>
        <v>0.65319733228717147</v>
      </c>
      <c r="BT346" s="38">
        <f t="shared" si="320"/>
        <v>0</v>
      </c>
      <c r="BU346" s="38">
        <f t="shared" si="321"/>
        <v>8.8378566457898416E-3</v>
      </c>
      <c r="BV346" s="38">
        <f t="shared" si="322"/>
        <v>0</v>
      </c>
      <c r="BW346" s="38">
        <f t="shared" si="323"/>
        <v>0</v>
      </c>
      <c r="BX346" s="38">
        <f t="shared" si="324"/>
        <v>0.31883024251069897</v>
      </c>
      <c r="BY346" s="38">
        <f t="shared" si="325"/>
        <v>4.7757341077767024E-2</v>
      </c>
      <c r="BZ346" s="38">
        <f t="shared" si="326"/>
        <v>3.3970276008492571E-4</v>
      </c>
      <c r="CA346" s="38">
        <f t="shared" si="327"/>
        <v>0</v>
      </c>
      <c r="CB346" s="38">
        <f t="shared" si="328"/>
        <v>0</v>
      </c>
      <c r="CC346" s="38">
        <f t="shared" si="329"/>
        <v>0</v>
      </c>
      <c r="CD346" s="38">
        <f t="shared" si="330"/>
        <v>1.7984365099020181</v>
      </c>
      <c r="CE346" s="38">
        <f t="shared" si="331"/>
        <v>2.8704606887471837</v>
      </c>
      <c r="CF346" s="38">
        <f t="shared" si="332"/>
        <v>2.7801926687266869</v>
      </c>
      <c r="CG346" s="38">
        <f t="shared" si="333"/>
        <v>7.9804337627230764</v>
      </c>
      <c r="CH346" s="15"/>
      <c r="CI346" s="16"/>
      <c r="CJ346" s="13"/>
      <c r="CK346" s="104"/>
      <c r="CL346" s="13"/>
      <c r="CM346" s="13"/>
      <c r="CN346" s="13"/>
      <c r="CO346" s="16"/>
      <c r="CP346" s="16"/>
      <c r="CQ346" s="16"/>
      <c r="CR346" s="16"/>
      <c r="CS346" s="16"/>
      <c r="CT346" s="16"/>
      <c r="CU346" s="16"/>
      <c r="CV346" s="16"/>
      <c r="CW346" s="16"/>
      <c r="CX346" s="16"/>
      <c r="CY346" s="104"/>
      <c r="CZ346" s="104"/>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3"/>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row>
    <row r="347" spans="1:167" x14ac:dyDescent="0.25">
      <c r="A347" s="35" t="s">
        <v>93</v>
      </c>
      <c r="B347" s="15">
        <v>1138</v>
      </c>
      <c r="C347" s="102" t="s">
        <v>101</v>
      </c>
      <c r="D347" s="102" t="s">
        <v>107</v>
      </c>
      <c r="E347" s="15">
        <v>296</v>
      </c>
      <c r="F347" s="16">
        <v>45.38</v>
      </c>
      <c r="G347" s="16">
        <v>0</v>
      </c>
      <c r="H347" s="16">
        <v>34.76</v>
      </c>
      <c r="I347" s="16">
        <v>0</v>
      </c>
      <c r="J347" s="16">
        <v>0.5</v>
      </c>
      <c r="K347" s="16">
        <v>0</v>
      </c>
      <c r="L347" s="16">
        <v>0</v>
      </c>
      <c r="M347" s="16">
        <v>18.78</v>
      </c>
      <c r="N347" s="16">
        <v>0.96099999999999997</v>
      </c>
      <c r="O347" s="16">
        <v>0</v>
      </c>
      <c r="P347" s="16">
        <v>0</v>
      </c>
      <c r="Q347" s="16"/>
      <c r="R347" s="16"/>
      <c r="S347" s="16">
        <f t="shared" si="279"/>
        <v>100.381</v>
      </c>
      <c r="T347" s="16"/>
      <c r="U347" s="15"/>
      <c r="V347" s="15"/>
      <c r="W347" s="15"/>
      <c r="X347" s="15" t="s">
        <v>185</v>
      </c>
      <c r="Y347" s="15"/>
      <c r="Z347" s="37">
        <v>8</v>
      </c>
      <c r="AA347" s="37">
        <v>5</v>
      </c>
      <c r="AB347" s="15"/>
      <c r="AC347" s="38">
        <f t="shared" si="280"/>
        <v>2.0903265872451686</v>
      </c>
      <c r="AD347" s="38">
        <f t="shared" si="281"/>
        <v>0</v>
      </c>
      <c r="AE347" s="38">
        <f t="shared" si="282"/>
        <v>1.8869461812176083</v>
      </c>
      <c r="AF347" s="38">
        <f t="shared" si="283"/>
        <v>0</v>
      </c>
      <c r="AG347" s="38">
        <f t="shared" si="284"/>
        <v>1.9258515558816209E-2</v>
      </c>
      <c r="AH347" s="38">
        <f t="shared" si="285"/>
        <v>0</v>
      </c>
      <c r="AI347" s="38">
        <f t="shared" si="286"/>
        <v>0</v>
      </c>
      <c r="AJ347" s="38">
        <f t="shared" si="287"/>
        <v>0.92675974178601073</v>
      </c>
      <c r="AK347" s="38">
        <f t="shared" si="288"/>
        <v>8.5818592676851102E-2</v>
      </c>
      <c r="AL347" s="38">
        <f t="shared" si="289"/>
        <v>0</v>
      </c>
      <c r="AM347" s="38">
        <f t="shared" si="290"/>
        <v>0</v>
      </c>
      <c r="AN347" s="38">
        <f t="shared" si="291"/>
        <v>0</v>
      </c>
      <c r="AO347" s="38">
        <f t="shared" si="292"/>
        <v>0</v>
      </c>
      <c r="AP347" s="38">
        <f t="shared" si="293"/>
        <v>5.0091096184844552</v>
      </c>
      <c r="AQ347" s="38">
        <f t="shared" si="294"/>
        <v>3.9772727684627771</v>
      </c>
      <c r="AR347" s="38">
        <f t="shared" si="295"/>
        <v>1.0125783344628618</v>
      </c>
      <c r="AS347" s="40"/>
      <c r="AT347" s="38">
        <f t="shared" si="296"/>
        <v>2.0865250977254646</v>
      </c>
      <c r="AU347" s="38">
        <f t="shared" si="297"/>
        <v>0</v>
      </c>
      <c r="AV347" s="38">
        <f t="shared" si="298"/>
        <v>1.8835145614047457</v>
      </c>
      <c r="AW347" s="38">
        <f t="shared" si="299"/>
        <v>0</v>
      </c>
      <c r="AX347" s="38">
        <f t="shared" si="300"/>
        <v>0</v>
      </c>
      <c r="AY347" s="38">
        <f t="shared" si="301"/>
        <v>1.9223491823525934E-2</v>
      </c>
      <c r="AZ347" s="38">
        <f t="shared" si="302"/>
        <v>0</v>
      </c>
      <c r="BA347" s="38">
        <f t="shared" si="303"/>
        <v>0</v>
      </c>
      <c r="BB347" s="38">
        <f t="shared" si="304"/>
        <v>0.92507432694835801</v>
      </c>
      <c r="BC347" s="38">
        <f t="shared" si="305"/>
        <v>8.5662522097905466E-2</v>
      </c>
      <c r="BD347" s="38">
        <f t="shared" si="306"/>
        <v>0</v>
      </c>
      <c r="BE347" s="38">
        <f t="shared" si="307"/>
        <v>0</v>
      </c>
      <c r="BF347" s="38">
        <f t="shared" si="308"/>
        <v>0</v>
      </c>
      <c r="BG347" s="38">
        <f t="shared" si="309"/>
        <v>0</v>
      </c>
      <c r="BH347" s="41">
        <f t="shared" si="310"/>
        <v>5</v>
      </c>
      <c r="BI347" s="42">
        <f t="shared" si="311"/>
        <v>7.9950628632906469</v>
      </c>
      <c r="BJ347" s="38">
        <f t="shared" si="312"/>
        <v>3.9700396591302103</v>
      </c>
      <c r="BK347" s="38">
        <f t="shared" si="313"/>
        <v>1.0107368490462634</v>
      </c>
      <c r="BL347" s="16"/>
      <c r="BM347" s="16">
        <f t="shared" si="314"/>
        <v>0.91524745320333667</v>
      </c>
      <c r="BN347" s="16">
        <f t="shared" si="315"/>
        <v>8.4752546796663317E-2</v>
      </c>
      <c r="BO347" s="16">
        <f t="shared" si="316"/>
        <v>0</v>
      </c>
      <c r="BP347" s="15"/>
      <c r="BQ347" s="38">
        <f t="shared" si="317"/>
        <v>0.7553262316910786</v>
      </c>
      <c r="BR347" s="38">
        <f t="shared" si="318"/>
        <v>0</v>
      </c>
      <c r="BS347" s="38">
        <f t="shared" si="319"/>
        <v>0.68183601412318562</v>
      </c>
      <c r="BT347" s="38">
        <f t="shared" si="320"/>
        <v>0</v>
      </c>
      <c r="BU347" s="38">
        <f t="shared" si="321"/>
        <v>6.9589422407794017E-3</v>
      </c>
      <c r="BV347" s="38">
        <f t="shared" si="322"/>
        <v>0</v>
      </c>
      <c r="BW347" s="38">
        <f t="shared" si="323"/>
        <v>0</v>
      </c>
      <c r="BX347" s="38">
        <f t="shared" si="324"/>
        <v>0.33487874465049933</v>
      </c>
      <c r="BY347" s="38">
        <f t="shared" si="325"/>
        <v>3.1010003226847372E-2</v>
      </c>
      <c r="BZ347" s="38">
        <f t="shared" si="326"/>
        <v>0</v>
      </c>
      <c r="CA347" s="38">
        <f t="shared" si="327"/>
        <v>0</v>
      </c>
      <c r="CB347" s="38">
        <f t="shared" si="328"/>
        <v>0</v>
      </c>
      <c r="CC347" s="38">
        <f t="shared" si="329"/>
        <v>0</v>
      </c>
      <c r="CD347" s="38">
        <f t="shared" si="330"/>
        <v>1.8100099359323905</v>
      </c>
      <c r="CE347" s="38">
        <f t="shared" si="331"/>
        <v>2.8907491730716375</v>
      </c>
      <c r="CF347" s="38">
        <f t="shared" si="332"/>
        <v>2.7624157750406768</v>
      </c>
      <c r="CG347" s="38">
        <f t="shared" si="333"/>
        <v>7.9854511173788829</v>
      </c>
      <c r="CH347" s="15"/>
      <c r="CI347" s="16"/>
      <c r="CJ347" s="13"/>
      <c r="CK347" s="104"/>
      <c r="CL347" s="13"/>
      <c r="CM347" s="13"/>
      <c r="CN347" s="13"/>
      <c r="CO347" s="16"/>
      <c r="CP347" s="16"/>
      <c r="CQ347" s="16"/>
      <c r="CR347" s="16"/>
      <c r="CS347" s="16"/>
      <c r="CT347" s="16"/>
      <c r="CU347" s="16"/>
      <c r="CV347" s="16"/>
      <c r="CW347" s="16"/>
      <c r="CX347" s="16"/>
      <c r="CY347" s="104"/>
      <c r="CZ347" s="104"/>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3"/>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row>
    <row r="348" spans="1:167" x14ac:dyDescent="0.25">
      <c r="A348" s="35" t="s">
        <v>93</v>
      </c>
      <c r="B348" s="15">
        <v>1139</v>
      </c>
      <c r="C348" s="102" t="s">
        <v>101</v>
      </c>
      <c r="D348" s="102" t="s">
        <v>107</v>
      </c>
      <c r="E348" s="15">
        <v>297</v>
      </c>
      <c r="F348" s="16">
        <v>45.35</v>
      </c>
      <c r="G348" s="16">
        <v>0</v>
      </c>
      <c r="H348" s="16">
        <v>32.82</v>
      </c>
      <c r="I348" s="16">
        <v>0</v>
      </c>
      <c r="J348" s="16">
        <v>0.63500000000000001</v>
      </c>
      <c r="K348" s="16">
        <v>0</v>
      </c>
      <c r="L348" s="16">
        <v>0</v>
      </c>
      <c r="M348" s="16">
        <v>18.29</v>
      </c>
      <c r="N348" s="16">
        <v>1.242</v>
      </c>
      <c r="O348" s="16">
        <v>8.9999999999999993E-3</v>
      </c>
      <c r="P348" s="16">
        <v>0</v>
      </c>
      <c r="Q348" s="16"/>
      <c r="R348" s="16"/>
      <c r="S348" s="16">
        <f t="shared" si="279"/>
        <v>98.346000000000004</v>
      </c>
      <c r="T348" s="16"/>
      <c r="U348" s="15"/>
      <c r="V348" s="15"/>
      <c r="W348" s="15"/>
      <c r="X348" s="15" t="s">
        <v>185</v>
      </c>
      <c r="Y348" s="15"/>
      <c r="Z348" s="37">
        <v>8</v>
      </c>
      <c r="AA348" s="37">
        <v>5</v>
      </c>
      <c r="AB348" s="15"/>
      <c r="AC348" s="38">
        <f t="shared" si="280"/>
        <v>2.1334546134531811</v>
      </c>
      <c r="AD348" s="38">
        <f t="shared" si="281"/>
        <v>0</v>
      </c>
      <c r="AE348" s="38">
        <f t="shared" si="282"/>
        <v>1.8195952163375513</v>
      </c>
      <c r="AF348" s="38">
        <f t="shared" si="283"/>
        <v>0</v>
      </c>
      <c r="AG348" s="38">
        <f t="shared" si="284"/>
        <v>2.4979457008216351E-2</v>
      </c>
      <c r="AH348" s="38">
        <f t="shared" si="285"/>
        <v>0</v>
      </c>
      <c r="AI348" s="38">
        <f t="shared" si="286"/>
        <v>0</v>
      </c>
      <c r="AJ348" s="38">
        <f t="shared" si="287"/>
        <v>0.92181069239325997</v>
      </c>
      <c r="AK348" s="38">
        <f t="shared" si="288"/>
        <v>0.11327551893357055</v>
      </c>
      <c r="AL348" s="38">
        <f t="shared" si="289"/>
        <v>5.4007943809830314E-4</v>
      </c>
      <c r="AM348" s="38">
        <f t="shared" si="290"/>
        <v>0</v>
      </c>
      <c r="AN348" s="38">
        <f t="shared" si="291"/>
        <v>0</v>
      </c>
      <c r="AO348" s="38">
        <f t="shared" si="292"/>
        <v>0</v>
      </c>
      <c r="AP348" s="38">
        <f t="shared" si="293"/>
        <v>5.0136555775638767</v>
      </c>
      <c r="AQ348" s="38">
        <f t="shared" si="294"/>
        <v>3.9530498297907322</v>
      </c>
      <c r="AR348" s="38">
        <f t="shared" si="295"/>
        <v>1.0356262907649287</v>
      </c>
      <c r="AS348" s="40"/>
      <c r="AT348" s="38">
        <f t="shared" si="296"/>
        <v>2.1276437725403361</v>
      </c>
      <c r="AU348" s="38">
        <f t="shared" si="297"/>
        <v>0</v>
      </c>
      <c r="AV348" s="38">
        <f t="shared" si="298"/>
        <v>1.8146392269946154</v>
      </c>
      <c r="AW348" s="38">
        <f t="shared" si="299"/>
        <v>0</v>
      </c>
      <c r="AX348" s="38">
        <f t="shared" si="300"/>
        <v>0</v>
      </c>
      <c r="AY348" s="38">
        <f t="shared" si="301"/>
        <v>2.4911421039769358E-2</v>
      </c>
      <c r="AZ348" s="38">
        <f t="shared" si="302"/>
        <v>0</v>
      </c>
      <c r="BA348" s="38">
        <f t="shared" si="303"/>
        <v>0</v>
      </c>
      <c r="BB348" s="38">
        <f t="shared" si="304"/>
        <v>0.91929997796255225</v>
      </c>
      <c r="BC348" s="38">
        <f t="shared" si="305"/>
        <v>0.11296699302648432</v>
      </c>
      <c r="BD348" s="38">
        <f t="shared" si="306"/>
        <v>5.3860843624276879E-4</v>
      </c>
      <c r="BE348" s="38">
        <f t="shared" si="307"/>
        <v>0</v>
      </c>
      <c r="BF348" s="38">
        <f t="shared" si="308"/>
        <v>0</v>
      </c>
      <c r="BG348" s="38">
        <f t="shared" si="309"/>
        <v>0</v>
      </c>
      <c r="BH348" s="41">
        <f t="shared" si="310"/>
        <v>4.9999999999999991</v>
      </c>
      <c r="BI348" s="42">
        <f t="shared" si="311"/>
        <v>7.9906662958261654</v>
      </c>
      <c r="BJ348" s="38">
        <f t="shared" si="312"/>
        <v>3.9422829995349513</v>
      </c>
      <c r="BK348" s="38">
        <f t="shared" si="313"/>
        <v>1.0328055794252795</v>
      </c>
      <c r="BL348" s="16"/>
      <c r="BM348" s="16">
        <f t="shared" si="314"/>
        <v>0.89009974023776195</v>
      </c>
      <c r="BN348" s="16">
        <f t="shared" si="315"/>
        <v>0.10937875944603877</v>
      </c>
      <c r="BO348" s="16">
        <f t="shared" si="316"/>
        <v>5.2150031619938172E-4</v>
      </c>
      <c r="BP348" s="15"/>
      <c r="BQ348" s="38">
        <f t="shared" si="317"/>
        <v>0.75482689747003995</v>
      </c>
      <c r="BR348" s="38">
        <f t="shared" si="318"/>
        <v>0</v>
      </c>
      <c r="BS348" s="38">
        <f t="shared" si="319"/>
        <v>0.64378187524519426</v>
      </c>
      <c r="BT348" s="38">
        <f t="shared" si="320"/>
        <v>0</v>
      </c>
      <c r="BU348" s="38">
        <f t="shared" si="321"/>
        <v>8.8378566457898416E-3</v>
      </c>
      <c r="BV348" s="38">
        <f t="shared" si="322"/>
        <v>0</v>
      </c>
      <c r="BW348" s="38">
        <f t="shared" si="323"/>
        <v>0</v>
      </c>
      <c r="BX348" s="38">
        <f t="shared" si="324"/>
        <v>0.32614122681883023</v>
      </c>
      <c r="BY348" s="38">
        <f t="shared" si="325"/>
        <v>4.0077444336882866E-2</v>
      </c>
      <c r="BZ348" s="38">
        <f t="shared" si="326"/>
        <v>1.9108280254777067E-4</v>
      </c>
      <c r="CA348" s="38">
        <f t="shared" si="327"/>
        <v>0</v>
      </c>
      <c r="CB348" s="38">
        <f t="shared" si="328"/>
        <v>0</v>
      </c>
      <c r="CC348" s="38">
        <f t="shared" si="329"/>
        <v>0</v>
      </c>
      <c r="CD348" s="38">
        <f t="shared" si="330"/>
        <v>1.7738563833192849</v>
      </c>
      <c r="CE348" s="38">
        <f t="shared" si="331"/>
        <v>2.8304399548422068</v>
      </c>
      <c r="CF348" s="38">
        <f t="shared" si="332"/>
        <v>2.8187174830038235</v>
      </c>
      <c r="CG348" s="38">
        <f t="shared" si="333"/>
        <v>7.9782105853062806</v>
      </c>
      <c r="CH348" s="15"/>
      <c r="CI348" s="16"/>
      <c r="CJ348" s="13"/>
      <c r="CK348" s="104"/>
      <c r="CL348" s="13"/>
      <c r="CM348" s="13"/>
      <c r="CN348" s="13"/>
      <c r="CO348" s="16"/>
      <c r="CP348" s="16"/>
      <c r="CQ348" s="16"/>
      <c r="CR348" s="16"/>
      <c r="CS348" s="16"/>
      <c r="CT348" s="16"/>
      <c r="CU348" s="16"/>
      <c r="CV348" s="16"/>
      <c r="CW348" s="16"/>
      <c r="CX348" s="16"/>
      <c r="CY348" s="104"/>
      <c r="CZ348" s="104"/>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3"/>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row>
    <row r="349" spans="1:167" x14ac:dyDescent="0.25">
      <c r="A349" s="35" t="s">
        <v>93</v>
      </c>
      <c r="B349" s="15">
        <v>1140</v>
      </c>
      <c r="C349" s="102" t="s">
        <v>101</v>
      </c>
      <c r="D349" s="102" t="s">
        <v>107</v>
      </c>
      <c r="E349" s="15">
        <v>298</v>
      </c>
      <c r="F349" s="16">
        <v>45.79</v>
      </c>
      <c r="G349" s="16">
        <v>0</v>
      </c>
      <c r="H349" s="16">
        <v>34.4</v>
      </c>
      <c r="I349" s="16">
        <v>0</v>
      </c>
      <c r="J349" s="16">
        <v>0.52500000000000002</v>
      </c>
      <c r="K349" s="16">
        <v>0</v>
      </c>
      <c r="L349" s="16">
        <v>0</v>
      </c>
      <c r="M349" s="16">
        <v>18.559999999999999</v>
      </c>
      <c r="N349" s="16">
        <v>1.121</v>
      </c>
      <c r="O349" s="16">
        <v>6.0000000000000001E-3</v>
      </c>
      <c r="P349" s="16">
        <v>0</v>
      </c>
      <c r="Q349" s="16"/>
      <c r="R349" s="16"/>
      <c r="S349" s="16">
        <f t="shared" si="279"/>
        <v>100.402</v>
      </c>
      <c r="T349" s="16"/>
      <c r="U349" s="15"/>
      <c r="V349" s="15"/>
      <c r="W349" s="15"/>
      <c r="X349" s="15" t="s">
        <v>185</v>
      </c>
      <c r="Y349" s="15"/>
      <c r="Z349" s="37">
        <v>8</v>
      </c>
      <c r="AA349" s="37">
        <v>5</v>
      </c>
      <c r="AB349" s="15"/>
      <c r="AC349" s="38">
        <f t="shared" si="280"/>
        <v>2.1076620577814724</v>
      </c>
      <c r="AD349" s="38">
        <f t="shared" si="281"/>
        <v>0</v>
      </c>
      <c r="AE349" s="38">
        <f t="shared" si="282"/>
        <v>1.8660310644471543</v>
      </c>
      <c r="AF349" s="38">
        <f t="shared" si="283"/>
        <v>0</v>
      </c>
      <c r="AG349" s="38">
        <f t="shared" si="284"/>
        <v>2.0206578799661708E-2</v>
      </c>
      <c r="AH349" s="38">
        <f t="shared" si="285"/>
        <v>0</v>
      </c>
      <c r="AI349" s="38">
        <f t="shared" si="286"/>
        <v>0</v>
      </c>
      <c r="AJ349" s="38">
        <f t="shared" si="287"/>
        <v>0.91522995265897944</v>
      </c>
      <c r="AK349" s="38">
        <f t="shared" si="288"/>
        <v>0.10003323049543679</v>
      </c>
      <c r="AL349" s="38">
        <f t="shared" si="289"/>
        <v>3.5228211992858804E-4</v>
      </c>
      <c r="AM349" s="38">
        <f t="shared" si="290"/>
        <v>0</v>
      </c>
      <c r="AN349" s="38">
        <f t="shared" si="291"/>
        <v>0</v>
      </c>
      <c r="AO349" s="38">
        <f t="shared" si="292"/>
        <v>0</v>
      </c>
      <c r="AP349" s="38">
        <f t="shared" si="293"/>
        <v>5.0095151663026334</v>
      </c>
      <c r="AQ349" s="38">
        <f t="shared" si="294"/>
        <v>3.9736931222286267</v>
      </c>
      <c r="AR349" s="38">
        <f t="shared" si="295"/>
        <v>1.015615465274345</v>
      </c>
      <c r="AS349" s="40"/>
      <c r="AT349" s="38">
        <f t="shared" si="296"/>
        <v>2.1036587252585082</v>
      </c>
      <c r="AU349" s="38">
        <f t="shared" si="297"/>
        <v>0</v>
      </c>
      <c r="AV349" s="38">
        <f t="shared" si="298"/>
        <v>1.8624866903281714</v>
      </c>
      <c r="AW349" s="38">
        <f t="shared" si="299"/>
        <v>0</v>
      </c>
      <c r="AX349" s="38">
        <f t="shared" si="300"/>
        <v>0</v>
      </c>
      <c r="AY349" s="38">
        <f t="shared" si="301"/>
        <v>2.0168198047971528E-2</v>
      </c>
      <c r="AZ349" s="38">
        <f t="shared" si="302"/>
        <v>0</v>
      </c>
      <c r="BA349" s="38">
        <f t="shared" si="303"/>
        <v>0</v>
      </c>
      <c r="BB349" s="38">
        <f t="shared" si="304"/>
        <v>0.91349154786019149</v>
      </c>
      <c r="BC349" s="38">
        <f t="shared" si="305"/>
        <v>9.9843225516440717E-2</v>
      </c>
      <c r="BD349" s="38">
        <f t="shared" si="306"/>
        <v>3.5161298871622788E-4</v>
      </c>
      <c r="BE349" s="38">
        <f t="shared" si="307"/>
        <v>0</v>
      </c>
      <c r="BF349" s="38">
        <f t="shared" si="308"/>
        <v>0</v>
      </c>
      <c r="BG349" s="38">
        <f t="shared" si="309"/>
        <v>0</v>
      </c>
      <c r="BH349" s="41">
        <f t="shared" si="310"/>
        <v>5</v>
      </c>
      <c r="BI349" s="42">
        <f t="shared" si="311"/>
        <v>7.9948887501940007</v>
      </c>
      <c r="BJ349" s="38">
        <f t="shared" si="312"/>
        <v>3.9661454155866798</v>
      </c>
      <c r="BK349" s="38">
        <f t="shared" si="313"/>
        <v>1.0136863863653485</v>
      </c>
      <c r="BL349" s="16"/>
      <c r="BM349" s="16">
        <f t="shared" si="314"/>
        <v>0.90115795195354897</v>
      </c>
      <c r="BN349" s="16">
        <f t="shared" si="315"/>
        <v>9.8495182395056516E-2</v>
      </c>
      <c r="BO349" s="16">
        <f t="shared" si="316"/>
        <v>3.4686565139437612E-4</v>
      </c>
      <c r="BP349" s="15"/>
      <c r="BQ349" s="38">
        <f t="shared" si="317"/>
        <v>0.76215046604527292</v>
      </c>
      <c r="BR349" s="38">
        <f t="shared" si="318"/>
        <v>0</v>
      </c>
      <c r="BS349" s="38">
        <f t="shared" si="319"/>
        <v>0.67477442134170262</v>
      </c>
      <c r="BT349" s="38">
        <f t="shared" si="320"/>
        <v>0</v>
      </c>
      <c r="BU349" s="38">
        <f t="shared" si="321"/>
        <v>7.3068893528183722E-3</v>
      </c>
      <c r="BV349" s="38">
        <f t="shared" si="322"/>
        <v>0</v>
      </c>
      <c r="BW349" s="38">
        <f t="shared" si="323"/>
        <v>0</v>
      </c>
      <c r="BX349" s="38">
        <f t="shared" si="324"/>
        <v>0.33095577746077032</v>
      </c>
      <c r="BY349" s="38">
        <f t="shared" si="325"/>
        <v>3.61729590190384E-2</v>
      </c>
      <c r="BZ349" s="38">
        <f t="shared" si="326"/>
        <v>1.2738853503184712E-4</v>
      </c>
      <c r="CA349" s="38">
        <f t="shared" si="327"/>
        <v>0</v>
      </c>
      <c r="CB349" s="38">
        <f t="shared" si="328"/>
        <v>0</v>
      </c>
      <c r="CC349" s="38">
        <f t="shared" si="329"/>
        <v>0</v>
      </c>
      <c r="CD349" s="38">
        <f t="shared" si="330"/>
        <v>1.8114879017546346</v>
      </c>
      <c r="CE349" s="38">
        <f t="shared" si="331"/>
        <v>2.8928754046937235</v>
      </c>
      <c r="CF349" s="38">
        <f t="shared" si="332"/>
        <v>2.7601619614223889</v>
      </c>
      <c r="CG349" s="38">
        <f t="shared" si="333"/>
        <v>7.9848046511700153</v>
      </c>
      <c r="CH349" s="15"/>
      <c r="CI349" s="16"/>
      <c r="CJ349" s="13"/>
      <c r="CK349" s="104"/>
      <c r="CL349" s="13"/>
      <c r="CM349" s="13"/>
      <c r="CN349" s="13"/>
      <c r="CO349" s="16"/>
      <c r="CP349" s="16"/>
      <c r="CQ349" s="16"/>
      <c r="CR349" s="16"/>
      <c r="CS349" s="16"/>
      <c r="CT349" s="16"/>
      <c r="CU349" s="16"/>
      <c r="CV349" s="16"/>
      <c r="CW349" s="16"/>
      <c r="CX349" s="16"/>
      <c r="CY349" s="104"/>
      <c r="CZ349" s="104"/>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3"/>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row>
    <row r="350" spans="1:167" x14ac:dyDescent="0.25">
      <c r="A350" s="35" t="s">
        <v>93</v>
      </c>
      <c r="B350" s="15">
        <v>1141</v>
      </c>
      <c r="C350" s="102" t="s">
        <v>101</v>
      </c>
      <c r="D350" s="102" t="s">
        <v>107</v>
      </c>
      <c r="E350" s="15">
        <v>299</v>
      </c>
      <c r="F350" s="16">
        <v>45.88</v>
      </c>
      <c r="G350" s="16">
        <v>0</v>
      </c>
      <c r="H350" s="16">
        <v>34.65</v>
      </c>
      <c r="I350" s="16">
        <v>0</v>
      </c>
      <c r="J350" s="16">
        <v>0.65400000000000003</v>
      </c>
      <c r="K350" s="16">
        <v>0</v>
      </c>
      <c r="L350" s="16">
        <v>0</v>
      </c>
      <c r="M350" s="16">
        <v>18.71</v>
      </c>
      <c r="N350" s="16">
        <v>1.036</v>
      </c>
      <c r="O350" s="16">
        <v>1.6E-2</v>
      </c>
      <c r="P350" s="16">
        <v>0</v>
      </c>
      <c r="Q350" s="16"/>
      <c r="R350" s="16"/>
      <c r="S350" s="16">
        <f t="shared" si="279"/>
        <v>100.94600000000001</v>
      </c>
      <c r="T350" s="16"/>
      <c r="U350" s="15"/>
      <c r="V350" s="15"/>
      <c r="W350" s="15"/>
      <c r="X350" s="15" t="s">
        <v>185</v>
      </c>
      <c r="Y350" s="15"/>
      <c r="Z350" s="37">
        <v>8</v>
      </c>
      <c r="AA350" s="37">
        <v>5</v>
      </c>
      <c r="AB350" s="15"/>
      <c r="AC350" s="38">
        <f t="shared" si="280"/>
        <v>2.101954373894904</v>
      </c>
      <c r="AD350" s="38">
        <f t="shared" si="281"/>
        <v>0</v>
      </c>
      <c r="AE350" s="38">
        <f t="shared" si="282"/>
        <v>1.870825183359913</v>
      </c>
      <c r="AF350" s="38">
        <f t="shared" si="283"/>
        <v>0</v>
      </c>
      <c r="AG350" s="38">
        <f t="shared" si="284"/>
        <v>2.5054213583248008E-2</v>
      </c>
      <c r="AH350" s="38">
        <f t="shared" si="285"/>
        <v>0</v>
      </c>
      <c r="AI350" s="38">
        <f t="shared" si="286"/>
        <v>0</v>
      </c>
      <c r="AJ350" s="38">
        <f t="shared" si="287"/>
        <v>0.91832325467341513</v>
      </c>
      <c r="AK350" s="38">
        <f t="shared" si="288"/>
        <v>9.2016980658197856E-2</v>
      </c>
      <c r="AL350" s="38">
        <f t="shared" si="289"/>
        <v>9.3503716912100312E-4</v>
      </c>
      <c r="AM350" s="38">
        <f t="shared" si="290"/>
        <v>0</v>
      </c>
      <c r="AN350" s="38">
        <f t="shared" si="291"/>
        <v>0</v>
      </c>
      <c r="AO350" s="38">
        <f t="shared" si="292"/>
        <v>0</v>
      </c>
      <c r="AP350" s="38">
        <f t="shared" si="293"/>
        <v>5.0091090433387997</v>
      </c>
      <c r="AQ350" s="38">
        <f t="shared" si="294"/>
        <v>3.972779557254817</v>
      </c>
      <c r="AR350" s="38">
        <f t="shared" si="295"/>
        <v>1.0112752725007341</v>
      </c>
      <c r="AS350" s="40"/>
      <c r="AT350" s="38">
        <f t="shared" si="296"/>
        <v>2.0981319788696955</v>
      </c>
      <c r="AU350" s="38">
        <f t="shared" si="297"/>
        <v>0</v>
      </c>
      <c r="AV350" s="38">
        <f t="shared" si="298"/>
        <v>1.8674230957776505</v>
      </c>
      <c r="AW350" s="38">
        <f t="shared" si="299"/>
        <v>0</v>
      </c>
      <c r="AX350" s="38">
        <f t="shared" si="300"/>
        <v>0</v>
      </c>
      <c r="AY350" s="38">
        <f t="shared" si="301"/>
        <v>2.5008652603166568E-2</v>
      </c>
      <c r="AZ350" s="38">
        <f t="shared" si="302"/>
        <v>0</v>
      </c>
      <c r="BA350" s="38">
        <f t="shared" si="303"/>
        <v>0</v>
      </c>
      <c r="BB350" s="38">
        <f t="shared" si="304"/>
        <v>0.91665328776842814</v>
      </c>
      <c r="BC350" s="38">
        <f t="shared" si="305"/>
        <v>9.1849648173025558E-2</v>
      </c>
      <c r="BD350" s="38">
        <f t="shared" si="306"/>
        <v>9.333368080341873E-4</v>
      </c>
      <c r="BE350" s="38">
        <f t="shared" si="307"/>
        <v>0</v>
      </c>
      <c r="BF350" s="38">
        <f t="shared" si="308"/>
        <v>0</v>
      </c>
      <c r="BG350" s="38">
        <f t="shared" si="309"/>
        <v>0</v>
      </c>
      <c r="BH350" s="41">
        <f t="shared" si="310"/>
        <v>5</v>
      </c>
      <c r="BI350" s="42">
        <f t="shared" si="311"/>
        <v>7.9979563605695745</v>
      </c>
      <c r="BJ350" s="38">
        <f t="shared" si="312"/>
        <v>3.9655550746473462</v>
      </c>
      <c r="BK350" s="38">
        <f t="shared" si="313"/>
        <v>1.0094362727494879</v>
      </c>
      <c r="BL350" s="16"/>
      <c r="BM350" s="16">
        <f t="shared" si="314"/>
        <v>0.90808435610468119</v>
      </c>
      <c r="BN350" s="16">
        <f t="shared" si="315"/>
        <v>9.0991031977528211E-2</v>
      </c>
      <c r="BO350" s="16">
        <f t="shared" si="316"/>
        <v>9.2461191779048899E-4</v>
      </c>
      <c r="BP350" s="15"/>
      <c r="BQ350" s="38">
        <f t="shared" si="317"/>
        <v>0.76364846870838887</v>
      </c>
      <c r="BR350" s="38">
        <f t="shared" si="318"/>
        <v>0</v>
      </c>
      <c r="BS350" s="38">
        <f t="shared" si="319"/>
        <v>0.67967830521773243</v>
      </c>
      <c r="BT350" s="38">
        <f t="shared" si="320"/>
        <v>0</v>
      </c>
      <c r="BU350" s="38">
        <f t="shared" si="321"/>
        <v>9.1022964509394587E-3</v>
      </c>
      <c r="BV350" s="38">
        <f t="shared" si="322"/>
        <v>0</v>
      </c>
      <c r="BW350" s="38">
        <f t="shared" si="323"/>
        <v>0</v>
      </c>
      <c r="BX350" s="38">
        <f t="shared" si="324"/>
        <v>0.33363052781740371</v>
      </c>
      <c r="BY350" s="38">
        <f t="shared" si="325"/>
        <v>3.3430138754436921E-2</v>
      </c>
      <c r="BZ350" s="38">
        <f t="shared" si="326"/>
        <v>3.3970276008492571E-4</v>
      </c>
      <c r="CA350" s="38">
        <f t="shared" si="327"/>
        <v>0</v>
      </c>
      <c r="CB350" s="38">
        <f t="shared" si="328"/>
        <v>0</v>
      </c>
      <c r="CC350" s="38">
        <f t="shared" si="329"/>
        <v>0</v>
      </c>
      <c r="CD350" s="38">
        <f t="shared" si="330"/>
        <v>1.8198294397089863</v>
      </c>
      <c r="CE350" s="38">
        <f t="shared" si="331"/>
        <v>2.9064321402689801</v>
      </c>
      <c r="CF350" s="38">
        <f t="shared" si="332"/>
        <v>2.7475102286506385</v>
      </c>
      <c r="CG350" s="38">
        <f t="shared" si="333"/>
        <v>7.9854520342679907</v>
      </c>
      <c r="CH350" s="15"/>
      <c r="CI350" s="16"/>
      <c r="CJ350" s="13"/>
      <c r="CK350" s="104"/>
      <c r="CL350" s="13"/>
      <c r="CM350" s="13"/>
      <c r="CN350" s="13"/>
      <c r="CO350" s="16"/>
      <c r="CP350" s="16"/>
      <c r="CQ350" s="16"/>
      <c r="CR350" s="16"/>
      <c r="CS350" s="16"/>
      <c r="CT350" s="16"/>
      <c r="CU350" s="16"/>
      <c r="CV350" s="16"/>
      <c r="CW350" s="16"/>
      <c r="CX350" s="16"/>
      <c r="CY350" s="104"/>
      <c r="CZ350" s="104"/>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3"/>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row>
    <row r="351" spans="1:167" x14ac:dyDescent="0.25">
      <c r="A351" s="35" t="s">
        <v>93</v>
      </c>
      <c r="B351" s="15">
        <v>1142</v>
      </c>
      <c r="C351" s="102" t="s">
        <v>101</v>
      </c>
      <c r="D351" s="102" t="s">
        <v>107</v>
      </c>
      <c r="E351" s="15">
        <v>300</v>
      </c>
      <c r="F351" s="16">
        <v>45.34</v>
      </c>
      <c r="G351" s="16">
        <v>0</v>
      </c>
      <c r="H351" s="16">
        <v>34.840000000000003</v>
      </c>
      <c r="I351" s="16">
        <v>0</v>
      </c>
      <c r="J351" s="16">
        <v>0.65400000000000003</v>
      </c>
      <c r="K351" s="16">
        <v>0</v>
      </c>
      <c r="L351" s="16">
        <v>0</v>
      </c>
      <c r="M351" s="16">
        <v>18.899999999999999</v>
      </c>
      <c r="N351" s="16">
        <v>0.97899999999999998</v>
      </c>
      <c r="O351" s="16">
        <v>0</v>
      </c>
      <c r="P351" s="16">
        <v>0</v>
      </c>
      <c r="Q351" s="16"/>
      <c r="R351" s="16"/>
      <c r="S351" s="16">
        <f t="shared" si="279"/>
        <v>100.71300000000001</v>
      </c>
      <c r="T351" s="16"/>
      <c r="U351" s="15"/>
      <c r="V351" s="15"/>
      <c r="W351" s="15"/>
      <c r="X351" s="15" t="s">
        <v>185</v>
      </c>
      <c r="Y351" s="15"/>
      <c r="Z351" s="37">
        <v>8</v>
      </c>
      <c r="AA351" s="37">
        <v>5</v>
      </c>
      <c r="AB351" s="15"/>
      <c r="AC351" s="38">
        <f t="shared" si="280"/>
        <v>2.0844490270546565</v>
      </c>
      <c r="AD351" s="38">
        <f t="shared" si="281"/>
        <v>0</v>
      </c>
      <c r="AE351" s="38">
        <f t="shared" si="282"/>
        <v>1.8876349195309909</v>
      </c>
      <c r="AF351" s="38">
        <f t="shared" si="283"/>
        <v>0</v>
      </c>
      <c r="AG351" s="38">
        <f t="shared" si="284"/>
        <v>2.5141469799424752E-2</v>
      </c>
      <c r="AH351" s="38">
        <f t="shared" si="285"/>
        <v>0</v>
      </c>
      <c r="AI351" s="38">
        <f t="shared" si="286"/>
        <v>0</v>
      </c>
      <c r="AJ351" s="38">
        <f t="shared" si="287"/>
        <v>0.93087954397212769</v>
      </c>
      <c r="AK351" s="38">
        <f t="shared" si="288"/>
        <v>8.7257105645295763E-2</v>
      </c>
      <c r="AL351" s="38">
        <f t="shared" si="289"/>
        <v>0</v>
      </c>
      <c r="AM351" s="38">
        <f t="shared" si="290"/>
        <v>0</v>
      </c>
      <c r="AN351" s="38">
        <f t="shared" si="291"/>
        <v>0</v>
      </c>
      <c r="AO351" s="38">
        <f t="shared" si="292"/>
        <v>0</v>
      </c>
      <c r="AP351" s="38">
        <f t="shared" si="293"/>
        <v>5.0153620660024956</v>
      </c>
      <c r="AQ351" s="38">
        <f t="shared" si="294"/>
        <v>3.9720839465856477</v>
      </c>
      <c r="AR351" s="38">
        <f t="shared" si="295"/>
        <v>1.0181366496174236</v>
      </c>
      <c r="AS351" s="40"/>
      <c r="AT351" s="38">
        <f t="shared" si="296"/>
        <v>2.0780643546997899</v>
      </c>
      <c r="AU351" s="38">
        <f t="shared" si="297"/>
        <v>0</v>
      </c>
      <c r="AV351" s="38">
        <f t="shared" si="298"/>
        <v>1.8818530892581538</v>
      </c>
      <c r="AW351" s="38">
        <f t="shared" si="299"/>
        <v>0</v>
      </c>
      <c r="AX351" s="38">
        <f t="shared" si="300"/>
        <v>0</v>
      </c>
      <c r="AY351" s="38">
        <f t="shared" si="301"/>
        <v>2.5064461417302827E-2</v>
      </c>
      <c r="AZ351" s="38">
        <f t="shared" si="302"/>
        <v>0</v>
      </c>
      <c r="BA351" s="38">
        <f t="shared" si="303"/>
        <v>0</v>
      </c>
      <c r="BB351" s="38">
        <f t="shared" si="304"/>
        <v>0.92802825770272546</v>
      </c>
      <c r="BC351" s="38">
        <f t="shared" si="305"/>
        <v>8.6989836922027247E-2</v>
      </c>
      <c r="BD351" s="38">
        <f t="shared" si="306"/>
        <v>0</v>
      </c>
      <c r="BE351" s="38">
        <f t="shared" si="307"/>
        <v>0</v>
      </c>
      <c r="BF351" s="38">
        <f t="shared" si="308"/>
        <v>0</v>
      </c>
      <c r="BG351" s="38">
        <f t="shared" si="309"/>
        <v>0</v>
      </c>
      <c r="BH351" s="41">
        <f t="shared" si="310"/>
        <v>5</v>
      </c>
      <c r="BI351" s="42">
        <f t="shared" si="311"/>
        <v>7.9880282115765038</v>
      </c>
      <c r="BJ351" s="38">
        <f t="shared" si="312"/>
        <v>3.9599174439579437</v>
      </c>
      <c r="BK351" s="38">
        <f t="shared" si="313"/>
        <v>1.0150180946247527</v>
      </c>
      <c r="BL351" s="16"/>
      <c r="BM351" s="16">
        <f t="shared" si="314"/>
        <v>0.91429725501180636</v>
      </c>
      <c r="BN351" s="16">
        <f t="shared" si="315"/>
        <v>8.5702744988193497E-2</v>
      </c>
      <c r="BO351" s="16">
        <f t="shared" si="316"/>
        <v>0</v>
      </c>
      <c r="BP351" s="15"/>
      <c r="BQ351" s="38">
        <f t="shared" si="317"/>
        <v>0.75466045272969384</v>
      </c>
      <c r="BR351" s="38">
        <f t="shared" si="318"/>
        <v>0</v>
      </c>
      <c r="BS351" s="38">
        <f t="shared" si="319"/>
        <v>0.68340525696351517</v>
      </c>
      <c r="BT351" s="38">
        <f t="shared" si="320"/>
        <v>0</v>
      </c>
      <c r="BU351" s="38">
        <f t="shared" si="321"/>
        <v>9.1022964509394587E-3</v>
      </c>
      <c r="BV351" s="38">
        <f t="shared" si="322"/>
        <v>0</v>
      </c>
      <c r="BW351" s="38">
        <f t="shared" si="323"/>
        <v>0</v>
      </c>
      <c r="BX351" s="38">
        <f t="shared" si="324"/>
        <v>0.33701854493580596</v>
      </c>
      <c r="BY351" s="38">
        <f t="shared" si="325"/>
        <v>3.1590835753468861E-2</v>
      </c>
      <c r="BZ351" s="38">
        <f t="shared" si="326"/>
        <v>0</v>
      </c>
      <c r="CA351" s="38">
        <f t="shared" si="327"/>
        <v>0</v>
      </c>
      <c r="CB351" s="38">
        <f t="shared" si="328"/>
        <v>0</v>
      </c>
      <c r="CC351" s="38">
        <f t="shared" si="329"/>
        <v>0</v>
      </c>
      <c r="CD351" s="38">
        <f t="shared" si="330"/>
        <v>1.8157773868334235</v>
      </c>
      <c r="CE351" s="38">
        <f t="shared" si="331"/>
        <v>2.89634505016814</v>
      </c>
      <c r="CF351" s="38">
        <f t="shared" si="332"/>
        <v>2.7536415180935898</v>
      </c>
      <c r="CG351" s="38">
        <f t="shared" si="333"/>
        <v>7.9754959808678514</v>
      </c>
      <c r="CH351" s="15"/>
      <c r="CI351" s="16"/>
      <c r="CJ351" s="13"/>
      <c r="CK351" s="104"/>
      <c r="CL351" s="13"/>
      <c r="CM351" s="13"/>
      <c r="CN351" s="13"/>
      <c r="CO351" s="16"/>
      <c r="CP351" s="16"/>
      <c r="CQ351" s="16"/>
      <c r="CR351" s="16"/>
      <c r="CS351" s="16"/>
      <c r="CT351" s="16"/>
      <c r="CU351" s="16"/>
      <c r="CV351" s="16"/>
      <c r="CW351" s="16"/>
      <c r="CX351" s="16"/>
      <c r="CY351" s="104"/>
      <c r="CZ351" s="104"/>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3"/>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row>
    <row r="352" spans="1:167" x14ac:dyDescent="0.25">
      <c r="A352" s="35" t="s">
        <v>93</v>
      </c>
      <c r="B352" s="15">
        <v>1143</v>
      </c>
      <c r="C352" s="102" t="s">
        <v>101</v>
      </c>
      <c r="D352" s="102" t="s">
        <v>107</v>
      </c>
      <c r="E352" s="15">
        <v>301</v>
      </c>
      <c r="F352" s="16">
        <v>44.97</v>
      </c>
      <c r="G352" s="16">
        <v>0</v>
      </c>
      <c r="H352" s="16">
        <v>35.42</v>
      </c>
      <c r="I352" s="16">
        <v>0</v>
      </c>
      <c r="J352" s="16">
        <v>0.60799999999999998</v>
      </c>
      <c r="K352" s="16">
        <v>0</v>
      </c>
      <c r="L352" s="16">
        <v>0</v>
      </c>
      <c r="M352" s="16">
        <v>18.95</v>
      </c>
      <c r="N352" s="16">
        <v>0.89600000000000002</v>
      </c>
      <c r="O352" s="16">
        <v>0</v>
      </c>
      <c r="P352" s="16">
        <v>0</v>
      </c>
      <c r="Q352" s="16"/>
      <c r="R352" s="16"/>
      <c r="S352" s="16">
        <f t="shared" si="279"/>
        <v>100.84400000000001</v>
      </c>
      <c r="T352" s="16"/>
      <c r="U352" s="15"/>
      <c r="V352" s="15"/>
      <c r="W352" s="15"/>
      <c r="X352" s="15" t="s">
        <v>185</v>
      </c>
      <c r="Y352" s="15"/>
      <c r="Z352" s="37">
        <v>8</v>
      </c>
      <c r="AA352" s="37">
        <v>5</v>
      </c>
      <c r="AB352" s="15"/>
      <c r="AC352" s="38">
        <f t="shared" si="280"/>
        <v>2.064828913485643</v>
      </c>
      <c r="AD352" s="38">
        <f t="shared" si="281"/>
        <v>0</v>
      </c>
      <c r="AE352" s="38">
        <f t="shared" si="282"/>
        <v>1.9166368556540601</v>
      </c>
      <c r="AF352" s="38">
        <f t="shared" si="283"/>
        <v>0</v>
      </c>
      <c r="AG352" s="38">
        <f t="shared" si="284"/>
        <v>2.3343604479011123E-2</v>
      </c>
      <c r="AH352" s="38">
        <f t="shared" si="285"/>
        <v>0</v>
      </c>
      <c r="AI352" s="38">
        <f t="shared" si="286"/>
        <v>0</v>
      </c>
      <c r="AJ352" s="38">
        <f t="shared" si="287"/>
        <v>0.9321639831793157</v>
      </c>
      <c r="AK352" s="38">
        <f t="shared" si="288"/>
        <v>7.9758603778595102E-2</v>
      </c>
      <c r="AL352" s="38">
        <f t="shared" si="289"/>
        <v>0</v>
      </c>
      <c r="AM352" s="38">
        <f t="shared" si="290"/>
        <v>0</v>
      </c>
      <c r="AN352" s="38">
        <f t="shared" si="291"/>
        <v>0</v>
      </c>
      <c r="AO352" s="38">
        <f t="shared" si="292"/>
        <v>0</v>
      </c>
      <c r="AP352" s="38">
        <f t="shared" si="293"/>
        <v>5.0167319605766254</v>
      </c>
      <c r="AQ352" s="38">
        <f t="shared" si="294"/>
        <v>3.9814657691397031</v>
      </c>
      <c r="AR352" s="38">
        <f t="shared" si="295"/>
        <v>1.0119225869579107</v>
      </c>
      <c r="AS352" s="40"/>
      <c r="AT352" s="38">
        <f t="shared" si="296"/>
        <v>2.057942231827262</v>
      </c>
      <c r="AU352" s="38">
        <f t="shared" si="297"/>
        <v>0</v>
      </c>
      <c r="AV352" s="38">
        <f t="shared" si="298"/>
        <v>1.9102444287593165</v>
      </c>
      <c r="AW352" s="38">
        <f t="shared" si="299"/>
        <v>0</v>
      </c>
      <c r="AX352" s="38">
        <f t="shared" si="300"/>
        <v>0</v>
      </c>
      <c r="AY352" s="38">
        <f t="shared" si="301"/>
        <v>2.3265748162801986E-2</v>
      </c>
      <c r="AZ352" s="38">
        <f t="shared" si="302"/>
        <v>0</v>
      </c>
      <c r="BA352" s="38">
        <f t="shared" si="303"/>
        <v>0</v>
      </c>
      <c r="BB352" s="38">
        <f t="shared" si="304"/>
        <v>0.92905500084976878</v>
      </c>
      <c r="BC352" s="38">
        <f t="shared" si="305"/>
        <v>7.9492590400850938E-2</v>
      </c>
      <c r="BD352" s="38">
        <f t="shared" si="306"/>
        <v>0</v>
      </c>
      <c r="BE352" s="38">
        <f t="shared" si="307"/>
        <v>0</v>
      </c>
      <c r="BF352" s="38">
        <f t="shared" si="308"/>
        <v>0</v>
      </c>
      <c r="BG352" s="38">
        <f t="shared" si="309"/>
        <v>0</v>
      </c>
      <c r="BH352" s="41">
        <f t="shared" si="310"/>
        <v>5</v>
      </c>
      <c r="BI352" s="42">
        <f t="shared" si="311"/>
        <v>7.9849510250878959</v>
      </c>
      <c r="BJ352" s="38">
        <f t="shared" si="312"/>
        <v>3.9681866605865785</v>
      </c>
      <c r="BK352" s="38">
        <f t="shared" si="313"/>
        <v>1.0085475912506197</v>
      </c>
      <c r="BL352" s="16"/>
      <c r="BM352" s="16">
        <f t="shared" si="314"/>
        <v>0.92118112115831996</v>
      </c>
      <c r="BN352" s="16">
        <f t="shared" si="315"/>
        <v>7.8818878841680137E-2</v>
      </c>
      <c r="BO352" s="16">
        <f t="shared" si="316"/>
        <v>0</v>
      </c>
      <c r="BP352" s="15"/>
      <c r="BQ352" s="38">
        <f t="shared" si="317"/>
        <v>0.74850199733688416</v>
      </c>
      <c r="BR352" s="38">
        <f t="shared" si="318"/>
        <v>0</v>
      </c>
      <c r="BS352" s="38">
        <f t="shared" si="319"/>
        <v>0.69478226755590433</v>
      </c>
      <c r="BT352" s="38">
        <f t="shared" si="320"/>
        <v>0</v>
      </c>
      <c r="BU352" s="38">
        <f t="shared" si="321"/>
        <v>8.4620737647877527E-3</v>
      </c>
      <c r="BV352" s="38">
        <f t="shared" si="322"/>
        <v>0</v>
      </c>
      <c r="BW352" s="38">
        <f t="shared" si="323"/>
        <v>0</v>
      </c>
      <c r="BX352" s="38">
        <f t="shared" si="324"/>
        <v>0.33791012838801709</v>
      </c>
      <c r="BY352" s="38">
        <f t="shared" si="325"/>
        <v>2.8912552436269768E-2</v>
      </c>
      <c r="BZ352" s="38">
        <f t="shared" si="326"/>
        <v>0</v>
      </c>
      <c r="CA352" s="38">
        <f t="shared" si="327"/>
        <v>0</v>
      </c>
      <c r="CB352" s="38">
        <f t="shared" si="328"/>
        <v>0</v>
      </c>
      <c r="CC352" s="38">
        <f t="shared" si="329"/>
        <v>0</v>
      </c>
      <c r="CD352" s="38">
        <f t="shared" si="330"/>
        <v>1.8185690194818629</v>
      </c>
      <c r="CE352" s="38">
        <f t="shared" si="331"/>
        <v>2.9000058743785644</v>
      </c>
      <c r="CF352" s="38">
        <f t="shared" si="332"/>
        <v>2.7494144827258595</v>
      </c>
      <c r="CG352" s="38">
        <f t="shared" si="333"/>
        <v>7.9733181510064943</v>
      </c>
      <c r="CH352" s="15"/>
      <c r="CI352" s="16"/>
      <c r="CJ352" s="13"/>
      <c r="CK352" s="104"/>
      <c r="CL352" s="13"/>
      <c r="CM352" s="13"/>
      <c r="CN352" s="13"/>
      <c r="CO352" s="16"/>
      <c r="CP352" s="16"/>
      <c r="CQ352" s="16"/>
      <c r="CR352" s="16"/>
      <c r="CS352" s="16"/>
      <c r="CT352" s="16"/>
      <c r="CU352" s="16"/>
      <c r="CV352" s="16"/>
      <c r="CW352" s="16"/>
      <c r="CX352" s="16"/>
      <c r="CY352" s="104"/>
      <c r="CZ352" s="104"/>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3"/>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row>
    <row r="353" spans="1:167" x14ac:dyDescent="0.25">
      <c r="A353" s="35" t="s">
        <v>93</v>
      </c>
      <c r="B353" s="15">
        <v>1144</v>
      </c>
      <c r="C353" s="102" t="s">
        <v>101</v>
      </c>
      <c r="D353" s="102" t="s">
        <v>107</v>
      </c>
      <c r="E353" s="15">
        <v>302</v>
      </c>
      <c r="F353" s="16">
        <v>45.74</v>
      </c>
      <c r="G353" s="16">
        <v>0</v>
      </c>
      <c r="H353" s="16">
        <v>34.54</v>
      </c>
      <c r="I353" s="16">
        <v>0</v>
      </c>
      <c r="J353" s="16">
        <v>0.57399999999999995</v>
      </c>
      <c r="K353" s="16">
        <v>0</v>
      </c>
      <c r="L353" s="16">
        <v>0</v>
      </c>
      <c r="M353" s="16">
        <v>18.61</v>
      </c>
      <c r="N353" s="16">
        <v>1.109</v>
      </c>
      <c r="O353" s="16">
        <v>0</v>
      </c>
      <c r="P353" s="16">
        <v>0</v>
      </c>
      <c r="Q353" s="16"/>
      <c r="R353" s="16"/>
      <c r="S353" s="16">
        <f t="shared" si="279"/>
        <v>100.57299999999999</v>
      </c>
      <c r="T353" s="16"/>
      <c r="U353" s="15"/>
      <c r="V353" s="15"/>
      <c r="W353" s="15"/>
      <c r="X353" s="15" t="s">
        <v>185</v>
      </c>
      <c r="Y353" s="15"/>
      <c r="Z353" s="37">
        <v>8</v>
      </c>
      <c r="AA353" s="37">
        <v>5</v>
      </c>
      <c r="AB353" s="15"/>
      <c r="AC353" s="38">
        <f t="shared" si="280"/>
        <v>2.1026196991990846</v>
      </c>
      <c r="AD353" s="38">
        <f t="shared" si="281"/>
        <v>0</v>
      </c>
      <c r="AE353" s="38">
        <f t="shared" si="282"/>
        <v>1.8711861521065174</v>
      </c>
      <c r="AF353" s="38">
        <f t="shared" si="283"/>
        <v>0</v>
      </c>
      <c r="AG353" s="38">
        <f t="shared" si="284"/>
        <v>2.2063764461258198E-2</v>
      </c>
      <c r="AH353" s="38">
        <f t="shared" si="285"/>
        <v>0</v>
      </c>
      <c r="AI353" s="38">
        <f t="shared" si="286"/>
        <v>0</v>
      </c>
      <c r="AJ353" s="38">
        <f t="shared" si="287"/>
        <v>0.91650082629703578</v>
      </c>
      <c r="AK353" s="38">
        <f t="shared" si="288"/>
        <v>9.8833565367518486E-2</v>
      </c>
      <c r="AL353" s="38">
        <f t="shared" si="289"/>
        <v>0</v>
      </c>
      <c r="AM353" s="38">
        <f t="shared" si="290"/>
        <v>0</v>
      </c>
      <c r="AN353" s="38">
        <f t="shared" si="291"/>
        <v>0</v>
      </c>
      <c r="AO353" s="38">
        <f t="shared" si="292"/>
        <v>0</v>
      </c>
      <c r="AP353" s="38">
        <f t="shared" si="293"/>
        <v>5.0112040074314139</v>
      </c>
      <c r="AQ353" s="38">
        <f t="shared" si="294"/>
        <v>3.973805851305602</v>
      </c>
      <c r="AR353" s="38">
        <f t="shared" si="295"/>
        <v>1.0153343916645543</v>
      </c>
      <c r="AS353" s="40"/>
      <c r="AT353" s="38">
        <f t="shared" si="296"/>
        <v>2.0979186799030574</v>
      </c>
      <c r="AU353" s="38">
        <f t="shared" si="297"/>
        <v>0</v>
      </c>
      <c r="AV353" s="38">
        <f t="shared" si="298"/>
        <v>1.8670025699728283</v>
      </c>
      <c r="AW353" s="38">
        <f t="shared" si="299"/>
        <v>0</v>
      </c>
      <c r="AX353" s="38">
        <f t="shared" si="300"/>
        <v>0</v>
      </c>
      <c r="AY353" s="38">
        <f t="shared" si="301"/>
        <v>2.201443448374734E-2</v>
      </c>
      <c r="AZ353" s="38">
        <f t="shared" si="302"/>
        <v>0</v>
      </c>
      <c r="BA353" s="38">
        <f t="shared" si="303"/>
        <v>0</v>
      </c>
      <c r="BB353" s="38">
        <f t="shared" si="304"/>
        <v>0.91445172152031917</v>
      </c>
      <c r="BC353" s="38">
        <f t="shared" si="305"/>
        <v>9.8612594120048067E-2</v>
      </c>
      <c r="BD353" s="38">
        <f t="shared" si="306"/>
        <v>0</v>
      </c>
      <c r="BE353" s="38">
        <f t="shared" si="307"/>
        <v>0</v>
      </c>
      <c r="BF353" s="38">
        <f t="shared" si="308"/>
        <v>0</v>
      </c>
      <c r="BG353" s="38">
        <f t="shared" si="309"/>
        <v>0</v>
      </c>
      <c r="BH353" s="41">
        <f t="shared" si="310"/>
        <v>5</v>
      </c>
      <c r="BI353" s="42">
        <f t="shared" si="311"/>
        <v>7.9931208850713222</v>
      </c>
      <c r="BJ353" s="38">
        <f t="shared" si="312"/>
        <v>3.9649212498758857</v>
      </c>
      <c r="BK353" s="38">
        <f t="shared" si="313"/>
        <v>1.0130643156403671</v>
      </c>
      <c r="BL353" s="16"/>
      <c r="BM353" s="16">
        <f t="shared" si="314"/>
        <v>0.90265909814648426</v>
      </c>
      <c r="BN353" s="16">
        <f t="shared" si="315"/>
        <v>9.7340901853515738E-2</v>
      </c>
      <c r="BO353" s="16">
        <f t="shared" si="316"/>
        <v>0</v>
      </c>
      <c r="BP353" s="15"/>
      <c r="BQ353" s="38">
        <f t="shared" si="317"/>
        <v>0.76131824234354195</v>
      </c>
      <c r="BR353" s="38">
        <f t="shared" si="318"/>
        <v>0</v>
      </c>
      <c r="BS353" s="38">
        <f t="shared" si="319"/>
        <v>0.67752059631227934</v>
      </c>
      <c r="BT353" s="38">
        <f t="shared" si="320"/>
        <v>0</v>
      </c>
      <c r="BU353" s="38">
        <f t="shared" si="321"/>
        <v>7.9888656924147535E-3</v>
      </c>
      <c r="BV353" s="38">
        <f t="shared" si="322"/>
        <v>0</v>
      </c>
      <c r="BW353" s="38">
        <f t="shared" si="323"/>
        <v>0</v>
      </c>
      <c r="BX353" s="38">
        <f t="shared" si="324"/>
        <v>0.33184736091298145</v>
      </c>
      <c r="BY353" s="38">
        <f t="shared" si="325"/>
        <v>3.5785737334624076E-2</v>
      </c>
      <c r="BZ353" s="38">
        <f t="shared" si="326"/>
        <v>0</v>
      </c>
      <c r="CA353" s="38">
        <f t="shared" si="327"/>
        <v>0</v>
      </c>
      <c r="CB353" s="38">
        <f t="shared" si="328"/>
        <v>0</v>
      </c>
      <c r="CC353" s="38">
        <f t="shared" si="329"/>
        <v>0</v>
      </c>
      <c r="CD353" s="38">
        <f t="shared" si="330"/>
        <v>1.8144608025958415</v>
      </c>
      <c r="CE353" s="38">
        <f t="shared" si="331"/>
        <v>2.8966464744282114</v>
      </c>
      <c r="CF353" s="38">
        <f t="shared" si="332"/>
        <v>2.7556395778000806</v>
      </c>
      <c r="CG353" s="38">
        <f t="shared" si="333"/>
        <v>7.9821136678294486</v>
      </c>
      <c r="CH353" s="15"/>
      <c r="CI353" s="16"/>
      <c r="CJ353" s="13"/>
      <c r="CK353" s="104"/>
      <c r="CL353" s="13"/>
      <c r="CM353" s="13"/>
      <c r="CN353" s="13"/>
      <c r="CO353" s="16"/>
      <c r="CP353" s="16"/>
      <c r="CQ353" s="16"/>
      <c r="CR353" s="16"/>
      <c r="CS353" s="16"/>
      <c r="CT353" s="16"/>
      <c r="CU353" s="16"/>
      <c r="CV353" s="16"/>
      <c r="CW353" s="16"/>
      <c r="CX353" s="16"/>
      <c r="CY353" s="104"/>
      <c r="CZ353" s="104"/>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3"/>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row>
    <row r="354" spans="1:167" x14ac:dyDescent="0.25">
      <c r="A354" s="35" t="s">
        <v>93</v>
      </c>
      <c r="B354" s="15">
        <v>1145</v>
      </c>
      <c r="C354" s="102" t="s">
        <v>101</v>
      </c>
      <c r="D354" s="102" t="s">
        <v>107</v>
      </c>
      <c r="E354" s="15">
        <v>303</v>
      </c>
      <c r="F354" s="16">
        <v>45.6</v>
      </c>
      <c r="G354" s="16">
        <v>0</v>
      </c>
      <c r="H354" s="16">
        <v>34.06</v>
      </c>
      <c r="I354" s="16">
        <v>0</v>
      </c>
      <c r="J354" s="16">
        <v>0.54700000000000004</v>
      </c>
      <c r="K354" s="16">
        <v>0</v>
      </c>
      <c r="L354" s="16">
        <v>0</v>
      </c>
      <c r="M354" s="16">
        <v>18.66</v>
      </c>
      <c r="N354" s="16">
        <v>0.99299999999999999</v>
      </c>
      <c r="O354" s="16">
        <v>1.4999999999999999E-2</v>
      </c>
      <c r="P354" s="16">
        <v>0</v>
      </c>
      <c r="Q354" s="16"/>
      <c r="R354" s="16"/>
      <c r="S354" s="16">
        <f t="shared" si="279"/>
        <v>99.874999999999986</v>
      </c>
      <c r="T354" s="16"/>
      <c r="U354" s="15"/>
      <c r="V354" s="15"/>
      <c r="W354" s="15"/>
      <c r="X354" s="15" t="s">
        <v>185</v>
      </c>
      <c r="Y354" s="15"/>
      <c r="Z354" s="37">
        <v>8</v>
      </c>
      <c r="AA354" s="37">
        <v>5</v>
      </c>
      <c r="AB354" s="15"/>
      <c r="AC354" s="38">
        <f t="shared" si="280"/>
        <v>2.1107433023872222</v>
      </c>
      <c r="AD354" s="38">
        <f t="shared" si="281"/>
        <v>0</v>
      </c>
      <c r="AE354" s="38">
        <f t="shared" si="282"/>
        <v>1.8579983060560694</v>
      </c>
      <c r="AF354" s="38">
        <f t="shared" si="283"/>
        <v>0</v>
      </c>
      <c r="AG354" s="38">
        <f t="shared" si="284"/>
        <v>2.1171959525589711E-2</v>
      </c>
      <c r="AH354" s="38">
        <f t="shared" si="285"/>
        <v>0</v>
      </c>
      <c r="AI354" s="38">
        <f t="shared" si="286"/>
        <v>0</v>
      </c>
      <c r="AJ354" s="38">
        <f t="shared" si="287"/>
        <v>0.92534596525426449</v>
      </c>
      <c r="AK354" s="38">
        <f t="shared" si="288"/>
        <v>8.9110354927857544E-2</v>
      </c>
      <c r="AL354" s="38">
        <f t="shared" si="289"/>
        <v>8.8566779533624069E-4</v>
      </c>
      <c r="AM354" s="38">
        <f t="shared" si="290"/>
        <v>0</v>
      </c>
      <c r="AN354" s="38">
        <f t="shared" si="291"/>
        <v>0</v>
      </c>
      <c r="AO354" s="38">
        <f t="shared" si="292"/>
        <v>0</v>
      </c>
      <c r="AP354" s="38">
        <f t="shared" si="293"/>
        <v>5.0052555559463405</v>
      </c>
      <c r="AQ354" s="38">
        <f t="shared" si="294"/>
        <v>3.9687416084432918</v>
      </c>
      <c r="AR354" s="38">
        <f t="shared" si="295"/>
        <v>1.0153419879774581</v>
      </c>
      <c r="AS354" s="40"/>
      <c r="AT354" s="38">
        <f t="shared" si="296"/>
        <v>2.1085270060582806</v>
      </c>
      <c r="AU354" s="38">
        <f t="shared" si="297"/>
        <v>0</v>
      </c>
      <c r="AV354" s="38">
        <f t="shared" si="298"/>
        <v>1.8560473938725583</v>
      </c>
      <c r="AW354" s="38">
        <f t="shared" si="299"/>
        <v>0</v>
      </c>
      <c r="AX354" s="38">
        <f t="shared" si="300"/>
        <v>4.3496085750574162E-3</v>
      </c>
      <c r="AY354" s="38">
        <f t="shared" si="301"/>
        <v>1.6800120233931182E-2</v>
      </c>
      <c r="AZ354" s="38">
        <f t="shared" si="302"/>
        <v>0</v>
      </c>
      <c r="BA354" s="38">
        <f t="shared" si="303"/>
        <v>0</v>
      </c>
      <c r="BB354" s="38">
        <f t="shared" si="304"/>
        <v>0.92437434503712368</v>
      </c>
      <c r="BC354" s="38">
        <f t="shared" si="305"/>
        <v>8.9016788385552784E-2</v>
      </c>
      <c r="BD354" s="38">
        <f t="shared" si="306"/>
        <v>8.8473783749568025E-4</v>
      </c>
      <c r="BE354" s="38">
        <f t="shared" si="307"/>
        <v>0</v>
      </c>
      <c r="BF354" s="38">
        <f t="shared" si="308"/>
        <v>0</v>
      </c>
      <c r="BG354" s="38">
        <f t="shared" si="309"/>
        <v>0</v>
      </c>
      <c r="BH354" s="41">
        <f t="shared" si="310"/>
        <v>5</v>
      </c>
      <c r="BI354" s="42">
        <f t="shared" si="311"/>
        <v>8</v>
      </c>
      <c r="BJ354" s="38">
        <f t="shared" si="312"/>
        <v>3.9645743999308389</v>
      </c>
      <c r="BK354" s="38">
        <f t="shared" si="313"/>
        <v>1.014275871260172</v>
      </c>
      <c r="BL354" s="16"/>
      <c r="BM354" s="16">
        <f t="shared" si="314"/>
        <v>0.91136383229608775</v>
      </c>
      <c r="BN354" s="16">
        <f t="shared" si="315"/>
        <v>8.7763882497722434E-2</v>
      </c>
      <c r="BO354" s="16">
        <f t="shared" si="316"/>
        <v>8.7228520618995973E-4</v>
      </c>
      <c r="BP354" s="15"/>
      <c r="BQ354" s="38">
        <f t="shared" si="317"/>
        <v>0.75898801597869514</v>
      </c>
      <c r="BR354" s="38">
        <f t="shared" si="318"/>
        <v>0</v>
      </c>
      <c r="BS354" s="38">
        <f t="shared" si="319"/>
        <v>0.66810513927030213</v>
      </c>
      <c r="BT354" s="38">
        <f t="shared" si="320"/>
        <v>0</v>
      </c>
      <c r="BU354" s="38">
        <f t="shared" si="321"/>
        <v>7.6130828114126664E-3</v>
      </c>
      <c r="BV354" s="38">
        <f t="shared" si="322"/>
        <v>0</v>
      </c>
      <c r="BW354" s="38">
        <f t="shared" si="323"/>
        <v>0</v>
      </c>
      <c r="BX354" s="38">
        <f t="shared" si="324"/>
        <v>0.33273894436519258</v>
      </c>
      <c r="BY354" s="38">
        <f t="shared" si="325"/>
        <v>3.2042594385285575E-2</v>
      </c>
      <c r="BZ354" s="38">
        <f t="shared" si="326"/>
        <v>3.1847133757961782E-4</v>
      </c>
      <c r="CA354" s="38">
        <f t="shared" si="327"/>
        <v>0</v>
      </c>
      <c r="CB354" s="38">
        <f t="shared" si="328"/>
        <v>0</v>
      </c>
      <c r="CC354" s="38">
        <f t="shared" si="329"/>
        <v>0</v>
      </c>
      <c r="CD354" s="38">
        <f t="shared" si="330"/>
        <v>1.7998062481484678</v>
      </c>
      <c r="CE354" s="38">
        <f t="shared" si="331"/>
        <v>2.8766663009008813</v>
      </c>
      <c r="CF354" s="38">
        <f t="shared" si="332"/>
        <v>2.7780768097364361</v>
      </c>
      <c r="CG354" s="38">
        <f t="shared" si="333"/>
        <v>7.9915999398830353</v>
      </c>
      <c r="CH354" s="15"/>
      <c r="CI354" s="16"/>
      <c r="CJ354" s="13"/>
      <c r="CK354" s="104"/>
      <c r="CL354" s="13"/>
      <c r="CM354" s="13"/>
      <c r="CN354" s="13"/>
      <c r="CO354" s="16"/>
      <c r="CP354" s="16"/>
      <c r="CQ354" s="16"/>
      <c r="CR354" s="16"/>
      <c r="CS354" s="16"/>
      <c r="CT354" s="16"/>
      <c r="CU354" s="16"/>
      <c r="CV354" s="16"/>
      <c r="CW354" s="16"/>
      <c r="CX354" s="16"/>
      <c r="CY354" s="104"/>
      <c r="CZ354" s="104"/>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3"/>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row>
    <row r="355" spans="1:167" x14ac:dyDescent="0.25">
      <c r="A355" s="35" t="s">
        <v>93</v>
      </c>
      <c r="B355" s="15">
        <v>1146</v>
      </c>
      <c r="C355" s="102" t="s">
        <v>101</v>
      </c>
      <c r="D355" s="102" t="s">
        <v>107</v>
      </c>
      <c r="E355" s="15">
        <v>304</v>
      </c>
      <c r="F355" s="16">
        <v>45.98</v>
      </c>
      <c r="G355" s="16">
        <v>0</v>
      </c>
      <c r="H355" s="16">
        <v>34.659999999999997</v>
      </c>
      <c r="I355" s="16">
        <v>0</v>
      </c>
      <c r="J355" s="16">
        <v>0.53900000000000003</v>
      </c>
      <c r="K355" s="16">
        <v>0</v>
      </c>
      <c r="L355" s="16">
        <v>0</v>
      </c>
      <c r="M355" s="16">
        <v>18.5</v>
      </c>
      <c r="N355" s="16">
        <v>1.125</v>
      </c>
      <c r="O355" s="16">
        <v>0</v>
      </c>
      <c r="P355" s="16">
        <v>0</v>
      </c>
      <c r="Q355" s="16"/>
      <c r="R355" s="16"/>
      <c r="S355" s="16">
        <f t="shared" si="279"/>
        <v>100.80399999999999</v>
      </c>
      <c r="T355" s="16"/>
      <c r="U355" s="15"/>
      <c r="V355" s="15"/>
      <c r="W355" s="15"/>
      <c r="X355" s="15" t="s">
        <v>185</v>
      </c>
      <c r="Y355" s="15"/>
      <c r="Z355" s="37">
        <v>8</v>
      </c>
      <c r="AA355" s="37">
        <v>5</v>
      </c>
      <c r="AB355" s="15"/>
      <c r="AC355" s="38">
        <f t="shared" si="280"/>
        <v>2.1068663330231621</v>
      </c>
      <c r="AD355" s="38">
        <f t="shared" si="281"/>
        <v>0</v>
      </c>
      <c r="AE355" s="38">
        <f t="shared" si="282"/>
        <v>1.8716587444261992</v>
      </c>
      <c r="AF355" s="38">
        <f t="shared" si="283"/>
        <v>0</v>
      </c>
      <c r="AG355" s="38">
        <f t="shared" si="284"/>
        <v>2.0651896178953189E-2</v>
      </c>
      <c r="AH355" s="38">
        <f t="shared" si="285"/>
        <v>0</v>
      </c>
      <c r="AI355" s="38">
        <f t="shared" si="286"/>
        <v>0</v>
      </c>
      <c r="AJ355" s="38">
        <f t="shared" si="287"/>
        <v>0.90815852447964107</v>
      </c>
      <c r="AK355" s="38">
        <f t="shared" si="288"/>
        <v>9.9937593311566181E-2</v>
      </c>
      <c r="AL355" s="38">
        <f t="shared" si="289"/>
        <v>0</v>
      </c>
      <c r="AM355" s="38">
        <f t="shared" si="290"/>
        <v>0</v>
      </c>
      <c r="AN355" s="38">
        <f t="shared" si="291"/>
        <v>0</v>
      </c>
      <c r="AO355" s="38">
        <f t="shared" si="292"/>
        <v>0</v>
      </c>
      <c r="AP355" s="38">
        <f t="shared" si="293"/>
        <v>5.0072730914195214</v>
      </c>
      <c r="AQ355" s="38">
        <f t="shared" si="294"/>
        <v>3.978525077449361</v>
      </c>
      <c r="AR355" s="38">
        <f t="shared" si="295"/>
        <v>1.0080961177912073</v>
      </c>
      <c r="AS355" s="40"/>
      <c r="AT355" s="38">
        <f t="shared" si="296"/>
        <v>2.1038060982069204</v>
      </c>
      <c r="AU355" s="38">
        <f t="shared" si="297"/>
        <v>0</v>
      </c>
      <c r="AV355" s="38">
        <f t="shared" si="298"/>
        <v>1.8689401499126133</v>
      </c>
      <c r="AW355" s="38">
        <f t="shared" si="299"/>
        <v>0</v>
      </c>
      <c r="AX355" s="38">
        <f t="shared" si="300"/>
        <v>0</v>
      </c>
      <c r="AY355" s="38">
        <f t="shared" si="301"/>
        <v>2.0621899187346443E-2</v>
      </c>
      <c r="AZ355" s="38">
        <f t="shared" si="302"/>
        <v>0</v>
      </c>
      <c r="BA355" s="38">
        <f t="shared" si="303"/>
        <v>0</v>
      </c>
      <c r="BB355" s="38">
        <f t="shared" si="304"/>
        <v>0.9068394192797915</v>
      </c>
      <c r="BC355" s="38">
        <f t="shared" si="305"/>
        <v>9.9792433413327844E-2</v>
      </c>
      <c r="BD355" s="38">
        <f t="shared" si="306"/>
        <v>0</v>
      </c>
      <c r="BE355" s="38">
        <f t="shared" si="307"/>
        <v>0</v>
      </c>
      <c r="BF355" s="38">
        <f t="shared" si="308"/>
        <v>0</v>
      </c>
      <c r="BG355" s="38">
        <f t="shared" si="309"/>
        <v>0</v>
      </c>
      <c r="BH355" s="41">
        <f t="shared" si="310"/>
        <v>5</v>
      </c>
      <c r="BI355" s="42">
        <f t="shared" si="311"/>
        <v>7.9986909060502356</v>
      </c>
      <c r="BJ355" s="38">
        <f t="shared" si="312"/>
        <v>3.9727462481195337</v>
      </c>
      <c r="BK355" s="38">
        <f t="shared" si="313"/>
        <v>1.0066318526931193</v>
      </c>
      <c r="BL355" s="16"/>
      <c r="BM355" s="16">
        <f t="shared" si="314"/>
        <v>0.90086501520258322</v>
      </c>
      <c r="BN355" s="16">
        <f t="shared" si="315"/>
        <v>9.9134984797416753E-2</v>
      </c>
      <c r="BO355" s="16">
        <f t="shared" si="316"/>
        <v>0</v>
      </c>
      <c r="BP355" s="15"/>
      <c r="BQ355" s="38">
        <f t="shared" si="317"/>
        <v>0.76531291611185082</v>
      </c>
      <c r="BR355" s="38">
        <f t="shared" si="318"/>
        <v>0</v>
      </c>
      <c r="BS355" s="38">
        <f t="shared" si="319"/>
        <v>0.67987446057277356</v>
      </c>
      <c r="BT355" s="38">
        <f t="shared" si="320"/>
        <v>0</v>
      </c>
      <c r="BU355" s="38">
        <f t="shared" si="321"/>
        <v>7.5017397355601955E-3</v>
      </c>
      <c r="BV355" s="38">
        <f t="shared" si="322"/>
        <v>0</v>
      </c>
      <c r="BW355" s="38">
        <f t="shared" si="323"/>
        <v>0</v>
      </c>
      <c r="BX355" s="38">
        <f t="shared" si="324"/>
        <v>0.32988587731811697</v>
      </c>
      <c r="BY355" s="38">
        <f t="shared" si="325"/>
        <v>3.630203291384318E-2</v>
      </c>
      <c r="BZ355" s="38">
        <f t="shared" si="326"/>
        <v>0</v>
      </c>
      <c r="CA355" s="38">
        <f t="shared" si="327"/>
        <v>0</v>
      </c>
      <c r="CB355" s="38">
        <f t="shared" si="328"/>
        <v>0</v>
      </c>
      <c r="CC355" s="38">
        <f t="shared" si="329"/>
        <v>0</v>
      </c>
      <c r="CD355" s="38">
        <f t="shared" si="330"/>
        <v>1.8188770266521448</v>
      </c>
      <c r="CE355" s="38">
        <f t="shared" si="331"/>
        <v>2.9059761565934608</v>
      </c>
      <c r="CF355" s="38">
        <f t="shared" si="332"/>
        <v>2.7489488990924706</v>
      </c>
      <c r="CG355" s="38">
        <f t="shared" si="333"/>
        <v>7.988379956456563</v>
      </c>
      <c r="CH355" s="15"/>
      <c r="CI355" s="16"/>
      <c r="CJ355" s="13"/>
      <c r="CK355" s="104"/>
      <c r="CL355" s="13"/>
      <c r="CM355" s="13"/>
      <c r="CN355" s="13"/>
      <c r="CO355" s="16"/>
      <c r="CP355" s="16"/>
      <c r="CQ355" s="16"/>
      <c r="CR355" s="16"/>
      <c r="CS355" s="16"/>
      <c r="CT355" s="16"/>
      <c r="CU355" s="16"/>
      <c r="CV355" s="16"/>
      <c r="CW355" s="16"/>
      <c r="CX355" s="16"/>
      <c r="CY355" s="104"/>
      <c r="CZ355" s="104"/>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3"/>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row>
    <row r="356" spans="1:167" x14ac:dyDescent="0.25">
      <c r="A356" s="35" t="s">
        <v>93</v>
      </c>
      <c r="B356" s="15">
        <v>1147</v>
      </c>
      <c r="C356" s="102" t="s">
        <v>101</v>
      </c>
      <c r="D356" s="102" t="s">
        <v>107</v>
      </c>
      <c r="E356" s="15">
        <v>305</v>
      </c>
      <c r="F356" s="16">
        <v>45.65</v>
      </c>
      <c r="G356" s="16">
        <v>0</v>
      </c>
      <c r="H356" s="16">
        <v>34.53</v>
      </c>
      <c r="I356" s="16">
        <v>0</v>
      </c>
      <c r="J356" s="16">
        <v>0.54600000000000004</v>
      </c>
      <c r="K356" s="16">
        <v>0</v>
      </c>
      <c r="L356" s="16">
        <v>0</v>
      </c>
      <c r="M356" s="16">
        <v>18.64</v>
      </c>
      <c r="N356" s="16">
        <v>1.141</v>
      </c>
      <c r="O356" s="16">
        <v>8.9999999999999993E-3</v>
      </c>
      <c r="P356" s="16">
        <v>0</v>
      </c>
      <c r="Q356" s="16"/>
      <c r="R356" s="16"/>
      <c r="S356" s="16">
        <f t="shared" si="279"/>
        <v>100.51600000000002</v>
      </c>
      <c r="T356" s="16"/>
      <c r="U356" s="15"/>
      <c r="V356" s="15"/>
      <c r="W356" s="15"/>
      <c r="X356" s="15" t="s">
        <v>185</v>
      </c>
      <c r="Y356" s="15"/>
      <c r="Z356" s="37">
        <v>8</v>
      </c>
      <c r="AA356" s="37">
        <v>5</v>
      </c>
      <c r="AB356" s="15"/>
      <c r="AC356" s="38">
        <f t="shared" si="280"/>
        <v>2.1003192482095256</v>
      </c>
      <c r="AD356" s="38">
        <f t="shared" si="281"/>
        <v>0</v>
      </c>
      <c r="AE356" s="38">
        <f t="shared" si="282"/>
        <v>1.8722817402489518</v>
      </c>
      <c r="AF356" s="38">
        <f t="shared" si="283"/>
        <v>0</v>
      </c>
      <c r="AG356" s="38">
        <f t="shared" si="284"/>
        <v>2.1005853138454249E-2</v>
      </c>
      <c r="AH356" s="38">
        <f t="shared" si="285"/>
        <v>0</v>
      </c>
      <c r="AI356" s="38">
        <f t="shared" si="286"/>
        <v>0</v>
      </c>
      <c r="AJ356" s="38">
        <f t="shared" si="287"/>
        <v>0.91878174476942798</v>
      </c>
      <c r="AK356" s="38">
        <f t="shared" si="288"/>
        <v>0.10177439344522379</v>
      </c>
      <c r="AL356" s="38">
        <f t="shared" si="289"/>
        <v>5.2819715405541306E-4</v>
      </c>
      <c r="AM356" s="38">
        <f t="shared" si="290"/>
        <v>0</v>
      </c>
      <c r="AN356" s="38">
        <f t="shared" si="291"/>
        <v>0</v>
      </c>
      <c r="AO356" s="38">
        <f t="shared" si="292"/>
        <v>0</v>
      </c>
      <c r="AP356" s="38">
        <f t="shared" si="293"/>
        <v>5.0146911769656395</v>
      </c>
      <c r="AQ356" s="38">
        <f t="shared" si="294"/>
        <v>3.9726009884584776</v>
      </c>
      <c r="AR356" s="38">
        <f t="shared" si="295"/>
        <v>1.0210843353687071</v>
      </c>
      <c r="AS356" s="40"/>
      <c r="AT356" s="38">
        <f t="shared" si="296"/>
        <v>2.0941660952693173</v>
      </c>
      <c r="AU356" s="38">
        <f t="shared" si="297"/>
        <v>0</v>
      </c>
      <c r="AV356" s="38">
        <f t="shared" si="298"/>
        <v>1.866796652253528</v>
      </c>
      <c r="AW356" s="38">
        <f t="shared" si="299"/>
        <v>0</v>
      </c>
      <c r="AX356" s="38">
        <f t="shared" si="300"/>
        <v>0</v>
      </c>
      <c r="AY356" s="38">
        <f t="shared" si="301"/>
        <v>2.0944313814320239E-2</v>
      </c>
      <c r="AZ356" s="38">
        <f t="shared" si="302"/>
        <v>0</v>
      </c>
      <c r="BA356" s="38">
        <f t="shared" si="303"/>
        <v>0</v>
      </c>
      <c r="BB356" s="38">
        <f t="shared" si="304"/>
        <v>0.91609005654200382</v>
      </c>
      <c r="BC356" s="38">
        <f t="shared" si="305"/>
        <v>0.10147623238766111</v>
      </c>
      <c r="BD356" s="38">
        <f t="shared" si="306"/>
        <v>5.2664973316963277E-4</v>
      </c>
      <c r="BE356" s="38">
        <f t="shared" si="307"/>
        <v>0</v>
      </c>
      <c r="BF356" s="38">
        <f t="shared" si="308"/>
        <v>0</v>
      </c>
      <c r="BG356" s="38">
        <f t="shared" si="309"/>
        <v>0</v>
      </c>
      <c r="BH356" s="41">
        <f t="shared" si="310"/>
        <v>5</v>
      </c>
      <c r="BI356" s="42">
        <f t="shared" si="311"/>
        <v>7.9870351372428257</v>
      </c>
      <c r="BJ356" s="38">
        <f t="shared" si="312"/>
        <v>3.9609627475228453</v>
      </c>
      <c r="BK356" s="38">
        <f t="shared" si="313"/>
        <v>1.0180929386628346</v>
      </c>
      <c r="BL356" s="16"/>
      <c r="BM356" s="16">
        <f t="shared" si="314"/>
        <v>0.89980985208010433</v>
      </c>
      <c r="BN356" s="16">
        <f t="shared" si="315"/>
        <v>9.9672857490731848E-2</v>
      </c>
      <c r="BO356" s="16">
        <f t="shared" si="316"/>
        <v>5.1729042916389897E-4</v>
      </c>
      <c r="BP356" s="15"/>
      <c r="BQ356" s="38">
        <f t="shared" si="317"/>
        <v>0.75982023968042611</v>
      </c>
      <c r="BR356" s="38">
        <f t="shared" si="318"/>
        <v>0</v>
      </c>
      <c r="BS356" s="38">
        <f t="shared" si="319"/>
        <v>0.67732444095723821</v>
      </c>
      <c r="BT356" s="38">
        <f t="shared" si="320"/>
        <v>0</v>
      </c>
      <c r="BU356" s="38">
        <f t="shared" si="321"/>
        <v>7.5991649269311077E-3</v>
      </c>
      <c r="BV356" s="38">
        <f t="shared" si="322"/>
        <v>0</v>
      </c>
      <c r="BW356" s="38">
        <f t="shared" si="323"/>
        <v>0</v>
      </c>
      <c r="BX356" s="38">
        <f t="shared" si="324"/>
        <v>0.33238231098430815</v>
      </c>
      <c r="BY356" s="38">
        <f t="shared" si="325"/>
        <v>3.6818328493062283E-2</v>
      </c>
      <c r="BZ356" s="38">
        <f t="shared" si="326"/>
        <v>1.9108280254777067E-4</v>
      </c>
      <c r="CA356" s="38">
        <f t="shared" si="327"/>
        <v>0</v>
      </c>
      <c r="CB356" s="38">
        <f t="shared" si="328"/>
        <v>0</v>
      </c>
      <c r="CC356" s="38">
        <f t="shared" si="329"/>
        <v>0</v>
      </c>
      <c r="CD356" s="38">
        <f t="shared" si="330"/>
        <v>1.8141355678445137</v>
      </c>
      <c r="CE356" s="38">
        <f t="shared" si="331"/>
        <v>2.8941133223557536</v>
      </c>
      <c r="CF356" s="38">
        <f t="shared" si="332"/>
        <v>2.7561336035877453</v>
      </c>
      <c r="CG356" s="38">
        <f t="shared" si="333"/>
        <v>7.9765629803356655</v>
      </c>
      <c r="CH356" s="15"/>
      <c r="CI356" s="16"/>
      <c r="CJ356" s="13"/>
      <c r="CK356" s="104"/>
      <c r="CL356" s="13"/>
      <c r="CM356" s="13"/>
      <c r="CN356" s="13"/>
      <c r="CO356" s="16"/>
      <c r="CP356" s="16"/>
      <c r="CQ356" s="16"/>
      <c r="CR356" s="16"/>
      <c r="CS356" s="16"/>
      <c r="CT356" s="16"/>
      <c r="CU356" s="16"/>
      <c r="CV356" s="16"/>
      <c r="CW356" s="16"/>
      <c r="CX356" s="16"/>
      <c r="CY356" s="104"/>
      <c r="CZ356" s="104"/>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3"/>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row>
    <row r="357" spans="1:167" x14ac:dyDescent="0.25">
      <c r="A357" s="35" t="s">
        <v>93</v>
      </c>
      <c r="B357" s="15">
        <v>1148</v>
      </c>
      <c r="C357" s="102" t="s">
        <v>101</v>
      </c>
      <c r="D357" s="102" t="s">
        <v>107</v>
      </c>
      <c r="E357" s="15">
        <v>306</v>
      </c>
      <c r="F357" s="16">
        <v>45.31</v>
      </c>
      <c r="G357" s="16">
        <v>0</v>
      </c>
      <c r="H357" s="16">
        <v>34.700000000000003</v>
      </c>
      <c r="I357" s="16">
        <v>0</v>
      </c>
      <c r="J357" s="16">
        <v>0.47099999999999997</v>
      </c>
      <c r="K357" s="16">
        <v>0</v>
      </c>
      <c r="L357" s="16">
        <v>0</v>
      </c>
      <c r="M357" s="16">
        <v>18.989999999999998</v>
      </c>
      <c r="N357" s="16">
        <v>0.96499999999999997</v>
      </c>
      <c r="O357" s="16">
        <v>2.5000000000000001E-2</v>
      </c>
      <c r="P357" s="16">
        <v>0</v>
      </c>
      <c r="Q357" s="16"/>
      <c r="R357" s="16"/>
      <c r="S357" s="16">
        <f t="shared" si="279"/>
        <v>100.46100000000001</v>
      </c>
      <c r="T357" s="16"/>
      <c r="U357" s="15"/>
      <c r="V357" s="15"/>
      <c r="W357" s="15"/>
      <c r="X357" s="15" t="s">
        <v>185</v>
      </c>
      <c r="Y357" s="15"/>
      <c r="Z357" s="37">
        <v>8</v>
      </c>
      <c r="AA357" s="37">
        <v>5</v>
      </c>
      <c r="AB357" s="15"/>
      <c r="AC357" s="38">
        <f t="shared" si="280"/>
        <v>2.0874088452727064</v>
      </c>
      <c r="AD357" s="38">
        <f t="shared" si="281"/>
        <v>0</v>
      </c>
      <c r="AE357" s="38">
        <f t="shared" si="282"/>
        <v>1.8839658442971743</v>
      </c>
      <c r="AF357" s="38">
        <f t="shared" si="283"/>
        <v>0</v>
      </c>
      <c r="AG357" s="38">
        <f t="shared" si="284"/>
        <v>1.814418711236351E-2</v>
      </c>
      <c r="AH357" s="38">
        <f t="shared" si="285"/>
        <v>0</v>
      </c>
      <c r="AI357" s="38">
        <f t="shared" si="286"/>
        <v>0</v>
      </c>
      <c r="AJ357" s="38">
        <f t="shared" si="287"/>
        <v>0.93726055733251912</v>
      </c>
      <c r="AK357" s="38">
        <f t="shared" si="288"/>
        <v>8.6188459497756081E-2</v>
      </c>
      <c r="AL357" s="38">
        <f t="shared" si="289"/>
        <v>1.4691376301307223E-3</v>
      </c>
      <c r="AM357" s="38">
        <f t="shared" si="290"/>
        <v>0</v>
      </c>
      <c r="AN357" s="38">
        <f t="shared" si="291"/>
        <v>0</v>
      </c>
      <c r="AO357" s="38">
        <f t="shared" si="292"/>
        <v>0</v>
      </c>
      <c r="AP357" s="38">
        <f t="shared" si="293"/>
        <v>5.0144370311426503</v>
      </c>
      <c r="AQ357" s="38">
        <f t="shared" si="294"/>
        <v>3.9713746895698807</v>
      </c>
      <c r="AR357" s="38">
        <f t="shared" si="295"/>
        <v>1.024918154460406</v>
      </c>
      <c r="AS357" s="40"/>
      <c r="AT357" s="38">
        <f t="shared" si="296"/>
        <v>2.0813990008336432</v>
      </c>
      <c r="AU357" s="38">
        <f t="shared" si="297"/>
        <v>0</v>
      </c>
      <c r="AV357" s="38">
        <f t="shared" si="298"/>
        <v>1.8785417312019483</v>
      </c>
      <c r="AW357" s="38">
        <f t="shared" si="299"/>
        <v>0</v>
      </c>
      <c r="AX357" s="38">
        <f t="shared" si="300"/>
        <v>0</v>
      </c>
      <c r="AY357" s="38">
        <f t="shared" si="301"/>
        <v>1.8091948308132367E-2</v>
      </c>
      <c r="AZ357" s="38">
        <f t="shared" si="302"/>
        <v>0</v>
      </c>
      <c r="BA357" s="38">
        <f t="shared" si="303"/>
        <v>0</v>
      </c>
      <c r="BB357" s="38">
        <f t="shared" si="304"/>
        <v>0.93456209691294456</v>
      </c>
      <c r="BC357" s="38">
        <f t="shared" si="305"/>
        <v>8.5940314897239967E-2</v>
      </c>
      <c r="BD357" s="38">
        <f t="shared" si="306"/>
        <v>1.4649078460916946E-3</v>
      </c>
      <c r="BE357" s="38">
        <f t="shared" si="307"/>
        <v>0</v>
      </c>
      <c r="BF357" s="38">
        <f t="shared" si="308"/>
        <v>0</v>
      </c>
      <c r="BG357" s="38">
        <f t="shared" si="309"/>
        <v>0</v>
      </c>
      <c r="BH357" s="41">
        <f t="shared" si="310"/>
        <v>5.0000000000000009</v>
      </c>
      <c r="BI357" s="42">
        <f t="shared" si="311"/>
        <v>7.9860132292170185</v>
      </c>
      <c r="BJ357" s="38">
        <f t="shared" si="312"/>
        <v>3.9599407320355917</v>
      </c>
      <c r="BK357" s="38">
        <f t="shared" si="313"/>
        <v>1.0219673196562764</v>
      </c>
      <c r="BL357" s="16"/>
      <c r="BM357" s="16">
        <f t="shared" si="314"/>
        <v>0.91447356381931155</v>
      </c>
      <c r="BN357" s="16">
        <f t="shared" si="315"/>
        <v>8.4093016718132158E-2</v>
      </c>
      <c r="BO357" s="16">
        <f t="shared" si="316"/>
        <v>1.4334194625561947E-3</v>
      </c>
      <c r="BP357" s="15"/>
      <c r="BQ357" s="38">
        <f t="shared" si="317"/>
        <v>0.75416111850865519</v>
      </c>
      <c r="BR357" s="38">
        <f t="shared" si="318"/>
        <v>0</v>
      </c>
      <c r="BS357" s="38">
        <f t="shared" si="319"/>
        <v>0.68065908199293845</v>
      </c>
      <c r="BT357" s="38">
        <f t="shared" si="320"/>
        <v>0</v>
      </c>
      <c r="BU357" s="38">
        <f t="shared" si="321"/>
        <v>6.5553235908141962E-3</v>
      </c>
      <c r="BV357" s="38">
        <f t="shared" si="322"/>
        <v>0</v>
      </c>
      <c r="BW357" s="38">
        <f t="shared" si="323"/>
        <v>0</v>
      </c>
      <c r="BX357" s="38">
        <f t="shared" si="324"/>
        <v>0.33862339514978601</v>
      </c>
      <c r="BY357" s="38">
        <f t="shared" si="325"/>
        <v>3.1139077121652148E-2</v>
      </c>
      <c r="BZ357" s="38">
        <f t="shared" si="326"/>
        <v>5.3078556263269638E-4</v>
      </c>
      <c r="CA357" s="38">
        <f t="shared" si="327"/>
        <v>0</v>
      </c>
      <c r="CB357" s="38">
        <f t="shared" si="328"/>
        <v>0</v>
      </c>
      <c r="CC357" s="38">
        <f t="shared" si="329"/>
        <v>0</v>
      </c>
      <c r="CD357" s="38">
        <f t="shared" si="330"/>
        <v>1.8116687819264787</v>
      </c>
      <c r="CE357" s="38">
        <f t="shared" si="331"/>
        <v>2.8903245100894606</v>
      </c>
      <c r="CF357" s="38">
        <f t="shared" si="332"/>
        <v>2.7598863820367527</v>
      </c>
      <c r="CG357" s="38">
        <f t="shared" si="333"/>
        <v>7.9769672550629513</v>
      </c>
      <c r="CH357" s="15"/>
      <c r="CI357" s="16"/>
      <c r="CJ357" s="13"/>
      <c r="CK357" s="104"/>
      <c r="CL357" s="13"/>
      <c r="CM357" s="13"/>
      <c r="CN357" s="13"/>
      <c r="CO357" s="16"/>
      <c r="CP357" s="16"/>
      <c r="CQ357" s="16"/>
      <c r="CR357" s="16"/>
      <c r="CS357" s="16"/>
      <c r="CT357" s="16"/>
      <c r="CU357" s="16"/>
      <c r="CV357" s="16"/>
      <c r="CW357" s="16"/>
      <c r="CX357" s="16"/>
      <c r="CY357" s="104"/>
      <c r="CZ357" s="104"/>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3"/>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row>
    <row r="358" spans="1:167" x14ac:dyDescent="0.25">
      <c r="A358" s="35" t="s">
        <v>93</v>
      </c>
      <c r="B358" s="15">
        <v>1149</v>
      </c>
      <c r="C358" s="102" t="s">
        <v>101</v>
      </c>
      <c r="D358" s="102" t="s">
        <v>107</v>
      </c>
      <c r="E358" s="15">
        <v>307</v>
      </c>
      <c r="F358" s="16">
        <v>45.33</v>
      </c>
      <c r="G358" s="16">
        <v>0</v>
      </c>
      <c r="H358" s="16">
        <v>34.94</v>
      </c>
      <c r="I358" s="16">
        <v>0</v>
      </c>
      <c r="J358" s="16">
        <v>0.54200000000000004</v>
      </c>
      <c r="K358" s="16">
        <v>0</v>
      </c>
      <c r="L358" s="16">
        <v>0</v>
      </c>
      <c r="M358" s="16">
        <v>18.84</v>
      </c>
      <c r="N358" s="16">
        <v>1.0189999999999999</v>
      </c>
      <c r="O358" s="16">
        <v>0</v>
      </c>
      <c r="P358" s="16">
        <v>0</v>
      </c>
      <c r="Q358" s="16"/>
      <c r="R358" s="16"/>
      <c r="S358" s="16">
        <f t="shared" si="279"/>
        <v>100.67100000000001</v>
      </c>
      <c r="T358" s="16"/>
      <c r="U358" s="15"/>
      <c r="V358" s="15"/>
      <c r="W358" s="15"/>
      <c r="X358" s="15" t="s">
        <v>185</v>
      </c>
      <c r="Y358" s="15"/>
      <c r="Z358" s="37">
        <v>8</v>
      </c>
      <c r="AA358" s="37">
        <v>5</v>
      </c>
      <c r="AB358" s="15"/>
      <c r="AC358" s="38">
        <f t="shared" si="280"/>
        <v>2.0835388881043584</v>
      </c>
      <c r="AD358" s="38">
        <f t="shared" si="281"/>
        <v>0</v>
      </c>
      <c r="AE358" s="38">
        <f t="shared" si="282"/>
        <v>1.8926437946502279</v>
      </c>
      <c r="AF358" s="38">
        <f t="shared" si="283"/>
        <v>0</v>
      </c>
      <c r="AG358" s="38">
        <f t="shared" si="284"/>
        <v>2.0831393837088895E-2</v>
      </c>
      <c r="AH358" s="38">
        <f t="shared" si="285"/>
        <v>0</v>
      </c>
      <c r="AI358" s="38">
        <f t="shared" si="286"/>
        <v>0</v>
      </c>
      <c r="AJ358" s="38">
        <f t="shared" si="287"/>
        <v>0.92772382341089976</v>
      </c>
      <c r="AK358" s="38">
        <f t="shared" si="288"/>
        <v>9.080262913590377E-2</v>
      </c>
      <c r="AL358" s="38">
        <f t="shared" si="289"/>
        <v>0</v>
      </c>
      <c r="AM358" s="38">
        <f t="shared" si="290"/>
        <v>0</v>
      </c>
      <c r="AN358" s="38">
        <f t="shared" si="291"/>
        <v>0</v>
      </c>
      <c r="AO358" s="38">
        <f t="shared" si="292"/>
        <v>0</v>
      </c>
      <c r="AP358" s="38">
        <f t="shared" si="293"/>
        <v>5.0155405291384785</v>
      </c>
      <c r="AQ358" s="38">
        <f t="shared" si="294"/>
        <v>3.9761826827545863</v>
      </c>
      <c r="AR358" s="38">
        <f t="shared" si="295"/>
        <v>1.0185264525468036</v>
      </c>
      <c r="AS358" s="40"/>
      <c r="AT358" s="38">
        <f t="shared" si="296"/>
        <v>2.0770830940351797</v>
      </c>
      <c r="AU358" s="38">
        <f t="shared" si="297"/>
        <v>0</v>
      </c>
      <c r="AV358" s="38">
        <f t="shared" si="298"/>
        <v>1.8867794843393759</v>
      </c>
      <c r="AW358" s="38">
        <f t="shared" si="299"/>
        <v>0</v>
      </c>
      <c r="AX358" s="38">
        <f t="shared" si="300"/>
        <v>0</v>
      </c>
      <c r="AY358" s="38">
        <f t="shared" si="301"/>
        <v>2.076684827494267E-2</v>
      </c>
      <c r="AZ358" s="38">
        <f t="shared" si="302"/>
        <v>0</v>
      </c>
      <c r="BA358" s="38">
        <f t="shared" si="303"/>
        <v>0</v>
      </c>
      <c r="BB358" s="38">
        <f t="shared" si="304"/>
        <v>0.92484929393069348</v>
      </c>
      <c r="BC358" s="38">
        <f t="shared" si="305"/>
        <v>9.0521279419808587E-2</v>
      </c>
      <c r="BD358" s="38">
        <f t="shared" si="306"/>
        <v>0</v>
      </c>
      <c r="BE358" s="38">
        <f t="shared" si="307"/>
        <v>0</v>
      </c>
      <c r="BF358" s="38">
        <f t="shared" si="308"/>
        <v>0</v>
      </c>
      <c r="BG358" s="38">
        <f t="shared" si="309"/>
        <v>0</v>
      </c>
      <c r="BH358" s="41">
        <f t="shared" si="310"/>
        <v>5.0000000000000009</v>
      </c>
      <c r="BI358" s="42">
        <f t="shared" si="311"/>
        <v>7.9855956206324352</v>
      </c>
      <c r="BJ358" s="38">
        <f t="shared" si="312"/>
        <v>3.9638625783745556</v>
      </c>
      <c r="BK358" s="38">
        <f t="shared" si="313"/>
        <v>1.0153705733505021</v>
      </c>
      <c r="BL358" s="16"/>
      <c r="BM358" s="16">
        <f t="shared" si="314"/>
        <v>0.91084902222337594</v>
      </c>
      <c r="BN358" s="16">
        <f t="shared" si="315"/>
        <v>8.9150977776624007E-2</v>
      </c>
      <c r="BO358" s="16">
        <f t="shared" si="316"/>
        <v>0</v>
      </c>
      <c r="BP358" s="15"/>
      <c r="BQ358" s="38">
        <f t="shared" si="317"/>
        <v>0.75449400798934751</v>
      </c>
      <c r="BR358" s="38">
        <f t="shared" si="318"/>
        <v>0</v>
      </c>
      <c r="BS358" s="38">
        <f t="shared" si="319"/>
        <v>0.68536681051392701</v>
      </c>
      <c r="BT358" s="38">
        <f t="shared" si="320"/>
        <v>0</v>
      </c>
      <c r="BU358" s="38">
        <f t="shared" si="321"/>
        <v>7.5434933890048727E-3</v>
      </c>
      <c r="BV358" s="38">
        <f t="shared" si="322"/>
        <v>0</v>
      </c>
      <c r="BW358" s="38">
        <f t="shared" si="323"/>
        <v>0</v>
      </c>
      <c r="BX358" s="38">
        <f t="shared" si="324"/>
        <v>0.33594864479315267</v>
      </c>
      <c r="BY358" s="38">
        <f t="shared" si="325"/>
        <v>3.2881574701516619E-2</v>
      </c>
      <c r="BZ358" s="38">
        <f t="shared" si="326"/>
        <v>0</v>
      </c>
      <c r="CA358" s="38">
        <f t="shared" si="327"/>
        <v>0</v>
      </c>
      <c r="CB358" s="38">
        <f t="shared" si="328"/>
        <v>0</v>
      </c>
      <c r="CC358" s="38">
        <f t="shared" si="329"/>
        <v>0</v>
      </c>
      <c r="CD358" s="38">
        <f t="shared" si="330"/>
        <v>1.8162345313869486</v>
      </c>
      <c r="CE358" s="38">
        <f t="shared" si="331"/>
        <v>2.8969711572825014</v>
      </c>
      <c r="CF358" s="38">
        <f t="shared" si="332"/>
        <v>2.7529484290675841</v>
      </c>
      <c r="CG358" s="38">
        <f t="shared" si="333"/>
        <v>7.9752121964949634</v>
      </c>
      <c r="CH358" s="15"/>
      <c r="CI358" s="16"/>
      <c r="CJ358" s="13"/>
      <c r="CK358" s="104"/>
      <c r="CL358" s="13"/>
      <c r="CM358" s="13"/>
      <c r="CN358" s="13"/>
      <c r="CO358" s="16"/>
      <c r="CP358" s="16"/>
      <c r="CQ358" s="16"/>
      <c r="CR358" s="16"/>
      <c r="CS358" s="16"/>
      <c r="CT358" s="16"/>
      <c r="CU358" s="16"/>
      <c r="CV358" s="16"/>
      <c r="CW358" s="16"/>
      <c r="CX358" s="16"/>
      <c r="CY358" s="104"/>
      <c r="CZ358" s="104"/>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3"/>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row>
    <row r="359" spans="1:167" x14ac:dyDescent="0.25">
      <c r="A359" s="35" t="s">
        <v>93</v>
      </c>
      <c r="B359" s="15">
        <v>1150</v>
      </c>
      <c r="C359" s="102" t="s">
        <v>101</v>
      </c>
      <c r="D359" s="102" t="s">
        <v>107</v>
      </c>
      <c r="E359" s="15">
        <v>308</v>
      </c>
      <c r="F359" s="16">
        <v>45.24</v>
      </c>
      <c r="G359" s="16">
        <v>0</v>
      </c>
      <c r="H359" s="16">
        <v>34.96</v>
      </c>
      <c r="I359" s="16">
        <v>0</v>
      </c>
      <c r="J359" s="16">
        <v>0.59899999999999998</v>
      </c>
      <c r="K359" s="16">
        <v>0</v>
      </c>
      <c r="L359" s="16">
        <v>0</v>
      </c>
      <c r="M359" s="16">
        <v>18.84</v>
      </c>
      <c r="N359" s="16">
        <v>0.98099999999999998</v>
      </c>
      <c r="O359" s="16">
        <v>2.1999999999999999E-2</v>
      </c>
      <c r="P359" s="16">
        <v>0</v>
      </c>
      <c r="Q359" s="16"/>
      <c r="R359" s="16"/>
      <c r="S359" s="16">
        <f t="shared" si="279"/>
        <v>100.64200000000001</v>
      </c>
      <c r="T359" s="16"/>
      <c r="U359" s="15"/>
      <c r="V359" s="15"/>
      <c r="W359" s="15"/>
      <c r="X359" s="15" t="s">
        <v>185</v>
      </c>
      <c r="Y359" s="15"/>
      <c r="Z359" s="37">
        <v>8</v>
      </c>
      <c r="AA359" s="37">
        <v>5</v>
      </c>
      <c r="AB359" s="15"/>
      <c r="AC359" s="38">
        <f t="shared" si="280"/>
        <v>2.0808342337629018</v>
      </c>
      <c r="AD359" s="38">
        <f t="shared" si="281"/>
        <v>0</v>
      </c>
      <c r="AE359" s="38">
        <f t="shared" si="282"/>
        <v>1.8950313752857999</v>
      </c>
      <c r="AF359" s="38">
        <f t="shared" si="283"/>
        <v>0</v>
      </c>
      <c r="AG359" s="38">
        <f t="shared" si="284"/>
        <v>2.3038004665727915E-2</v>
      </c>
      <c r="AH359" s="38">
        <f t="shared" si="285"/>
        <v>0</v>
      </c>
      <c r="AI359" s="38">
        <f t="shared" si="286"/>
        <v>0</v>
      </c>
      <c r="AJ359" s="38">
        <f t="shared" si="287"/>
        <v>0.92836274817817077</v>
      </c>
      <c r="AK359" s="38">
        <f t="shared" si="288"/>
        <v>8.7476670171654933E-2</v>
      </c>
      <c r="AL359" s="38">
        <f t="shared" si="289"/>
        <v>1.2907632315400442E-3</v>
      </c>
      <c r="AM359" s="38">
        <f t="shared" si="290"/>
        <v>0</v>
      </c>
      <c r="AN359" s="38">
        <f t="shared" si="291"/>
        <v>0</v>
      </c>
      <c r="AO359" s="38">
        <f t="shared" si="292"/>
        <v>0</v>
      </c>
      <c r="AP359" s="38">
        <f t="shared" si="293"/>
        <v>5.0160337952957956</v>
      </c>
      <c r="AQ359" s="38">
        <f t="shared" si="294"/>
        <v>3.9758656090487019</v>
      </c>
      <c r="AR359" s="38">
        <f t="shared" si="295"/>
        <v>1.0171301815813656</v>
      </c>
      <c r="AS359" s="40"/>
      <c r="AT359" s="38">
        <f t="shared" si="296"/>
        <v>2.0741828291850601</v>
      </c>
      <c r="AU359" s="38">
        <f t="shared" si="297"/>
        <v>0</v>
      </c>
      <c r="AV359" s="38">
        <f t="shared" si="298"/>
        <v>1.8889738911478466</v>
      </c>
      <c r="AW359" s="38">
        <f t="shared" si="299"/>
        <v>0</v>
      </c>
      <c r="AX359" s="38">
        <f t="shared" si="300"/>
        <v>0</v>
      </c>
      <c r="AY359" s="38">
        <f t="shared" si="301"/>
        <v>2.2964363485084297E-2</v>
      </c>
      <c r="AZ359" s="38">
        <f t="shared" si="302"/>
        <v>0</v>
      </c>
      <c r="BA359" s="38">
        <f t="shared" si="303"/>
        <v>0</v>
      </c>
      <c r="BB359" s="38">
        <f t="shared" si="304"/>
        <v>0.92539522864540946</v>
      </c>
      <c r="BC359" s="38">
        <f t="shared" si="305"/>
        <v>8.7197050240863105E-2</v>
      </c>
      <c r="BD359" s="38">
        <f t="shared" si="306"/>
        <v>1.2866372957360905E-3</v>
      </c>
      <c r="BE359" s="38">
        <f t="shared" si="307"/>
        <v>0</v>
      </c>
      <c r="BF359" s="38">
        <f t="shared" si="308"/>
        <v>0</v>
      </c>
      <c r="BG359" s="38">
        <f t="shared" si="309"/>
        <v>0</v>
      </c>
      <c r="BH359" s="41">
        <f t="shared" si="310"/>
        <v>5</v>
      </c>
      <c r="BI359" s="42">
        <f t="shared" si="311"/>
        <v>7.985910112733225</v>
      </c>
      <c r="BJ359" s="38">
        <f t="shared" si="312"/>
        <v>3.9631567203329068</v>
      </c>
      <c r="BK359" s="38">
        <f t="shared" si="313"/>
        <v>1.0138789161820085</v>
      </c>
      <c r="BL359" s="16"/>
      <c r="BM359" s="16">
        <f t="shared" si="314"/>
        <v>0.91272755935215177</v>
      </c>
      <c r="BN359" s="16">
        <f t="shared" si="315"/>
        <v>8.6003416038301111E-2</v>
      </c>
      <c r="BO359" s="16">
        <f t="shared" si="316"/>
        <v>1.2690246095472778E-3</v>
      </c>
      <c r="BP359" s="15"/>
      <c r="BQ359" s="38">
        <f t="shared" si="317"/>
        <v>0.75299600532623179</v>
      </c>
      <c r="BR359" s="38">
        <f t="shared" si="318"/>
        <v>0</v>
      </c>
      <c r="BS359" s="38">
        <f t="shared" si="319"/>
        <v>0.6857591212240095</v>
      </c>
      <c r="BT359" s="38">
        <f t="shared" si="320"/>
        <v>0</v>
      </c>
      <c r="BU359" s="38">
        <f t="shared" si="321"/>
        <v>8.3368128044537231E-3</v>
      </c>
      <c r="BV359" s="38">
        <f t="shared" si="322"/>
        <v>0</v>
      </c>
      <c r="BW359" s="38">
        <f t="shared" si="323"/>
        <v>0</v>
      </c>
      <c r="BX359" s="38">
        <f t="shared" si="324"/>
        <v>0.33594864479315267</v>
      </c>
      <c r="BY359" s="38">
        <f t="shared" si="325"/>
        <v>3.1655372700871251E-2</v>
      </c>
      <c r="BZ359" s="38">
        <f t="shared" si="326"/>
        <v>4.6709129511677281E-4</v>
      </c>
      <c r="CA359" s="38">
        <f t="shared" si="327"/>
        <v>0</v>
      </c>
      <c r="CB359" s="38">
        <f t="shared" si="328"/>
        <v>0</v>
      </c>
      <c r="CC359" s="38">
        <f t="shared" si="329"/>
        <v>0</v>
      </c>
      <c r="CD359" s="38">
        <f t="shared" si="330"/>
        <v>1.8151630481438357</v>
      </c>
      <c r="CE359" s="38">
        <f t="shared" si="331"/>
        <v>2.8949773820840785</v>
      </c>
      <c r="CF359" s="38">
        <f t="shared" si="332"/>
        <v>2.7545734831440849</v>
      </c>
      <c r="CG359" s="38">
        <f t="shared" si="333"/>
        <v>7.974427930990684</v>
      </c>
      <c r="CH359" s="15"/>
      <c r="CI359" s="16"/>
      <c r="CJ359" s="13"/>
      <c r="CK359" s="104"/>
      <c r="CL359" s="13"/>
      <c r="CM359" s="13"/>
      <c r="CN359" s="13"/>
      <c r="CO359" s="16"/>
      <c r="CP359" s="16"/>
      <c r="CQ359" s="16"/>
      <c r="CR359" s="16"/>
      <c r="CS359" s="16"/>
      <c r="CT359" s="16"/>
      <c r="CU359" s="16"/>
      <c r="CV359" s="16"/>
      <c r="CW359" s="16"/>
      <c r="CX359" s="16"/>
      <c r="CY359" s="104"/>
      <c r="CZ359" s="104"/>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3"/>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row>
    <row r="360" spans="1:167" x14ac:dyDescent="0.25">
      <c r="A360" s="35" t="s">
        <v>93</v>
      </c>
      <c r="B360" s="15">
        <v>1151</v>
      </c>
      <c r="C360" s="102" t="s">
        <v>101</v>
      </c>
      <c r="D360" s="102" t="s">
        <v>107</v>
      </c>
      <c r="E360" s="15">
        <v>309</v>
      </c>
      <c r="F360" s="16">
        <v>45.48</v>
      </c>
      <c r="G360" s="16">
        <v>0</v>
      </c>
      <c r="H360" s="16">
        <v>34.619999999999997</v>
      </c>
      <c r="I360" s="16">
        <v>0</v>
      </c>
      <c r="J360" s="16">
        <v>0.53300000000000003</v>
      </c>
      <c r="K360" s="16">
        <v>0</v>
      </c>
      <c r="L360" s="16">
        <v>0</v>
      </c>
      <c r="M360" s="16">
        <v>18.809999999999999</v>
      </c>
      <c r="N360" s="16">
        <v>1.1120000000000001</v>
      </c>
      <c r="O360" s="16">
        <v>2.1000000000000001E-2</v>
      </c>
      <c r="P360" s="16">
        <v>0</v>
      </c>
      <c r="Q360" s="16"/>
      <c r="R360" s="16"/>
      <c r="S360" s="16">
        <f t="shared" si="279"/>
        <v>100.57599999999999</v>
      </c>
      <c r="T360" s="16"/>
      <c r="U360" s="15"/>
      <c r="V360" s="15"/>
      <c r="W360" s="15"/>
      <c r="X360" s="15" t="s">
        <v>185</v>
      </c>
      <c r="Y360" s="15"/>
      <c r="Z360" s="37">
        <v>8</v>
      </c>
      <c r="AA360" s="37">
        <v>5</v>
      </c>
      <c r="AB360" s="15"/>
      <c r="AC360" s="38">
        <f t="shared" si="280"/>
        <v>2.0928600376293574</v>
      </c>
      <c r="AD360" s="38">
        <f t="shared" si="281"/>
        <v>0</v>
      </c>
      <c r="AE360" s="38">
        <f t="shared" si="282"/>
        <v>1.8774867717296488</v>
      </c>
      <c r="AF360" s="38">
        <f t="shared" si="283"/>
        <v>0</v>
      </c>
      <c r="AG360" s="38">
        <f t="shared" si="284"/>
        <v>2.0509264682600437E-2</v>
      </c>
      <c r="AH360" s="38">
        <f t="shared" si="285"/>
        <v>0</v>
      </c>
      <c r="AI360" s="38">
        <f t="shared" si="286"/>
        <v>0</v>
      </c>
      <c r="AJ360" s="38">
        <f t="shared" si="287"/>
        <v>0.92732174535699008</v>
      </c>
      <c r="AK360" s="38">
        <f t="shared" si="288"/>
        <v>9.9204840767412331E-2</v>
      </c>
      <c r="AL360" s="38">
        <f t="shared" si="289"/>
        <v>1.2326734470326465E-3</v>
      </c>
      <c r="AM360" s="38">
        <f t="shared" si="290"/>
        <v>0</v>
      </c>
      <c r="AN360" s="38">
        <f t="shared" si="291"/>
        <v>0</v>
      </c>
      <c r="AO360" s="38">
        <f t="shared" si="292"/>
        <v>0</v>
      </c>
      <c r="AP360" s="38">
        <f t="shared" si="293"/>
        <v>5.0186153336130417</v>
      </c>
      <c r="AQ360" s="38">
        <f t="shared" si="294"/>
        <v>3.9703468093590062</v>
      </c>
      <c r="AR360" s="38">
        <f t="shared" si="295"/>
        <v>1.0277592595714351</v>
      </c>
      <c r="AS360" s="40"/>
      <c r="AT360" s="38">
        <f t="shared" si="296"/>
        <v>2.0850970820696961</v>
      </c>
      <c r="AU360" s="38">
        <f t="shared" si="297"/>
        <v>0</v>
      </c>
      <c r="AV360" s="38">
        <f t="shared" si="298"/>
        <v>1.8705226909451069</v>
      </c>
      <c r="AW360" s="38">
        <f t="shared" si="299"/>
        <v>0</v>
      </c>
      <c r="AX360" s="38">
        <f t="shared" si="300"/>
        <v>0</v>
      </c>
      <c r="AY360" s="38">
        <f t="shared" si="301"/>
        <v>2.0433190550823946E-2</v>
      </c>
      <c r="AZ360" s="38">
        <f t="shared" si="302"/>
        <v>0</v>
      </c>
      <c r="BA360" s="38">
        <f t="shared" si="303"/>
        <v>0</v>
      </c>
      <c r="BB360" s="38">
        <f t="shared" si="304"/>
        <v>0.9238820707637152</v>
      </c>
      <c r="BC360" s="38">
        <f t="shared" si="305"/>
        <v>9.8836864526128138E-2</v>
      </c>
      <c r="BD360" s="38">
        <f t="shared" si="306"/>
        <v>1.2281011445294514E-3</v>
      </c>
      <c r="BE360" s="38">
        <f t="shared" si="307"/>
        <v>0</v>
      </c>
      <c r="BF360" s="38">
        <f t="shared" si="308"/>
        <v>0</v>
      </c>
      <c r="BG360" s="38">
        <f t="shared" si="309"/>
        <v>0</v>
      </c>
      <c r="BH360" s="41">
        <f t="shared" si="310"/>
        <v>5</v>
      </c>
      <c r="BI360" s="42">
        <f t="shared" si="311"/>
        <v>7.9805425399823324</v>
      </c>
      <c r="BJ360" s="38">
        <f t="shared" si="312"/>
        <v>3.9556197730148028</v>
      </c>
      <c r="BK360" s="38">
        <f t="shared" si="313"/>
        <v>1.0239470364343728</v>
      </c>
      <c r="BL360" s="16"/>
      <c r="BM360" s="16">
        <f t="shared" si="314"/>
        <v>0.90227525242017625</v>
      </c>
      <c r="BN360" s="16">
        <f t="shared" si="315"/>
        <v>9.6525368021281283E-2</v>
      </c>
      <c r="BO360" s="16">
        <f t="shared" si="316"/>
        <v>1.1993795585423948E-3</v>
      </c>
      <c r="BP360" s="15"/>
      <c r="BQ360" s="38">
        <f t="shared" si="317"/>
        <v>0.75699067909454054</v>
      </c>
      <c r="BR360" s="38">
        <f t="shared" si="318"/>
        <v>0</v>
      </c>
      <c r="BS360" s="38">
        <f t="shared" si="319"/>
        <v>0.6790898391526089</v>
      </c>
      <c r="BT360" s="38">
        <f t="shared" si="320"/>
        <v>0</v>
      </c>
      <c r="BU360" s="38">
        <f t="shared" si="321"/>
        <v>7.418232428670843E-3</v>
      </c>
      <c r="BV360" s="38">
        <f t="shared" si="322"/>
        <v>0</v>
      </c>
      <c r="BW360" s="38">
        <f t="shared" si="323"/>
        <v>0</v>
      </c>
      <c r="BX360" s="38">
        <f t="shared" si="324"/>
        <v>0.33541369472182597</v>
      </c>
      <c r="BY360" s="38">
        <f t="shared" si="325"/>
        <v>3.5882542755727657E-2</v>
      </c>
      <c r="BZ360" s="38">
        <f t="shared" si="326"/>
        <v>4.4585987261146497E-4</v>
      </c>
      <c r="CA360" s="38">
        <f t="shared" si="327"/>
        <v>0</v>
      </c>
      <c r="CB360" s="38">
        <f t="shared" si="328"/>
        <v>0</v>
      </c>
      <c r="CC360" s="38">
        <f t="shared" si="329"/>
        <v>0</v>
      </c>
      <c r="CD360" s="38">
        <f t="shared" si="330"/>
        <v>1.8152408480259854</v>
      </c>
      <c r="CE360" s="38">
        <f t="shared" si="331"/>
        <v>2.8936122453826605</v>
      </c>
      <c r="CF360" s="38">
        <f t="shared" si="332"/>
        <v>2.7544554241589125</v>
      </c>
      <c r="CG360" s="38">
        <f t="shared" si="333"/>
        <v>7.9703259447069197</v>
      </c>
      <c r="CH360" s="15"/>
      <c r="CI360" s="16"/>
      <c r="CJ360" s="13"/>
      <c r="CK360" s="104"/>
      <c r="CL360" s="13"/>
      <c r="CM360" s="13"/>
      <c r="CN360" s="13"/>
      <c r="CO360" s="16"/>
      <c r="CP360" s="16"/>
      <c r="CQ360" s="16"/>
      <c r="CR360" s="16"/>
      <c r="CS360" s="16"/>
      <c r="CT360" s="16"/>
      <c r="CU360" s="16"/>
      <c r="CV360" s="16"/>
      <c r="CW360" s="16"/>
      <c r="CX360" s="16"/>
      <c r="CY360" s="104"/>
      <c r="CZ360" s="104"/>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3"/>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row>
    <row r="361" spans="1:167" x14ac:dyDescent="0.25">
      <c r="A361" s="35" t="s">
        <v>93</v>
      </c>
      <c r="B361" s="15">
        <v>1152</v>
      </c>
      <c r="C361" s="102" t="s">
        <v>101</v>
      </c>
      <c r="D361" s="102" t="s">
        <v>107</v>
      </c>
      <c r="E361" s="15">
        <v>310</v>
      </c>
      <c r="F361" s="16">
        <v>45.57</v>
      </c>
      <c r="G361" s="16">
        <v>0</v>
      </c>
      <c r="H361" s="16">
        <v>34.36</v>
      </c>
      <c r="I361" s="16">
        <v>0</v>
      </c>
      <c r="J361" s="16">
        <v>0.63500000000000001</v>
      </c>
      <c r="K361" s="16">
        <v>0</v>
      </c>
      <c r="L361" s="16">
        <v>0</v>
      </c>
      <c r="M361" s="16">
        <v>18.54</v>
      </c>
      <c r="N361" s="16">
        <v>1.1439999999999999</v>
      </c>
      <c r="O361" s="16">
        <v>1.2999999999999999E-2</v>
      </c>
      <c r="P361" s="16">
        <v>0</v>
      </c>
      <c r="Q361" s="16"/>
      <c r="R361" s="16"/>
      <c r="S361" s="16">
        <f t="shared" si="279"/>
        <v>100.26200000000003</v>
      </c>
      <c r="T361" s="16"/>
      <c r="U361" s="15"/>
      <c r="V361" s="15"/>
      <c r="W361" s="15"/>
      <c r="X361" s="15" t="s">
        <v>185</v>
      </c>
      <c r="Y361" s="15"/>
      <c r="Z361" s="37">
        <v>8</v>
      </c>
      <c r="AA361" s="37">
        <v>5</v>
      </c>
      <c r="AB361" s="15"/>
      <c r="AC361" s="38">
        <f t="shared" si="280"/>
        <v>2.1025366366886646</v>
      </c>
      <c r="AD361" s="38">
        <f t="shared" si="281"/>
        <v>0</v>
      </c>
      <c r="AE361" s="38">
        <f t="shared" si="282"/>
        <v>1.8683050666038385</v>
      </c>
      <c r="AF361" s="38">
        <f t="shared" si="283"/>
        <v>0</v>
      </c>
      <c r="AG361" s="38">
        <f t="shared" si="284"/>
        <v>2.4498608660204917E-2</v>
      </c>
      <c r="AH361" s="38">
        <f t="shared" si="285"/>
        <v>0</v>
      </c>
      <c r="AI361" s="38">
        <f t="shared" si="286"/>
        <v>0</v>
      </c>
      <c r="AJ361" s="38">
        <f t="shared" si="287"/>
        <v>0.91642344731514891</v>
      </c>
      <c r="AK361" s="38">
        <f t="shared" si="288"/>
        <v>0.10232904375440728</v>
      </c>
      <c r="AL361" s="38">
        <f t="shared" si="289"/>
        <v>7.650977287080394E-4</v>
      </c>
      <c r="AM361" s="38">
        <f t="shared" si="290"/>
        <v>0</v>
      </c>
      <c r="AN361" s="38">
        <f t="shared" si="291"/>
        <v>0</v>
      </c>
      <c r="AO361" s="38">
        <f t="shared" si="292"/>
        <v>0</v>
      </c>
      <c r="AP361" s="38">
        <f t="shared" si="293"/>
        <v>5.0148579007509726</v>
      </c>
      <c r="AQ361" s="38">
        <f t="shared" si="294"/>
        <v>3.9708417032925034</v>
      </c>
      <c r="AR361" s="38">
        <f t="shared" si="295"/>
        <v>1.0195175887982644</v>
      </c>
      <c r="AS361" s="40"/>
      <c r="AT361" s="38">
        <f t="shared" si="296"/>
        <v>2.0963072915523795</v>
      </c>
      <c r="AU361" s="38">
        <f t="shared" si="297"/>
        <v>0</v>
      </c>
      <c r="AV361" s="38">
        <f t="shared" si="298"/>
        <v>1.8627696971474115</v>
      </c>
      <c r="AW361" s="38">
        <f t="shared" si="299"/>
        <v>0</v>
      </c>
      <c r="AX361" s="38">
        <f t="shared" si="300"/>
        <v>0</v>
      </c>
      <c r="AY361" s="38">
        <f t="shared" si="301"/>
        <v>2.442602476985067E-2</v>
      </c>
      <c r="AZ361" s="38">
        <f t="shared" si="302"/>
        <v>0</v>
      </c>
      <c r="BA361" s="38">
        <f t="shared" si="303"/>
        <v>0</v>
      </c>
      <c r="BB361" s="38">
        <f t="shared" si="304"/>
        <v>0.91370828989782038</v>
      </c>
      <c r="BC361" s="38">
        <f t="shared" si="305"/>
        <v>0.10202586571703613</v>
      </c>
      <c r="BD361" s="38">
        <f t="shared" si="306"/>
        <v>7.6283091550158018E-4</v>
      </c>
      <c r="BE361" s="38">
        <f t="shared" si="307"/>
        <v>0</v>
      </c>
      <c r="BF361" s="38">
        <f t="shared" si="308"/>
        <v>0</v>
      </c>
      <c r="BG361" s="38">
        <f t="shared" si="309"/>
        <v>0</v>
      </c>
      <c r="BH361" s="41">
        <f t="shared" si="310"/>
        <v>5</v>
      </c>
      <c r="BI361" s="42">
        <f t="shared" si="311"/>
        <v>7.9885108041947408</v>
      </c>
      <c r="BJ361" s="38">
        <f t="shared" si="312"/>
        <v>3.959076988699791</v>
      </c>
      <c r="BK361" s="38">
        <f t="shared" si="313"/>
        <v>1.0164969865303581</v>
      </c>
      <c r="BL361" s="16"/>
      <c r="BM361" s="16">
        <f t="shared" si="314"/>
        <v>0.89887948710660737</v>
      </c>
      <c r="BN361" s="16">
        <f t="shared" si="315"/>
        <v>0.10037006215363636</v>
      </c>
      <c r="BO361" s="16">
        <f t="shared" si="316"/>
        <v>7.5045073975612598E-4</v>
      </c>
      <c r="BP361" s="15"/>
      <c r="BQ361" s="38">
        <f t="shared" si="317"/>
        <v>0.75848868175765649</v>
      </c>
      <c r="BR361" s="38">
        <f t="shared" si="318"/>
        <v>0</v>
      </c>
      <c r="BS361" s="38">
        <f t="shared" si="319"/>
        <v>0.67398979992153785</v>
      </c>
      <c r="BT361" s="38">
        <f t="shared" si="320"/>
        <v>0</v>
      </c>
      <c r="BU361" s="38">
        <f t="shared" si="321"/>
        <v>8.8378566457898416E-3</v>
      </c>
      <c r="BV361" s="38">
        <f t="shared" si="322"/>
        <v>0</v>
      </c>
      <c r="BW361" s="38">
        <f t="shared" si="323"/>
        <v>0</v>
      </c>
      <c r="BX361" s="38">
        <f t="shared" si="324"/>
        <v>0.33059914407988589</v>
      </c>
      <c r="BY361" s="38">
        <f t="shared" si="325"/>
        <v>3.6915133914165857E-2</v>
      </c>
      <c r="BZ361" s="38">
        <f t="shared" si="326"/>
        <v>2.7600849256900208E-4</v>
      </c>
      <c r="CA361" s="38">
        <f t="shared" si="327"/>
        <v>0</v>
      </c>
      <c r="CB361" s="38">
        <f t="shared" si="328"/>
        <v>0</v>
      </c>
      <c r="CC361" s="38">
        <f t="shared" si="329"/>
        <v>0</v>
      </c>
      <c r="CD361" s="38">
        <f t="shared" si="330"/>
        <v>1.809106624811605</v>
      </c>
      <c r="CE361" s="38">
        <f t="shared" si="331"/>
        <v>2.8859946353266634</v>
      </c>
      <c r="CF361" s="38">
        <f t="shared" si="332"/>
        <v>2.7637950861634177</v>
      </c>
      <c r="CG361" s="38">
        <f t="shared" si="333"/>
        <v>7.9762977918098175</v>
      </c>
      <c r="CH361" s="15"/>
      <c r="CI361" s="16"/>
      <c r="CJ361" s="13"/>
      <c r="CK361" s="104"/>
      <c r="CL361" s="13"/>
      <c r="CM361" s="13"/>
      <c r="CN361" s="13"/>
      <c r="CO361" s="16"/>
      <c r="CP361" s="16"/>
      <c r="CQ361" s="16"/>
      <c r="CR361" s="16"/>
      <c r="CS361" s="16"/>
      <c r="CT361" s="16"/>
      <c r="CU361" s="16"/>
      <c r="CV361" s="16"/>
      <c r="CW361" s="16"/>
      <c r="CX361" s="16"/>
      <c r="CY361" s="104"/>
      <c r="CZ361" s="104"/>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3"/>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row>
    <row r="362" spans="1:167" x14ac:dyDescent="0.25">
      <c r="A362" s="35" t="s">
        <v>93</v>
      </c>
      <c r="B362" s="15">
        <v>1153</v>
      </c>
      <c r="C362" s="102" t="s">
        <v>101</v>
      </c>
      <c r="D362" s="102" t="s">
        <v>107</v>
      </c>
      <c r="E362" s="15">
        <v>311</v>
      </c>
      <c r="F362" s="16">
        <v>45.58</v>
      </c>
      <c r="G362" s="16">
        <v>0</v>
      </c>
      <c r="H362" s="16">
        <v>34.130000000000003</v>
      </c>
      <c r="I362" s="16">
        <v>0</v>
      </c>
      <c r="J362" s="16">
        <v>0.41299999999999998</v>
      </c>
      <c r="K362" s="16">
        <v>0</v>
      </c>
      <c r="L362" s="16">
        <v>0</v>
      </c>
      <c r="M362" s="16">
        <v>18.55</v>
      </c>
      <c r="N362" s="16">
        <v>1.093</v>
      </c>
      <c r="O362" s="16">
        <v>2.4E-2</v>
      </c>
      <c r="P362" s="16">
        <v>0</v>
      </c>
      <c r="Q362" s="16"/>
      <c r="R362" s="16"/>
      <c r="S362" s="16">
        <f t="shared" si="279"/>
        <v>99.79</v>
      </c>
      <c r="T362" s="16"/>
      <c r="U362" s="15"/>
      <c r="V362" s="15"/>
      <c r="W362" s="15"/>
      <c r="X362" s="15" t="s">
        <v>185</v>
      </c>
      <c r="Y362" s="15"/>
      <c r="Z362" s="37">
        <v>8</v>
      </c>
      <c r="AA362" s="37">
        <v>5</v>
      </c>
      <c r="AB362" s="15"/>
      <c r="AC362" s="38">
        <f t="shared" si="280"/>
        <v>2.1103484233304148</v>
      </c>
      <c r="AD362" s="38">
        <f t="shared" si="281"/>
        <v>0</v>
      </c>
      <c r="AE362" s="38">
        <f t="shared" si="282"/>
        <v>1.862285340124729</v>
      </c>
      <c r="AF362" s="38">
        <f t="shared" si="283"/>
        <v>0</v>
      </c>
      <c r="AG362" s="38">
        <f t="shared" si="284"/>
        <v>1.5989432375061799E-2</v>
      </c>
      <c r="AH362" s="38">
        <f t="shared" si="285"/>
        <v>0</v>
      </c>
      <c r="AI362" s="38">
        <f t="shared" si="286"/>
        <v>0</v>
      </c>
      <c r="AJ362" s="38">
        <f t="shared" si="287"/>
        <v>0.92012255427860445</v>
      </c>
      <c r="AK362" s="38">
        <f t="shared" si="288"/>
        <v>9.8108887952606125E-2</v>
      </c>
      <c r="AL362" s="38">
        <f t="shared" si="289"/>
        <v>1.4174250442136179E-3</v>
      </c>
      <c r="AM362" s="38">
        <f t="shared" si="290"/>
        <v>0</v>
      </c>
      <c r="AN362" s="38">
        <f t="shared" si="291"/>
        <v>0</v>
      </c>
      <c r="AO362" s="38">
        <f t="shared" si="292"/>
        <v>0</v>
      </c>
      <c r="AP362" s="38">
        <f t="shared" si="293"/>
        <v>5.0082720631056308</v>
      </c>
      <c r="AQ362" s="38">
        <f t="shared" si="294"/>
        <v>3.9726337634551436</v>
      </c>
      <c r="AR362" s="38">
        <f t="shared" si="295"/>
        <v>1.0196488672754243</v>
      </c>
      <c r="AS362" s="40"/>
      <c r="AT362" s="38">
        <f t="shared" si="296"/>
        <v>2.1068628029182861</v>
      </c>
      <c r="AU362" s="38">
        <f t="shared" si="297"/>
        <v>0</v>
      </c>
      <c r="AV362" s="38">
        <f t="shared" si="298"/>
        <v>1.8592094405609485</v>
      </c>
      <c r="AW362" s="38">
        <f t="shared" si="299"/>
        <v>0</v>
      </c>
      <c r="AX362" s="38">
        <f t="shared" si="300"/>
        <v>0</v>
      </c>
      <c r="AY362" s="38">
        <f t="shared" si="301"/>
        <v>1.5963022948424603E-2</v>
      </c>
      <c r="AZ362" s="38">
        <f t="shared" si="302"/>
        <v>0</v>
      </c>
      <c r="BA362" s="38">
        <f t="shared" si="303"/>
        <v>0</v>
      </c>
      <c r="BB362" s="38">
        <f t="shared" si="304"/>
        <v>0.91860280620222179</v>
      </c>
      <c r="BC362" s="38">
        <f t="shared" si="305"/>
        <v>9.7946843458588798E-2</v>
      </c>
      <c r="BD362" s="38">
        <f t="shared" si="306"/>
        <v>1.4150839115304298E-3</v>
      </c>
      <c r="BE362" s="38">
        <f t="shared" si="307"/>
        <v>0</v>
      </c>
      <c r="BF362" s="38">
        <f t="shared" si="308"/>
        <v>0</v>
      </c>
      <c r="BG362" s="38">
        <f t="shared" si="309"/>
        <v>0</v>
      </c>
      <c r="BH362" s="41">
        <f t="shared" si="310"/>
        <v>5.0000000000000009</v>
      </c>
      <c r="BI362" s="42">
        <f t="shared" si="311"/>
        <v>7.994768070987913</v>
      </c>
      <c r="BJ362" s="38">
        <f t="shared" si="312"/>
        <v>3.9660722434792346</v>
      </c>
      <c r="BK362" s="38">
        <f t="shared" si="313"/>
        <v>1.017964733572341</v>
      </c>
      <c r="BL362" s="16"/>
      <c r="BM362" s="16">
        <f t="shared" si="314"/>
        <v>0.90239158185625079</v>
      </c>
      <c r="BN362" s="16">
        <f t="shared" si="315"/>
        <v>9.6218307204871609E-2</v>
      </c>
      <c r="BO362" s="16">
        <f t="shared" si="316"/>
        <v>1.3901109388774985E-3</v>
      </c>
      <c r="BP362" s="15"/>
      <c r="BQ362" s="38">
        <f t="shared" si="317"/>
        <v>0.75865512649800271</v>
      </c>
      <c r="BR362" s="38">
        <f t="shared" si="318"/>
        <v>0</v>
      </c>
      <c r="BS362" s="38">
        <f t="shared" si="319"/>
        <v>0.66947822675559054</v>
      </c>
      <c r="BT362" s="38">
        <f t="shared" si="320"/>
        <v>0</v>
      </c>
      <c r="BU362" s="38">
        <f t="shared" si="321"/>
        <v>5.7480862908837861E-3</v>
      </c>
      <c r="BV362" s="38">
        <f t="shared" si="322"/>
        <v>0</v>
      </c>
      <c r="BW362" s="38">
        <f t="shared" si="323"/>
        <v>0</v>
      </c>
      <c r="BX362" s="38">
        <f t="shared" si="324"/>
        <v>0.3307774607703281</v>
      </c>
      <c r="BY362" s="38">
        <f t="shared" si="325"/>
        <v>3.5269441755404973E-2</v>
      </c>
      <c r="BZ362" s="38">
        <f t="shared" si="326"/>
        <v>5.0955414012738849E-4</v>
      </c>
      <c r="CA362" s="38">
        <f t="shared" si="327"/>
        <v>0</v>
      </c>
      <c r="CB362" s="38">
        <f t="shared" si="328"/>
        <v>0</v>
      </c>
      <c r="CC362" s="38">
        <f t="shared" si="329"/>
        <v>0</v>
      </c>
      <c r="CD362" s="38">
        <f t="shared" si="330"/>
        <v>1.8004378962103376</v>
      </c>
      <c r="CE362" s="38">
        <f t="shared" si="331"/>
        <v>2.8759426381383695</v>
      </c>
      <c r="CF362" s="38">
        <f t="shared" si="332"/>
        <v>2.7771021763784689</v>
      </c>
      <c r="CG362" s="38">
        <f t="shared" si="333"/>
        <v>7.9867865595137015</v>
      </c>
      <c r="CH362" s="15"/>
      <c r="CI362" s="16"/>
      <c r="CJ362" s="13"/>
      <c r="CK362" s="104"/>
      <c r="CL362" s="13"/>
      <c r="CM362" s="13"/>
      <c r="CN362" s="13"/>
      <c r="CO362" s="16"/>
      <c r="CP362" s="16"/>
      <c r="CQ362" s="16"/>
      <c r="CR362" s="16"/>
      <c r="CS362" s="16"/>
      <c r="CT362" s="16"/>
      <c r="CU362" s="16"/>
      <c r="CV362" s="16"/>
      <c r="CW362" s="16"/>
      <c r="CX362" s="16"/>
      <c r="CY362" s="104"/>
      <c r="CZ362" s="104"/>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3"/>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row>
    <row r="363" spans="1:167" x14ac:dyDescent="0.25">
      <c r="A363" s="35" t="s">
        <v>93</v>
      </c>
      <c r="B363" s="15">
        <v>1154</v>
      </c>
      <c r="C363" s="102" t="s">
        <v>101</v>
      </c>
      <c r="D363" s="102" t="s">
        <v>107</v>
      </c>
      <c r="E363" s="15">
        <v>312</v>
      </c>
      <c r="F363" s="16">
        <v>45.84</v>
      </c>
      <c r="G363" s="16">
        <v>0</v>
      </c>
      <c r="H363" s="16">
        <v>34.5</v>
      </c>
      <c r="I363" s="16">
        <v>0</v>
      </c>
      <c r="J363" s="16">
        <v>0.57399999999999995</v>
      </c>
      <c r="K363" s="16">
        <v>0</v>
      </c>
      <c r="L363" s="16">
        <v>0</v>
      </c>
      <c r="M363" s="16">
        <v>18.649999999999999</v>
      </c>
      <c r="N363" s="16">
        <v>1.1419999999999999</v>
      </c>
      <c r="O363" s="16">
        <v>1.0999999999999999E-2</v>
      </c>
      <c r="P363" s="16">
        <v>0</v>
      </c>
      <c r="Q363" s="16"/>
      <c r="R363" s="16"/>
      <c r="S363" s="16">
        <f t="shared" si="279"/>
        <v>100.71699999999998</v>
      </c>
      <c r="T363" s="16"/>
      <c r="U363" s="15"/>
      <c r="V363" s="15"/>
      <c r="W363" s="15"/>
      <c r="X363" s="15" t="s">
        <v>185</v>
      </c>
      <c r="Y363" s="15"/>
      <c r="Z363" s="37">
        <v>8</v>
      </c>
      <c r="AA363" s="37">
        <v>5</v>
      </c>
      <c r="AB363" s="15"/>
      <c r="AC363" s="38">
        <f t="shared" si="280"/>
        <v>2.1046630565504243</v>
      </c>
      <c r="AD363" s="38">
        <f t="shared" si="281"/>
        <v>0</v>
      </c>
      <c r="AE363" s="38">
        <f t="shared" si="282"/>
        <v>1.8667542849056644</v>
      </c>
      <c r="AF363" s="38">
        <f t="shared" si="283"/>
        <v>0</v>
      </c>
      <c r="AG363" s="38">
        <f t="shared" si="284"/>
        <v>2.2037027461453595E-2</v>
      </c>
      <c r="AH363" s="38">
        <f t="shared" si="285"/>
        <v>0</v>
      </c>
      <c r="AI363" s="38">
        <f t="shared" si="286"/>
        <v>0</v>
      </c>
      <c r="AJ363" s="38">
        <f t="shared" si="287"/>
        <v>0.9173577284726544</v>
      </c>
      <c r="AK363" s="38">
        <f t="shared" si="288"/>
        <v>0.10165117910275728</v>
      </c>
      <c r="AL363" s="38">
        <f t="shared" si="289"/>
        <v>6.442281103353324E-4</v>
      </c>
      <c r="AM363" s="38">
        <f t="shared" si="290"/>
        <v>0</v>
      </c>
      <c r="AN363" s="38">
        <f t="shared" si="291"/>
        <v>0</v>
      </c>
      <c r="AO363" s="38">
        <f t="shared" si="292"/>
        <v>0</v>
      </c>
      <c r="AP363" s="38">
        <f t="shared" si="293"/>
        <v>5.0131075046032896</v>
      </c>
      <c r="AQ363" s="38">
        <f t="shared" si="294"/>
        <v>3.9714173414560889</v>
      </c>
      <c r="AR363" s="38">
        <f t="shared" si="295"/>
        <v>1.019653135685747</v>
      </c>
      <c r="AS363" s="40"/>
      <c r="AT363" s="38">
        <f t="shared" si="296"/>
        <v>2.0991601063988914</v>
      </c>
      <c r="AU363" s="38">
        <f t="shared" si="297"/>
        <v>0</v>
      </c>
      <c r="AV363" s="38">
        <f t="shared" si="298"/>
        <v>1.8618733821202877</v>
      </c>
      <c r="AW363" s="38">
        <f t="shared" si="299"/>
        <v>0</v>
      </c>
      <c r="AX363" s="38">
        <f t="shared" si="300"/>
        <v>0</v>
      </c>
      <c r="AY363" s="38">
        <f t="shared" si="301"/>
        <v>2.1979408422039704E-2</v>
      </c>
      <c r="AZ363" s="38">
        <f t="shared" si="302"/>
        <v>0</v>
      </c>
      <c r="BA363" s="38">
        <f t="shared" si="303"/>
        <v>0</v>
      </c>
      <c r="BB363" s="38">
        <f t="shared" si="304"/>
        <v>0.91495916218661788</v>
      </c>
      <c r="BC363" s="38">
        <f t="shared" si="305"/>
        <v>0.10138539719068065</v>
      </c>
      <c r="BD363" s="38">
        <f t="shared" si="306"/>
        <v>6.4254368148276245E-4</v>
      </c>
      <c r="BE363" s="38">
        <f t="shared" si="307"/>
        <v>0</v>
      </c>
      <c r="BF363" s="38">
        <f t="shared" si="308"/>
        <v>0</v>
      </c>
      <c r="BG363" s="38">
        <f t="shared" si="309"/>
        <v>0</v>
      </c>
      <c r="BH363" s="41">
        <f t="shared" si="310"/>
        <v>5.0000000000000009</v>
      </c>
      <c r="BI363" s="42">
        <f t="shared" si="311"/>
        <v>7.9900725312339729</v>
      </c>
      <c r="BJ363" s="38">
        <f t="shared" si="312"/>
        <v>3.9610334885191794</v>
      </c>
      <c r="BK363" s="38">
        <f t="shared" si="313"/>
        <v>1.0169871030587814</v>
      </c>
      <c r="BL363" s="16"/>
      <c r="BM363" s="16">
        <f t="shared" si="314"/>
        <v>0.89967626869082695</v>
      </c>
      <c r="BN363" s="16">
        <f t="shared" si="315"/>
        <v>9.9691920266977693E-2</v>
      </c>
      <c r="BO363" s="16">
        <f t="shared" si="316"/>
        <v>6.3181104219531465E-4</v>
      </c>
      <c r="BP363" s="15"/>
      <c r="BQ363" s="38">
        <f t="shared" si="317"/>
        <v>0.76298268974700412</v>
      </c>
      <c r="BR363" s="38">
        <f t="shared" si="318"/>
        <v>0</v>
      </c>
      <c r="BS363" s="38">
        <f t="shared" si="319"/>
        <v>0.67673597489211457</v>
      </c>
      <c r="BT363" s="38">
        <f t="shared" si="320"/>
        <v>0</v>
      </c>
      <c r="BU363" s="38">
        <f t="shared" si="321"/>
        <v>7.9888656924147535E-3</v>
      </c>
      <c r="BV363" s="38">
        <f t="shared" si="322"/>
        <v>0</v>
      </c>
      <c r="BW363" s="38">
        <f t="shared" si="323"/>
        <v>0</v>
      </c>
      <c r="BX363" s="38">
        <f t="shared" si="324"/>
        <v>0.33256062767475036</v>
      </c>
      <c r="BY363" s="38">
        <f t="shared" si="325"/>
        <v>3.6850596966763474E-2</v>
      </c>
      <c r="BZ363" s="38">
        <f t="shared" si="326"/>
        <v>2.335456475583864E-4</v>
      </c>
      <c r="CA363" s="38">
        <f t="shared" si="327"/>
        <v>0</v>
      </c>
      <c r="CB363" s="38">
        <f t="shared" si="328"/>
        <v>0</v>
      </c>
      <c r="CC363" s="38">
        <f t="shared" si="329"/>
        <v>0</v>
      </c>
      <c r="CD363" s="38">
        <f t="shared" si="330"/>
        <v>1.8173523006206056</v>
      </c>
      <c r="CE363" s="38">
        <f t="shared" si="331"/>
        <v>2.9001609065065064</v>
      </c>
      <c r="CF363" s="38">
        <f t="shared" si="332"/>
        <v>2.7512552179852832</v>
      </c>
      <c r="CG363" s="38">
        <f t="shared" si="333"/>
        <v>7.979082827022955</v>
      </c>
      <c r="CH363" s="15"/>
      <c r="CI363" s="16"/>
      <c r="CJ363" s="13"/>
      <c r="CK363" s="104"/>
      <c r="CL363" s="13"/>
      <c r="CM363" s="13"/>
      <c r="CN363" s="13"/>
      <c r="CO363" s="16"/>
      <c r="CP363" s="16"/>
      <c r="CQ363" s="16"/>
      <c r="CR363" s="16"/>
      <c r="CS363" s="16"/>
      <c r="CT363" s="16"/>
      <c r="CU363" s="16"/>
      <c r="CV363" s="16"/>
      <c r="CW363" s="16"/>
      <c r="CX363" s="16"/>
      <c r="CY363" s="104"/>
      <c r="CZ363" s="104"/>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3"/>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row>
    <row r="364" spans="1:167" x14ac:dyDescent="0.25">
      <c r="A364" s="35" t="s">
        <v>93</v>
      </c>
      <c r="B364" s="15">
        <v>1155</v>
      </c>
      <c r="C364" s="102" t="s">
        <v>101</v>
      </c>
      <c r="D364" s="102" t="s">
        <v>107</v>
      </c>
      <c r="E364" s="15">
        <v>313</v>
      </c>
      <c r="F364" s="16">
        <v>45.86</v>
      </c>
      <c r="G364" s="16">
        <v>0</v>
      </c>
      <c r="H364" s="16">
        <v>34.35</v>
      </c>
      <c r="I364" s="16">
        <v>0</v>
      </c>
      <c r="J364" s="16">
        <v>0.4</v>
      </c>
      <c r="K364" s="16">
        <v>0</v>
      </c>
      <c r="L364" s="16">
        <v>0</v>
      </c>
      <c r="M364" s="16">
        <v>18.600000000000001</v>
      </c>
      <c r="N364" s="16">
        <v>0.99</v>
      </c>
      <c r="O364" s="16">
        <v>0</v>
      </c>
      <c r="P364" s="16">
        <v>0</v>
      </c>
      <c r="Q364" s="16"/>
      <c r="R364" s="16"/>
      <c r="S364" s="16">
        <f t="shared" si="279"/>
        <v>100.2</v>
      </c>
      <c r="T364" s="16"/>
      <c r="U364" s="15"/>
      <c r="V364" s="15"/>
      <c r="W364" s="15"/>
      <c r="X364" s="15" t="s">
        <v>185</v>
      </c>
      <c r="Y364" s="15"/>
      <c r="Z364" s="37">
        <v>8</v>
      </c>
      <c r="AA364" s="37">
        <v>5</v>
      </c>
      <c r="AB364" s="15"/>
      <c r="AC364" s="38">
        <f t="shared" si="280"/>
        <v>2.1125963464813933</v>
      </c>
      <c r="AD364" s="38">
        <f t="shared" si="281"/>
        <v>0</v>
      </c>
      <c r="AE364" s="38">
        <f t="shared" si="282"/>
        <v>1.8648302622537567</v>
      </c>
      <c r="AF364" s="38">
        <f t="shared" si="283"/>
        <v>0</v>
      </c>
      <c r="AG364" s="38">
        <f t="shared" si="284"/>
        <v>1.5407976835080609E-2</v>
      </c>
      <c r="AH364" s="38">
        <f t="shared" si="285"/>
        <v>0</v>
      </c>
      <c r="AI364" s="38">
        <f t="shared" si="286"/>
        <v>0</v>
      </c>
      <c r="AJ364" s="38">
        <f t="shared" si="287"/>
        <v>0.91794643019659761</v>
      </c>
      <c r="AK364" s="38">
        <f t="shared" si="288"/>
        <v>8.8415013249801236E-2</v>
      </c>
      <c r="AL364" s="38">
        <f t="shared" si="289"/>
        <v>0</v>
      </c>
      <c r="AM364" s="38">
        <f t="shared" si="290"/>
        <v>0</v>
      </c>
      <c r="AN364" s="38">
        <f t="shared" si="291"/>
        <v>0</v>
      </c>
      <c r="AO364" s="38">
        <f t="shared" si="292"/>
        <v>0</v>
      </c>
      <c r="AP364" s="38">
        <f t="shared" si="293"/>
        <v>4.9991960290166295</v>
      </c>
      <c r="AQ364" s="38">
        <f t="shared" si="294"/>
        <v>3.9774266087351497</v>
      </c>
      <c r="AR364" s="38">
        <f t="shared" si="295"/>
        <v>1.0063614434463988</v>
      </c>
      <c r="AS364" s="40"/>
      <c r="AT364" s="38">
        <f t="shared" si="296"/>
        <v>2.1129360943433064</v>
      </c>
      <c r="AU364" s="38">
        <f t="shared" si="297"/>
        <v>0</v>
      </c>
      <c r="AV364" s="38">
        <f t="shared" si="298"/>
        <v>1.8651301643602274</v>
      </c>
      <c r="AW364" s="38">
        <f t="shared" si="299"/>
        <v>0</v>
      </c>
      <c r="AX364" s="38">
        <f t="shared" si="300"/>
        <v>1.5410454746771997E-2</v>
      </c>
      <c r="AY364" s="38">
        <f t="shared" si="301"/>
        <v>0</v>
      </c>
      <c r="AZ364" s="38">
        <f t="shared" si="302"/>
        <v>0</v>
      </c>
      <c r="BA364" s="38">
        <f t="shared" si="303"/>
        <v>0</v>
      </c>
      <c r="BB364" s="38">
        <f t="shared" si="304"/>
        <v>0.91809405439254477</v>
      </c>
      <c r="BC364" s="38">
        <f t="shared" si="305"/>
        <v>8.8429232157148444E-2</v>
      </c>
      <c r="BD364" s="38">
        <f t="shared" si="306"/>
        <v>0</v>
      </c>
      <c r="BE364" s="38">
        <f t="shared" si="307"/>
        <v>0</v>
      </c>
      <c r="BF364" s="38">
        <f t="shared" si="308"/>
        <v>0</v>
      </c>
      <c r="BG364" s="38">
        <f t="shared" si="309"/>
        <v>0</v>
      </c>
      <c r="BH364" s="41">
        <f t="shared" si="310"/>
        <v>4.9999999999999991</v>
      </c>
      <c r="BI364" s="42">
        <f t="shared" si="311"/>
        <v>8.0012865604448447</v>
      </c>
      <c r="BJ364" s="38">
        <f t="shared" si="312"/>
        <v>3.9780662587035338</v>
      </c>
      <c r="BK364" s="38">
        <f t="shared" si="313"/>
        <v>1.0065232865496931</v>
      </c>
      <c r="BL364" s="16"/>
      <c r="BM364" s="16">
        <f t="shared" si="314"/>
        <v>0.91214387849855028</v>
      </c>
      <c r="BN364" s="16">
        <f t="shared" si="315"/>
        <v>8.7856121501449821E-2</v>
      </c>
      <c r="BO364" s="16">
        <f t="shared" si="316"/>
        <v>0</v>
      </c>
      <c r="BP364" s="15"/>
      <c r="BQ364" s="38">
        <f t="shared" si="317"/>
        <v>0.76331557922769644</v>
      </c>
      <c r="BR364" s="38">
        <f t="shared" si="318"/>
        <v>0</v>
      </c>
      <c r="BS364" s="38">
        <f t="shared" si="319"/>
        <v>0.67379364456649671</v>
      </c>
      <c r="BT364" s="38">
        <f t="shared" si="320"/>
        <v>0</v>
      </c>
      <c r="BU364" s="38">
        <f t="shared" si="321"/>
        <v>5.5671537926235224E-3</v>
      </c>
      <c r="BV364" s="38">
        <f t="shared" si="322"/>
        <v>0</v>
      </c>
      <c r="BW364" s="38">
        <f t="shared" si="323"/>
        <v>0</v>
      </c>
      <c r="BX364" s="38">
        <f t="shared" si="324"/>
        <v>0.33166904422253929</v>
      </c>
      <c r="BY364" s="38">
        <f t="shared" si="325"/>
        <v>3.1945788964181994E-2</v>
      </c>
      <c r="BZ364" s="38">
        <f t="shared" si="326"/>
        <v>0</v>
      </c>
      <c r="CA364" s="38">
        <f t="shared" si="327"/>
        <v>0</v>
      </c>
      <c r="CB364" s="38">
        <f t="shared" si="328"/>
        <v>0</v>
      </c>
      <c r="CC364" s="38">
        <f t="shared" si="329"/>
        <v>0</v>
      </c>
      <c r="CD364" s="38">
        <f t="shared" si="330"/>
        <v>1.8062912107735383</v>
      </c>
      <c r="CE364" s="38">
        <f t="shared" si="331"/>
        <v>2.8905307178023918</v>
      </c>
      <c r="CF364" s="38">
        <f t="shared" si="332"/>
        <v>2.7681029338889194</v>
      </c>
      <c r="CG364" s="38">
        <f t="shared" si="333"/>
        <v>8.0012865604448447</v>
      </c>
      <c r="CH364" s="15"/>
      <c r="CI364" s="16"/>
      <c r="CJ364" s="13"/>
      <c r="CK364" s="104"/>
      <c r="CL364" s="13"/>
      <c r="CM364" s="13"/>
      <c r="CN364" s="13"/>
      <c r="CO364" s="16"/>
      <c r="CP364" s="16"/>
      <c r="CQ364" s="16"/>
      <c r="CR364" s="16"/>
      <c r="CS364" s="16"/>
      <c r="CT364" s="16"/>
      <c r="CU364" s="16"/>
      <c r="CV364" s="16"/>
      <c r="CW364" s="16"/>
      <c r="CX364" s="16"/>
      <c r="CY364" s="104"/>
      <c r="CZ364" s="104"/>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3"/>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row>
    <row r="365" spans="1:167" x14ac:dyDescent="0.25">
      <c r="A365" s="35" t="s">
        <v>93</v>
      </c>
      <c r="B365" s="15">
        <v>1156</v>
      </c>
      <c r="C365" s="102" t="s">
        <v>101</v>
      </c>
      <c r="D365" s="102" t="s">
        <v>107</v>
      </c>
      <c r="E365" s="15">
        <v>314</v>
      </c>
      <c r="F365" s="16">
        <v>45.77</v>
      </c>
      <c r="G365" s="16">
        <v>0</v>
      </c>
      <c r="H365" s="16">
        <v>34.39</v>
      </c>
      <c r="I365" s="16">
        <v>0</v>
      </c>
      <c r="J365" s="16">
        <v>0.503</v>
      </c>
      <c r="K365" s="16">
        <v>0</v>
      </c>
      <c r="L365" s="16">
        <v>0</v>
      </c>
      <c r="M365" s="16">
        <v>18.64</v>
      </c>
      <c r="N365" s="16">
        <v>1.1160000000000001</v>
      </c>
      <c r="O365" s="16">
        <v>0</v>
      </c>
      <c r="P365" s="16">
        <v>0</v>
      </c>
      <c r="Q365" s="16"/>
      <c r="R365" s="16"/>
      <c r="S365" s="16">
        <f t="shared" si="279"/>
        <v>100.419</v>
      </c>
      <c r="T365" s="16"/>
      <c r="U365" s="15"/>
      <c r="V365" s="15"/>
      <c r="W365" s="15"/>
      <c r="X365" s="15" t="s">
        <v>185</v>
      </c>
      <c r="Y365" s="15"/>
      <c r="Z365" s="37">
        <v>8</v>
      </c>
      <c r="AA365" s="37">
        <v>5</v>
      </c>
      <c r="AB365" s="15"/>
      <c r="AC365" s="38">
        <f t="shared" si="280"/>
        <v>2.1067298555968694</v>
      </c>
      <c r="AD365" s="38">
        <f t="shared" si="281"/>
        <v>0</v>
      </c>
      <c r="AE365" s="38">
        <f t="shared" si="282"/>
        <v>1.865478320019297</v>
      </c>
      <c r="AF365" s="38">
        <f t="shared" si="283"/>
        <v>0</v>
      </c>
      <c r="AG365" s="38">
        <f t="shared" si="284"/>
        <v>1.9359720101005083E-2</v>
      </c>
      <c r="AH365" s="38">
        <f t="shared" si="285"/>
        <v>0</v>
      </c>
      <c r="AI365" s="38">
        <f t="shared" si="286"/>
        <v>0</v>
      </c>
      <c r="AJ365" s="38">
        <f t="shared" si="287"/>
        <v>0.91916983745722847</v>
      </c>
      <c r="AK365" s="38">
        <f t="shared" si="288"/>
        <v>9.9586502438165608E-2</v>
      </c>
      <c r="AL365" s="38">
        <f t="shared" si="289"/>
        <v>0</v>
      </c>
      <c r="AM365" s="38">
        <f t="shared" si="290"/>
        <v>0</v>
      </c>
      <c r="AN365" s="38">
        <f t="shared" si="291"/>
        <v>0</v>
      </c>
      <c r="AO365" s="38">
        <f t="shared" si="292"/>
        <v>0</v>
      </c>
      <c r="AP365" s="38">
        <f t="shared" si="293"/>
        <v>5.0103242356125648</v>
      </c>
      <c r="AQ365" s="38">
        <f t="shared" si="294"/>
        <v>3.9722081756161662</v>
      </c>
      <c r="AR365" s="38">
        <f t="shared" si="295"/>
        <v>1.018756339895394</v>
      </c>
      <c r="AS365" s="40"/>
      <c r="AT365" s="38">
        <f t="shared" si="296"/>
        <v>2.102388744247905</v>
      </c>
      <c r="AU365" s="38">
        <f t="shared" si="297"/>
        <v>0</v>
      </c>
      <c r="AV365" s="38">
        <f t="shared" si="298"/>
        <v>1.8616343297303815</v>
      </c>
      <c r="AW365" s="38">
        <f t="shared" si="299"/>
        <v>0</v>
      </c>
      <c r="AX365" s="38">
        <f t="shared" si="300"/>
        <v>0</v>
      </c>
      <c r="AY365" s="38">
        <f t="shared" si="301"/>
        <v>1.9319827610555975E-2</v>
      </c>
      <c r="AZ365" s="38">
        <f t="shared" si="302"/>
        <v>0</v>
      </c>
      <c r="BA365" s="38">
        <f t="shared" si="303"/>
        <v>0</v>
      </c>
      <c r="BB365" s="38">
        <f t="shared" si="304"/>
        <v>0.91727580315453383</v>
      </c>
      <c r="BC365" s="38">
        <f t="shared" si="305"/>
        <v>9.9381295256623328E-2</v>
      </c>
      <c r="BD365" s="38">
        <f t="shared" si="306"/>
        <v>0</v>
      </c>
      <c r="BE365" s="38">
        <f t="shared" si="307"/>
        <v>0</v>
      </c>
      <c r="BF365" s="38">
        <f t="shared" si="308"/>
        <v>0</v>
      </c>
      <c r="BG365" s="38">
        <f t="shared" si="309"/>
        <v>0</v>
      </c>
      <c r="BH365" s="41">
        <f t="shared" si="310"/>
        <v>5</v>
      </c>
      <c r="BI365" s="42">
        <f t="shared" si="311"/>
        <v>7.9931751752900615</v>
      </c>
      <c r="BJ365" s="38">
        <f t="shared" si="312"/>
        <v>3.9640230739782867</v>
      </c>
      <c r="BK365" s="38">
        <f t="shared" si="313"/>
        <v>1.0166570984111571</v>
      </c>
      <c r="BL365" s="16"/>
      <c r="BM365" s="16">
        <f t="shared" si="314"/>
        <v>0.90224698631235889</v>
      </c>
      <c r="BN365" s="16">
        <f t="shared" si="315"/>
        <v>9.775301368764111E-2</v>
      </c>
      <c r="BO365" s="16">
        <f t="shared" si="316"/>
        <v>0</v>
      </c>
      <c r="BP365" s="15"/>
      <c r="BQ365" s="38">
        <f t="shared" si="317"/>
        <v>0.7618175765645806</v>
      </c>
      <c r="BR365" s="38">
        <f t="shared" si="318"/>
        <v>0</v>
      </c>
      <c r="BS365" s="38">
        <f t="shared" si="319"/>
        <v>0.67457826598666148</v>
      </c>
      <c r="BT365" s="38">
        <f t="shared" si="320"/>
        <v>0</v>
      </c>
      <c r="BU365" s="38">
        <f t="shared" si="321"/>
        <v>7.0006958942240788E-3</v>
      </c>
      <c r="BV365" s="38">
        <f t="shared" si="322"/>
        <v>0</v>
      </c>
      <c r="BW365" s="38">
        <f t="shared" si="323"/>
        <v>0</v>
      </c>
      <c r="BX365" s="38">
        <f t="shared" si="324"/>
        <v>0.33238231098430815</v>
      </c>
      <c r="BY365" s="38">
        <f t="shared" si="325"/>
        <v>3.6011616650532437E-2</v>
      </c>
      <c r="BZ365" s="38">
        <f t="shared" si="326"/>
        <v>0</v>
      </c>
      <c r="CA365" s="38">
        <f t="shared" si="327"/>
        <v>0</v>
      </c>
      <c r="CB365" s="38">
        <f t="shared" si="328"/>
        <v>0</v>
      </c>
      <c r="CC365" s="38">
        <f t="shared" si="329"/>
        <v>0</v>
      </c>
      <c r="CD365" s="38">
        <f t="shared" si="330"/>
        <v>1.8117904660803068</v>
      </c>
      <c r="CE365" s="38">
        <f t="shared" si="331"/>
        <v>2.8928913673129517</v>
      </c>
      <c r="CF365" s="38">
        <f t="shared" si="332"/>
        <v>2.7597010215078464</v>
      </c>
      <c r="CG365" s="38">
        <f t="shared" si="333"/>
        <v>7.9835152614847829</v>
      </c>
      <c r="CH365" s="15"/>
      <c r="CI365" s="16"/>
      <c r="CJ365" s="13"/>
      <c r="CK365" s="104"/>
      <c r="CL365" s="13"/>
      <c r="CM365" s="13"/>
      <c r="CN365" s="13"/>
      <c r="CO365" s="16"/>
      <c r="CP365" s="16"/>
      <c r="CQ365" s="16"/>
      <c r="CR365" s="16"/>
      <c r="CS365" s="16"/>
      <c r="CT365" s="16"/>
      <c r="CU365" s="16"/>
      <c r="CV365" s="16"/>
      <c r="CW365" s="16"/>
      <c r="CX365" s="16"/>
      <c r="CY365" s="104"/>
      <c r="CZ365" s="104"/>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3"/>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row>
    <row r="366" spans="1:167" x14ac:dyDescent="0.25">
      <c r="A366" s="35" t="s">
        <v>93</v>
      </c>
      <c r="B366" s="15">
        <v>1157</v>
      </c>
      <c r="C366" s="102" t="s">
        <v>101</v>
      </c>
      <c r="D366" s="102" t="s">
        <v>107</v>
      </c>
      <c r="E366" s="15">
        <v>315</v>
      </c>
      <c r="F366" s="16">
        <v>45.73</v>
      </c>
      <c r="G366" s="16">
        <v>0</v>
      </c>
      <c r="H366" s="16">
        <v>34.36</v>
      </c>
      <c r="I366" s="16">
        <v>0</v>
      </c>
      <c r="J366" s="16">
        <v>0.504</v>
      </c>
      <c r="K366" s="16">
        <v>0</v>
      </c>
      <c r="L366" s="16">
        <v>0</v>
      </c>
      <c r="M366" s="16">
        <v>18.61</v>
      </c>
      <c r="N366" s="16">
        <v>1.08</v>
      </c>
      <c r="O366" s="16">
        <v>1.7000000000000001E-2</v>
      </c>
      <c r="P366" s="16">
        <v>0</v>
      </c>
      <c r="Q366" s="16"/>
      <c r="R366" s="16"/>
      <c r="S366" s="16">
        <f t="shared" si="279"/>
        <v>100.301</v>
      </c>
      <c r="T366" s="16"/>
      <c r="U366" s="15"/>
      <c r="V366" s="15"/>
      <c r="W366" s="15"/>
      <c r="X366" s="15" t="s">
        <v>185</v>
      </c>
      <c r="Y366" s="15"/>
      <c r="Z366" s="37">
        <v>8</v>
      </c>
      <c r="AA366" s="37">
        <v>5</v>
      </c>
      <c r="AB366" s="15"/>
      <c r="AC366" s="38">
        <f t="shared" si="280"/>
        <v>2.1071727115641652</v>
      </c>
      <c r="AD366" s="38">
        <f t="shared" si="281"/>
        <v>0</v>
      </c>
      <c r="AE366" s="38">
        <f t="shared" si="282"/>
        <v>1.8658734285846654</v>
      </c>
      <c r="AF366" s="38">
        <f t="shared" si="283"/>
        <v>0</v>
      </c>
      <c r="AG366" s="38">
        <f t="shared" si="284"/>
        <v>1.9419257476885259E-2</v>
      </c>
      <c r="AH366" s="38">
        <f t="shared" si="285"/>
        <v>0</v>
      </c>
      <c r="AI366" s="38">
        <f t="shared" si="286"/>
        <v>0</v>
      </c>
      <c r="AJ366" s="38">
        <f t="shared" si="287"/>
        <v>0.91868626668468822</v>
      </c>
      <c r="AK366" s="38">
        <f t="shared" si="288"/>
        <v>9.6478609439510837E-2</v>
      </c>
      <c r="AL366" s="38">
        <f t="shared" si="289"/>
        <v>9.9921022668509663E-4</v>
      </c>
      <c r="AM366" s="38">
        <f t="shared" si="290"/>
        <v>0</v>
      </c>
      <c r="AN366" s="38">
        <f t="shared" si="291"/>
        <v>0</v>
      </c>
      <c r="AO366" s="38">
        <f t="shared" si="292"/>
        <v>0</v>
      </c>
      <c r="AP366" s="38">
        <f t="shared" si="293"/>
        <v>5.0086294839766001</v>
      </c>
      <c r="AQ366" s="38">
        <f t="shared" si="294"/>
        <v>3.9730461401488304</v>
      </c>
      <c r="AR366" s="38">
        <f t="shared" si="295"/>
        <v>1.0161640863508843</v>
      </c>
      <c r="AS366" s="40"/>
      <c r="AT366" s="38">
        <f t="shared" si="296"/>
        <v>2.103542214796827</v>
      </c>
      <c r="AU366" s="38">
        <f t="shared" si="297"/>
        <v>0</v>
      </c>
      <c r="AV366" s="38">
        <f t="shared" si="298"/>
        <v>1.8626586719519682</v>
      </c>
      <c r="AW366" s="38">
        <f t="shared" si="299"/>
        <v>0</v>
      </c>
      <c r="AX366" s="38">
        <f t="shared" si="300"/>
        <v>0</v>
      </c>
      <c r="AY366" s="38">
        <f t="shared" si="301"/>
        <v>1.9385799587502469E-2</v>
      </c>
      <c r="AZ366" s="38">
        <f t="shared" si="302"/>
        <v>0</v>
      </c>
      <c r="BA366" s="38">
        <f t="shared" si="303"/>
        <v>0</v>
      </c>
      <c r="BB366" s="38">
        <f t="shared" si="304"/>
        <v>0.91710344079524264</v>
      </c>
      <c r="BC366" s="38">
        <f t="shared" si="305"/>
        <v>9.6312384204263066E-2</v>
      </c>
      <c r="BD366" s="38">
        <f t="shared" si="306"/>
        <v>9.9748866419619234E-4</v>
      </c>
      <c r="BE366" s="38">
        <f t="shared" si="307"/>
        <v>0</v>
      </c>
      <c r="BF366" s="38">
        <f t="shared" si="308"/>
        <v>0</v>
      </c>
      <c r="BG366" s="38">
        <f t="shared" si="309"/>
        <v>0</v>
      </c>
      <c r="BH366" s="41">
        <f t="shared" si="310"/>
        <v>5</v>
      </c>
      <c r="BI366" s="42">
        <f t="shared" si="311"/>
        <v>7.9959095141323324</v>
      </c>
      <c r="BJ366" s="38">
        <f t="shared" si="312"/>
        <v>3.966200886748795</v>
      </c>
      <c r="BK366" s="38">
        <f t="shared" si="313"/>
        <v>1.0144133136637019</v>
      </c>
      <c r="BL366" s="16"/>
      <c r="BM366" s="16">
        <f t="shared" si="314"/>
        <v>0.90407275657984953</v>
      </c>
      <c r="BN366" s="16">
        <f t="shared" si="315"/>
        <v>9.4943927595367211E-2</v>
      </c>
      <c r="BO366" s="16">
        <f t="shared" si="316"/>
        <v>9.833158247831114E-4</v>
      </c>
      <c r="BP366" s="15"/>
      <c r="BQ366" s="38">
        <f t="shared" si="317"/>
        <v>0.76115179760319573</v>
      </c>
      <c r="BR366" s="38">
        <f t="shared" si="318"/>
        <v>0</v>
      </c>
      <c r="BS366" s="38">
        <f t="shared" si="319"/>
        <v>0.67398979992153785</v>
      </c>
      <c r="BT366" s="38">
        <f t="shared" si="320"/>
        <v>0</v>
      </c>
      <c r="BU366" s="38">
        <f t="shared" si="321"/>
        <v>7.0146137787056376E-3</v>
      </c>
      <c r="BV366" s="38">
        <f t="shared" si="322"/>
        <v>0</v>
      </c>
      <c r="BW366" s="38">
        <f t="shared" si="323"/>
        <v>0</v>
      </c>
      <c r="BX366" s="38">
        <f t="shared" si="324"/>
        <v>0.33184736091298145</v>
      </c>
      <c r="BY366" s="38">
        <f t="shared" si="325"/>
        <v>3.4849951597289451E-2</v>
      </c>
      <c r="BZ366" s="38">
        <f t="shared" si="326"/>
        <v>3.6093418259023355E-4</v>
      </c>
      <c r="CA366" s="38">
        <f t="shared" si="327"/>
        <v>0</v>
      </c>
      <c r="CB366" s="38">
        <f t="shared" si="328"/>
        <v>0</v>
      </c>
      <c r="CC366" s="38">
        <f t="shared" si="329"/>
        <v>0</v>
      </c>
      <c r="CD366" s="38">
        <f t="shared" si="330"/>
        <v>1.8092144579963005</v>
      </c>
      <c r="CE366" s="38">
        <f t="shared" si="331"/>
        <v>2.889755712670325</v>
      </c>
      <c r="CF366" s="38">
        <f t="shared" si="332"/>
        <v>2.7636303578612149</v>
      </c>
      <c r="CG366" s="38">
        <f t="shared" si="333"/>
        <v>7.9862166143385807</v>
      </c>
      <c r="CH366" s="15"/>
      <c r="CI366" s="16"/>
      <c r="CJ366" s="13"/>
      <c r="CK366" s="104"/>
      <c r="CL366" s="13"/>
      <c r="CM366" s="13"/>
      <c r="CN366" s="13"/>
      <c r="CO366" s="16"/>
      <c r="CP366" s="16"/>
      <c r="CQ366" s="16"/>
      <c r="CR366" s="16"/>
      <c r="CS366" s="16"/>
      <c r="CT366" s="16"/>
      <c r="CU366" s="16"/>
      <c r="CV366" s="16"/>
      <c r="CW366" s="16"/>
      <c r="CX366" s="16"/>
      <c r="CY366" s="104"/>
      <c r="CZ366" s="104"/>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3"/>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row>
    <row r="367" spans="1:167" x14ac:dyDescent="0.25">
      <c r="A367" s="35" t="s">
        <v>256</v>
      </c>
      <c r="B367" s="15">
        <v>1220</v>
      </c>
      <c r="C367" s="102" t="s">
        <v>99</v>
      </c>
      <c r="D367" s="102" t="s">
        <v>105</v>
      </c>
      <c r="E367" s="15">
        <v>53</v>
      </c>
      <c r="F367" s="16">
        <v>55.96</v>
      </c>
      <c r="G367" s="16">
        <v>0</v>
      </c>
      <c r="H367" s="16">
        <v>27.38</v>
      </c>
      <c r="I367" s="16">
        <v>0</v>
      </c>
      <c r="J367" s="16">
        <v>0.74957257266264732</v>
      </c>
      <c r="K367" s="16">
        <v>0</v>
      </c>
      <c r="L367" s="16">
        <v>0</v>
      </c>
      <c r="M367" s="16">
        <v>9.9</v>
      </c>
      <c r="N367" s="16">
        <v>6.02</v>
      </c>
      <c r="O367" s="16">
        <v>0.32800000000000001</v>
      </c>
      <c r="P367" s="16">
        <v>0</v>
      </c>
      <c r="Q367" s="16"/>
      <c r="R367" s="16"/>
      <c r="S367" s="16">
        <f t="shared" si="279"/>
        <v>100.33757257266265</v>
      </c>
      <c r="T367" s="16"/>
      <c r="U367" s="15"/>
      <c r="V367" s="15"/>
      <c r="W367" s="15"/>
      <c r="X367" s="15" t="s">
        <v>185</v>
      </c>
      <c r="Y367" s="15"/>
      <c r="Z367" s="37">
        <v>8</v>
      </c>
      <c r="AA367" s="37">
        <v>5</v>
      </c>
      <c r="AB367" s="15"/>
      <c r="AC367" s="38">
        <f t="shared" si="280"/>
        <v>2.5207403032217415</v>
      </c>
      <c r="AD367" s="38">
        <f t="shared" si="281"/>
        <v>0</v>
      </c>
      <c r="AE367" s="38">
        <f t="shared" si="282"/>
        <v>1.4534963183689935</v>
      </c>
      <c r="AF367" s="38">
        <f t="shared" si="283"/>
        <v>0</v>
      </c>
      <c r="AG367" s="38">
        <f t="shared" si="284"/>
        <v>2.8233663738724945E-2</v>
      </c>
      <c r="AH367" s="38">
        <f t="shared" si="285"/>
        <v>0</v>
      </c>
      <c r="AI367" s="38">
        <f t="shared" si="286"/>
        <v>0</v>
      </c>
      <c r="AJ367" s="38">
        <f t="shared" si="287"/>
        <v>0.47775749950859869</v>
      </c>
      <c r="AK367" s="38">
        <f t="shared" si="288"/>
        <v>0.52572089480184914</v>
      </c>
      <c r="AL367" s="38">
        <f t="shared" si="289"/>
        <v>1.884661070956067E-2</v>
      </c>
      <c r="AM367" s="38">
        <f t="shared" si="290"/>
        <v>0</v>
      </c>
      <c r="AN367" s="38">
        <f t="shared" si="291"/>
        <v>0</v>
      </c>
      <c r="AO367" s="38">
        <f t="shared" si="292"/>
        <v>0</v>
      </c>
      <c r="AP367" s="38">
        <f t="shared" si="293"/>
        <v>5.0247952903494681</v>
      </c>
      <c r="AQ367" s="38">
        <f t="shared" si="294"/>
        <v>3.9742366215907348</v>
      </c>
      <c r="AR367" s="38">
        <f t="shared" si="295"/>
        <v>1.0223250050200083</v>
      </c>
      <c r="AS367" s="40"/>
      <c r="AT367" s="38">
        <f t="shared" si="296"/>
        <v>2.5083014904736816</v>
      </c>
      <c r="AU367" s="38">
        <f t="shared" si="297"/>
        <v>0</v>
      </c>
      <c r="AV367" s="38">
        <f t="shared" si="298"/>
        <v>1.4463239140911395</v>
      </c>
      <c r="AW367" s="38">
        <f t="shared" si="299"/>
        <v>0</v>
      </c>
      <c r="AX367" s="38">
        <f t="shared" si="300"/>
        <v>0</v>
      </c>
      <c r="AY367" s="38">
        <f t="shared" si="301"/>
        <v>2.8094342264002283E-2</v>
      </c>
      <c r="AZ367" s="38">
        <f t="shared" si="302"/>
        <v>0</v>
      </c>
      <c r="BA367" s="38">
        <f t="shared" si="303"/>
        <v>0</v>
      </c>
      <c r="BB367" s="38">
        <f t="shared" si="304"/>
        <v>0.4753999634832598</v>
      </c>
      <c r="BC367" s="38">
        <f t="shared" si="305"/>
        <v>0.5231266792216781</v>
      </c>
      <c r="BD367" s="38">
        <f t="shared" si="306"/>
        <v>1.8753610466238423E-2</v>
      </c>
      <c r="BE367" s="38">
        <f t="shared" si="307"/>
        <v>0</v>
      </c>
      <c r="BF367" s="38">
        <f t="shared" si="308"/>
        <v>0</v>
      </c>
      <c r="BG367" s="38">
        <f t="shared" si="309"/>
        <v>0</v>
      </c>
      <c r="BH367" s="41">
        <f t="shared" si="310"/>
        <v>5</v>
      </c>
      <c r="BI367" s="42">
        <f t="shared" si="311"/>
        <v>7.9745704738072947</v>
      </c>
      <c r="BJ367" s="38">
        <f t="shared" si="312"/>
        <v>3.9546254045648208</v>
      </c>
      <c r="BK367" s="38">
        <f t="shared" si="313"/>
        <v>1.0172802531711764</v>
      </c>
      <c r="BL367" s="16"/>
      <c r="BM367" s="16">
        <f t="shared" si="314"/>
        <v>0.46732447818709894</v>
      </c>
      <c r="BN367" s="16">
        <f t="shared" si="315"/>
        <v>0.51424047364620618</v>
      </c>
      <c r="BO367" s="16">
        <f t="shared" si="316"/>
        <v>1.8435048166695108E-2</v>
      </c>
      <c r="BP367" s="15"/>
      <c r="BQ367" s="38">
        <f t="shared" si="317"/>
        <v>0.93142476697736354</v>
      </c>
      <c r="BR367" s="38">
        <f t="shared" si="318"/>
        <v>0</v>
      </c>
      <c r="BS367" s="38">
        <f t="shared" si="319"/>
        <v>0.53707336210278545</v>
      </c>
      <c r="BT367" s="38">
        <f t="shared" si="320"/>
        <v>0</v>
      </c>
      <c r="BU367" s="38">
        <f t="shared" si="321"/>
        <v>1.0432464476863568E-2</v>
      </c>
      <c r="BV367" s="38">
        <f t="shared" si="322"/>
        <v>0</v>
      </c>
      <c r="BW367" s="38">
        <f t="shared" si="323"/>
        <v>0</v>
      </c>
      <c r="BX367" s="38">
        <f t="shared" si="324"/>
        <v>0.17653352353780316</v>
      </c>
      <c r="BY367" s="38">
        <f t="shared" si="325"/>
        <v>0.19425621168118748</v>
      </c>
      <c r="BZ367" s="38">
        <f t="shared" si="326"/>
        <v>6.9639065817409763E-3</v>
      </c>
      <c r="CA367" s="38">
        <f t="shared" si="327"/>
        <v>0</v>
      </c>
      <c r="CB367" s="38">
        <f t="shared" si="328"/>
        <v>0</v>
      </c>
      <c r="CC367" s="38">
        <f t="shared" si="329"/>
        <v>0</v>
      </c>
      <c r="CD367" s="38">
        <f t="shared" si="330"/>
        <v>1.8566842353577444</v>
      </c>
      <c r="CE367" s="38">
        <f t="shared" si="331"/>
        <v>2.9560356242550356</v>
      </c>
      <c r="CF367" s="38">
        <f t="shared" si="332"/>
        <v>2.6929727224385056</v>
      </c>
      <c r="CG367" s="38">
        <f t="shared" si="333"/>
        <v>7.9605233026752904</v>
      </c>
      <c r="CH367" s="15"/>
      <c r="CI367" s="16">
        <v>0.69859384372000632</v>
      </c>
      <c r="CJ367" s="13">
        <v>42799.942130891104</v>
      </c>
      <c r="CK367" s="104">
        <v>238.58432334069687</v>
      </c>
      <c r="CL367" s="13">
        <v>148468.95571450156</v>
      </c>
      <c r="CM367" s="13">
        <v>260862.9641039425</v>
      </c>
      <c r="CN367" s="13">
        <v>66224.947962297068</v>
      </c>
      <c r="CO367" s="16">
        <v>0.32455609935257268</v>
      </c>
      <c r="CP367" s="16">
        <v>301.54705590285062</v>
      </c>
      <c r="CQ367" s="16">
        <v>1.2925872906689386</v>
      </c>
      <c r="CR367" s="16">
        <v>0</v>
      </c>
      <c r="CS367" s="16">
        <v>19.039807273969263</v>
      </c>
      <c r="CT367" s="16">
        <v>0</v>
      </c>
      <c r="CU367" s="16">
        <v>0</v>
      </c>
      <c r="CV367" s="16">
        <v>0.93011292741982143</v>
      </c>
      <c r="CW367" s="16">
        <v>4.88835863700257</v>
      </c>
      <c r="CX367" s="16">
        <v>0.8038504722326214</v>
      </c>
      <c r="CY367" s="104">
        <v>557.49582540082849</v>
      </c>
      <c r="CZ367" s="104">
        <v>569.58171224139107</v>
      </c>
      <c r="DA367" s="16">
        <v>0.35693583414274543</v>
      </c>
      <c r="DB367" s="16">
        <v>0</v>
      </c>
      <c r="DC367" s="16">
        <v>0</v>
      </c>
      <c r="DD367" s="16">
        <v>0</v>
      </c>
      <c r="DE367" s="16">
        <v>62.899405288969803</v>
      </c>
      <c r="DF367" s="16">
        <v>1.2445561599121613</v>
      </c>
      <c r="DG367" s="16">
        <v>1.6883863147502733</v>
      </c>
      <c r="DH367" s="16">
        <v>0.2090809126652908</v>
      </c>
      <c r="DI367" s="16">
        <v>0.63227477325224868</v>
      </c>
      <c r="DJ367" s="16">
        <v>0.13863793602515742</v>
      </c>
      <c r="DK367" s="16">
        <v>0.27691378213335099</v>
      </c>
      <c r="DL367" s="16">
        <v>0</v>
      </c>
      <c r="DM367" s="16">
        <v>0</v>
      </c>
      <c r="DN367" s="16">
        <v>0</v>
      </c>
      <c r="DO367" s="16">
        <v>0</v>
      </c>
      <c r="DP367" s="16">
        <v>3.2786366977869137E-2</v>
      </c>
      <c r="DQ367" s="16">
        <v>0</v>
      </c>
      <c r="DR367" s="16">
        <v>0</v>
      </c>
      <c r="DS367" s="16">
        <v>0</v>
      </c>
      <c r="DT367" s="16">
        <v>0</v>
      </c>
      <c r="DU367" s="16">
        <v>0</v>
      </c>
      <c r="DV367" s="16">
        <v>0.9665994530206008</v>
      </c>
      <c r="DW367" s="16">
        <v>9.7834236606845187E-3</v>
      </c>
      <c r="DX367" s="16">
        <v>7.703515261175211E-3</v>
      </c>
      <c r="DY367" s="16" t="e">
        <f t="shared" ref="DY367:DY368" si="334">(DK367/0.05883)/SQRT((DJ367/0.1536)*(DL367/0.2069))</f>
        <v>#DIV/0!</v>
      </c>
      <c r="DZ367" s="16"/>
      <c r="EA367" s="13">
        <f>1128+200*((BM367-0.4)/0.4) -273</f>
        <v>888.66223909354949</v>
      </c>
      <c r="EB367" s="16"/>
      <c r="EC367" s="16">
        <f>(-18.482 -16.353 * BM367)/(0.008314 * (EA367+273))</f>
        <v>-2.7049073604613114</v>
      </c>
      <c r="ED367" s="16"/>
      <c r="EE367" s="16"/>
      <c r="EF367" s="16"/>
      <c r="EG367" s="16"/>
      <c r="EH367" s="16"/>
      <c r="EI367" s="16"/>
      <c r="EJ367" s="16"/>
      <c r="EK367" s="16"/>
      <c r="EL367" s="16">
        <f>(23.856 -20.71 * BM367)/(0.008314 * (EA367+273))</f>
        <v>1.46796667947715</v>
      </c>
      <c r="EM367" s="16"/>
      <c r="EN367" s="16">
        <f>(-4.5269  -51.811 * BM367)/(0.008314 * (EA367+273)) +N("eqn50a")</f>
        <v>-2.9756958404044278</v>
      </c>
      <c r="EO367" s="16" t="e">
        <f>(-187.27 + 2.26018 *#REF!)/(0.008314 * (EA367+273)) +N("fsp eqn35 from SiO2")</f>
        <v>#REF!</v>
      </c>
      <c r="EP367" s="16"/>
      <c r="EQ367" s="16"/>
      <c r="ER367" s="16">
        <f>(10.146 -35.204 * BM367)/(0.008314 * (EA367+273))</f>
        <v>-0.65289416551879464</v>
      </c>
      <c r="ES367" s="16">
        <f>(2.1146 -37.009 * BM367)/(0.008314 * (EA367+273))</f>
        <v>-1.5718075721049192</v>
      </c>
      <c r="ET367" s="16">
        <f>(-3.6812 -33.822 * BM367)/(0.008314 * (EA367+273))</f>
        <v>-2.0176980462068115</v>
      </c>
      <c r="EU367" s="16">
        <f>(-6.8025 -26.094 * BM367)/(0.008314 * (EA367+273))</f>
        <v>-1.9669442121296365</v>
      </c>
      <c r="EV367" s="16">
        <f>(-5.6996 -30.85 * BM367)/(0.008314 * (EA367+273))</f>
        <v>-2.0828779747043917</v>
      </c>
      <c r="EW367" s="16">
        <f>(-8.6767 -33.32 * BM367)/(0.008314 * (EA367+273))</f>
        <v>-2.5106441640629016</v>
      </c>
      <c r="EX367" s="16"/>
      <c r="EY367" s="16">
        <f>(-1.9714 -59.897 * BM367)/(0.008314 * (EA367+273))</f>
        <v>-3.1023554127079942</v>
      </c>
      <c r="EZ367" s="16">
        <f>(-4.3691 -44.528 * BM367)/(0.008314 * (EA367+273))</f>
        <v>-2.6069546824699823</v>
      </c>
      <c r="FA367" s="16">
        <f>(-2.2521 -58.215 * BM367)/(0.008314 * (EA367+273))</f>
        <v>-3.050032298143118</v>
      </c>
      <c r="FB367" s="16"/>
      <c r="FC367" s="16">
        <f>(-8.5 - 57.253 * BM367)/(0.008314 * (EA367+273))</f>
        <v>-3.6503944763178202</v>
      </c>
      <c r="FD367" s="16"/>
      <c r="FE367" s="16">
        <f>(-9.2954 -52.923 * BM367)/(0.008314 * (EA367+273))</f>
        <v>-3.5232348801998081</v>
      </c>
      <c r="FF367" s="16">
        <f>(0.61501 -70.378 * BM367)/(0.008314 * (EA367+273))</f>
        <v>-3.3417013983807884</v>
      </c>
      <c r="FG367" s="16"/>
      <c r="FH367" s="16"/>
      <c r="FI367" s="16"/>
      <c r="FJ367" s="16"/>
      <c r="FK367" s="16"/>
    </row>
    <row r="368" spans="1:167" x14ac:dyDescent="0.25">
      <c r="A368" s="35" t="s">
        <v>256</v>
      </c>
      <c r="B368" s="15">
        <v>1221</v>
      </c>
      <c r="C368" s="102" t="s">
        <v>99</v>
      </c>
      <c r="D368" s="102" t="s">
        <v>105</v>
      </c>
      <c r="E368" s="15">
        <v>54</v>
      </c>
      <c r="F368" s="16">
        <v>56.47</v>
      </c>
      <c r="G368" s="16">
        <v>0</v>
      </c>
      <c r="H368" s="16">
        <v>27.17</v>
      </c>
      <c r="I368" s="16">
        <v>0</v>
      </c>
      <c r="J368" s="16">
        <v>0.73877440835058039</v>
      </c>
      <c r="K368" s="16">
        <v>0</v>
      </c>
      <c r="L368" s="16">
        <v>0</v>
      </c>
      <c r="M368" s="16">
        <v>9.5399999999999991</v>
      </c>
      <c r="N368" s="16">
        <v>6.25</v>
      </c>
      <c r="O368" s="16">
        <v>0.35799999999999998</v>
      </c>
      <c r="P368" s="16">
        <v>0</v>
      </c>
      <c r="Q368" s="16"/>
      <c r="R368" s="16"/>
      <c r="S368" s="16">
        <f t="shared" si="279"/>
        <v>100.52677440835058</v>
      </c>
      <c r="T368" s="16"/>
      <c r="U368" s="15"/>
      <c r="V368" s="15"/>
      <c r="W368" s="15"/>
      <c r="X368" s="15" t="s">
        <v>185</v>
      </c>
      <c r="Y368" s="15"/>
      <c r="Z368" s="37">
        <v>8</v>
      </c>
      <c r="AA368" s="37">
        <v>5</v>
      </c>
      <c r="AB368" s="15"/>
      <c r="AC368" s="38">
        <f t="shared" si="280"/>
        <v>2.5366270081116471</v>
      </c>
      <c r="AD368" s="38">
        <f t="shared" si="281"/>
        <v>0</v>
      </c>
      <c r="AE368" s="38">
        <f t="shared" si="282"/>
        <v>1.4383300558872343</v>
      </c>
      <c r="AF368" s="38">
        <f t="shared" si="283"/>
        <v>0</v>
      </c>
      <c r="AG368" s="38">
        <f t="shared" si="284"/>
        <v>2.7749414155352869E-2</v>
      </c>
      <c r="AH368" s="38">
        <f t="shared" si="285"/>
        <v>0</v>
      </c>
      <c r="AI368" s="38">
        <f t="shared" si="286"/>
        <v>0</v>
      </c>
      <c r="AJ368" s="38">
        <f t="shared" si="287"/>
        <v>0.45910192969026808</v>
      </c>
      <c r="AK368" s="38">
        <f t="shared" si="288"/>
        <v>0.54428603247425789</v>
      </c>
      <c r="AL368" s="38">
        <f t="shared" si="289"/>
        <v>2.0513079726209957E-2</v>
      </c>
      <c r="AM368" s="38">
        <f t="shared" si="290"/>
        <v>0</v>
      </c>
      <c r="AN368" s="38">
        <f t="shared" si="291"/>
        <v>0</v>
      </c>
      <c r="AO368" s="38">
        <f t="shared" si="292"/>
        <v>0</v>
      </c>
      <c r="AP368" s="38">
        <f t="shared" si="293"/>
        <v>5.02660752004497</v>
      </c>
      <c r="AQ368" s="38">
        <f t="shared" si="294"/>
        <v>3.9749570639988816</v>
      </c>
      <c r="AR368" s="38">
        <f t="shared" si="295"/>
        <v>1.0239010418907357</v>
      </c>
      <c r="AS368" s="40"/>
      <c r="AT368" s="38">
        <f t="shared" si="296"/>
        <v>2.5231997903120087</v>
      </c>
      <c r="AU368" s="38">
        <f t="shared" si="297"/>
        <v>0</v>
      </c>
      <c r="AV368" s="38">
        <f t="shared" si="298"/>
        <v>1.4307164923375262</v>
      </c>
      <c r="AW368" s="38">
        <f t="shared" si="299"/>
        <v>0</v>
      </c>
      <c r="AX368" s="38">
        <f t="shared" si="300"/>
        <v>0</v>
      </c>
      <c r="AY368" s="38">
        <f t="shared" si="301"/>
        <v>2.760252719621982E-2</v>
      </c>
      <c r="AZ368" s="38">
        <f t="shared" si="302"/>
        <v>0</v>
      </c>
      <c r="BA368" s="38">
        <f t="shared" si="303"/>
        <v>0</v>
      </c>
      <c r="BB368" s="38">
        <f t="shared" si="304"/>
        <v>0.45667174914639125</v>
      </c>
      <c r="BC368" s="38">
        <f t="shared" si="305"/>
        <v>0.5414049438948324</v>
      </c>
      <c r="BD368" s="38">
        <f t="shared" si="306"/>
        <v>2.0404497113021506E-2</v>
      </c>
      <c r="BE368" s="38">
        <f t="shared" si="307"/>
        <v>0</v>
      </c>
      <c r="BF368" s="38">
        <f t="shared" si="308"/>
        <v>0</v>
      </c>
      <c r="BG368" s="38">
        <f t="shared" si="309"/>
        <v>0</v>
      </c>
      <c r="BH368" s="41">
        <f t="shared" si="310"/>
        <v>5.0000000000000009</v>
      </c>
      <c r="BI368" s="42">
        <f t="shared" si="311"/>
        <v>7.9714545795749547</v>
      </c>
      <c r="BJ368" s="38">
        <f t="shared" si="312"/>
        <v>3.9539162826495349</v>
      </c>
      <c r="BK368" s="38">
        <f t="shared" si="313"/>
        <v>1.0184811901542452</v>
      </c>
      <c r="BL368" s="16"/>
      <c r="BM368" s="16">
        <f t="shared" si="314"/>
        <v>0.44838505959764474</v>
      </c>
      <c r="BN368" s="16">
        <f t="shared" si="315"/>
        <v>0.53158069989769641</v>
      </c>
      <c r="BO368" s="16">
        <f t="shared" si="316"/>
        <v>2.0034240504659028E-2</v>
      </c>
      <c r="BP368" s="15"/>
      <c r="BQ368" s="38">
        <f t="shared" si="317"/>
        <v>0.93991344873502003</v>
      </c>
      <c r="BR368" s="38">
        <f t="shared" si="318"/>
        <v>0</v>
      </c>
      <c r="BS368" s="38">
        <f t="shared" si="319"/>
        <v>0.53295409964692042</v>
      </c>
      <c r="BT368" s="38">
        <f t="shared" si="320"/>
        <v>0</v>
      </c>
      <c r="BU368" s="38">
        <f t="shared" si="321"/>
        <v>1.028217687335533E-2</v>
      </c>
      <c r="BV368" s="38">
        <f t="shared" si="322"/>
        <v>0</v>
      </c>
      <c r="BW368" s="38">
        <f t="shared" si="323"/>
        <v>0</v>
      </c>
      <c r="BX368" s="38">
        <f t="shared" si="324"/>
        <v>0.170114122681883</v>
      </c>
      <c r="BY368" s="38">
        <f t="shared" si="325"/>
        <v>0.2016779606324621</v>
      </c>
      <c r="BZ368" s="38">
        <f t="shared" si="326"/>
        <v>7.6008492569002118E-3</v>
      </c>
      <c r="CA368" s="38">
        <f t="shared" si="327"/>
        <v>0</v>
      </c>
      <c r="CB368" s="38">
        <f t="shared" si="328"/>
        <v>0</v>
      </c>
      <c r="CC368" s="38">
        <f t="shared" si="329"/>
        <v>0</v>
      </c>
      <c r="CD368" s="38">
        <f t="shared" si="330"/>
        <v>1.8625426578265412</v>
      </c>
      <c r="CE368" s="38">
        <f t="shared" si="331"/>
        <v>2.9642937514403402</v>
      </c>
      <c r="CF368" s="38">
        <f t="shared" si="332"/>
        <v>2.6845022738081368</v>
      </c>
      <c r="CG368" s="38">
        <f t="shared" si="333"/>
        <v>7.9576533159768452</v>
      </c>
      <c r="CH368" s="15"/>
      <c r="CI368" s="16">
        <v>0</v>
      </c>
      <c r="CJ368" s="13">
        <v>43748.866484571859</v>
      </c>
      <c r="CK368" s="104">
        <v>224.41959119226789</v>
      </c>
      <c r="CL368" s="13">
        <v>148903.96557952149</v>
      </c>
      <c r="CM368" s="13">
        <v>265457.73418264813</v>
      </c>
      <c r="CN368" s="13">
        <v>65918.249740193787</v>
      </c>
      <c r="CO368" s="16">
        <v>0.40317768855666553</v>
      </c>
      <c r="CP368" s="16">
        <v>296.35018737720378</v>
      </c>
      <c r="CQ368" s="16">
        <v>0.92718282076230663</v>
      </c>
      <c r="CR368" s="16">
        <v>0</v>
      </c>
      <c r="CS368" s="16">
        <v>17.785543617075163</v>
      </c>
      <c r="CT368" s="16">
        <v>0</v>
      </c>
      <c r="CU368" s="16">
        <v>17.730458987659585</v>
      </c>
      <c r="CV368" s="16">
        <v>0</v>
      </c>
      <c r="CW368" s="16">
        <v>8.6300347680403675</v>
      </c>
      <c r="CX368" s="16">
        <v>0.76166339181354281</v>
      </c>
      <c r="CY368" s="104">
        <v>535.45678289649891</v>
      </c>
      <c r="CZ368" s="104">
        <v>551.67995890025611</v>
      </c>
      <c r="DA368" s="16">
        <v>0.18472426900174513</v>
      </c>
      <c r="DB368" s="16">
        <v>0</v>
      </c>
      <c r="DC368" s="16">
        <v>0</v>
      </c>
      <c r="DD368" s="16">
        <v>0</v>
      </c>
      <c r="DE368" s="16">
        <v>88.581465033350895</v>
      </c>
      <c r="DF368" s="16">
        <v>2.4401674273261564</v>
      </c>
      <c r="DG368" s="16">
        <v>3.1479869853703031</v>
      </c>
      <c r="DH368" s="16">
        <v>0.27323689285764952</v>
      </c>
      <c r="DI368" s="16">
        <v>1.1937310934101382</v>
      </c>
      <c r="DJ368" s="16">
        <v>0.13237951098033396</v>
      </c>
      <c r="DK368" s="16">
        <v>0.53966044026479376</v>
      </c>
      <c r="DL368" s="16">
        <v>0.24059614706826707</v>
      </c>
      <c r="DM368" s="16">
        <v>0</v>
      </c>
      <c r="DN368" s="16">
        <v>0</v>
      </c>
      <c r="DO368" s="16">
        <v>0</v>
      </c>
      <c r="DP368" s="16">
        <v>0</v>
      </c>
      <c r="DQ368" s="16">
        <v>0</v>
      </c>
      <c r="DR368" s="16">
        <v>3.449040307092234E-2</v>
      </c>
      <c r="DS368" s="16">
        <v>1.0569083498466927E-2</v>
      </c>
      <c r="DT368" s="16">
        <v>2.2416168561408434E-2</v>
      </c>
      <c r="DU368" s="16">
        <v>0</v>
      </c>
      <c r="DV368" s="16">
        <v>1.2758206655083431</v>
      </c>
      <c r="DW368" s="16">
        <v>0</v>
      </c>
      <c r="DX368" s="16">
        <v>0</v>
      </c>
      <c r="DY368" s="16">
        <f t="shared" si="334"/>
        <v>9.1631093173126583</v>
      </c>
      <c r="DZ368" s="16"/>
      <c r="EA368" s="13">
        <f>1128+200*((BM368-0.4)/0.4) -273</f>
        <v>879.19252979882231</v>
      </c>
      <c r="EB368" s="16"/>
      <c r="EC368" s="16">
        <f>(-18.482 -16.353 * BM368)/(0.008314 * (EA368+273))</f>
        <v>-2.6948068813156625</v>
      </c>
      <c r="ED368" s="16"/>
      <c r="EE368" s="16"/>
      <c r="EF368" s="16"/>
      <c r="EG368" s="16"/>
      <c r="EH368" s="16"/>
      <c r="EI368" s="16"/>
      <c r="EJ368" s="16"/>
      <c r="EK368" s="16"/>
      <c r="EL368" s="16">
        <f>(23.856 -20.71 * BM368)/(0.008314 * (EA368+273))</f>
        <v>1.5209777097181987</v>
      </c>
      <c r="EM368" s="16"/>
      <c r="EN368" s="16">
        <f>(-4.5269  -51.811 * BM368)/(0.008314 * (EA368+273)) +N("eqn50a")</f>
        <v>-2.8977164489438105</v>
      </c>
      <c r="EO368" s="16" t="e">
        <f>(-187.27 + 2.26018 *#REF!)/(0.008314 * (EA368+273)) +N("fsp eqn35 from SiO2")</f>
        <v>#REF!</v>
      </c>
      <c r="EP368" s="16"/>
      <c r="EQ368" s="16"/>
      <c r="ER368" s="16">
        <f>(10.146 -35.204 * BM368)/(0.008314 * (EA368+273))</f>
        <v>-0.58865791319435368</v>
      </c>
      <c r="ES368" s="16">
        <f>(2.1146 -37.009 * BM368)/(0.008314 * (EA368+273))</f>
        <v>-1.5115550509934927</v>
      </c>
      <c r="ET368" s="16">
        <f>(-3.6812 -33.822 * BM368)/(0.008314 * (EA368+273))</f>
        <v>-1.9674112967832884</v>
      </c>
      <c r="EU368" s="16">
        <f>(-6.8025 -26.094 * BM368)/(0.008314 * (EA368+273))</f>
        <v>-1.9315194559666238</v>
      </c>
      <c r="EV368" s="16">
        <f>(-5.6996 -30.85 * BM368)/(0.008314 * (EA368+273))</f>
        <v>-2.0390029108590246</v>
      </c>
      <c r="EW368" s="16">
        <f>(-8.6767 -33.32 * BM368)/(0.008314 * (EA368+273))</f>
        <v>-2.4654013807537551</v>
      </c>
      <c r="EX368" s="16"/>
      <c r="EY368" s="16">
        <f>(-1.9714 -59.897 * BM368)/(0.008314 * (EA368+273))</f>
        <v>-3.0094300800583547</v>
      </c>
      <c r="EZ368" s="16">
        <f>(-4.3691 -44.528 * BM368)/(0.008314 * (EA368+273))</f>
        <v>-2.5403439754800359</v>
      </c>
      <c r="FA368" s="16">
        <f>(-2.2521 -58.215 * BM368)/(0.008314 * (EA368+273))</f>
        <v>-2.9600024337764479</v>
      </c>
      <c r="FB368" s="16"/>
      <c r="FC368" s="16">
        <f>(-8.5 - 57.253 * BM368)/(0.008314 * (EA368+273))</f>
        <v>-3.5672008877840682</v>
      </c>
      <c r="FD368" s="16"/>
      <c r="FE368" s="16">
        <f>(-9.2954 -52.923 * BM368)/(0.008314 * (EA368+273))</f>
        <v>-3.4475570855074507</v>
      </c>
      <c r="FF368" s="16">
        <f>(0.61501 -70.378 * BM368)/(0.008314 * (EA368+273))</f>
        <v>-3.2300210919570036</v>
      </c>
      <c r="FG368" s="16"/>
      <c r="FH368" s="16"/>
      <c r="FI368" s="16"/>
      <c r="FJ368" s="16"/>
      <c r="FK368" s="16"/>
    </row>
    <row r="369" spans="1:167" x14ac:dyDescent="0.25">
      <c r="A369" s="35" t="s">
        <v>256</v>
      </c>
      <c r="B369" s="15">
        <v>1222</v>
      </c>
      <c r="C369" s="102" t="s">
        <v>99</v>
      </c>
      <c r="D369" s="102" t="s">
        <v>105</v>
      </c>
      <c r="E369" s="15">
        <v>55</v>
      </c>
      <c r="F369" s="16">
        <v>53.78</v>
      </c>
      <c r="G369" s="16">
        <v>0</v>
      </c>
      <c r="H369" s="16">
        <v>28.37</v>
      </c>
      <c r="I369" s="16">
        <v>0</v>
      </c>
      <c r="J369" s="16">
        <v>0.86205345091334473</v>
      </c>
      <c r="K369" s="16">
        <v>0</v>
      </c>
      <c r="L369" s="16">
        <v>0</v>
      </c>
      <c r="M369" s="16">
        <v>11.29</v>
      </c>
      <c r="N369" s="16">
        <v>5.21</v>
      </c>
      <c r="O369" s="16">
        <v>0.19400000000000001</v>
      </c>
      <c r="P369" s="16">
        <v>0</v>
      </c>
      <c r="Q369" s="16"/>
      <c r="R369" s="16"/>
      <c r="S369" s="16">
        <f t="shared" si="279"/>
        <v>99.706053450913345</v>
      </c>
      <c r="T369" s="16"/>
      <c r="U369" s="15"/>
      <c r="V369" s="15"/>
      <c r="W369" s="15"/>
      <c r="X369" s="15" t="s">
        <v>185</v>
      </c>
      <c r="Y369" s="15"/>
      <c r="Z369" s="37">
        <v>8</v>
      </c>
      <c r="AA369" s="37">
        <v>5</v>
      </c>
      <c r="AB369" s="15"/>
      <c r="AC369" s="38">
        <f t="shared" si="280"/>
        <v>2.4487018422678277</v>
      </c>
      <c r="AD369" s="38">
        <f t="shared" si="281"/>
        <v>0</v>
      </c>
      <c r="AE369" s="38">
        <f t="shared" si="282"/>
        <v>1.5223150422815486</v>
      </c>
      <c r="AF369" s="38">
        <f t="shared" si="283"/>
        <v>0</v>
      </c>
      <c r="AG369" s="38">
        <f t="shared" si="284"/>
        <v>3.2821048911856297E-2</v>
      </c>
      <c r="AH369" s="38">
        <f t="shared" si="285"/>
        <v>0</v>
      </c>
      <c r="AI369" s="38">
        <f t="shared" si="286"/>
        <v>0</v>
      </c>
      <c r="AJ369" s="38">
        <f t="shared" si="287"/>
        <v>0.55072015521581374</v>
      </c>
      <c r="AK369" s="38">
        <f t="shared" si="288"/>
        <v>0.4598976401898261</v>
      </c>
      <c r="AL369" s="38">
        <f t="shared" si="289"/>
        <v>1.1267455638876918E-2</v>
      </c>
      <c r="AM369" s="38">
        <f t="shared" si="290"/>
        <v>0</v>
      </c>
      <c r="AN369" s="38">
        <f t="shared" si="291"/>
        <v>0</v>
      </c>
      <c r="AO369" s="38">
        <f t="shared" si="292"/>
        <v>0</v>
      </c>
      <c r="AP369" s="38">
        <f t="shared" si="293"/>
        <v>5.0257231845057495</v>
      </c>
      <c r="AQ369" s="38">
        <f t="shared" si="294"/>
        <v>3.9710168845493765</v>
      </c>
      <c r="AR369" s="38">
        <f t="shared" si="295"/>
        <v>1.0218852510445169</v>
      </c>
      <c r="AS369" s="40"/>
      <c r="AT369" s="38">
        <f t="shared" si="296"/>
        <v>2.4361686391892308</v>
      </c>
      <c r="AU369" s="38">
        <f t="shared" si="297"/>
        <v>0</v>
      </c>
      <c r="AV369" s="38">
        <f t="shared" si="298"/>
        <v>1.514523369467333</v>
      </c>
      <c r="AW369" s="38">
        <f t="shared" si="299"/>
        <v>0</v>
      </c>
      <c r="AX369" s="38">
        <f t="shared" si="300"/>
        <v>0</v>
      </c>
      <c r="AY369" s="38">
        <f t="shared" si="301"/>
        <v>3.2653060770480989E-2</v>
      </c>
      <c r="AZ369" s="38">
        <f t="shared" si="302"/>
        <v>0</v>
      </c>
      <c r="BA369" s="38">
        <f t="shared" si="303"/>
        <v>0</v>
      </c>
      <c r="BB369" s="38">
        <f t="shared" si="304"/>
        <v>0.54790140144773403</v>
      </c>
      <c r="BC369" s="38">
        <f t="shared" si="305"/>
        <v>0.45754374376177903</v>
      </c>
      <c r="BD369" s="38">
        <f t="shared" si="306"/>
        <v>1.1209785363442184E-2</v>
      </c>
      <c r="BE369" s="38">
        <f t="shared" si="307"/>
        <v>0</v>
      </c>
      <c r="BF369" s="38">
        <f t="shared" si="308"/>
        <v>0</v>
      </c>
      <c r="BG369" s="38">
        <f t="shared" si="309"/>
        <v>0</v>
      </c>
      <c r="BH369" s="41">
        <f t="shared" si="310"/>
        <v>4.9999999999999991</v>
      </c>
      <c r="BI369" s="42">
        <f t="shared" si="311"/>
        <v>7.9753800897455278</v>
      </c>
      <c r="BJ369" s="38">
        <f t="shared" si="312"/>
        <v>3.9506920086565636</v>
      </c>
      <c r="BK369" s="38">
        <f t="shared" si="313"/>
        <v>1.0166549305729551</v>
      </c>
      <c r="BL369" s="16"/>
      <c r="BM369" s="16">
        <f t="shared" si="314"/>
        <v>0.53892563245520653</v>
      </c>
      <c r="BN369" s="16">
        <f t="shared" si="315"/>
        <v>0.45004822187201854</v>
      </c>
      <c r="BO369" s="16">
        <f t="shared" si="316"/>
        <v>1.1026145672774827E-2</v>
      </c>
      <c r="BP369" s="15"/>
      <c r="BQ369" s="38">
        <f t="shared" si="317"/>
        <v>0.89513981358189088</v>
      </c>
      <c r="BR369" s="38">
        <f t="shared" si="318"/>
        <v>0</v>
      </c>
      <c r="BS369" s="38">
        <f t="shared" si="319"/>
        <v>0.55649274225186351</v>
      </c>
      <c r="BT369" s="38">
        <f t="shared" si="320"/>
        <v>0</v>
      </c>
      <c r="BU369" s="38">
        <f t="shared" si="321"/>
        <v>1.1997960346741054E-2</v>
      </c>
      <c r="BV369" s="38">
        <f t="shared" si="322"/>
        <v>0</v>
      </c>
      <c r="BW369" s="38">
        <f t="shared" si="323"/>
        <v>0</v>
      </c>
      <c r="BX369" s="38">
        <f t="shared" si="324"/>
        <v>0.20131954350927245</v>
      </c>
      <c r="BY369" s="38">
        <f t="shared" si="325"/>
        <v>0.16811874798322041</v>
      </c>
      <c r="BZ369" s="38">
        <f t="shared" si="326"/>
        <v>4.1188959660297241E-3</v>
      </c>
      <c r="CA369" s="38">
        <f t="shared" si="327"/>
        <v>0</v>
      </c>
      <c r="CB369" s="38">
        <f t="shared" si="328"/>
        <v>0</v>
      </c>
      <c r="CC369" s="38">
        <f t="shared" si="329"/>
        <v>0</v>
      </c>
      <c r="CD369" s="38">
        <f t="shared" si="330"/>
        <v>1.8371877036390181</v>
      </c>
      <c r="CE369" s="38">
        <f t="shared" si="331"/>
        <v>2.9244550663722158</v>
      </c>
      <c r="CF369" s="38">
        <f t="shared" si="332"/>
        <v>2.7215509825676643</v>
      </c>
      <c r="CG369" s="38">
        <f t="shared" si="333"/>
        <v>7.9590535593602878</v>
      </c>
      <c r="CH369" s="15"/>
      <c r="CI369" s="16"/>
      <c r="CJ369" s="13"/>
      <c r="CK369" s="104"/>
      <c r="CL369" s="13"/>
      <c r="CM369" s="13"/>
      <c r="CN369" s="13"/>
      <c r="CO369" s="16"/>
      <c r="CP369" s="16"/>
      <c r="CQ369" s="16"/>
      <c r="CR369" s="16"/>
      <c r="CS369" s="16"/>
      <c r="CT369" s="16"/>
      <c r="CU369" s="16"/>
      <c r="CV369" s="16"/>
      <c r="CW369" s="16"/>
      <c r="CX369" s="16"/>
      <c r="CY369" s="104"/>
      <c r="CZ369" s="104"/>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3"/>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row>
    <row r="370" spans="1:167" x14ac:dyDescent="0.25">
      <c r="A370" s="35" t="s">
        <v>256</v>
      </c>
      <c r="B370" s="15">
        <v>1223</v>
      </c>
      <c r="C370" s="102" t="s">
        <v>99</v>
      </c>
      <c r="D370" s="102" t="s">
        <v>105</v>
      </c>
      <c r="E370" s="15">
        <v>56</v>
      </c>
      <c r="F370" s="16">
        <v>58.36</v>
      </c>
      <c r="G370" s="16">
        <v>0</v>
      </c>
      <c r="H370" s="16">
        <v>26.13</v>
      </c>
      <c r="I370" s="16">
        <v>0</v>
      </c>
      <c r="J370" s="16">
        <v>0.48591739404301276</v>
      </c>
      <c r="K370" s="16">
        <v>0</v>
      </c>
      <c r="L370" s="16">
        <v>0</v>
      </c>
      <c r="M370" s="16">
        <v>8</v>
      </c>
      <c r="N370" s="16">
        <v>7.29</v>
      </c>
      <c r="O370" s="16">
        <v>0.46</v>
      </c>
      <c r="P370" s="16">
        <v>0</v>
      </c>
      <c r="Q370" s="16"/>
      <c r="R370" s="16"/>
      <c r="S370" s="16">
        <f t="shared" si="279"/>
        <v>100.72591739404301</v>
      </c>
      <c r="T370" s="16"/>
      <c r="U370" s="15"/>
      <c r="V370" s="15"/>
      <c r="W370" s="15"/>
      <c r="X370" s="15" t="s">
        <v>185</v>
      </c>
      <c r="Y370" s="15"/>
      <c r="Z370" s="37">
        <v>8</v>
      </c>
      <c r="AA370" s="37">
        <v>5</v>
      </c>
      <c r="AB370" s="15"/>
      <c r="AC370" s="38">
        <f t="shared" si="280"/>
        <v>2.6046565416057885</v>
      </c>
      <c r="AD370" s="38">
        <f t="shared" si="281"/>
        <v>0</v>
      </c>
      <c r="AE370" s="38">
        <f t="shared" si="282"/>
        <v>1.3743732170782774</v>
      </c>
      <c r="AF370" s="38">
        <f t="shared" si="283"/>
        <v>0</v>
      </c>
      <c r="AG370" s="38">
        <f t="shared" si="284"/>
        <v>1.8134299233079774E-2</v>
      </c>
      <c r="AH370" s="38">
        <f t="shared" si="285"/>
        <v>0</v>
      </c>
      <c r="AI370" s="38">
        <f t="shared" si="286"/>
        <v>0</v>
      </c>
      <c r="AJ370" s="38">
        <f t="shared" si="287"/>
        <v>0.38251378139834452</v>
      </c>
      <c r="AK370" s="38">
        <f t="shared" si="288"/>
        <v>0.63077003934886933</v>
      </c>
      <c r="AL370" s="38">
        <f t="shared" si="289"/>
        <v>2.6187981730299396E-2</v>
      </c>
      <c r="AM370" s="38">
        <f t="shared" si="290"/>
        <v>0</v>
      </c>
      <c r="AN370" s="38">
        <f t="shared" si="291"/>
        <v>0</v>
      </c>
      <c r="AO370" s="38">
        <f t="shared" si="292"/>
        <v>0</v>
      </c>
      <c r="AP370" s="38">
        <f t="shared" si="293"/>
        <v>5.0366358603946582</v>
      </c>
      <c r="AQ370" s="38">
        <f t="shared" si="294"/>
        <v>3.9790297586840659</v>
      </c>
      <c r="AR370" s="38">
        <f t="shared" si="295"/>
        <v>1.0394718024775134</v>
      </c>
      <c r="AS370" s="40"/>
      <c r="AT370" s="38">
        <f t="shared" si="296"/>
        <v>2.5857105951289618</v>
      </c>
      <c r="AU370" s="38">
        <f t="shared" si="297"/>
        <v>0</v>
      </c>
      <c r="AV370" s="38">
        <f t="shared" si="298"/>
        <v>1.3643761978958957</v>
      </c>
      <c r="AW370" s="38">
        <f t="shared" si="299"/>
        <v>0</v>
      </c>
      <c r="AX370" s="38">
        <f t="shared" si="300"/>
        <v>0</v>
      </c>
      <c r="AY370" s="38">
        <f t="shared" si="301"/>
        <v>1.8002392604633141E-2</v>
      </c>
      <c r="AZ370" s="38">
        <f t="shared" si="302"/>
        <v>0</v>
      </c>
      <c r="BA370" s="38">
        <f t="shared" si="303"/>
        <v>0</v>
      </c>
      <c r="BB370" s="38">
        <f t="shared" si="304"/>
        <v>0.37973142391156672</v>
      </c>
      <c r="BC370" s="38">
        <f t="shared" si="305"/>
        <v>0.62618189683802528</v>
      </c>
      <c r="BD370" s="38">
        <f t="shared" si="306"/>
        <v>2.5997493620918005E-2</v>
      </c>
      <c r="BE370" s="38">
        <f t="shared" si="307"/>
        <v>0</v>
      </c>
      <c r="BF370" s="38">
        <f t="shared" si="308"/>
        <v>0</v>
      </c>
      <c r="BG370" s="38">
        <f t="shared" si="309"/>
        <v>0</v>
      </c>
      <c r="BH370" s="41">
        <f t="shared" si="310"/>
        <v>5</v>
      </c>
      <c r="BI370" s="42">
        <f t="shared" si="311"/>
        <v>7.9508101951497556</v>
      </c>
      <c r="BJ370" s="38">
        <f t="shared" si="312"/>
        <v>3.9500867930248575</v>
      </c>
      <c r="BK370" s="38">
        <f t="shared" si="313"/>
        <v>1.03191081437051</v>
      </c>
      <c r="BL370" s="16"/>
      <c r="BM370" s="16">
        <f t="shared" si="314"/>
        <v>0.36798860775890968</v>
      </c>
      <c r="BN370" s="16">
        <f t="shared" si="315"/>
        <v>0.60681784522241966</v>
      </c>
      <c r="BO370" s="16">
        <f t="shared" si="316"/>
        <v>2.5193547018670489E-2</v>
      </c>
      <c r="BP370" s="15"/>
      <c r="BQ370" s="38">
        <f t="shared" si="317"/>
        <v>0.97137150466045274</v>
      </c>
      <c r="BR370" s="38">
        <f t="shared" si="318"/>
        <v>0</v>
      </c>
      <c r="BS370" s="38">
        <f t="shared" si="319"/>
        <v>0.51255394272263632</v>
      </c>
      <c r="BT370" s="38">
        <f t="shared" si="320"/>
        <v>0</v>
      </c>
      <c r="BU370" s="38">
        <f t="shared" si="321"/>
        <v>6.7629421578707417E-3</v>
      </c>
      <c r="BV370" s="38">
        <f t="shared" si="322"/>
        <v>0</v>
      </c>
      <c r="BW370" s="38">
        <f t="shared" si="323"/>
        <v>0</v>
      </c>
      <c r="BX370" s="38">
        <f t="shared" si="324"/>
        <v>0.14265335235378032</v>
      </c>
      <c r="BY370" s="38">
        <f t="shared" si="325"/>
        <v>0.23523717328170379</v>
      </c>
      <c r="BZ370" s="38">
        <f t="shared" si="326"/>
        <v>9.7664543524416132E-3</v>
      </c>
      <c r="CA370" s="38">
        <f t="shared" si="327"/>
        <v>0</v>
      </c>
      <c r="CB370" s="38">
        <f t="shared" si="328"/>
        <v>0</v>
      </c>
      <c r="CC370" s="38">
        <f t="shared" si="329"/>
        <v>0</v>
      </c>
      <c r="CD370" s="38">
        <f t="shared" si="330"/>
        <v>1.8783453695288854</v>
      </c>
      <c r="CE370" s="38">
        <f t="shared" si="331"/>
        <v>2.9834920317335833</v>
      </c>
      <c r="CF370" s="38">
        <f t="shared" si="332"/>
        <v>2.6619172816200827</v>
      </c>
      <c r="CG370" s="38">
        <f t="shared" si="333"/>
        <v>7.9418089988474376</v>
      </c>
      <c r="CH370" s="15"/>
      <c r="CI370" s="16"/>
      <c r="CJ370" s="13"/>
      <c r="CK370" s="104"/>
      <c r="CL370" s="13"/>
      <c r="CM370" s="13"/>
      <c r="CN370" s="13"/>
      <c r="CO370" s="16"/>
      <c r="CP370" s="16"/>
      <c r="CQ370" s="16"/>
      <c r="CR370" s="16"/>
      <c r="CS370" s="16"/>
      <c r="CT370" s="16"/>
      <c r="CU370" s="16"/>
      <c r="CV370" s="16"/>
      <c r="CW370" s="16"/>
      <c r="CX370" s="16"/>
      <c r="CY370" s="104"/>
      <c r="CZ370" s="104"/>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3"/>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row>
    <row r="371" spans="1:167" x14ac:dyDescent="0.25">
      <c r="A371" s="35" t="s">
        <v>256</v>
      </c>
      <c r="B371" s="15">
        <v>1224</v>
      </c>
      <c r="C371" s="102" t="s">
        <v>99</v>
      </c>
      <c r="D371" s="102" t="s">
        <v>105</v>
      </c>
      <c r="E371" s="15">
        <v>57</v>
      </c>
      <c r="F371" s="16">
        <v>58.01</v>
      </c>
      <c r="G371" s="16">
        <v>0</v>
      </c>
      <c r="H371" s="16">
        <v>25.67</v>
      </c>
      <c r="I371" s="16">
        <v>0</v>
      </c>
      <c r="J371" s="16">
        <v>0.52191127508323587</v>
      </c>
      <c r="K371" s="16">
        <v>0</v>
      </c>
      <c r="L371" s="16">
        <v>0</v>
      </c>
      <c r="M371" s="16">
        <v>8.1199999999999992</v>
      </c>
      <c r="N371" s="16">
        <v>7.07</v>
      </c>
      <c r="O371" s="16">
        <v>0.51400000000000001</v>
      </c>
      <c r="P371" s="16">
        <v>0</v>
      </c>
      <c r="Q371" s="16"/>
      <c r="R371" s="16"/>
      <c r="S371" s="16">
        <f t="shared" si="279"/>
        <v>99.905911275083255</v>
      </c>
      <c r="T371" s="16"/>
      <c r="U371" s="15"/>
      <c r="V371" s="15"/>
      <c r="W371" s="15"/>
      <c r="X371" s="15" t="s">
        <v>185</v>
      </c>
      <c r="Y371" s="15"/>
      <c r="Z371" s="37">
        <v>8</v>
      </c>
      <c r="AA371" s="37">
        <v>5</v>
      </c>
      <c r="AB371" s="15"/>
      <c r="AC371" s="38">
        <f t="shared" si="280"/>
        <v>2.611373948272727</v>
      </c>
      <c r="AD371" s="38">
        <f t="shared" si="281"/>
        <v>0</v>
      </c>
      <c r="AE371" s="38">
        <f t="shared" si="282"/>
        <v>1.3618276987963438</v>
      </c>
      <c r="AF371" s="38">
        <f t="shared" si="283"/>
        <v>0</v>
      </c>
      <c r="AG371" s="38">
        <f t="shared" si="284"/>
        <v>1.9645633258176459E-2</v>
      </c>
      <c r="AH371" s="38">
        <f t="shared" si="285"/>
        <v>0</v>
      </c>
      <c r="AI371" s="38">
        <f t="shared" si="286"/>
        <v>0</v>
      </c>
      <c r="AJ371" s="38">
        <f t="shared" si="287"/>
        <v>0.39160132264669018</v>
      </c>
      <c r="AK371" s="38">
        <f t="shared" si="288"/>
        <v>0.61701250113403239</v>
      </c>
      <c r="AL371" s="38">
        <f t="shared" si="289"/>
        <v>2.951469757629601E-2</v>
      </c>
      <c r="AM371" s="38">
        <f t="shared" si="290"/>
        <v>0</v>
      </c>
      <c r="AN371" s="38">
        <f t="shared" si="291"/>
        <v>0</v>
      </c>
      <c r="AO371" s="38">
        <f t="shared" si="292"/>
        <v>0</v>
      </c>
      <c r="AP371" s="38">
        <f t="shared" si="293"/>
        <v>5.0309758016842654</v>
      </c>
      <c r="AQ371" s="38">
        <f t="shared" si="294"/>
        <v>3.9732016470690708</v>
      </c>
      <c r="AR371" s="38">
        <f t="shared" si="295"/>
        <v>1.0381285213570186</v>
      </c>
      <c r="AS371" s="40"/>
      <c r="AT371" s="38">
        <f t="shared" si="296"/>
        <v>2.5952956754418235</v>
      </c>
      <c r="AU371" s="38">
        <f t="shared" si="297"/>
        <v>0</v>
      </c>
      <c r="AV371" s="38">
        <f t="shared" si="298"/>
        <v>1.3534429030054491</v>
      </c>
      <c r="AW371" s="38">
        <f t="shared" si="299"/>
        <v>0</v>
      </c>
      <c r="AX371" s="38">
        <f t="shared" si="300"/>
        <v>0</v>
      </c>
      <c r="AY371" s="38">
        <f t="shared" si="301"/>
        <v>1.9524674767467092E-2</v>
      </c>
      <c r="AZ371" s="38">
        <f t="shared" si="302"/>
        <v>0</v>
      </c>
      <c r="BA371" s="38">
        <f t="shared" si="303"/>
        <v>0</v>
      </c>
      <c r="BB371" s="38">
        <f t="shared" si="304"/>
        <v>0.38919022679018872</v>
      </c>
      <c r="BC371" s="38">
        <f t="shared" si="305"/>
        <v>0.61321354490263058</v>
      </c>
      <c r="BD371" s="38">
        <f t="shared" si="306"/>
        <v>2.933297509244142E-2</v>
      </c>
      <c r="BE371" s="38">
        <f t="shared" si="307"/>
        <v>0</v>
      </c>
      <c r="BF371" s="38">
        <f t="shared" si="308"/>
        <v>0</v>
      </c>
      <c r="BG371" s="38">
        <f t="shared" si="309"/>
        <v>0</v>
      </c>
      <c r="BH371" s="41">
        <f t="shared" si="310"/>
        <v>5.0000000000000009</v>
      </c>
      <c r="BI371" s="42">
        <f t="shared" si="311"/>
        <v>7.9605062043307457</v>
      </c>
      <c r="BJ371" s="38">
        <f t="shared" si="312"/>
        <v>3.9487385784472728</v>
      </c>
      <c r="BK371" s="38">
        <f t="shared" si="313"/>
        <v>1.0317367467852607</v>
      </c>
      <c r="BL371" s="16"/>
      <c r="BM371" s="16">
        <f t="shared" si="314"/>
        <v>0.3772185375802965</v>
      </c>
      <c r="BN371" s="16">
        <f t="shared" si="315"/>
        <v>0.59435078455169243</v>
      </c>
      <c r="BO371" s="16">
        <f t="shared" si="316"/>
        <v>2.8430677868011036E-2</v>
      </c>
      <c r="BP371" s="15"/>
      <c r="BQ371" s="38">
        <f t="shared" si="317"/>
        <v>0.9655459387483355</v>
      </c>
      <c r="BR371" s="38">
        <f t="shared" si="318"/>
        <v>0</v>
      </c>
      <c r="BS371" s="38">
        <f t="shared" si="319"/>
        <v>0.5035307963907415</v>
      </c>
      <c r="BT371" s="38">
        <f t="shared" si="320"/>
        <v>0</v>
      </c>
      <c r="BU371" s="38">
        <f t="shared" si="321"/>
        <v>7.2639008362315365E-3</v>
      </c>
      <c r="BV371" s="38">
        <f t="shared" si="322"/>
        <v>0</v>
      </c>
      <c r="BW371" s="38">
        <f t="shared" si="323"/>
        <v>0</v>
      </c>
      <c r="BX371" s="38">
        <f t="shared" si="324"/>
        <v>0.14479315263908701</v>
      </c>
      <c r="BY371" s="38">
        <f t="shared" si="325"/>
        <v>0.22813810906744114</v>
      </c>
      <c r="BZ371" s="38">
        <f t="shared" si="326"/>
        <v>1.0912951167728238E-2</v>
      </c>
      <c r="CA371" s="38">
        <f t="shared" si="327"/>
        <v>0</v>
      </c>
      <c r="CB371" s="38">
        <f t="shared" si="328"/>
        <v>0</v>
      </c>
      <c r="CC371" s="38">
        <f t="shared" si="329"/>
        <v>0</v>
      </c>
      <c r="CD371" s="38">
        <f t="shared" si="330"/>
        <v>1.8601848488495649</v>
      </c>
      <c r="CE371" s="38">
        <f t="shared" si="331"/>
        <v>2.9579706556756866</v>
      </c>
      <c r="CF371" s="38">
        <f t="shared" si="332"/>
        <v>2.6879049160583479</v>
      </c>
      <c r="CG371" s="38">
        <f t="shared" si="333"/>
        <v>7.950743866947013</v>
      </c>
      <c r="CH371" s="15"/>
      <c r="CI371" s="16"/>
      <c r="CJ371" s="13"/>
      <c r="CK371" s="104"/>
      <c r="CL371" s="13"/>
      <c r="CM371" s="13"/>
      <c r="CN371" s="13"/>
      <c r="CO371" s="16"/>
      <c r="CP371" s="16"/>
      <c r="CQ371" s="16"/>
      <c r="CR371" s="16"/>
      <c r="CS371" s="16"/>
      <c r="CT371" s="16"/>
      <c r="CU371" s="16"/>
      <c r="CV371" s="16"/>
      <c r="CW371" s="16"/>
      <c r="CX371" s="16"/>
      <c r="CY371" s="104"/>
      <c r="CZ371" s="104"/>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3"/>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row>
    <row r="372" spans="1:167" x14ac:dyDescent="0.25">
      <c r="A372" s="35" t="s">
        <v>256</v>
      </c>
      <c r="B372" s="15">
        <v>1225</v>
      </c>
      <c r="C372" s="102" t="s">
        <v>99</v>
      </c>
      <c r="D372" s="102" t="s">
        <v>105</v>
      </c>
      <c r="E372" s="15">
        <v>58</v>
      </c>
      <c r="F372" s="16">
        <v>58.54</v>
      </c>
      <c r="G372" s="16">
        <v>0</v>
      </c>
      <c r="H372" s="16">
        <v>25.53</v>
      </c>
      <c r="I372" s="16">
        <v>0</v>
      </c>
      <c r="J372" s="16">
        <v>0.73427517322055247</v>
      </c>
      <c r="K372" s="16">
        <v>0</v>
      </c>
      <c r="L372" s="16">
        <v>0</v>
      </c>
      <c r="M372" s="16">
        <v>7.75</v>
      </c>
      <c r="N372" s="16">
        <v>7.45</v>
      </c>
      <c r="O372" s="16">
        <v>0.52500000000000002</v>
      </c>
      <c r="P372" s="16">
        <v>0</v>
      </c>
      <c r="Q372" s="16"/>
      <c r="R372" s="16"/>
      <c r="S372" s="16">
        <f t="shared" si="279"/>
        <v>100.52927517322055</v>
      </c>
      <c r="T372" s="16"/>
      <c r="U372" s="15"/>
      <c r="V372" s="15"/>
      <c r="W372" s="15"/>
      <c r="X372" s="15" t="s">
        <v>185</v>
      </c>
      <c r="Y372" s="15"/>
      <c r="Z372" s="37">
        <v>8</v>
      </c>
      <c r="AA372" s="37">
        <v>5</v>
      </c>
      <c r="AB372" s="15"/>
      <c r="AC372" s="38">
        <f t="shared" si="280"/>
        <v>2.6209405890324153</v>
      </c>
      <c r="AD372" s="38">
        <f t="shared" si="281"/>
        <v>0</v>
      </c>
      <c r="AE372" s="38">
        <f t="shared" si="282"/>
        <v>1.3470551174897842</v>
      </c>
      <c r="AF372" s="38">
        <f t="shared" si="283"/>
        <v>0</v>
      </c>
      <c r="AG372" s="38">
        <f t="shared" si="284"/>
        <v>2.7489475551848452E-2</v>
      </c>
      <c r="AH372" s="38">
        <f t="shared" si="285"/>
        <v>0</v>
      </c>
      <c r="AI372" s="38">
        <f t="shared" si="286"/>
        <v>0</v>
      </c>
      <c r="AJ372" s="38">
        <f t="shared" si="287"/>
        <v>0.37173040084071213</v>
      </c>
      <c r="AK372" s="38">
        <f t="shared" si="288"/>
        <v>0.64664969781988424</v>
      </c>
      <c r="AL372" s="38">
        <f t="shared" si="289"/>
        <v>2.9982840795979029E-2</v>
      </c>
      <c r="AM372" s="38">
        <f t="shared" si="290"/>
        <v>0</v>
      </c>
      <c r="AN372" s="38">
        <f t="shared" si="291"/>
        <v>0</v>
      </c>
      <c r="AO372" s="38">
        <f t="shared" si="292"/>
        <v>0</v>
      </c>
      <c r="AP372" s="38">
        <f t="shared" si="293"/>
        <v>5.0438481215306243</v>
      </c>
      <c r="AQ372" s="38">
        <f t="shared" si="294"/>
        <v>3.9679957065221996</v>
      </c>
      <c r="AR372" s="38">
        <f t="shared" si="295"/>
        <v>1.0483629394565754</v>
      </c>
      <c r="AS372" s="40"/>
      <c r="AT372" s="38">
        <f t="shared" si="296"/>
        <v>2.5981557393098664</v>
      </c>
      <c r="AU372" s="38">
        <f t="shared" si="297"/>
        <v>0</v>
      </c>
      <c r="AV372" s="38">
        <f t="shared" si="298"/>
        <v>1.3353446466197347</v>
      </c>
      <c r="AW372" s="38">
        <f t="shared" si="299"/>
        <v>0</v>
      </c>
      <c r="AX372" s="38">
        <f t="shared" si="300"/>
        <v>0</v>
      </c>
      <c r="AY372" s="38">
        <f t="shared" si="301"/>
        <v>2.7250498914216322E-2</v>
      </c>
      <c r="AZ372" s="38">
        <f t="shared" si="302"/>
        <v>0</v>
      </c>
      <c r="BA372" s="38">
        <f t="shared" si="303"/>
        <v>0</v>
      </c>
      <c r="BB372" s="38">
        <f t="shared" si="304"/>
        <v>0.36849880476566138</v>
      </c>
      <c r="BC372" s="38">
        <f t="shared" si="305"/>
        <v>0.64102812202010739</v>
      </c>
      <c r="BD372" s="38">
        <f t="shared" si="306"/>
        <v>2.9722188370414633E-2</v>
      </c>
      <c r="BE372" s="38">
        <f t="shared" si="307"/>
        <v>0</v>
      </c>
      <c r="BF372" s="38">
        <f t="shared" si="308"/>
        <v>0</v>
      </c>
      <c r="BG372" s="38">
        <f t="shared" si="309"/>
        <v>0</v>
      </c>
      <c r="BH372" s="41">
        <f t="shared" si="310"/>
        <v>5.0000000000000009</v>
      </c>
      <c r="BI372" s="42">
        <f t="shared" si="311"/>
        <v>7.9440781568815817</v>
      </c>
      <c r="BJ372" s="38">
        <f t="shared" si="312"/>
        <v>3.9335003859296012</v>
      </c>
      <c r="BK372" s="38">
        <f t="shared" si="313"/>
        <v>1.0392491151561833</v>
      </c>
      <c r="BL372" s="16"/>
      <c r="BM372" s="16">
        <f t="shared" si="314"/>
        <v>0.35458178351230213</v>
      </c>
      <c r="BN372" s="16">
        <f t="shared" si="315"/>
        <v>0.61681854010890402</v>
      </c>
      <c r="BO372" s="16">
        <f t="shared" si="316"/>
        <v>2.8599676378793775E-2</v>
      </c>
      <c r="BP372" s="15"/>
      <c r="BQ372" s="38">
        <f t="shared" si="317"/>
        <v>0.97436750998668442</v>
      </c>
      <c r="BR372" s="38">
        <f t="shared" si="318"/>
        <v>0</v>
      </c>
      <c r="BS372" s="38">
        <f t="shared" si="319"/>
        <v>0.50078462142016478</v>
      </c>
      <c r="BT372" s="38">
        <f t="shared" si="320"/>
        <v>0</v>
      </c>
      <c r="BU372" s="38">
        <f t="shared" si="321"/>
        <v>1.021955703856023E-2</v>
      </c>
      <c r="BV372" s="38">
        <f t="shared" si="322"/>
        <v>0</v>
      </c>
      <c r="BW372" s="38">
        <f t="shared" si="323"/>
        <v>0</v>
      </c>
      <c r="BX372" s="38">
        <f t="shared" si="324"/>
        <v>0.13819543509272469</v>
      </c>
      <c r="BY372" s="38">
        <f t="shared" si="325"/>
        <v>0.24040012907389482</v>
      </c>
      <c r="BZ372" s="38">
        <f t="shared" si="326"/>
        <v>1.1146496815286625E-2</v>
      </c>
      <c r="CA372" s="38">
        <f t="shared" si="327"/>
        <v>0</v>
      </c>
      <c r="CB372" s="38">
        <f t="shared" si="328"/>
        <v>0</v>
      </c>
      <c r="CC372" s="38">
        <f t="shared" si="329"/>
        <v>0</v>
      </c>
      <c r="CD372" s="38">
        <f t="shared" si="330"/>
        <v>1.8751137494273153</v>
      </c>
      <c r="CE372" s="38">
        <f t="shared" si="331"/>
        <v>2.9741002571794919</v>
      </c>
      <c r="CF372" s="38">
        <f t="shared" si="332"/>
        <v>2.6665048995171983</v>
      </c>
      <c r="CG372" s="38">
        <f t="shared" si="333"/>
        <v>7.930452907424475</v>
      </c>
      <c r="CH372" s="15"/>
      <c r="CI372" s="16"/>
      <c r="CJ372" s="13"/>
      <c r="CK372" s="104"/>
      <c r="CL372" s="13"/>
      <c r="CM372" s="13"/>
      <c r="CN372" s="13"/>
      <c r="CO372" s="16"/>
      <c r="CP372" s="16"/>
      <c r="CQ372" s="16"/>
      <c r="CR372" s="16"/>
      <c r="CS372" s="16"/>
      <c r="CT372" s="16"/>
      <c r="CU372" s="16"/>
      <c r="CV372" s="16"/>
      <c r="CW372" s="16"/>
      <c r="CX372" s="16"/>
      <c r="CY372" s="104"/>
      <c r="CZ372" s="104"/>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3"/>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row>
    <row r="373" spans="1:167" x14ac:dyDescent="0.25">
      <c r="A373" s="35" t="s">
        <v>256</v>
      </c>
      <c r="B373" s="15">
        <v>1226</v>
      </c>
      <c r="C373" s="102" t="s">
        <v>99</v>
      </c>
      <c r="D373" s="102" t="s">
        <v>105</v>
      </c>
      <c r="E373" s="15">
        <v>59</v>
      </c>
      <c r="F373" s="16">
        <v>57.87</v>
      </c>
      <c r="G373" s="16">
        <v>0</v>
      </c>
      <c r="H373" s="16">
        <v>26.09</v>
      </c>
      <c r="I373" s="16">
        <v>0</v>
      </c>
      <c r="J373" s="16">
        <v>0.68748312786826249</v>
      </c>
      <c r="K373" s="16">
        <v>0</v>
      </c>
      <c r="L373" s="16">
        <v>0</v>
      </c>
      <c r="M373" s="16">
        <v>8.2100000000000009</v>
      </c>
      <c r="N373" s="16">
        <v>7.18</v>
      </c>
      <c r="O373" s="16">
        <v>0.42799999999999999</v>
      </c>
      <c r="P373" s="16">
        <v>0</v>
      </c>
      <c r="Q373" s="16"/>
      <c r="R373" s="16"/>
      <c r="S373" s="16">
        <f t="shared" ref="S373:S433" si="335">SUM(F373:R373)</f>
        <v>100.46548312786825</v>
      </c>
      <c r="T373" s="16"/>
      <c r="U373" s="15"/>
      <c r="V373" s="15"/>
      <c r="W373" s="15"/>
      <c r="X373" s="15" t="s">
        <v>185</v>
      </c>
      <c r="Y373" s="15"/>
      <c r="Z373" s="37">
        <v>8</v>
      </c>
      <c r="AA373" s="37">
        <v>5</v>
      </c>
      <c r="AB373" s="15"/>
      <c r="AC373" s="38">
        <f t="shared" ref="AC373:AC433" si="336">BQ373*($Z373/$CE373)</f>
        <v>2.5941369371944401</v>
      </c>
      <c r="AD373" s="38">
        <f t="shared" ref="AD373:AD433" si="337">BR373*($Z373/$CE373)</f>
        <v>0</v>
      </c>
      <c r="AE373" s="38">
        <f t="shared" ref="AE373:AE433" si="338">BS373*($Z373/$CE373)</f>
        <v>1.3782994636045851</v>
      </c>
      <c r="AF373" s="38">
        <f t="shared" ref="AF373:AF433" si="339">BT373*($Z373/$CE373)</f>
        <v>0</v>
      </c>
      <c r="AG373" s="38">
        <f t="shared" ref="AG373:AG433" si="340">BU373*($Z373/$CE373)</f>
        <v>2.5769418045586488E-2</v>
      </c>
      <c r="AH373" s="38">
        <f t="shared" ref="AH373:AH433" si="341">BV373*($Z373/$CE373)</f>
        <v>0</v>
      </c>
      <c r="AI373" s="38">
        <f t="shared" ref="AI373:AI433" si="342">BW373*($Z373/$CE373)</f>
        <v>0</v>
      </c>
      <c r="AJ373" s="38">
        <f t="shared" ref="AJ373:AJ433" si="343">BX373*($Z373/$CE373)</f>
        <v>0.39427976708651991</v>
      </c>
      <c r="AK373" s="38">
        <f t="shared" ref="AK373:AK433" si="344">BY373*($Z373/$CE373)</f>
        <v>0.62398220890225642</v>
      </c>
      <c r="AL373" s="38">
        <f t="shared" ref="AL373:AL433" si="345">BZ373*($Z373/$CE373)</f>
        <v>2.4473281242011712E-2</v>
      </c>
      <c r="AM373" s="38">
        <f t="shared" ref="AM373:AM433" si="346">CA373*($Z373/$CE373)</f>
        <v>0</v>
      </c>
      <c r="AN373" s="38">
        <f t="shared" ref="AN373:AN433" si="347">CB373*($Z373/$CE373)</f>
        <v>0</v>
      </c>
      <c r="AO373" s="38">
        <f t="shared" ref="AO373:AO433" si="348">CC373*($Z373/$CE373)</f>
        <v>0</v>
      </c>
      <c r="AP373" s="38">
        <f t="shared" ref="AP373:AP433" si="349">SUM(AC373:AN373)</f>
        <v>5.0409410760753994</v>
      </c>
      <c r="AQ373" s="38">
        <f t="shared" ref="AQ373:AQ433" si="350">AC373+AE373</f>
        <v>3.9724364007990252</v>
      </c>
      <c r="AR373" s="38">
        <f t="shared" ref="AR373:AR433" si="351">SUM(AJ373:AL373)</f>
        <v>1.042735257230788</v>
      </c>
      <c r="AS373" s="40"/>
      <c r="AT373" s="38">
        <f t="shared" ref="AT373:AT433" si="352">IF($AA373&gt;0,BQ373*$CF373,"")</f>
        <v>2.5730681018137318</v>
      </c>
      <c r="AU373" s="38">
        <f t="shared" ref="AU373:AU433" si="353">IF($AA373&gt;0,BR373*$CF373,"")</f>
        <v>0</v>
      </c>
      <c r="AV373" s="38">
        <f t="shared" ref="AV373:AV433" si="354">IF($AA373&gt;0,BS373*$CF373,"")</f>
        <v>1.367105311095655</v>
      </c>
      <c r="AW373" s="38">
        <f t="shared" ref="AW373:AW433" si="355">IF($AA373&gt;0,BT373*$CF373,"")</f>
        <v>0</v>
      </c>
      <c r="AX373" s="38">
        <f t="shared" ref="AX373:AX433" si="356">IF($AA373&gt;0 +N("so a blank cell if no ideal cations set"),                         BU373*CF373-AY373,"")</f>
        <v>0</v>
      </c>
      <c r="AY373" s="38">
        <f t="shared" ref="AY373:AY433" si="357">IF($AA373&gt;0 +N("so a blank cell if no ideal cations set"),                                                                     IF(AP373&gt;AA373,                          IF(  2*Z373*(1-(AA373/AP373))   &lt;   BU373*CF373,    2*Z373*(1-(AA373/AP373)),    BU373*CF373),0),"")</f>
        <v>2.5560126231081778E-2</v>
      </c>
      <c r="AZ373" s="38">
        <f t="shared" ref="AZ373:AZ433" si="358">IF($AA373&gt;0,BV373*$CF373,"")</f>
        <v>0</v>
      </c>
      <c r="BA373" s="38">
        <f t="shared" ref="BA373:BA433" si="359">IF($AA373&gt;0,BW373*$CF373,"")</f>
        <v>0</v>
      </c>
      <c r="BB373" s="38">
        <f t="shared" ref="BB373:BB433" si="360">IF($AA373&gt;0,BX373*$CF373,"")</f>
        <v>0.3910775400230273</v>
      </c>
      <c r="BC373" s="38">
        <f t="shared" ref="BC373:BC433" si="361">IF($AA373&gt;0,BY373*$CF373,"")</f>
        <v>0.61891440455802216</v>
      </c>
      <c r="BD373" s="38">
        <f t="shared" ref="BD373:BD433" si="362">IF($AA373&gt;0,BZ373*$CF373,"")</f>
        <v>2.4274516278481539E-2</v>
      </c>
      <c r="BE373" s="38">
        <f t="shared" ref="BE373:BE433" si="363">IF($AA373&gt;0,CA373*$CF373,"")</f>
        <v>0</v>
      </c>
      <c r="BF373" s="38">
        <f t="shared" ref="BF373:BF433" si="364">IF($AA373&gt;0,CB373*$CF373,"")</f>
        <v>0</v>
      </c>
      <c r="BG373" s="38">
        <f t="shared" ref="BG373:BG433" si="365">IF($AA373&gt;0,CC373*$CF373,"")</f>
        <v>0</v>
      </c>
      <c r="BH373" s="41">
        <f t="shared" ref="BH373:BH433" si="366">IF(AA373&gt;0,SUM(AT373:BF373),"")</f>
        <v>4.9999999999999991</v>
      </c>
      <c r="BI373" s="42">
        <f t="shared" ref="BI373:BI433" si="367">(AT373+AU373)*2+(AV373+AW373+AY373)*1.5+AX373+AZ373+BA373+BB373+(BC373+BD373)*0.5+BE373*2.5+BF373*3  -(0.5*(BG373))</f>
        <v>7.9478063600588484</v>
      </c>
      <c r="BJ373" s="38">
        <f t="shared" ref="BJ373:BJ433" si="368">IF(AA373&gt;0,AT373+AV373,"")</f>
        <v>3.9401734129093868</v>
      </c>
      <c r="BK373" s="38">
        <f t="shared" ref="BK373:BK433" si="369">IF(AA373&gt;0,SUM(BB373:BD373),"")</f>
        <v>1.0342664608595311</v>
      </c>
      <c r="BL373" s="16"/>
      <c r="BM373" s="16">
        <f t="shared" ref="BM373:BM433" si="370">AJ373/(AJ373+AK373+AL373)</f>
        <v>0.37812068245742092</v>
      </c>
      <c r="BN373" s="16">
        <f t="shared" ref="BN373:BN433" si="371">AK373/(AK373+AJ373+AL373)</f>
        <v>0.59840904445810905</v>
      </c>
      <c r="BO373" s="16">
        <f t="shared" ref="BO373:BO433" si="372">AL373/(AJ373+AK373+AL373)</f>
        <v>2.3470273084470045E-2</v>
      </c>
      <c r="BP373" s="15"/>
      <c r="BQ373" s="38">
        <f t="shared" ref="BQ373:BQ433" si="373">F373/60.08</f>
        <v>0.96321571238348869</v>
      </c>
      <c r="BR373" s="38">
        <f t="shared" ref="BR373:BR433" si="374">G373/79.88</f>
        <v>0</v>
      </c>
      <c r="BS373" s="38">
        <f t="shared" ref="BS373:BS433" si="375">H373/101.96*2</f>
        <v>0.51176932130247155</v>
      </c>
      <c r="BT373" s="38">
        <f t="shared" ref="BT373:BT433" si="376">I373/151.99*2</f>
        <v>0</v>
      </c>
      <c r="BU373" s="38">
        <f t="shared" ref="BU373:BU433" si="377">J373/71.85</f>
        <v>9.5683107566911976E-3</v>
      </c>
      <c r="BV373" s="38">
        <f t="shared" ref="BV373:BV433" si="378">K373/70.94</f>
        <v>0</v>
      </c>
      <c r="BW373" s="38">
        <f t="shared" ref="BW373:BW433" si="379">L373/40.3</f>
        <v>0</v>
      </c>
      <c r="BX373" s="38">
        <f t="shared" ref="BX373:BX433" si="380">M373/56.08</f>
        <v>0.14639800285306706</v>
      </c>
      <c r="BY373" s="38">
        <f t="shared" ref="BY373:BY433" si="381">N373/61.98*2</f>
        <v>0.23168764117457244</v>
      </c>
      <c r="BZ373" s="38">
        <f t="shared" ref="BZ373:BZ433" si="382">O373/94.2*2</f>
        <v>9.0870488322717623E-3</v>
      </c>
      <c r="CA373" s="38">
        <f t="shared" ref="CA373:CA433" si="383">P373/141.94*2</f>
        <v>0</v>
      </c>
      <c r="CB373" s="38">
        <f t="shared" ref="CB373:CB433" si="384">Q373/80.06</f>
        <v>0</v>
      </c>
      <c r="CC373" s="38">
        <f t="shared" ref="CC373:CC433" si="385">R373/35.45</f>
        <v>0</v>
      </c>
      <c r="CD373" s="38">
        <f t="shared" ref="CD373:CD433" si="386">SUM(BQ373:CB373)</f>
        <v>1.871726037302563</v>
      </c>
      <c r="CE373" s="38">
        <f t="shared" ref="CE373:CE433" si="387">(BQ373+BR373)*2+(BS373+BT373)*1.5+BU373+BV373+BW373+BX373+(BY373+BZ373)*0.5+CA373*2.5+CB373*3+     -(0.5*(CC373))</f>
        <v>2.9704390653338657</v>
      </c>
      <c r="CF373" s="38">
        <f t="shared" ref="CF373:CF433" si="388">AA373/CD373</f>
        <v>2.6713311138235527</v>
      </c>
      <c r="CG373" s="38">
        <f t="shared" ref="CG373:CG433" si="389">CE373*CF373</f>
        <v>7.9350262969433087</v>
      </c>
      <c r="CH373" s="15"/>
      <c r="CI373" s="16"/>
      <c r="CJ373" s="13"/>
      <c r="CK373" s="104"/>
      <c r="CL373" s="13"/>
      <c r="CM373" s="13"/>
      <c r="CN373" s="13"/>
      <c r="CO373" s="16"/>
      <c r="CP373" s="16"/>
      <c r="CQ373" s="16"/>
      <c r="CR373" s="16"/>
      <c r="CS373" s="16"/>
      <c r="CT373" s="16"/>
      <c r="CU373" s="16"/>
      <c r="CV373" s="16"/>
      <c r="CW373" s="16"/>
      <c r="CX373" s="16"/>
      <c r="CY373" s="104"/>
      <c r="CZ373" s="104"/>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3"/>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row>
    <row r="374" spans="1:167" x14ac:dyDescent="0.25">
      <c r="A374" s="35" t="s">
        <v>256</v>
      </c>
      <c r="B374" s="15">
        <v>1227</v>
      </c>
      <c r="C374" s="102" t="s">
        <v>99</v>
      </c>
      <c r="D374" s="102" t="s">
        <v>105</v>
      </c>
      <c r="E374" s="15">
        <v>60</v>
      </c>
      <c r="F374" s="16">
        <v>59.9</v>
      </c>
      <c r="G374" s="16">
        <v>0</v>
      </c>
      <c r="H374" s="16">
        <v>24.97</v>
      </c>
      <c r="I374" s="16">
        <v>0</v>
      </c>
      <c r="J374" s="16">
        <v>0.51921173400521914</v>
      </c>
      <c r="K374" s="16">
        <v>0</v>
      </c>
      <c r="L374" s="16">
        <v>0</v>
      </c>
      <c r="M374" s="16">
        <v>6.69</v>
      </c>
      <c r="N374" s="16">
        <v>7.67</v>
      </c>
      <c r="O374" s="16">
        <v>0.70899999999999996</v>
      </c>
      <c r="P374" s="16">
        <v>0</v>
      </c>
      <c r="Q374" s="16"/>
      <c r="R374" s="16"/>
      <c r="S374" s="16">
        <f t="shared" si="335"/>
        <v>100.45821173400523</v>
      </c>
      <c r="T374" s="16"/>
      <c r="U374" s="15"/>
      <c r="V374" s="15"/>
      <c r="W374" s="15"/>
      <c r="X374" s="15" t="s">
        <v>185</v>
      </c>
      <c r="Y374" s="15"/>
      <c r="Z374" s="37">
        <v>8</v>
      </c>
      <c r="AA374" s="37">
        <v>5</v>
      </c>
      <c r="AB374" s="15"/>
      <c r="AC374" s="38">
        <f t="shared" si="336"/>
        <v>2.6706916906171152</v>
      </c>
      <c r="AD374" s="38">
        <f t="shared" si="337"/>
        <v>0</v>
      </c>
      <c r="AE374" s="38">
        <f t="shared" si="338"/>
        <v>1.3120354456995931</v>
      </c>
      <c r="AF374" s="38">
        <f t="shared" si="339"/>
        <v>0</v>
      </c>
      <c r="AG374" s="38">
        <f t="shared" si="340"/>
        <v>1.9357291188820347E-2</v>
      </c>
      <c r="AH374" s="38">
        <f t="shared" si="341"/>
        <v>0</v>
      </c>
      <c r="AI374" s="38">
        <f t="shared" si="342"/>
        <v>0</v>
      </c>
      <c r="AJ374" s="38">
        <f t="shared" si="343"/>
        <v>0.31955452347068231</v>
      </c>
      <c r="AK374" s="38">
        <f t="shared" si="344"/>
        <v>0.662980331553643</v>
      </c>
      <c r="AL374" s="38">
        <f t="shared" si="345"/>
        <v>4.0322939560110398E-2</v>
      </c>
      <c r="AM374" s="38">
        <f t="shared" si="346"/>
        <v>0</v>
      </c>
      <c r="AN374" s="38">
        <f t="shared" si="347"/>
        <v>0</v>
      </c>
      <c r="AO374" s="38">
        <f t="shared" si="348"/>
        <v>0</v>
      </c>
      <c r="AP374" s="38">
        <f t="shared" si="349"/>
        <v>5.0249422220899644</v>
      </c>
      <c r="AQ374" s="38">
        <f t="shared" si="350"/>
        <v>3.9827271363167083</v>
      </c>
      <c r="AR374" s="38">
        <f t="shared" si="351"/>
        <v>1.0228577945844357</v>
      </c>
      <c r="AS374" s="40"/>
      <c r="AT374" s="38">
        <f t="shared" si="352"/>
        <v>2.6574352227141893</v>
      </c>
      <c r="AU374" s="38">
        <f t="shared" si="353"/>
        <v>0</v>
      </c>
      <c r="AV374" s="38">
        <f t="shared" si="354"/>
        <v>1.3055229171907712</v>
      </c>
      <c r="AW374" s="38">
        <f t="shared" si="355"/>
        <v>0</v>
      </c>
      <c r="AX374" s="38">
        <f t="shared" si="356"/>
        <v>0</v>
      </c>
      <c r="AY374" s="38">
        <f t="shared" si="357"/>
        <v>1.9261207724662457E-2</v>
      </c>
      <c r="AZ374" s="38">
        <f t="shared" si="358"/>
        <v>0</v>
      </c>
      <c r="BA374" s="38">
        <f t="shared" si="359"/>
        <v>0</v>
      </c>
      <c r="BB374" s="38">
        <f t="shared" si="360"/>
        <v>0.31796835600009538</v>
      </c>
      <c r="BC374" s="38">
        <f t="shared" si="361"/>
        <v>0.65968950711427043</v>
      </c>
      <c r="BD374" s="38">
        <f t="shared" si="362"/>
        <v>4.0122789256011954E-2</v>
      </c>
      <c r="BE374" s="38">
        <f t="shared" si="363"/>
        <v>0</v>
      </c>
      <c r="BF374" s="38">
        <f t="shared" si="364"/>
        <v>0</v>
      </c>
      <c r="BG374" s="38">
        <f t="shared" si="365"/>
        <v>0</v>
      </c>
      <c r="BH374" s="41">
        <f t="shared" si="366"/>
        <v>5.0000000000000009</v>
      </c>
      <c r="BI374" s="42">
        <f t="shared" si="367"/>
        <v>7.9699211369867662</v>
      </c>
      <c r="BJ374" s="38">
        <f t="shared" si="368"/>
        <v>3.9629581399049605</v>
      </c>
      <c r="BK374" s="38">
        <f t="shared" si="369"/>
        <v>1.0177806523703776</v>
      </c>
      <c r="BL374" s="16"/>
      <c r="BM374" s="16">
        <f t="shared" si="370"/>
        <v>0.31241344120617487</v>
      </c>
      <c r="BN374" s="16">
        <f t="shared" si="371"/>
        <v>0.64816471562696265</v>
      </c>
      <c r="BO374" s="16">
        <f t="shared" si="372"/>
        <v>3.9421843166862418E-2</v>
      </c>
      <c r="BP374" s="15"/>
      <c r="BQ374" s="38">
        <f t="shared" si="373"/>
        <v>0.99700399467376832</v>
      </c>
      <c r="BR374" s="38">
        <f t="shared" si="374"/>
        <v>0</v>
      </c>
      <c r="BS374" s="38">
        <f t="shared" si="375"/>
        <v>0.48979992153785801</v>
      </c>
      <c r="BT374" s="38">
        <f t="shared" si="376"/>
        <v>0</v>
      </c>
      <c r="BU374" s="38">
        <f t="shared" si="377"/>
        <v>7.2263289353544768E-3</v>
      </c>
      <c r="BV374" s="38">
        <f t="shared" si="378"/>
        <v>0</v>
      </c>
      <c r="BW374" s="38">
        <f t="shared" si="379"/>
        <v>0</v>
      </c>
      <c r="BX374" s="38">
        <f t="shared" si="380"/>
        <v>0.1192938659058488</v>
      </c>
      <c r="BY374" s="38">
        <f t="shared" si="381"/>
        <v>0.24749919328815748</v>
      </c>
      <c r="BZ374" s="38">
        <f t="shared" si="382"/>
        <v>1.5053078556263269E-2</v>
      </c>
      <c r="CA374" s="38">
        <f t="shared" si="383"/>
        <v>0</v>
      </c>
      <c r="CB374" s="38">
        <f t="shared" si="384"/>
        <v>0</v>
      </c>
      <c r="CC374" s="38">
        <f t="shared" si="385"/>
        <v>0</v>
      </c>
      <c r="CD374" s="38">
        <f t="shared" si="386"/>
        <v>1.8758763828972502</v>
      </c>
      <c r="CE374" s="38">
        <f t="shared" si="387"/>
        <v>2.9865042024177377</v>
      </c>
      <c r="CF374" s="38">
        <f t="shared" si="388"/>
        <v>2.6654208377407094</v>
      </c>
      <c r="CG374" s="38">
        <f t="shared" si="389"/>
        <v>7.9602905331244358</v>
      </c>
      <c r="CH374" s="15"/>
      <c r="CI374" s="16"/>
      <c r="CJ374" s="13"/>
      <c r="CK374" s="104"/>
      <c r="CL374" s="13"/>
      <c r="CM374" s="13"/>
      <c r="CN374" s="13"/>
      <c r="CO374" s="16"/>
      <c r="CP374" s="16"/>
      <c r="CQ374" s="16"/>
      <c r="CR374" s="16"/>
      <c r="CS374" s="16"/>
      <c r="CT374" s="16"/>
      <c r="CU374" s="16"/>
      <c r="CV374" s="16"/>
      <c r="CW374" s="16"/>
      <c r="CX374" s="16"/>
      <c r="CY374" s="104"/>
      <c r="CZ374" s="104"/>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3"/>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row>
    <row r="375" spans="1:167" x14ac:dyDescent="0.25">
      <c r="A375" s="35" t="s">
        <v>256</v>
      </c>
      <c r="B375" s="15">
        <v>1230</v>
      </c>
      <c r="C375" s="102" t="s">
        <v>99</v>
      </c>
      <c r="D375" s="102" t="s">
        <v>105</v>
      </c>
      <c r="E375" s="15">
        <v>63</v>
      </c>
      <c r="F375" s="16">
        <v>63.72</v>
      </c>
      <c r="G375" s="16">
        <v>0.09</v>
      </c>
      <c r="H375" s="16">
        <v>22.4</v>
      </c>
      <c r="I375" s="16">
        <v>0</v>
      </c>
      <c r="J375" s="16">
        <v>0.45082336002879514</v>
      </c>
      <c r="K375" s="16">
        <v>6.6000000000000003E-2</v>
      </c>
      <c r="L375" s="16">
        <v>1.4E-2</v>
      </c>
      <c r="M375" s="16">
        <v>3.81</v>
      </c>
      <c r="N375" s="16">
        <v>9.73</v>
      </c>
      <c r="O375" s="16">
        <v>1.151</v>
      </c>
      <c r="P375" s="16">
        <v>2.1999999999999999E-2</v>
      </c>
      <c r="Q375" s="16"/>
      <c r="R375" s="16"/>
      <c r="S375" s="16">
        <f t="shared" si="335"/>
        <v>101.45382336002881</v>
      </c>
      <c r="T375" s="16"/>
      <c r="U375" s="15"/>
      <c r="V375" s="15"/>
      <c r="W375" s="15"/>
      <c r="X375" s="15" t="s">
        <v>252</v>
      </c>
      <c r="Y375" s="15" t="s">
        <v>260</v>
      </c>
      <c r="Z375" s="37">
        <v>8</v>
      </c>
      <c r="AA375" s="37">
        <v>5</v>
      </c>
      <c r="AB375" s="15"/>
      <c r="AC375" s="38">
        <f t="shared" si="336"/>
        <v>2.8020968110927691</v>
      </c>
      <c r="AD375" s="38">
        <f t="shared" si="337"/>
        <v>2.9767457756276644E-3</v>
      </c>
      <c r="AE375" s="38">
        <f t="shared" si="338"/>
        <v>1.1608750571640047</v>
      </c>
      <c r="AF375" s="38">
        <f t="shared" si="339"/>
        <v>0</v>
      </c>
      <c r="AG375" s="38">
        <f t="shared" si="340"/>
        <v>1.6577419657882387E-2</v>
      </c>
      <c r="AH375" s="38">
        <f t="shared" si="341"/>
        <v>2.4580462157020168E-3</v>
      </c>
      <c r="AI375" s="38">
        <f t="shared" si="342"/>
        <v>9.1782584389300521E-4</v>
      </c>
      <c r="AJ375" s="38">
        <f t="shared" si="343"/>
        <v>0.17949578860411616</v>
      </c>
      <c r="AK375" s="38">
        <f t="shared" si="344"/>
        <v>0.82952323809865225</v>
      </c>
      <c r="AL375" s="38">
        <f t="shared" si="345"/>
        <v>6.4564190349909317E-2</v>
      </c>
      <c r="AM375" s="38">
        <f t="shared" si="346"/>
        <v>8.1900238852990019E-4</v>
      </c>
      <c r="AN375" s="38">
        <f t="shared" si="347"/>
        <v>0</v>
      </c>
      <c r="AO375" s="38">
        <f t="shared" si="348"/>
        <v>0</v>
      </c>
      <c r="AP375" s="38">
        <f t="shared" si="349"/>
        <v>5.0603041251910872</v>
      </c>
      <c r="AQ375" s="38">
        <f t="shared" si="350"/>
        <v>3.9629718682567736</v>
      </c>
      <c r="AR375" s="38">
        <f t="shared" si="351"/>
        <v>1.0735832170526776</v>
      </c>
      <c r="AS375" s="40"/>
      <c r="AT375" s="38">
        <f t="shared" si="352"/>
        <v>2.7687039570837619</v>
      </c>
      <c r="AU375" s="38">
        <f t="shared" si="353"/>
        <v>2.9412716133096614E-3</v>
      </c>
      <c r="AV375" s="38">
        <f t="shared" si="354"/>
        <v>1.1470407987782434</v>
      </c>
      <c r="AW375" s="38">
        <f t="shared" si="355"/>
        <v>0</v>
      </c>
      <c r="AX375" s="38">
        <f t="shared" si="356"/>
        <v>0</v>
      </c>
      <c r="AY375" s="38">
        <f t="shared" si="357"/>
        <v>1.637986497230183E-2</v>
      </c>
      <c r="AZ375" s="38">
        <f t="shared" si="358"/>
        <v>2.4287534453368417E-3</v>
      </c>
      <c r="BA375" s="38">
        <f t="shared" si="359"/>
        <v>9.0688802608118583E-4</v>
      </c>
      <c r="BB375" s="38">
        <f t="shared" si="360"/>
        <v>0.17735672023204541</v>
      </c>
      <c r="BC375" s="38">
        <f t="shared" si="361"/>
        <v>0.8196377308323618</v>
      </c>
      <c r="BD375" s="38">
        <f t="shared" si="362"/>
        <v>6.3794772757330323E-2</v>
      </c>
      <c r="BE375" s="38">
        <f t="shared" si="363"/>
        <v>8.0924225922782166E-4</v>
      </c>
      <c r="BF375" s="38">
        <f t="shared" si="364"/>
        <v>0</v>
      </c>
      <c r="BG375" s="38">
        <f t="shared" si="365"/>
        <v>0</v>
      </c>
      <c r="BH375" s="41">
        <f t="shared" si="366"/>
        <v>5.0000000000000009</v>
      </c>
      <c r="BI375" s="42">
        <f t="shared" si="367"/>
        <v>7.9128531721663382</v>
      </c>
      <c r="BJ375" s="38">
        <f t="shared" si="368"/>
        <v>3.9157447558620051</v>
      </c>
      <c r="BK375" s="38">
        <f t="shared" si="369"/>
        <v>1.0607892238217376</v>
      </c>
      <c r="BL375" s="16"/>
      <c r="BM375" s="16">
        <f t="shared" si="370"/>
        <v>0.16719317678688045</v>
      </c>
      <c r="BN375" s="16">
        <f t="shared" si="371"/>
        <v>0.77266785184659792</v>
      </c>
      <c r="BO375" s="16">
        <f t="shared" si="372"/>
        <v>6.0138971366521785E-2</v>
      </c>
      <c r="BP375" s="15"/>
      <c r="BQ375" s="38">
        <f t="shared" si="373"/>
        <v>1.0605858854860186</v>
      </c>
      <c r="BR375" s="38">
        <f t="shared" si="374"/>
        <v>1.126690035052579E-3</v>
      </c>
      <c r="BS375" s="38">
        <f t="shared" si="375"/>
        <v>0.43938799529227146</v>
      </c>
      <c r="BT375" s="38">
        <f t="shared" si="376"/>
        <v>0</v>
      </c>
      <c r="BU375" s="38">
        <f t="shared" si="377"/>
        <v>6.2745074464689654E-3</v>
      </c>
      <c r="BV375" s="38">
        <f t="shared" si="378"/>
        <v>9.303636876233437E-4</v>
      </c>
      <c r="BW375" s="38">
        <f t="shared" si="379"/>
        <v>3.4739454094292809E-4</v>
      </c>
      <c r="BX375" s="38">
        <f t="shared" si="380"/>
        <v>6.793865905848788E-2</v>
      </c>
      <c r="BY375" s="38">
        <f t="shared" si="381"/>
        <v>0.31397224911261701</v>
      </c>
      <c r="BZ375" s="38">
        <f t="shared" si="382"/>
        <v>2.4437367303609341E-2</v>
      </c>
      <c r="CA375" s="38">
        <f t="shared" si="383"/>
        <v>3.0999013667746931E-4</v>
      </c>
      <c r="CB375" s="38">
        <f t="shared" si="384"/>
        <v>0</v>
      </c>
      <c r="CC375" s="38">
        <f t="shared" si="385"/>
        <v>0</v>
      </c>
      <c r="CD375" s="38">
        <f t="shared" si="386"/>
        <v>1.9153111020997695</v>
      </c>
      <c r="CE375" s="38">
        <f t="shared" si="387"/>
        <v>3.0279778522638798</v>
      </c>
      <c r="CF375" s="38">
        <f t="shared" si="388"/>
        <v>2.6105419607908416</v>
      </c>
      <c r="CG375" s="38">
        <f t="shared" si="389"/>
        <v>7.9046632396801897</v>
      </c>
      <c r="CH375" s="15"/>
      <c r="CI375" s="16"/>
      <c r="CJ375" s="13"/>
      <c r="CK375" s="104"/>
      <c r="CL375" s="13"/>
      <c r="CM375" s="13"/>
      <c r="CN375" s="13"/>
      <c r="CO375" s="16"/>
      <c r="CP375" s="16"/>
      <c r="CQ375" s="16"/>
      <c r="CR375" s="16"/>
      <c r="CS375" s="16"/>
      <c r="CT375" s="16"/>
      <c r="CU375" s="16"/>
      <c r="CV375" s="16"/>
      <c r="CW375" s="16"/>
      <c r="CX375" s="16"/>
      <c r="CY375" s="104"/>
      <c r="CZ375" s="104"/>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3"/>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row>
    <row r="376" spans="1:167" x14ac:dyDescent="0.25">
      <c r="A376" s="35" t="s">
        <v>256</v>
      </c>
      <c r="B376" s="15">
        <v>1231</v>
      </c>
      <c r="C376" s="102" t="s">
        <v>99</v>
      </c>
      <c r="D376" s="102" t="s">
        <v>105</v>
      </c>
      <c r="E376" s="15">
        <v>64</v>
      </c>
      <c r="F376" s="16">
        <v>62.11</v>
      </c>
      <c r="G376" s="16">
        <v>0.05</v>
      </c>
      <c r="H376" s="16">
        <v>23.92</v>
      </c>
      <c r="I376" s="16">
        <v>0</v>
      </c>
      <c r="J376" s="16">
        <v>0.34644110501214798</v>
      </c>
      <c r="K376" s="16">
        <v>0</v>
      </c>
      <c r="L376" s="16">
        <v>0.108</v>
      </c>
      <c r="M376" s="16">
        <v>5.22</v>
      </c>
      <c r="N376" s="16">
        <v>9.07</v>
      </c>
      <c r="O376" s="16">
        <v>0.48699999999999999</v>
      </c>
      <c r="P376" s="16">
        <v>3.5999999999999997E-2</v>
      </c>
      <c r="Q376" s="16"/>
      <c r="R376" s="16"/>
      <c r="S376" s="16">
        <f t="shared" si="335"/>
        <v>101.34744110501214</v>
      </c>
      <c r="T376" s="16"/>
      <c r="U376" s="15"/>
      <c r="V376" s="15"/>
      <c r="W376" s="15"/>
      <c r="X376" s="15" t="s">
        <v>252</v>
      </c>
      <c r="Y376" s="15" t="s">
        <v>260</v>
      </c>
      <c r="Z376" s="37">
        <v>8</v>
      </c>
      <c r="AA376" s="37">
        <v>5</v>
      </c>
      <c r="AB376" s="15"/>
      <c r="AC376" s="38">
        <f t="shared" si="336"/>
        <v>2.7330889803208498</v>
      </c>
      <c r="AD376" s="38">
        <f t="shared" si="337"/>
        <v>1.6548327758268849E-3</v>
      </c>
      <c r="AE376" s="38">
        <f t="shared" si="338"/>
        <v>1.2404621293929359</v>
      </c>
      <c r="AF376" s="38">
        <f t="shared" si="339"/>
        <v>0</v>
      </c>
      <c r="AG376" s="38">
        <f t="shared" si="340"/>
        <v>1.2747493774799376E-2</v>
      </c>
      <c r="AH376" s="38">
        <f t="shared" si="341"/>
        <v>0</v>
      </c>
      <c r="AI376" s="38">
        <f t="shared" si="342"/>
        <v>7.0850166503074775E-3</v>
      </c>
      <c r="AJ376" s="38">
        <f t="shared" si="343"/>
        <v>0.24608472893528141</v>
      </c>
      <c r="AK376" s="38">
        <f t="shared" si="344"/>
        <v>0.77376285391853994</v>
      </c>
      <c r="AL376" s="38">
        <f t="shared" si="345"/>
        <v>2.7335701281866711E-2</v>
      </c>
      <c r="AM376" s="38">
        <f t="shared" si="346"/>
        <v>1.3410651026602382E-3</v>
      </c>
      <c r="AN376" s="38">
        <f t="shared" si="347"/>
        <v>0</v>
      </c>
      <c r="AO376" s="38">
        <f t="shared" si="348"/>
        <v>0</v>
      </c>
      <c r="AP376" s="38">
        <f t="shared" si="349"/>
        <v>5.0435628021530681</v>
      </c>
      <c r="AQ376" s="38">
        <f t="shared" si="350"/>
        <v>3.9735511097137857</v>
      </c>
      <c r="AR376" s="38">
        <f t="shared" si="351"/>
        <v>1.0471832841356881</v>
      </c>
      <c r="AS376" s="40"/>
      <c r="AT376" s="38">
        <f t="shared" si="352"/>
        <v>2.7094824507331507</v>
      </c>
      <c r="AU376" s="38">
        <f t="shared" si="353"/>
        <v>1.6405394764990797E-3</v>
      </c>
      <c r="AV376" s="38">
        <f t="shared" si="354"/>
        <v>1.2297478767027445</v>
      </c>
      <c r="AW376" s="38">
        <f t="shared" si="355"/>
        <v>0</v>
      </c>
      <c r="AX376" s="38">
        <f t="shared" si="356"/>
        <v>0</v>
      </c>
      <c r="AY376" s="38">
        <f t="shared" si="357"/>
        <v>1.2637389752892088E-2</v>
      </c>
      <c r="AZ376" s="38">
        <f t="shared" si="358"/>
        <v>0</v>
      </c>
      <c r="BA376" s="38">
        <f t="shared" si="359"/>
        <v>7.0238211837898856E-3</v>
      </c>
      <c r="BB376" s="38">
        <f t="shared" si="360"/>
        <v>0.24395921949284471</v>
      </c>
      <c r="BC376" s="38">
        <f t="shared" si="361"/>
        <v>0.76707962631914206</v>
      </c>
      <c r="BD376" s="38">
        <f t="shared" si="362"/>
        <v>2.7099594427769651E-2</v>
      </c>
      <c r="BE376" s="38">
        <f t="shared" si="363"/>
        <v>1.3294819111677814E-3</v>
      </c>
      <c r="BF376" s="38">
        <f t="shared" si="364"/>
        <v>0</v>
      </c>
      <c r="BG376" s="38">
        <f t="shared" si="365"/>
        <v>0</v>
      </c>
      <c r="BH376" s="41">
        <f t="shared" si="366"/>
        <v>5.0000000000000018</v>
      </c>
      <c r="BI376" s="42">
        <f t="shared" si="367"/>
        <v>7.9372202359307646</v>
      </c>
      <c r="BJ376" s="38">
        <f t="shared" si="368"/>
        <v>3.9392303274358955</v>
      </c>
      <c r="BK376" s="38">
        <f t="shared" si="369"/>
        <v>1.0381384402397564</v>
      </c>
      <c r="BL376" s="16"/>
      <c r="BM376" s="16">
        <f t="shared" si="370"/>
        <v>0.23499680778269103</v>
      </c>
      <c r="BN376" s="16">
        <f t="shared" si="371"/>
        <v>0.7388991646836488</v>
      </c>
      <c r="BO376" s="16">
        <f t="shared" si="372"/>
        <v>2.6104027533660198E-2</v>
      </c>
      <c r="BP376" s="15"/>
      <c r="BQ376" s="38">
        <f t="shared" si="373"/>
        <v>1.0337882822902797</v>
      </c>
      <c r="BR376" s="38">
        <f t="shared" si="374"/>
        <v>6.2593890836254386E-4</v>
      </c>
      <c r="BS376" s="38">
        <f t="shared" si="375"/>
        <v>0.46920360925853283</v>
      </c>
      <c r="BT376" s="38">
        <f t="shared" si="376"/>
        <v>0</v>
      </c>
      <c r="BU376" s="38">
        <f t="shared" si="377"/>
        <v>4.8217272792226585E-3</v>
      </c>
      <c r="BV376" s="38">
        <f t="shared" si="378"/>
        <v>0</v>
      </c>
      <c r="BW376" s="38">
        <f t="shared" si="379"/>
        <v>2.6799007444168734E-3</v>
      </c>
      <c r="BX376" s="38">
        <f t="shared" si="380"/>
        <v>9.3081312410841652E-2</v>
      </c>
      <c r="BY376" s="38">
        <f t="shared" si="381"/>
        <v>0.292675056469829</v>
      </c>
      <c r="BZ376" s="38">
        <f t="shared" si="382"/>
        <v>1.0339702760084925E-2</v>
      </c>
      <c r="CA376" s="38">
        <f t="shared" si="383"/>
        <v>5.0725658729040433E-4</v>
      </c>
      <c r="CB376" s="38">
        <f t="shared" si="384"/>
        <v>0</v>
      </c>
      <c r="CC376" s="38">
        <f t="shared" si="385"/>
        <v>0</v>
      </c>
      <c r="CD376" s="38">
        <f t="shared" si="386"/>
        <v>1.9077227867088604</v>
      </c>
      <c r="CE376" s="38">
        <f t="shared" si="387"/>
        <v>3.0259923178027481</v>
      </c>
      <c r="CF376" s="38">
        <f t="shared" si="388"/>
        <v>2.6209258676549294</v>
      </c>
      <c r="CG376" s="38">
        <f t="shared" si="389"/>
        <v>7.9309015410543182</v>
      </c>
      <c r="CH376" s="15"/>
      <c r="CI376" s="16"/>
      <c r="CJ376" s="13"/>
      <c r="CK376" s="104"/>
      <c r="CL376" s="13"/>
      <c r="CM376" s="13"/>
      <c r="CN376" s="13"/>
      <c r="CO376" s="16"/>
      <c r="CP376" s="16"/>
      <c r="CQ376" s="16"/>
      <c r="CR376" s="16"/>
      <c r="CS376" s="16"/>
      <c r="CT376" s="16"/>
      <c r="CU376" s="16"/>
      <c r="CV376" s="16"/>
      <c r="CW376" s="16"/>
      <c r="CX376" s="16"/>
      <c r="CY376" s="104"/>
      <c r="CZ376" s="104"/>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3"/>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row>
    <row r="377" spans="1:167" x14ac:dyDescent="0.25">
      <c r="A377" s="35" t="s">
        <v>256</v>
      </c>
      <c r="B377" s="15">
        <v>1232</v>
      </c>
      <c r="C377" s="102" t="s">
        <v>99</v>
      </c>
      <c r="D377" s="102" t="s">
        <v>105</v>
      </c>
      <c r="E377" s="15">
        <v>65</v>
      </c>
      <c r="F377" s="16">
        <v>66.489999999999995</v>
      </c>
      <c r="G377" s="16">
        <v>0</v>
      </c>
      <c r="H377" s="16">
        <v>19.5</v>
      </c>
      <c r="I377" s="16">
        <v>0</v>
      </c>
      <c r="J377" s="16">
        <v>0.36173850445424283</v>
      </c>
      <c r="K377" s="16">
        <v>0.10199999999999999</v>
      </c>
      <c r="L377" s="16">
        <v>0.54900000000000004</v>
      </c>
      <c r="M377" s="16">
        <v>2.33</v>
      </c>
      <c r="N377" s="16">
        <v>10.74</v>
      </c>
      <c r="O377" s="16">
        <v>0.29499999999999998</v>
      </c>
      <c r="P377" s="16">
        <v>0.02</v>
      </c>
      <c r="Q377" s="16"/>
      <c r="R377" s="16"/>
      <c r="S377" s="16">
        <f t="shared" si="335"/>
        <v>100.38773850445423</v>
      </c>
      <c r="T377" s="16"/>
      <c r="U377" s="15"/>
      <c r="V377" s="15"/>
      <c r="W377" s="15"/>
      <c r="X377" s="15" t="s">
        <v>252</v>
      </c>
      <c r="Y377" s="15" t="s">
        <v>260</v>
      </c>
      <c r="Z377" s="37">
        <v>8</v>
      </c>
      <c r="AA377" s="37">
        <v>5</v>
      </c>
      <c r="AB377" s="15"/>
      <c r="AC377" s="38">
        <f t="shared" si="336"/>
        <v>2.9259182016850596</v>
      </c>
      <c r="AD377" s="38">
        <f t="shared" si="337"/>
        <v>0</v>
      </c>
      <c r="AE377" s="38">
        <f t="shared" si="338"/>
        <v>1.0112779824851321</v>
      </c>
      <c r="AF377" s="38">
        <f t="shared" si="339"/>
        <v>0</v>
      </c>
      <c r="AG377" s="38">
        <f t="shared" si="340"/>
        <v>1.331078712406975E-2</v>
      </c>
      <c r="AH377" s="38">
        <f t="shared" si="341"/>
        <v>3.8014104066299344E-3</v>
      </c>
      <c r="AI377" s="38">
        <f t="shared" si="342"/>
        <v>3.6016629635876471E-2</v>
      </c>
      <c r="AJ377" s="38">
        <f t="shared" si="343"/>
        <v>0.10984585857632359</v>
      </c>
      <c r="AK377" s="38">
        <f t="shared" si="344"/>
        <v>0.91625947098860416</v>
      </c>
      <c r="AL377" s="38">
        <f t="shared" si="345"/>
        <v>1.6559105782995423E-2</v>
      </c>
      <c r="AM377" s="38">
        <f t="shared" si="346"/>
        <v>7.4505950939316411E-4</v>
      </c>
      <c r="AN377" s="38">
        <f t="shared" si="347"/>
        <v>0</v>
      </c>
      <c r="AO377" s="38">
        <f t="shared" si="348"/>
        <v>0</v>
      </c>
      <c r="AP377" s="38">
        <f t="shared" si="349"/>
        <v>5.0337345061940839</v>
      </c>
      <c r="AQ377" s="38">
        <f t="shared" si="350"/>
        <v>3.9371961841701917</v>
      </c>
      <c r="AR377" s="38">
        <f t="shared" si="351"/>
        <v>1.0426644353479233</v>
      </c>
      <c r="AS377" s="40"/>
      <c r="AT377" s="38">
        <f t="shared" si="352"/>
        <v>2.9063096177248466</v>
      </c>
      <c r="AU377" s="38">
        <f t="shared" si="353"/>
        <v>0</v>
      </c>
      <c r="AV377" s="38">
        <f t="shared" si="354"/>
        <v>1.0045007153642487</v>
      </c>
      <c r="AW377" s="38">
        <f t="shared" si="355"/>
        <v>0</v>
      </c>
      <c r="AX377" s="38">
        <f t="shared" si="356"/>
        <v>0</v>
      </c>
      <c r="AY377" s="38">
        <f t="shared" si="357"/>
        <v>1.3221582413306295E-2</v>
      </c>
      <c r="AZ377" s="38">
        <f t="shared" si="358"/>
        <v>3.7759345491426327E-3</v>
      </c>
      <c r="BA377" s="38">
        <f t="shared" si="359"/>
        <v>3.5775257506685629E-2</v>
      </c>
      <c r="BB377" s="38">
        <f t="shared" si="360"/>
        <v>0.10910970616463449</v>
      </c>
      <c r="BC377" s="38">
        <f t="shared" si="361"/>
        <v>0.91011898806058755</v>
      </c>
      <c r="BD377" s="38">
        <f t="shared" si="362"/>
        <v>1.6448131861761087E-2</v>
      </c>
      <c r="BE377" s="38">
        <f t="shared" si="363"/>
        <v>7.4006635478724337E-4</v>
      </c>
      <c r="BF377" s="38">
        <f t="shared" si="364"/>
        <v>0</v>
      </c>
      <c r="BG377" s="38">
        <f t="shared" si="365"/>
        <v>0</v>
      </c>
      <c r="BH377" s="41">
        <f t="shared" si="366"/>
        <v>5</v>
      </c>
      <c r="BI377" s="42">
        <f t="shared" si="367"/>
        <v>7.9529973061846313</v>
      </c>
      <c r="BJ377" s="38">
        <f t="shared" si="368"/>
        <v>3.9108103330890955</v>
      </c>
      <c r="BK377" s="38">
        <f t="shared" si="369"/>
        <v>1.0356768260869831</v>
      </c>
      <c r="BL377" s="16"/>
      <c r="BM377" s="16">
        <f t="shared" si="370"/>
        <v>0.10535111283398621</v>
      </c>
      <c r="BN377" s="16">
        <f t="shared" si="371"/>
        <v>0.87876735786318494</v>
      </c>
      <c r="BO377" s="16">
        <f t="shared" si="372"/>
        <v>1.5881529302828736E-2</v>
      </c>
      <c r="BP377" s="15"/>
      <c r="BQ377" s="38">
        <f t="shared" si="373"/>
        <v>1.1066910785619173</v>
      </c>
      <c r="BR377" s="38">
        <f t="shared" si="374"/>
        <v>0</v>
      </c>
      <c r="BS377" s="38">
        <f t="shared" si="375"/>
        <v>0.38250294233032567</v>
      </c>
      <c r="BT377" s="38">
        <f t="shared" si="376"/>
        <v>0</v>
      </c>
      <c r="BU377" s="38">
        <f t="shared" si="377"/>
        <v>5.0346347175259966E-3</v>
      </c>
      <c r="BV377" s="38">
        <f t="shared" si="378"/>
        <v>1.4378347899633493E-3</v>
      </c>
      <c r="BW377" s="38">
        <f t="shared" si="379"/>
        <v>1.3622828784119108E-2</v>
      </c>
      <c r="BX377" s="38">
        <f t="shared" si="380"/>
        <v>4.1547788873038519E-2</v>
      </c>
      <c r="BY377" s="38">
        <f t="shared" si="381"/>
        <v>0.34656340755082288</v>
      </c>
      <c r="BZ377" s="38">
        <f t="shared" si="382"/>
        <v>6.2632696390658169E-3</v>
      </c>
      <c r="CA377" s="38">
        <f t="shared" si="383"/>
        <v>2.818092151613358E-4</v>
      </c>
      <c r="CB377" s="38">
        <f t="shared" si="384"/>
        <v>0</v>
      </c>
      <c r="CC377" s="38">
        <f t="shared" si="385"/>
        <v>0</v>
      </c>
      <c r="CD377" s="38">
        <f t="shared" si="386"/>
        <v>1.9039455944619399</v>
      </c>
      <c r="CE377" s="38">
        <f t="shared" si="387"/>
        <v>3.0258975194168176</v>
      </c>
      <c r="CF377" s="38">
        <f t="shared" si="388"/>
        <v>2.626125459962533</v>
      </c>
      <c r="CG377" s="38">
        <f t="shared" si="389"/>
        <v>7.946386514977978</v>
      </c>
      <c r="CH377" s="15"/>
      <c r="CI377" s="16"/>
      <c r="CJ377" s="13"/>
      <c r="CK377" s="104"/>
      <c r="CL377" s="13"/>
      <c r="CM377" s="13"/>
      <c r="CN377" s="13"/>
      <c r="CO377" s="16"/>
      <c r="CP377" s="16"/>
      <c r="CQ377" s="16"/>
      <c r="CR377" s="16"/>
      <c r="CS377" s="16"/>
      <c r="CT377" s="16"/>
      <c r="CU377" s="16"/>
      <c r="CV377" s="16"/>
      <c r="CW377" s="16"/>
      <c r="CX377" s="16"/>
      <c r="CY377" s="104"/>
      <c r="CZ377" s="104"/>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3"/>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row>
    <row r="378" spans="1:167" x14ac:dyDescent="0.25">
      <c r="A378" s="35" t="s">
        <v>256</v>
      </c>
      <c r="B378" s="15">
        <v>1234</v>
      </c>
      <c r="C378" s="102" t="s">
        <v>99</v>
      </c>
      <c r="D378" s="102" t="s">
        <v>105</v>
      </c>
      <c r="E378" s="15">
        <v>67</v>
      </c>
      <c r="F378" s="16">
        <v>67.010000000000005</v>
      </c>
      <c r="G378" s="16">
        <v>5.8999999999999997E-2</v>
      </c>
      <c r="H378" s="16">
        <v>20.96</v>
      </c>
      <c r="I378" s="16">
        <v>0</v>
      </c>
      <c r="J378" s="16">
        <v>0.45352290110681187</v>
      </c>
      <c r="K378" s="16">
        <v>0</v>
      </c>
      <c r="L378" s="16">
        <v>1.7000000000000001E-2</v>
      </c>
      <c r="M378" s="16">
        <v>1.62</v>
      </c>
      <c r="N378" s="16">
        <v>11.79</v>
      </c>
      <c r="O378" s="16">
        <v>0.19400000000000001</v>
      </c>
      <c r="P378" s="16">
        <v>1.4E-2</v>
      </c>
      <c r="Q378" s="16"/>
      <c r="R378" s="16"/>
      <c r="S378" s="16">
        <f t="shared" si="335"/>
        <v>102.11752290110681</v>
      </c>
      <c r="T378" s="16"/>
      <c r="U378" s="15"/>
      <c r="V378" s="15"/>
      <c r="W378" s="15"/>
      <c r="X378" s="15" t="s">
        <v>252</v>
      </c>
      <c r="Y378" s="15" t="s">
        <v>260</v>
      </c>
      <c r="Z378" s="37">
        <v>8</v>
      </c>
      <c r="AA378" s="37">
        <v>5</v>
      </c>
      <c r="AB378" s="15"/>
      <c r="AC378" s="38">
        <f t="shared" si="336"/>
        <v>2.8995651517159824</v>
      </c>
      <c r="AD378" s="38">
        <f t="shared" si="337"/>
        <v>1.9201587384416938E-3</v>
      </c>
      <c r="AE378" s="38">
        <f t="shared" si="338"/>
        <v>1.0688447411614073</v>
      </c>
      <c r="AF378" s="38">
        <f t="shared" si="339"/>
        <v>0</v>
      </c>
      <c r="AG378" s="38">
        <f t="shared" si="340"/>
        <v>1.6409510542466439E-2</v>
      </c>
      <c r="AH378" s="38">
        <f t="shared" si="341"/>
        <v>0</v>
      </c>
      <c r="AI378" s="38">
        <f t="shared" si="342"/>
        <v>1.0966474998756288E-3</v>
      </c>
      <c r="AJ378" s="38">
        <f t="shared" si="343"/>
        <v>7.5098314043887199E-2</v>
      </c>
      <c r="AK378" s="38">
        <f t="shared" si="344"/>
        <v>0.9890435304527202</v>
      </c>
      <c r="AL378" s="38">
        <f t="shared" si="345"/>
        <v>1.0707892448517099E-2</v>
      </c>
      <c r="AM378" s="38">
        <f t="shared" si="346"/>
        <v>5.1283352487781068E-4</v>
      </c>
      <c r="AN378" s="38">
        <f t="shared" si="347"/>
        <v>0</v>
      </c>
      <c r="AO378" s="38">
        <f t="shared" si="348"/>
        <v>0</v>
      </c>
      <c r="AP378" s="38">
        <f t="shared" si="349"/>
        <v>5.0631987801281761</v>
      </c>
      <c r="AQ378" s="38">
        <f t="shared" si="350"/>
        <v>3.9684098928773897</v>
      </c>
      <c r="AR378" s="38">
        <f t="shared" si="351"/>
        <v>1.0748497369451244</v>
      </c>
      <c r="AS378" s="40"/>
      <c r="AT378" s="38">
        <f t="shared" si="352"/>
        <v>2.8633728178874494</v>
      </c>
      <c r="AU378" s="38">
        <f t="shared" si="353"/>
        <v>1.89619134249464E-3</v>
      </c>
      <c r="AV378" s="38">
        <f t="shared" si="354"/>
        <v>1.0555034352555572</v>
      </c>
      <c r="AW378" s="38">
        <f t="shared" si="355"/>
        <v>0</v>
      </c>
      <c r="AX378" s="38">
        <f t="shared" si="356"/>
        <v>0</v>
      </c>
      <c r="AY378" s="38">
        <f t="shared" si="357"/>
        <v>1.6204687249165267E-2</v>
      </c>
      <c r="AZ378" s="38">
        <f t="shared" si="358"/>
        <v>0</v>
      </c>
      <c r="BA378" s="38">
        <f t="shared" si="359"/>
        <v>1.0829591603036639E-3</v>
      </c>
      <c r="BB378" s="38">
        <f t="shared" si="360"/>
        <v>7.4160937882421119E-2</v>
      </c>
      <c r="BC378" s="38">
        <f t="shared" si="361"/>
        <v>0.97669830220223197</v>
      </c>
      <c r="BD378" s="38">
        <f t="shared" si="362"/>
        <v>1.057423667676546E-2</v>
      </c>
      <c r="BE378" s="38">
        <f t="shared" si="363"/>
        <v>5.0643234361107603E-4</v>
      </c>
      <c r="BF378" s="38">
        <f t="shared" si="364"/>
        <v>0</v>
      </c>
      <c r="BG378" s="38">
        <f t="shared" si="365"/>
        <v>0</v>
      </c>
      <c r="BH378" s="41">
        <f t="shared" si="366"/>
        <v>5</v>
      </c>
      <c r="BI378" s="42">
        <f t="shared" si="367"/>
        <v>7.9082464495582236</v>
      </c>
      <c r="BJ378" s="38">
        <f t="shared" si="368"/>
        <v>3.9188762531430066</v>
      </c>
      <c r="BK378" s="38">
        <f t="shared" si="369"/>
        <v>1.0614334767614184</v>
      </c>
      <c r="BL378" s="16"/>
      <c r="BM378" s="16">
        <f t="shared" si="370"/>
        <v>6.986866299779472E-2</v>
      </c>
      <c r="BN378" s="16">
        <f t="shared" si="371"/>
        <v>0.9201691143021743</v>
      </c>
      <c r="BO378" s="16">
        <f t="shared" si="372"/>
        <v>9.9622227000310294E-3</v>
      </c>
      <c r="BP378" s="15"/>
      <c r="BQ378" s="38">
        <f t="shared" si="373"/>
        <v>1.1153462050599203</v>
      </c>
      <c r="BR378" s="38">
        <f t="shared" si="374"/>
        <v>7.3860791186780171E-4</v>
      </c>
      <c r="BS378" s="38">
        <f t="shared" si="375"/>
        <v>0.41114162416633976</v>
      </c>
      <c r="BT378" s="38">
        <f t="shared" si="376"/>
        <v>0</v>
      </c>
      <c r="BU378" s="38">
        <f t="shared" si="377"/>
        <v>6.3120793473460252E-3</v>
      </c>
      <c r="BV378" s="38">
        <f t="shared" si="378"/>
        <v>0</v>
      </c>
      <c r="BW378" s="38">
        <f t="shared" si="379"/>
        <v>4.2183622828784124E-4</v>
      </c>
      <c r="BX378" s="38">
        <f t="shared" si="380"/>
        <v>2.8887303851640515E-2</v>
      </c>
      <c r="BY378" s="38">
        <f t="shared" si="381"/>
        <v>0.38044530493707646</v>
      </c>
      <c r="BZ378" s="38">
        <f t="shared" si="382"/>
        <v>4.1188959660297241E-3</v>
      </c>
      <c r="CA378" s="38">
        <f t="shared" si="383"/>
        <v>1.9726645061293505E-4</v>
      </c>
      <c r="CB378" s="38">
        <f t="shared" si="384"/>
        <v>0</v>
      </c>
      <c r="CC378" s="38">
        <f t="shared" si="385"/>
        <v>0</v>
      </c>
      <c r="CD378" s="38">
        <f t="shared" si="386"/>
        <v>1.9476091239191213</v>
      </c>
      <c r="CE378" s="38">
        <f t="shared" si="387"/>
        <v>3.077278548198445</v>
      </c>
      <c r="CF378" s="38">
        <f t="shared" si="388"/>
        <v>2.5672502447198617</v>
      </c>
      <c r="CG378" s="38">
        <f t="shared" si="389"/>
        <v>7.9001441059336388</v>
      </c>
      <c r="CH378" s="15"/>
      <c r="CI378" s="16"/>
      <c r="CJ378" s="13"/>
      <c r="CK378" s="104"/>
      <c r="CL378" s="13"/>
      <c r="CM378" s="13"/>
      <c r="CN378" s="13"/>
      <c r="CO378" s="16"/>
      <c r="CP378" s="16"/>
      <c r="CQ378" s="16"/>
      <c r="CR378" s="16"/>
      <c r="CS378" s="16"/>
      <c r="CT378" s="16"/>
      <c r="CU378" s="16"/>
      <c r="CV378" s="16"/>
      <c r="CW378" s="16"/>
      <c r="CX378" s="16"/>
      <c r="CY378" s="104"/>
      <c r="CZ378" s="104"/>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3"/>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row>
    <row r="379" spans="1:167" x14ac:dyDescent="0.25">
      <c r="A379" s="35" t="s">
        <v>257</v>
      </c>
      <c r="B379" s="15">
        <v>1256</v>
      </c>
      <c r="C379" s="102" t="s">
        <v>101</v>
      </c>
      <c r="D379" s="102" t="s">
        <v>104</v>
      </c>
      <c r="E379" s="15">
        <v>89</v>
      </c>
      <c r="F379" s="16">
        <v>48.88</v>
      </c>
      <c r="G379" s="16">
        <v>0</v>
      </c>
      <c r="H379" s="16">
        <v>32.22</v>
      </c>
      <c r="I379" s="16">
        <v>0</v>
      </c>
      <c r="J379" s="16">
        <v>0.44542427787276162</v>
      </c>
      <c r="K379" s="16">
        <v>0</v>
      </c>
      <c r="L379" s="16">
        <v>0</v>
      </c>
      <c r="M379" s="16">
        <v>15.45</v>
      </c>
      <c r="N379" s="16">
        <v>2.86</v>
      </c>
      <c r="O379" s="16">
        <v>0.104</v>
      </c>
      <c r="P379" s="16">
        <v>0</v>
      </c>
      <c r="Q379" s="16"/>
      <c r="R379" s="16"/>
      <c r="S379" s="16">
        <f t="shared" si="335"/>
        <v>99.959424277872756</v>
      </c>
      <c r="T379" s="16"/>
      <c r="U379" s="15"/>
      <c r="V379" s="15"/>
      <c r="W379" s="15"/>
      <c r="X379" s="15" t="s">
        <v>185</v>
      </c>
      <c r="Y379" s="15"/>
      <c r="Z379" s="37">
        <v>8</v>
      </c>
      <c r="AA379" s="37">
        <v>5</v>
      </c>
      <c r="AB379" s="15"/>
      <c r="AC379" s="38">
        <f t="shared" si="336"/>
        <v>2.2411727048834913</v>
      </c>
      <c r="AD379" s="38">
        <f t="shared" si="337"/>
        <v>0</v>
      </c>
      <c r="AE379" s="38">
        <f t="shared" si="338"/>
        <v>1.7410039493701166</v>
      </c>
      <c r="AF379" s="38">
        <f t="shared" si="339"/>
        <v>0</v>
      </c>
      <c r="AG379" s="38">
        <f t="shared" si="340"/>
        <v>1.7077376899713E-2</v>
      </c>
      <c r="AH379" s="38">
        <f t="shared" si="341"/>
        <v>0</v>
      </c>
      <c r="AI379" s="38">
        <f t="shared" si="342"/>
        <v>0</v>
      </c>
      <c r="AJ379" s="38">
        <f t="shared" si="343"/>
        <v>0.75891743488166019</v>
      </c>
      <c r="AK379" s="38">
        <f t="shared" si="344"/>
        <v>0.25422514764601511</v>
      </c>
      <c r="AL379" s="38">
        <f t="shared" si="345"/>
        <v>6.0825611469214492E-3</v>
      </c>
      <c r="AM379" s="38">
        <f t="shared" si="346"/>
        <v>0</v>
      </c>
      <c r="AN379" s="38">
        <f t="shared" si="347"/>
        <v>0</v>
      </c>
      <c r="AO379" s="38">
        <f t="shared" si="348"/>
        <v>0</v>
      </c>
      <c r="AP379" s="38">
        <f t="shared" si="349"/>
        <v>5.0184791748279167</v>
      </c>
      <c r="AQ379" s="38">
        <f t="shared" si="350"/>
        <v>3.9821766542536077</v>
      </c>
      <c r="AR379" s="38">
        <f t="shared" si="351"/>
        <v>1.0192251436745967</v>
      </c>
      <c r="AS379" s="40"/>
      <c r="AT379" s="38">
        <f t="shared" si="352"/>
        <v>2.2329202003317472</v>
      </c>
      <c r="AU379" s="38">
        <f t="shared" si="353"/>
        <v>0</v>
      </c>
      <c r="AV379" s="38">
        <f t="shared" si="354"/>
        <v>1.7345931792471923</v>
      </c>
      <c r="AW379" s="38">
        <f t="shared" si="355"/>
        <v>0</v>
      </c>
      <c r="AX379" s="38">
        <f t="shared" si="356"/>
        <v>0</v>
      </c>
      <c r="AY379" s="38">
        <f t="shared" si="357"/>
        <v>1.7014494137358435E-2</v>
      </c>
      <c r="AZ379" s="38">
        <f t="shared" si="358"/>
        <v>0</v>
      </c>
      <c r="BA379" s="38">
        <f t="shared" si="359"/>
        <v>0</v>
      </c>
      <c r="BB379" s="38">
        <f t="shared" si="360"/>
        <v>0.7561229293211954</v>
      </c>
      <c r="BC379" s="38">
        <f t="shared" si="361"/>
        <v>0.25328903318078672</v>
      </c>
      <c r="BD379" s="38">
        <f t="shared" si="362"/>
        <v>6.0601637817198064E-3</v>
      </c>
      <c r="BE379" s="38">
        <f t="shared" si="363"/>
        <v>0</v>
      </c>
      <c r="BF379" s="38">
        <f t="shared" si="364"/>
        <v>0</v>
      </c>
      <c r="BG379" s="38">
        <f t="shared" si="365"/>
        <v>0</v>
      </c>
      <c r="BH379" s="41">
        <f t="shared" si="366"/>
        <v>4.9999999999999991</v>
      </c>
      <c r="BI379" s="42">
        <f t="shared" si="367"/>
        <v>7.9790494385427699</v>
      </c>
      <c r="BJ379" s="38">
        <f t="shared" si="368"/>
        <v>3.9675133795789392</v>
      </c>
      <c r="BK379" s="38">
        <f t="shared" si="369"/>
        <v>1.0154721262837019</v>
      </c>
      <c r="BL379" s="16"/>
      <c r="BM379" s="16">
        <f t="shared" si="370"/>
        <v>0.74460234776542777</v>
      </c>
      <c r="BN379" s="16">
        <f t="shared" si="371"/>
        <v>0.24942982345339432</v>
      </c>
      <c r="BO379" s="16">
        <f t="shared" si="372"/>
        <v>5.9678287811779102E-3</v>
      </c>
      <c r="BP379" s="15"/>
      <c r="BQ379" s="38">
        <f t="shared" si="373"/>
        <v>0.81358189081225041</v>
      </c>
      <c r="BR379" s="38">
        <f t="shared" si="374"/>
        <v>0</v>
      </c>
      <c r="BS379" s="38">
        <f t="shared" si="375"/>
        <v>0.6320125539427226</v>
      </c>
      <c r="BT379" s="38">
        <f t="shared" si="376"/>
        <v>0</v>
      </c>
      <c r="BU379" s="38">
        <f t="shared" si="377"/>
        <v>6.199363644714846E-3</v>
      </c>
      <c r="BV379" s="38">
        <f t="shared" si="378"/>
        <v>0</v>
      </c>
      <c r="BW379" s="38">
        <f t="shared" si="379"/>
        <v>0</v>
      </c>
      <c r="BX379" s="38">
        <f t="shared" si="380"/>
        <v>0.2754992867332382</v>
      </c>
      <c r="BY379" s="38">
        <f t="shared" si="381"/>
        <v>9.2287834785414649E-2</v>
      </c>
      <c r="BZ379" s="38">
        <f t="shared" si="382"/>
        <v>2.2080679405520167E-3</v>
      </c>
      <c r="CA379" s="38">
        <f t="shared" si="383"/>
        <v>0</v>
      </c>
      <c r="CB379" s="38">
        <f t="shared" si="384"/>
        <v>0</v>
      </c>
      <c r="CC379" s="38">
        <f t="shared" si="385"/>
        <v>0</v>
      </c>
      <c r="CD379" s="38">
        <f t="shared" si="386"/>
        <v>1.8217889978588928</v>
      </c>
      <c r="CE379" s="38">
        <f t="shared" si="387"/>
        <v>2.9041292142795214</v>
      </c>
      <c r="CF379" s="38">
        <f t="shared" si="388"/>
        <v>2.7445549434519512</v>
      </c>
      <c r="CG379" s="38">
        <f t="shared" si="389"/>
        <v>7.9705421914740917</v>
      </c>
      <c r="CH379" s="15"/>
      <c r="CI379" s="16"/>
      <c r="CJ379" s="13"/>
      <c r="CK379" s="104"/>
      <c r="CL379" s="13"/>
      <c r="CM379" s="13"/>
      <c r="CN379" s="13"/>
      <c r="CO379" s="16"/>
      <c r="CP379" s="16"/>
      <c r="CQ379" s="16"/>
      <c r="CR379" s="16"/>
      <c r="CS379" s="16"/>
      <c r="CT379" s="16"/>
      <c r="CU379" s="16"/>
      <c r="CV379" s="16"/>
      <c r="CW379" s="16"/>
      <c r="CX379" s="16"/>
      <c r="CY379" s="104"/>
      <c r="CZ379" s="104"/>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3"/>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row>
    <row r="380" spans="1:167" x14ac:dyDescent="0.25">
      <c r="A380" s="35" t="s">
        <v>257</v>
      </c>
      <c r="B380" s="15">
        <v>1257</v>
      </c>
      <c r="C380" s="102" t="s">
        <v>101</v>
      </c>
      <c r="D380" s="102" t="s">
        <v>104</v>
      </c>
      <c r="E380" s="15">
        <v>90</v>
      </c>
      <c r="F380" s="16">
        <v>53.06</v>
      </c>
      <c r="G380" s="16">
        <v>0</v>
      </c>
      <c r="H380" s="16">
        <v>29.08</v>
      </c>
      <c r="I380" s="16">
        <v>0</v>
      </c>
      <c r="J380" s="16">
        <v>0.40673085575452178</v>
      </c>
      <c r="K380" s="16">
        <v>0</v>
      </c>
      <c r="L380" s="16">
        <v>0</v>
      </c>
      <c r="M380" s="16">
        <v>11.56</v>
      </c>
      <c r="N380" s="16">
        <v>4.99</v>
      </c>
      <c r="O380" s="16">
        <v>0.39100000000000001</v>
      </c>
      <c r="P380" s="16">
        <v>0</v>
      </c>
      <c r="Q380" s="16"/>
      <c r="R380" s="16"/>
      <c r="S380" s="16">
        <f t="shared" si="335"/>
        <v>99.487730855754521</v>
      </c>
      <c r="T380" s="16"/>
      <c r="U380" s="15"/>
      <c r="V380" s="15"/>
      <c r="W380" s="15"/>
      <c r="X380" s="15" t="s">
        <v>185</v>
      </c>
      <c r="Y380" s="15"/>
      <c r="Z380" s="37">
        <v>8</v>
      </c>
      <c r="AA380" s="37">
        <v>5</v>
      </c>
      <c r="AB380" s="15"/>
      <c r="AC380" s="38">
        <f t="shared" si="336"/>
        <v>2.4209341396212753</v>
      </c>
      <c r="AD380" s="38">
        <f t="shared" si="337"/>
        <v>0</v>
      </c>
      <c r="AE380" s="38">
        <f t="shared" si="338"/>
        <v>1.5636524304534316</v>
      </c>
      <c r="AF380" s="38">
        <f t="shared" si="339"/>
        <v>0</v>
      </c>
      <c r="AG380" s="38">
        <f t="shared" si="340"/>
        <v>1.5517651751540995E-2</v>
      </c>
      <c r="AH380" s="38">
        <f t="shared" si="341"/>
        <v>0</v>
      </c>
      <c r="AI380" s="38">
        <f t="shared" si="342"/>
        <v>0</v>
      </c>
      <c r="AJ380" s="38">
        <f t="shared" si="343"/>
        <v>0.56506119331896432</v>
      </c>
      <c r="AK380" s="38">
        <f t="shared" si="344"/>
        <v>0.44139216771964712</v>
      </c>
      <c r="AL380" s="38">
        <f t="shared" si="345"/>
        <v>2.2756292293946954E-2</v>
      </c>
      <c r="AM380" s="38">
        <f t="shared" si="346"/>
        <v>0</v>
      </c>
      <c r="AN380" s="38">
        <f t="shared" si="347"/>
        <v>0</v>
      </c>
      <c r="AO380" s="38">
        <f t="shared" si="348"/>
        <v>0</v>
      </c>
      <c r="AP380" s="38">
        <f t="shared" si="349"/>
        <v>5.029313875158806</v>
      </c>
      <c r="AQ380" s="38">
        <f t="shared" si="350"/>
        <v>3.9845865700747067</v>
      </c>
      <c r="AR380" s="38">
        <f t="shared" si="351"/>
        <v>1.0292096533325585</v>
      </c>
      <c r="AS380" s="40"/>
      <c r="AT380" s="38">
        <f t="shared" si="352"/>
        <v>2.4068234750459188</v>
      </c>
      <c r="AU380" s="38">
        <f t="shared" si="353"/>
        <v>0</v>
      </c>
      <c r="AV380" s="38">
        <f t="shared" si="354"/>
        <v>1.5545385208276121</v>
      </c>
      <c r="AW380" s="38">
        <f t="shared" si="355"/>
        <v>0</v>
      </c>
      <c r="AX380" s="38">
        <f t="shared" si="356"/>
        <v>0</v>
      </c>
      <c r="AY380" s="38">
        <f t="shared" si="357"/>
        <v>1.5427205516230587E-2</v>
      </c>
      <c r="AZ380" s="38">
        <f t="shared" si="358"/>
        <v>0</v>
      </c>
      <c r="BA380" s="38">
        <f t="shared" si="359"/>
        <v>0</v>
      </c>
      <c r="BB380" s="38">
        <f t="shared" si="360"/>
        <v>0.56176767581554232</v>
      </c>
      <c r="BC380" s="38">
        <f t="shared" si="361"/>
        <v>0.43881946789979343</v>
      </c>
      <c r="BD380" s="38">
        <f t="shared" si="362"/>
        <v>2.2623654894901937E-2</v>
      </c>
      <c r="BE380" s="38">
        <f t="shared" si="363"/>
        <v>0</v>
      </c>
      <c r="BF380" s="38">
        <f t="shared" si="364"/>
        <v>0</v>
      </c>
      <c r="BG380" s="38">
        <f t="shared" si="365"/>
        <v>0</v>
      </c>
      <c r="BH380" s="41">
        <f t="shared" si="366"/>
        <v>4.9999999999999991</v>
      </c>
      <c r="BI380" s="42">
        <f t="shared" si="367"/>
        <v>7.9610847768204902</v>
      </c>
      <c r="BJ380" s="38">
        <f t="shared" si="368"/>
        <v>3.9613619958735309</v>
      </c>
      <c r="BK380" s="38">
        <f t="shared" si="369"/>
        <v>1.0232107986102377</v>
      </c>
      <c r="BL380" s="16"/>
      <c r="BM380" s="16">
        <f t="shared" si="370"/>
        <v>0.54902438146524224</v>
      </c>
      <c r="BN380" s="16">
        <f t="shared" si="371"/>
        <v>0.42886516492575527</v>
      </c>
      <c r="BO380" s="16">
        <f t="shared" si="372"/>
        <v>2.2110453609002378E-2</v>
      </c>
      <c r="BP380" s="15"/>
      <c r="BQ380" s="38">
        <f t="shared" si="373"/>
        <v>0.88315579227696406</v>
      </c>
      <c r="BR380" s="38">
        <f t="shared" si="374"/>
        <v>0</v>
      </c>
      <c r="BS380" s="38">
        <f t="shared" si="375"/>
        <v>0.57041977245978814</v>
      </c>
      <c r="BT380" s="38">
        <f t="shared" si="376"/>
        <v>0</v>
      </c>
      <c r="BU380" s="38">
        <f t="shared" si="377"/>
        <v>5.6608330654769915E-3</v>
      </c>
      <c r="BV380" s="38">
        <f t="shared" si="378"/>
        <v>0</v>
      </c>
      <c r="BW380" s="38">
        <f t="shared" si="379"/>
        <v>0</v>
      </c>
      <c r="BX380" s="38">
        <f t="shared" si="380"/>
        <v>0.20613409415121256</v>
      </c>
      <c r="BY380" s="38">
        <f t="shared" si="381"/>
        <v>0.16101968376895776</v>
      </c>
      <c r="BZ380" s="38">
        <f t="shared" si="382"/>
        <v>8.3014861995753721E-3</v>
      </c>
      <c r="CA380" s="38">
        <f t="shared" si="383"/>
        <v>0</v>
      </c>
      <c r="CB380" s="38">
        <f t="shared" si="384"/>
        <v>0</v>
      </c>
      <c r="CC380" s="38">
        <f t="shared" si="385"/>
        <v>0</v>
      </c>
      <c r="CD380" s="38">
        <f t="shared" si="386"/>
        <v>1.8346916619219751</v>
      </c>
      <c r="CE380" s="38">
        <f t="shared" si="387"/>
        <v>2.9183967554445664</v>
      </c>
      <c r="CF380" s="38">
        <f t="shared" si="388"/>
        <v>2.7252535691812816</v>
      </c>
      <c r="CG380" s="38">
        <f t="shared" si="389"/>
        <v>7.9533711740623767</v>
      </c>
      <c r="CH380" s="15"/>
      <c r="CI380" s="16"/>
      <c r="CJ380" s="13"/>
      <c r="CK380" s="104"/>
      <c r="CL380" s="13"/>
      <c r="CM380" s="13"/>
      <c r="CN380" s="13"/>
      <c r="CO380" s="16"/>
      <c r="CP380" s="16"/>
      <c r="CQ380" s="16"/>
      <c r="CR380" s="16"/>
      <c r="CS380" s="16"/>
      <c r="CT380" s="16"/>
      <c r="CU380" s="16"/>
      <c r="CV380" s="16"/>
      <c r="CW380" s="16"/>
      <c r="CX380" s="16"/>
      <c r="CY380" s="104"/>
      <c r="CZ380" s="104"/>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3"/>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row>
    <row r="381" spans="1:167" x14ac:dyDescent="0.25">
      <c r="A381" s="35" t="s">
        <v>257</v>
      </c>
      <c r="B381" s="15">
        <v>1258</v>
      </c>
      <c r="C381" s="102" t="s">
        <v>101</v>
      </c>
      <c r="D381" s="102" t="s">
        <v>104</v>
      </c>
      <c r="E381" s="15">
        <v>91</v>
      </c>
      <c r="F381" s="16">
        <v>49.06</v>
      </c>
      <c r="G381" s="16">
        <v>0</v>
      </c>
      <c r="H381" s="16">
        <v>32.17</v>
      </c>
      <c r="I381" s="16">
        <v>0</v>
      </c>
      <c r="J381" s="16">
        <v>0.45082336002879514</v>
      </c>
      <c r="K381" s="16">
        <v>0</v>
      </c>
      <c r="L381" s="16">
        <v>0</v>
      </c>
      <c r="M381" s="16">
        <v>15.16</v>
      </c>
      <c r="N381" s="16">
        <v>2.9</v>
      </c>
      <c r="O381" s="16">
        <v>0.18099999999999999</v>
      </c>
      <c r="P381" s="16">
        <v>0</v>
      </c>
      <c r="Q381" s="16"/>
      <c r="R381" s="16"/>
      <c r="S381" s="16">
        <f t="shared" si="335"/>
        <v>99.921823360028796</v>
      </c>
      <c r="T381" s="16"/>
      <c r="U381" s="15"/>
      <c r="V381" s="15"/>
      <c r="W381" s="15"/>
      <c r="X381" s="15" t="s">
        <v>185</v>
      </c>
      <c r="Y381" s="15"/>
      <c r="Z381" s="37">
        <v>8</v>
      </c>
      <c r="AA381" s="37">
        <v>5</v>
      </c>
      <c r="AB381" s="15"/>
      <c r="AC381" s="38">
        <f t="shared" si="336"/>
        <v>2.2487385173923999</v>
      </c>
      <c r="AD381" s="38">
        <f t="shared" si="337"/>
        <v>0</v>
      </c>
      <c r="AE381" s="38">
        <f t="shared" si="338"/>
        <v>1.7377710929056582</v>
      </c>
      <c r="AF381" s="38">
        <f t="shared" si="339"/>
        <v>0</v>
      </c>
      <c r="AG381" s="38">
        <f t="shared" si="340"/>
        <v>1.7279094424749591E-2</v>
      </c>
      <c r="AH381" s="38">
        <f t="shared" si="341"/>
        <v>0</v>
      </c>
      <c r="AI381" s="38">
        <f t="shared" si="342"/>
        <v>0</v>
      </c>
      <c r="AJ381" s="38">
        <f t="shared" si="343"/>
        <v>0.74444485917779957</v>
      </c>
      <c r="AK381" s="38">
        <f t="shared" si="344"/>
        <v>0.25770198305905961</v>
      </c>
      <c r="AL381" s="38">
        <f t="shared" si="345"/>
        <v>1.0582761449264563E-2</v>
      </c>
      <c r="AM381" s="38">
        <f t="shared" si="346"/>
        <v>0</v>
      </c>
      <c r="AN381" s="38">
        <f t="shared" si="347"/>
        <v>0</v>
      </c>
      <c r="AO381" s="38">
        <f t="shared" si="348"/>
        <v>0</v>
      </c>
      <c r="AP381" s="38">
        <f t="shared" si="349"/>
        <v>5.0165183084089318</v>
      </c>
      <c r="AQ381" s="38">
        <f t="shared" si="350"/>
        <v>3.9865096102980582</v>
      </c>
      <c r="AR381" s="38">
        <f t="shared" si="351"/>
        <v>1.0127296036861237</v>
      </c>
      <c r="AS381" s="40"/>
      <c r="AT381" s="38">
        <f t="shared" si="352"/>
        <v>2.2413339084429889</v>
      </c>
      <c r="AU381" s="38">
        <f t="shared" si="353"/>
        <v>0</v>
      </c>
      <c r="AV381" s="38">
        <f t="shared" si="354"/>
        <v>1.7320489890296245</v>
      </c>
      <c r="AW381" s="38">
        <f t="shared" si="355"/>
        <v>0</v>
      </c>
      <c r="AX381" s="38">
        <f t="shared" si="356"/>
        <v>0</v>
      </c>
      <c r="AY381" s="38">
        <f t="shared" si="357"/>
        <v>1.7222198108781478E-2</v>
      </c>
      <c r="AZ381" s="38">
        <f t="shared" si="358"/>
        <v>0</v>
      </c>
      <c r="BA381" s="38">
        <f t="shared" si="359"/>
        <v>0</v>
      </c>
      <c r="BB381" s="38">
        <f t="shared" si="360"/>
        <v>0.74199356347401835</v>
      </c>
      <c r="BC381" s="38">
        <f t="shared" si="361"/>
        <v>0.25685342623696505</v>
      </c>
      <c r="BD381" s="38">
        <f t="shared" si="362"/>
        <v>1.0547914707622241E-2</v>
      </c>
      <c r="BE381" s="38">
        <f t="shared" si="363"/>
        <v>0</v>
      </c>
      <c r="BF381" s="38">
        <f t="shared" si="364"/>
        <v>0</v>
      </c>
      <c r="BG381" s="38">
        <f t="shared" si="365"/>
        <v>0</v>
      </c>
      <c r="BH381" s="41">
        <f t="shared" si="366"/>
        <v>5.0000000000000009</v>
      </c>
      <c r="BI381" s="42">
        <f t="shared" si="367"/>
        <v>7.9822688315398986</v>
      </c>
      <c r="BJ381" s="38">
        <f t="shared" si="368"/>
        <v>3.9733828974726135</v>
      </c>
      <c r="BK381" s="38">
        <f t="shared" si="369"/>
        <v>1.0093949044186057</v>
      </c>
      <c r="BL381" s="16"/>
      <c r="BM381" s="16">
        <f t="shared" si="370"/>
        <v>0.73508748679625457</v>
      </c>
      <c r="BN381" s="16">
        <f t="shared" si="371"/>
        <v>0.25446277280833735</v>
      </c>
      <c r="BO381" s="16">
        <f t="shared" si="372"/>
        <v>1.0449740395408139E-2</v>
      </c>
      <c r="BP381" s="15"/>
      <c r="BQ381" s="38">
        <f t="shared" si="373"/>
        <v>0.81657789613848208</v>
      </c>
      <c r="BR381" s="38">
        <f t="shared" si="374"/>
        <v>0</v>
      </c>
      <c r="BS381" s="38">
        <f t="shared" si="375"/>
        <v>0.63103177716751679</v>
      </c>
      <c r="BT381" s="38">
        <f t="shared" si="376"/>
        <v>0</v>
      </c>
      <c r="BU381" s="38">
        <f t="shared" si="377"/>
        <v>6.2745074464689654E-3</v>
      </c>
      <c r="BV381" s="38">
        <f t="shared" si="378"/>
        <v>0</v>
      </c>
      <c r="BW381" s="38">
        <f t="shared" si="379"/>
        <v>0</v>
      </c>
      <c r="BX381" s="38">
        <f t="shared" si="380"/>
        <v>0.27032810271041369</v>
      </c>
      <c r="BY381" s="38">
        <f t="shared" si="381"/>
        <v>9.3578573733462414E-2</v>
      </c>
      <c r="BZ381" s="38">
        <f t="shared" si="382"/>
        <v>3.8428874734607217E-3</v>
      </c>
      <c r="CA381" s="38">
        <f t="shared" si="383"/>
        <v>0</v>
      </c>
      <c r="CB381" s="38">
        <f t="shared" si="384"/>
        <v>0</v>
      </c>
      <c r="CC381" s="38">
        <f t="shared" si="385"/>
        <v>0</v>
      </c>
      <c r="CD381" s="38">
        <f t="shared" si="386"/>
        <v>1.8216337446698045</v>
      </c>
      <c r="CE381" s="38">
        <f t="shared" si="387"/>
        <v>2.905016798788584</v>
      </c>
      <c r="CF381" s="38">
        <f t="shared" si="388"/>
        <v>2.7447888548563952</v>
      </c>
      <c r="CG381" s="38">
        <f t="shared" si="389"/>
        <v>7.9736577324855089</v>
      </c>
      <c r="CH381" s="15"/>
      <c r="CI381" s="16"/>
      <c r="CJ381" s="13"/>
      <c r="CK381" s="104"/>
      <c r="CL381" s="13"/>
      <c r="CM381" s="13"/>
      <c r="CN381" s="13"/>
      <c r="CO381" s="16"/>
      <c r="CP381" s="16"/>
      <c r="CQ381" s="16"/>
      <c r="CR381" s="16"/>
      <c r="CS381" s="16"/>
      <c r="CT381" s="16"/>
      <c r="CU381" s="16"/>
      <c r="CV381" s="16"/>
      <c r="CW381" s="16"/>
      <c r="CX381" s="16"/>
      <c r="CY381" s="104"/>
      <c r="CZ381" s="104"/>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3"/>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row>
    <row r="382" spans="1:167" x14ac:dyDescent="0.25">
      <c r="A382" s="35" t="s">
        <v>257</v>
      </c>
      <c r="B382" s="15">
        <v>1259</v>
      </c>
      <c r="C382" s="102" t="s">
        <v>101</v>
      </c>
      <c r="D382" s="102" t="s">
        <v>104</v>
      </c>
      <c r="E382" s="15">
        <v>92</v>
      </c>
      <c r="F382" s="16">
        <v>48.88</v>
      </c>
      <c r="G382" s="16">
        <v>0</v>
      </c>
      <c r="H382" s="16">
        <v>31.75</v>
      </c>
      <c r="I382" s="16">
        <v>0</v>
      </c>
      <c r="J382" s="16">
        <v>0.34644110501214798</v>
      </c>
      <c r="K382" s="16">
        <v>0</v>
      </c>
      <c r="L382" s="16">
        <v>0</v>
      </c>
      <c r="M382" s="16">
        <v>15.28</v>
      </c>
      <c r="N382" s="16">
        <v>2.98</v>
      </c>
      <c r="O382" s="16">
        <v>0.155</v>
      </c>
      <c r="P382" s="16">
        <v>0</v>
      </c>
      <c r="Q382" s="16"/>
      <c r="R382" s="16"/>
      <c r="S382" s="16">
        <f t="shared" si="335"/>
        <v>99.391441105012149</v>
      </c>
      <c r="T382" s="16"/>
      <c r="U382" s="15"/>
      <c r="V382" s="15"/>
      <c r="W382" s="15"/>
      <c r="X382" s="15" t="s">
        <v>185</v>
      </c>
      <c r="Y382" s="15"/>
      <c r="Z382" s="37">
        <v>8</v>
      </c>
      <c r="AA382" s="37">
        <v>5</v>
      </c>
      <c r="AB382" s="15"/>
      <c r="AC382" s="38">
        <f t="shared" si="336"/>
        <v>2.2534017249264982</v>
      </c>
      <c r="AD382" s="38">
        <f t="shared" si="337"/>
        <v>0</v>
      </c>
      <c r="AE382" s="38">
        <f t="shared" si="338"/>
        <v>1.7249688135323005</v>
      </c>
      <c r="AF382" s="38">
        <f t="shared" si="339"/>
        <v>0</v>
      </c>
      <c r="AG382" s="38">
        <f t="shared" si="340"/>
        <v>1.3354880056730346E-2</v>
      </c>
      <c r="AH382" s="38">
        <f t="shared" si="341"/>
        <v>0</v>
      </c>
      <c r="AI382" s="38">
        <f t="shared" si="342"/>
        <v>0</v>
      </c>
      <c r="AJ382" s="38">
        <f t="shared" si="343"/>
        <v>0.75466237576242901</v>
      </c>
      <c r="AK382" s="38">
        <f t="shared" si="344"/>
        <v>0.26633732714322628</v>
      </c>
      <c r="AL382" s="38">
        <f t="shared" si="345"/>
        <v>9.1148209155597123E-3</v>
      </c>
      <c r="AM382" s="38">
        <f t="shared" si="346"/>
        <v>0</v>
      </c>
      <c r="AN382" s="38">
        <f t="shared" si="347"/>
        <v>0</v>
      </c>
      <c r="AO382" s="38">
        <f t="shared" si="348"/>
        <v>0</v>
      </c>
      <c r="AP382" s="38">
        <f t="shared" si="349"/>
        <v>5.0218399423367437</v>
      </c>
      <c r="AQ382" s="38">
        <f t="shared" si="350"/>
        <v>3.9783705384587984</v>
      </c>
      <c r="AR382" s="38">
        <f t="shared" si="351"/>
        <v>1.030114523821215</v>
      </c>
      <c r="AS382" s="40"/>
      <c r="AT382" s="38">
        <f t="shared" si="352"/>
        <v>2.2436016985817688</v>
      </c>
      <c r="AU382" s="38">
        <f t="shared" si="353"/>
        <v>0</v>
      </c>
      <c r="AV382" s="38">
        <f t="shared" si="354"/>
        <v>1.7174669377551333</v>
      </c>
      <c r="AW382" s="38">
        <f t="shared" si="355"/>
        <v>0</v>
      </c>
      <c r="AX382" s="38">
        <f t="shared" si="356"/>
        <v>0</v>
      </c>
      <c r="AY382" s="38">
        <f t="shared" si="357"/>
        <v>1.329679978860109E-2</v>
      </c>
      <c r="AZ382" s="38">
        <f t="shared" si="358"/>
        <v>0</v>
      </c>
      <c r="BA382" s="38">
        <f t="shared" si="359"/>
        <v>0</v>
      </c>
      <c r="BB382" s="38">
        <f t="shared" si="360"/>
        <v>0.75138035503703482</v>
      </c>
      <c r="BC382" s="38">
        <f t="shared" si="361"/>
        <v>0.26517902820623868</v>
      </c>
      <c r="BD382" s="38">
        <f t="shared" si="362"/>
        <v>9.0751806312234212E-3</v>
      </c>
      <c r="BE382" s="38">
        <f t="shared" si="363"/>
        <v>0</v>
      </c>
      <c r="BF382" s="38">
        <f t="shared" si="364"/>
        <v>0</v>
      </c>
      <c r="BG382" s="38">
        <f t="shared" si="365"/>
        <v>0</v>
      </c>
      <c r="BH382" s="41">
        <f t="shared" si="366"/>
        <v>5</v>
      </c>
      <c r="BI382" s="42">
        <f t="shared" si="367"/>
        <v>7.9718564629349045</v>
      </c>
      <c r="BJ382" s="38">
        <f t="shared" si="368"/>
        <v>3.9610686363369023</v>
      </c>
      <c r="BK382" s="38">
        <f t="shared" si="369"/>
        <v>1.025634563874497</v>
      </c>
      <c r="BL382" s="16"/>
      <c r="BM382" s="16">
        <f t="shared" si="370"/>
        <v>0.73260046170692272</v>
      </c>
      <c r="BN382" s="16">
        <f t="shared" si="371"/>
        <v>0.25855118143101857</v>
      </c>
      <c r="BO382" s="16">
        <f t="shared" si="372"/>
        <v>8.8483568620586362E-3</v>
      </c>
      <c r="BP382" s="15"/>
      <c r="BQ382" s="38">
        <f t="shared" si="373"/>
        <v>0.81358189081225041</v>
      </c>
      <c r="BR382" s="38">
        <f t="shared" si="374"/>
        <v>0</v>
      </c>
      <c r="BS382" s="38">
        <f t="shared" si="375"/>
        <v>0.62279325225578663</v>
      </c>
      <c r="BT382" s="38">
        <f t="shared" si="376"/>
        <v>0</v>
      </c>
      <c r="BU382" s="38">
        <f t="shared" si="377"/>
        <v>4.8217272792226585E-3</v>
      </c>
      <c r="BV382" s="38">
        <f t="shared" si="378"/>
        <v>0</v>
      </c>
      <c r="BW382" s="38">
        <f t="shared" si="379"/>
        <v>0</v>
      </c>
      <c r="BX382" s="38">
        <f t="shared" si="380"/>
        <v>0.27246790299572038</v>
      </c>
      <c r="BY382" s="38">
        <f t="shared" si="381"/>
        <v>9.616005162955793E-2</v>
      </c>
      <c r="BZ382" s="38">
        <f t="shared" si="382"/>
        <v>3.2908704883227173E-3</v>
      </c>
      <c r="CA382" s="38">
        <f t="shared" si="383"/>
        <v>0</v>
      </c>
      <c r="CB382" s="38">
        <f t="shared" si="384"/>
        <v>0</v>
      </c>
      <c r="CC382" s="38">
        <f t="shared" si="385"/>
        <v>0</v>
      </c>
      <c r="CD382" s="38">
        <f t="shared" si="386"/>
        <v>1.8131156954608607</v>
      </c>
      <c r="CE382" s="38">
        <f t="shared" si="387"/>
        <v>2.8883687513420644</v>
      </c>
      <c r="CF382" s="38">
        <f t="shared" si="388"/>
        <v>2.7576839208427302</v>
      </c>
      <c r="CG382" s="38">
        <f t="shared" si="389"/>
        <v>7.9652080630406052</v>
      </c>
      <c r="CH382" s="15"/>
      <c r="CI382" s="16"/>
      <c r="CJ382" s="13"/>
      <c r="CK382" s="104"/>
      <c r="CL382" s="13"/>
      <c r="CM382" s="13"/>
      <c r="CN382" s="13"/>
      <c r="CO382" s="16"/>
      <c r="CP382" s="16"/>
      <c r="CQ382" s="16"/>
      <c r="CR382" s="16"/>
      <c r="CS382" s="16"/>
      <c r="CT382" s="16"/>
      <c r="CU382" s="16"/>
      <c r="CV382" s="16"/>
      <c r="CW382" s="16"/>
      <c r="CX382" s="16"/>
      <c r="CY382" s="104"/>
      <c r="CZ382" s="104"/>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3"/>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row>
    <row r="383" spans="1:167" x14ac:dyDescent="0.25">
      <c r="A383" s="35" t="s">
        <v>257</v>
      </c>
      <c r="B383" s="15">
        <v>1260</v>
      </c>
      <c r="C383" s="102" t="s">
        <v>101</v>
      </c>
      <c r="D383" s="102" t="s">
        <v>104</v>
      </c>
      <c r="E383" s="15">
        <v>93</v>
      </c>
      <c r="F383" s="16">
        <v>54.62</v>
      </c>
      <c r="G383" s="16">
        <v>0</v>
      </c>
      <c r="H383" s="16">
        <v>28.87</v>
      </c>
      <c r="I383" s="16">
        <v>0</v>
      </c>
      <c r="J383" s="16">
        <v>0.36173850445424283</v>
      </c>
      <c r="K383" s="16">
        <v>0</v>
      </c>
      <c r="L383" s="16">
        <v>0</v>
      </c>
      <c r="M383" s="16">
        <v>11.09</v>
      </c>
      <c r="N383" s="16">
        <v>5.37</v>
      </c>
      <c r="O383" s="16">
        <v>0.48399999999999999</v>
      </c>
      <c r="P383" s="16">
        <v>0</v>
      </c>
      <c r="Q383" s="16"/>
      <c r="R383" s="16"/>
      <c r="S383" s="16">
        <f t="shared" si="335"/>
        <v>100.79573850445423</v>
      </c>
      <c r="T383" s="16"/>
      <c r="U383" s="15"/>
      <c r="V383" s="15"/>
      <c r="W383" s="15"/>
      <c r="X383" s="15" t="s">
        <v>185</v>
      </c>
      <c r="Y383" s="15"/>
      <c r="Z383" s="37">
        <v>8</v>
      </c>
      <c r="AA383" s="37">
        <v>5</v>
      </c>
      <c r="AB383" s="15"/>
      <c r="AC383" s="38">
        <f t="shared" si="336"/>
        <v>2.4552098204978261</v>
      </c>
      <c r="AD383" s="38">
        <f t="shared" si="337"/>
        <v>0</v>
      </c>
      <c r="AE383" s="38">
        <f t="shared" si="338"/>
        <v>1.5293743196037115</v>
      </c>
      <c r="AF383" s="38">
        <f t="shared" si="339"/>
        <v>0</v>
      </c>
      <c r="AG383" s="38">
        <f t="shared" si="340"/>
        <v>1.3596740440011619E-2</v>
      </c>
      <c r="AH383" s="38">
        <f t="shared" si="341"/>
        <v>0</v>
      </c>
      <c r="AI383" s="38">
        <f t="shared" si="342"/>
        <v>0</v>
      </c>
      <c r="AJ383" s="38">
        <f t="shared" si="343"/>
        <v>0.53406040643146679</v>
      </c>
      <c r="AK383" s="38">
        <f t="shared" si="344"/>
        <v>0.46797165662000884</v>
      </c>
      <c r="AL383" s="38">
        <f t="shared" si="345"/>
        <v>2.7751808834598796E-2</v>
      </c>
      <c r="AM383" s="38">
        <f t="shared" si="346"/>
        <v>0</v>
      </c>
      <c r="AN383" s="38">
        <f t="shared" si="347"/>
        <v>0</v>
      </c>
      <c r="AO383" s="38">
        <f t="shared" si="348"/>
        <v>0</v>
      </c>
      <c r="AP383" s="38">
        <f t="shared" si="349"/>
        <v>5.0279647524276232</v>
      </c>
      <c r="AQ383" s="38">
        <f t="shared" si="350"/>
        <v>3.9845841401015374</v>
      </c>
      <c r="AR383" s="38">
        <f t="shared" si="351"/>
        <v>1.0297838718860743</v>
      </c>
      <c r="AS383" s="40"/>
      <c r="AT383" s="38">
        <f t="shared" si="352"/>
        <v>2.4415543280334164</v>
      </c>
      <c r="AU383" s="38">
        <f t="shared" si="353"/>
        <v>0</v>
      </c>
      <c r="AV383" s="38">
        <f t="shared" si="354"/>
        <v>1.5208681791825334</v>
      </c>
      <c r="AW383" s="38">
        <f t="shared" si="355"/>
        <v>0</v>
      </c>
      <c r="AX383" s="38">
        <f t="shared" si="356"/>
        <v>0</v>
      </c>
      <c r="AY383" s="38">
        <f t="shared" si="357"/>
        <v>1.3521117499328909E-2</v>
      </c>
      <c r="AZ383" s="38">
        <f t="shared" si="358"/>
        <v>0</v>
      </c>
      <c r="BA383" s="38">
        <f t="shared" si="359"/>
        <v>0</v>
      </c>
      <c r="BB383" s="38">
        <f t="shared" si="360"/>
        <v>0.53109004610027288</v>
      </c>
      <c r="BC383" s="38">
        <f t="shared" si="361"/>
        <v>0.46536887156384765</v>
      </c>
      <c r="BD383" s="38">
        <f t="shared" si="362"/>
        <v>2.7597457620600407E-2</v>
      </c>
      <c r="BE383" s="38">
        <f t="shared" si="363"/>
        <v>0</v>
      </c>
      <c r="BF383" s="38">
        <f t="shared" si="364"/>
        <v>0</v>
      </c>
      <c r="BG383" s="38">
        <f t="shared" si="365"/>
        <v>0</v>
      </c>
      <c r="BH383" s="41">
        <f t="shared" si="366"/>
        <v>4.9999999999999991</v>
      </c>
      <c r="BI383" s="42">
        <f t="shared" si="367"/>
        <v>7.9622658117821228</v>
      </c>
      <c r="BJ383" s="38">
        <f t="shared" si="368"/>
        <v>3.9624225072159498</v>
      </c>
      <c r="BK383" s="38">
        <f t="shared" si="369"/>
        <v>1.0240563752847209</v>
      </c>
      <c r="BL383" s="16"/>
      <c r="BM383" s="16">
        <f t="shared" si="370"/>
        <v>0.5186140713714249</v>
      </c>
      <c r="BN383" s="16">
        <f t="shared" si="371"/>
        <v>0.45443677007963557</v>
      </c>
      <c r="BO383" s="16">
        <f t="shared" si="372"/>
        <v>2.6949158548939672E-2</v>
      </c>
      <c r="BP383" s="15"/>
      <c r="BQ383" s="38">
        <f t="shared" si="373"/>
        <v>0.90912117177097207</v>
      </c>
      <c r="BR383" s="38">
        <f t="shared" si="374"/>
        <v>0</v>
      </c>
      <c r="BS383" s="38">
        <f t="shared" si="375"/>
        <v>0.56630051000392312</v>
      </c>
      <c r="BT383" s="38">
        <f t="shared" si="376"/>
        <v>0</v>
      </c>
      <c r="BU383" s="38">
        <f t="shared" si="377"/>
        <v>5.0346347175259966E-3</v>
      </c>
      <c r="BV383" s="38">
        <f t="shared" si="378"/>
        <v>0</v>
      </c>
      <c r="BW383" s="38">
        <f t="shared" si="379"/>
        <v>0</v>
      </c>
      <c r="BX383" s="38">
        <f t="shared" si="380"/>
        <v>0.19775320970042795</v>
      </c>
      <c r="BY383" s="38">
        <f t="shared" si="381"/>
        <v>0.17328170377541144</v>
      </c>
      <c r="BZ383" s="38">
        <f t="shared" si="382"/>
        <v>1.0276008492569001E-2</v>
      </c>
      <c r="CA383" s="38">
        <f t="shared" si="383"/>
        <v>0</v>
      </c>
      <c r="CB383" s="38">
        <f t="shared" si="384"/>
        <v>0</v>
      </c>
      <c r="CC383" s="38">
        <f t="shared" si="385"/>
        <v>0</v>
      </c>
      <c r="CD383" s="38">
        <f t="shared" si="386"/>
        <v>1.8617672384608297</v>
      </c>
      <c r="CE383" s="38">
        <f t="shared" si="387"/>
        <v>2.9622598090997725</v>
      </c>
      <c r="CF383" s="38">
        <f t="shared" si="388"/>
        <v>2.6856203593600814</v>
      </c>
      <c r="CG383" s="38">
        <f t="shared" si="389"/>
        <v>7.9555052530324568</v>
      </c>
      <c r="CH383" s="15"/>
      <c r="CI383" s="16"/>
      <c r="CJ383" s="13"/>
      <c r="CK383" s="104"/>
      <c r="CL383" s="13"/>
      <c r="CM383" s="13"/>
      <c r="CN383" s="13"/>
      <c r="CO383" s="16"/>
      <c r="CP383" s="16"/>
      <c r="CQ383" s="16"/>
      <c r="CR383" s="16"/>
      <c r="CS383" s="16"/>
      <c r="CT383" s="16"/>
      <c r="CU383" s="16"/>
      <c r="CV383" s="16"/>
      <c r="CW383" s="16"/>
      <c r="CX383" s="16"/>
      <c r="CY383" s="104"/>
      <c r="CZ383" s="104"/>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3"/>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row>
    <row r="384" spans="1:167" x14ac:dyDescent="0.25">
      <c r="A384" s="35" t="s">
        <v>257</v>
      </c>
      <c r="B384" s="15">
        <v>1261</v>
      </c>
      <c r="C384" s="102" t="s">
        <v>101</v>
      </c>
      <c r="D384" s="102" t="s">
        <v>104</v>
      </c>
      <c r="E384" s="15">
        <v>94</v>
      </c>
      <c r="F384" s="16">
        <v>53.99</v>
      </c>
      <c r="G384" s="16">
        <v>0</v>
      </c>
      <c r="H384" s="16">
        <v>29.09</v>
      </c>
      <c r="I384" s="16">
        <v>0</v>
      </c>
      <c r="J384" s="16">
        <v>0.50121479348510756</v>
      </c>
      <c r="K384" s="16">
        <v>0</v>
      </c>
      <c r="L384" s="16">
        <v>0</v>
      </c>
      <c r="M384" s="16">
        <v>11.59</v>
      </c>
      <c r="N384" s="16">
        <v>5.12</v>
      </c>
      <c r="O384" s="16">
        <v>0.36199999999999999</v>
      </c>
      <c r="P384" s="16">
        <v>0</v>
      </c>
      <c r="Q384" s="16"/>
      <c r="R384" s="16"/>
      <c r="S384" s="16">
        <f t="shared" si="335"/>
        <v>100.65321479348511</v>
      </c>
      <c r="T384" s="16"/>
      <c r="U384" s="15"/>
      <c r="V384" s="15"/>
      <c r="W384" s="15"/>
      <c r="X384" s="15" t="s">
        <v>185</v>
      </c>
      <c r="Y384" s="15"/>
      <c r="Z384" s="37">
        <v>8</v>
      </c>
      <c r="AA384" s="37">
        <v>5</v>
      </c>
      <c r="AB384" s="15"/>
      <c r="AC384" s="38">
        <f t="shared" si="336"/>
        <v>2.4342624656919711</v>
      </c>
      <c r="AD384" s="38">
        <f t="shared" si="337"/>
        <v>0</v>
      </c>
      <c r="AE384" s="38">
        <f t="shared" si="338"/>
        <v>1.5457095469377802</v>
      </c>
      <c r="AF384" s="38">
        <f t="shared" si="339"/>
        <v>0</v>
      </c>
      <c r="AG384" s="38">
        <f t="shared" si="340"/>
        <v>1.889648850164485E-2</v>
      </c>
      <c r="AH384" s="38">
        <f t="shared" si="341"/>
        <v>0</v>
      </c>
      <c r="AI384" s="38">
        <f t="shared" si="342"/>
        <v>0</v>
      </c>
      <c r="AJ384" s="38">
        <f t="shared" si="343"/>
        <v>0.55983420570578601</v>
      </c>
      <c r="AK384" s="38">
        <f t="shared" si="344"/>
        <v>0.44754054245732106</v>
      </c>
      <c r="AL384" s="38">
        <f t="shared" si="345"/>
        <v>2.0819565546594514E-2</v>
      </c>
      <c r="AM384" s="38">
        <f t="shared" si="346"/>
        <v>0</v>
      </c>
      <c r="AN384" s="38">
        <f t="shared" si="347"/>
        <v>0</v>
      </c>
      <c r="AO384" s="38">
        <f t="shared" si="348"/>
        <v>0</v>
      </c>
      <c r="AP384" s="38">
        <f t="shared" si="349"/>
        <v>5.0270628148410976</v>
      </c>
      <c r="AQ384" s="38">
        <f t="shared" si="350"/>
        <v>3.9799720126297515</v>
      </c>
      <c r="AR384" s="38">
        <f t="shared" si="351"/>
        <v>1.0281943137097016</v>
      </c>
      <c r="AS384" s="40"/>
      <c r="AT384" s="38">
        <f t="shared" si="352"/>
        <v>2.4211577966615452</v>
      </c>
      <c r="AU384" s="38">
        <f t="shared" si="353"/>
        <v>0</v>
      </c>
      <c r="AV384" s="38">
        <f t="shared" si="354"/>
        <v>1.5373883357638523</v>
      </c>
      <c r="AW384" s="38">
        <f t="shared" si="355"/>
        <v>0</v>
      </c>
      <c r="AX384" s="38">
        <f t="shared" si="356"/>
        <v>0</v>
      </c>
      <c r="AY384" s="38">
        <f t="shared" si="357"/>
        <v>1.8794760676013315E-2</v>
      </c>
      <c r="AZ384" s="38">
        <f t="shared" si="358"/>
        <v>0</v>
      </c>
      <c r="BA384" s="38">
        <f t="shared" si="359"/>
        <v>0</v>
      </c>
      <c r="BB384" s="38">
        <f t="shared" si="360"/>
        <v>0.55682038033523373</v>
      </c>
      <c r="BC384" s="38">
        <f t="shared" si="361"/>
        <v>0.44513124158313067</v>
      </c>
      <c r="BD384" s="38">
        <f t="shared" si="362"/>
        <v>2.0707484980225586E-2</v>
      </c>
      <c r="BE384" s="38">
        <f t="shared" si="363"/>
        <v>0</v>
      </c>
      <c r="BF384" s="38">
        <f t="shared" si="364"/>
        <v>0</v>
      </c>
      <c r="BG384" s="38">
        <f t="shared" si="365"/>
        <v>0</v>
      </c>
      <c r="BH384" s="41">
        <f t="shared" si="366"/>
        <v>5.0000000000000009</v>
      </c>
      <c r="BI384" s="42">
        <f t="shared" si="367"/>
        <v>7.9663299815998005</v>
      </c>
      <c r="BJ384" s="38">
        <f t="shared" si="368"/>
        <v>3.9585461324253974</v>
      </c>
      <c r="BK384" s="38">
        <f t="shared" si="369"/>
        <v>1.02265910689859</v>
      </c>
      <c r="BL384" s="16"/>
      <c r="BM384" s="16">
        <f t="shared" si="370"/>
        <v>0.54448288445198356</v>
      </c>
      <c r="BN384" s="16">
        <f t="shared" si="371"/>
        <v>0.43526844730603986</v>
      </c>
      <c r="BO384" s="16">
        <f t="shared" si="372"/>
        <v>2.0248668241976554E-2</v>
      </c>
      <c r="BP384" s="15"/>
      <c r="BQ384" s="38">
        <f t="shared" si="373"/>
        <v>0.8986351531291612</v>
      </c>
      <c r="BR384" s="38">
        <f t="shared" si="374"/>
        <v>0</v>
      </c>
      <c r="BS384" s="38">
        <f t="shared" si="375"/>
        <v>0.57061592781482939</v>
      </c>
      <c r="BT384" s="38">
        <f t="shared" si="376"/>
        <v>0</v>
      </c>
      <c r="BU384" s="38">
        <f t="shared" si="377"/>
        <v>6.975849596174079E-3</v>
      </c>
      <c r="BV384" s="38">
        <f t="shared" si="378"/>
        <v>0</v>
      </c>
      <c r="BW384" s="38">
        <f t="shared" si="379"/>
        <v>0</v>
      </c>
      <c r="BX384" s="38">
        <f t="shared" si="380"/>
        <v>0.20666904422253923</v>
      </c>
      <c r="BY384" s="38">
        <f t="shared" si="381"/>
        <v>0.16521458535011296</v>
      </c>
      <c r="BZ384" s="38">
        <f t="shared" si="382"/>
        <v>7.6857749469214434E-3</v>
      </c>
      <c r="CA384" s="38">
        <f t="shared" si="383"/>
        <v>0</v>
      </c>
      <c r="CB384" s="38">
        <f t="shared" si="384"/>
        <v>0</v>
      </c>
      <c r="CC384" s="38">
        <f t="shared" si="385"/>
        <v>0</v>
      </c>
      <c r="CD384" s="38">
        <f t="shared" si="386"/>
        <v>1.8557963350597382</v>
      </c>
      <c r="CE384" s="38">
        <f t="shared" si="387"/>
        <v>2.9532892719477966</v>
      </c>
      <c r="CF384" s="38">
        <f t="shared" si="388"/>
        <v>2.6942611673166441</v>
      </c>
      <c r="CG384" s="38">
        <f t="shared" si="389"/>
        <v>7.9569326012617925</v>
      </c>
      <c r="CH384" s="15"/>
      <c r="CI384" s="16"/>
      <c r="CJ384" s="13"/>
      <c r="CK384" s="104"/>
      <c r="CL384" s="13"/>
      <c r="CM384" s="13"/>
      <c r="CN384" s="13"/>
      <c r="CO384" s="16"/>
      <c r="CP384" s="16"/>
      <c r="CQ384" s="16"/>
      <c r="CR384" s="16"/>
      <c r="CS384" s="16"/>
      <c r="CT384" s="16"/>
      <c r="CU384" s="16"/>
      <c r="CV384" s="16"/>
      <c r="CW384" s="16"/>
      <c r="CX384" s="16"/>
      <c r="CY384" s="104"/>
      <c r="CZ384" s="104"/>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3"/>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row>
    <row r="385" spans="1:167" x14ac:dyDescent="0.25">
      <c r="A385" s="35" t="s">
        <v>257</v>
      </c>
      <c r="B385" s="15">
        <v>1262</v>
      </c>
      <c r="C385" s="102" t="s">
        <v>101</v>
      </c>
      <c r="D385" s="102" t="s">
        <v>104</v>
      </c>
      <c r="E385" s="15">
        <v>95</v>
      </c>
      <c r="F385" s="16">
        <v>51.61</v>
      </c>
      <c r="G385" s="16">
        <v>0</v>
      </c>
      <c r="H385" s="16">
        <v>30.57</v>
      </c>
      <c r="I385" s="16">
        <v>0</v>
      </c>
      <c r="J385" s="16">
        <v>0.45352290110681187</v>
      </c>
      <c r="K385" s="16">
        <v>0</v>
      </c>
      <c r="L385" s="16">
        <v>0</v>
      </c>
      <c r="M385" s="16">
        <v>13.2</v>
      </c>
      <c r="N385" s="16">
        <v>4</v>
      </c>
      <c r="O385" s="16">
        <v>0.248</v>
      </c>
      <c r="P385" s="16">
        <v>0</v>
      </c>
      <c r="Q385" s="16"/>
      <c r="R385" s="16"/>
      <c r="S385" s="16">
        <f t="shared" si="335"/>
        <v>100.08152290110682</v>
      </c>
      <c r="T385" s="16"/>
      <c r="U385" s="15"/>
      <c r="V385" s="15"/>
      <c r="W385" s="15"/>
      <c r="X385" s="15" t="s">
        <v>185</v>
      </c>
      <c r="Y385" s="15"/>
      <c r="Z385" s="37">
        <v>8</v>
      </c>
      <c r="AA385" s="37">
        <v>5</v>
      </c>
      <c r="AB385" s="15"/>
      <c r="AC385" s="38">
        <f t="shared" si="336"/>
        <v>2.3483578608863174</v>
      </c>
      <c r="AD385" s="38">
        <f t="shared" si="337"/>
        <v>0</v>
      </c>
      <c r="AE385" s="38">
        <f t="shared" si="338"/>
        <v>1.6392906102671183</v>
      </c>
      <c r="AF385" s="38">
        <f t="shared" si="339"/>
        <v>0</v>
      </c>
      <c r="AG385" s="38">
        <f t="shared" si="340"/>
        <v>1.7255708407769871E-2</v>
      </c>
      <c r="AH385" s="38">
        <f t="shared" si="341"/>
        <v>0</v>
      </c>
      <c r="AI385" s="38">
        <f t="shared" si="342"/>
        <v>0</v>
      </c>
      <c r="AJ385" s="38">
        <f t="shared" si="343"/>
        <v>0.6434669863363528</v>
      </c>
      <c r="AK385" s="38">
        <f t="shared" si="344"/>
        <v>0.35285701735401126</v>
      </c>
      <c r="AL385" s="38">
        <f t="shared" si="345"/>
        <v>1.4394318811117838E-2</v>
      </c>
      <c r="AM385" s="38">
        <f t="shared" si="346"/>
        <v>0</v>
      </c>
      <c r="AN385" s="38">
        <f t="shared" si="347"/>
        <v>0</v>
      </c>
      <c r="AO385" s="38">
        <f t="shared" si="348"/>
        <v>0</v>
      </c>
      <c r="AP385" s="38">
        <f t="shared" si="349"/>
        <v>5.0156225020626879</v>
      </c>
      <c r="AQ385" s="38">
        <f t="shared" si="350"/>
        <v>3.9876484711534355</v>
      </c>
      <c r="AR385" s="38">
        <f t="shared" si="351"/>
        <v>1.0107183225014817</v>
      </c>
      <c r="AS385" s="40"/>
      <c r="AT385" s="38">
        <f t="shared" si="352"/>
        <v>2.3410432702227379</v>
      </c>
      <c r="AU385" s="38">
        <f t="shared" si="353"/>
        <v>0</v>
      </c>
      <c r="AV385" s="38">
        <f t="shared" si="354"/>
        <v>1.6341845998108468</v>
      </c>
      <c r="AW385" s="38">
        <f t="shared" si="355"/>
        <v>0</v>
      </c>
      <c r="AX385" s="38">
        <f t="shared" si="356"/>
        <v>0</v>
      </c>
      <c r="AY385" s="38">
        <f t="shared" si="357"/>
        <v>1.7201960873922843E-2</v>
      </c>
      <c r="AZ385" s="38">
        <f t="shared" si="358"/>
        <v>0</v>
      </c>
      <c r="BA385" s="38">
        <f t="shared" si="359"/>
        <v>0</v>
      </c>
      <c r="BB385" s="38">
        <f t="shared" si="360"/>
        <v>0.64146273575386237</v>
      </c>
      <c r="BC385" s="38">
        <f t="shared" si="361"/>
        <v>0.35175794949569861</v>
      </c>
      <c r="BD385" s="38">
        <f t="shared" si="362"/>
        <v>1.4349483842930898E-2</v>
      </c>
      <c r="BE385" s="38">
        <f t="shared" si="363"/>
        <v>0</v>
      </c>
      <c r="BF385" s="38">
        <f t="shared" si="364"/>
        <v>0</v>
      </c>
      <c r="BG385" s="38">
        <f t="shared" si="365"/>
        <v>0</v>
      </c>
      <c r="BH385" s="41">
        <f t="shared" si="366"/>
        <v>5</v>
      </c>
      <c r="BI385" s="42">
        <f t="shared" si="367"/>
        <v>7.9836828338958075</v>
      </c>
      <c r="BJ385" s="38">
        <f t="shared" si="368"/>
        <v>3.975227870033585</v>
      </c>
      <c r="BK385" s="38">
        <f t="shared" si="369"/>
        <v>1.0075701690924919</v>
      </c>
      <c r="BL385" s="16"/>
      <c r="BM385" s="16">
        <f t="shared" si="370"/>
        <v>0.63664323878467088</v>
      </c>
      <c r="BN385" s="16">
        <f t="shared" si="371"/>
        <v>0.3491150892374309</v>
      </c>
      <c r="BO385" s="16">
        <f t="shared" si="372"/>
        <v>1.4241671977898407E-2</v>
      </c>
      <c r="BP385" s="15"/>
      <c r="BQ385" s="38">
        <f t="shared" si="373"/>
        <v>0.85902130492676432</v>
      </c>
      <c r="BR385" s="38">
        <f t="shared" si="374"/>
        <v>0</v>
      </c>
      <c r="BS385" s="38">
        <f t="shared" si="375"/>
        <v>0.59964692036092593</v>
      </c>
      <c r="BT385" s="38">
        <f t="shared" si="376"/>
        <v>0</v>
      </c>
      <c r="BU385" s="38">
        <f t="shared" si="377"/>
        <v>6.3120793473460252E-3</v>
      </c>
      <c r="BV385" s="38">
        <f t="shared" si="378"/>
        <v>0</v>
      </c>
      <c r="BW385" s="38">
        <f t="shared" si="379"/>
        <v>0</v>
      </c>
      <c r="BX385" s="38">
        <f t="shared" si="380"/>
        <v>0.2353780313837375</v>
      </c>
      <c r="BY385" s="38">
        <f t="shared" si="381"/>
        <v>0.12907389480477574</v>
      </c>
      <c r="BZ385" s="38">
        <f t="shared" si="382"/>
        <v>5.2653927813163482E-3</v>
      </c>
      <c r="CA385" s="38">
        <f t="shared" si="383"/>
        <v>0</v>
      </c>
      <c r="CB385" s="38">
        <f t="shared" si="384"/>
        <v>0</v>
      </c>
      <c r="CC385" s="38">
        <f t="shared" si="385"/>
        <v>0</v>
      </c>
      <c r="CD385" s="38">
        <f t="shared" si="386"/>
        <v>1.834697623604866</v>
      </c>
      <c r="CE385" s="38">
        <f t="shared" si="387"/>
        <v>2.9263727449190475</v>
      </c>
      <c r="CF385" s="38">
        <f t="shared" si="388"/>
        <v>2.7252447137179248</v>
      </c>
      <c r="CG385" s="38">
        <f t="shared" si="389"/>
        <v>7.975081853458847</v>
      </c>
      <c r="CH385" s="15"/>
      <c r="CI385" s="16"/>
      <c r="CJ385" s="13"/>
      <c r="CK385" s="104"/>
      <c r="CL385" s="13"/>
      <c r="CM385" s="13"/>
      <c r="CN385" s="13"/>
      <c r="CO385" s="16"/>
      <c r="CP385" s="16"/>
      <c r="CQ385" s="16"/>
      <c r="CR385" s="16"/>
      <c r="CS385" s="16"/>
      <c r="CT385" s="16"/>
      <c r="CU385" s="16"/>
      <c r="CV385" s="16"/>
      <c r="CW385" s="16"/>
      <c r="CX385" s="16"/>
      <c r="CY385" s="104"/>
      <c r="CZ385" s="104"/>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3"/>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row>
    <row r="386" spans="1:167" x14ac:dyDescent="0.25">
      <c r="A386" s="35" t="s">
        <v>257</v>
      </c>
      <c r="B386" s="15">
        <v>1263</v>
      </c>
      <c r="C386" s="102" t="s">
        <v>101</v>
      </c>
      <c r="D386" s="102" t="s">
        <v>104</v>
      </c>
      <c r="E386" s="15">
        <v>96</v>
      </c>
      <c r="F386" s="16">
        <v>58.01</v>
      </c>
      <c r="G386" s="16">
        <v>0</v>
      </c>
      <c r="H386" s="16">
        <v>26.62</v>
      </c>
      <c r="I386" s="16">
        <v>0</v>
      </c>
      <c r="J386" s="16">
        <v>0.38333483307837668</v>
      </c>
      <c r="K386" s="16">
        <v>0</v>
      </c>
      <c r="L386" s="16">
        <v>0</v>
      </c>
      <c r="M386" s="16">
        <v>8.3000000000000007</v>
      </c>
      <c r="N386" s="16">
        <v>6.76</v>
      </c>
      <c r="O386" s="16">
        <v>0.74099999999999999</v>
      </c>
      <c r="P386" s="16">
        <v>0</v>
      </c>
      <c r="Q386" s="16"/>
      <c r="R386" s="16"/>
      <c r="S386" s="16">
        <f t="shared" si="335"/>
        <v>100.81433483307838</v>
      </c>
      <c r="T386" s="16"/>
      <c r="U386" s="15"/>
      <c r="V386" s="15"/>
      <c r="W386" s="15"/>
      <c r="X386" s="15" t="s">
        <v>185</v>
      </c>
      <c r="Y386" s="15"/>
      <c r="Z386" s="37">
        <v>8</v>
      </c>
      <c r="AA386" s="37">
        <v>5</v>
      </c>
      <c r="AB386" s="15"/>
      <c r="AC386" s="38">
        <f t="shared" si="336"/>
        <v>2.5880642519174009</v>
      </c>
      <c r="AD386" s="38">
        <f t="shared" si="337"/>
        <v>0</v>
      </c>
      <c r="AE386" s="38">
        <f t="shared" si="338"/>
        <v>1.3996206214068272</v>
      </c>
      <c r="AF386" s="38">
        <f t="shared" si="339"/>
        <v>0</v>
      </c>
      <c r="AG386" s="38">
        <f t="shared" si="340"/>
        <v>1.4300579110801124E-2</v>
      </c>
      <c r="AH386" s="38">
        <f t="shared" si="341"/>
        <v>0</v>
      </c>
      <c r="AI386" s="38">
        <f t="shared" si="342"/>
        <v>0</v>
      </c>
      <c r="AJ386" s="38">
        <f t="shared" si="343"/>
        <v>0.39670913400677227</v>
      </c>
      <c r="AK386" s="38">
        <f t="shared" si="344"/>
        <v>0.58469210848923114</v>
      </c>
      <c r="AL386" s="38">
        <f t="shared" si="345"/>
        <v>4.2169593385539467E-2</v>
      </c>
      <c r="AM386" s="38">
        <f t="shared" si="346"/>
        <v>0</v>
      </c>
      <c r="AN386" s="38">
        <f t="shared" si="347"/>
        <v>0</v>
      </c>
      <c r="AO386" s="38">
        <f t="shared" si="348"/>
        <v>0</v>
      </c>
      <c r="AP386" s="38">
        <f t="shared" si="349"/>
        <v>5.0255562883165723</v>
      </c>
      <c r="AQ386" s="38">
        <f t="shared" si="350"/>
        <v>3.9876848733242278</v>
      </c>
      <c r="AR386" s="38">
        <f t="shared" si="351"/>
        <v>1.023570835881543</v>
      </c>
      <c r="AS386" s="40"/>
      <c r="AT386" s="38">
        <f t="shared" si="352"/>
        <v>2.5749032579081246</v>
      </c>
      <c r="AU386" s="38">
        <f t="shared" si="353"/>
        <v>0</v>
      </c>
      <c r="AV386" s="38">
        <f t="shared" si="354"/>
        <v>1.3925031788626756</v>
      </c>
      <c r="AW386" s="38">
        <f t="shared" si="355"/>
        <v>0</v>
      </c>
      <c r="AX386" s="38">
        <f t="shared" si="356"/>
        <v>0</v>
      </c>
      <c r="AY386" s="38">
        <f t="shared" si="357"/>
        <v>1.4227856868350229E-2</v>
      </c>
      <c r="AZ386" s="38">
        <f t="shared" si="358"/>
        <v>0</v>
      </c>
      <c r="BA386" s="38">
        <f t="shared" si="359"/>
        <v>0</v>
      </c>
      <c r="BB386" s="38">
        <f t="shared" si="360"/>
        <v>0.39469176270997386</v>
      </c>
      <c r="BC386" s="38">
        <f t="shared" si="361"/>
        <v>0.58171879384629033</v>
      </c>
      <c r="BD386" s="38">
        <f t="shared" si="362"/>
        <v>4.1955149804585277E-2</v>
      </c>
      <c r="BE386" s="38">
        <f t="shared" si="363"/>
        <v>0</v>
      </c>
      <c r="BF386" s="38">
        <f t="shared" si="364"/>
        <v>0</v>
      </c>
      <c r="BG386" s="38">
        <f t="shared" si="365"/>
        <v>0</v>
      </c>
      <c r="BH386" s="41">
        <f t="shared" si="366"/>
        <v>5</v>
      </c>
      <c r="BI386" s="42">
        <f t="shared" si="367"/>
        <v>7.9664318039481996</v>
      </c>
      <c r="BJ386" s="38">
        <f t="shared" si="368"/>
        <v>3.9674064367708004</v>
      </c>
      <c r="BK386" s="38">
        <f t="shared" si="369"/>
        <v>1.0183657063608496</v>
      </c>
      <c r="BL386" s="16"/>
      <c r="BM386" s="16">
        <f t="shared" si="370"/>
        <v>0.38757369797969027</v>
      </c>
      <c r="BN386" s="16">
        <f t="shared" si="371"/>
        <v>0.57122779195410478</v>
      </c>
      <c r="BO386" s="16">
        <f t="shared" si="372"/>
        <v>4.1198510066204855E-2</v>
      </c>
      <c r="BP386" s="15"/>
      <c r="BQ386" s="38">
        <f t="shared" si="373"/>
        <v>0.9655459387483355</v>
      </c>
      <c r="BR386" s="38">
        <f t="shared" si="374"/>
        <v>0</v>
      </c>
      <c r="BS386" s="38">
        <f t="shared" si="375"/>
        <v>0.52216555511965479</v>
      </c>
      <c r="BT386" s="38">
        <f t="shared" si="376"/>
        <v>0</v>
      </c>
      <c r="BU386" s="38">
        <f t="shared" si="377"/>
        <v>5.3352099245424734E-3</v>
      </c>
      <c r="BV386" s="38">
        <f t="shared" si="378"/>
        <v>0</v>
      </c>
      <c r="BW386" s="38">
        <f t="shared" si="379"/>
        <v>0</v>
      </c>
      <c r="BX386" s="38">
        <f t="shared" si="380"/>
        <v>0.14800285306704708</v>
      </c>
      <c r="BY386" s="38">
        <f t="shared" si="381"/>
        <v>0.21813488222007099</v>
      </c>
      <c r="BZ386" s="38">
        <f t="shared" si="382"/>
        <v>1.5732484076433122E-2</v>
      </c>
      <c r="CA386" s="38">
        <f t="shared" si="383"/>
        <v>0</v>
      </c>
      <c r="CB386" s="38">
        <f t="shared" si="384"/>
        <v>0</v>
      </c>
      <c r="CC386" s="38">
        <f t="shared" si="385"/>
        <v>0</v>
      </c>
      <c r="CD386" s="38">
        <f t="shared" si="386"/>
        <v>1.874916923156084</v>
      </c>
      <c r="CE386" s="38">
        <f t="shared" si="387"/>
        <v>2.9846119563159945</v>
      </c>
      <c r="CF386" s="38">
        <f t="shared" si="388"/>
        <v>2.6667848256355824</v>
      </c>
      <c r="CG386" s="38">
        <f t="shared" si="389"/>
        <v>7.9593178755140235</v>
      </c>
      <c r="CH386" s="15"/>
      <c r="CI386" s="16"/>
      <c r="CJ386" s="13"/>
      <c r="CK386" s="104"/>
      <c r="CL386" s="13"/>
      <c r="CM386" s="13"/>
      <c r="CN386" s="13"/>
      <c r="CO386" s="16"/>
      <c r="CP386" s="16"/>
      <c r="CQ386" s="16"/>
      <c r="CR386" s="16"/>
      <c r="CS386" s="16"/>
      <c r="CT386" s="16"/>
      <c r="CU386" s="16"/>
      <c r="CV386" s="16"/>
      <c r="CW386" s="16"/>
      <c r="CX386" s="16"/>
      <c r="CY386" s="104"/>
      <c r="CZ386" s="104"/>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3"/>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row>
    <row r="387" spans="1:167" x14ac:dyDescent="0.25">
      <c r="A387" s="35" t="s">
        <v>257</v>
      </c>
      <c r="B387" s="15">
        <v>1264</v>
      </c>
      <c r="C387" s="102" t="s">
        <v>101</v>
      </c>
      <c r="D387" s="102" t="s">
        <v>104</v>
      </c>
      <c r="E387" s="15">
        <v>97</v>
      </c>
      <c r="F387" s="16">
        <v>54.47</v>
      </c>
      <c r="G387" s="16">
        <v>0</v>
      </c>
      <c r="H387" s="16">
        <v>27.57</v>
      </c>
      <c r="I387" s="16">
        <v>0</v>
      </c>
      <c r="J387" s="16">
        <v>0.37793575092234322</v>
      </c>
      <c r="K387" s="16">
        <v>0</v>
      </c>
      <c r="L387" s="16">
        <v>0</v>
      </c>
      <c r="M387" s="16">
        <v>10.36</v>
      </c>
      <c r="N387" s="16">
        <v>5.58</v>
      </c>
      <c r="O387" s="16">
        <v>0.45100000000000001</v>
      </c>
      <c r="P387" s="16">
        <v>0</v>
      </c>
      <c r="Q387" s="16"/>
      <c r="R387" s="16"/>
      <c r="S387" s="16">
        <f t="shared" si="335"/>
        <v>98.80893575092233</v>
      </c>
      <c r="T387" s="16"/>
      <c r="U387" s="15"/>
      <c r="V387" s="15"/>
      <c r="W387" s="15"/>
      <c r="X387" s="15" t="s">
        <v>185</v>
      </c>
      <c r="Y387" s="15"/>
      <c r="Z387" s="37">
        <v>8</v>
      </c>
      <c r="AA387" s="37">
        <v>5</v>
      </c>
      <c r="AB387" s="15"/>
      <c r="AC387" s="38">
        <f t="shared" si="336"/>
        <v>2.4930704472416094</v>
      </c>
      <c r="AD387" s="38">
        <f t="shared" si="337"/>
        <v>0</v>
      </c>
      <c r="AE387" s="38">
        <f t="shared" si="338"/>
        <v>1.4871132197781591</v>
      </c>
      <c r="AF387" s="38">
        <f t="shared" si="339"/>
        <v>0</v>
      </c>
      <c r="AG387" s="38">
        <f t="shared" si="340"/>
        <v>1.4464329379616758E-2</v>
      </c>
      <c r="AH387" s="38">
        <f t="shared" si="341"/>
        <v>0</v>
      </c>
      <c r="AI387" s="38">
        <f t="shared" si="342"/>
        <v>0</v>
      </c>
      <c r="AJ387" s="38">
        <f t="shared" si="343"/>
        <v>0.50799431232679293</v>
      </c>
      <c r="AK387" s="38">
        <f t="shared" si="344"/>
        <v>0.49513054833013431</v>
      </c>
      <c r="AL387" s="38">
        <f t="shared" si="345"/>
        <v>2.6330719956131766E-2</v>
      </c>
      <c r="AM387" s="38">
        <f t="shared" si="346"/>
        <v>0</v>
      </c>
      <c r="AN387" s="38">
        <f t="shared" si="347"/>
        <v>0</v>
      </c>
      <c r="AO387" s="38">
        <f t="shared" si="348"/>
        <v>0</v>
      </c>
      <c r="AP387" s="38">
        <f t="shared" si="349"/>
        <v>5.0241035770124451</v>
      </c>
      <c r="AQ387" s="38">
        <f t="shared" si="350"/>
        <v>3.9801836670197686</v>
      </c>
      <c r="AR387" s="38">
        <f t="shared" si="351"/>
        <v>1.029455580613059</v>
      </c>
      <c r="AS387" s="40"/>
      <c r="AT387" s="38">
        <f t="shared" si="352"/>
        <v>2.4811097233828332</v>
      </c>
      <c r="AU387" s="38">
        <f t="shared" si="353"/>
        <v>0</v>
      </c>
      <c r="AV387" s="38">
        <f t="shared" si="354"/>
        <v>1.4799786638380403</v>
      </c>
      <c r="AW387" s="38">
        <f t="shared" si="355"/>
        <v>0</v>
      </c>
      <c r="AX387" s="38">
        <f t="shared" si="356"/>
        <v>0</v>
      </c>
      <c r="AY387" s="38">
        <f t="shared" si="357"/>
        <v>1.4394935492370853E-2</v>
      </c>
      <c r="AZ387" s="38">
        <f t="shared" si="358"/>
        <v>0</v>
      </c>
      <c r="BA387" s="38">
        <f t="shared" si="359"/>
        <v>0</v>
      </c>
      <c r="BB387" s="38">
        <f t="shared" si="360"/>
        <v>0.50555716511408888</v>
      </c>
      <c r="BC387" s="38">
        <f t="shared" si="361"/>
        <v>0.49275511615204498</v>
      </c>
      <c r="BD387" s="38">
        <f t="shared" si="362"/>
        <v>2.6204396020622238E-2</v>
      </c>
      <c r="BE387" s="38">
        <f t="shared" si="363"/>
        <v>0</v>
      </c>
      <c r="BF387" s="38">
        <f t="shared" si="364"/>
        <v>0</v>
      </c>
      <c r="BG387" s="38">
        <f t="shared" si="365"/>
        <v>0</v>
      </c>
      <c r="BH387" s="41">
        <f t="shared" si="366"/>
        <v>5.0000000000000009</v>
      </c>
      <c r="BI387" s="42">
        <f t="shared" si="367"/>
        <v>7.968816766961706</v>
      </c>
      <c r="BJ387" s="38">
        <f t="shared" si="368"/>
        <v>3.9610883872208733</v>
      </c>
      <c r="BK387" s="38">
        <f t="shared" si="369"/>
        <v>1.024516677286756</v>
      </c>
      <c r="BL387" s="16"/>
      <c r="BM387" s="16">
        <f t="shared" si="370"/>
        <v>0.49345918550878448</v>
      </c>
      <c r="BN387" s="16">
        <f t="shared" si="371"/>
        <v>0.48096348949342266</v>
      </c>
      <c r="BO387" s="16">
        <f t="shared" si="372"/>
        <v>2.5577324997792871E-2</v>
      </c>
      <c r="BP387" s="15"/>
      <c r="BQ387" s="38">
        <f t="shared" si="373"/>
        <v>0.90662450066577893</v>
      </c>
      <c r="BR387" s="38">
        <f t="shared" si="374"/>
        <v>0</v>
      </c>
      <c r="BS387" s="38">
        <f t="shared" si="375"/>
        <v>0.54080031384856808</v>
      </c>
      <c r="BT387" s="38">
        <f t="shared" si="376"/>
        <v>0</v>
      </c>
      <c r="BU387" s="38">
        <f t="shared" si="377"/>
        <v>5.260066122788354E-3</v>
      </c>
      <c r="BV387" s="38">
        <f t="shared" si="378"/>
        <v>0</v>
      </c>
      <c r="BW387" s="38">
        <f t="shared" si="379"/>
        <v>0</v>
      </c>
      <c r="BX387" s="38">
        <f t="shared" si="380"/>
        <v>0.1847360912981455</v>
      </c>
      <c r="BY387" s="38">
        <f t="shared" si="381"/>
        <v>0.18005808325266215</v>
      </c>
      <c r="BZ387" s="38">
        <f t="shared" si="382"/>
        <v>9.5753715498938432E-3</v>
      </c>
      <c r="CA387" s="38">
        <f t="shared" si="383"/>
        <v>0</v>
      </c>
      <c r="CB387" s="38">
        <f t="shared" si="384"/>
        <v>0</v>
      </c>
      <c r="CC387" s="38">
        <f t="shared" si="385"/>
        <v>0</v>
      </c>
      <c r="CD387" s="38">
        <f t="shared" si="386"/>
        <v>1.8270544267378368</v>
      </c>
      <c r="CE387" s="38">
        <f t="shared" si="387"/>
        <v>2.9092623569266221</v>
      </c>
      <c r="CF387" s="38">
        <f t="shared" si="388"/>
        <v>2.7366453493820564</v>
      </c>
      <c r="CG387" s="38">
        <f t="shared" si="389"/>
        <v>7.9616192992155206</v>
      </c>
      <c r="CH387" s="15"/>
      <c r="CI387" s="16"/>
      <c r="CJ387" s="13"/>
      <c r="CK387" s="104"/>
      <c r="CL387" s="13"/>
      <c r="CM387" s="13"/>
      <c r="CN387" s="13"/>
      <c r="CO387" s="16"/>
      <c r="CP387" s="16"/>
      <c r="CQ387" s="16"/>
      <c r="CR387" s="16"/>
      <c r="CS387" s="16"/>
      <c r="CT387" s="16"/>
      <c r="CU387" s="16"/>
      <c r="CV387" s="16"/>
      <c r="CW387" s="16"/>
      <c r="CX387" s="16"/>
      <c r="CY387" s="104"/>
      <c r="CZ387" s="104"/>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3"/>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row>
    <row r="388" spans="1:167" x14ac:dyDescent="0.25">
      <c r="A388" s="35" t="s">
        <v>257</v>
      </c>
      <c r="B388" s="15">
        <v>1265</v>
      </c>
      <c r="C388" s="102" t="s">
        <v>101</v>
      </c>
      <c r="D388" s="102" t="s">
        <v>104</v>
      </c>
      <c r="E388" s="15">
        <v>98</v>
      </c>
      <c r="F388" s="16">
        <v>55.85</v>
      </c>
      <c r="G388" s="16">
        <v>0</v>
      </c>
      <c r="H388" s="16">
        <v>27.41</v>
      </c>
      <c r="I388" s="16">
        <v>0</v>
      </c>
      <c r="J388" s="16">
        <v>0.3959326914424548</v>
      </c>
      <c r="K388" s="16">
        <v>0</v>
      </c>
      <c r="L388" s="16">
        <v>0</v>
      </c>
      <c r="M388" s="16">
        <v>9.82</v>
      </c>
      <c r="N388" s="16">
        <v>5.97</v>
      </c>
      <c r="O388" s="16">
        <v>0.49399999999999999</v>
      </c>
      <c r="P388" s="16">
        <v>0</v>
      </c>
      <c r="Q388" s="16"/>
      <c r="R388" s="16"/>
      <c r="S388" s="16">
        <f t="shared" si="335"/>
        <v>99.939932691442465</v>
      </c>
      <c r="T388" s="16"/>
      <c r="U388" s="15"/>
      <c r="V388" s="15"/>
      <c r="W388" s="15"/>
      <c r="X388" s="15" t="s">
        <v>185</v>
      </c>
      <c r="Y388" s="15"/>
      <c r="Z388" s="37">
        <v>8</v>
      </c>
      <c r="AA388" s="37">
        <v>5</v>
      </c>
      <c r="AB388" s="15"/>
      <c r="AC388" s="38">
        <f t="shared" si="336"/>
        <v>2.5227595476876168</v>
      </c>
      <c r="AD388" s="38">
        <f t="shared" si="337"/>
        <v>0</v>
      </c>
      <c r="AE388" s="38">
        <f t="shared" si="338"/>
        <v>1.4591226848182863</v>
      </c>
      <c r="AF388" s="38">
        <f t="shared" si="339"/>
        <v>0</v>
      </c>
      <c r="AG388" s="38">
        <f t="shared" si="340"/>
        <v>1.4954682419392519E-2</v>
      </c>
      <c r="AH388" s="38">
        <f t="shared" si="341"/>
        <v>0</v>
      </c>
      <c r="AI388" s="38">
        <f t="shared" si="342"/>
        <v>0</v>
      </c>
      <c r="AJ388" s="38">
        <f t="shared" si="343"/>
        <v>0.47521056547884893</v>
      </c>
      <c r="AK388" s="38">
        <f t="shared" si="344"/>
        <v>0.52279973638747357</v>
      </c>
      <c r="AL388" s="38">
        <f t="shared" si="345"/>
        <v>2.8463522610718189E-2</v>
      </c>
      <c r="AM388" s="38">
        <f t="shared" si="346"/>
        <v>0</v>
      </c>
      <c r="AN388" s="38">
        <f t="shared" si="347"/>
        <v>0</v>
      </c>
      <c r="AO388" s="38">
        <f t="shared" si="348"/>
        <v>0</v>
      </c>
      <c r="AP388" s="38">
        <f t="shared" si="349"/>
        <v>5.0233107394023371</v>
      </c>
      <c r="AQ388" s="38">
        <f t="shared" si="350"/>
        <v>3.9818822325059031</v>
      </c>
      <c r="AR388" s="38">
        <f t="shared" si="351"/>
        <v>1.0264738244770406</v>
      </c>
      <c r="AS388" s="40"/>
      <c r="AT388" s="38">
        <f t="shared" si="352"/>
        <v>2.5110526489027927</v>
      </c>
      <c r="AU388" s="38">
        <f t="shared" si="353"/>
        <v>0</v>
      </c>
      <c r="AV388" s="38">
        <f t="shared" si="354"/>
        <v>1.4523516068527047</v>
      </c>
      <c r="AW388" s="38">
        <f t="shared" si="355"/>
        <v>0</v>
      </c>
      <c r="AX388" s="38">
        <f t="shared" si="356"/>
        <v>0</v>
      </c>
      <c r="AY388" s="38">
        <f t="shared" si="357"/>
        <v>1.4885285019389221E-2</v>
      </c>
      <c r="AZ388" s="38">
        <f t="shared" si="358"/>
        <v>0</v>
      </c>
      <c r="BA388" s="38">
        <f t="shared" si="359"/>
        <v>0</v>
      </c>
      <c r="BB388" s="38">
        <f t="shared" si="360"/>
        <v>0.47300534461400701</v>
      </c>
      <c r="BC388" s="38">
        <f t="shared" si="361"/>
        <v>0.52037367735056261</v>
      </c>
      <c r="BD388" s="38">
        <f t="shared" si="362"/>
        <v>2.8331437260543352E-2</v>
      </c>
      <c r="BE388" s="38">
        <f t="shared" si="363"/>
        <v>0</v>
      </c>
      <c r="BF388" s="38">
        <f t="shared" si="364"/>
        <v>0</v>
      </c>
      <c r="BG388" s="38">
        <f t="shared" si="365"/>
        <v>0</v>
      </c>
      <c r="BH388" s="41">
        <f t="shared" si="366"/>
        <v>4.9999999999999991</v>
      </c>
      <c r="BI388" s="42">
        <f t="shared" si="367"/>
        <v>7.9703185375332861</v>
      </c>
      <c r="BJ388" s="38">
        <f t="shared" si="368"/>
        <v>3.9634042557554974</v>
      </c>
      <c r="BK388" s="38">
        <f t="shared" si="369"/>
        <v>1.0217104592251129</v>
      </c>
      <c r="BL388" s="16"/>
      <c r="BM388" s="16">
        <f t="shared" si="370"/>
        <v>0.46295439215993189</v>
      </c>
      <c r="BN388" s="16">
        <f t="shared" si="371"/>
        <v>0.50931618899666076</v>
      </c>
      <c r="BO388" s="16">
        <f t="shared" si="372"/>
        <v>2.7729418843407478E-2</v>
      </c>
      <c r="BP388" s="15"/>
      <c r="BQ388" s="38">
        <f t="shared" si="373"/>
        <v>0.92959387483355527</v>
      </c>
      <c r="BR388" s="38">
        <f t="shared" si="374"/>
        <v>0</v>
      </c>
      <c r="BS388" s="38">
        <f t="shared" si="375"/>
        <v>0.53766182816790897</v>
      </c>
      <c r="BT388" s="38">
        <f t="shared" si="376"/>
        <v>0</v>
      </c>
      <c r="BU388" s="38">
        <f t="shared" si="377"/>
        <v>5.5105454619687518E-3</v>
      </c>
      <c r="BV388" s="38">
        <f t="shared" si="378"/>
        <v>0</v>
      </c>
      <c r="BW388" s="38">
        <f t="shared" si="379"/>
        <v>0</v>
      </c>
      <c r="BX388" s="38">
        <f t="shared" si="380"/>
        <v>0.17510699001426536</v>
      </c>
      <c r="BY388" s="38">
        <f t="shared" si="381"/>
        <v>0.19264278799612777</v>
      </c>
      <c r="BZ388" s="38">
        <f t="shared" si="382"/>
        <v>1.0488322717622079E-2</v>
      </c>
      <c r="CA388" s="38">
        <f t="shared" si="383"/>
        <v>0</v>
      </c>
      <c r="CB388" s="38">
        <f t="shared" si="384"/>
        <v>0</v>
      </c>
      <c r="CC388" s="38">
        <f t="shared" si="385"/>
        <v>0</v>
      </c>
      <c r="CD388" s="38">
        <f t="shared" si="386"/>
        <v>1.8510043491914483</v>
      </c>
      <c r="CE388" s="38">
        <f t="shared" si="387"/>
        <v>2.9478635827520829</v>
      </c>
      <c r="CF388" s="38">
        <f t="shared" si="388"/>
        <v>2.7012362246388504</v>
      </c>
      <c r="CG388" s="38">
        <f t="shared" si="389"/>
        <v>7.9628758950235916</v>
      </c>
      <c r="CH388" s="15"/>
      <c r="CI388" s="16"/>
      <c r="CJ388" s="13"/>
      <c r="CK388" s="104"/>
      <c r="CL388" s="13"/>
      <c r="CM388" s="13"/>
      <c r="CN388" s="13"/>
      <c r="CO388" s="16"/>
      <c r="CP388" s="16"/>
      <c r="CQ388" s="16"/>
      <c r="CR388" s="16"/>
      <c r="CS388" s="16"/>
      <c r="CT388" s="16"/>
      <c r="CU388" s="16"/>
      <c r="CV388" s="16"/>
      <c r="CW388" s="16"/>
      <c r="CX388" s="16"/>
      <c r="CY388" s="104"/>
      <c r="CZ388" s="104"/>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3"/>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row>
    <row r="389" spans="1:167" x14ac:dyDescent="0.25">
      <c r="A389" s="35" t="s">
        <v>256</v>
      </c>
      <c r="B389" s="15">
        <v>1266</v>
      </c>
      <c r="C389" s="102" t="s">
        <v>99</v>
      </c>
      <c r="D389" s="102" t="s">
        <v>105</v>
      </c>
      <c r="E389" s="15">
        <v>99</v>
      </c>
      <c r="F389" s="16">
        <v>64.31</v>
      </c>
      <c r="G389" s="16">
        <v>0</v>
      </c>
      <c r="H389" s="16">
        <v>22.46</v>
      </c>
      <c r="I389" s="16">
        <v>0</v>
      </c>
      <c r="J389" s="16">
        <v>0.35184018716818144</v>
      </c>
      <c r="K389" s="16">
        <v>0</v>
      </c>
      <c r="L389" s="16">
        <v>0</v>
      </c>
      <c r="M389" s="16">
        <v>3.64</v>
      </c>
      <c r="N389" s="16">
        <v>9.58</v>
      </c>
      <c r="O389" s="16">
        <v>0.85499999999999998</v>
      </c>
      <c r="P389" s="16">
        <v>0</v>
      </c>
      <c r="Q389" s="16"/>
      <c r="R389" s="16"/>
      <c r="S389" s="16">
        <f t="shared" si="335"/>
        <v>101.19684018716819</v>
      </c>
      <c r="T389" s="16"/>
      <c r="U389" s="15"/>
      <c r="V389" s="15"/>
      <c r="W389" s="15"/>
      <c r="X389" s="15" t="s">
        <v>252</v>
      </c>
      <c r="Y389" s="15" t="s">
        <v>260</v>
      </c>
      <c r="Z389" s="37">
        <v>8</v>
      </c>
      <c r="AA389" s="37">
        <v>5</v>
      </c>
      <c r="AB389" s="15"/>
      <c r="AC389" s="38">
        <f t="shared" si="336"/>
        <v>2.8214001121495444</v>
      </c>
      <c r="AD389" s="38">
        <f t="shared" si="337"/>
        <v>0</v>
      </c>
      <c r="AE389" s="38">
        <f t="shared" si="338"/>
        <v>1.161250768670411</v>
      </c>
      <c r="AF389" s="38">
        <f t="shared" si="339"/>
        <v>0</v>
      </c>
      <c r="AG389" s="38">
        <f t="shared" si="340"/>
        <v>1.290728097702299E-2</v>
      </c>
      <c r="AH389" s="38">
        <f t="shared" si="341"/>
        <v>0</v>
      </c>
      <c r="AI389" s="38">
        <f t="shared" si="342"/>
        <v>0</v>
      </c>
      <c r="AJ389" s="38">
        <f t="shared" si="343"/>
        <v>0.17108403022397711</v>
      </c>
      <c r="AK389" s="38">
        <f t="shared" si="344"/>
        <v>0.81481689711430216</v>
      </c>
      <c r="AL389" s="38">
        <f t="shared" si="345"/>
        <v>4.7847725874287483E-2</v>
      </c>
      <c r="AM389" s="38">
        <f t="shared" si="346"/>
        <v>0</v>
      </c>
      <c r="AN389" s="38">
        <f t="shared" si="347"/>
        <v>0</v>
      </c>
      <c r="AO389" s="38">
        <f t="shared" si="348"/>
        <v>0</v>
      </c>
      <c r="AP389" s="38">
        <f t="shared" si="349"/>
        <v>5.0293068150095452</v>
      </c>
      <c r="AQ389" s="38">
        <f t="shared" si="350"/>
        <v>3.9826508808199552</v>
      </c>
      <c r="AR389" s="38">
        <f t="shared" si="351"/>
        <v>1.0337486532125668</v>
      </c>
      <c r="AS389" s="40"/>
      <c r="AT389" s="38">
        <f t="shared" si="352"/>
        <v>2.8049592279092139</v>
      </c>
      <c r="AU389" s="38">
        <f t="shared" si="353"/>
        <v>0</v>
      </c>
      <c r="AV389" s="38">
        <f t="shared" si="354"/>
        <v>1.1544839193392966</v>
      </c>
      <c r="AW389" s="38">
        <f t="shared" si="355"/>
        <v>0</v>
      </c>
      <c r="AX389" s="38">
        <f t="shared" si="356"/>
        <v>0</v>
      </c>
      <c r="AY389" s="38">
        <f t="shared" si="357"/>
        <v>1.2832067570924774E-2</v>
      </c>
      <c r="AZ389" s="38">
        <f t="shared" si="358"/>
        <v>0</v>
      </c>
      <c r="BA389" s="38">
        <f t="shared" si="359"/>
        <v>0</v>
      </c>
      <c r="BB389" s="38">
        <f t="shared" si="360"/>
        <v>0.17008708805892603</v>
      </c>
      <c r="BC389" s="38">
        <f t="shared" si="361"/>
        <v>0.81006878988029651</v>
      </c>
      <c r="BD389" s="38">
        <f t="shared" si="362"/>
        <v>4.7568907241341829E-2</v>
      </c>
      <c r="BE389" s="38">
        <f t="shared" si="363"/>
        <v>0</v>
      </c>
      <c r="BF389" s="38">
        <f t="shared" si="364"/>
        <v>0</v>
      </c>
      <c r="BG389" s="38">
        <f t="shared" si="365"/>
        <v>0</v>
      </c>
      <c r="BH389" s="41">
        <f t="shared" si="366"/>
        <v>4.9999999999999991</v>
      </c>
      <c r="BI389" s="42">
        <f t="shared" si="367"/>
        <v>7.9597983728035056</v>
      </c>
      <c r="BJ389" s="38">
        <f t="shared" si="368"/>
        <v>3.9594431472485105</v>
      </c>
      <c r="BK389" s="38">
        <f t="shared" si="369"/>
        <v>1.0277247851805644</v>
      </c>
      <c r="BL389" s="16"/>
      <c r="BM389" s="16">
        <f t="shared" si="370"/>
        <v>0.16549867290496734</v>
      </c>
      <c r="BN389" s="16">
        <f t="shared" si="371"/>
        <v>0.78821567949047056</v>
      </c>
      <c r="BO389" s="16">
        <f t="shared" si="372"/>
        <v>4.6285647604562045E-2</v>
      </c>
      <c r="BP389" s="15"/>
      <c r="BQ389" s="38">
        <f t="shared" si="373"/>
        <v>1.0704061251664447</v>
      </c>
      <c r="BR389" s="38">
        <f t="shared" si="374"/>
        <v>0</v>
      </c>
      <c r="BS389" s="38">
        <f t="shared" si="375"/>
        <v>0.44056492742251868</v>
      </c>
      <c r="BT389" s="38">
        <f t="shared" si="376"/>
        <v>0</v>
      </c>
      <c r="BU389" s="38">
        <f t="shared" si="377"/>
        <v>4.8968710809767779E-3</v>
      </c>
      <c r="BV389" s="38">
        <f t="shared" si="378"/>
        <v>0</v>
      </c>
      <c r="BW389" s="38">
        <f t="shared" si="379"/>
        <v>0</v>
      </c>
      <c r="BX389" s="38">
        <f t="shared" si="380"/>
        <v>6.4907275320970043E-2</v>
      </c>
      <c r="BY389" s="38">
        <f t="shared" si="381"/>
        <v>0.30913197805743792</v>
      </c>
      <c r="BZ389" s="38">
        <f t="shared" si="382"/>
        <v>1.8152866242038216E-2</v>
      </c>
      <c r="CA389" s="38">
        <f t="shared" si="383"/>
        <v>0</v>
      </c>
      <c r="CB389" s="38">
        <f t="shared" si="384"/>
        <v>0</v>
      </c>
      <c r="CC389" s="38">
        <f t="shared" si="385"/>
        <v>0</v>
      </c>
      <c r="CD389" s="38">
        <f t="shared" si="386"/>
        <v>1.9080600432903865</v>
      </c>
      <c r="CE389" s="38">
        <f t="shared" si="387"/>
        <v>3.0351062100183519</v>
      </c>
      <c r="CF389" s="38">
        <f t="shared" si="388"/>
        <v>2.6204626094353221</v>
      </c>
      <c r="CG389" s="38">
        <f t="shared" si="389"/>
        <v>7.9533823390180407</v>
      </c>
      <c r="CH389" s="15"/>
      <c r="CI389" s="16"/>
      <c r="CJ389" s="13"/>
      <c r="CK389" s="104"/>
      <c r="CL389" s="13"/>
      <c r="CM389" s="13"/>
      <c r="CN389" s="13"/>
      <c r="CO389" s="16"/>
      <c r="CP389" s="16"/>
      <c r="CQ389" s="16"/>
      <c r="CR389" s="16"/>
      <c r="CS389" s="16"/>
      <c r="CT389" s="16"/>
      <c r="CU389" s="16"/>
      <c r="CV389" s="16"/>
      <c r="CW389" s="16"/>
      <c r="CX389" s="16"/>
      <c r="CY389" s="104"/>
      <c r="CZ389" s="104"/>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3"/>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row>
    <row r="390" spans="1:167" x14ac:dyDescent="0.25">
      <c r="A390" s="35" t="s">
        <v>256</v>
      </c>
      <c r="B390" s="15">
        <v>1267</v>
      </c>
      <c r="C390" s="102" t="s">
        <v>99</v>
      </c>
      <c r="D390" s="102" t="s">
        <v>105</v>
      </c>
      <c r="E390" s="15">
        <v>100</v>
      </c>
      <c r="F390" s="16">
        <v>63.39</v>
      </c>
      <c r="G390" s="16">
        <v>0</v>
      </c>
      <c r="H390" s="16">
        <v>22.82</v>
      </c>
      <c r="I390" s="16">
        <v>0</v>
      </c>
      <c r="J390" s="16">
        <v>0.31044722397192476</v>
      </c>
      <c r="K390" s="16">
        <v>0</v>
      </c>
      <c r="L390" s="16">
        <v>0</v>
      </c>
      <c r="M390" s="16">
        <v>4.17</v>
      </c>
      <c r="N390" s="16">
        <v>9.4</v>
      </c>
      <c r="O390" s="16">
        <v>0.61499999999999999</v>
      </c>
      <c r="P390" s="16">
        <v>0</v>
      </c>
      <c r="Q390" s="16"/>
      <c r="R390" s="16"/>
      <c r="S390" s="16">
        <f t="shared" si="335"/>
        <v>100.70544722397193</v>
      </c>
      <c r="T390" s="16"/>
      <c r="U390" s="15"/>
      <c r="V390" s="15"/>
      <c r="W390" s="15"/>
      <c r="X390" s="15" t="s">
        <v>252</v>
      </c>
      <c r="Y390" s="15" t="s">
        <v>260</v>
      </c>
      <c r="Z390" s="37">
        <v>8</v>
      </c>
      <c r="AA390" s="37">
        <v>5</v>
      </c>
      <c r="AB390" s="15"/>
      <c r="AC390" s="38">
        <f t="shared" si="336"/>
        <v>2.7963419618827601</v>
      </c>
      <c r="AD390" s="38">
        <f t="shared" si="337"/>
        <v>0</v>
      </c>
      <c r="AE390" s="38">
        <f t="shared" si="338"/>
        <v>1.1863566279794366</v>
      </c>
      <c r="AF390" s="38">
        <f t="shared" si="339"/>
        <v>0</v>
      </c>
      <c r="AG390" s="38">
        <f t="shared" si="340"/>
        <v>1.1451449447771309E-2</v>
      </c>
      <c r="AH390" s="38">
        <f t="shared" si="341"/>
        <v>0</v>
      </c>
      <c r="AI390" s="38">
        <f t="shared" si="342"/>
        <v>0</v>
      </c>
      <c r="AJ390" s="38">
        <f t="shared" si="343"/>
        <v>0.19707316980000811</v>
      </c>
      <c r="AK390" s="38">
        <f t="shared" si="344"/>
        <v>0.80390685017456609</v>
      </c>
      <c r="AL390" s="38">
        <f t="shared" si="345"/>
        <v>3.4606179860526554E-2</v>
      </c>
      <c r="AM390" s="38">
        <f t="shared" si="346"/>
        <v>0</v>
      </c>
      <c r="AN390" s="38">
        <f t="shared" si="347"/>
        <v>0</v>
      </c>
      <c r="AO390" s="38">
        <f t="shared" si="348"/>
        <v>0</v>
      </c>
      <c r="AP390" s="38">
        <f t="shared" si="349"/>
        <v>5.029736239145068</v>
      </c>
      <c r="AQ390" s="38">
        <f t="shared" si="350"/>
        <v>3.9826985898621965</v>
      </c>
      <c r="AR390" s="38">
        <f t="shared" si="351"/>
        <v>1.0355861998351008</v>
      </c>
      <c r="AS390" s="40"/>
      <c r="AT390" s="38">
        <f t="shared" si="352"/>
        <v>2.7798097444152154</v>
      </c>
      <c r="AU390" s="38">
        <f t="shared" si="353"/>
        <v>0</v>
      </c>
      <c r="AV390" s="38">
        <f t="shared" si="354"/>
        <v>1.1793427841666386</v>
      </c>
      <c r="AW390" s="38">
        <f t="shared" si="355"/>
        <v>0</v>
      </c>
      <c r="AX390" s="38">
        <f t="shared" si="356"/>
        <v>0</v>
      </c>
      <c r="AY390" s="38">
        <f t="shared" si="357"/>
        <v>1.1383747480283153E-2</v>
      </c>
      <c r="AZ390" s="38">
        <f t="shared" si="358"/>
        <v>0</v>
      </c>
      <c r="BA390" s="38">
        <f t="shared" si="359"/>
        <v>0</v>
      </c>
      <c r="BB390" s="38">
        <f t="shared" si="360"/>
        <v>0.1959080560390436</v>
      </c>
      <c r="BC390" s="38">
        <f t="shared" si="361"/>
        <v>0.79915408279064193</v>
      </c>
      <c r="BD390" s="38">
        <f t="shared" si="362"/>
        <v>3.440158510817732E-2</v>
      </c>
      <c r="BE390" s="38">
        <f t="shared" si="363"/>
        <v>0</v>
      </c>
      <c r="BF390" s="38">
        <f t="shared" si="364"/>
        <v>0</v>
      </c>
      <c r="BG390" s="38">
        <f t="shared" si="365"/>
        <v>0</v>
      </c>
      <c r="BH390" s="41">
        <f t="shared" si="366"/>
        <v>5</v>
      </c>
      <c r="BI390" s="42">
        <f t="shared" si="367"/>
        <v>7.9583951762892671</v>
      </c>
      <c r="BJ390" s="38">
        <f t="shared" si="368"/>
        <v>3.9591525285818543</v>
      </c>
      <c r="BK390" s="38">
        <f t="shared" si="369"/>
        <v>1.0294637239378628</v>
      </c>
      <c r="BL390" s="16"/>
      <c r="BM390" s="16">
        <f t="shared" si="370"/>
        <v>0.19030107762288509</v>
      </c>
      <c r="BN390" s="16">
        <f t="shared" si="371"/>
        <v>0.77628192641286098</v>
      </c>
      <c r="BO390" s="16">
        <f t="shared" si="372"/>
        <v>3.3416995964253855E-2</v>
      </c>
      <c r="BP390" s="15"/>
      <c r="BQ390" s="38">
        <f t="shared" si="373"/>
        <v>1.0550932090545939</v>
      </c>
      <c r="BR390" s="38">
        <f t="shared" si="374"/>
        <v>0</v>
      </c>
      <c r="BS390" s="38">
        <f t="shared" si="375"/>
        <v>0.44762652020400162</v>
      </c>
      <c r="BT390" s="38">
        <f t="shared" si="376"/>
        <v>0</v>
      </c>
      <c r="BU390" s="38">
        <f t="shared" si="377"/>
        <v>4.320768600861862E-3</v>
      </c>
      <c r="BV390" s="38">
        <f t="shared" si="378"/>
        <v>0</v>
      </c>
      <c r="BW390" s="38">
        <f t="shared" si="379"/>
        <v>0</v>
      </c>
      <c r="BX390" s="38">
        <f t="shared" si="380"/>
        <v>7.4358059914407984E-2</v>
      </c>
      <c r="BY390" s="38">
        <f t="shared" si="381"/>
        <v>0.30332365279122298</v>
      </c>
      <c r="BZ390" s="38">
        <f t="shared" si="382"/>
        <v>1.305732484076433E-2</v>
      </c>
      <c r="CA390" s="38">
        <f t="shared" si="383"/>
        <v>0</v>
      </c>
      <c r="CB390" s="38">
        <f t="shared" si="384"/>
        <v>0</v>
      </c>
      <c r="CC390" s="38">
        <f t="shared" si="385"/>
        <v>0</v>
      </c>
      <c r="CD390" s="38">
        <f t="shared" si="386"/>
        <v>1.8977795354058529</v>
      </c>
      <c r="CE390" s="38">
        <f t="shared" si="387"/>
        <v>3.0184955157464537</v>
      </c>
      <c r="CF390" s="38">
        <f t="shared" si="388"/>
        <v>2.6346579814555313</v>
      </c>
      <c r="CG390" s="38">
        <f t="shared" si="389"/>
        <v>7.9527033025491249</v>
      </c>
      <c r="CH390" s="15"/>
      <c r="CI390" s="16"/>
      <c r="CJ390" s="13"/>
      <c r="CK390" s="104"/>
      <c r="CL390" s="13"/>
      <c r="CM390" s="13"/>
      <c r="CN390" s="13"/>
      <c r="CO390" s="16"/>
      <c r="CP390" s="16"/>
      <c r="CQ390" s="16"/>
      <c r="CR390" s="16"/>
      <c r="CS390" s="16"/>
      <c r="CT390" s="16"/>
      <c r="CU390" s="16"/>
      <c r="CV390" s="16"/>
      <c r="CW390" s="16"/>
      <c r="CX390" s="16"/>
      <c r="CY390" s="104"/>
      <c r="CZ390" s="104"/>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3"/>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row>
    <row r="391" spans="1:167" x14ac:dyDescent="0.25">
      <c r="A391" s="35" t="s">
        <v>256</v>
      </c>
      <c r="B391" s="15">
        <v>1268</v>
      </c>
      <c r="C391" s="102" t="s">
        <v>99</v>
      </c>
      <c r="D391" s="102" t="s">
        <v>105</v>
      </c>
      <c r="E391" s="15">
        <v>101</v>
      </c>
      <c r="F391" s="16">
        <v>63.8</v>
      </c>
      <c r="G391" s="16">
        <v>0</v>
      </c>
      <c r="H391" s="16">
        <v>21.77</v>
      </c>
      <c r="I391" s="16">
        <v>0</v>
      </c>
      <c r="J391" s="16">
        <v>0.56690362638351488</v>
      </c>
      <c r="K391" s="16">
        <v>0</v>
      </c>
      <c r="L391" s="16">
        <v>0</v>
      </c>
      <c r="M391" s="16">
        <v>3.43</v>
      </c>
      <c r="N391" s="16">
        <v>9.6300000000000008</v>
      </c>
      <c r="O391" s="16">
        <v>1.018</v>
      </c>
      <c r="P391" s="16">
        <v>0</v>
      </c>
      <c r="Q391" s="16"/>
      <c r="R391" s="16"/>
      <c r="S391" s="16">
        <f t="shared" si="335"/>
        <v>100.21490362638352</v>
      </c>
      <c r="T391" s="16"/>
      <c r="U391" s="15"/>
      <c r="V391" s="15"/>
      <c r="W391" s="15"/>
      <c r="X391" s="15" t="s">
        <v>252</v>
      </c>
      <c r="Y391" s="15" t="s">
        <v>260</v>
      </c>
      <c r="Z391" s="37">
        <v>8</v>
      </c>
      <c r="AA391" s="37">
        <v>5</v>
      </c>
      <c r="AB391" s="15"/>
      <c r="AC391" s="38">
        <f t="shared" si="336"/>
        <v>2.8321457456703452</v>
      </c>
      <c r="AD391" s="38">
        <f t="shared" si="337"/>
        <v>0</v>
      </c>
      <c r="AE391" s="38">
        <f t="shared" si="338"/>
        <v>1.1388943595882042</v>
      </c>
      <c r="AF391" s="38">
        <f t="shared" si="339"/>
        <v>0</v>
      </c>
      <c r="AG391" s="38">
        <f t="shared" si="340"/>
        <v>2.1042983120861582E-2</v>
      </c>
      <c r="AH391" s="38">
        <f t="shared" si="341"/>
        <v>0</v>
      </c>
      <c r="AI391" s="38">
        <f t="shared" si="342"/>
        <v>0</v>
      </c>
      <c r="AJ391" s="38">
        <f t="shared" si="343"/>
        <v>0.16312140718464471</v>
      </c>
      <c r="AK391" s="38">
        <f t="shared" si="344"/>
        <v>0.82876147575706482</v>
      </c>
      <c r="AL391" s="38">
        <f t="shared" si="345"/>
        <v>5.7643682185928712E-2</v>
      </c>
      <c r="AM391" s="38">
        <f t="shared" si="346"/>
        <v>0</v>
      </c>
      <c r="AN391" s="38">
        <f t="shared" si="347"/>
        <v>0</v>
      </c>
      <c r="AO391" s="38">
        <f t="shared" si="348"/>
        <v>0</v>
      </c>
      <c r="AP391" s="38">
        <f t="shared" si="349"/>
        <v>5.0416096535070496</v>
      </c>
      <c r="AQ391" s="38">
        <f t="shared" si="350"/>
        <v>3.9710401052585493</v>
      </c>
      <c r="AR391" s="38">
        <f t="shared" si="351"/>
        <v>1.0495265651276382</v>
      </c>
      <c r="AS391" s="40"/>
      <c r="AT391" s="38">
        <f t="shared" si="352"/>
        <v>2.8087713451796548</v>
      </c>
      <c r="AU391" s="38">
        <f t="shared" si="353"/>
        <v>0</v>
      </c>
      <c r="AV391" s="38">
        <f t="shared" si="354"/>
        <v>1.1294947822824459</v>
      </c>
      <c r="AW391" s="38">
        <f t="shared" si="355"/>
        <v>0</v>
      </c>
      <c r="AX391" s="38">
        <f t="shared" si="356"/>
        <v>0</v>
      </c>
      <c r="AY391" s="38">
        <f t="shared" si="357"/>
        <v>2.0869310167858438E-2</v>
      </c>
      <c r="AZ391" s="38">
        <f t="shared" si="358"/>
        <v>0</v>
      </c>
      <c r="BA391" s="38">
        <f t="shared" si="359"/>
        <v>0</v>
      </c>
      <c r="BB391" s="38">
        <f t="shared" si="360"/>
        <v>0.16177512579853742</v>
      </c>
      <c r="BC391" s="38">
        <f t="shared" si="361"/>
        <v>0.82192150197562508</v>
      </c>
      <c r="BD391" s="38">
        <f t="shared" si="362"/>
        <v>5.7167934595879086E-2</v>
      </c>
      <c r="BE391" s="38">
        <f t="shared" si="363"/>
        <v>0</v>
      </c>
      <c r="BF391" s="38">
        <f t="shared" si="364"/>
        <v>0</v>
      </c>
      <c r="BG391" s="38">
        <f t="shared" si="365"/>
        <v>0</v>
      </c>
      <c r="BH391" s="41">
        <f t="shared" si="366"/>
        <v>5.0000000000000009</v>
      </c>
      <c r="BI391" s="42">
        <f t="shared" si="367"/>
        <v>7.9444086731190557</v>
      </c>
      <c r="BJ391" s="38">
        <f t="shared" si="368"/>
        <v>3.9382661274621009</v>
      </c>
      <c r="BK391" s="38">
        <f t="shared" si="369"/>
        <v>1.0408645623700417</v>
      </c>
      <c r="BL391" s="16"/>
      <c r="BM391" s="16">
        <f t="shared" si="370"/>
        <v>0.15542380022063251</v>
      </c>
      <c r="BN391" s="16">
        <f t="shared" si="371"/>
        <v>0.78965269035974806</v>
      </c>
      <c r="BO391" s="16">
        <f t="shared" si="372"/>
        <v>5.492350941961948E-2</v>
      </c>
      <c r="BP391" s="15"/>
      <c r="BQ391" s="38">
        <f t="shared" si="373"/>
        <v>1.0619174434087884</v>
      </c>
      <c r="BR391" s="38">
        <f t="shared" si="374"/>
        <v>0</v>
      </c>
      <c r="BS391" s="38">
        <f t="shared" si="375"/>
        <v>0.42703020792467639</v>
      </c>
      <c r="BT391" s="38">
        <f t="shared" si="376"/>
        <v>0</v>
      </c>
      <c r="BU391" s="38">
        <f t="shared" si="377"/>
        <v>7.8900991841825314E-3</v>
      </c>
      <c r="BV391" s="38">
        <f t="shared" si="378"/>
        <v>0</v>
      </c>
      <c r="BW391" s="38">
        <f t="shared" si="379"/>
        <v>0</v>
      </c>
      <c r="BX391" s="38">
        <f t="shared" si="380"/>
        <v>6.1162624821683317E-2</v>
      </c>
      <c r="BY391" s="38">
        <f t="shared" si="381"/>
        <v>0.3107454017424976</v>
      </c>
      <c r="BZ391" s="38">
        <f t="shared" si="382"/>
        <v>2.1613588110403398E-2</v>
      </c>
      <c r="CA391" s="38">
        <f t="shared" si="383"/>
        <v>0</v>
      </c>
      <c r="CB391" s="38">
        <f t="shared" si="384"/>
        <v>0</v>
      </c>
      <c r="CC391" s="38">
        <f t="shared" si="385"/>
        <v>0</v>
      </c>
      <c r="CD391" s="38">
        <f t="shared" si="386"/>
        <v>1.8903593651922315</v>
      </c>
      <c r="CE391" s="38">
        <f t="shared" si="387"/>
        <v>2.9996124176369077</v>
      </c>
      <c r="CF391" s="38">
        <f t="shared" si="388"/>
        <v>2.6449997244262327</v>
      </c>
      <c r="CG391" s="38">
        <f t="shared" si="389"/>
        <v>7.9339740180351264</v>
      </c>
      <c r="CH391" s="15"/>
      <c r="CI391" s="16"/>
      <c r="CJ391" s="13"/>
      <c r="CK391" s="104"/>
      <c r="CL391" s="13"/>
      <c r="CM391" s="13"/>
      <c r="CN391" s="13"/>
      <c r="CO391" s="16"/>
      <c r="CP391" s="16"/>
      <c r="CQ391" s="16"/>
      <c r="CR391" s="16"/>
      <c r="CS391" s="16"/>
      <c r="CT391" s="16"/>
      <c r="CU391" s="16"/>
      <c r="CV391" s="16"/>
      <c r="CW391" s="16"/>
      <c r="CX391" s="16"/>
      <c r="CY391" s="104"/>
      <c r="CZ391" s="104"/>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3"/>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row>
    <row r="392" spans="1:167" x14ac:dyDescent="0.25">
      <c r="A392" s="35" t="s">
        <v>85</v>
      </c>
      <c r="B392" s="15">
        <v>1313</v>
      </c>
      <c r="C392" s="102" t="s">
        <v>98</v>
      </c>
      <c r="D392" s="102" t="s">
        <v>105</v>
      </c>
      <c r="E392" s="15">
        <v>320</v>
      </c>
      <c r="F392" s="16">
        <v>52.62</v>
      </c>
      <c r="G392" s="16">
        <v>7.9000000000000001E-2</v>
      </c>
      <c r="H392" s="16">
        <v>27.96</v>
      </c>
      <c r="I392" s="16">
        <v>2.7E-2</v>
      </c>
      <c r="J392" s="16">
        <v>0.55600000000000005</v>
      </c>
      <c r="K392" s="16">
        <v>1.2E-2</v>
      </c>
      <c r="L392" s="16">
        <v>0.105</v>
      </c>
      <c r="M392" s="16">
        <v>11.58</v>
      </c>
      <c r="N392" s="16">
        <v>5.26</v>
      </c>
      <c r="O392" s="16">
        <v>0.13400000000000001</v>
      </c>
      <c r="P392" s="16">
        <v>0</v>
      </c>
      <c r="Q392" s="16"/>
      <c r="R392" s="16"/>
      <c r="S392" s="16">
        <f t="shared" si="335"/>
        <v>98.332999999999998</v>
      </c>
      <c r="T392" s="16"/>
      <c r="U392" s="15"/>
      <c r="V392" s="15"/>
      <c r="W392" s="15"/>
      <c r="X392" s="15" t="s">
        <v>252</v>
      </c>
      <c r="Y392" s="15" t="s">
        <v>260</v>
      </c>
      <c r="Z392" s="37">
        <v>8</v>
      </c>
      <c r="AA392" s="37">
        <v>5</v>
      </c>
      <c r="AB392" s="15"/>
      <c r="AC392" s="38">
        <f t="shared" si="336"/>
        <v>2.4327463419374493</v>
      </c>
      <c r="AD392" s="38">
        <f t="shared" si="337"/>
        <v>2.7470397485397035E-3</v>
      </c>
      <c r="AE392" s="38">
        <f t="shared" si="338"/>
        <v>1.5233975204397128</v>
      </c>
      <c r="AF392" s="38">
        <f t="shared" si="339"/>
        <v>9.868579708459317E-4</v>
      </c>
      <c r="AG392" s="38">
        <f t="shared" si="340"/>
        <v>2.1494330756414725E-2</v>
      </c>
      <c r="AH392" s="38">
        <f t="shared" si="341"/>
        <v>4.6985729094656888E-4</v>
      </c>
      <c r="AI392" s="38">
        <f t="shared" si="342"/>
        <v>7.2370264745113882E-3</v>
      </c>
      <c r="AJ392" s="38">
        <f t="shared" si="343"/>
        <v>0.57355683937336588</v>
      </c>
      <c r="AK392" s="38">
        <f t="shared" si="344"/>
        <v>0.47145481584350557</v>
      </c>
      <c r="AL392" s="38">
        <f t="shared" si="345"/>
        <v>7.9024143903864922E-3</v>
      </c>
      <c r="AM392" s="38">
        <f t="shared" si="346"/>
        <v>0</v>
      </c>
      <c r="AN392" s="38">
        <f t="shared" si="347"/>
        <v>0</v>
      </c>
      <c r="AO392" s="38">
        <f t="shared" si="348"/>
        <v>0</v>
      </c>
      <c r="AP392" s="38">
        <f t="shared" si="349"/>
        <v>5.041993044225678</v>
      </c>
      <c r="AQ392" s="38">
        <f t="shared" si="350"/>
        <v>3.9561438623771621</v>
      </c>
      <c r="AR392" s="38">
        <f t="shared" si="351"/>
        <v>1.0529140696072581</v>
      </c>
      <c r="AS392" s="40"/>
      <c r="AT392" s="38">
        <f t="shared" si="352"/>
        <v>2.4124848255428897</v>
      </c>
      <c r="AU392" s="38">
        <f t="shared" si="353"/>
        <v>2.7241605893186817E-3</v>
      </c>
      <c r="AV392" s="38">
        <f t="shared" si="354"/>
        <v>1.510709660919086</v>
      </c>
      <c r="AW392" s="38">
        <f t="shared" si="355"/>
        <v>9.7863876664420102E-4</v>
      </c>
      <c r="AX392" s="38">
        <f t="shared" si="356"/>
        <v>0</v>
      </c>
      <c r="AY392" s="38">
        <f t="shared" si="357"/>
        <v>2.1315311790276091E-2</v>
      </c>
      <c r="AZ392" s="38">
        <f t="shared" si="358"/>
        <v>4.6594400946731873E-4</v>
      </c>
      <c r="BA392" s="38">
        <f t="shared" si="359"/>
        <v>7.1767517438362637E-3</v>
      </c>
      <c r="BB392" s="38">
        <f t="shared" si="360"/>
        <v>0.56877987964524224</v>
      </c>
      <c r="BC392" s="38">
        <f t="shared" si="361"/>
        <v>0.46752822912304226</v>
      </c>
      <c r="BD392" s="38">
        <f t="shared" si="362"/>
        <v>7.8365978701980758E-3</v>
      </c>
      <c r="BE392" s="38">
        <f t="shared" si="363"/>
        <v>0</v>
      </c>
      <c r="BF392" s="38">
        <f t="shared" si="364"/>
        <v>0</v>
      </c>
      <c r="BG392" s="38">
        <f t="shared" si="365"/>
        <v>0</v>
      </c>
      <c r="BH392" s="41">
        <f t="shared" si="366"/>
        <v>5.0000000000000009</v>
      </c>
      <c r="BI392" s="42">
        <f t="shared" si="367"/>
        <v>7.9440283783735923</v>
      </c>
      <c r="BJ392" s="38">
        <f t="shared" si="368"/>
        <v>3.9231944864619757</v>
      </c>
      <c r="BK392" s="38">
        <f t="shared" si="369"/>
        <v>1.0441447066384826</v>
      </c>
      <c r="BL392" s="16"/>
      <c r="BM392" s="16">
        <f t="shared" si="370"/>
        <v>0.54473280957040049</v>
      </c>
      <c r="BN392" s="16">
        <f t="shared" si="371"/>
        <v>0.44776191092152512</v>
      </c>
      <c r="BO392" s="16">
        <f t="shared" si="372"/>
        <v>7.5052795080743197E-3</v>
      </c>
      <c r="BP392" s="15"/>
      <c r="BQ392" s="38">
        <f t="shared" si="373"/>
        <v>0.87583222370173097</v>
      </c>
      <c r="BR392" s="38">
        <f t="shared" si="374"/>
        <v>9.8898347521281932E-4</v>
      </c>
      <c r="BS392" s="38">
        <f t="shared" si="375"/>
        <v>0.5484503726951746</v>
      </c>
      <c r="BT392" s="38">
        <f t="shared" si="376"/>
        <v>3.5528653200868473E-4</v>
      </c>
      <c r="BU392" s="38">
        <f t="shared" si="377"/>
        <v>7.738343771746696E-3</v>
      </c>
      <c r="BV392" s="38">
        <f t="shared" si="378"/>
        <v>1.6915703411333522E-4</v>
      </c>
      <c r="BW392" s="38">
        <f t="shared" si="379"/>
        <v>2.6054590570719605E-3</v>
      </c>
      <c r="BX392" s="38">
        <f t="shared" si="380"/>
        <v>0.20649072753209702</v>
      </c>
      <c r="BY392" s="38">
        <f t="shared" si="381"/>
        <v>0.16973217166828009</v>
      </c>
      <c r="BZ392" s="38">
        <f t="shared" si="382"/>
        <v>2.8450106157112526E-3</v>
      </c>
      <c r="CA392" s="38">
        <f t="shared" si="383"/>
        <v>0</v>
      </c>
      <c r="CB392" s="38">
        <f t="shared" si="384"/>
        <v>0</v>
      </c>
      <c r="CC392" s="38">
        <f t="shared" si="385"/>
        <v>0</v>
      </c>
      <c r="CD392" s="38">
        <f t="shared" si="386"/>
        <v>1.8152077360831471</v>
      </c>
      <c r="CE392" s="38">
        <f t="shared" si="387"/>
        <v>2.8801431817316869</v>
      </c>
      <c r="CF392" s="38">
        <f t="shared" si="388"/>
        <v>2.7545056693009657</v>
      </c>
      <c r="CG392" s="38">
        <f t="shared" si="389"/>
        <v>7.9333707224784531</v>
      </c>
      <c r="CH392" s="15"/>
      <c r="CI392" s="16"/>
      <c r="CJ392" s="13"/>
      <c r="CK392" s="104"/>
      <c r="CL392" s="13"/>
      <c r="CM392" s="13"/>
      <c r="CN392" s="13"/>
      <c r="CO392" s="16"/>
      <c r="CP392" s="16"/>
      <c r="CQ392" s="16"/>
      <c r="CR392" s="16"/>
      <c r="CS392" s="16"/>
      <c r="CT392" s="16"/>
      <c r="CU392" s="16"/>
      <c r="CV392" s="16"/>
      <c r="CW392" s="16"/>
      <c r="CX392" s="16"/>
      <c r="CY392" s="104"/>
      <c r="CZ392" s="104"/>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3"/>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row>
    <row r="393" spans="1:167" x14ac:dyDescent="0.25">
      <c r="A393" s="35" t="s">
        <v>85</v>
      </c>
      <c r="B393" s="15">
        <v>1366</v>
      </c>
      <c r="C393" s="102" t="s">
        <v>98</v>
      </c>
      <c r="D393" s="102" t="s">
        <v>105</v>
      </c>
      <c r="E393" s="15">
        <v>373</v>
      </c>
      <c r="F393" s="16">
        <v>53.9</v>
      </c>
      <c r="G393" s="16">
        <v>0</v>
      </c>
      <c r="H393" s="16">
        <v>28.4</v>
      </c>
      <c r="I393" s="16">
        <v>0</v>
      </c>
      <c r="J393" s="44">
        <v>0.496</v>
      </c>
      <c r="K393" s="16">
        <v>0</v>
      </c>
      <c r="L393" s="16">
        <v>0</v>
      </c>
      <c r="M393" s="16">
        <v>11.03</v>
      </c>
      <c r="N393" s="16">
        <v>5.5</v>
      </c>
      <c r="O393" s="16">
        <v>0.184</v>
      </c>
      <c r="P393" s="16">
        <v>0</v>
      </c>
      <c r="Q393" s="16"/>
      <c r="R393" s="16"/>
      <c r="S393" s="16">
        <f t="shared" si="335"/>
        <v>99.509999999999991</v>
      </c>
      <c r="T393" s="16"/>
      <c r="U393" s="15">
        <v>1</v>
      </c>
      <c r="V393" s="15">
        <v>1</v>
      </c>
      <c r="W393" s="15">
        <v>0</v>
      </c>
      <c r="X393" s="15" t="s">
        <v>185</v>
      </c>
      <c r="Y393" s="15"/>
      <c r="Z393" s="37">
        <v>8</v>
      </c>
      <c r="AA393" s="37">
        <v>5</v>
      </c>
      <c r="AB393" s="15"/>
      <c r="AC393" s="38">
        <f t="shared" si="336"/>
        <v>2.4544013108599736</v>
      </c>
      <c r="AD393" s="38">
        <f t="shared" si="337"/>
        <v>0</v>
      </c>
      <c r="AE393" s="38">
        <f t="shared" si="338"/>
        <v>1.5240711492533612</v>
      </c>
      <c r="AF393" s="38">
        <f t="shared" si="339"/>
        <v>0</v>
      </c>
      <c r="AG393" s="38">
        <f t="shared" si="340"/>
        <v>1.8886071826924457E-2</v>
      </c>
      <c r="AH393" s="38">
        <f t="shared" si="341"/>
        <v>0</v>
      </c>
      <c r="AI393" s="38">
        <f t="shared" si="342"/>
        <v>0</v>
      </c>
      <c r="AJ393" s="38">
        <f t="shared" si="343"/>
        <v>0.53808915677174451</v>
      </c>
      <c r="AK393" s="38">
        <f t="shared" si="344"/>
        <v>0.4855431665134482</v>
      </c>
      <c r="AL393" s="38">
        <f t="shared" si="345"/>
        <v>1.0687685089234988E-2</v>
      </c>
      <c r="AM393" s="38">
        <f t="shared" si="346"/>
        <v>0</v>
      </c>
      <c r="AN393" s="38">
        <f t="shared" si="347"/>
        <v>0</v>
      </c>
      <c r="AO393" s="38">
        <f t="shared" si="348"/>
        <v>0</v>
      </c>
      <c r="AP393" s="38">
        <f t="shared" si="349"/>
        <v>5.0316785403146875</v>
      </c>
      <c r="AQ393" s="38">
        <f t="shared" si="350"/>
        <v>3.978472460113335</v>
      </c>
      <c r="AR393" s="38">
        <f t="shared" si="351"/>
        <v>1.0343200083744277</v>
      </c>
      <c r="AS393" s="40"/>
      <c r="AT393" s="38">
        <f t="shared" si="352"/>
        <v>2.4389488430102224</v>
      </c>
      <c r="AU393" s="38">
        <f t="shared" si="353"/>
        <v>0</v>
      </c>
      <c r="AV393" s="38">
        <f t="shared" si="354"/>
        <v>1.5144758722583698</v>
      </c>
      <c r="AW393" s="38">
        <f t="shared" si="355"/>
        <v>0</v>
      </c>
      <c r="AX393" s="38">
        <f t="shared" si="356"/>
        <v>0</v>
      </c>
      <c r="AY393" s="38">
        <f t="shared" si="357"/>
        <v>1.8767168525975927E-2</v>
      </c>
      <c r="AZ393" s="38">
        <f t="shared" si="358"/>
        <v>0</v>
      </c>
      <c r="BA393" s="38">
        <f t="shared" si="359"/>
        <v>0</v>
      </c>
      <c r="BB393" s="38">
        <f t="shared" si="360"/>
        <v>0.53470144451844481</v>
      </c>
      <c r="BC393" s="38">
        <f t="shared" si="361"/>
        <v>0.48248627433488805</v>
      </c>
      <c r="BD393" s="38">
        <f t="shared" si="362"/>
        <v>1.0620397352099692E-2</v>
      </c>
      <c r="BE393" s="38">
        <f t="shared" si="363"/>
        <v>0</v>
      </c>
      <c r="BF393" s="38">
        <f t="shared" si="364"/>
        <v>0</v>
      </c>
      <c r="BG393" s="38">
        <f t="shared" si="365"/>
        <v>0</v>
      </c>
      <c r="BH393" s="41">
        <f t="shared" si="366"/>
        <v>5</v>
      </c>
      <c r="BI393" s="42">
        <f t="shared" si="367"/>
        <v>7.9590170275589021</v>
      </c>
      <c r="BJ393" s="38">
        <f t="shared" si="368"/>
        <v>3.953424715268592</v>
      </c>
      <c r="BK393" s="38">
        <f t="shared" si="369"/>
        <v>1.0278081162054327</v>
      </c>
      <c r="BL393" s="16"/>
      <c r="BM393" s="16">
        <f t="shared" si="370"/>
        <v>0.52023469759366214</v>
      </c>
      <c r="BN393" s="16">
        <f t="shared" si="371"/>
        <v>0.46943224783647397</v>
      </c>
      <c r="BO393" s="16">
        <f t="shared" si="372"/>
        <v>1.0333054569863843E-2</v>
      </c>
      <c r="BP393" s="15"/>
      <c r="BQ393" s="38">
        <f t="shared" si="373"/>
        <v>0.89713715046604525</v>
      </c>
      <c r="BR393" s="38">
        <f t="shared" si="374"/>
        <v>0</v>
      </c>
      <c r="BS393" s="38">
        <f t="shared" si="375"/>
        <v>0.55708120831698704</v>
      </c>
      <c r="BT393" s="38">
        <f t="shared" si="376"/>
        <v>0</v>
      </c>
      <c r="BU393" s="38">
        <f t="shared" si="377"/>
        <v>6.9032707028531667E-3</v>
      </c>
      <c r="BV393" s="38">
        <f t="shared" si="378"/>
        <v>0</v>
      </c>
      <c r="BW393" s="38">
        <f t="shared" si="379"/>
        <v>0</v>
      </c>
      <c r="BX393" s="38">
        <f t="shared" si="380"/>
        <v>0.1966833095577746</v>
      </c>
      <c r="BY393" s="38">
        <f t="shared" si="381"/>
        <v>0.17747660535656665</v>
      </c>
      <c r="BZ393" s="38">
        <f t="shared" si="382"/>
        <v>3.9065817409766456E-3</v>
      </c>
      <c r="CA393" s="38">
        <f t="shared" si="383"/>
        <v>0</v>
      </c>
      <c r="CB393" s="38">
        <f t="shared" si="384"/>
        <v>0</v>
      </c>
      <c r="CC393" s="38">
        <f t="shared" si="385"/>
        <v>0</v>
      </c>
      <c r="CD393" s="38">
        <f t="shared" si="386"/>
        <v>1.8391881261412033</v>
      </c>
      <c r="CE393" s="38">
        <f t="shared" si="387"/>
        <v>2.9241742872169705</v>
      </c>
      <c r="CF393" s="38">
        <f t="shared" si="388"/>
        <v>2.7185908439342144</v>
      </c>
      <c r="CG393" s="38">
        <f t="shared" si="389"/>
        <v>7.9496334432959133</v>
      </c>
      <c r="CH393" s="15"/>
      <c r="CI393" s="16"/>
      <c r="CJ393" s="13"/>
      <c r="CK393" s="104"/>
      <c r="CL393" s="13"/>
      <c r="CM393" s="13"/>
      <c r="CN393" s="13"/>
      <c r="CO393" s="16"/>
      <c r="CP393" s="16"/>
      <c r="CQ393" s="16"/>
      <c r="CR393" s="16"/>
      <c r="CS393" s="16"/>
      <c r="CT393" s="16"/>
      <c r="CU393" s="16"/>
      <c r="CV393" s="16"/>
      <c r="CW393" s="16"/>
      <c r="CX393" s="16"/>
      <c r="CY393" s="104"/>
      <c r="CZ393" s="104"/>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3"/>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row>
    <row r="394" spans="1:167" x14ac:dyDescent="0.25">
      <c r="A394" s="35" t="s">
        <v>85</v>
      </c>
      <c r="B394" s="15">
        <v>1367</v>
      </c>
      <c r="C394" s="102" t="s">
        <v>98</v>
      </c>
      <c r="D394" s="102" t="s">
        <v>105</v>
      </c>
      <c r="E394" s="15">
        <v>374</v>
      </c>
      <c r="F394" s="16">
        <v>53.64</v>
      </c>
      <c r="G394" s="16">
        <v>0</v>
      </c>
      <c r="H394" s="16">
        <v>28.41</v>
      </c>
      <c r="I394" s="16">
        <v>0</v>
      </c>
      <c r="J394" s="44">
        <v>0.51900000000000002</v>
      </c>
      <c r="K394" s="16">
        <v>0</v>
      </c>
      <c r="L394" s="16">
        <v>0</v>
      </c>
      <c r="M394" s="16">
        <v>11.01</v>
      </c>
      <c r="N394" s="16">
        <v>5.46</v>
      </c>
      <c r="O394" s="16">
        <v>0.17899999999999999</v>
      </c>
      <c r="P394" s="16">
        <v>0</v>
      </c>
      <c r="Q394" s="16"/>
      <c r="R394" s="16"/>
      <c r="S394" s="16">
        <f t="shared" si="335"/>
        <v>99.218000000000004</v>
      </c>
      <c r="T394" s="16"/>
      <c r="U394" s="15">
        <v>1</v>
      </c>
      <c r="V394" s="15">
        <v>2</v>
      </c>
      <c r="W394" s="15">
        <v>12.9</v>
      </c>
      <c r="X394" s="15" t="s">
        <v>185</v>
      </c>
      <c r="Y394" s="15"/>
      <c r="Z394" s="37">
        <v>8</v>
      </c>
      <c r="AA394" s="37">
        <v>5</v>
      </c>
      <c r="AB394" s="15"/>
      <c r="AC394" s="38">
        <f t="shared" si="336"/>
        <v>2.4501833774719732</v>
      </c>
      <c r="AD394" s="38">
        <f t="shared" si="337"/>
        <v>0</v>
      </c>
      <c r="AE394" s="38">
        <f t="shared" si="338"/>
        <v>1.5293649986071083</v>
      </c>
      <c r="AF394" s="38">
        <f t="shared" si="339"/>
        <v>0</v>
      </c>
      <c r="AG394" s="38">
        <f t="shared" si="340"/>
        <v>1.9823499737757863E-2</v>
      </c>
      <c r="AH394" s="38">
        <f t="shared" si="341"/>
        <v>0</v>
      </c>
      <c r="AI394" s="38">
        <f t="shared" si="342"/>
        <v>0</v>
      </c>
      <c r="AJ394" s="38">
        <f t="shared" si="343"/>
        <v>0.53878941871845976</v>
      </c>
      <c r="AK394" s="38">
        <f t="shared" si="344"/>
        <v>0.48351595614609638</v>
      </c>
      <c r="AL394" s="38">
        <f t="shared" si="345"/>
        <v>1.0429701232251492E-2</v>
      </c>
      <c r="AM394" s="38">
        <f t="shared" si="346"/>
        <v>0</v>
      </c>
      <c r="AN394" s="38">
        <f t="shared" si="347"/>
        <v>0</v>
      </c>
      <c r="AO394" s="38">
        <f t="shared" si="348"/>
        <v>0</v>
      </c>
      <c r="AP394" s="38">
        <f t="shared" si="349"/>
        <v>5.0321069519136463</v>
      </c>
      <c r="AQ394" s="38">
        <f t="shared" si="350"/>
        <v>3.9795483760790815</v>
      </c>
      <c r="AR394" s="38">
        <f t="shared" si="351"/>
        <v>1.0327350760968075</v>
      </c>
      <c r="AS394" s="40"/>
      <c r="AT394" s="38">
        <f t="shared" si="352"/>
        <v>2.4345501803575527</v>
      </c>
      <c r="AU394" s="38">
        <f t="shared" si="353"/>
        <v>0</v>
      </c>
      <c r="AV394" s="38">
        <f t="shared" si="354"/>
        <v>1.5196070087754294</v>
      </c>
      <c r="AW394" s="38">
        <f t="shared" si="355"/>
        <v>0</v>
      </c>
      <c r="AX394" s="38">
        <f t="shared" si="356"/>
        <v>0</v>
      </c>
      <c r="AY394" s="38">
        <f t="shared" si="357"/>
        <v>1.9697017499021193E-2</v>
      </c>
      <c r="AZ394" s="38">
        <f t="shared" si="358"/>
        <v>0</v>
      </c>
      <c r="BA394" s="38">
        <f t="shared" si="359"/>
        <v>0</v>
      </c>
      <c r="BB394" s="38">
        <f t="shared" si="360"/>
        <v>0.53535171635567569</v>
      </c>
      <c r="BC394" s="38">
        <f t="shared" si="361"/>
        <v>0.48043092164627116</v>
      </c>
      <c r="BD394" s="38">
        <f t="shared" si="362"/>
        <v>1.0363155366049212E-2</v>
      </c>
      <c r="BE394" s="38">
        <f t="shared" si="363"/>
        <v>0</v>
      </c>
      <c r="BF394" s="38">
        <f t="shared" si="364"/>
        <v>0</v>
      </c>
      <c r="BG394" s="38">
        <f t="shared" si="365"/>
        <v>0</v>
      </c>
      <c r="BH394" s="41">
        <f t="shared" si="366"/>
        <v>4.9999999999999991</v>
      </c>
      <c r="BI394" s="42">
        <f t="shared" si="367"/>
        <v>7.9588051549886174</v>
      </c>
      <c r="BJ394" s="38">
        <f t="shared" si="368"/>
        <v>3.9541571891329821</v>
      </c>
      <c r="BK394" s="38">
        <f t="shared" si="369"/>
        <v>1.0261457933679961</v>
      </c>
      <c r="BL394" s="16"/>
      <c r="BM394" s="16">
        <f t="shared" si="370"/>
        <v>0.52171116406232554</v>
      </c>
      <c r="BN394" s="16">
        <f t="shared" si="371"/>
        <v>0.46818972971609624</v>
      </c>
      <c r="BO394" s="16">
        <f t="shared" si="372"/>
        <v>1.0099106221578382E-2</v>
      </c>
      <c r="BP394" s="15"/>
      <c r="BQ394" s="38">
        <f t="shared" si="373"/>
        <v>0.89280958721704395</v>
      </c>
      <c r="BR394" s="38">
        <f t="shared" si="374"/>
        <v>0</v>
      </c>
      <c r="BS394" s="38">
        <f t="shared" si="375"/>
        <v>0.55727736367202829</v>
      </c>
      <c r="BT394" s="38">
        <f t="shared" si="376"/>
        <v>0</v>
      </c>
      <c r="BU394" s="38">
        <f t="shared" si="377"/>
        <v>7.2233820459290197E-3</v>
      </c>
      <c r="BV394" s="38">
        <f t="shared" si="378"/>
        <v>0</v>
      </c>
      <c r="BW394" s="38">
        <f t="shared" si="379"/>
        <v>0</v>
      </c>
      <c r="BX394" s="38">
        <f t="shared" si="380"/>
        <v>0.19632667617689015</v>
      </c>
      <c r="BY394" s="38">
        <f t="shared" si="381"/>
        <v>0.17618586640851888</v>
      </c>
      <c r="BZ394" s="38">
        <f t="shared" si="382"/>
        <v>3.8004246284501059E-3</v>
      </c>
      <c r="CA394" s="38">
        <f t="shared" si="383"/>
        <v>0</v>
      </c>
      <c r="CB394" s="38">
        <f t="shared" si="384"/>
        <v>0</v>
      </c>
      <c r="CC394" s="38">
        <f t="shared" si="385"/>
        <v>0</v>
      </c>
      <c r="CD394" s="38">
        <f t="shared" si="386"/>
        <v>1.8336233001488607</v>
      </c>
      <c r="CE394" s="38">
        <f t="shared" si="387"/>
        <v>2.915078423683434</v>
      </c>
      <c r="CF394" s="38">
        <f t="shared" si="388"/>
        <v>2.7268414398933962</v>
      </c>
      <c r="CG394" s="38">
        <f t="shared" si="389"/>
        <v>7.9489566462391066</v>
      </c>
      <c r="CH394" s="15"/>
      <c r="CI394" s="16"/>
      <c r="CJ394" s="13"/>
      <c r="CK394" s="104"/>
      <c r="CL394" s="13"/>
      <c r="CM394" s="13"/>
      <c r="CN394" s="13"/>
      <c r="CO394" s="16"/>
      <c r="CP394" s="16"/>
      <c r="CQ394" s="16"/>
      <c r="CR394" s="16"/>
      <c r="CS394" s="16"/>
      <c r="CT394" s="16"/>
      <c r="CU394" s="16"/>
      <c r="CV394" s="16"/>
      <c r="CW394" s="16"/>
      <c r="CX394" s="16"/>
      <c r="CY394" s="104"/>
      <c r="CZ394" s="104"/>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3"/>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row>
    <row r="395" spans="1:167" x14ac:dyDescent="0.25">
      <c r="A395" s="35" t="s">
        <v>85</v>
      </c>
      <c r="B395" s="15">
        <v>1368</v>
      </c>
      <c r="C395" s="102" t="s">
        <v>98</v>
      </c>
      <c r="D395" s="102" t="s">
        <v>105</v>
      </c>
      <c r="E395" s="15">
        <v>375</v>
      </c>
      <c r="F395" s="16">
        <v>53.9</v>
      </c>
      <c r="G395" s="16">
        <v>0</v>
      </c>
      <c r="H395" s="16">
        <v>28.3</v>
      </c>
      <c r="I395" s="16">
        <v>0</v>
      </c>
      <c r="J395" s="44">
        <v>0.437</v>
      </c>
      <c r="K395" s="16">
        <v>0</v>
      </c>
      <c r="L395" s="16">
        <v>0</v>
      </c>
      <c r="M395" s="16">
        <v>11.12</v>
      </c>
      <c r="N395" s="16">
        <v>5.43</v>
      </c>
      <c r="O395" s="16">
        <v>0.17199999999999999</v>
      </c>
      <c r="P395" s="16">
        <v>0</v>
      </c>
      <c r="Q395" s="16"/>
      <c r="R395" s="16"/>
      <c r="S395" s="16">
        <f t="shared" si="335"/>
        <v>99.359000000000009</v>
      </c>
      <c r="T395" s="16"/>
      <c r="U395" s="15">
        <v>1</v>
      </c>
      <c r="V395" s="15">
        <v>3</v>
      </c>
      <c r="W395" s="15">
        <v>25.8</v>
      </c>
      <c r="X395" s="15" t="s">
        <v>185</v>
      </c>
      <c r="Y395" s="15"/>
      <c r="Z395" s="37">
        <v>8</v>
      </c>
      <c r="AA395" s="37">
        <v>5</v>
      </c>
      <c r="AB395" s="15"/>
      <c r="AC395" s="38">
        <f t="shared" si="336"/>
        <v>2.4572713911080353</v>
      </c>
      <c r="AD395" s="38">
        <f t="shared" si="337"/>
        <v>0</v>
      </c>
      <c r="AE395" s="38">
        <f t="shared" si="338"/>
        <v>1.520480615021975</v>
      </c>
      <c r="AF395" s="38">
        <f t="shared" si="339"/>
        <v>0</v>
      </c>
      <c r="AG395" s="38">
        <f t="shared" si="340"/>
        <v>1.6659000748231106E-2</v>
      </c>
      <c r="AH395" s="38">
        <f t="shared" si="341"/>
        <v>0</v>
      </c>
      <c r="AI395" s="38">
        <f t="shared" si="342"/>
        <v>0</v>
      </c>
      <c r="AJ395" s="38">
        <f t="shared" si="343"/>
        <v>0.54311408456274068</v>
      </c>
      <c r="AK395" s="38">
        <f t="shared" si="344"/>
        <v>0.47992407504443368</v>
      </c>
      <c r="AL395" s="38">
        <f t="shared" si="345"/>
        <v>1.0002344835555571E-2</v>
      </c>
      <c r="AM395" s="38">
        <f t="shared" si="346"/>
        <v>0</v>
      </c>
      <c r="AN395" s="38">
        <f t="shared" si="347"/>
        <v>0</v>
      </c>
      <c r="AO395" s="38">
        <f t="shared" si="348"/>
        <v>0</v>
      </c>
      <c r="AP395" s="38">
        <f t="shared" si="349"/>
        <v>5.0274515113209706</v>
      </c>
      <c r="AQ395" s="38">
        <f t="shared" si="350"/>
        <v>3.97775200613001</v>
      </c>
      <c r="AR395" s="38">
        <f t="shared" si="351"/>
        <v>1.0330405044427298</v>
      </c>
      <c r="AS395" s="40"/>
      <c r="AT395" s="38">
        <f t="shared" si="352"/>
        <v>2.4438538945374964</v>
      </c>
      <c r="AU395" s="38">
        <f t="shared" si="353"/>
        <v>0</v>
      </c>
      <c r="AV395" s="38">
        <f t="shared" si="354"/>
        <v>1.512178299082656</v>
      </c>
      <c r="AW395" s="38">
        <f t="shared" si="355"/>
        <v>0</v>
      </c>
      <c r="AX395" s="38">
        <f t="shared" si="356"/>
        <v>0</v>
      </c>
      <c r="AY395" s="38">
        <f t="shared" si="357"/>
        <v>1.6568037215990896E-2</v>
      </c>
      <c r="AZ395" s="38">
        <f t="shared" si="358"/>
        <v>0</v>
      </c>
      <c r="BA395" s="38">
        <f t="shared" si="359"/>
        <v>0</v>
      </c>
      <c r="BB395" s="38">
        <f t="shared" si="360"/>
        <v>0.54014850599726272</v>
      </c>
      <c r="BC395" s="38">
        <f t="shared" si="361"/>
        <v>0.47730353436897976</v>
      </c>
      <c r="BD395" s="38">
        <f t="shared" si="362"/>
        <v>9.9477287976144375E-3</v>
      </c>
      <c r="BE395" s="38">
        <f t="shared" si="363"/>
        <v>0</v>
      </c>
      <c r="BF395" s="38">
        <f t="shared" si="364"/>
        <v>0</v>
      </c>
      <c r="BG395" s="38">
        <f t="shared" si="365"/>
        <v>0</v>
      </c>
      <c r="BH395" s="41">
        <f t="shared" si="366"/>
        <v>5</v>
      </c>
      <c r="BI395" s="42">
        <f t="shared" si="367"/>
        <v>7.9646014311035236</v>
      </c>
      <c r="BJ395" s="38">
        <f t="shared" si="368"/>
        <v>3.9560321936201523</v>
      </c>
      <c r="BK395" s="38">
        <f t="shared" si="369"/>
        <v>1.0273997691638568</v>
      </c>
      <c r="BL395" s="16"/>
      <c r="BM395" s="16">
        <f t="shared" si="370"/>
        <v>0.52574326197956944</v>
      </c>
      <c r="BN395" s="16">
        <f t="shared" si="371"/>
        <v>0.46457430563511848</v>
      </c>
      <c r="BO395" s="16">
        <f t="shared" si="372"/>
        <v>9.6824323853122313E-3</v>
      </c>
      <c r="BP395" s="15"/>
      <c r="BQ395" s="38">
        <f t="shared" si="373"/>
        <v>0.89713715046604525</v>
      </c>
      <c r="BR395" s="38">
        <f t="shared" si="374"/>
        <v>0</v>
      </c>
      <c r="BS395" s="38">
        <f t="shared" si="375"/>
        <v>0.55511965476657521</v>
      </c>
      <c r="BT395" s="38">
        <f t="shared" si="376"/>
        <v>0</v>
      </c>
      <c r="BU395" s="38">
        <f t="shared" si="377"/>
        <v>6.082115518441197E-3</v>
      </c>
      <c r="BV395" s="38">
        <f t="shared" si="378"/>
        <v>0</v>
      </c>
      <c r="BW395" s="38">
        <f t="shared" si="379"/>
        <v>0</v>
      </c>
      <c r="BX395" s="38">
        <f t="shared" si="380"/>
        <v>0.19828815977175462</v>
      </c>
      <c r="BY395" s="38">
        <f t="shared" si="381"/>
        <v>0.17521781219748306</v>
      </c>
      <c r="BZ395" s="38">
        <f t="shared" si="382"/>
        <v>3.6518046709129509E-3</v>
      </c>
      <c r="CA395" s="38">
        <f t="shared" si="383"/>
        <v>0</v>
      </c>
      <c r="CB395" s="38">
        <f t="shared" si="384"/>
        <v>0</v>
      </c>
      <c r="CC395" s="38">
        <f t="shared" si="385"/>
        <v>0</v>
      </c>
      <c r="CD395" s="38">
        <f t="shared" si="386"/>
        <v>1.8354966973912121</v>
      </c>
      <c r="CE395" s="38">
        <f t="shared" si="387"/>
        <v>2.9207588668063473</v>
      </c>
      <c r="CF395" s="38">
        <f t="shared" si="388"/>
        <v>2.7240582928351165</v>
      </c>
      <c r="CG395" s="38">
        <f t="shared" si="389"/>
        <v>7.9563174124955278</v>
      </c>
      <c r="CH395" s="15"/>
      <c r="CI395" s="16"/>
      <c r="CJ395" s="13"/>
      <c r="CK395" s="104"/>
      <c r="CL395" s="13"/>
      <c r="CM395" s="13"/>
      <c r="CN395" s="13"/>
      <c r="CO395" s="16"/>
      <c r="CP395" s="16"/>
      <c r="CQ395" s="16"/>
      <c r="CR395" s="16"/>
      <c r="CS395" s="16"/>
      <c r="CT395" s="16"/>
      <c r="CU395" s="16"/>
      <c r="CV395" s="16"/>
      <c r="CW395" s="16"/>
      <c r="CX395" s="16"/>
      <c r="CY395" s="104"/>
      <c r="CZ395" s="104"/>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3"/>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row>
    <row r="396" spans="1:167" x14ac:dyDescent="0.25">
      <c r="A396" s="35" t="s">
        <v>85</v>
      </c>
      <c r="B396" s="15">
        <v>1369</v>
      </c>
      <c r="C396" s="102" t="s">
        <v>98</v>
      </c>
      <c r="D396" s="102" t="s">
        <v>105</v>
      </c>
      <c r="E396" s="15">
        <v>376</v>
      </c>
      <c r="F396" s="16">
        <v>53.87</v>
      </c>
      <c r="G396" s="16">
        <v>0</v>
      </c>
      <c r="H396" s="16">
        <v>28.21</v>
      </c>
      <c r="I396" s="16">
        <v>0</v>
      </c>
      <c r="J396" s="44">
        <v>0.504</v>
      </c>
      <c r="K396" s="16">
        <v>0</v>
      </c>
      <c r="L396" s="16">
        <v>0</v>
      </c>
      <c r="M396" s="16">
        <v>11.11</v>
      </c>
      <c r="N396" s="16">
        <v>5.47</v>
      </c>
      <c r="O396" s="16">
        <v>0.14199999999999999</v>
      </c>
      <c r="P396" s="16">
        <v>0</v>
      </c>
      <c r="Q396" s="16"/>
      <c r="R396" s="16"/>
      <c r="S396" s="16">
        <f t="shared" si="335"/>
        <v>99.305999999999997</v>
      </c>
      <c r="T396" s="16"/>
      <c r="U396" s="15">
        <v>1</v>
      </c>
      <c r="V396" s="15">
        <v>4</v>
      </c>
      <c r="W396" s="15">
        <v>38.700000000000003</v>
      </c>
      <c r="X396" s="15" t="s">
        <v>185</v>
      </c>
      <c r="Y396" s="15"/>
      <c r="Z396" s="37">
        <v>8</v>
      </c>
      <c r="AA396" s="37">
        <v>5</v>
      </c>
      <c r="AB396" s="15"/>
      <c r="AC396" s="38">
        <f t="shared" si="336"/>
        <v>2.4580629470352471</v>
      </c>
      <c r="AD396" s="38">
        <f t="shared" si="337"/>
        <v>0</v>
      </c>
      <c r="AE396" s="38">
        <f t="shared" si="338"/>
        <v>1.5169777250285452</v>
      </c>
      <c r="AF396" s="38">
        <f t="shared" si="339"/>
        <v>0</v>
      </c>
      <c r="AG396" s="38">
        <f t="shared" si="340"/>
        <v>1.9230018971771484E-2</v>
      </c>
      <c r="AH396" s="38">
        <f t="shared" si="341"/>
        <v>0</v>
      </c>
      <c r="AI396" s="38">
        <f t="shared" si="342"/>
        <v>0</v>
      </c>
      <c r="AJ396" s="38">
        <f t="shared" si="343"/>
        <v>0.54310275107566663</v>
      </c>
      <c r="AK396" s="38">
        <f t="shared" si="344"/>
        <v>0.48388448662882433</v>
      </c>
      <c r="AL396" s="38">
        <f t="shared" si="345"/>
        <v>8.2650100496787018E-3</v>
      </c>
      <c r="AM396" s="38">
        <f t="shared" si="346"/>
        <v>0</v>
      </c>
      <c r="AN396" s="38">
        <f t="shared" si="347"/>
        <v>0</v>
      </c>
      <c r="AO396" s="38">
        <f t="shared" si="348"/>
        <v>0</v>
      </c>
      <c r="AP396" s="38">
        <f t="shared" si="349"/>
        <v>5.0295229387897331</v>
      </c>
      <c r="AQ396" s="38">
        <f t="shared" si="350"/>
        <v>3.9750406720637921</v>
      </c>
      <c r="AR396" s="38">
        <f t="shared" si="351"/>
        <v>1.0352522477541695</v>
      </c>
      <c r="AS396" s="40"/>
      <c r="AT396" s="38">
        <f t="shared" si="352"/>
        <v>2.4436342938985947</v>
      </c>
      <c r="AU396" s="38">
        <f t="shared" si="353"/>
        <v>0</v>
      </c>
      <c r="AV396" s="38">
        <f t="shared" si="354"/>
        <v>1.5080731746235749</v>
      </c>
      <c r="AW396" s="38">
        <f t="shared" si="355"/>
        <v>0</v>
      </c>
      <c r="AX396" s="38">
        <f t="shared" si="356"/>
        <v>0</v>
      </c>
      <c r="AY396" s="38">
        <f t="shared" si="357"/>
        <v>1.9117140140133101E-2</v>
      </c>
      <c r="AZ396" s="38">
        <f t="shared" si="358"/>
        <v>0</v>
      </c>
      <c r="BA396" s="38">
        <f t="shared" si="359"/>
        <v>0</v>
      </c>
      <c r="BB396" s="38">
        <f t="shared" si="360"/>
        <v>0.53991477689368561</v>
      </c>
      <c r="BC396" s="38">
        <f t="shared" si="361"/>
        <v>0.48104411941032182</v>
      </c>
      <c r="BD396" s="38">
        <f t="shared" si="362"/>
        <v>8.2164950336895467E-3</v>
      </c>
      <c r="BE396" s="38">
        <f t="shared" si="363"/>
        <v>0</v>
      </c>
      <c r="BF396" s="38">
        <f t="shared" si="364"/>
        <v>0</v>
      </c>
      <c r="BG396" s="38">
        <f t="shared" si="365"/>
        <v>0</v>
      </c>
      <c r="BH396" s="41">
        <f t="shared" si="366"/>
        <v>4.9999999999999991</v>
      </c>
      <c r="BI396" s="42">
        <f t="shared" si="367"/>
        <v>7.9625991440584434</v>
      </c>
      <c r="BJ396" s="38">
        <f t="shared" si="368"/>
        <v>3.9517074685221694</v>
      </c>
      <c r="BK396" s="38">
        <f t="shared" si="369"/>
        <v>1.0291753913376971</v>
      </c>
      <c r="BL396" s="16"/>
      <c r="BM396" s="16">
        <f t="shared" si="370"/>
        <v>0.52460910107063252</v>
      </c>
      <c r="BN396" s="16">
        <f t="shared" si="371"/>
        <v>0.46740732771026772</v>
      </c>
      <c r="BO396" s="16">
        <f t="shared" si="372"/>
        <v>7.9835712190999344E-3</v>
      </c>
      <c r="BP396" s="15"/>
      <c r="BQ396" s="38">
        <f t="shared" si="373"/>
        <v>0.8966378162450066</v>
      </c>
      <c r="BR396" s="38">
        <f t="shared" si="374"/>
        <v>0</v>
      </c>
      <c r="BS396" s="38">
        <f t="shared" si="375"/>
        <v>0.55335425657120441</v>
      </c>
      <c r="BT396" s="38">
        <f t="shared" si="376"/>
        <v>0</v>
      </c>
      <c r="BU396" s="38">
        <f t="shared" si="377"/>
        <v>7.0146137787056376E-3</v>
      </c>
      <c r="BV396" s="38">
        <f t="shared" si="378"/>
        <v>0</v>
      </c>
      <c r="BW396" s="38">
        <f t="shared" si="379"/>
        <v>0</v>
      </c>
      <c r="BX396" s="38">
        <f t="shared" si="380"/>
        <v>0.19810984308131241</v>
      </c>
      <c r="BY396" s="38">
        <f t="shared" si="381"/>
        <v>0.17650855114553082</v>
      </c>
      <c r="BZ396" s="38">
        <f t="shared" si="382"/>
        <v>3.0148619957537153E-3</v>
      </c>
      <c r="CA396" s="38">
        <f t="shared" si="383"/>
        <v>0</v>
      </c>
      <c r="CB396" s="38">
        <f t="shared" si="384"/>
        <v>0</v>
      </c>
      <c r="CC396" s="38">
        <f t="shared" si="385"/>
        <v>0</v>
      </c>
      <c r="CD396" s="38">
        <f t="shared" si="386"/>
        <v>1.8346399428175137</v>
      </c>
      <c r="CE396" s="38">
        <f t="shared" si="387"/>
        <v>2.9181931807774797</v>
      </c>
      <c r="CF396" s="38">
        <f t="shared" si="388"/>
        <v>2.7253303949773078</v>
      </c>
      <c r="CG396" s="38">
        <f t="shared" si="389"/>
        <v>7.9530405739883747</v>
      </c>
      <c r="CH396" s="15"/>
      <c r="CI396" s="16"/>
      <c r="CJ396" s="13"/>
      <c r="CK396" s="104"/>
      <c r="CL396" s="13"/>
      <c r="CM396" s="13"/>
      <c r="CN396" s="13"/>
      <c r="CO396" s="16"/>
      <c r="CP396" s="16"/>
      <c r="CQ396" s="16"/>
      <c r="CR396" s="16"/>
      <c r="CS396" s="16"/>
      <c r="CT396" s="16"/>
      <c r="CU396" s="16"/>
      <c r="CV396" s="16"/>
      <c r="CW396" s="16"/>
      <c r="CX396" s="16"/>
      <c r="CY396" s="104"/>
      <c r="CZ396" s="104"/>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3"/>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row>
    <row r="397" spans="1:167" x14ac:dyDescent="0.25">
      <c r="A397" s="35" t="s">
        <v>85</v>
      </c>
      <c r="B397" s="15">
        <v>1370</v>
      </c>
      <c r="C397" s="102" t="s">
        <v>98</v>
      </c>
      <c r="D397" s="102" t="s">
        <v>105</v>
      </c>
      <c r="E397" s="15">
        <v>377</v>
      </c>
      <c r="F397" s="16">
        <v>54.55</v>
      </c>
      <c r="G397" s="16">
        <v>0</v>
      </c>
      <c r="H397" s="16">
        <v>28.12</v>
      </c>
      <c r="I397" s="16">
        <v>0</v>
      </c>
      <c r="J397" s="44">
        <v>0.52100000000000002</v>
      </c>
      <c r="K397" s="16">
        <v>0</v>
      </c>
      <c r="L397" s="16">
        <v>0</v>
      </c>
      <c r="M397" s="16">
        <v>10.7</v>
      </c>
      <c r="N397" s="16">
        <v>5.72</v>
      </c>
      <c r="O397" s="16">
        <v>0.17100000000000001</v>
      </c>
      <c r="P397" s="16">
        <v>0</v>
      </c>
      <c r="Q397" s="16"/>
      <c r="R397" s="16"/>
      <c r="S397" s="16">
        <f t="shared" si="335"/>
        <v>99.782000000000011</v>
      </c>
      <c r="T397" s="16"/>
      <c r="U397" s="15">
        <v>1</v>
      </c>
      <c r="V397" s="15">
        <v>5</v>
      </c>
      <c r="W397" s="15">
        <v>51.6</v>
      </c>
      <c r="X397" s="15" t="s">
        <v>185</v>
      </c>
      <c r="Y397" s="15"/>
      <c r="Z397" s="37">
        <v>8</v>
      </c>
      <c r="AA397" s="37">
        <v>5</v>
      </c>
      <c r="AB397" s="15"/>
      <c r="AC397" s="38">
        <f t="shared" si="336"/>
        <v>2.4744594274047191</v>
      </c>
      <c r="AD397" s="38">
        <f t="shared" si="337"/>
        <v>0</v>
      </c>
      <c r="AE397" s="38">
        <f t="shared" si="338"/>
        <v>1.5032492351901385</v>
      </c>
      <c r="AF397" s="38">
        <f t="shared" si="339"/>
        <v>0</v>
      </c>
      <c r="AG397" s="38">
        <f t="shared" si="340"/>
        <v>1.9761798065555856E-2</v>
      </c>
      <c r="AH397" s="38">
        <f t="shared" si="341"/>
        <v>0</v>
      </c>
      <c r="AI397" s="38">
        <f t="shared" si="342"/>
        <v>0</v>
      </c>
      <c r="AJ397" s="38">
        <f t="shared" si="343"/>
        <v>0.51998555476714825</v>
      </c>
      <c r="AK397" s="38">
        <f t="shared" si="344"/>
        <v>0.50302545075702554</v>
      </c>
      <c r="AL397" s="38">
        <f t="shared" si="345"/>
        <v>9.8944283882759429E-3</v>
      </c>
      <c r="AM397" s="38">
        <f t="shared" si="346"/>
        <v>0</v>
      </c>
      <c r="AN397" s="38">
        <f t="shared" si="347"/>
        <v>0</v>
      </c>
      <c r="AO397" s="38">
        <f t="shared" si="348"/>
        <v>0</v>
      </c>
      <c r="AP397" s="38">
        <f t="shared" si="349"/>
        <v>5.0303758945728632</v>
      </c>
      <c r="AQ397" s="38">
        <f t="shared" si="350"/>
        <v>3.9777086625948579</v>
      </c>
      <c r="AR397" s="38">
        <f t="shared" si="351"/>
        <v>1.0329054339124499</v>
      </c>
      <c r="AS397" s="40"/>
      <c r="AT397" s="38">
        <f t="shared" si="352"/>
        <v>2.4595174190405396</v>
      </c>
      <c r="AU397" s="38">
        <f t="shared" si="353"/>
        <v>0</v>
      </c>
      <c r="AV397" s="38">
        <f t="shared" si="354"/>
        <v>1.4941718737281175</v>
      </c>
      <c r="AW397" s="38">
        <f t="shared" si="355"/>
        <v>0</v>
      </c>
      <c r="AX397" s="38">
        <f t="shared" si="356"/>
        <v>0</v>
      </c>
      <c r="AY397" s="38">
        <f t="shared" si="357"/>
        <v>1.9642466566838792E-2</v>
      </c>
      <c r="AZ397" s="38">
        <f t="shared" si="358"/>
        <v>0</v>
      </c>
      <c r="BA397" s="38">
        <f t="shared" si="359"/>
        <v>0</v>
      </c>
      <c r="BB397" s="38">
        <f t="shared" si="360"/>
        <v>0.51684562512330989</v>
      </c>
      <c r="BC397" s="38">
        <f t="shared" si="361"/>
        <v>0.4999879345992076</v>
      </c>
      <c r="BD397" s="38">
        <f t="shared" si="362"/>
        <v>9.834680941985639E-3</v>
      </c>
      <c r="BE397" s="38">
        <f t="shared" si="363"/>
        <v>0</v>
      </c>
      <c r="BF397" s="38">
        <f t="shared" si="364"/>
        <v>0</v>
      </c>
      <c r="BG397" s="38">
        <f t="shared" si="365"/>
        <v>0</v>
      </c>
      <c r="BH397" s="41">
        <f t="shared" si="366"/>
        <v>4.9999999999999991</v>
      </c>
      <c r="BI397" s="42">
        <f t="shared" si="367"/>
        <v>7.9615132814174192</v>
      </c>
      <c r="BJ397" s="38">
        <f t="shared" si="368"/>
        <v>3.9536892927686571</v>
      </c>
      <c r="BK397" s="38">
        <f t="shared" si="369"/>
        <v>1.0266682406645031</v>
      </c>
      <c r="BL397" s="16"/>
      <c r="BM397" s="16">
        <f t="shared" si="370"/>
        <v>0.50342029163070767</v>
      </c>
      <c r="BN397" s="16">
        <f t="shared" si="371"/>
        <v>0.48700048837158355</v>
      </c>
      <c r="BO397" s="16">
        <f t="shared" si="372"/>
        <v>9.5792199977085268E-3</v>
      </c>
      <c r="BP397" s="15"/>
      <c r="BQ397" s="38">
        <f t="shared" si="373"/>
        <v>0.90795605858854855</v>
      </c>
      <c r="BR397" s="38">
        <f t="shared" si="374"/>
        <v>0</v>
      </c>
      <c r="BS397" s="38">
        <f t="shared" si="375"/>
        <v>0.55158885837583371</v>
      </c>
      <c r="BT397" s="38">
        <f t="shared" si="376"/>
        <v>0</v>
      </c>
      <c r="BU397" s="38">
        <f t="shared" si="377"/>
        <v>7.2512178148921372E-3</v>
      </c>
      <c r="BV397" s="38">
        <f t="shared" si="378"/>
        <v>0</v>
      </c>
      <c r="BW397" s="38">
        <f t="shared" si="379"/>
        <v>0</v>
      </c>
      <c r="BX397" s="38">
        <f t="shared" si="380"/>
        <v>0.19079885877318117</v>
      </c>
      <c r="BY397" s="38">
        <f t="shared" si="381"/>
        <v>0.1845756695708293</v>
      </c>
      <c r="BZ397" s="38">
        <f t="shared" si="382"/>
        <v>3.6305732484076436E-3</v>
      </c>
      <c r="CA397" s="38">
        <f t="shared" si="383"/>
        <v>0</v>
      </c>
      <c r="CB397" s="38">
        <f t="shared" si="384"/>
        <v>0</v>
      </c>
      <c r="CC397" s="38">
        <f t="shared" si="385"/>
        <v>0</v>
      </c>
      <c r="CD397" s="38">
        <f t="shared" si="386"/>
        <v>1.8458012363716929</v>
      </c>
      <c r="CE397" s="38">
        <f t="shared" si="387"/>
        <v>2.9354486027385391</v>
      </c>
      <c r="CF397" s="38">
        <f t="shared" si="388"/>
        <v>2.7088507155995529</v>
      </c>
      <c r="CG397" s="38">
        <f t="shared" si="389"/>
        <v>7.9516920481339994</v>
      </c>
      <c r="CH397" s="15"/>
      <c r="CI397" s="16"/>
      <c r="CJ397" s="13"/>
      <c r="CK397" s="104"/>
      <c r="CL397" s="13"/>
      <c r="CM397" s="13"/>
      <c r="CN397" s="13"/>
      <c r="CO397" s="16"/>
      <c r="CP397" s="16"/>
      <c r="CQ397" s="16"/>
      <c r="CR397" s="16"/>
      <c r="CS397" s="16"/>
      <c r="CT397" s="16"/>
      <c r="CU397" s="16"/>
      <c r="CV397" s="16"/>
      <c r="CW397" s="16"/>
      <c r="CX397" s="16"/>
      <c r="CY397" s="104"/>
      <c r="CZ397" s="104"/>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3"/>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row>
    <row r="398" spans="1:167" x14ac:dyDescent="0.25">
      <c r="A398" s="35" t="s">
        <v>85</v>
      </c>
      <c r="B398" s="15">
        <v>1371</v>
      </c>
      <c r="C398" s="102" t="s">
        <v>98</v>
      </c>
      <c r="D398" s="102" t="s">
        <v>105</v>
      </c>
      <c r="E398" s="15">
        <v>378</v>
      </c>
      <c r="F398" s="16">
        <v>54.79</v>
      </c>
      <c r="G398" s="16">
        <v>0</v>
      </c>
      <c r="H398" s="16">
        <v>27.82</v>
      </c>
      <c r="I398" s="16">
        <v>0</v>
      </c>
      <c r="J398" s="44">
        <v>0.49199999999999999</v>
      </c>
      <c r="K398" s="16">
        <v>0</v>
      </c>
      <c r="L398" s="16">
        <v>0</v>
      </c>
      <c r="M398" s="16">
        <v>10.53</v>
      </c>
      <c r="N398" s="16">
        <v>5.81</v>
      </c>
      <c r="O398" s="16">
        <v>0.17199999999999999</v>
      </c>
      <c r="P398" s="16">
        <v>0</v>
      </c>
      <c r="Q398" s="16"/>
      <c r="R398" s="16"/>
      <c r="S398" s="16">
        <f t="shared" si="335"/>
        <v>99.614000000000004</v>
      </c>
      <c r="T398" s="16"/>
      <c r="U398" s="15">
        <v>1</v>
      </c>
      <c r="V398" s="15">
        <v>6</v>
      </c>
      <c r="W398" s="15">
        <v>64.5</v>
      </c>
      <c r="X398" s="15" t="s">
        <v>258</v>
      </c>
      <c r="Y398" s="15"/>
      <c r="Z398" s="37">
        <v>8</v>
      </c>
      <c r="AA398" s="37">
        <v>5</v>
      </c>
      <c r="AB398" s="15"/>
      <c r="AC398" s="38">
        <f t="shared" si="336"/>
        <v>2.4877275108737411</v>
      </c>
      <c r="AD398" s="38">
        <f t="shared" si="337"/>
        <v>0</v>
      </c>
      <c r="AE398" s="38">
        <f t="shared" si="338"/>
        <v>1.4886367183129083</v>
      </c>
      <c r="AF398" s="38">
        <f t="shared" si="339"/>
        <v>0</v>
      </c>
      <c r="AG398" s="38">
        <f t="shared" si="340"/>
        <v>1.8679694222076455E-2</v>
      </c>
      <c r="AH398" s="38">
        <f t="shared" si="341"/>
        <v>0</v>
      </c>
      <c r="AI398" s="38">
        <f t="shared" si="342"/>
        <v>0</v>
      </c>
      <c r="AJ398" s="38">
        <f t="shared" si="343"/>
        <v>0.51221441764326636</v>
      </c>
      <c r="AK398" s="38">
        <f t="shared" si="344"/>
        <v>0.51142975136645719</v>
      </c>
      <c r="AL398" s="38">
        <f t="shared" si="345"/>
        <v>9.9618264691654669E-3</v>
      </c>
      <c r="AM398" s="38">
        <f t="shared" si="346"/>
        <v>0</v>
      </c>
      <c r="AN398" s="38">
        <f t="shared" si="347"/>
        <v>0</v>
      </c>
      <c r="AO398" s="38">
        <f t="shared" si="348"/>
        <v>0</v>
      </c>
      <c r="AP398" s="38">
        <f t="shared" si="349"/>
        <v>5.0286499188876146</v>
      </c>
      <c r="AQ398" s="38">
        <f t="shared" si="350"/>
        <v>3.9763642291866494</v>
      </c>
      <c r="AR398" s="38">
        <f t="shared" si="351"/>
        <v>1.033605995478889</v>
      </c>
      <c r="AS398" s="40"/>
      <c r="AT398" s="38">
        <f t="shared" si="352"/>
        <v>2.4735540860876335</v>
      </c>
      <c r="AU398" s="38">
        <f t="shared" si="353"/>
        <v>0</v>
      </c>
      <c r="AV398" s="38">
        <f t="shared" si="354"/>
        <v>1.480155451587102</v>
      </c>
      <c r="AW398" s="38">
        <f t="shared" si="355"/>
        <v>0</v>
      </c>
      <c r="AX398" s="38">
        <f t="shared" si="356"/>
        <v>0</v>
      </c>
      <c r="AY398" s="38">
        <f t="shared" si="357"/>
        <v>1.8573269688068265E-2</v>
      </c>
      <c r="AZ398" s="38">
        <f t="shared" si="358"/>
        <v>0</v>
      </c>
      <c r="BA398" s="38">
        <f t="shared" si="359"/>
        <v>0</v>
      </c>
      <c r="BB398" s="38">
        <f t="shared" si="360"/>
        <v>0.50929615891473023</v>
      </c>
      <c r="BC398" s="38">
        <f t="shared" si="361"/>
        <v>0.50851596314701331</v>
      </c>
      <c r="BD398" s="38">
        <f t="shared" si="362"/>
        <v>9.9050705754529025E-3</v>
      </c>
      <c r="BE398" s="38">
        <f t="shared" si="363"/>
        <v>0</v>
      </c>
      <c r="BF398" s="38">
        <f t="shared" si="364"/>
        <v>0</v>
      </c>
      <c r="BG398" s="38">
        <f t="shared" si="365"/>
        <v>0</v>
      </c>
      <c r="BH398" s="41">
        <f t="shared" si="366"/>
        <v>5</v>
      </c>
      <c r="BI398" s="42">
        <f t="shared" si="367"/>
        <v>7.9637079298639861</v>
      </c>
      <c r="BJ398" s="38">
        <f t="shared" si="368"/>
        <v>3.9537095376747358</v>
      </c>
      <c r="BK398" s="38">
        <f t="shared" si="369"/>
        <v>1.0277171926371964</v>
      </c>
      <c r="BL398" s="16"/>
      <c r="BM398" s="16">
        <f t="shared" si="370"/>
        <v>0.49556061002330765</v>
      </c>
      <c r="BN398" s="16">
        <f t="shared" si="371"/>
        <v>0.49480145587729707</v>
      </c>
      <c r="BO398" s="16">
        <f t="shared" si="372"/>
        <v>9.6379340993953573E-3</v>
      </c>
      <c r="BP398" s="15"/>
      <c r="BQ398" s="38">
        <f t="shared" si="373"/>
        <v>0.91195073235685753</v>
      </c>
      <c r="BR398" s="38">
        <f t="shared" si="374"/>
        <v>0</v>
      </c>
      <c r="BS398" s="38">
        <f t="shared" si="375"/>
        <v>0.54570419772459788</v>
      </c>
      <c r="BT398" s="38">
        <f t="shared" si="376"/>
        <v>0</v>
      </c>
      <c r="BU398" s="38">
        <f t="shared" si="377"/>
        <v>6.8475991649269317E-3</v>
      </c>
      <c r="BV398" s="38">
        <f t="shared" si="378"/>
        <v>0</v>
      </c>
      <c r="BW398" s="38">
        <f t="shared" si="379"/>
        <v>0</v>
      </c>
      <c r="BX398" s="38">
        <f t="shared" si="380"/>
        <v>0.18776747503566332</v>
      </c>
      <c r="BY398" s="38">
        <f t="shared" si="381"/>
        <v>0.18747983220393674</v>
      </c>
      <c r="BZ398" s="38">
        <f t="shared" si="382"/>
        <v>3.6518046709129509E-3</v>
      </c>
      <c r="CA398" s="38">
        <f t="shared" si="383"/>
        <v>0</v>
      </c>
      <c r="CB398" s="38">
        <f t="shared" si="384"/>
        <v>0</v>
      </c>
      <c r="CC398" s="38">
        <f t="shared" si="385"/>
        <v>0</v>
      </c>
      <c r="CD398" s="38">
        <f t="shared" si="386"/>
        <v>1.8434016411568952</v>
      </c>
      <c r="CE398" s="38">
        <f t="shared" si="387"/>
        <v>2.9326386539386275</v>
      </c>
      <c r="CF398" s="38">
        <f t="shared" si="388"/>
        <v>2.7123768843246032</v>
      </c>
      <c r="CG398" s="38">
        <f t="shared" si="389"/>
        <v>7.9544212950199524</v>
      </c>
      <c r="CH398" s="15"/>
      <c r="CI398" s="16"/>
      <c r="CJ398" s="13"/>
      <c r="CK398" s="104"/>
      <c r="CL398" s="13"/>
      <c r="CM398" s="13"/>
      <c r="CN398" s="13"/>
      <c r="CO398" s="16"/>
      <c r="CP398" s="16"/>
      <c r="CQ398" s="16"/>
      <c r="CR398" s="16"/>
      <c r="CS398" s="16"/>
      <c r="CT398" s="16"/>
      <c r="CU398" s="16"/>
      <c r="CV398" s="16"/>
      <c r="CW398" s="16"/>
      <c r="CX398" s="16"/>
      <c r="CY398" s="104"/>
      <c r="CZ398" s="104"/>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3"/>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row>
    <row r="399" spans="1:167" x14ac:dyDescent="0.25">
      <c r="A399" s="35" t="s">
        <v>85</v>
      </c>
      <c r="B399" s="15">
        <v>1372</v>
      </c>
      <c r="C399" s="102" t="s">
        <v>98</v>
      </c>
      <c r="D399" s="102" t="s">
        <v>105</v>
      </c>
      <c r="E399" s="15">
        <v>379</v>
      </c>
      <c r="F399" s="16">
        <v>55.74</v>
      </c>
      <c r="G399" s="16">
        <v>0</v>
      </c>
      <c r="H399" s="16">
        <v>27.03</v>
      </c>
      <c r="I399" s="16">
        <v>0</v>
      </c>
      <c r="J399" s="44">
        <v>0.499</v>
      </c>
      <c r="K399" s="16">
        <v>0</v>
      </c>
      <c r="L399" s="16">
        <v>0</v>
      </c>
      <c r="M399" s="16">
        <v>9.52</v>
      </c>
      <c r="N399" s="16">
        <v>6.4</v>
      </c>
      <c r="O399" s="16">
        <v>0.23100000000000001</v>
      </c>
      <c r="P399" s="16">
        <v>0</v>
      </c>
      <c r="Q399" s="16"/>
      <c r="R399" s="16"/>
      <c r="S399" s="16">
        <f t="shared" si="335"/>
        <v>99.42</v>
      </c>
      <c r="T399" s="16"/>
      <c r="U399" s="15">
        <v>1</v>
      </c>
      <c r="V399" s="15">
        <v>7</v>
      </c>
      <c r="W399" s="15">
        <v>77.400000000000006</v>
      </c>
      <c r="X399" s="15" t="s">
        <v>258</v>
      </c>
      <c r="Y399" s="15"/>
      <c r="Z399" s="37">
        <v>8</v>
      </c>
      <c r="AA399" s="37">
        <v>5</v>
      </c>
      <c r="AB399" s="15"/>
      <c r="AC399" s="38">
        <f t="shared" si="336"/>
        <v>2.5303330884261275</v>
      </c>
      <c r="AD399" s="38">
        <f t="shared" si="337"/>
        <v>0</v>
      </c>
      <c r="AE399" s="38">
        <f t="shared" si="338"/>
        <v>1.4460618504790521</v>
      </c>
      <c r="AF399" s="38">
        <f t="shared" si="339"/>
        <v>0</v>
      </c>
      <c r="AG399" s="38">
        <f t="shared" si="340"/>
        <v>1.8941502578296396E-2</v>
      </c>
      <c r="AH399" s="38">
        <f t="shared" si="341"/>
        <v>0</v>
      </c>
      <c r="AI399" s="38">
        <f t="shared" si="342"/>
        <v>0</v>
      </c>
      <c r="AJ399" s="38">
        <f t="shared" si="343"/>
        <v>0.46298785379552521</v>
      </c>
      <c r="AK399" s="38">
        <f t="shared" si="344"/>
        <v>0.56324721373070863</v>
      </c>
      <c r="AL399" s="38">
        <f t="shared" si="345"/>
        <v>1.3376168379982373E-2</v>
      </c>
      <c r="AM399" s="38">
        <f t="shared" si="346"/>
        <v>0</v>
      </c>
      <c r="AN399" s="38">
        <f t="shared" si="347"/>
        <v>0</v>
      </c>
      <c r="AO399" s="38">
        <f t="shared" si="348"/>
        <v>0</v>
      </c>
      <c r="AP399" s="38">
        <f t="shared" si="349"/>
        <v>5.0349476773896908</v>
      </c>
      <c r="AQ399" s="38">
        <f t="shared" si="350"/>
        <v>3.9763949389051794</v>
      </c>
      <c r="AR399" s="38">
        <f t="shared" si="351"/>
        <v>1.0396112359062162</v>
      </c>
      <c r="AS399" s="40"/>
      <c r="AT399" s="38">
        <f t="shared" si="352"/>
        <v>2.512769993409294</v>
      </c>
      <c r="AU399" s="38">
        <f t="shared" si="353"/>
        <v>0</v>
      </c>
      <c r="AV399" s="38">
        <f t="shared" si="354"/>
        <v>1.4360247048572561</v>
      </c>
      <c r="AW399" s="38">
        <f t="shared" si="355"/>
        <v>0</v>
      </c>
      <c r="AX399" s="38">
        <f t="shared" si="356"/>
        <v>0</v>
      </c>
      <c r="AY399" s="38">
        <f t="shared" si="357"/>
        <v>1.8810029211779603E-2</v>
      </c>
      <c r="AZ399" s="38">
        <f t="shared" si="358"/>
        <v>0</v>
      </c>
      <c r="BA399" s="38">
        <f t="shared" si="359"/>
        <v>0</v>
      </c>
      <c r="BB399" s="38">
        <f t="shared" si="360"/>
        <v>0.45977424539549105</v>
      </c>
      <c r="BC399" s="38">
        <f t="shared" si="361"/>
        <v>0.5593377030113621</v>
      </c>
      <c r="BD399" s="38">
        <f t="shared" si="362"/>
        <v>1.3283324114816905E-2</v>
      </c>
      <c r="BE399" s="38">
        <f t="shared" si="363"/>
        <v>0</v>
      </c>
      <c r="BF399" s="38">
        <f t="shared" si="364"/>
        <v>0</v>
      </c>
      <c r="BG399" s="38">
        <f t="shared" si="365"/>
        <v>0</v>
      </c>
      <c r="BH399" s="41">
        <f t="shared" si="366"/>
        <v>5</v>
      </c>
      <c r="BI399" s="42">
        <f t="shared" si="367"/>
        <v>7.9538768468807222</v>
      </c>
      <c r="BJ399" s="38">
        <f t="shared" si="368"/>
        <v>3.9487946982665498</v>
      </c>
      <c r="BK399" s="38">
        <f t="shared" si="369"/>
        <v>1.0323952725216701</v>
      </c>
      <c r="BL399" s="16"/>
      <c r="BM399" s="16">
        <f t="shared" si="370"/>
        <v>0.4453471045760144</v>
      </c>
      <c r="BN399" s="16">
        <f t="shared" si="371"/>
        <v>0.54178638540755386</v>
      </c>
      <c r="BO399" s="16">
        <f t="shared" si="372"/>
        <v>1.28665100164318E-2</v>
      </c>
      <c r="BP399" s="15"/>
      <c r="BQ399" s="38">
        <f t="shared" si="373"/>
        <v>0.92776298268974711</v>
      </c>
      <c r="BR399" s="38">
        <f t="shared" si="374"/>
        <v>0</v>
      </c>
      <c r="BS399" s="38">
        <f t="shared" si="375"/>
        <v>0.5302079246763437</v>
      </c>
      <c r="BT399" s="38">
        <f t="shared" si="376"/>
        <v>0</v>
      </c>
      <c r="BU399" s="38">
        <f t="shared" si="377"/>
        <v>6.945024356297843E-3</v>
      </c>
      <c r="BV399" s="38">
        <f t="shared" si="378"/>
        <v>0</v>
      </c>
      <c r="BW399" s="38">
        <f t="shared" si="379"/>
        <v>0</v>
      </c>
      <c r="BX399" s="38">
        <f t="shared" si="380"/>
        <v>0.16975748930099857</v>
      </c>
      <c r="BY399" s="38">
        <f t="shared" si="381"/>
        <v>0.20651823168764119</v>
      </c>
      <c r="BZ399" s="38">
        <f t="shared" si="382"/>
        <v>4.9044585987261151E-3</v>
      </c>
      <c r="CA399" s="38">
        <f t="shared" si="383"/>
        <v>0</v>
      </c>
      <c r="CB399" s="38">
        <f t="shared" si="384"/>
        <v>0</v>
      </c>
      <c r="CC399" s="38">
        <f t="shared" si="385"/>
        <v>0</v>
      </c>
      <c r="CD399" s="38">
        <f t="shared" si="386"/>
        <v>1.8460961113097545</v>
      </c>
      <c r="CE399" s="38">
        <f t="shared" si="387"/>
        <v>2.9332517111944898</v>
      </c>
      <c r="CF399" s="38">
        <f t="shared" si="388"/>
        <v>2.7084180338003296</v>
      </c>
      <c r="CG399" s="38">
        <f t="shared" si="389"/>
        <v>7.9444718322748322</v>
      </c>
      <c r="CH399" s="15"/>
      <c r="CI399" s="16"/>
      <c r="CJ399" s="13"/>
      <c r="CK399" s="104"/>
      <c r="CL399" s="13"/>
      <c r="CM399" s="13"/>
      <c r="CN399" s="13"/>
      <c r="CO399" s="16"/>
      <c r="CP399" s="16"/>
      <c r="CQ399" s="16"/>
      <c r="CR399" s="16"/>
      <c r="CS399" s="16"/>
      <c r="CT399" s="16"/>
      <c r="CU399" s="16"/>
      <c r="CV399" s="16"/>
      <c r="CW399" s="16"/>
      <c r="CX399" s="16"/>
      <c r="CY399" s="104"/>
      <c r="CZ399" s="104"/>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3"/>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row>
    <row r="400" spans="1:167" x14ac:dyDescent="0.25">
      <c r="A400" s="35" t="s">
        <v>85</v>
      </c>
      <c r="B400" s="15">
        <v>1373</v>
      </c>
      <c r="C400" s="102" t="s">
        <v>98</v>
      </c>
      <c r="D400" s="102" t="s">
        <v>105</v>
      </c>
      <c r="E400" s="15">
        <v>380</v>
      </c>
      <c r="F400" s="16">
        <v>57.23</v>
      </c>
      <c r="G400" s="16">
        <v>0</v>
      </c>
      <c r="H400" s="16">
        <v>26.13</v>
      </c>
      <c r="I400" s="16">
        <v>0</v>
      </c>
      <c r="J400" s="44">
        <v>0.48599999999999999</v>
      </c>
      <c r="K400" s="16">
        <v>0</v>
      </c>
      <c r="L400" s="16">
        <v>0</v>
      </c>
      <c r="M400" s="16">
        <v>8.5</v>
      </c>
      <c r="N400" s="16">
        <v>7</v>
      </c>
      <c r="O400" s="16">
        <v>0.28899999999999998</v>
      </c>
      <c r="P400" s="16">
        <v>0</v>
      </c>
      <c r="Q400" s="16"/>
      <c r="R400" s="16"/>
      <c r="S400" s="16">
        <f t="shared" si="335"/>
        <v>99.635000000000005</v>
      </c>
      <c r="T400" s="16"/>
      <c r="U400" s="15">
        <v>1</v>
      </c>
      <c r="V400" s="15">
        <v>8</v>
      </c>
      <c r="W400" s="15">
        <v>90.300000000000011</v>
      </c>
      <c r="X400" s="15" t="s">
        <v>258</v>
      </c>
      <c r="Y400" s="15"/>
      <c r="Z400" s="37">
        <v>8</v>
      </c>
      <c r="AA400" s="37">
        <v>5</v>
      </c>
      <c r="AB400" s="15"/>
      <c r="AC400" s="38">
        <f t="shared" si="336"/>
        <v>2.5847133648579463</v>
      </c>
      <c r="AD400" s="38">
        <f t="shared" si="337"/>
        <v>0</v>
      </c>
      <c r="AE400" s="38">
        <f t="shared" si="338"/>
        <v>1.3907790662244841</v>
      </c>
      <c r="AF400" s="38">
        <f t="shared" si="339"/>
        <v>0</v>
      </c>
      <c r="AG400" s="38">
        <f t="shared" si="340"/>
        <v>1.8353887413697725E-2</v>
      </c>
      <c r="AH400" s="38">
        <f t="shared" si="341"/>
        <v>0</v>
      </c>
      <c r="AI400" s="38">
        <f t="shared" si="342"/>
        <v>0</v>
      </c>
      <c r="AJ400" s="38">
        <f t="shared" si="343"/>
        <v>0.41127232593687962</v>
      </c>
      <c r="AK400" s="38">
        <f t="shared" si="344"/>
        <v>0.61290763346727206</v>
      </c>
      <c r="AL400" s="38">
        <f t="shared" si="345"/>
        <v>1.6649281726334758E-2</v>
      </c>
      <c r="AM400" s="38">
        <f t="shared" si="346"/>
        <v>0</v>
      </c>
      <c r="AN400" s="38">
        <f t="shared" si="347"/>
        <v>0</v>
      </c>
      <c r="AO400" s="38">
        <f t="shared" si="348"/>
        <v>0</v>
      </c>
      <c r="AP400" s="38">
        <f t="shared" si="349"/>
        <v>5.0346755596266153</v>
      </c>
      <c r="AQ400" s="38">
        <f t="shared" si="350"/>
        <v>3.9754924310824302</v>
      </c>
      <c r="AR400" s="38">
        <f t="shared" si="351"/>
        <v>1.0408292411304865</v>
      </c>
      <c r="AS400" s="40"/>
      <c r="AT400" s="38">
        <f t="shared" si="352"/>
        <v>2.5669115459841425</v>
      </c>
      <c r="AU400" s="38">
        <f t="shared" si="353"/>
        <v>0</v>
      </c>
      <c r="AV400" s="38">
        <f t="shared" si="354"/>
        <v>1.3812002876384233</v>
      </c>
      <c r="AW400" s="38">
        <f t="shared" si="355"/>
        <v>0</v>
      </c>
      <c r="AX400" s="38">
        <f t="shared" si="356"/>
        <v>0</v>
      </c>
      <c r="AY400" s="38">
        <f t="shared" si="357"/>
        <v>1.8227477814934809E-2</v>
      </c>
      <c r="AZ400" s="38">
        <f t="shared" si="358"/>
        <v>0</v>
      </c>
      <c r="BA400" s="38">
        <f t="shared" si="359"/>
        <v>0</v>
      </c>
      <c r="BB400" s="38">
        <f t="shared" si="360"/>
        <v>0.40843975055205017</v>
      </c>
      <c r="BC400" s="38">
        <f t="shared" si="361"/>
        <v>0.60868632567132785</v>
      </c>
      <c r="BD400" s="38">
        <f t="shared" si="362"/>
        <v>1.6534612339121128E-2</v>
      </c>
      <c r="BE400" s="38">
        <f t="shared" si="363"/>
        <v>0</v>
      </c>
      <c r="BF400" s="38">
        <f t="shared" si="364"/>
        <v>0</v>
      </c>
      <c r="BG400" s="38">
        <f t="shared" si="365"/>
        <v>0</v>
      </c>
      <c r="BH400" s="41">
        <f t="shared" si="366"/>
        <v>4.9999999999999991</v>
      </c>
      <c r="BI400" s="42">
        <f t="shared" si="367"/>
        <v>7.9540149597055967</v>
      </c>
      <c r="BJ400" s="38">
        <f t="shared" si="368"/>
        <v>3.9481118336225656</v>
      </c>
      <c r="BK400" s="38">
        <f t="shared" si="369"/>
        <v>1.0336606885624993</v>
      </c>
      <c r="BL400" s="16"/>
      <c r="BM400" s="16">
        <f t="shared" si="370"/>
        <v>0.39513909648635565</v>
      </c>
      <c r="BN400" s="16">
        <f t="shared" si="371"/>
        <v>0.58886473327898481</v>
      </c>
      <c r="BO400" s="16">
        <f t="shared" si="372"/>
        <v>1.5996170234659535E-2</v>
      </c>
      <c r="BP400" s="15"/>
      <c r="BQ400" s="38">
        <f t="shared" si="373"/>
        <v>0.95256324900133149</v>
      </c>
      <c r="BR400" s="38">
        <f t="shared" si="374"/>
        <v>0</v>
      </c>
      <c r="BS400" s="38">
        <f t="shared" si="375"/>
        <v>0.51255394272263632</v>
      </c>
      <c r="BT400" s="38">
        <f t="shared" si="376"/>
        <v>0</v>
      </c>
      <c r="BU400" s="38">
        <f t="shared" si="377"/>
        <v>6.7640918580375783E-3</v>
      </c>
      <c r="BV400" s="38">
        <f t="shared" si="378"/>
        <v>0</v>
      </c>
      <c r="BW400" s="38">
        <f t="shared" si="379"/>
        <v>0</v>
      </c>
      <c r="BX400" s="38">
        <f t="shared" si="380"/>
        <v>0.15156918687589158</v>
      </c>
      <c r="BY400" s="38">
        <f t="shared" si="381"/>
        <v>0.22587931590835755</v>
      </c>
      <c r="BZ400" s="38">
        <f t="shared" si="382"/>
        <v>6.13588110403397E-3</v>
      </c>
      <c r="CA400" s="38">
        <f t="shared" si="383"/>
        <v>0</v>
      </c>
      <c r="CB400" s="38">
        <f t="shared" si="384"/>
        <v>0</v>
      </c>
      <c r="CC400" s="38">
        <f t="shared" si="385"/>
        <v>0</v>
      </c>
      <c r="CD400" s="38">
        <f t="shared" si="386"/>
        <v>1.8554656674702885</v>
      </c>
      <c r="CE400" s="38">
        <f t="shared" si="387"/>
        <v>2.9482982893267424</v>
      </c>
      <c r="CF400" s="38">
        <f t="shared" si="388"/>
        <v>2.6947413189363498</v>
      </c>
      <c r="CG400" s="38">
        <f t="shared" si="389"/>
        <v>7.9449012207981298</v>
      </c>
      <c r="CH400" s="15"/>
      <c r="CI400" s="16"/>
      <c r="CJ400" s="13"/>
      <c r="CK400" s="104"/>
      <c r="CL400" s="13"/>
      <c r="CM400" s="13"/>
      <c r="CN400" s="13"/>
      <c r="CO400" s="16"/>
      <c r="CP400" s="16"/>
      <c r="CQ400" s="16"/>
      <c r="CR400" s="16"/>
      <c r="CS400" s="16"/>
      <c r="CT400" s="16"/>
      <c r="CU400" s="16"/>
      <c r="CV400" s="16"/>
      <c r="CW400" s="16"/>
      <c r="CX400" s="16"/>
      <c r="CY400" s="104"/>
      <c r="CZ400" s="104"/>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3"/>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row>
    <row r="401" spans="1:167" x14ac:dyDescent="0.25">
      <c r="A401" s="35" t="s">
        <v>85</v>
      </c>
      <c r="B401" s="15">
        <v>1374</v>
      </c>
      <c r="C401" s="102" t="s">
        <v>98</v>
      </c>
      <c r="D401" s="102" t="s">
        <v>105</v>
      </c>
      <c r="E401" s="15">
        <v>381</v>
      </c>
      <c r="F401" s="16">
        <v>58.27</v>
      </c>
      <c r="G401" s="16">
        <v>0</v>
      </c>
      <c r="H401" s="16">
        <v>25.84</v>
      </c>
      <c r="I401" s="16">
        <v>0</v>
      </c>
      <c r="J401" s="44">
        <v>0.35599999999999998</v>
      </c>
      <c r="K401" s="16">
        <v>0</v>
      </c>
      <c r="L401" s="16">
        <v>0</v>
      </c>
      <c r="M401" s="16">
        <v>7.72</v>
      </c>
      <c r="N401" s="16">
        <v>7.43</v>
      </c>
      <c r="O401" s="16">
        <v>0.33100000000000002</v>
      </c>
      <c r="P401" s="16">
        <v>0</v>
      </c>
      <c r="Q401" s="16"/>
      <c r="R401" s="16"/>
      <c r="S401" s="16">
        <f t="shared" si="335"/>
        <v>99.946999999999989</v>
      </c>
      <c r="T401" s="16"/>
      <c r="U401" s="15">
        <v>1</v>
      </c>
      <c r="V401" s="15">
        <v>9</v>
      </c>
      <c r="W401" s="15">
        <v>103.20000000000002</v>
      </c>
      <c r="X401" s="15" t="s">
        <v>258</v>
      </c>
      <c r="Y401" s="15"/>
      <c r="Z401" s="37">
        <v>8</v>
      </c>
      <c r="AA401" s="37">
        <v>5</v>
      </c>
      <c r="AB401" s="15"/>
      <c r="AC401" s="38">
        <f t="shared" si="336"/>
        <v>2.6159315759163353</v>
      </c>
      <c r="AD401" s="38">
        <f t="shared" si="337"/>
        <v>0</v>
      </c>
      <c r="AE401" s="38">
        <f t="shared" si="338"/>
        <v>1.3671115869996364</v>
      </c>
      <c r="AF401" s="38">
        <f t="shared" si="339"/>
        <v>0</v>
      </c>
      <c r="AG401" s="38">
        <f t="shared" si="340"/>
        <v>1.3363939827268476E-2</v>
      </c>
      <c r="AH401" s="38">
        <f t="shared" si="341"/>
        <v>0</v>
      </c>
      <c r="AI401" s="38">
        <f t="shared" si="342"/>
        <v>0</v>
      </c>
      <c r="AJ401" s="38">
        <f t="shared" si="343"/>
        <v>0.37129626573138552</v>
      </c>
      <c r="AK401" s="38">
        <f t="shared" si="344"/>
        <v>0.64666376060581821</v>
      </c>
      <c r="AL401" s="38">
        <f t="shared" si="345"/>
        <v>1.8954763612624253E-2</v>
      </c>
      <c r="AM401" s="38">
        <f t="shared" si="346"/>
        <v>0</v>
      </c>
      <c r="AN401" s="38">
        <f t="shared" si="347"/>
        <v>0</v>
      </c>
      <c r="AO401" s="38">
        <f t="shared" si="348"/>
        <v>0</v>
      </c>
      <c r="AP401" s="38">
        <f t="shared" si="349"/>
        <v>5.0333218926930687</v>
      </c>
      <c r="AQ401" s="38">
        <f t="shared" si="350"/>
        <v>3.9830431629159717</v>
      </c>
      <c r="AR401" s="38">
        <f t="shared" si="351"/>
        <v>1.0369147899498279</v>
      </c>
      <c r="AS401" s="40"/>
      <c r="AT401" s="38">
        <f t="shared" si="352"/>
        <v>2.5986134323277765</v>
      </c>
      <c r="AU401" s="38">
        <f t="shared" si="353"/>
        <v>0</v>
      </c>
      <c r="AV401" s="38">
        <f t="shared" si="354"/>
        <v>1.3580609547188787</v>
      </c>
      <c r="AW401" s="38">
        <f t="shared" si="355"/>
        <v>0</v>
      </c>
      <c r="AX401" s="38">
        <f t="shared" si="356"/>
        <v>0</v>
      </c>
      <c r="AY401" s="38">
        <f t="shared" si="357"/>
        <v>1.3275467089308416E-2</v>
      </c>
      <c r="AZ401" s="38">
        <f t="shared" si="358"/>
        <v>0</v>
      </c>
      <c r="BA401" s="38">
        <f t="shared" si="359"/>
        <v>0</v>
      </c>
      <c r="BB401" s="38">
        <f t="shared" si="360"/>
        <v>0.36883818842422994</v>
      </c>
      <c r="BC401" s="38">
        <f t="shared" si="361"/>
        <v>0.64238267926455039</v>
      </c>
      <c r="BD401" s="38">
        <f t="shared" si="362"/>
        <v>1.8829278175255492E-2</v>
      </c>
      <c r="BE401" s="38">
        <f t="shared" si="363"/>
        <v>0</v>
      </c>
      <c r="BF401" s="38">
        <f t="shared" si="364"/>
        <v>0</v>
      </c>
      <c r="BG401" s="38">
        <f t="shared" si="365"/>
        <v>0</v>
      </c>
      <c r="BH401" s="41">
        <f t="shared" si="366"/>
        <v>5</v>
      </c>
      <c r="BI401" s="42">
        <f t="shared" si="367"/>
        <v>7.9536756645119668</v>
      </c>
      <c r="BJ401" s="38">
        <f t="shared" si="368"/>
        <v>3.9566743870466552</v>
      </c>
      <c r="BK401" s="38">
        <f t="shared" si="369"/>
        <v>1.0300501458640359</v>
      </c>
      <c r="BL401" s="16"/>
      <c r="BM401" s="16">
        <f t="shared" si="370"/>
        <v>0.35807789543570023</v>
      </c>
      <c r="BN401" s="16">
        <f t="shared" si="371"/>
        <v>0.62364214193251855</v>
      </c>
      <c r="BO401" s="16">
        <f t="shared" si="372"/>
        <v>1.8279962631781343E-2</v>
      </c>
      <c r="BP401" s="15"/>
      <c r="BQ401" s="38">
        <f t="shared" si="373"/>
        <v>0.96987350199733702</v>
      </c>
      <c r="BR401" s="38">
        <f t="shared" si="374"/>
        <v>0</v>
      </c>
      <c r="BS401" s="38">
        <f t="shared" si="375"/>
        <v>0.50686543742644175</v>
      </c>
      <c r="BT401" s="38">
        <f t="shared" si="376"/>
        <v>0</v>
      </c>
      <c r="BU401" s="38">
        <f t="shared" si="377"/>
        <v>4.954766875434934E-3</v>
      </c>
      <c r="BV401" s="38">
        <f t="shared" si="378"/>
        <v>0</v>
      </c>
      <c r="BW401" s="38">
        <f t="shared" si="379"/>
        <v>0</v>
      </c>
      <c r="BX401" s="38">
        <f t="shared" si="380"/>
        <v>0.13766048502139799</v>
      </c>
      <c r="BY401" s="38">
        <f t="shared" si="381"/>
        <v>0.23975475959987094</v>
      </c>
      <c r="BZ401" s="38">
        <f t="shared" si="382"/>
        <v>7.0276008492569002E-3</v>
      </c>
      <c r="CA401" s="38">
        <f t="shared" si="383"/>
        <v>0</v>
      </c>
      <c r="CB401" s="38">
        <f t="shared" si="384"/>
        <v>0</v>
      </c>
      <c r="CC401" s="38">
        <f t="shared" si="385"/>
        <v>0</v>
      </c>
      <c r="CD401" s="38">
        <f t="shared" si="386"/>
        <v>1.8661365517697397</v>
      </c>
      <c r="CE401" s="38">
        <f t="shared" si="387"/>
        <v>2.9660515922557336</v>
      </c>
      <c r="CF401" s="38">
        <f t="shared" si="388"/>
        <v>2.6793323324910383</v>
      </c>
      <c r="CG401" s="38">
        <f t="shared" si="389"/>
        <v>7.9470379309673129</v>
      </c>
      <c r="CH401" s="15"/>
      <c r="CI401" s="16"/>
      <c r="CJ401" s="13"/>
      <c r="CK401" s="104"/>
      <c r="CL401" s="13"/>
      <c r="CM401" s="13"/>
      <c r="CN401" s="13"/>
      <c r="CO401" s="16"/>
      <c r="CP401" s="16"/>
      <c r="CQ401" s="16"/>
      <c r="CR401" s="16"/>
      <c r="CS401" s="16"/>
      <c r="CT401" s="16"/>
      <c r="CU401" s="16"/>
      <c r="CV401" s="16"/>
      <c r="CW401" s="16"/>
      <c r="CX401" s="16"/>
      <c r="CY401" s="104"/>
      <c r="CZ401" s="104"/>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3"/>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row>
    <row r="402" spans="1:167" x14ac:dyDescent="0.25">
      <c r="A402" s="35" t="s">
        <v>85</v>
      </c>
      <c r="B402" s="15">
        <v>1375</v>
      </c>
      <c r="C402" s="102" t="s">
        <v>98</v>
      </c>
      <c r="D402" s="102" t="s">
        <v>105</v>
      </c>
      <c r="E402" s="15">
        <v>382</v>
      </c>
      <c r="F402" s="16">
        <v>64.47</v>
      </c>
      <c r="G402" s="16">
        <v>0</v>
      </c>
      <c r="H402" s="16">
        <v>20.38</v>
      </c>
      <c r="I402" s="16">
        <v>0</v>
      </c>
      <c r="J402" s="44">
        <v>0.26700000000000002</v>
      </c>
      <c r="K402" s="16">
        <v>0</v>
      </c>
      <c r="L402" s="16">
        <v>0</v>
      </c>
      <c r="M402" s="16">
        <v>1.98</v>
      </c>
      <c r="N402" s="16">
        <v>10.41</v>
      </c>
      <c r="O402" s="16">
        <v>1.72</v>
      </c>
      <c r="P402" s="16">
        <v>0</v>
      </c>
      <c r="Q402" s="16"/>
      <c r="R402" s="16"/>
      <c r="S402" s="16">
        <f t="shared" si="335"/>
        <v>99.22699999999999</v>
      </c>
      <c r="T402" s="16"/>
      <c r="U402" s="15">
        <v>1</v>
      </c>
      <c r="V402" s="15">
        <v>10</v>
      </c>
      <c r="W402" s="15">
        <v>116.10000000000002</v>
      </c>
      <c r="X402" s="15" t="s">
        <v>186</v>
      </c>
      <c r="Y402" s="15"/>
      <c r="Z402" s="37">
        <v>8</v>
      </c>
      <c r="AA402" s="37">
        <v>5</v>
      </c>
      <c r="AB402" s="15"/>
      <c r="AC402" s="38">
        <f t="shared" si="336"/>
        <v>2.8894253839841659</v>
      </c>
      <c r="AD402" s="38">
        <f t="shared" si="337"/>
        <v>0</v>
      </c>
      <c r="AE402" s="38">
        <f t="shared" si="338"/>
        <v>1.0764356836748561</v>
      </c>
      <c r="AF402" s="38">
        <f t="shared" si="339"/>
        <v>0</v>
      </c>
      <c r="AG402" s="38">
        <f t="shared" si="340"/>
        <v>1.0006178050614998E-2</v>
      </c>
      <c r="AH402" s="38">
        <f t="shared" si="341"/>
        <v>0</v>
      </c>
      <c r="AI402" s="38">
        <f t="shared" si="342"/>
        <v>0</v>
      </c>
      <c r="AJ402" s="38">
        <f t="shared" si="343"/>
        <v>9.5069437188088787E-2</v>
      </c>
      <c r="AK402" s="38">
        <f t="shared" si="344"/>
        <v>0.90450899655572303</v>
      </c>
      <c r="AL402" s="38">
        <f t="shared" si="345"/>
        <v>9.8331186005638047E-2</v>
      </c>
      <c r="AM402" s="38">
        <f t="shared" si="346"/>
        <v>0</v>
      </c>
      <c r="AN402" s="38">
        <f t="shared" si="347"/>
        <v>0</v>
      </c>
      <c r="AO402" s="38">
        <f t="shared" si="348"/>
        <v>0</v>
      </c>
      <c r="AP402" s="38">
        <f t="shared" si="349"/>
        <v>5.0737768654590871</v>
      </c>
      <c r="AQ402" s="38">
        <f t="shared" si="350"/>
        <v>3.9658610676590218</v>
      </c>
      <c r="AR402" s="38">
        <f t="shared" si="351"/>
        <v>1.0979096197494498</v>
      </c>
      <c r="AS402" s="40"/>
      <c r="AT402" s="38">
        <f t="shared" si="352"/>
        <v>2.8474107756438798</v>
      </c>
      <c r="AU402" s="38">
        <f t="shared" si="353"/>
        <v>0</v>
      </c>
      <c r="AV402" s="38">
        <f t="shared" si="354"/>
        <v>1.0607834284189179</v>
      </c>
      <c r="AW402" s="38">
        <f t="shared" si="355"/>
        <v>0</v>
      </c>
      <c r="AX402" s="38">
        <f t="shared" si="356"/>
        <v>0</v>
      </c>
      <c r="AY402" s="38">
        <f t="shared" si="357"/>
        <v>9.8606800377194128E-3</v>
      </c>
      <c r="AZ402" s="38">
        <f t="shared" si="358"/>
        <v>0</v>
      </c>
      <c r="BA402" s="38">
        <f t="shared" si="359"/>
        <v>0</v>
      </c>
      <c r="BB402" s="38">
        <f t="shared" si="360"/>
        <v>9.3687049814208487E-2</v>
      </c>
      <c r="BC402" s="38">
        <f t="shared" si="361"/>
        <v>0.8913566959491046</v>
      </c>
      <c r="BD402" s="38">
        <f t="shared" si="362"/>
        <v>9.6901370136170575E-2</v>
      </c>
      <c r="BE402" s="38">
        <f t="shared" si="363"/>
        <v>0</v>
      </c>
      <c r="BF402" s="38">
        <f t="shared" si="364"/>
        <v>0</v>
      </c>
      <c r="BG402" s="38">
        <f t="shared" si="365"/>
        <v>0</v>
      </c>
      <c r="BH402" s="41">
        <f t="shared" si="366"/>
        <v>5.0000000000000009</v>
      </c>
      <c r="BI402" s="42">
        <f t="shared" si="367"/>
        <v>7.8886037968295621</v>
      </c>
      <c r="BJ402" s="38">
        <f t="shared" si="368"/>
        <v>3.9081942040627977</v>
      </c>
      <c r="BK402" s="38">
        <f t="shared" si="369"/>
        <v>1.0819451158994837</v>
      </c>
      <c r="BL402" s="16"/>
      <c r="BM402" s="16">
        <f t="shared" si="370"/>
        <v>8.6591314510737469E-2</v>
      </c>
      <c r="BN402" s="16">
        <f t="shared" si="371"/>
        <v>0.82384649909720065</v>
      </c>
      <c r="BO402" s="16">
        <f t="shared" si="372"/>
        <v>8.9562186392061913E-2</v>
      </c>
      <c r="BP402" s="15"/>
      <c r="BQ402" s="38">
        <f t="shared" si="373"/>
        <v>1.073069241011984</v>
      </c>
      <c r="BR402" s="38">
        <f t="shared" si="374"/>
        <v>0</v>
      </c>
      <c r="BS402" s="38">
        <f t="shared" si="375"/>
        <v>0.3997646135739506</v>
      </c>
      <c r="BT402" s="38">
        <f t="shared" si="376"/>
        <v>0</v>
      </c>
      <c r="BU402" s="38">
        <f t="shared" si="377"/>
        <v>3.7160751565762009E-3</v>
      </c>
      <c r="BV402" s="38">
        <f t="shared" si="378"/>
        <v>0</v>
      </c>
      <c r="BW402" s="38">
        <f t="shared" si="379"/>
        <v>0</v>
      </c>
      <c r="BX402" s="38">
        <f t="shared" si="380"/>
        <v>3.5306704707560629E-2</v>
      </c>
      <c r="BY402" s="38">
        <f t="shared" si="381"/>
        <v>0.33591481122942884</v>
      </c>
      <c r="BZ402" s="38">
        <f t="shared" si="382"/>
        <v>3.6518046709129511E-2</v>
      </c>
      <c r="CA402" s="38">
        <f t="shared" si="383"/>
        <v>0</v>
      </c>
      <c r="CB402" s="38">
        <f t="shared" si="384"/>
        <v>0</v>
      </c>
      <c r="CC402" s="38">
        <f t="shared" si="385"/>
        <v>0</v>
      </c>
      <c r="CD402" s="38">
        <f t="shared" si="386"/>
        <v>1.8842894923886295</v>
      </c>
      <c r="CE402" s="38">
        <f t="shared" si="387"/>
        <v>2.9710246112183101</v>
      </c>
      <c r="CF402" s="38">
        <f t="shared" si="388"/>
        <v>2.6535200775660663</v>
      </c>
      <c r="CG402" s="38">
        <f t="shared" si="389"/>
        <v>7.8836734568107021</v>
      </c>
      <c r="CH402" s="15"/>
      <c r="CI402" s="16"/>
      <c r="CJ402" s="13"/>
      <c r="CK402" s="104"/>
      <c r="CL402" s="13"/>
      <c r="CM402" s="13"/>
      <c r="CN402" s="13"/>
      <c r="CO402" s="16"/>
      <c r="CP402" s="16"/>
      <c r="CQ402" s="16"/>
      <c r="CR402" s="16"/>
      <c r="CS402" s="16"/>
      <c r="CT402" s="16"/>
      <c r="CU402" s="16"/>
      <c r="CV402" s="16"/>
      <c r="CW402" s="16"/>
      <c r="CX402" s="16"/>
      <c r="CY402" s="104"/>
      <c r="CZ402" s="104"/>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3"/>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row>
    <row r="403" spans="1:167" x14ac:dyDescent="0.25">
      <c r="A403" s="35" t="s">
        <v>85</v>
      </c>
      <c r="B403" s="15">
        <v>1376</v>
      </c>
      <c r="C403" s="102" t="s">
        <v>98</v>
      </c>
      <c r="D403" s="102" t="s">
        <v>105</v>
      </c>
      <c r="E403" s="15">
        <v>383</v>
      </c>
      <c r="F403" s="16">
        <v>64.510000000000005</v>
      </c>
      <c r="G403" s="16">
        <v>0</v>
      </c>
      <c r="H403" s="16">
        <v>20.29</v>
      </c>
      <c r="I403" s="16">
        <v>0</v>
      </c>
      <c r="J403" s="44">
        <v>0.23699999999999999</v>
      </c>
      <c r="K403" s="16">
        <v>0</v>
      </c>
      <c r="L403" s="16">
        <v>0</v>
      </c>
      <c r="M403" s="16">
        <v>1.96</v>
      </c>
      <c r="N403" s="16">
        <v>10.130000000000001</v>
      </c>
      <c r="O403" s="16">
        <v>1.75</v>
      </c>
      <c r="P403" s="16">
        <v>0</v>
      </c>
      <c r="Q403" s="16"/>
      <c r="R403" s="16"/>
      <c r="S403" s="16">
        <f t="shared" si="335"/>
        <v>98.876999999999995</v>
      </c>
      <c r="T403" s="16"/>
      <c r="U403" s="15">
        <v>1</v>
      </c>
      <c r="V403" s="15">
        <v>11</v>
      </c>
      <c r="W403" s="15">
        <v>129.00000000000003</v>
      </c>
      <c r="X403" s="15" t="s">
        <v>186</v>
      </c>
      <c r="Y403" s="15"/>
      <c r="Z403" s="37">
        <v>8</v>
      </c>
      <c r="AA403" s="37">
        <v>5</v>
      </c>
      <c r="AB403" s="15"/>
      <c r="AC403" s="38">
        <f t="shared" si="336"/>
        <v>2.8973519646989323</v>
      </c>
      <c r="AD403" s="38">
        <f t="shared" si="337"/>
        <v>0</v>
      </c>
      <c r="AE403" s="38">
        <f t="shared" si="338"/>
        <v>1.0739556661329368</v>
      </c>
      <c r="AF403" s="38">
        <f t="shared" si="339"/>
        <v>0</v>
      </c>
      <c r="AG403" s="38">
        <f t="shared" si="340"/>
        <v>8.9007317258768988E-3</v>
      </c>
      <c r="AH403" s="38">
        <f t="shared" si="341"/>
        <v>0</v>
      </c>
      <c r="AI403" s="38">
        <f t="shared" si="342"/>
        <v>0</v>
      </c>
      <c r="AJ403" s="38">
        <f t="shared" si="343"/>
        <v>9.4308796808382556E-2</v>
      </c>
      <c r="AK403" s="38">
        <f t="shared" si="344"/>
        <v>0.88204756805014084</v>
      </c>
      <c r="AL403" s="38">
        <f t="shared" si="345"/>
        <v>0.10025851768680037</v>
      </c>
      <c r="AM403" s="38">
        <f t="shared" si="346"/>
        <v>0</v>
      </c>
      <c r="AN403" s="38">
        <f t="shared" si="347"/>
        <v>0</v>
      </c>
      <c r="AO403" s="38">
        <f t="shared" si="348"/>
        <v>0</v>
      </c>
      <c r="AP403" s="38">
        <f t="shared" si="349"/>
        <v>5.0568232451030699</v>
      </c>
      <c r="AQ403" s="38">
        <f t="shared" si="350"/>
        <v>3.9713076308318689</v>
      </c>
      <c r="AR403" s="38">
        <f t="shared" si="351"/>
        <v>1.0766148825453237</v>
      </c>
      <c r="AS403" s="40"/>
      <c r="AT403" s="38">
        <f t="shared" si="352"/>
        <v>2.8647945797835352</v>
      </c>
      <c r="AU403" s="38">
        <f t="shared" si="353"/>
        <v>0</v>
      </c>
      <c r="AV403" s="38">
        <f t="shared" si="354"/>
        <v>1.0618876852903005</v>
      </c>
      <c r="AW403" s="38">
        <f t="shared" si="355"/>
        <v>0</v>
      </c>
      <c r="AX403" s="38">
        <f t="shared" si="356"/>
        <v>0</v>
      </c>
      <c r="AY403" s="38">
        <f t="shared" si="357"/>
        <v>8.8007146922687036E-3</v>
      </c>
      <c r="AZ403" s="38">
        <f t="shared" si="358"/>
        <v>0</v>
      </c>
      <c r="BA403" s="38">
        <f t="shared" si="359"/>
        <v>0</v>
      </c>
      <c r="BB403" s="38">
        <f t="shared" si="360"/>
        <v>9.3249054037739379E-2</v>
      </c>
      <c r="BC403" s="38">
        <f t="shared" si="361"/>
        <v>0.87213604796677313</v>
      </c>
      <c r="BD403" s="38">
        <f t="shared" si="362"/>
        <v>9.9131918229383234E-2</v>
      </c>
      <c r="BE403" s="38">
        <f t="shared" si="363"/>
        <v>0</v>
      </c>
      <c r="BF403" s="38">
        <f t="shared" si="364"/>
        <v>0</v>
      </c>
      <c r="BG403" s="38">
        <f t="shared" si="365"/>
        <v>0</v>
      </c>
      <c r="BH403" s="41">
        <f t="shared" si="366"/>
        <v>5</v>
      </c>
      <c r="BI403" s="42">
        <f t="shared" si="367"/>
        <v>7.9145047966767423</v>
      </c>
      <c r="BJ403" s="38">
        <f t="shared" si="368"/>
        <v>3.9266822650738358</v>
      </c>
      <c r="BK403" s="38">
        <f t="shared" si="369"/>
        <v>1.0645170202338958</v>
      </c>
      <c r="BL403" s="16"/>
      <c r="BM403" s="16">
        <f t="shared" si="370"/>
        <v>8.7597522881551204E-2</v>
      </c>
      <c r="BN403" s="16">
        <f t="shared" si="371"/>
        <v>0.81927863189556838</v>
      </c>
      <c r="BO403" s="16">
        <f t="shared" si="372"/>
        <v>9.3123845222880489E-2</v>
      </c>
      <c r="BP403" s="15"/>
      <c r="BQ403" s="38">
        <f t="shared" si="373"/>
        <v>1.0737350199733691</v>
      </c>
      <c r="BR403" s="38">
        <f t="shared" si="374"/>
        <v>0</v>
      </c>
      <c r="BS403" s="38">
        <f t="shared" si="375"/>
        <v>0.39799921537857985</v>
      </c>
      <c r="BT403" s="38">
        <f t="shared" si="376"/>
        <v>0</v>
      </c>
      <c r="BU403" s="38">
        <f t="shared" si="377"/>
        <v>3.2985386221294362E-3</v>
      </c>
      <c r="BV403" s="38">
        <f t="shared" si="378"/>
        <v>0</v>
      </c>
      <c r="BW403" s="38">
        <f t="shared" si="379"/>
        <v>0</v>
      </c>
      <c r="BX403" s="38">
        <f t="shared" si="380"/>
        <v>3.4950071326676178E-2</v>
      </c>
      <c r="BY403" s="38">
        <f t="shared" si="381"/>
        <v>0.3268796385930946</v>
      </c>
      <c r="BZ403" s="38">
        <f t="shared" si="382"/>
        <v>3.7154989384288746E-2</v>
      </c>
      <c r="CA403" s="38">
        <f t="shared" si="383"/>
        <v>0</v>
      </c>
      <c r="CB403" s="38">
        <f t="shared" si="384"/>
        <v>0</v>
      </c>
      <c r="CC403" s="38">
        <f t="shared" si="385"/>
        <v>0</v>
      </c>
      <c r="CD403" s="38">
        <f t="shared" si="386"/>
        <v>1.8740174732781378</v>
      </c>
      <c r="CE403" s="38">
        <f t="shared" si="387"/>
        <v>2.9647347869521052</v>
      </c>
      <c r="CF403" s="38">
        <f t="shared" si="388"/>
        <v>2.6680647706308287</v>
      </c>
      <c r="CG403" s="38">
        <f t="shared" si="389"/>
        <v>7.910104439330607</v>
      </c>
      <c r="CH403" s="15"/>
      <c r="CI403" s="16"/>
      <c r="CJ403" s="13"/>
      <c r="CK403" s="104"/>
      <c r="CL403" s="13"/>
      <c r="CM403" s="13"/>
      <c r="CN403" s="13"/>
      <c r="CO403" s="16"/>
      <c r="CP403" s="16"/>
      <c r="CQ403" s="16"/>
      <c r="CR403" s="16"/>
      <c r="CS403" s="16"/>
      <c r="CT403" s="16"/>
      <c r="CU403" s="16"/>
      <c r="CV403" s="16"/>
      <c r="CW403" s="16"/>
      <c r="CX403" s="16"/>
      <c r="CY403" s="104"/>
      <c r="CZ403" s="104"/>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3"/>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row>
    <row r="404" spans="1:167" x14ac:dyDescent="0.25">
      <c r="A404" s="35" t="s">
        <v>85</v>
      </c>
      <c r="B404" s="15">
        <v>1380</v>
      </c>
      <c r="C404" s="102" t="s">
        <v>98</v>
      </c>
      <c r="D404" s="102" t="s">
        <v>105</v>
      </c>
      <c r="E404" s="15">
        <v>387</v>
      </c>
      <c r="F404" s="16">
        <v>66.400000000000006</v>
      </c>
      <c r="G404" s="16">
        <v>0</v>
      </c>
      <c r="H404" s="16">
        <v>18.559999999999999</v>
      </c>
      <c r="I404" s="16">
        <v>0</v>
      </c>
      <c r="J404" s="44">
        <v>0.28899999999999998</v>
      </c>
      <c r="K404" s="16">
        <v>0</v>
      </c>
      <c r="L404" s="16">
        <v>0</v>
      </c>
      <c r="M404" s="16">
        <v>0.33500000000000002</v>
      </c>
      <c r="N404" s="16">
        <v>7.3</v>
      </c>
      <c r="O404" s="16">
        <v>6.83</v>
      </c>
      <c r="P404" s="16">
        <v>0</v>
      </c>
      <c r="Q404" s="16"/>
      <c r="R404" s="16"/>
      <c r="S404" s="16">
        <f t="shared" si="335"/>
        <v>99.713999999999999</v>
      </c>
      <c r="T404" s="16"/>
      <c r="U404" s="15">
        <v>1</v>
      </c>
      <c r="V404" s="15">
        <v>15</v>
      </c>
      <c r="W404" s="15">
        <v>180.60000000000002</v>
      </c>
      <c r="X404" s="15" t="s">
        <v>187</v>
      </c>
      <c r="Y404" s="15"/>
      <c r="Z404" s="37">
        <v>8</v>
      </c>
      <c r="AA404" s="37">
        <v>5</v>
      </c>
      <c r="AB404" s="15"/>
      <c r="AC404" s="38">
        <f t="shared" si="336"/>
        <v>2.9902776415278964</v>
      </c>
      <c r="AD404" s="38">
        <f t="shared" si="337"/>
        <v>0</v>
      </c>
      <c r="AE404" s="38">
        <f t="shared" si="338"/>
        <v>0.98503463023758597</v>
      </c>
      <c r="AF404" s="38">
        <f t="shared" si="339"/>
        <v>0</v>
      </c>
      <c r="AG404" s="38">
        <f t="shared" si="340"/>
        <v>1.0882894736181856E-2</v>
      </c>
      <c r="AH404" s="38">
        <f t="shared" si="341"/>
        <v>0</v>
      </c>
      <c r="AI404" s="38">
        <f t="shared" si="342"/>
        <v>0</v>
      </c>
      <c r="AJ404" s="38">
        <f t="shared" si="343"/>
        <v>1.6162560379401968E-2</v>
      </c>
      <c r="AK404" s="38">
        <f t="shared" si="344"/>
        <v>0.63734508660579925</v>
      </c>
      <c r="AL404" s="38">
        <f t="shared" si="345"/>
        <v>0.39234954633868679</v>
      </c>
      <c r="AM404" s="38">
        <f t="shared" si="346"/>
        <v>0</v>
      </c>
      <c r="AN404" s="38">
        <f t="shared" si="347"/>
        <v>0</v>
      </c>
      <c r="AO404" s="38">
        <f t="shared" si="348"/>
        <v>0</v>
      </c>
      <c r="AP404" s="38">
        <f t="shared" si="349"/>
        <v>5.0320523598255518</v>
      </c>
      <c r="AQ404" s="38">
        <f t="shared" si="350"/>
        <v>3.9753122717654823</v>
      </c>
      <c r="AR404" s="38">
        <f t="shared" si="351"/>
        <v>1.045857193323888</v>
      </c>
      <c r="AS404" s="40"/>
      <c r="AT404" s="38">
        <f t="shared" si="352"/>
        <v>2.9712306507394541</v>
      </c>
      <c r="AU404" s="38">
        <f t="shared" si="353"/>
        <v>0</v>
      </c>
      <c r="AV404" s="38">
        <f t="shared" si="354"/>
        <v>0.97876031467976854</v>
      </c>
      <c r="AW404" s="38">
        <f t="shared" si="355"/>
        <v>0</v>
      </c>
      <c r="AX404" s="38">
        <f t="shared" si="356"/>
        <v>0</v>
      </c>
      <c r="AY404" s="38">
        <f t="shared" si="357"/>
        <v>1.081357461924257E-2</v>
      </c>
      <c r="AZ404" s="38">
        <f t="shared" si="358"/>
        <v>0</v>
      </c>
      <c r="BA404" s="38">
        <f t="shared" si="359"/>
        <v>0</v>
      </c>
      <c r="BB404" s="38">
        <f t="shared" si="360"/>
        <v>1.6059610695269354E-2</v>
      </c>
      <c r="BC404" s="38">
        <f t="shared" si="361"/>
        <v>0.63328542812290434</v>
      </c>
      <c r="BD404" s="38">
        <f t="shared" si="362"/>
        <v>0.38985042114336077</v>
      </c>
      <c r="BE404" s="38">
        <f t="shared" si="363"/>
        <v>0</v>
      </c>
      <c r="BF404" s="38">
        <f t="shared" si="364"/>
        <v>0</v>
      </c>
      <c r="BG404" s="38">
        <f t="shared" si="365"/>
        <v>0</v>
      </c>
      <c r="BH404" s="41">
        <f t="shared" si="366"/>
        <v>5</v>
      </c>
      <c r="BI404" s="42">
        <f t="shared" si="367"/>
        <v>7.9544496707558281</v>
      </c>
      <c r="BJ404" s="38">
        <f t="shared" si="368"/>
        <v>3.9499909654192225</v>
      </c>
      <c r="BK404" s="38">
        <f t="shared" si="369"/>
        <v>1.0391954599615345</v>
      </c>
      <c r="BL404" s="16"/>
      <c r="BM404" s="16">
        <f t="shared" si="370"/>
        <v>1.5453888430058958E-2</v>
      </c>
      <c r="BN404" s="16">
        <f t="shared" si="371"/>
        <v>0.60939972557842503</v>
      </c>
      <c r="BO404" s="16">
        <f t="shared" si="372"/>
        <v>0.3751463859915159</v>
      </c>
      <c r="BP404" s="15"/>
      <c r="BQ404" s="38">
        <f t="shared" si="373"/>
        <v>1.1051930758988018</v>
      </c>
      <c r="BR404" s="38">
        <f t="shared" si="374"/>
        <v>0</v>
      </c>
      <c r="BS404" s="38">
        <f t="shared" si="375"/>
        <v>0.36406433895645351</v>
      </c>
      <c r="BT404" s="38">
        <f t="shared" si="376"/>
        <v>0</v>
      </c>
      <c r="BU404" s="38">
        <f t="shared" si="377"/>
        <v>4.0222686151704943E-3</v>
      </c>
      <c r="BV404" s="38">
        <f t="shared" si="378"/>
        <v>0</v>
      </c>
      <c r="BW404" s="38">
        <f t="shared" si="379"/>
        <v>0</v>
      </c>
      <c r="BX404" s="38">
        <f t="shared" si="380"/>
        <v>5.973609129814551E-3</v>
      </c>
      <c r="BY404" s="38">
        <f t="shared" si="381"/>
        <v>0.23555985801871573</v>
      </c>
      <c r="BZ404" s="38">
        <f t="shared" si="382"/>
        <v>0.14501061571125265</v>
      </c>
      <c r="CA404" s="38">
        <f t="shared" si="383"/>
        <v>0</v>
      </c>
      <c r="CB404" s="38">
        <f t="shared" si="384"/>
        <v>0</v>
      </c>
      <c r="CC404" s="38">
        <f t="shared" si="385"/>
        <v>0</v>
      </c>
      <c r="CD404" s="38">
        <f t="shared" si="386"/>
        <v>1.8598237663302088</v>
      </c>
      <c r="CE404" s="38">
        <f t="shared" si="387"/>
        <v>2.9567637748422535</v>
      </c>
      <c r="CF404" s="38">
        <f t="shared" si="388"/>
        <v>2.6884267695244937</v>
      </c>
      <c r="CG404" s="38">
        <f t="shared" si="389"/>
        <v>7.9490428834462072</v>
      </c>
      <c r="CH404" s="15"/>
      <c r="CI404" s="16"/>
      <c r="CJ404" s="13"/>
      <c r="CK404" s="104"/>
      <c r="CL404" s="13"/>
      <c r="CM404" s="13"/>
      <c r="CN404" s="13"/>
      <c r="CO404" s="16"/>
      <c r="CP404" s="16"/>
      <c r="CQ404" s="16"/>
      <c r="CR404" s="16"/>
      <c r="CS404" s="16"/>
      <c r="CT404" s="16"/>
      <c r="CU404" s="16"/>
      <c r="CV404" s="16"/>
      <c r="CW404" s="16"/>
      <c r="CX404" s="16"/>
      <c r="CY404" s="104"/>
      <c r="CZ404" s="104"/>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3"/>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row>
    <row r="405" spans="1:167" x14ac:dyDescent="0.25">
      <c r="A405" s="35" t="s">
        <v>85</v>
      </c>
      <c r="B405" s="15">
        <v>1381</v>
      </c>
      <c r="C405" s="102" t="s">
        <v>98</v>
      </c>
      <c r="D405" s="102" t="s">
        <v>105</v>
      </c>
      <c r="E405" s="15">
        <v>388</v>
      </c>
      <c r="F405" s="16">
        <v>55.14</v>
      </c>
      <c r="G405" s="16">
        <v>0</v>
      </c>
      <c r="H405" s="16">
        <v>28.08</v>
      </c>
      <c r="I405" s="16">
        <v>0</v>
      </c>
      <c r="J405" s="44">
        <v>0.439</v>
      </c>
      <c r="K405" s="16">
        <v>0</v>
      </c>
      <c r="L405" s="16">
        <v>0</v>
      </c>
      <c r="M405" s="16">
        <v>10.36</v>
      </c>
      <c r="N405" s="16">
        <v>5.79</v>
      </c>
      <c r="O405" s="16">
        <v>0.19600000000000001</v>
      </c>
      <c r="P405" s="16">
        <v>0</v>
      </c>
      <c r="Q405" s="16"/>
      <c r="R405" s="16"/>
      <c r="S405" s="16">
        <f t="shared" si="335"/>
        <v>100.005</v>
      </c>
      <c r="T405" s="16"/>
      <c r="U405" s="15">
        <v>2</v>
      </c>
      <c r="V405" s="15">
        <v>1</v>
      </c>
      <c r="W405" s="15">
        <v>0</v>
      </c>
      <c r="X405" s="15" t="s">
        <v>185</v>
      </c>
      <c r="Y405" s="15"/>
      <c r="Z405" s="37">
        <v>8</v>
      </c>
      <c r="AA405" s="37">
        <v>5</v>
      </c>
      <c r="AB405" s="15"/>
      <c r="AC405" s="38">
        <f t="shared" si="336"/>
        <v>2.4904864660198198</v>
      </c>
      <c r="AD405" s="38">
        <f t="shared" si="337"/>
        <v>0</v>
      </c>
      <c r="AE405" s="38">
        <f t="shared" si="338"/>
        <v>1.4946676005381427</v>
      </c>
      <c r="AF405" s="38">
        <f t="shared" si="339"/>
        <v>0</v>
      </c>
      <c r="AG405" s="38">
        <f t="shared" si="340"/>
        <v>1.6580021752600559E-2</v>
      </c>
      <c r="AH405" s="38">
        <f t="shared" si="341"/>
        <v>0</v>
      </c>
      <c r="AI405" s="38">
        <f t="shared" si="342"/>
        <v>0</v>
      </c>
      <c r="AJ405" s="38">
        <f t="shared" si="343"/>
        <v>0.50130160915159705</v>
      </c>
      <c r="AK405" s="38">
        <f t="shared" si="344"/>
        <v>0.50699576976715888</v>
      </c>
      <c r="AL405" s="38">
        <f t="shared" si="345"/>
        <v>1.1292302730736841E-2</v>
      </c>
      <c r="AM405" s="38">
        <f t="shared" si="346"/>
        <v>0</v>
      </c>
      <c r="AN405" s="38">
        <f t="shared" si="347"/>
        <v>0</v>
      </c>
      <c r="AO405" s="38">
        <f t="shared" si="348"/>
        <v>0</v>
      </c>
      <c r="AP405" s="38">
        <f t="shared" si="349"/>
        <v>5.0213237699600564</v>
      </c>
      <c r="AQ405" s="38">
        <f t="shared" si="350"/>
        <v>3.9851540665579623</v>
      </c>
      <c r="AR405" s="38">
        <f t="shared" si="351"/>
        <v>1.0195896816494927</v>
      </c>
      <c r="AS405" s="40"/>
      <c r="AT405" s="38">
        <f t="shared" si="352"/>
        <v>2.4799102588435873</v>
      </c>
      <c r="AU405" s="38">
        <f t="shared" si="353"/>
        <v>0</v>
      </c>
      <c r="AV405" s="38">
        <f t="shared" si="354"/>
        <v>1.4883202806797227</v>
      </c>
      <c r="AW405" s="38">
        <f t="shared" si="355"/>
        <v>0</v>
      </c>
      <c r="AX405" s="38">
        <f t="shared" si="356"/>
        <v>0</v>
      </c>
      <c r="AY405" s="38">
        <f t="shared" si="357"/>
        <v>1.6509612317562677E-2</v>
      </c>
      <c r="AZ405" s="38">
        <f t="shared" si="358"/>
        <v>0</v>
      </c>
      <c r="BA405" s="38">
        <f t="shared" si="359"/>
        <v>0</v>
      </c>
      <c r="BB405" s="38">
        <f t="shared" si="360"/>
        <v>0.49917276013012885</v>
      </c>
      <c r="BC405" s="38">
        <f t="shared" si="361"/>
        <v>0.50484273967778026</v>
      </c>
      <c r="BD405" s="38">
        <f t="shared" si="362"/>
        <v>1.1244348351218418E-2</v>
      </c>
      <c r="BE405" s="38">
        <f t="shared" si="363"/>
        <v>0</v>
      </c>
      <c r="BF405" s="38">
        <f t="shared" si="364"/>
        <v>0</v>
      </c>
      <c r="BG405" s="38">
        <f t="shared" si="365"/>
        <v>0</v>
      </c>
      <c r="BH405" s="41">
        <f t="shared" si="366"/>
        <v>5</v>
      </c>
      <c r="BI405" s="42">
        <f t="shared" si="367"/>
        <v>7.9742816613277308</v>
      </c>
      <c r="BJ405" s="38">
        <f t="shared" si="368"/>
        <v>3.9682305395233097</v>
      </c>
      <c r="BK405" s="38">
        <f t="shared" si="369"/>
        <v>1.0152598481591275</v>
      </c>
      <c r="BL405" s="16"/>
      <c r="BM405" s="16">
        <f t="shared" si="370"/>
        <v>0.49166995132845109</v>
      </c>
      <c r="BN405" s="16">
        <f t="shared" si="371"/>
        <v>0.49725470833221935</v>
      </c>
      <c r="BO405" s="16">
        <f t="shared" si="372"/>
        <v>1.107534033932959E-2</v>
      </c>
      <c r="BP405" s="15"/>
      <c r="BQ405" s="38">
        <f t="shared" si="373"/>
        <v>0.91777629826897478</v>
      </c>
      <c r="BR405" s="38">
        <f t="shared" si="374"/>
        <v>0</v>
      </c>
      <c r="BS405" s="38">
        <f t="shared" si="375"/>
        <v>0.55080423695566894</v>
      </c>
      <c r="BT405" s="38">
        <f t="shared" si="376"/>
        <v>0</v>
      </c>
      <c r="BU405" s="38">
        <f t="shared" si="377"/>
        <v>6.1099512874043154E-3</v>
      </c>
      <c r="BV405" s="38">
        <f t="shared" si="378"/>
        <v>0</v>
      </c>
      <c r="BW405" s="38">
        <f t="shared" si="379"/>
        <v>0</v>
      </c>
      <c r="BX405" s="38">
        <f t="shared" si="380"/>
        <v>0.1847360912981455</v>
      </c>
      <c r="BY405" s="38">
        <f t="shared" si="381"/>
        <v>0.18683446272991289</v>
      </c>
      <c r="BZ405" s="38">
        <f t="shared" si="382"/>
        <v>4.1613588110403395E-3</v>
      </c>
      <c r="CA405" s="38">
        <f t="shared" si="383"/>
        <v>0</v>
      </c>
      <c r="CB405" s="38">
        <f t="shared" si="384"/>
        <v>0</v>
      </c>
      <c r="CC405" s="38">
        <f t="shared" si="385"/>
        <v>0</v>
      </c>
      <c r="CD405" s="38">
        <f t="shared" si="386"/>
        <v>1.8504223993511468</v>
      </c>
      <c r="CE405" s="38">
        <f t="shared" si="387"/>
        <v>2.9481029053274797</v>
      </c>
      <c r="CF405" s="38">
        <f t="shared" si="388"/>
        <v>2.7020857517468753</v>
      </c>
      <c r="CG405" s="38">
        <f t="shared" si="389"/>
        <v>7.9660268551689501</v>
      </c>
      <c r="CH405" s="15"/>
      <c r="CI405" s="16">
        <v>16.714069637351422</v>
      </c>
      <c r="CJ405" s="13">
        <v>36183.909144495672</v>
      </c>
      <c r="CK405" s="104">
        <v>483.03802194296895</v>
      </c>
      <c r="CL405" s="13">
        <v>150503.89385092718</v>
      </c>
      <c r="CM405" s="13">
        <v>254608.99244223247</v>
      </c>
      <c r="CN405" s="13">
        <v>78859.665071166644</v>
      </c>
      <c r="CO405" s="16">
        <v>0.522108038877236</v>
      </c>
      <c r="CP405" s="16">
        <v>278.90631996037422</v>
      </c>
      <c r="CQ405" s="16">
        <v>0.45068645147411068</v>
      </c>
      <c r="CR405" s="16"/>
      <c r="CS405" s="16">
        <v>44.382007335973846</v>
      </c>
      <c r="CT405" s="16">
        <v>0.31194171944601584</v>
      </c>
      <c r="CU405" s="16"/>
      <c r="CV405" s="16"/>
      <c r="CW405" s="16">
        <v>8.6894360899639054</v>
      </c>
      <c r="CX405" s="16"/>
      <c r="CY405" s="104">
        <v>470.04487688019077</v>
      </c>
      <c r="CZ405" s="104">
        <v>467.85212941794066</v>
      </c>
      <c r="DA405" s="16">
        <v>0.28688405881229023</v>
      </c>
      <c r="DB405" s="16">
        <v>0.37659588142317996</v>
      </c>
      <c r="DC405" s="16">
        <v>0.21747364259744792</v>
      </c>
      <c r="DD405" s="16"/>
      <c r="DE405" s="16">
        <v>57.69220926890425</v>
      </c>
      <c r="DF405" s="16">
        <v>1.5887424482969772</v>
      </c>
      <c r="DG405" s="16">
        <v>3.2019044860610926</v>
      </c>
      <c r="DH405" s="16">
        <v>0.29503397102594647</v>
      </c>
      <c r="DI405" s="16">
        <v>0.65421093367002858</v>
      </c>
      <c r="DJ405" s="16">
        <v>0.23071625498111764</v>
      </c>
      <c r="DK405" s="16">
        <v>0.58784576016181578</v>
      </c>
      <c r="DL405" s="16"/>
      <c r="DM405" s="16">
        <v>1.6112516207740481E-2</v>
      </c>
      <c r="DN405" s="16">
        <v>6.123186576060554E-2</v>
      </c>
      <c r="DO405" s="16"/>
      <c r="DP405" s="16">
        <v>5.9378908387967E-2</v>
      </c>
      <c r="DQ405" s="16">
        <v>4.5040400074994651E-2</v>
      </c>
      <c r="DR405" s="16">
        <v>8.0622064179498881E-2</v>
      </c>
      <c r="DS405" s="16"/>
      <c r="DT405" s="16"/>
      <c r="DU405" s="16"/>
      <c r="DV405" s="16">
        <v>1.4304618151580109</v>
      </c>
      <c r="DW405" s="16">
        <v>2.0127443361649403E-2</v>
      </c>
      <c r="DX405" s="16"/>
      <c r="DY405" s="16" t="e">
        <f t="shared" ref="DY405:DY406" si="390">(DK405/0.05883)/SQRT((DJ405/0.1536)*(DL405/0.2069))</f>
        <v>#DIV/0!</v>
      </c>
      <c r="DZ405" s="16"/>
      <c r="EA405" s="13">
        <f>1128+200*((BM405-0.4)/0.4) -273</f>
        <v>900.83497566422557</v>
      </c>
      <c r="EB405" s="16"/>
      <c r="EC405" s="16">
        <f>(-18.482 -16.353 * BM405)/(0.008314 * (EA405+273))</f>
        <v>-2.7176515306457905</v>
      </c>
      <c r="ED405" s="16"/>
      <c r="EE405" s="16"/>
      <c r="EF405" s="16"/>
      <c r="EG405" s="16"/>
      <c r="EH405" s="16"/>
      <c r="EI405" s="16"/>
      <c r="EJ405" s="16"/>
      <c r="EK405" s="16"/>
      <c r="EL405" s="16">
        <f>(23.856 -20.71 * BM405)/(0.008314 * (EA405+273))</f>
        <v>1.4010805861240951</v>
      </c>
      <c r="EM405" s="16"/>
      <c r="EN405" s="16">
        <f>(-4.5269  -51.811 * BM405)/(0.008314 * (EA405+273)) +N("eqn50a")</f>
        <v>-3.0740854931452377</v>
      </c>
      <c r="EO405" s="16" t="e">
        <f>(-187.27 + 2.26018 *#REF!)/(0.008314 * (EA405+273)) +N("fsp eqn35 from SiO2")</f>
        <v>#REF!</v>
      </c>
      <c r="EP405" s="16"/>
      <c r="EQ405" s="16"/>
      <c r="ER405" s="16">
        <f>(10.146 -35.204 * BM405)/(0.008314 * (EA405+273))</f>
        <v>-0.73394356127824556</v>
      </c>
      <c r="ES405" s="16">
        <f>(2.1146 -37.009 * BM405)/(0.008314 * (EA405+273))</f>
        <v>-1.6478305381459597</v>
      </c>
      <c r="ET405" s="16">
        <f>(-3.6812 -33.822 * BM405)/(0.008314 * (EA405+273))</f>
        <v>-2.0811468077394442</v>
      </c>
      <c r="EU405" s="16">
        <f>(-6.8025 -26.094 * BM405)/(0.008314 * (EA405+273))</f>
        <v>-2.0116410146055448</v>
      </c>
      <c r="EV405" s="16">
        <f>(-5.6996 -30.85 * BM405)/(0.008314 * (EA405+273))</f>
        <v>-2.1382368613905833</v>
      </c>
      <c r="EW405" s="16">
        <f>(-8.6767 -33.32 * BM405)/(0.008314 * (EA405+273))</f>
        <v>-2.5677287559715567</v>
      </c>
      <c r="EX405" s="16"/>
      <c r="EY405" s="16">
        <f>(-1.9714 -59.897 * BM405)/(0.008314 * (EA405+273))</f>
        <v>-3.2196029448952608</v>
      </c>
      <c r="EZ405" s="16">
        <f>(-4.3691 -44.528 * BM405)/(0.008314 * (EA405+273))</f>
        <v>-2.6910000206907938</v>
      </c>
      <c r="FA405" s="16">
        <f>(-2.2521 -58.215 * BM405)/(0.008314 * (EA405+273))</f>
        <v>-3.1636265045792173</v>
      </c>
      <c r="FB405" s="16"/>
      <c r="FC405" s="16">
        <f>(-8.5 - 57.253 * BM405)/(0.008314 * (EA405+273))</f>
        <v>-3.755363085751398</v>
      </c>
      <c r="FD405" s="16"/>
      <c r="FE405" s="16">
        <f>(-9.2954 -52.923 * BM405)/(0.008314 * (EA405+273))</f>
        <v>-3.6187205181421329</v>
      </c>
      <c r="FF405" s="16">
        <f>(0.61501 -70.378 * BM405)/(0.008314 * (EA405+273))</f>
        <v>-3.4826128156309828</v>
      </c>
      <c r="FG405" s="16"/>
      <c r="FH405" s="16"/>
      <c r="FI405" s="16"/>
      <c r="FJ405" s="16"/>
      <c r="FK405" s="16"/>
    </row>
    <row r="406" spans="1:167" x14ac:dyDescent="0.25">
      <c r="A406" s="35" t="s">
        <v>85</v>
      </c>
      <c r="B406" s="15">
        <v>1382</v>
      </c>
      <c r="C406" s="102" t="s">
        <v>98</v>
      </c>
      <c r="D406" s="102" t="s">
        <v>105</v>
      </c>
      <c r="E406" s="15">
        <v>389</v>
      </c>
      <c r="F406" s="16">
        <v>54.9</v>
      </c>
      <c r="G406" s="16">
        <v>0</v>
      </c>
      <c r="H406" s="16">
        <v>27.93</v>
      </c>
      <c r="I406" s="16">
        <v>0</v>
      </c>
      <c r="J406" s="44">
        <v>0.47399999999999998</v>
      </c>
      <c r="K406" s="16">
        <v>0</v>
      </c>
      <c r="L406" s="16">
        <v>0</v>
      </c>
      <c r="M406" s="16">
        <v>10.55</v>
      </c>
      <c r="N406" s="16">
        <v>5.85</v>
      </c>
      <c r="O406" s="16">
        <v>0.17599999999999999</v>
      </c>
      <c r="P406" s="16">
        <v>0</v>
      </c>
      <c r="Q406" s="16"/>
      <c r="R406" s="16"/>
      <c r="S406" s="16">
        <f t="shared" si="335"/>
        <v>99.88</v>
      </c>
      <c r="T406" s="16"/>
      <c r="U406" s="15">
        <v>2</v>
      </c>
      <c r="V406" s="15">
        <v>2</v>
      </c>
      <c r="W406" s="15">
        <v>9.1999999999999993</v>
      </c>
      <c r="X406" s="15" t="s">
        <v>185</v>
      </c>
      <c r="Y406" s="15"/>
      <c r="Z406" s="37">
        <v>8</v>
      </c>
      <c r="AA406" s="37">
        <v>5</v>
      </c>
      <c r="AB406" s="15"/>
      <c r="AC406" s="38">
        <f t="shared" si="336"/>
        <v>2.486200748093395</v>
      </c>
      <c r="AD406" s="38">
        <f t="shared" si="337"/>
        <v>0</v>
      </c>
      <c r="AE406" s="38">
        <f t="shared" si="338"/>
        <v>1.4906129053096475</v>
      </c>
      <c r="AF406" s="38">
        <f t="shared" si="339"/>
        <v>0</v>
      </c>
      <c r="AG406" s="38">
        <f t="shared" si="340"/>
        <v>1.7949210117755406E-2</v>
      </c>
      <c r="AH406" s="38">
        <f t="shared" si="341"/>
        <v>0</v>
      </c>
      <c r="AI406" s="38">
        <f t="shared" si="342"/>
        <v>0</v>
      </c>
      <c r="AJ406" s="38">
        <f t="shared" si="343"/>
        <v>0.51184471928422248</v>
      </c>
      <c r="AK406" s="38">
        <f t="shared" si="344"/>
        <v>0.51360360356615964</v>
      </c>
      <c r="AL406" s="38">
        <f t="shared" si="345"/>
        <v>1.0166829327362008E-2</v>
      </c>
      <c r="AM406" s="38">
        <f t="shared" si="346"/>
        <v>0</v>
      </c>
      <c r="AN406" s="38">
        <f t="shared" si="347"/>
        <v>0</v>
      </c>
      <c r="AO406" s="38">
        <f t="shared" si="348"/>
        <v>0</v>
      </c>
      <c r="AP406" s="38">
        <f t="shared" si="349"/>
        <v>5.0303780156985427</v>
      </c>
      <c r="AQ406" s="38">
        <f t="shared" si="350"/>
        <v>3.9768136534030427</v>
      </c>
      <c r="AR406" s="38">
        <f t="shared" si="351"/>
        <v>1.0356151521777441</v>
      </c>
      <c r="AS406" s="40"/>
      <c r="AT406" s="38">
        <f t="shared" si="352"/>
        <v>2.4711867978257196</v>
      </c>
      <c r="AU406" s="38">
        <f t="shared" si="353"/>
        <v>0</v>
      </c>
      <c r="AV406" s="38">
        <f t="shared" si="354"/>
        <v>1.4816112235082735</v>
      </c>
      <c r="AW406" s="38">
        <f t="shared" si="355"/>
        <v>0</v>
      </c>
      <c r="AX406" s="38">
        <f t="shared" si="356"/>
        <v>0</v>
      </c>
      <c r="AY406" s="38">
        <f t="shared" si="357"/>
        <v>1.7840816397634976E-2</v>
      </c>
      <c r="AZ406" s="38">
        <f t="shared" si="358"/>
        <v>0</v>
      </c>
      <c r="BA406" s="38">
        <f t="shared" si="359"/>
        <v>0</v>
      </c>
      <c r="BB406" s="38">
        <f t="shared" si="360"/>
        <v>0.50875373350360964</v>
      </c>
      <c r="BC406" s="38">
        <f t="shared" si="361"/>
        <v>0.51050199603621471</v>
      </c>
      <c r="BD406" s="38">
        <f t="shared" si="362"/>
        <v>1.0105432728548329E-2</v>
      </c>
      <c r="BE406" s="38">
        <f t="shared" si="363"/>
        <v>0</v>
      </c>
      <c r="BF406" s="38">
        <f t="shared" si="364"/>
        <v>0</v>
      </c>
      <c r="BG406" s="38">
        <f t="shared" si="365"/>
        <v>0</v>
      </c>
      <c r="BH406" s="41">
        <f t="shared" si="366"/>
        <v>5.0000000000000009</v>
      </c>
      <c r="BI406" s="42">
        <f t="shared" si="367"/>
        <v>7.9606091033962922</v>
      </c>
      <c r="BJ406" s="38">
        <f t="shared" si="368"/>
        <v>3.9527980213339928</v>
      </c>
      <c r="BK406" s="38">
        <f t="shared" si="369"/>
        <v>1.0293611622683727</v>
      </c>
      <c r="BL406" s="16"/>
      <c r="BM406" s="16">
        <f t="shared" si="370"/>
        <v>0.49424220783935946</v>
      </c>
      <c r="BN406" s="16">
        <f t="shared" si="371"/>
        <v>0.49594060350133723</v>
      </c>
      <c r="BO406" s="16">
        <f t="shared" si="372"/>
        <v>9.817188659303297E-3</v>
      </c>
      <c r="BP406" s="15"/>
      <c r="BQ406" s="38">
        <f t="shared" si="373"/>
        <v>0.9137816245006658</v>
      </c>
      <c r="BR406" s="38">
        <f t="shared" si="374"/>
        <v>0</v>
      </c>
      <c r="BS406" s="38">
        <f t="shared" si="375"/>
        <v>0.54786190663005108</v>
      </c>
      <c r="BT406" s="38">
        <f t="shared" si="376"/>
        <v>0</v>
      </c>
      <c r="BU406" s="38">
        <f t="shared" si="377"/>
        <v>6.5970772442588725E-3</v>
      </c>
      <c r="BV406" s="38">
        <f t="shared" si="378"/>
        <v>0</v>
      </c>
      <c r="BW406" s="38">
        <f t="shared" si="379"/>
        <v>0</v>
      </c>
      <c r="BX406" s="38">
        <f t="shared" si="380"/>
        <v>0.18812410841654781</v>
      </c>
      <c r="BY406" s="38">
        <f t="shared" si="381"/>
        <v>0.18877057115198451</v>
      </c>
      <c r="BZ406" s="38">
        <f t="shared" si="382"/>
        <v>3.7367303609341825E-3</v>
      </c>
      <c r="CA406" s="38">
        <f t="shared" si="383"/>
        <v>0</v>
      </c>
      <c r="CB406" s="38">
        <f t="shared" si="384"/>
        <v>0</v>
      </c>
      <c r="CC406" s="38">
        <f t="shared" si="385"/>
        <v>0</v>
      </c>
      <c r="CD406" s="38">
        <f t="shared" si="386"/>
        <v>1.848872018304442</v>
      </c>
      <c r="CE406" s="38">
        <f t="shared" si="387"/>
        <v>2.9403309453636743</v>
      </c>
      <c r="CF406" s="38">
        <f t="shared" si="388"/>
        <v>2.7043515995149221</v>
      </c>
      <c r="CG406" s="38">
        <f t="shared" si="389"/>
        <v>7.9516886951974755</v>
      </c>
      <c r="CH406" s="15"/>
      <c r="CI406" s="16">
        <v>18.034449429797277</v>
      </c>
      <c r="CJ406" s="13">
        <v>35465.003990681165</v>
      </c>
      <c r="CK406" s="104">
        <v>487.5175418922131</v>
      </c>
      <c r="CL406" s="13">
        <v>142636.91342922449</v>
      </c>
      <c r="CM406" s="13">
        <v>255695.8754861395</v>
      </c>
      <c r="CN406" s="13">
        <v>76840.611177851883</v>
      </c>
      <c r="CO406" s="16">
        <v>0.70229327095707428</v>
      </c>
      <c r="CP406" s="16">
        <v>264.44565141354656</v>
      </c>
      <c r="CQ406" s="16">
        <v>0.43632313121835559</v>
      </c>
      <c r="CR406" s="16">
        <v>0</v>
      </c>
      <c r="CS406" s="16">
        <v>44.400597910566049</v>
      </c>
      <c r="CT406" s="16">
        <v>0.71271599903549987</v>
      </c>
      <c r="CU406" s="16">
        <v>0</v>
      </c>
      <c r="CV406" s="16">
        <v>0</v>
      </c>
      <c r="CW406" s="16">
        <v>9.4045179568190598</v>
      </c>
      <c r="CX406" s="16">
        <v>0.59856296639425166</v>
      </c>
      <c r="CY406" s="104">
        <v>438.72514800006303</v>
      </c>
      <c r="CZ406" s="104">
        <v>448.67347814589249</v>
      </c>
      <c r="DA406" s="16">
        <v>0.47968156397247425</v>
      </c>
      <c r="DB406" s="16">
        <v>0</v>
      </c>
      <c r="DC406" s="16">
        <v>0</v>
      </c>
      <c r="DD406" s="16">
        <v>0</v>
      </c>
      <c r="DE406" s="16">
        <v>55.276111466860748</v>
      </c>
      <c r="DF406" s="16">
        <v>1.6508517165790613</v>
      </c>
      <c r="DG406" s="16">
        <v>2.7594014426270124</v>
      </c>
      <c r="DH406" s="16">
        <v>0.30446470129176018</v>
      </c>
      <c r="DI406" s="16">
        <v>1.1093078252781381</v>
      </c>
      <c r="DJ406" s="16">
        <v>8.2429875157279134E-2</v>
      </c>
      <c r="DK406" s="16">
        <v>0.70755685736460494</v>
      </c>
      <c r="DL406" s="16">
        <v>0</v>
      </c>
      <c r="DM406" s="16">
        <v>0</v>
      </c>
      <c r="DN406" s="16">
        <v>2.8040312533850816E-2</v>
      </c>
      <c r="DO406" s="16">
        <v>0</v>
      </c>
      <c r="DP406" s="16">
        <v>0</v>
      </c>
      <c r="DQ406" s="16">
        <v>0</v>
      </c>
      <c r="DR406" s="16">
        <v>5.028130040771904E-2</v>
      </c>
      <c r="DS406" s="16">
        <v>9.5744865953643326E-3</v>
      </c>
      <c r="DT406" s="16">
        <v>0</v>
      </c>
      <c r="DU406" s="16">
        <v>0</v>
      </c>
      <c r="DV406" s="16">
        <v>1.366860496517798</v>
      </c>
      <c r="DW406" s="16">
        <v>0</v>
      </c>
      <c r="DX406" s="16">
        <v>0</v>
      </c>
      <c r="DY406" s="16" t="e">
        <f t="shared" si="390"/>
        <v>#DIV/0!</v>
      </c>
      <c r="DZ406" s="16"/>
      <c r="EA406" s="13">
        <f>1128+200*((BM406-0.4)/0.4) -273</f>
        <v>902.12110391967963</v>
      </c>
      <c r="EB406" s="16"/>
      <c r="EC406" s="16">
        <f>(-18.482 -16.353 * BM406)/(0.008314 * (EA406+273))</f>
        <v>-2.7189826128123813</v>
      </c>
      <c r="ED406" s="16"/>
      <c r="EE406" s="16"/>
      <c r="EF406" s="16"/>
      <c r="EG406" s="16"/>
      <c r="EH406" s="16"/>
      <c r="EI406" s="16"/>
      <c r="EJ406" s="16"/>
      <c r="EK406" s="16"/>
      <c r="EL406" s="16">
        <f>(23.856 -20.71 * BM406)/(0.008314 * (EA406+273))</f>
        <v>1.3940945772458082</v>
      </c>
      <c r="EM406" s="16"/>
      <c r="EN406" s="16">
        <f>(-4.5269  -51.811 * BM406)/(0.008314 * (EA406+273)) +N("eqn50a")</f>
        <v>-3.0843619340781947</v>
      </c>
      <c r="EO406" s="16" t="e">
        <f>(-187.27 + 2.26018 *#REF!)/(0.008314 * (EA406+273)) +N("fsp eqn35 from SiO2")</f>
        <v>#REF!</v>
      </c>
      <c r="EP406" s="16"/>
      <c r="EQ406" s="16"/>
      <c r="ER406" s="16">
        <f>(10.146 -35.204 * BM406)/(0.008314 * (EA406+273))</f>
        <v>-0.74240887551578971</v>
      </c>
      <c r="ES406" s="16">
        <f>(2.1146 -37.009 * BM406)/(0.008314 * (EA406+273))</f>
        <v>-1.6557708601036658</v>
      </c>
      <c r="ET406" s="16">
        <f>(-3.6812 -33.822 * BM406)/(0.008314 * (EA406+273))</f>
        <v>-2.0877737998264783</v>
      </c>
      <c r="EU406" s="16">
        <f>(-6.8025 -26.094 * BM406)/(0.008314 * (EA406+273))</f>
        <v>-2.0163094328562496</v>
      </c>
      <c r="EV406" s="16">
        <f>(-5.6996 -30.85 * BM406)/(0.008314 * (EA406+273))</f>
        <v>-2.1440188955099995</v>
      </c>
      <c r="EW406" s="16">
        <f>(-8.6767 -33.32 * BM406)/(0.008314 * (EA406+273))</f>
        <v>-2.5736910337171301</v>
      </c>
      <c r="EX406" s="16"/>
      <c r="EY406" s="16">
        <f>(-1.9714 -59.897 * BM406)/(0.008314 * (EA406+273))</f>
        <v>-3.2318490226635341</v>
      </c>
      <c r="EZ406" s="16">
        <f>(-4.3691 -44.528 * BM406)/(0.008314 * (EA406+273))</f>
        <v>-2.6997782502084013</v>
      </c>
      <c r="FA406" s="16">
        <f>(-2.2521 -58.215 * BM406)/(0.008314 * (EA406+273))</f>
        <v>-3.1754910057767352</v>
      </c>
      <c r="FB406" s="16"/>
      <c r="FC406" s="16">
        <f>(-8.5 - 57.253 * BM406)/(0.008314 * (EA406+273))</f>
        <v>-3.7663266747529818</v>
      </c>
      <c r="FD406" s="16"/>
      <c r="FE406" s="16">
        <f>(-9.2954 -52.923 * BM406)/(0.008314 * (EA406+273))</f>
        <v>-3.6286936453046494</v>
      </c>
      <c r="FF406" s="16">
        <f>(0.61501 -70.378 * BM406)/(0.008314 * (EA406+273))</f>
        <v>-3.4973305000196606</v>
      </c>
      <c r="FG406" s="16"/>
      <c r="FH406" s="16"/>
      <c r="FI406" s="16"/>
      <c r="FJ406" s="16"/>
      <c r="FK406" s="16"/>
    </row>
    <row r="407" spans="1:167" x14ac:dyDescent="0.25">
      <c r="A407" s="35" t="s">
        <v>85</v>
      </c>
      <c r="B407" s="15">
        <v>1383</v>
      </c>
      <c r="C407" s="102" t="s">
        <v>98</v>
      </c>
      <c r="D407" s="102" t="s">
        <v>105</v>
      </c>
      <c r="E407" s="15">
        <v>390</v>
      </c>
      <c r="F407" s="16">
        <v>54.86</v>
      </c>
      <c r="G407" s="16">
        <v>0</v>
      </c>
      <c r="H407" s="16">
        <v>27.97</v>
      </c>
      <c r="I407" s="16">
        <v>0</v>
      </c>
      <c r="J407" s="44">
        <v>0.55500000000000005</v>
      </c>
      <c r="K407" s="16">
        <v>0</v>
      </c>
      <c r="L407" s="16">
        <v>0</v>
      </c>
      <c r="M407" s="16">
        <v>10.69</v>
      </c>
      <c r="N407" s="16">
        <v>5.65</v>
      </c>
      <c r="O407" s="16">
        <v>0.17100000000000001</v>
      </c>
      <c r="P407" s="16">
        <v>0</v>
      </c>
      <c r="Q407" s="16"/>
      <c r="R407" s="16"/>
      <c r="S407" s="16">
        <f t="shared" si="335"/>
        <v>99.896000000000015</v>
      </c>
      <c r="T407" s="16"/>
      <c r="U407" s="15">
        <v>2</v>
      </c>
      <c r="V407" s="15">
        <v>3</v>
      </c>
      <c r="W407" s="15">
        <v>18.399999999999999</v>
      </c>
      <c r="X407" s="15" t="s">
        <v>185</v>
      </c>
      <c r="Y407" s="15"/>
      <c r="Z407" s="37">
        <v>8</v>
      </c>
      <c r="AA407" s="37">
        <v>5</v>
      </c>
      <c r="AB407" s="15"/>
      <c r="AC407" s="38">
        <f t="shared" si="336"/>
        <v>2.4842294312584938</v>
      </c>
      <c r="AD407" s="38">
        <f t="shared" si="337"/>
        <v>0</v>
      </c>
      <c r="AE407" s="38">
        <f t="shared" si="338"/>
        <v>1.492651626842787</v>
      </c>
      <c r="AF407" s="38">
        <f t="shared" si="339"/>
        <v>0</v>
      </c>
      <c r="AG407" s="38">
        <f t="shared" si="340"/>
        <v>2.1015127732654775E-2</v>
      </c>
      <c r="AH407" s="38">
        <f t="shared" si="341"/>
        <v>0</v>
      </c>
      <c r="AI407" s="38">
        <f t="shared" si="342"/>
        <v>0</v>
      </c>
      <c r="AJ407" s="38">
        <f t="shared" si="343"/>
        <v>0.51860359576250181</v>
      </c>
      <c r="AK407" s="38">
        <f t="shared" si="344"/>
        <v>0.49601258417510657</v>
      </c>
      <c r="AL407" s="38">
        <f t="shared" si="345"/>
        <v>9.8773632722443331E-3</v>
      </c>
      <c r="AM407" s="38">
        <f t="shared" si="346"/>
        <v>0</v>
      </c>
      <c r="AN407" s="38">
        <f t="shared" si="347"/>
        <v>0</v>
      </c>
      <c r="AO407" s="38">
        <f t="shared" si="348"/>
        <v>0</v>
      </c>
      <c r="AP407" s="38">
        <f t="shared" si="349"/>
        <v>5.0223897290437893</v>
      </c>
      <c r="AQ407" s="38">
        <f t="shared" si="350"/>
        <v>3.9768810581012808</v>
      </c>
      <c r="AR407" s="38">
        <f t="shared" si="351"/>
        <v>1.0244935432098528</v>
      </c>
      <c r="AS407" s="40"/>
      <c r="AT407" s="38">
        <f t="shared" si="352"/>
        <v>2.4731547781851111</v>
      </c>
      <c r="AU407" s="38">
        <f t="shared" si="353"/>
        <v>0</v>
      </c>
      <c r="AV407" s="38">
        <f t="shared" si="354"/>
        <v>1.4859974109645337</v>
      </c>
      <c r="AW407" s="38">
        <f t="shared" si="355"/>
        <v>0</v>
      </c>
      <c r="AX407" s="38">
        <f t="shared" si="356"/>
        <v>0</v>
      </c>
      <c r="AY407" s="38">
        <f t="shared" si="357"/>
        <v>2.0921442646243866E-2</v>
      </c>
      <c r="AZ407" s="38">
        <f t="shared" si="358"/>
        <v>0</v>
      </c>
      <c r="BA407" s="38">
        <f t="shared" si="359"/>
        <v>0</v>
      </c>
      <c r="BB407" s="38">
        <f t="shared" si="360"/>
        <v>0.5162916696443216</v>
      </c>
      <c r="BC407" s="38">
        <f t="shared" si="361"/>
        <v>0.49380136840708932</v>
      </c>
      <c r="BD407" s="38">
        <f t="shared" si="362"/>
        <v>9.8333301527009156E-3</v>
      </c>
      <c r="BE407" s="38">
        <f t="shared" si="363"/>
        <v>0</v>
      </c>
      <c r="BF407" s="38">
        <f t="shared" si="364"/>
        <v>0</v>
      </c>
      <c r="BG407" s="38">
        <f t="shared" si="365"/>
        <v>0</v>
      </c>
      <c r="BH407" s="41">
        <f t="shared" si="366"/>
        <v>5.0000000000000009</v>
      </c>
      <c r="BI407" s="42">
        <f t="shared" si="367"/>
        <v>7.9747968557106041</v>
      </c>
      <c r="BJ407" s="38">
        <f t="shared" si="368"/>
        <v>3.9591521891496448</v>
      </c>
      <c r="BK407" s="38">
        <f t="shared" si="369"/>
        <v>1.0199263682041118</v>
      </c>
      <c r="BL407" s="16"/>
      <c r="BM407" s="16">
        <f t="shared" si="370"/>
        <v>0.50620484550606226</v>
      </c>
      <c r="BN407" s="16">
        <f t="shared" si="371"/>
        <v>0.48415393875596691</v>
      </c>
      <c r="BO407" s="16">
        <f t="shared" si="372"/>
        <v>9.6412157379708319E-3</v>
      </c>
      <c r="BP407" s="15"/>
      <c r="BQ407" s="38">
        <f t="shared" si="373"/>
        <v>0.91311584553928093</v>
      </c>
      <c r="BR407" s="38">
        <f t="shared" si="374"/>
        <v>0</v>
      </c>
      <c r="BS407" s="38">
        <f t="shared" si="375"/>
        <v>0.54864652805021574</v>
      </c>
      <c r="BT407" s="38">
        <f t="shared" si="376"/>
        <v>0</v>
      </c>
      <c r="BU407" s="38">
        <f t="shared" si="377"/>
        <v>7.7244258872651373E-3</v>
      </c>
      <c r="BV407" s="38">
        <f t="shared" si="378"/>
        <v>0</v>
      </c>
      <c r="BW407" s="38">
        <f t="shared" si="379"/>
        <v>0</v>
      </c>
      <c r="BX407" s="38">
        <f t="shared" si="380"/>
        <v>0.19062054208273893</v>
      </c>
      <c r="BY407" s="38">
        <f t="shared" si="381"/>
        <v>0.18231687641174574</v>
      </c>
      <c r="BZ407" s="38">
        <f t="shared" si="382"/>
        <v>3.6305732484076436E-3</v>
      </c>
      <c r="CA407" s="38">
        <f t="shared" si="383"/>
        <v>0</v>
      </c>
      <c r="CB407" s="38">
        <f t="shared" si="384"/>
        <v>0</v>
      </c>
      <c r="CC407" s="38">
        <f t="shared" si="385"/>
        <v>0</v>
      </c>
      <c r="CD407" s="38">
        <f t="shared" si="386"/>
        <v>1.8460547912196541</v>
      </c>
      <c r="CE407" s="38">
        <f t="shared" si="387"/>
        <v>2.9405201759539663</v>
      </c>
      <c r="CF407" s="38">
        <f t="shared" si="388"/>
        <v>2.7084786560948135</v>
      </c>
      <c r="CG407" s="38">
        <f t="shared" si="389"/>
        <v>7.9643361343874837</v>
      </c>
      <c r="CH407" s="15"/>
      <c r="CI407" s="16"/>
      <c r="CJ407" s="13"/>
      <c r="CK407" s="104"/>
      <c r="CL407" s="13"/>
      <c r="CM407" s="13"/>
      <c r="CN407" s="13"/>
      <c r="CO407" s="16"/>
      <c r="CP407" s="16"/>
      <c r="CQ407" s="16"/>
      <c r="CR407" s="16"/>
      <c r="CS407" s="16"/>
      <c r="CT407" s="16"/>
      <c r="CU407" s="16"/>
      <c r="CV407" s="16"/>
      <c r="CW407" s="16"/>
      <c r="CX407" s="16"/>
      <c r="CY407" s="104"/>
      <c r="CZ407" s="104"/>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3"/>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row>
    <row r="408" spans="1:167" x14ac:dyDescent="0.25">
      <c r="A408" s="35" t="s">
        <v>85</v>
      </c>
      <c r="B408" s="15">
        <v>1384</v>
      </c>
      <c r="C408" s="102" t="s">
        <v>98</v>
      </c>
      <c r="D408" s="102" t="s">
        <v>105</v>
      </c>
      <c r="E408" s="15">
        <v>391</v>
      </c>
      <c r="F408" s="16">
        <v>55.63</v>
      </c>
      <c r="G408" s="16">
        <v>0</v>
      </c>
      <c r="H408" s="16">
        <v>27.69</v>
      </c>
      <c r="I408" s="16">
        <v>0</v>
      </c>
      <c r="J408" s="44">
        <v>0.41899999999999998</v>
      </c>
      <c r="K408" s="16">
        <v>0</v>
      </c>
      <c r="L408" s="16">
        <v>0</v>
      </c>
      <c r="M408" s="16">
        <v>10.11</v>
      </c>
      <c r="N408" s="16">
        <v>6.02</v>
      </c>
      <c r="O408" s="16">
        <v>0.182</v>
      </c>
      <c r="P408" s="16">
        <v>0</v>
      </c>
      <c r="Q408" s="16"/>
      <c r="R408" s="16"/>
      <c r="S408" s="16">
        <f t="shared" si="335"/>
        <v>100.051</v>
      </c>
      <c r="T408" s="16"/>
      <c r="U408" s="15">
        <v>2</v>
      </c>
      <c r="V408" s="15">
        <v>4</v>
      </c>
      <c r="W408" s="15">
        <v>27.599999999999998</v>
      </c>
      <c r="X408" s="15" t="s">
        <v>185</v>
      </c>
      <c r="Y408" s="15"/>
      <c r="Z408" s="37">
        <v>8</v>
      </c>
      <c r="AA408" s="37">
        <v>5</v>
      </c>
      <c r="AB408" s="15"/>
      <c r="AC408" s="38">
        <f t="shared" si="336"/>
        <v>2.5095005082717763</v>
      </c>
      <c r="AD408" s="38">
        <f t="shared" si="337"/>
        <v>0</v>
      </c>
      <c r="AE408" s="38">
        <f t="shared" si="338"/>
        <v>1.4720795401215285</v>
      </c>
      <c r="AF408" s="38">
        <f t="shared" si="339"/>
        <v>0</v>
      </c>
      <c r="AG408" s="38">
        <f t="shared" si="340"/>
        <v>1.5805032838874335E-2</v>
      </c>
      <c r="AH408" s="38">
        <f t="shared" si="341"/>
        <v>0</v>
      </c>
      <c r="AI408" s="38">
        <f t="shared" si="342"/>
        <v>0</v>
      </c>
      <c r="AJ408" s="38">
        <f t="shared" si="343"/>
        <v>0.48859756994666897</v>
      </c>
      <c r="AK408" s="38">
        <f t="shared" si="344"/>
        <v>0.52648144170212641</v>
      </c>
      <c r="AL408" s="38">
        <f t="shared" si="345"/>
        <v>1.0472699275096808E-2</v>
      </c>
      <c r="AM408" s="38">
        <f t="shared" si="346"/>
        <v>0</v>
      </c>
      <c r="AN408" s="38">
        <f t="shared" si="347"/>
        <v>0</v>
      </c>
      <c r="AO408" s="38">
        <f t="shared" si="348"/>
        <v>0</v>
      </c>
      <c r="AP408" s="38">
        <f t="shared" si="349"/>
        <v>5.0229367921560701</v>
      </c>
      <c r="AQ408" s="38">
        <f t="shared" si="350"/>
        <v>3.9815800483933046</v>
      </c>
      <c r="AR408" s="38">
        <f t="shared" si="351"/>
        <v>1.0255517109238921</v>
      </c>
      <c r="AS408" s="40"/>
      <c r="AT408" s="38">
        <f t="shared" si="352"/>
        <v>2.4980410983776142</v>
      </c>
      <c r="AU408" s="38">
        <f t="shared" si="353"/>
        <v>0</v>
      </c>
      <c r="AV408" s="38">
        <f t="shared" si="354"/>
        <v>1.4653574204042947</v>
      </c>
      <c r="AW408" s="38">
        <f t="shared" si="355"/>
        <v>0</v>
      </c>
      <c r="AX408" s="38">
        <f t="shared" si="356"/>
        <v>0</v>
      </c>
      <c r="AY408" s="38">
        <f t="shared" si="357"/>
        <v>1.5732860568299232E-2</v>
      </c>
      <c r="AZ408" s="38">
        <f t="shared" si="358"/>
        <v>0</v>
      </c>
      <c r="BA408" s="38">
        <f t="shared" si="359"/>
        <v>0</v>
      </c>
      <c r="BB408" s="38">
        <f t="shared" si="360"/>
        <v>0.48636643279054775</v>
      </c>
      <c r="BC408" s="38">
        <f t="shared" si="361"/>
        <v>0.52407731122984813</v>
      </c>
      <c r="BD408" s="38">
        <f t="shared" si="362"/>
        <v>1.042487662939658E-2</v>
      </c>
      <c r="BE408" s="38">
        <f t="shared" si="363"/>
        <v>0</v>
      </c>
      <c r="BF408" s="38">
        <f t="shared" si="364"/>
        <v>0</v>
      </c>
      <c r="BG408" s="38">
        <f t="shared" si="365"/>
        <v>0</v>
      </c>
      <c r="BH408" s="41">
        <f t="shared" si="366"/>
        <v>5</v>
      </c>
      <c r="BI408" s="42">
        <f t="shared" si="367"/>
        <v>7.9713351449342893</v>
      </c>
      <c r="BJ408" s="38">
        <f t="shared" si="368"/>
        <v>3.9633985187819087</v>
      </c>
      <c r="BK408" s="38">
        <f t="shared" si="369"/>
        <v>1.0208686206497926</v>
      </c>
      <c r="BL408" s="16"/>
      <c r="BM408" s="16">
        <f t="shared" si="370"/>
        <v>0.47642411859125516</v>
      </c>
      <c r="BN408" s="16">
        <f t="shared" si="371"/>
        <v>0.51336411035561857</v>
      </c>
      <c r="BO408" s="16">
        <f t="shared" si="372"/>
        <v>1.0211771053126355E-2</v>
      </c>
      <c r="BP408" s="15"/>
      <c r="BQ408" s="38">
        <f t="shared" si="373"/>
        <v>0.92593209054593884</v>
      </c>
      <c r="BR408" s="38">
        <f t="shared" si="374"/>
        <v>0</v>
      </c>
      <c r="BS408" s="38">
        <f t="shared" si="375"/>
        <v>0.54315417810906241</v>
      </c>
      <c r="BT408" s="38">
        <f t="shared" si="376"/>
        <v>0</v>
      </c>
      <c r="BU408" s="38">
        <f t="shared" si="377"/>
        <v>5.8315935977731386E-3</v>
      </c>
      <c r="BV408" s="38">
        <f t="shared" si="378"/>
        <v>0</v>
      </c>
      <c r="BW408" s="38">
        <f t="shared" si="379"/>
        <v>0</v>
      </c>
      <c r="BX408" s="38">
        <f t="shared" si="380"/>
        <v>0.18027817403708987</v>
      </c>
      <c r="BY408" s="38">
        <f t="shared" si="381"/>
        <v>0.19425621168118748</v>
      </c>
      <c r="BZ408" s="38">
        <f t="shared" si="382"/>
        <v>3.8641188959660294E-3</v>
      </c>
      <c r="CA408" s="38">
        <f t="shared" si="383"/>
        <v>0</v>
      </c>
      <c r="CB408" s="38">
        <f t="shared" si="384"/>
        <v>0</v>
      </c>
      <c r="CC408" s="38">
        <f t="shared" si="385"/>
        <v>0</v>
      </c>
      <c r="CD408" s="38">
        <f t="shared" si="386"/>
        <v>1.8533163668670176</v>
      </c>
      <c r="CE408" s="38">
        <f t="shared" si="387"/>
        <v>2.9517653811789111</v>
      </c>
      <c r="CF408" s="38">
        <f t="shared" si="388"/>
        <v>2.6978664244207633</v>
      </c>
      <c r="CG408" s="38">
        <f t="shared" si="389"/>
        <v>7.9634687146501406</v>
      </c>
      <c r="CH408" s="15"/>
      <c r="CI408" s="16"/>
      <c r="CJ408" s="13"/>
      <c r="CK408" s="104"/>
      <c r="CL408" s="13"/>
      <c r="CM408" s="13"/>
      <c r="CN408" s="13"/>
      <c r="CO408" s="16"/>
      <c r="CP408" s="16"/>
      <c r="CQ408" s="16"/>
      <c r="CR408" s="16"/>
      <c r="CS408" s="16"/>
      <c r="CT408" s="16"/>
      <c r="CU408" s="16"/>
      <c r="CV408" s="16"/>
      <c r="CW408" s="16"/>
      <c r="CX408" s="16"/>
      <c r="CY408" s="104"/>
      <c r="CZ408" s="104"/>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3"/>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row>
    <row r="409" spans="1:167" x14ac:dyDescent="0.25">
      <c r="A409" s="35" t="s">
        <v>85</v>
      </c>
      <c r="B409" s="15">
        <v>1385</v>
      </c>
      <c r="C409" s="102" t="s">
        <v>98</v>
      </c>
      <c r="D409" s="102" t="s">
        <v>105</v>
      </c>
      <c r="E409" s="15">
        <v>392</v>
      </c>
      <c r="F409" s="16">
        <v>55.81</v>
      </c>
      <c r="G409" s="16">
        <v>0</v>
      </c>
      <c r="H409" s="16">
        <v>27.53</v>
      </c>
      <c r="I409" s="16">
        <v>0</v>
      </c>
      <c r="J409" s="44">
        <v>0.52800000000000002</v>
      </c>
      <c r="K409" s="16">
        <v>0</v>
      </c>
      <c r="L409" s="16">
        <v>0</v>
      </c>
      <c r="M409" s="16">
        <v>9.86</v>
      </c>
      <c r="N409" s="16">
        <v>6.19</v>
      </c>
      <c r="O409" s="16">
        <v>0.20300000000000001</v>
      </c>
      <c r="P409" s="16">
        <v>0</v>
      </c>
      <c r="Q409" s="16"/>
      <c r="R409" s="16"/>
      <c r="S409" s="16">
        <f t="shared" si="335"/>
        <v>100.12100000000001</v>
      </c>
      <c r="T409" s="16"/>
      <c r="U409" s="15">
        <v>2</v>
      </c>
      <c r="V409" s="15">
        <v>5</v>
      </c>
      <c r="W409" s="15">
        <v>36.799999999999997</v>
      </c>
      <c r="X409" s="15" t="s">
        <v>185</v>
      </c>
      <c r="Y409" s="15"/>
      <c r="Z409" s="37">
        <v>8</v>
      </c>
      <c r="AA409" s="37">
        <v>5</v>
      </c>
      <c r="AB409" s="15"/>
      <c r="AC409" s="38">
        <f t="shared" si="336"/>
        <v>2.51650429140104</v>
      </c>
      <c r="AD409" s="38">
        <f t="shared" si="337"/>
        <v>0</v>
      </c>
      <c r="AE409" s="38">
        <f t="shared" si="338"/>
        <v>1.4629246477296625</v>
      </c>
      <c r="AF409" s="38">
        <f t="shared" si="339"/>
        <v>0</v>
      </c>
      <c r="AG409" s="38">
        <f t="shared" si="340"/>
        <v>1.9907775147948593E-2</v>
      </c>
      <c r="AH409" s="38">
        <f t="shared" si="341"/>
        <v>0</v>
      </c>
      <c r="AI409" s="38">
        <f t="shared" si="342"/>
        <v>0</v>
      </c>
      <c r="AJ409" s="38">
        <f t="shared" si="343"/>
        <v>0.47630428303140565</v>
      </c>
      <c r="AK409" s="38">
        <f t="shared" si="344"/>
        <v>0.54110886568448635</v>
      </c>
      <c r="AL409" s="38">
        <f t="shared" si="345"/>
        <v>1.1675909163657338E-2</v>
      </c>
      <c r="AM409" s="38">
        <f t="shared" si="346"/>
        <v>0</v>
      </c>
      <c r="AN409" s="38">
        <f t="shared" si="347"/>
        <v>0</v>
      </c>
      <c r="AO409" s="38">
        <f t="shared" si="348"/>
        <v>0</v>
      </c>
      <c r="AP409" s="38">
        <f t="shared" si="349"/>
        <v>5.0284257721582</v>
      </c>
      <c r="AQ409" s="38">
        <f t="shared" si="350"/>
        <v>3.9794289391307025</v>
      </c>
      <c r="AR409" s="38">
        <f t="shared" si="351"/>
        <v>1.0290890578795493</v>
      </c>
      <c r="AS409" s="40"/>
      <c r="AT409" s="38">
        <f t="shared" si="352"/>
        <v>2.5022784519706218</v>
      </c>
      <c r="AU409" s="38">
        <f t="shared" si="353"/>
        <v>0</v>
      </c>
      <c r="AV409" s="38">
        <f t="shared" si="354"/>
        <v>1.4546547110526156</v>
      </c>
      <c r="AW409" s="38">
        <f t="shared" si="355"/>
        <v>0</v>
      </c>
      <c r="AX409" s="38">
        <f t="shared" si="356"/>
        <v>0</v>
      </c>
      <c r="AY409" s="38">
        <f t="shared" si="357"/>
        <v>1.9795236173292638E-2</v>
      </c>
      <c r="AZ409" s="38">
        <f t="shared" si="358"/>
        <v>0</v>
      </c>
      <c r="BA409" s="38">
        <f t="shared" si="359"/>
        <v>0</v>
      </c>
      <c r="BB409" s="38">
        <f t="shared" si="360"/>
        <v>0.47361172722151551</v>
      </c>
      <c r="BC409" s="38">
        <f t="shared" si="361"/>
        <v>0.53804996852150255</v>
      </c>
      <c r="BD409" s="38">
        <f t="shared" si="362"/>
        <v>1.1609905060451987E-2</v>
      </c>
      <c r="BE409" s="38">
        <f t="shared" si="363"/>
        <v>0</v>
      </c>
      <c r="BF409" s="38">
        <f t="shared" si="364"/>
        <v>0</v>
      </c>
      <c r="BG409" s="38">
        <f t="shared" si="365"/>
        <v>0</v>
      </c>
      <c r="BH409" s="41">
        <f t="shared" si="366"/>
        <v>5.0000000000000009</v>
      </c>
      <c r="BI409" s="42">
        <f t="shared" si="367"/>
        <v>7.9646734887925996</v>
      </c>
      <c r="BJ409" s="38">
        <f t="shared" si="368"/>
        <v>3.9569331630232374</v>
      </c>
      <c r="BK409" s="38">
        <f t="shared" si="369"/>
        <v>1.0232716008034699</v>
      </c>
      <c r="BL409" s="16"/>
      <c r="BM409" s="16">
        <f t="shared" si="370"/>
        <v>0.46284068359723551</v>
      </c>
      <c r="BN409" s="16">
        <f t="shared" si="371"/>
        <v>0.5258134478656763</v>
      </c>
      <c r="BO409" s="16">
        <f t="shared" si="372"/>
        <v>1.1345868537088221E-2</v>
      </c>
      <c r="BP409" s="15"/>
      <c r="BQ409" s="38">
        <f t="shared" si="373"/>
        <v>0.92892809587217051</v>
      </c>
      <c r="BR409" s="38">
        <f t="shared" si="374"/>
        <v>0</v>
      </c>
      <c r="BS409" s="38">
        <f t="shared" si="375"/>
        <v>0.5400156924284033</v>
      </c>
      <c r="BT409" s="38">
        <f t="shared" si="376"/>
        <v>0</v>
      </c>
      <c r="BU409" s="38">
        <f t="shared" si="377"/>
        <v>7.3486430062630493E-3</v>
      </c>
      <c r="BV409" s="38">
        <f t="shared" si="378"/>
        <v>0</v>
      </c>
      <c r="BW409" s="38">
        <f t="shared" si="379"/>
        <v>0</v>
      </c>
      <c r="BX409" s="38">
        <f t="shared" si="380"/>
        <v>0.17582025677603424</v>
      </c>
      <c r="BY409" s="38">
        <f t="shared" si="381"/>
        <v>0.19974185221039048</v>
      </c>
      <c r="BZ409" s="38">
        <f t="shared" si="382"/>
        <v>4.3099787685774949E-3</v>
      </c>
      <c r="CA409" s="38">
        <f t="shared" si="383"/>
        <v>0</v>
      </c>
      <c r="CB409" s="38">
        <f t="shared" si="384"/>
        <v>0</v>
      </c>
      <c r="CC409" s="38">
        <f t="shared" si="385"/>
        <v>0</v>
      </c>
      <c r="CD409" s="38">
        <f t="shared" si="386"/>
        <v>1.856164519061839</v>
      </c>
      <c r="CE409" s="38">
        <f t="shared" si="387"/>
        <v>2.9530745456587271</v>
      </c>
      <c r="CF409" s="38">
        <f t="shared" si="388"/>
        <v>2.6937267406270373</v>
      </c>
      <c r="CG409" s="38">
        <f t="shared" si="389"/>
        <v>7.9547758707059524</v>
      </c>
      <c r="CH409" s="15"/>
      <c r="CI409" s="16"/>
      <c r="CJ409" s="13"/>
      <c r="CK409" s="104"/>
      <c r="CL409" s="13"/>
      <c r="CM409" s="13"/>
      <c r="CN409" s="13"/>
      <c r="CO409" s="16"/>
      <c r="CP409" s="16"/>
      <c r="CQ409" s="16"/>
      <c r="CR409" s="16"/>
      <c r="CS409" s="16"/>
      <c r="CT409" s="16"/>
      <c r="CU409" s="16"/>
      <c r="CV409" s="16"/>
      <c r="CW409" s="16"/>
      <c r="CX409" s="16"/>
      <c r="CY409" s="104"/>
      <c r="CZ409" s="104"/>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3"/>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row>
    <row r="410" spans="1:167" x14ac:dyDescent="0.25">
      <c r="A410" s="35" t="s">
        <v>85</v>
      </c>
      <c r="B410" s="15">
        <v>1386</v>
      </c>
      <c r="C410" s="102" t="s">
        <v>98</v>
      </c>
      <c r="D410" s="102" t="s">
        <v>105</v>
      </c>
      <c r="E410" s="15">
        <v>393</v>
      </c>
      <c r="F410" s="16">
        <v>55.62</v>
      </c>
      <c r="G410" s="16">
        <v>0</v>
      </c>
      <c r="H410" s="16">
        <v>27.44</v>
      </c>
      <c r="I410" s="16">
        <v>0</v>
      </c>
      <c r="J410" s="44">
        <v>0.50900000000000001</v>
      </c>
      <c r="K410" s="16">
        <v>0</v>
      </c>
      <c r="L410" s="16">
        <v>0</v>
      </c>
      <c r="M410" s="16">
        <v>9.92</v>
      </c>
      <c r="N410" s="16">
        <v>6.37</v>
      </c>
      <c r="O410" s="16">
        <v>0.21</v>
      </c>
      <c r="P410" s="16">
        <v>0</v>
      </c>
      <c r="Q410" s="16"/>
      <c r="R410" s="16"/>
      <c r="S410" s="16">
        <f t="shared" si="335"/>
        <v>100.069</v>
      </c>
      <c r="T410" s="16"/>
      <c r="U410" s="15">
        <v>2</v>
      </c>
      <c r="V410" s="15">
        <v>6</v>
      </c>
      <c r="W410" s="15">
        <v>46</v>
      </c>
      <c r="X410" s="15" t="s">
        <v>185</v>
      </c>
      <c r="Y410" s="15"/>
      <c r="Z410" s="37">
        <v>8</v>
      </c>
      <c r="AA410" s="37">
        <v>5</v>
      </c>
      <c r="AB410" s="15"/>
      <c r="AC410" s="38">
        <f t="shared" si="336"/>
        <v>2.5123517225219363</v>
      </c>
      <c r="AD410" s="38">
        <f t="shared" si="337"/>
        <v>0</v>
      </c>
      <c r="AE410" s="38">
        <f t="shared" si="338"/>
        <v>1.4607088305675486</v>
      </c>
      <c r="AF410" s="38">
        <f t="shared" si="339"/>
        <v>0</v>
      </c>
      <c r="AG410" s="38">
        <f t="shared" si="340"/>
        <v>1.922517885131186E-2</v>
      </c>
      <c r="AH410" s="38">
        <f t="shared" si="341"/>
        <v>0</v>
      </c>
      <c r="AI410" s="38">
        <f t="shared" si="342"/>
        <v>0</v>
      </c>
      <c r="AJ410" s="38">
        <f t="shared" si="343"/>
        <v>0.48004621087998867</v>
      </c>
      <c r="AK410" s="38">
        <f t="shared" si="344"/>
        <v>0.55782405059831341</v>
      </c>
      <c r="AL410" s="38">
        <f t="shared" si="345"/>
        <v>1.209978814869583E-2</v>
      </c>
      <c r="AM410" s="38">
        <f t="shared" si="346"/>
        <v>0</v>
      </c>
      <c r="AN410" s="38">
        <f t="shared" si="347"/>
        <v>0</v>
      </c>
      <c r="AO410" s="38">
        <f t="shared" si="348"/>
        <v>0</v>
      </c>
      <c r="AP410" s="38">
        <f t="shared" si="349"/>
        <v>5.0422557815677944</v>
      </c>
      <c r="AQ410" s="38">
        <f t="shared" si="350"/>
        <v>3.9730605530894847</v>
      </c>
      <c r="AR410" s="38">
        <f t="shared" si="351"/>
        <v>1.0499700496269977</v>
      </c>
      <c r="AS410" s="40"/>
      <c r="AT410" s="38">
        <f t="shared" si="352"/>
        <v>2.4912973789488797</v>
      </c>
      <c r="AU410" s="38">
        <f t="shared" si="353"/>
        <v>0</v>
      </c>
      <c r="AV410" s="38">
        <f t="shared" si="354"/>
        <v>1.4484676044274063</v>
      </c>
      <c r="AW410" s="38">
        <f t="shared" si="355"/>
        <v>0</v>
      </c>
      <c r="AX410" s="38">
        <f t="shared" si="356"/>
        <v>0</v>
      </c>
      <c r="AY410" s="38">
        <f t="shared" si="357"/>
        <v>1.906406545418661E-2</v>
      </c>
      <c r="AZ410" s="38">
        <f t="shared" si="358"/>
        <v>0</v>
      </c>
      <c r="BA410" s="38">
        <f t="shared" si="359"/>
        <v>0</v>
      </c>
      <c r="BB410" s="38">
        <f t="shared" si="360"/>
        <v>0.47602326386814842</v>
      </c>
      <c r="BC410" s="38">
        <f t="shared" si="361"/>
        <v>0.55314929940431201</v>
      </c>
      <c r="BD410" s="38">
        <f t="shared" si="362"/>
        <v>1.1998387897067003E-2</v>
      </c>
      <c r="BE410" s="38">
        <f t="shared" si="363"/>
        <v>0</v>
      </c>
      <c r="BF410" s="38">
        <f t="shared" si="364"/>
        <v>0</v>
      </c>
      <c r="BG410" s="38">
        <f t="shared" si="365"/>
        <v>0</v>
      </c>
      <c r="BH410" s="41">
        <f t="shared" si="366"/>
        <v>5</v>
      </c>
      <c r="BI410" s="42">
        <f t="shared" si="367"/>
        <v>7.9424893702389863</v>
      </c>
      <c r="BJ410" s="38">
        <f t="shared" si="368"/>
        <v>3.939764983376286</v>
      </c>
      <c r="BK410" s="38">
        <f t="shared" si="369"/>
        <v>1.0411709511695275</v>
      </c>
      <c r="BL410" s="16"/>
      <c r="BM410" s="16">
        <f t="shared" si="370"/>
        <v>0.45719990875027844</v>
      </c>
      <c r="BN410" s="16">
        <f t="shared" si="371"/>
        <v>0.5312761547783964</v>
      </c>
      <c r="BO410" s="16">
        <f t="shared" si="372"/>
        <v>1.1523936471325335E-2</v>
      </c>
      <c r="BP410" s="15"/>
      <c r="BQ410" s="38">
        <f t="shared" si="373"/>
        <v>0.92576564580559251</v>
      </c>
      <c r="BR410" s="38">
        <f t="shared" si="374"/>
        <v>0</v>
      </c>
      <c r="BS410" s="38">
        <f t="shared" si="375"/>
        <v>0.53825029423303261</v>
      </c>
      <c r="BT410" s="38">
        <f t="shared" si="376"/>
        <v>0</v>
      </c>
      <c r="BU410" s="38">
        <f t="shared" si="377"/>
        <v>7.0842032011134313E-3</v>
      </c>
      <c r="BV410" s="38">
        <f t="shared" si="378"/>
        <v>0</v>
      </c>
      <c r="BW410" s="38">
        <f t="shared" si="379"/>
        <v>0</v>
      </c>
      <c r="BX410" s="38">
        <f t="shared" si="380"/>
        <v>0.17689015691868759</v>
      </c>
      <c r="BY410" s="38">
        <f t="shared" si="381"/>
        <v>0.20555017747660537</v>
      </c>
      <c r="BZ410" s="38">
        <f t="shared" si="382"/>
        <v>4.4585987261146496E-3</v>
      </c>
      <c r="CA410" s="38">
        <f t="shared" si="383"/>
        <v>0</v>
      </c>
      <c r="CB410" s="38">
        <f t="shared" si="384"/>
        <v>0</v>
      </c>
      <c r="CC410" s="38">
        <f t="shared" si="385"/>
        <v>0</v>
      </c>
      <c r="CD410" s="38">
        <f t="shared" si="386"/>
        <v>1.857999076361146</v>
      </c>
      <c r="CE410" s="38">
        <f t="shared" si="387"/>
        <v>2.9478854811818951</v>
      </c>
      <c r="CF410" s="38">
        <f t="shared" si="388"/>
        <v>2.6910669997707424</v>
      </c>
      <c r="CG410" s="38">
        <f t="shared" si="389"/>
        <v>7.932957337511894</v>
      </c>
      <c r="CH410" s="15"/>
      <c r="CI410" s="16"/>
      <c r="CJ410" s="13"/>
      <c r="CK410" s="104"/>
      <c r="CL410" s="13"/>
      <c r="CM410" s="13"/>
      <c r="CN410" s="13"/>
      <c r="CO410" s="16"/>
      <c r="CP410" s="16"/>
      <c r="CQ410" s="16"/>
      <c r="CR410" s="16"/>
      <c r="CS410" s="16"/>
      <c r="CT410" s="16"/>
      <c r="CU410" s="16"/>
      <c r="CV410" s="16"/>
      <c r="CW410" s="16"/>
      <c r="CX410" s="16"/>
      <c r="CY410" s="104"/>
      <c r="CZ410" s="104"/>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3"/>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row>
    <row r="411" spans="1:167" x14ac:dyDescent="0.25">
      <c r="A411" s="35" t="s">
        <v>85</v>
      </c>
      <c r="B411" s="15">
        <v>1387</v>
      </c>
      <c r="C411" s="102" t="s">
        <v>98</v>
      </c>
      <c r="D411" s="102" t="s">
        <v>105</v>
      </c>
      <c r="E411" s="15">
        <v>394</v>
      </c>
      <c r="F411" s="16">
        <v>55.85</v>
      </c>
      <c r="G411" s="16">
        <v>0</v>
      </c>
      <c r="H411" s="16">
        <v>27.51</v>
      </c>
      <c r="I411" s="16">
        <v>0</v>
      </c>
      <c r="J411" s="44">
        <v>0.52200000000000002</v>
      </c>
      <c r="K411" s="16">
        <v>0</v>
      </c>
      <c r="L411" s="16">
        <v>0</v>
      </c>
      <c r="M411" s="16">
        <v>9.7200000000000006</v>
      </c>
      <c r="N411" s="16">
        <v>6.21</v>
      </c>
      <c r="O411" s="16">
        <v>0.20100000000000001</v>
      </c>
      <c r="P411" s="16">
        <v>0</v>
      </c>
      <c r="Q411" s="16"/>
      <c r="R411" s="16"/>
      <c r="S411" s="16">
        <f t="shared" si="335"/>
        <v>100.01299999999999</v>
      </c>
      <c r="T411" s="16"/>
      <c r="U411" s="15">
        <v>2</v>
      </c>
      <c r="V411" s="15">
        <v>7</v>
      </c>
      <c r="W411" s="15">
        <v>55.2</v>
      </c>
      <c r="X411" s="15" t="s">
        <v>185</v>
      </c>
      <c r="Y411" s="15"/>
      <c r="Z411" s="37">
        <v>8</v>
      </c>
      <c r="AA411" s="37">
        <v>5</v>
      </c>
      <c r="AB411" s="15"/>
      <c r="AC411" s="38">
        <f t="shared" si="336"/>
        <v>2.5196179420580385</v>
      </c>
      <c r="AD411" s="38">
        <f t="shared" si="337"/>
        <v>0</v>
      </c>
      <c r="AE411" s="38">
        <f t="shared" si="338"/>
        <v>1.4626223250179669</v>
      </c>
      <c r="AF411" s="38">
        <f t="shared" si="339"/>
        <v>0</v>
      </c>
      <c r="AG411" s="38">
        <f t="shared" si="340"/>
        <v>1.9691788807134659E-2</v>
      </c>
      <c r="AH411" s="38">
        <f t="shared" si="341"/>
        <v>0</v>
      </c>
      <c r="AI411" s="38">
        <f t="shared" si="342"/>
        <v>0</v>
      </c>
      <c r="AJ411" s="38">
        <f t="shared" si="343"/>
        <v>0.46978559811600273</v>
      </c>
      <c r="AK411" s="38">
        <f t="shared" si="344"/>
        <v>0.54313959330424233</v>
      </c>
      <c r="AL411" s="38">
        <f t="shared" si="345"/>
        <v>1.156688956342654E-2</v>
      </c>
      <c r="AM411" s="38">
        <f t="shared" si="346"/>
        <v>0</v>
      </c>
      <c r="AN411" s="38">
        <f t="shared" si="347"/>
        <v>0</v>
      </c>
      <c r="AO411" s="38">
        <f t="shared" si="348"/>
        <v>0</v>
      </c>
      <c r="AP411" s="38">
        <f t="shared" si="349"/>
        <v>5.0264241368668117</v>
      </c>
      <c r="AQ411" s="38">
        <f t="shared" si="350"/>
        <v>3.9822402670760053</v>
      </c>
      <c r="AR411" s="38">
        <f t="shared" si="351"/>
        <v>1.0244920809836715</v>
      </c>
      <c r="AS411" s="40"/>
      <c r="AT411" s="38">
        <f t="shared" si="352"/>
        <v>2.5063721976600113</v>
      </c>
      <c r="AU411" s="38">
        <f t="shared" si="353"/>
        <v>0</v>
      </c>
      <c r="AV411" s="38">
        <f t="shared" si="354"/>
        <v>1.4549332539311766</v>
      </c>
      <c r="AW411" s="38">
        <f t="shared" si="355"/>
        <v>0</v>
      </c>
      <c r="AX411" s="38">
        <f t="shared" si="356"/>
        <v>0</v>
      </c>
      <c r="AY411" s="38">
        <f t="shared" si="357"/>
        <v>1.958826819120104E-2</v>
      </c>
      <c r="AZ411" s="38">
        <f t="shared" si="358"/>
        <v>0</v>
      </c>
      <c r="BA411" s="38">
        <f t="shared" si="359"/>
        <v>0</v>
      </c>
      <c r="BB411" s="38">
        <f t="shared" si="360"/>
        <v>0.46731591418073271</v>
      </c>
      <c r="BC411" s="38">
        <f t="shared" si="361"/>
        <v>0.54028428413007445</v>
      </c>
      <c r="BD411" s="38">
        <f t="shared" si="362"/>
        <v>1.1506081906805311E-2</v>
      </c>
      <c r="BE411" s="38">
        <f t="shared" si="363"/>
        <v>0</v>
      </c>
      <c r="BF411" s="38">
        <f t="shared" si="364"/>
        <v>0</v>
      </c>
      <c r="BG411" s="38">
        <f t="shared" si="365"/>
        <v>0</v>
      </c>
      <c r="BH411" s="41">
        <f t="shared" si="366"/>
        <v>5.0000000000000018</v>
      </c>
      <c r="BI411" s="42">
        <f t="shared" si="367"/>
        <v>7.9677377757027612</v>
      </c>
      <c r="BJ411" s="38">
        <f t="shared" si="368"/>
        <v>3.9613054515911879</v>
      </c>
      <c r="BK411" s="38">
        <f t="shared" si="369"/>
        <v>1.0191062802176125</v>
      </c>
      <c r="BL411" s="16"/>
      <c r="BM411" s="16">
        <f t="shared" si="370"/>
        <v>0.45855464072004892</v>
      </c>
      <c r="BN411" s="16">
        <f t="shared" si="371"/>
        <v>0.53015499425114543</v>
      </c>
      <c r="BO411" s="16">
        <f t="shared" si="372"/>
        <v>1.1290365028805815E-2</v>
      </c>
      <c r="BP411" s="15"/>
      <c r="BQ411" s="38">
        <f t="shared" si="373"/>
        <v>0.92959387483355527</v>
      </c>
      <c r="BR411" s="38">
        <f t="shared" si="374"/>
        <v>0</v>
      </c>
      <c r="BS411" s="38">
        <f t="shared" si="375"/>
        <v>0.53962338171832103</v>
      </c>
      <c r="BT411" s="38">
        <f t="shared" si="376"/>
        <v>0</v>
      </c>
      <c r="BU411" s="38">
        <f t="shared" si="377"/>
        <v>7.2651356993736959E-3</v>
      </c>
      <c r="BV411" s="38">
        <f t="shared" si="378"/>
        <v>0</v>
      </c>
      <c r="BW411" s="38">
        <f t="shared" si="379"/>
        <v>0</v>
      </c>
      <c r="BX411" s="38">
        <f t="shared" si="380"/>
        <v>0.17332382310984309</v>
      </c>
      <c r="BY411" s="38">
        <f t="shared" si="381"/>
        <v>0.20038722168441434</v>
      </c>
      <c r="BZ411" s="38">
        <f t="shared" si="382"/>
        <v>4.2675159235668787E-3</v>
      </c>
      <c r="CA411" s="38">
        <f t="shared" si="383"/>
        <v>0</v>
      </c>
      <c r="CB411" s="38">
        <f t="shared" si="384"/>
        <v>0</v>
      </c>
      <c r="CC411" s="38">
        <f t="shared" si="385"/>
        <v>0</v>
      </c>
      <c r="CD411" s="38">
        <f t="shared" si="386"/>
        <v>1.8544609529690739</v>
      </c>
      <c r="CE411" s="38">
        <f t="shared" si="387"/>
        <v>2.9515391498577999</v>
      </c>
      <c r="CF411" s="38">
        <f t="shared" si="388"/>
        <v>2.6962012826394535</v>
      </c>
      <c r="CG411" s="38">
        <f t="shared" si="389"/>
        <v>7.9579436416071623</v>
      </c>
      <c r="CH411" s="15"/>
      <c r="CI411" s="16"/>
      <c r="CJ411" s="13"/>
      <c r="CK411" s="104"/>
      <c r="CL411" s="13"/>
      <c r="CM411" s="13"/>
      <c r="CN411" s="13"/>
      <c r="CO411" s="16"/>
      <c r="CP411" s="16"/>
      <c r="CQ411" s="16"/>
      <c r="CR411" s="16"/>
      <c r="CS411" s="16"/>
      <c r="CT411" s="16"/>
      <c r="CU411" s="16"/>
      <c r="CV411" s="16"/>
      <c r="CW411" s="16"/>
      <c r="CX411" s="16"/>
      <c r="CY411" s="104"/>
      <c r="CZ411" s="104"/>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3"/>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row>
    <row r="412" spans="1:167" x14ac:dyDescent="0.25">
      <c r="A412" s="35" t="s">
        <v>85</v>
      </c>
      <c r="B412" s="15">
        <v>1388</v>
      </c>
      <c r="C412" s="102" t="s">
        <v>98</v>
      </c>
      <c r="D412" s="102" t="s">
        <v>105</v>
      </c>
      <c r="E412" s="15">
        <v>395</v>
      </c>
      <c r="F412" s="16">
        <v>55.8</v>
      </c>
      <c r="G412" s="16">
        <v>0</v>
      </c>
      <c r="H412" s="16">
        <v>27.54</v>
      </c>
      <c r="I412" s="16">
        <v>0</v>
      </c>
      <c r="J412" s="44">
        <v>0.44</v>
      </c>
      <c r="K412" s="16">
        <v>0</v>
      </c>
      <c r="L412" s="16">
        <v>0</v>
      </c>
      <c r="M412" s="16">
        <v>9.9600000000000009</v>
      </c>
      <c r="N412" s="16">
        <v>6.35</v>
      </c>
      <c r="O412" s="16">
        <v>0.214</v>
      </c>
      <c r="P412" s="16">
        <v>0</v>
      </c>
      <c r="Q412" s="16"/>
      <c r="R412" s="16"/>
      <c r="S412" s="16">
        <f t="shared" si="335"/>
        <v>100.304</v>
      </c>
      <c r="T412" s="16"/>
      <c r="U412" s="15">
        <v>2</v>
      </c>
      <c r="V412" s="15">
        <v>8</v>
      </c>
      <c r="W412" s="15">
        <v>64.400000000000006</v>
      </c>
      <c r="X412" s="15" t="s">
        <v>185</v>
      </c>
      <c r="Y412" s="15"/>
      <c r="Z412" s="37">
        <v>8</v>
      </c>
      <c r="AA412" s="37">
        <v>5</v>
      </c>
      <c r="AB412" s="15"/>
      <c r="AC412" s="38">
        <f t="shared" si="336"/>
        <v>2.5133146081160489</v>
      </c>
      <c r="AD412" s="38">
        <f t="shared" si="337"/>
        <v>0</v>
      </c>
      <c r="AE412" s="38">
        <f t="shared" si="338"/>
        <v>1.4618630375801183</v>
      </c>
      <c r="AF412" s="38">
        <f t="shared" si="339"/>
        <v>0</v>
      </c>
      <c r="AG412" s="38">
        <f t="shared" si="340"/>
        <v>1.6571754259164323E-2</v>
      </c>
      <c r="AH412" s="38">
        <f t="shared" si="341"/>
        <v>0</v>
      </c>
      <c r="AI412" s="38">
        <f t="shared" si="342"/>
        <v>0</v>
      </c>
      <c r="AJ412" s="38">
        <f t="shared" si="343"/>
        <v>0.48061122963415609</v>
      </c>
      <c r="AK412" s="38">
        <f t="shared" si="344"/>
        <v>0.55449129127857044</v>
      </c>
      <c r="AL412" s="38">
        <f t="shared" si="345"/>
        <v>1.2295195730239563E-2</v>
      </c>
      <c r="AM412" s="38">
        <f t="shared" si="346"/>
        <v>0</v>
      </c>
      <c r="AN412" s="38">
        <f t="shared" si="347"/>
        <v>0</v>
      </c>
      <c r="AO412" s="38">
        <f t="shared" si="348"/>
        <v>0</v>
      </c>
      <c r="AP412" s="38">
        <f t="shared" si="349"/>
        <v>5.0391471165982979</v>
      </c>
      <c r="AQ412" s="38">
        <f t="shared" si="350"/>
        <v>3.9751776456961672</v>
      </c>
      <c r="AR412" s="38">
        <f t="shared" si="351"/>
        <v>1.047397716642966</v>
      </c>
      <c r="AS412" s="40"/>
      <c r="AT412" s="38">
        <f t="shared" si="352"/>
        <v>2.4937896730951916</v>
      </c>
      <c r="AU412" s="38">
        <f t="shared" si="353"/>
        <v>0</v>
      </c>
      <c r="AV412" s="38">
        <f t="shared" si="354"/>
        <v>1.45050640887714</v>
      </c>
      <c r="AW412" s="38">
        <f t="shared" si="355"/>
        <v>0</v>
      </c>
      <c r="AX412" s="38">
        <f t="shared" si="356"/>
        <v>0</v>
      </c>
      <c r="AY412" s="38">
        <f t="shared" si="357"/>
        <v>1.6443014934589939E-2</v>
      </c>
      <c r="AZ412" s="38">
        <f t="shared" si="358"/>
        <v>0</v>
      </c>
      <c r="BA412" s="38">
        <f t="shared" si="359"/>
        <v>0</v>
      </c>
      <c r="BB412" s="38">
        <f t="shared" si="360"/>
        <v>0.47687755339696775</v>
      </c>
      <c r="BC412" s="38">
        <f t="shared" si="361"/>
        <v>0.55018367041929372</v>
      </c>
      <c r="BD412" s="38">
        <f t="shared" si="362"/>
        <v>1.2199679276817284E-2</v>
      </c>
      <c r="BE412" s="38">
        <f t="shared" si="363"/>
        <v>0</v>
      </c>
      <c r="BF412" s="38">
        <f t="shared" si="364"/>
        <v>0</v>
      </c>
      <c r="BG412" s="38">
        <f t="shared" si="365"/>
        <v>0</v>
      </c>
      <c r="BH412" s="41">
        <f t="shared" si="366"/>
        <v>5</v>
      </c>
      <c r="BI412" s="42">
        <f t="shared" si="367"/>
        <v>7.9460727101530013</v>
      </c>
      <c r="BJ412" s="38">
        <f t="shared" si="368"/>
        <v>3.9442960819723316</v>
      </c>
      <c r="BK412" s="38">
        <f t="shared" si="369"/>
        <v>1.0392609030930788</v>
      </c>
      <c r="BL412" s="16"/>
      <c r="BM412" s="16">
        <f t="shared" si="370"/>
        <v>0.45886220868856975</v>
      </c>
      <c r="BN412" s="16">
        <f t="shared" si="371"/>
        <v>0.52939898805181751</v>
      </c>
      <c r="BO412" s="16">
        <f t="shared" si="372"/>
        <v>1.1738803259612905E-2</v>
      </c>
      <c r="BP412" s="15"/>
      <c r="BQ412" s="38">
        <f t="shared" si="373"/>
        <v>0.92876165113182418</v>
      </c>
      <c r="BR412" s="38">
        <f t="shared" si="374"/>
        <v>0</v>
      </c>
      <c r="BS412" s="38">
        <f t="shared" si="375"/>
        <v>0.54021184778344455</v>
      </c>
      <c r="BT412" s="38">
        <f t="shared" si="376"/>
        <v>0</v>
      </c>
      <c r="BU412" s="38">
        <f t="shared" si="377"/>
        <v>6.1238691718858741E-3</v>
      </c>
      <c r="BV412" s="38">
        <f t="shared" si="378"/>
        <v>0</v>
      </c>
      <c r="BW412" s="38">
        <f t="shared" si="379"/>
        <v>0</v>
      </c>
      <c r="BX412" s="38">
        <f t="shared" si="380"/>
        <v>0.17760342368045651</v>
      </c>
      <c r="BY412" s="38">
        <f t="shared" si="381"/>
        <v>0.20490480800258148</v>
      </c>
      <c r="BZ412" s="38">
        <f t="shared" si="382"/>
        <v>4.5435244161358811E-3</v>
      </c>
      <c r="CA412" s="38">
        <f t="shared" si="383"/>
        <v>0</v>
      </c>
      <c r="CB412" s="38">
        <f t="shared" si="384"/>
        <v>0</v>
      </c>
      <c r="CC412" s="38">
        <f t="shared" si="385"/>
        <v>0</v>
      </c>
      <c r="CD412" s="38">
        <f t="shared" si="386"/>
        <v>1.8621491241863284</v>
      </c>
      <c r="CE412" s="38">
        <f t="shared" si="387"/>
        <v>2.9562925330005161</v>
      </c>
      <c r="CF412" s="38">
        <f t="shared" si="388"/>
        <v>2.6850695978415611</v>
      </c>
      <c r="CG412" s="38">
        <f t="shared" si="389"/>
        <v>7.9378512026857058</v>
      </c>
      <c r="CH412" s="15"/>
      <c r="CI412" s="16"/>
      <c r="CJ412" s="13"/>
      <c r="CK412" s="104"/>
      <c r="CL412" s="13"/>
      <c r="CM412" s="13"/>
      <c r="CN412" s="13"/>
      <c r="CO412" s="16"/>
      <c r="CP412" s="16"/>
      <c r="CQ412" s="16"/>
      <c r="CR412" s="16"/>
      <c r="CS412" s="16"/>
      <c r="CT412" s="16"/>
      <c r="CU412" s="16"/>
      <c r="CV412" s="16"/>
      <c r="CW412" s="16"/>
      <c r="CX412" s="16"/>
      <c r="CY412" s="104"/>
      <c r="CZ412" s="104"/>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3"/>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row>
    <row r="413" spans="1:167" x14ac:dyDescent="0.25">
      <c r="A413" s="35" t="s">
        <v>85</v>
      </c>
      <c r="B413" s="15">
        <v>1389</v>
      </c>
      <c r="C413" s="102" t="s">
        <v>98</v>
      </c>
      <c r="D413" s="102" t="s">
        <v>105</v>
      </c>
      <c r="E413" s="15">
        <v>396</v>
      </c>
      <c r="F413" s="16">
        <v>57.27</v>
      </c>
      <c r="G413" s="16">
        <v>0</v>
      </c>
      <c r="H413" s="16">
        <v>26.17</v>
      </c>
      <c r="I413" s="16">
        <v>0</v>
      </c>
      <c r="J413" s="44">
        <v>0.39300000000000002</v>
      </c>
      <c r="K413" s="16">
        <v>0</v>
      </c>
      <c r="L413" s="16">
        <v>0</v>
      </c>
      <c r="M413" s="16">
        <v>8.41</v>
      </c>
      <c r="N413" s="16">
        <v>6.6</v>
      </c>
      <c r="O413" s="16">
        <v>1.28</v>
      </c>
      <c r="P413" s="16">
        <v>0</v>
      </c>
      <c r="Q413" s="16"/>
      <c r="R413" s="16"/>
      <c r="S413" s="16">
        <f t="shared" si="335"/>
        <v>100.12299999999999</v>
      </c>
      <c r="T413" s="16"/>
      <c r="U413" s="15">
        <v>2</v>
      </c>
      <c r="V413" s="15">
        <v>9</v>
      </c>
      <c r="W413" s="15">
        <v>73.600000000000009</v>
      </c>
      <c r="X413" s="15" t="s">
        <v>185</v>
      </c>
      <c r="Y413" s="15"/>
      <c r="Z413" s="37">
        <v>8</v>
      </c>
      <c r="AA413" s="37">
        <v>5</v>
      </c>
      <c r="AB413" s="15"/>
      <c r="AC413" s="38">
        <f t="shared" si="336"/>
        <v>2.5832992152825356</v>
      </c>
      <c r="AD413" s="38">
        <f t="shared" si="337"/>
        <v>0</v>
      </c>
      <c r="AE413" s="38">
        <f t="shared" si="338"/>
        <v>1.3911736539943365</v>
      </c>
      <c r="AF413" s="38">
        <f t="shared" si="339"/>
        <v>0</v>
      </c>
      <c r="AG413" s="38">
        <f t="shared" si="340"/>
        <v>1.4823243091561591E-2</v>
      </c>
      <c r="AH413" s="38">
        <f t="shared" si="341"/>
        <v>0</v>
      </c>
      <c r="AI413" s="38">
        <f t="shared" si="342"/>
        <v>0</v>
      </c>
      <c r="AJ413" s="38">
        <f t="shared" si="343"/>
        <v>0.40641099028116728</v>
      </c>
      <c r="AK413" s="38">
        <f t="shared" si="344"/>
        <v>0.57716476762588786</v>
      </c>
      <c r="AL413" s="38">
        <f t="shared" si="345"/>
        <v>7.3648942515504148E-2</v>
      </c>
      <c r="AM413" s="38">
        <f t="shared" si="346"/>
        <v>0</v>
      </c>
      <c r="AN413" s="38">
        <f t="shared" si="347"/>
        <v>0</v>
      </c>
      <c r="AO413" s="38">
        <f t="shared" si="348"/>
        <v>0</v>
      </c>
      <c r="AP413" s="38">
        <f t="shared" si="349"/>
        <v>5.0465208127909937</v>
      </c>
      <c r="AQ413" s="38">
        <f t="shared" si="350"/>
        <v>3.9744728692768723</v>
      </c>
      <c r="AR413" s="38">
        <f t="shared" si="351"/>
        <v>1.0572247004225594</v>
      </c>
      <c r="AS413" s="40"/>
      <c r="AT413" s="38">
        <f t="shared" si="352"/>
        <v>2.5594853475436619</v>
      </c>
      <c r="AU413" s="38">
        <f t="shared" si="353"/>
        <v>0</v>
      </c>
      <c r="AV413" s="38">
        <f t="shared" si="354"/>
        <v>1.3783492683397298</v>
      </c>
      <c r="AW413" s="38">
        <f t="shared" si="355"/>
        <v>0</v>
      </c>
      <c r="AX413" s="38">
        <f t="shared" si="356"/>
        <v>0</v>
      </c>
      <c r="AY413" s="38">
        <f t="shared" si="357"/>
        <v>1.4686596609282144E-2</v>
      </c>
      <c r="AZ413" s="38">
        <f t="shared" si="358"/>
        <v>0</v>
      </c>
      <c r="BA413" s="38">
        <f t="shared" si="359"/>
        <v>0</v>
      </c>
      <c r="BB413" s="38">
        <f t="shared" si="360"/>
        <v>0.40266453400040625</v>
      </c>
      <c r="BC413" s="38">
        <f t="shared" si="361"/>
        <v>0.57184423589713207</v>
      </c>
      <c r="BD413" s="38">
        <f t="shared" si="362"/>
        <v>7.2970017609788065E-2</v>
      </c>
      <c r="BE413" s="38">
        <f t="shared" si="363"/>
        <v>0</v>
      </c>
      <c r="BF413" s="38">
        <f t="shared" si="364"/>
        <v>0</v>
      </c>
      <c r="BG413" s="38">
        <f t="shared" si="365"/>
        <v>0</v>
      </c>
      <c r="BH413" s="41">
        <f t="shared" si="366"/>
        <v>5.0000000000000009</v>
      </c>
      <c r="BI413" s="42">
        <f t="shared" si="367"/>
        <v>7.9335961532647081</v>
      </c>
      <c r="BJ413" s="38">
        <f t="shared" si="368"/>
        <v>3.9378346158833919</v>
      </c>
      <c r="BK413" s="38">
        <f t="shared" si="369"/>
        <v>1.0474787875073264</v>
      </c>
      <c r="BL413" s="16"/>
      <c r="BM413" s="16">
        <f t="shared" si="370"/>
        <v>0.38441306764657496</v>
      </c>
      <c r="BN413" s="16">
        <f t="shared" si="371"/>
        <v>0.54592440698292644</v>
      </c>
      <c r="BO413" s="16">
        <f t="shared" si="372"/>
        <v>6.9662525370498427E-2</v>
      </c>
      <c r="BP413" s="15"/>
      <c r="BQ413" s="38">
        <f t="shared" si="373"/>
        <v>0.95322902796271647</v>
      </c>
      <c r="BR413" s="38">
        <f t="shared" si="374"/>
        <v>0</v>
      </c>
      <c r="BS413" s="38">
        <f t="shared" si="375"/>
        <v>0.51333856414280121</v>
      </c>
      <c r="BT413" s="38">
        <f t="shared" si="376"/>
        <v>0</v>
      </c>
      <c r="BU413" s="38">
        <f t="shared" si="377"/>
        <v>5.4697286012526103E-3</v>
      </c>
      <c r="BV413" s="38">
        <f t="shared" si="378"/>
        <v>0</v>
      </c>
      <c r="BW413" s="38">
        <f t="shared" si="379"/>
        <v>0</v>
      </c>
      <c r="BX413" s="38">
        <f t="shared" si="380"/>
        <v>0.14996433666191156</v>
      </c>
      <c r="BY413" s="38">
        <f t="shared" si="381"/>
        <v>0.21297192642787996</v>
      </c>
      <c r="BZ413" s="38">
        <f t="shared" si="382"/>
        <v>2.7176220806794056E-2</v>
      </c>
      <c r="CA413" s="38">
        <f t="shared" si="383"/>
        <v>0</v>
      </c>
      <c r="CB413" s="38">
        <f t="shared" si="384"/>
        <v>0</v>
      </c>
      <c r="CC413" s="38">
        <f t="shared" si="385"/>
        <v>0</v>
      </c>
      <c r="CD413" s="38">
        <f t="shared" si="386"/>
        <v>1.8621498046033558</v>
      </c>
      <c r="CE413" s="38">
        <f t="shared" si="387"/>
        <v>2.9519740410201356</v>
      </c>
      <c r="CF413" s="38">
        <f t="shared" si="388"/>
        <v>2.6850686167351703</v>
      </c>
      <c r="CG413" s="38">
        <f t="shared" si="389"/>
        <v>7.9262528549600662</v>
      </c>
      <c r="CH413" s="15"/>
      <c r="CI413" s="16"/>
      <c r="CJ413" s="13"/>
      <c r="CK413" s="104"/>
      <c r="CL413" s="13"/>
      <c r="CM413" s="13"/>
      <c r="CN413" s="13"/>
      <c r="CO413" s="16"/>
      <c r="CP413" s="16"/>
      <c r="CQ413" s="16"/>
      <c r="CR413" s="16"/>
      <c r="CS413" s="16"/>
      <c r="CT413" s="16"/>
      <c r="CU413" s="16"/>
      <c r="CV413" s="16"/>
      <c r="CW413" s="16"/>
      <c r="CX413" s="16"/>
      <c r="CY413" s="104"/>
      <c r="CZ413" s="104"/>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3"/>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row>
    <row r="414" spans="1:167" x14ac:dyDescent="0.25">
      <c r="A414" s="35" t="s">
        <v>85</v>
      </c>
      <c r="B414" s="15">
        <v>1390</v>
      </c>
      <c r="C414" s="102" t="s">
        <v>98</v>
      </c>
      <c r="D414" s="102" t="s">
        <v>105</v>
      </c>
      <c r="E414" s="15">
        <v>397</v>
      </c>
      <c r="F414" s="16">
        <v>56.18</v>
      </c>
      <c r="G414" s="16">
        <v>0</v>
      </c>
      <c r="H414" s="16">
        <v>27.25</v>
      </c>
      <c r="I414" s="16">
        <v>0</v>
      </c>
      <c r="J414" s="44">
        <v>0.45900000000000002</v>
      </c>
      <c r="K414" s="16">
        <v>0</v>
      </c>
      <c r="L414" s="16">
        <v>0</v>
      </c>
      <c r="M414" s="16">
        <v>9.39</v>
      </c>
      <c r="N414" s="16">
        <v>6.56</v>
      </c>
      <c r="O414" s="16">
        <v>0.253</v>
      </c>
      <c r="P414" s="16">
        <v>0</v>
      </c>
      <c r="Q414" s="16"/>
      <c r="R414" s="16"/>
      <c r="S414" s="16">
        <f t="shared" si="335"/>
        <v>100.09200000000001</v>
      </c>
      <c r="T414" s="16"/>
      <c r="U414" s="15">
        <v>2</v>
      </c>
      <c r="V414" s="15">
        <v>10</v>
      </c>
      <c r="W414" s="15">
        <v>82.800000000000011</v>
      </c>
      <c r="X414" s="15" t="s">
        <v>185</v>
      </c>
      <c r="Y414" s="15"/>
      <c r="Z414" s="37">
        <v>8</v>
      </c>
      <c r="AA414" s="37">
        <v>5</v>
      </c>
      <c r="AB414" s="15"/>
      <c r="AC414" s="38">
        <f t="shared" si="336"/>
        <v>2.5321265963628421</v>
      </c>
      <c r="AD414" s="38">
        <f t="shared" si="337"/>
        <v>0</v>
      </c>
      <c r="AE414" s="38">
        <f t="shared" si="338"/>
        <v>1.4474390312402081</v>
      </c>
      <c r="AF414" s="38">
        <f t="shared" si="339"/>
        <v>0</v>
      </c>
      <c r="AG414" s="38">
        <f t="shared" si="340"/>
        <v>1.7298940985358256E-2</v>
      </c>
      <c r="AH414" s="38">
        <f t="shared" si="341"/>
        <v>0</v>
      </c>
      <c r="AI414" s="38">
        <f t="shared" si="342"/>
        <v>0</v>
      </c>
      <c r="AJ414" s="38">
        <f t="shared" si="343"/>
        <v>0.4534101013104192</v>
      </c>
      <c r="AK414" s="38">
        <f t="shared" si="344"/>
        <v>0.57321278339662718</v>
      </c>
      <c r="AL414" s="38">
        <f t="shared" si="345"/>
        <v>1.454565283982495E-2</v>
      </c>
      <c r="AM414" s="38">
        <f t="shared" si="346"/>
        <v>0</v>
      </c>
      <c r="AN414" s="38">
        <f t="shared" si="347"/>
        <v>0</v>
      </c>
      <c r="AO414" s="38">
        <f t="shared" si="348"/>
        <v>0</v>
      </c>
      <c r="AP414" s="38">
        <f t="shared" si="349"/>
        <v>5.0380331061352805</v>
      </c>
      <c r="AQ414" s="38">
        <f t="shared" si="350"/>
        <v>3.9795656276030504</v>
      </c>
      <c r="AR414" s="38">
        <f t="shared" si="351"/>
        <v>1.0411685375468713</v>
      </c>
      <c r="AS414" s="40"/>
      <c r="AT414" s="38">
        <f t="shared" si="352"/>
        <v>2.5130110729912003</v>
      </c>
      <c r="AU414" s="38">
        <f t="shared" si="353"/>
        <v>0</v>
      </c>
      <c r="AV414" s="38">
        <f t="shared" si="354"/>
        <v>1.4365120283524213</v>
      </c>
      <c r="AW414" s="38">
        <f t="shared" si="355"/>
        <v>0</v>
      </c>
      <c r="AX414" s="38">
        <f t="shared" si="356"/>
        <v>0</v>
      </c>
      <c r="AY414" s="38">
        <f t="shared" si="357"/>
        <v>1.7168347866046901E-2</v>
      </c>
      <c r="AZ414" s="38">
        <f t="shared" si="358"/>
        <v>0</v>
      </c>
      <c r="BA414" s="38">
        <f t="shared" si="359"/>
        <v>0</v>
      </c>
      <c r="BB414" s="38">
        <f t="shared" si="360"/>
        <v>0.44998721897863242</v>
      </c>
      <c r="BC414" s="38">
        <f t="shared" si="361"/>
        <v>0.56888548697563424</v>
      </c>
      <c r="BD414" s="38">
        <f t="shared" si="362"/>
        <v>1.4435844836064455E-2</v>
      </c>
      <c r="BE414" s="38">
        <f t="shared" si="363"/>
        <v>0</v>
      </c>
      <c r="BF414" s="38">
        <f t="shared" si="364"/>
        <v>0</v>
      </c>
      <c r="BG414" s="38">
        <f t="shared" si="365"/>
        <v>0</v>
      </c>
      <c r="BH414" s="41">
        <f t="shared" si="366"/>
        <v>5</v>
      </c>
      <c r="BI414" s="42">
        <f t="shared" si="367"/>
        <v>7.9481905951945846</v>
      </c>
      <c r="BJ414" s="38">
        <f t="shared" si="368"/>
        <v>3.9495231013436216</v>
      </c>
      <c r="BK414" s="38">
        <f t="shared" si="369"/>
        <v>1.033308550790331</v>
      </c>
      <c r="BL414" s="16"/>
      <c r="BM414" s="16">
        <f t="shared" si="370"/>
        <v>0.43548194644712607</v>
      </c>
      <c r="BN414" s="16">
        <f t="shared" si="371"/>
        <v>0.55054754607471246</v>
      </c>
      <c r="BO414" s="16">
        <f t="shared" si="372"/>
        <v>1.3970507478161415E-2</v>
      </c>
      <c r="BP414" s="15"/>
      <c r="BQ414" s="38">
        <f t="shared" si="373"/>
        <v>0.93508655126498008</v>
      </c>
      <c r="BR414" s="38">
        <f t="shared" si="374"/>
        <v>0</v>
      </c>
      <c r="BS414" s="38">
        <f t="shared" si="375"/>
        <v>0.53452334248724998</v>
      </c>
      <c r="BT414" s="38">
        <f t="shared" si="376"/>
        <v>0</v>
      </c>
      <c r="BU414" s="38">
        <f t="shared" si="377"/>
        <v>6.3883089770354912E-3</v>
      </c>
      <c r="BV414" s="38">
        <f t="shared" si="378"/>
        <v>0</v>
      </c>
      <c r="BW414" s="38">
        <f t="shared" si="379"/>
        <v>0</v>
      </c>
      <c r="BX414" s="38">
        <f t="shared" si="380"/>
        <v>0.16743937232524966</v>
      </c>
      <c r="BY414" s="38">
        <f t="shared" si="381"/>
        <v>0.21168118747983219</v>
      </c>
      <c r="BZ414" s="38">
        <f t="shared" si="382"/>
        <v>5.3715498938428875E-3</v>
      </c>
      <c r="CA414" s="38">
        <f t="shared" si="383"/>
        <v>0</v>
      </c>
      <c r="CB414" s="38">
        <f t="shared" si="384"/>
        <v>0</v>
      </c>
      <c r="CC414" s="38">
        <f t="shared" si="385"/>
        <v>0</v>
      </c>
      <c r="CD414" s="38">
        <f t="shared" si="386"/>
        <v>1.8604903124281904</v>
      </c>
      <c r="CE414" s="38">
        <f t="shared" si="387"/>
        <v>2.9543121662499576</v>
      </c>
      <c r="CF414" s="38">
        <f t="shared" si="388"/>
        <v>2.6874636038681259</v>
      </c>
      <c r="CG414" s="38">
        <f t="shared" si="389"/>
        <v>7.9396064212615611</v>
      </c>
      <c r="CH414" s="15"/>
      <c r="CI414" s="16"/>
      <c r="CJ414" s="13"/>
      <c r="CK414" s="104"/>
      <c r="CL414" s="13"/>
      <c r="CM414" s="13"/>
      <c r="CN414" s="13"/>
      <c r="CO414" s="16"/>
      <c r="CP414" s="16"/>
      <c r="CQ414" s="16"/>
      <c r="CR414" s="16"/>
      <c r="CS414" s="16"/>
      <c r="CT414" s="16"/>
      <c r="CU414" s="16"/>
      <c r="CV414" s="16"/>
      <c r="CW414" s="16"/>
      <c r="CX414" s="16"/>
      <c r="CY414" s="104"/>
      <c r="CZ414" s="104"/>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3"/>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row>
    <row r="415" spans="1:167" x14ac:dyDescent="0.25">
      <c r="A415" s="35" t="s">
        <v>85</v>
      </c>
      <c r="B415" s="15">
        <v>1391</v>
      </c>
      <c r="C415" s="102" t="s">
        <v>98</v>
      </c>
      <c r="D415" s="102" t="s">
        <v>105</v>
      </c>
      <c r="E415" s="15">
        <v>398</v>
      </c>
      <c r="F415" s="16">
        <v>56.73</v>
      </c>
      <c r="G415" s="16">
        <v>0</v>
      </c>
      <c r="H415" s="16">
        <v>26.8</v>
      </c>
      <c r="I415" s="16">
        <v>0</v>
      </c>
      <c r="J415" s="44">
        <v>0.375</v>
      </c>
      <c r="K415" s="16">
        <v>0</v>
      </c>
      <c r="L415" s="16">
        <v>0</v>
      </c>
      <c r="M415" s="16">
        <v>9.06</v>
      </c>
      <c r="N415" s="16">
        <v>6.89</v>
      </c>
      <c r="O415" s="16">
        <v>0.247</v>
      </c>
      <c r="P415" s="16">
        <v>0</v>
      </c>
      <c r="Q415" s="16"/>
      <c r="R415" s="16"/>
      <c r="S415" s="16">
        <f t="shared" si="335"/>
        <v>100.102</v>
      </c>
      <c r="T415" s="16"/>
      <c r="U415" s="15">
        <v>2</v>
      </c>
      <c r="V415" s="15">
        <v>11</v>
      </c>
      <c r="W415" s="15">
        <v>92.000000000000014</v>
      </c>
      <c r="X415" s="15" t="s">
        <v>185</v>
      </c>
      <c r="Y415" s="15"/>
      <c r="Z415" s="37">
        <v>8</v>
      </c>
      <c r="AA415" s="37">
        <v>5</v>
      </c>
      <c r="AB415" s="15"/>
      <c r="AC415" s="38">
        <f t="shared" si="336"/>
        <v>2.5540842688719212</v>
      </c>
      <c r="AD415" s="38">
        <f t="shared" si="337"/>
        <v>0</v>
      </c>
      <c r="AE415" s="38">
        <f t="shared" si="338"/>
        <v>1.4219598222861221</v>
      </c>
      <c r="AF415" s="38">
        <f t="shared" si="339"/>
        <v>0</v>
      </c>
      <c r="AG415" s="38">
        <f t="shared" si="340"/>
        <v>1.4117469491039033E-2</v>
      </c>
      <c r="AH415" s="38">
        <f t="shared" si="341"/>
        <v>0</v>
      </c>
      <c r="AI415" s="38">
        <f t="shared" si="342"/>
        <v>0</v>
      </c>
      <c r="AJ415" s="38">
        <f t="shared" si="343"/>
        <v>0.43699106311727343</v>
      </c>
      <c r="AK415" s="38">
        <f t="shared" si="344"/>
        <v>0.60138142285861274</v>
      </c>
      <c r="AL415" s="38">
        <f t="shared" si="345"/>
        <v>1.4184969578711683E-2</v>
      </c>
      <c r="AM415" s="38">
        <f t="shared" si="346"/>
        <v>0</v>
      </c>
      <c r="AN415" s="38">
        <f t="shared" si="347"/>
        <v>0</v>
      </c>
      <c r="AO415" s="38">
        <f t="shared" si="348"/>
        <v>0</v>
      </c>
      <c r="AP415" s="38">
        <f t="shared" si="349"/>
        <v>5.0427190162036801</v>
      </c>
      <c r="AQ415" s="38">
        <f t="shared" si="350"/>
        <v>3.9760440911580432</v>
      </c>
      <c r="AR415" s="38">
        <f t="shared" si="351"/>
        <v>1.0525574555545978</v>
      </c>
      <c r="AS415" s="40"/>
      <c r="AT415" s="38">
        <f t="shared" si="352"/>
        <v>2.5324475354118756</v>
      </c>
      <c r="AU415" s="38">
        <f t="shared" si="353"/>
        <v>0</v>
      </c>
      <c r="AV415" s="38">
        <f t="shared" si="354"/>
        <v>1.4099137962247785</v>
      </c>
      <c r="AW415" s="38">
        <f t="shared" si="355"/>
        <v>0</v>
      </c>
      <c r="AX415" s="38">
        <f t="shared" si="356"/>
        <v>0</v>
      </c>
      <c r="AY415" s="38">
        <f t="shared" si="357"/>
        <v>1.3997874406322875E-2</v>
      </c>
      <c r="AZ415" s="38">
        <f t="shared" si="358"/>
        <v>0</v>
      </c>
      <c r="BA415" s="38">
        <f t="shared" si="359"/>
        <v>0</v>
      </c>
      <c r="BB415" s="38">
        <f t="shared" si="360"/>
        <v>0.43328912607771497</v>
      </c>
      <c r="BC415" s="38">
        <f t="shared" si="361"/>
        <v>0.59628686520724672</v>
      </c>
      <c r="BD415" s="38">
        <f t="shared" si="362"/>
        <v>1.4064802672061808E-2</v>
      </c>
      <c r="BE415" s="38">
        <f t="shared" si="363"/>
        <v>0</v>
      </c>
      <c r="BF415" s="38">
        <f t="shared" si="364"/>
        <v>0</v>
      </c>
      <c r="BG415" s="38">
        <f t="shared" si="365"/>
        <v>0</v>
      </c>
      <c r="BH415" s="41">
        <f t="shared" si="366"/>
        <v>5</v>
      </c>
      <c r="BI415" s="42">
        <f t="shared" si="367"/>
        <v>7.9392275367877723</v>
      </c>
      <c r="BJ415" s="38">
        <f t="shared" si="368"/>
        <v>3.9423613316366541</v>
      </c>
      <c r="BK415" s="38">
        <f t="shared" si="369"/>
        <v>1.0436407939570234</v>
      </c>
      <c r="BL415" s="16"/>
      <c r="BM415" s="16">
        <f t="shared" si="370"/>
        <v>0.41517074513240765</v>
      </c>
      <c r="BN415" s="16">
        <f t="shared" si="371"/>
        <v>0.57135258477813156</v>
      </c>
      <c r="BO415" s="16">
        <f t="shared" si="372"/>
        <v>1.3476670089460865E-2</v>
      </c>
      <c r="BP415" s="15"/>
      <c r="BQ415" s="38">
        <f t="shared" si="373"/>
        <v>0.94424101198402133</v>
      </c>
      <c r="BR415" s="38">
        <f t="shared" si="374"/>
        <v>0</v>
      </c>
      <c r="BS415" s="38">
        <f t="shared" si="375"/>
        <v>0.52569635151039629</v>
      </c>
      <c r="BT415" s="38">
        <f t="shared" si="376"/>
        <v>0</v>
      </c>
      <c r="BU415" s="38">
        <f t="shared" si="377"/>
        <v>5.2192066805845519E-3</v>
      </c>
      <c r="BV415" s="38">
        <f t="shared" si="378"/>
        <v>0</v>
      </c>
      <c r="BW415" s="38">
        <f t="shared" si="379"/>
        <v>0</v>
      </c>
      <c r="BX415" s="38">
        <f t="shared" si="380"/>
        <v>0.16155492154065623</v>
      </c>
      <c r="BY415" s="38">
        <f t="shared" si="381"/>
        <v>0.2223297838012262</v>
      </c>
      <c r="BZ415" s="38">
        <f t="shared" si="382"/>
        <v>5.2441613588110397E-3</v>
      </c>
      <c r="CA415" s="38">
        <f t="shared" si="383"/>
        <v>0</v>
      </c>
      <c r="CB415" s="38">
        <f t="shared" si="384"/>
        <v>0</v>
      </c>
      <c r="CC415" s="38">
        <f t="shared" si="385"/>
        <v>0</v>
      </c>
      <c r="CD415" s="38">
        <f t="shared" si="386"/>
        <v>1.8642854368756954</v>
      </c>
      <c r="CE415" s="38">
        <f t="shared" si="387"/>
        <v>2.9575876520348965</v>
      </c>
      <c r="CF415" s="38">
        <f t="shared" si="388"/>
        <v>2.6819927362514626</v>
      </c>
      <c r="CG415" s="38">
        <f t="shared" si="389"/>
        <v>7.9322285995846107</v>
      </c>
      <c r="CH415" s="15"/>
      <c r="CI415" s="16"/>
      <c r="CJ415" s="13"/>
      <c r="CK415" s="104"/>
      <c r="CL415" s="13"/>
      <c r="CM415" s="13"/>
      <c r="CN415" s="13"/>
      <c r="CO415" s="16"/>
      <c r="CP415" s="16"/>
      <c r="CQ415" s="16"/>
      <c r="CR415" s="16"/>
      <c r="CS415" s="16"/>
      <c r="CT415" s="16"/>
      <c r="CU415" s="16"/>
      <c r="CV415" s="16"/>
      <c r="CW415" s="16"/>
      <c r="CX415" s="16"/>
      <c r="CY415" s="104"/>
      <c r="CZ415" s="104"/>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3"/>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row>
    <row r="416" spans="1:167" x14ac:dyDescent="0.25">
      <c r="A416" s="35" t="s">
        <v>85</v>
      </c>
      <c r="B416" s="15">
        <v>1392</v>
      </c>
      <c r="C416" s="102" t="s">
        <v>98</v>
      </c>
      <c r="D416" s="102" t="s">
        <v>105</v>
      </c>
      <c r="E416" s="15">
        <v>399</v>
      </c>
      <c r="F416" s="16">
        <v>57.87</v>
      </c>
      <c r="G416" s="16">
        <v>0</v>
      </c>
      <c r="H416" s="16">
        <v>26.03</v>
      </c>
      <c r="I416" s="16">
        <v>0</v>
      </c>
      <c r="J416" s="44">
        <v>0.37</v>
      </c>
      <c r="K416" s="16">
        <v>0</v>
      </c>
      <c r="L416" s="16">
        <v>0</v>
      </c>
      <c r="M416" s="16">
        <v>7.99</v>
      </c>
      <c r="N416" s="16">
        <v>7.25</v>
      </c>
      <c r="O416" s="16">
        <v>0.35599999999999998</v>
      </c>
      <c r="P416" s="16">
        <v>0</v>
      </c>
      <c r="Q416" s="16"/>
      <c r="R416" s="16"/>
      <c r="S416" s="16">
        <f t="shared" si="335"/>
        <v>99.866</v>
      </c>
      <c r="T416" s="16"/>
      <c r="U416" s="15">
        <v>2</v>
      </c>
      <c r="V416" s="15">
        <v>12</v>
      </c>
      <c r="W416" s="15">
        <v>101.20000000000002</v>
      </c>
      <c r="X416" s="15" t="s">
        <v>258</v>
      </c>
      <c r="Y416" s="15"/>
      <c r="Z416" s="37">
        <v>8</v>
      </c>
      <c r="AA416" s="37">
        <v>5</v>
      </c>
      <c r="AB416" s="15"/>
      <c r="AC416" s="38">
        <f t="shared" si="336"/>
        <v>2.6026727868961212</v>
      </c>
      <c r="AD416" s="38">
        <f t="shared" si="337"/>
        <v>0</v>
      </c>
      <c r="AE416" s="38">
        <f t="shared" si="338"/>
        <v>1.3796545253673567</v>
      </c>
      <c r="AF416" s="38">
        <f t="shared" si="339"/>
        <v>0</v>
      </c>
      <c r="AG416" s="38">
        <f t="shared" si="340"/>
        <v>1.3914607629917036E-2</v>
      </c>
      <c r="AH416" s="38">
        <f t="shared" si="341"/>
        <v>0</v>
      </c>
      <c r="AI416" s="38">
        <f t="shared" si="342"/>
        <v>0</v>
      </c>
      <c r="AJ416" s="38">
        <f t="shared" si="343"/>
        <v>0.38497700293471765</v>
      </c>
      <c r="AK416" s="38">
        <f t="shared" si="344"/>
        <v>0.63213879342239065</v>
      </c>
      <c r="AL416" s="38">
        <f t="shared" si="345"/>
        <v>2.0423261761783201E-2</v>
      </c>
      <c r="AM416" s="38">
        <f t="shared" si="346"/>
        <v>0</v>
      </c>
      <c r="AN416" s="38">
        <f t="shared" si="347"/>
        <v>0</v>
      </c>
      <c r="AO416" s="38">
        <f t="shared" si="348"/>
        <v>0</v>
      </c>
      <c r="AP416" s="38">
        <f t="shared" si="349"/>
        <v>5.0337809780122864</v>
      </c>
      <c r="AQ416" s="38">
        <f t="shared" si="350"/>
        <v>3.9823273122634779</v>
      </c>
      <c r="AR416" s="38">
        <f t="shared" si="351"/>
        <v>1.0375390581188915</v>
      </c>
      <c r="AS416" s="40"/>
      <c r="AT416" s="38">
        <f t="shared" si="352"/>
        <v>2.585206625263075</v>
      </c>
      <c r="AU416" s="38">
        <f t="shared" si="353"/>
        <v>0</v>
      </c>
      <c r="AV416" s="38">
        <f t="shared" si="354"/>
        <v>1.3703958628650421</v>
      </c>
      <c r="AW416" s="38">
        <f t="shared" si="355"/>
        <v>0</v>
      </c>
      <c r="AX416" s="38">
        <f t="shared" si="356"/>
        <v>0</v>
      </c>
      <c r="AY416" s="38">
        <f t="shared" si="357"/>
        <v>1.382122870531761E-2</v>
      </c>
      <c r="AZ416" s="38">
        <f t="shared" si="358"/>
        <v>0</v>
      </c>
      <c r="BA416" s="38">
        <f t="shared" si="359"/>
        <v>0</v>
      </c>
      <c r="BB416" s="38">
        <f t="shared" si="360"/>
        <v>0.38239347780158617</v>
      </c>
      <c r="BC416" s="38">
        <f t="shared" si="361"/>
        <v>0.62789660116678958</v>
      </c>
      <c r="BD416" s="38">
        <f t="shared" si="362"/>
        <v>2.0286204198188842E-2</v>
      </c>
      <c r="BE416" s="38">
        <f t="shared" si="363"/>
        <v>0</v>
      </c>
      <c r="BF416" s="38">
        <f t="shared" si="364"/>
        <v>0</v>
      </c>
      <c r="BG416" s="38">
        <f t="shared" si="365"/>
        <v>0</v>
      </c>
      <c r="BH416" s="41">
        <f t="shared" si="366"/>
        <v>4.9999999999999991</v>
      </c>
      <c r="BI416" s="42">
        <f t="shared" si="367"/>
        <v>7.9532237683657652</v>
      </c>
      <c r="BJ416" s="38">
        <f t="shared" si="368"/>
        <v>3.9556024881281173</v>
      </c>
      <c r="BK416" s="38">
        <f t="shared" si="369"/>
        <v>1.0305762831665646</v>
      </c>
      <c r="BL416" s="16"/>
      <c r="BM416" s="16">
        <f t="shared" si="370"/>
        <v>0.37104820288182655</v>
      </c>
      <c r="BN416" s="16">
        <f t="shared" si="371"/>
        <v>0.60926746658433162</v>
      </c>
      <c r="BO416" s="16">
        <f t="shared" si="372"/>
        <v>1.9684330533841842E-2</v>
      </c>
      <c r="BP416" s="15"/>
      <c r="BQ416" s="38">
        <f t="shared" si="373"/>
        <v>0.96321571238348869</v>
      </c>
      <c r="BR416" s="38">
        <f t="shared" si="374"/>
        <v>0</v>
      </c>
      <c r="BS416" s="38">
        <f t="shared" si="375"/>
        <v>0.51059238917222449</v>
      </c>
      <c r="BT416" s="38">
        <f t="shared" si="376"/>
        <v>0</v>
      </c>
      <c r="BU416" s="38">
        <f t="shared" si="377"/>
        <v>5.1496172581767573E-3</v>
      </c>
      <c r="BV416" s="38">
        <f t="shared" si="378"/>
        <v>0</v>
      </c>
      <c r="BW416" s="38">
        <f t="shared" si="379"/>
        <v>0</v>
      </c>
      <c r="BX416" s="38">
        <f t="shared" si="380"/>
        <v>0.14247503566333811</v>
      </c>
      <c r="BY416" s="38">
        <f t="shared" si="381"/>
        <v>0.23394643433365603</v>
      </c>
      <c r="BZ416" s="38">
        <f t="shared" si="382"/>
        <v>7.5583864118895956E-3</v>
      </c>
      <c r="CA416" s="38">
        <f t="shared" si="383"/>
        <v>0</v>
      </c>
      <c r="CB416" s="38">
        <f t="shared" si="384"/>
        <v>0</v>
      </c>
      <c r="CC416" s="38">
        <f t="shared" si="385"/>
        <v>0</v>
      </c>
      <c r="CD416" s="38">
        <f t="shared" si="386"/>
        <v>1.8629375752227739</v>
      </c>
      <c r="CE416" s="38">
        <f t="shared" si="387"/>
        <v>2.960697071819602</v>
      </c>
      <c r="CF416" s="38">
        <f t="shared" si="388"/>
        <v>2.6839331958839736</v>
      </c>
      <c r="CG416" s="38">
        <f t="shared" si="389"/>
        <v>7.9463131540131071</v>
      </c>
      <c r="CH416" s="15"/>
      <c r="CI416" s="16"/>
      <c r="CJ416" s="13"/>
      <c r="CK416" s="104"/>
      <c r="CL416" s="13"/>
      <c r="CM416" s="13"/>
      <c r="CN416" s="13"/>
      <c r="CO416" s="16"/>
      <c r="CP416" s="16"/>
      <c r="CQ416" s="16"/>
      <c r="CR416" s="16"/>
      <c r="CS416" s="16"/>
      <c r="CT416" s="16"/>
      <c r="CU416" s="16"/>
      <c r="CV416" s="16"/>
      <c r="CW416" s="16"/>
      <c r="CX416" s="16"/>
      <c r="CY416" s="104"/>
      <c r="CZ416" s="104"/>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3"/>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row>
    <row r="417" spans="1:167" x14ac:dyDescent="0.25">
      <c r="A417" s="35" t="s">
        <v>85</v>
      </c>
      <c r="B417" s="15">
        <v>1393</v>
      </c>
      <c r="C417" s="102" t="s">
        <v>98</v>
      </c>
      <c r="D417" s="102" t="s">
        <v>105</v>
      </c>
      <c r="E417" s="15">
        <v>400</v>
      </c>
      <c r="F417" s="16">
        <v>59.58</v>
      </c>
      <c r="G417" s="16">
        <v>0</v>
      </c>
      <c r="H417" s="16">
        <v>25.04</v>
      </c>
      <c r="I417" s="16">
        <v>0</v>
      </c>
      <c r="J417" s="44">
        <v>0.28399999999999997</v>
      </c>
      <c r="K417" s="16">
        <v>0</v>
      </c>
      <c r="L417" s="16">
        <v>0</v>
      </c>
      <c r="M417" s="16">
        <v>6.77</v>
      </c>
      <c r="N417" s="16">
        <v>8.15</v>
      </c>
      <c r="O417" s="16">
        <v>0.5</v>
      </c>
      <c r="P417" s="16">
        <v>0</v>
      </c>
      <c r="Q417" s="16"/>
      <c r="R417" s="16"/>
      <c r="S417" s="16">
        <f t="shared" si="335"/>
        <v>100.32400000000001</v>
      </c>
      <c r="T417" s="16"/>
      <c r="U417" s="15">
        <v>2</v>
      </c>
      <c r="V417" s="15">
        <v>13</v>
      </c>
      <c r="W417" s="15">
        <v>110.40000000000002</v>
      </c>
      <c r="X417" s="15" t="s">
        <v>258</v>
      </c>
      <c r="Y417" s="15"/>
      <c r="Z417" s="37">
        <v>8</v>
      </c>
      <c r="AA417" s="37">
        <v>5</v>
      </c>
      <c r="AB417" s="15"/>
      <c r="AC417" s="38">
        <f t="shared" si="336"/>
        <v>2.6608024889414512</v>
      </c>
      <c r="AD417" s="38">
        <f t="shared" si="337"/>
        <v>0</v>
      </c>
      <c r="AE417" s="38">
        <f t="shared" si="338"/>
        <v>1.3178820920404792</v>
      </c>
      <c r="AF417" s="38">
        <f t="shared" si="339"/>
        <v>0</v>
      </c>
      <c r="AG417" s="38">
        <f t="shared" si="340"/>
        <v>1.0605560623298621E-2</v>
      </c>
      <c r="AH417" s="38">
        <f t="shared" si="341"/>
        <v>0</v>
      </c>
      <c r="AI417" s="38">
        <f t="shared" si="342"/>
        <v>0</v>
      </c>
      <c r="AJ417" s="38">
        <f t="shared" si="343"/>
        <v>0.32390878494804459</v>
      </c>
      <c r="AK417" s="38">
        <f t="shared" si="344"/>
        <v>0.70563172080608116</v>
      </c>
      <c r="AL417" s="38">
        <f t="shared" si="345"/>
        <v>2.8483356163990534E-2</v>
      </c>
      <c r="AM417" s="38">
        <f t="shared" si="346"/>
        <v>0</v>
      </c>
      <c r="AN417" s="38">
        <f t="shared" si="347"/>
        <v>0</v>
      </c>
      <c r="AO417" s="38">
        <f t="shared" si="348"/>
        <v>0</v>
      </c>
      <c r="AP417" s="38">
        <f t="shared" si="349"/>
        <v>5.0473140035233444</v>
      </c>
      <c r="AQ417" s="38">
        <f t="shared" si="350"/>
        <v>3.9786845809819305</v>
      </c>
      <c r="AR417" s="38">
        <f t="shared" si="351"/>
        <v>1.0580238619181164</v>
      </c>
      <c r="AS417" s="40"/>
      <c r="AT417" s="38">
        <f t="shared" si="352"/>
        <v>2.6358598722845876</v>
      </c>
      <c r="AU417" s="38">
        <f t="shared" si="353"/>
        <v>0</v>
      </c>
      <c r="AV417" s="38">
        <f t="shared" si="354"/>
        <v>1.3055281394425966</v>
      </c>
      <c r="AW417" s="38">
        <f t="shared" si="355"/>
        <v>0</v>
      </c>
      <c r="AX417" s="38">
        <f t="shared" si="356"/>
        <v>0</v>
      </c>
      <c r="AY417" s="38">
        <f t="shared" si="357"/>
        <v>1.0506143085109493E-2</v>
      </c>
      <c r="AZ417" s="38">
        <f t="shared" si="358"/>
        <v>0</v>
      </c>
      <c r="BA417" s="38">
        <f t="shared" si="359"/>
        <v>0</v>
      </c>
      <c r="BB417" s="38">
        <f t="shared" si="360"/>
        <v>0.3208724330623533</v>
      </c>
      <c r="BC417" s="38">
        <f t="shared" si="361"/>
        <v>0.69901706166240651</v>
      </c>
      <c r="BD417" s="38">
        <f t="shared" si="362"/>
        <v>2.8216350462946575E-2</v>
      </c>
      <c r="BE417" s="38">
        <f t="shared" si="363"/>
        <v>0</v>
      </c>
      <c r="BF417" s="38">
        <f t="shared" si="364"/>
        <v>0</v>
      </c>
      <c r="BG417" s="38">
        <f t="shared" si="365"/>
        <v>0</v>
      </c>
      <c r="BH417" s="41">
        <f t="shared" si="366"/>
        <v>5</v>
      </c>
      <c r="BI417" s="42">
        <f t="shared" si="367"/>
        <v>7.9302603074857645</v>
      </c>
      <c r="BJ417" s="38">
        <f t="shared" si="368"/>
        <v>3.9413880117271844</v>
      </c>
      <c r="BK417" s="38">
        <f t="shared" si="369"/>
        <v>1.0481058451877066</v>
      </c>
      <c r="BL417" s="16"/>
      <c r="BM417" s="16">
        <f t="shared" si="370"/>
        <v>0.30614506591639884</v>
      </c>
      <c r="BN417" s="16">
        <f t="shared" si="371"/>
        <v>0.6669336545272474</v>
      </c>
      <c r="BO417" s="16">
        <f t="shared" si="372"/>
        <v>2.692127955635366E-2</v>
      </c>
      <c r="BP417" s="15"/>
      <c r="BQ417" s="38">
        <f t="shared" si="373"/>
        <v>0.99167776298268973</v>
      </c>
      <c r="BR417" s="38">
        <f t="shared" si="374"/>
        <v>0</v>
      </c>
      <c r="BS417" s="38">
        <f t="shared" si="375"/>
        <v>0.49117300902314637</v>
      </c>
      <c r="BT417" s="38">
        <f t="shared" si="376"/>
        <v>0</v>
      </c>
      <c r="BU417" s="38">
        <f t="shared" si="377"/>
        <v>3.9526791927626996E-3</v>
      </c>
      <c r="BV417" s="38">
        <f t="shared" si="378"/>
        <v>0</v>
      </c>
      <c r="BW417" s="38">
        <f t="shared" si="379"/>
        <v>0</v>
      </c>
      <c r="BX417" s="38">
        <f t="shared" si="380"/>
        <v>0.12072039942938659</v>
      </c>
      <c r="BY417" s="38">
        <f t="shared" si="381"/>
        <v>0.26298806066473057</v>
      </c>
      <c r="BZ417" s="38">
        <f t="shared" si="382"/>
        <v>1.0615711252653927E-2</v>
      </c>
      <c r="CA417" s="38">
        <f t="shared" si="383"/>
        <v>0</v>
      </c>
      <c r="CB417" s="38">
        <f t="shared" si="384"/>
        <v>0</v>
      </c>
      <c r="CC417" s="38">
        <f t="shared" si="385"/>
        <v>0</v>
      </c>
      <c r="CD417" s="38">
        <f t="shared" si="386"/>
        <v>1.8811276225453699</v>
      </c>
      <c r="CE417" s="38">
        <f t="shared" si="387"/>
        <v>2.9815900040809407</v>
      </c>
      <c r="CF417" s="38">
        <f t="shared" si="388"/>
        <v>2.6579802136095676</v>
      </c>
      <c r="CG417" s="38">
        <f t="shared" si="389"/>
        <v>7.9250072359432098</v>
      </c>
      <c r="CH417" s="15"/>
      <c r="CI417" s="16"/>
      <c r="CJ417" s="13"/>
      <c r="CK417" s="104"/>
      <c r="CL417" s="13"/>
      <c r="CM417" s="13"/>
      <c r="CN417" s="13"/>
      <c r="CO417" s="16"/>
      <c r="CP417" s="16"/>
      <c r="CQ417" s="16"/>
      <c r="CR417" s="16"/>
      <c r="CS417" s="16"/>
      <c r="CT417" s="16"/>
      <c r="CU417" s="16"/>
      <c r="CV417" s="16"/>
      <c r="CW417" s="16"/>
      <c r="CX417" s="16"/>
      <c r="CY417" s="104"/>
      <c r="CZ417" s="104"/>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3"/>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row>
    <row r="418" spans="1:167" x14ac:dyDescent="0.25">
      <c r="A418" s="35" t="s">
        <v>85</v>
      </c>
      <c r="B418" s="15">
        <v>1394</v>
      </c>
      <c r="C418" s="102" t="s">
        <v>98</v>
      </c>
      <c r="D418" s="102" t="s">
        <v>105</v>
      </c>
      <c r="E418" s="15">
        <v>401</v>
      </c>
      <c r="F418" s="16">
        <v>61.74</v>
      </c>
      <c r="G418" s="16">
        <v>0</v>
      </c>
      <c r="H418" s="16">
        <v>23.78</v>
      </c>
      <c r="I418" s="16">
        <v>0</v>
      </c>
      <c r="J418" s="44">
        <v>0.246</v>
      </c>
      <c r="K418" s="16">
        <v>0</v>
      </c>
      <c r="L418" s="16">
        <v>0</v>
      </c>
      <c r="M418" s="16">
        <v>5.17</v>
      </c>
      <c r="N418" s="16">
        <v>9.06</v>
      </c>
      <c r="O418" s="16">
        <v>0.66100000000000003</v>
      </c>
      <c r="P418" s="16">
        <v>0</v>
      </c>
      <c r="Q418" s="16"/>
      <c r="R418" s="16"/>
      <c r="S418" s="16">
        <f t="shared" si="335"/>
        <v>100.65700000000001</v>
      </c>
      <c r="T418" s="16"/>
      <c r="U418" s="15">
        <v>2</v>
      </c>
      <c r="V418" s="15">
        <v>14</v>
      </c>
      <c r="W418" s="15">
        <v>119.60000000000002</v>
      </c>
      <c r="X418" s="15" t="s">
        <v>258</v>
      </c>
      <c r="Y418" s="15"/>
      <c r="Z418" s="37">
        <v>8</v>
      </c>
      <c r="AA418" s="37">
        <v>5</v>
      </c>
      <c r="AB418" s="15"/>
      <c r="AC418" s="38">
        <f t="shared" si="336"/>
        <v>2.7369227664789695</v>
      </c>
      <c r="AD418" s="38">
        <f t="shared" si="337"/>
        <v>0</v>
      </c>
      <c r="AE418" s="38">
        <f t="shared" si="338"/>
        <v>1.2423325385080042</v>
      </c>
      <c r="AF418" s="38">
        <f t="shared" si="339"/>
        <v>0</v>
      </c>
      <c r="AG418" s="38">
        <f t="shared" si="340"/>
        <v>9.1187261987096761E-3</v>
      </c>
      <c r="AH418" s="38">
        <f t="shared" si="341"/>
        <v>0</v>
      </c>
      <c r="AI418" s="38">
        <f t="shared" si="342"/>
        <v>0</v>
      </c>
      <c r="AJ418" s="38">
        <f t="shared" si="343"/>
        <v>0.24553215702601033</v>
      </c>
      <c r="AK418" s="38">
        <f t="shared" si="344"/>
        <v>0.77863238404182955</v>
      </c>
      <c r="AL418" s="38">
        <f t="shared" si="345"/>
        <v>3.7377168068837174E-2</v>
      </c>
      <c r="AM418" s="38">
        <f t="shared" si="346"/>
        <v>0</v>
      </c>
      <c r="AN418" s="38">
        <f t="shared" si="347"/>
        <v>0</v>
      </c>
      <c r="AO418" s="38">
        <f t="shared" si="348"/>
        <v>0</v>
      </c>
      <c r="AP418" s="38">
        <f t="shared" si="349"/>
        <v>5.0499157403223602</v>
      </c>
      <c r="AQ418" s="38">
        <f t="shared" si="350"/>
        <v>3.9792553049869737</v>
      </c>
      <c r="AR418" s="38">
        <f t="shared" si="351"/>
        <v>1.061541709136677</v>
      </c>
      <c r="AS418" s="40"/>
      <c r="AT418" s="38">
        <f t="shared" si="352"/>
        <v>2.7098697356723211</v>
      </c>
      <c r="AU418" s="38">
        <f t="shared" si="353"/>
        <v>0</v>
      </c>
      <c r="AV418" s="38">
        <f t="shared" si="354"/>
        <v>1.2300527398786856</v>
      </c>
      <c r="AW418" s="38">
        <f t="shared" si="355"/>
        <v>0</v>
      </c>
      <c r="AX418" s="38">
        <f t="shared" si="356"/>
        <v>0</v>
      </c>
      <c r="AY418" s="38">
        <f t="shared" si="357"/>
        <v>9.0285924237298101E-3</v>
      </c>
      <c r="AZ418" s="38">
        <f t="shared" si="358"/>
        <v>0</v>
      </c>
      <c r="BA418" s="38">
        <f t="shared" si="359"/>
        <v>0</v>
      </c>
      <c r="BB418" s="38">
        <f t="shared" si="360"/>
        <v>0.24310520180118572</v>
      </c>
      <c r="BC418" s="38">
        <f t="shared" si="361"/>
        <v>0.77093601564936776</v>
      </c>
      <c r="BD418" s="38">
        <f t="shared" si="362"/>
        <v>3.7007714574710124E-2</v>
      </c>
      <c r="BE418" s="38">
        <f t="shared" si="363"/>
        <v>0</v>
      </c>
      <c r="BF418" s="38">
        <f t="shared" si="364"/>
        <v>0</v>
      </c>
      <c r="BG418" s="38">
        <f t="shared" si="365"/>
        <v>0</v>
      </c>
      <c r="BH418" s="41">
        <f t="shared" si="366"/>
        <v>5.0000000000000009</v>
      </c>
      <c r="BI418" s="42">
        <f t="shared" si="367"/>
        <v>7.9254385367114901</v>
      </c>
      <c r="BJ418" s="38">
        <f t="shared" si="368"/>
        <v>3.9399224755510067</v>
      </c>
      <c r="BK418" s="38">
        <f t="shared" si="369"/>
        <v>1.0510489320252636</v>
      </c>
      <c r="BL418" s="16"/>
      <c r="BM418" s="16">
        <f t="shared" si="370"/>
        <v>0.23129770117624013</v>
      </c>
      <c r="BN418" s="16">
        <f t="shared" si="371"/>
        <v>0.73349203082662673</v>
      </c>
      <c r="BO418" s="16">
        <f t="shared" si="372"/>
        <v>3.5210267997133157E-2</v>
      </c>
      <c r="BP418" s="15"/>
      <c r="BQ418" s="38">
        <f t="shared" si="373"/>
        <v>1.0276298268974702</v>
      </c>
      <c r="BR418" s="38">
        <f t="shared" si="374"/>
        <v>0</v>
      </c>
      <c r="BS418" s="38">
        <f t="shared" si="375"/>
        <v>0.46645743428795611</v>
      </c>
      <c r="BT418" s="38">
        <f t="shared" si="376"/>
        <v>0</v>
      </c>
      <c r="BU418" s="38">
        <f t="shared" si="377"/>
        <v>3.4237995824634659E-3</v>
      </c>
      <c r="BV418" s="38">
        <f t="shared" si="378"/>
        <v>0</v>
      </c>
      <c r="BW418" s="38">
        <f t="shared" si="379"/>
        <v>0</v>
      </c>
      <c r="BX418" s="38">
        <f t="shared" si="380"/>
        <v>9.2189728958630535E-2</v>
      </c>
      <c r="BY418" s="38">
        <f t="shared" si="381"/>
        <v>0.29235237173281708</v>
      </c>
      <c r="BZ418" s="38">
        <f t="shared" si="382"/>
        <v>1.4033970276008494E-2</v>
      </c>
      <c r="CA418" s="38">
        <f t="shared" si="383"/>
        <v>0</v>
      </c>
      <c r="CB418" s="38">
        <f t="shared" si="384"/>
        <v>0</v>
      </c>
      <c r="CC418" s="38">
        <f t="shared" si="385"/>
        <v>0</v>
      </c>
      <c r="CD418" s="38">
        <f t="shared" si="386"/>
        <v>1.8960871317353458</v>
      </c>
      <c r="CE418" s="38">
        <f t="shared" si="387"/>
        <v>3.0037525047723816</v>
      </c>
      <c r="CF418" s="38">
        <f t="shared" si="388"/>
        <v>2.6370096164430357</v>
      </c>
      <c r="CG418" s="38">
        <f t="shared" si="389"/>
        <v>7.9209242404996258</v>
      </c>
      <c r="CH418" s="15"/>
      <c r="CI418" s="16"/>
      <c r="CJ418" s="13"/>
      <c r="CK418" s="104"/>
      <c r="CL418" s="13"/>
      <c r="CM418" s="13"/>
      <c r="CN418" s="13"/>
      <c r="CO418" s="16"/>
      <c r="CP418" s="16"/>
      <c r="CQ418" s="16"/>
      <c r="CR418" s="16"/>
      <c r="CS418" s="16"/>
      <c r="CT418" s="16"/>
      <c r="CU418" s="16"/>
      <c r="CV418" s="16"/>
      <c r="CW418" s="16"/>
      <c r="CX418" s="16"/>
      <c r="CY418" s="104"/>
      <c r="CZ418" s="104"/>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3"/>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row>
    <row r="419" spans="1:167" x14ac:dyDescent="0.25">
      <c r="A419" s="35" t="s">
        <v>85</v>
      </c>
      <c r="B419" s="15">
        <v>1397</v>
      </c>
      <c r="C419" s="102" t="s">
        <v>98</v>
      </c>
      <c r="D419" s="102" t="s">
        <v>105</v>
      </c>
      <c r="E419" s="15">
        <v>404</v>
      </c>
      <c r="F419" s="16">
        <v>66.17</v>
      </c>
      <c r="G419" s="16">
        <v>0</v>
      </c>
      <c r="H419" s="16">
        <v>19.78</v>
      </c>
      <c r="I419" s="16">
        <v>0</v>
      </c>
      <c r="J419" s="44">
        <v>0.19600000000000001</v>
      </c>
      <c r="K419" s="16">
        <v>0</v>
      </c>
      <c r="L419" s="16">
        <v>0</v>
      </c>
      <c r="M419" s="16">
        <v>1.1890000000000001</v>
      </c>
      <c r="N419" s="16">
        <v>9.6300000000000008</v>
      </c>
      <c r="O419" s="16">
        <v>2.62</v>
      </c>
      <c r="P419" s="16">
        <v>0</v>
      </c>
      <c r="Q419" s="16"/>
      <c r="R419" s="16"/>
      <c r="S419" s="16">
        <f t="shared" si="335"/>
        <v>99.585000000000008</v>
      </c>
      <c r="T419" s="16"/>
      <c r="U419" s="15">
        <v>2</v>
      </c>
      <c r="V419" s="15">
        <v>17</v>
      </c>
      <c r="W419" s="15">
        <v>156.40000000000003</v>
      </c>
      <c r="X419" s="15" t="s">
        <v>186</v>
      </c>
      <c r="Y419" s="15"/>
      <c r="Z419" s="37">
        <v>8</v>
      </c>
      <c r="AA419" s="37">
        <v>5</v>
      </c>
      <c r="AB419" s="15"/>
      <c r="AC419" s="38">
        <f t="shared" si="336"/>
        <v>2.9449849958479826</v>
      </c>
      <c r="AD419" s="38">
        <f t="shared" si="337"/>
        <v>0</v>
      </c>
      <c r="AE419" s="38">
        <f t="shared" si="338"/>
        <v>1.0374766522152854</v>
      </c>
      <c r="AF419" s="38">
        <f t="shared" si="339"/>
        <v>0</v>
      </c>
      <c r="AG419" s="38">
        <f t="shared" si="340"/>
        <v>7.294258912805867E-3</v>
      </c>
      <c r="AH419" s="38">
        <f t="shared" si="341"/>
        <v>0</v>
      </c>
      <c r="AI419" s="38">
        <f t="shared" si="342"/>
        <v>0</v>
      </c>
      <c r="AJ419" s="38">
        <f t="shared" si="343"/>
        <v>5.6692515241563227E-2</v>
      </c>
      <c r="AK419" s="38">
        <f t="shared" si="344"/>
        <v>0.83091497632276501</v>
      </c>
      <c r="AL419" s="38">
        <f t="shared" si="345"/>
        <v>0.14874153533070822</v>
      </c>
      <c r="AM419" s="38">
        <f t="shared" si="346"/>
        <v>0</v>
      </c>
      <c r="AN419" s="38">
        <f t="shared" si="347"/>
        <v>0</v>
      </c>
      <c r="AO419" s="38">
        <f t="shared" si="348"/>
        <v>0</v>
      </c>
      <c r="AP419" s="38">
        <f t="shared" si="349"/>
        <v>5.0261049338711095</v>
      </c>
      <c r="AQ419" s="38">
        <f t="shared" si="350"/>
        <v>3.9824616480632677</v>
      </c>
      <c r="AR419" s="38">
        <f t="shared" si="351"/>
        <v>1.0363490268950364</v>
      </c>
      <c r="AS419" s="40"/>
      <c r="AT419" s="38">
        <f t="shared" si="352"/>
        <v>2.9296891276598878</v>
      </c>
      <c r="AU419" s="38">
        <f t="shared" si="353"/>
        <v>0</v>
      </c>
      <c r="AV419" s="38">
        <f t="shared" si="354"/>
        <v>1.0320881337193053</v>
      </c>
      <c r="AW419" s="38">
        <f t="shared" si="355"/>
        <v>0</v>
      </c>
      <c r="AX419" s="38">
        <f t="shared" si="356"/>
        <v>0</v>
      </c>
      <c r="AY419" s="38">
        <f t="shared" si="357"/>
        <v>7.256373482823231E-3</v>
      </c>
      <c r="AZ419" s="38">
        <f t="shared" si="358"/>
        <v>0</v>
      </c>
      <c r="BA419" s="38">
        <f t="shared" si="359"/>
        <v>0</v>
      </c>
      <c r="BB419" s="38">
        <f t="shared" si="360"/>
        <v>5.6398061707297664E-2</v>
      </c>
      <c r="BC419" s="38">
        <f t="shared" si="361"/>
        <v>0.82659931224594785</v>
      </c>
      <c r="BD419" s="38">
        <f t="shared" si="362"/>
        <v>0.14796899118473772</v>
      </c>
      <c r="BE419" s="38">
        <f t="shared" si="363"/>
        <v>0</v>
      </c>
      <c r="BF419" s="38">
        <f t="shared" si="364"/>
        <v>0</v>
      </c>
      <c r="BG419" s="38">
        <f t="shared" si="365"/>
        <v>0</v>
      </c>
      <c r="BH419" s="41">
        <f t="shared" si="366"/>
        <v>4.9999999999999991</v>
      </c>
      <c r="BI419" s="42">
        <f t="shared" si="367"/>
        <v>7.9620772295456081</v>
      </c>
      <c r="BJ419" s="38">
        <f t="shared" si="368"/>
        <v>3.9617772613791931</v>
      </c>
      <c r="BK419" s="38">
        <f t="shared" si="369"/>
        <v>1.0309663651379832</v>
      </c>
      <c r="BL419" s="16"/>
      <c r="BM419" s="16">
        <f t="shared" si="370"/>
        <v>5.4704075335910131E-2</v>
      </c>
      <c r="BN419" s="16">
        <f t="shared" si="371"/>
        <v>0.80177136732808629</v>
      </c>
      <c r="BO419" s="16">
        <f t="shared" si="372"/>
        <v>0.14352455733600364</v>
      </c>
      <c r="BP419" s="15"/>
      <c r="BQ419" s="38">
        <f t="shared" si="373"/>
        <v>1.101364846870839</v>
      </c>
      <c r="BR419" s="38">
        <f t="shared" si="374"/>
        <v>0</v>
      </c>
      <c r="BS419" s="38">
        <f t="shared" si="375"/>
        <v>0.38799529227147905</v>
      </c>
      <c r="BT419" s="38">
        <f t="shared" si="376"/>
        <v>0</v>
      </c>
      <c r="BU419" s="38">
        <f t="shared" si="377"/>
        <v>2.7279053583855258E-3</v>
      </c>
      <c r="BV419" s="38">
        <f t="shared" si="378"/>
        <v>0</v>
      </c>
      <c r="BW419" s="38">
        <f t="shared" si="379"/>
        <v>0</v>
      </c>
      <c r="BX419" s="38">
        <f t="shared" si="380"/>
        <v>2.1201854493580599E-2</v>
      </c>
      <c r="BY419" s="38">
        <f t="shared" si="381"/>
        <v>0.3107454017424976</v>
      </c>
      <c r="BZ419" s="38">
        <f t="shared" si="382"/>
        <v>5.5626326963906583E-2</v>
      </c>
      <c r="CA419" s="38">
        <f t="shared" si="383"/>
        <v>0</v>
      </c>
      <c r="CB419" s="38">
        <f t="shared" si="384"/>
        <v>0</v>
      </c>
      <c r="CC419" s="38">
        <f t="shared" si="385"/>
        <v>0</v>
      </c>
      <c r="CD419" s="38">
        <f t="shared" si="386"/>
        <v>1.8796616277006883</v>
      </c>
      <c r="CE419" s="38">
        <f t="shared" si="387"/>
        <v>2.9918382563540655</v>
      </c>
      <c r="CF419" s="38">
        <f t="shared" si="388"/>
        <v>2.6600532384737199</v>
      </c>
      <c r="CG419" s="38">
        <f t="shared" si="389"/>
        <v>7.9584490428041992</v>
      </c>
      <c r="CH419" s="15"/>
      <c r="CI419" s="16"/>
      <c r="CJ419" s="13"/>
      <c r="CK419" s="104"/>
      <c r="CL419" s="13"/>
      <c r="CM419" s="13"/>
      <c r="CN419" s="13"/>
      <c r="CO419" s="16"/>
      <c r="CP419" s="16"/>
      <c r="CQ419" s="16"/>
      <c r="CR419" s="16"/>
      <c r="CS419" s="16"/>
      <c r="CT419" s="16"/>
      <c r="CU419" s="16"/>
      <c r="CV419" s="16"/>
      <c r="CW419" s="16"/>
      <c r="CX419" s="16"/>
      <c r="CY419" s="104"/>
      <c r="CZ419" s="104"/>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3"/>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row>
    <row r="420" spans="1:167" x14ac:dyDescent="0.25">
      <c r="A420" s="35" t="s">
        <v>85</v>
      </c>
      <c r="B420" s="15">
        <v>1398</v>
      </c>
      <c r="C420" s="102" t="s">
        <v>98</v>
      </c>
      <c r="D420" s="102" t="s">
        <v>105</v>
      </c>
      <c r="E420" s="15">
        <v>405</v>
      </c>
      <c r="F420" s="16">
        <v>66.400000000000006</v>
      </c>
      <c r="G420" s="16">
        <v>0</v>
      </c>
      <c r="H420" s="16">
        <v>20.27</v>
      </c>
      <c r="I420" s="16">
        <v>0</v>
      </c>
      <c r="J420" s="44">
        <v>0.24399999999999999</v>
      </c>
      <c r="K420" s="16">
        <v>0</v>
      </c>
      <c r="L420" s="16">
        <v>0</v>
      </c>
      <c r="M420" s="16">
        <v>1.256</v>
      </c>
      <c r="N420" s="16">
        <v>9.6199999999999992</v>
      </c>
      <c r="O420" s="16">
        <v>2.68</v>
      </c>
      <c r="P420" s="16">
        <v>0</v>
      </c>
      <c r="Q420" s="16"/>
      <c r="R420" s="16"/>
      <c r="S420" s="16">
        <f t="shared" si="335"/>
        <v>100.47000000000001</v>
      </c>
      <c r="T420" s="16"/>
      <c r="U420" s="15">
        <v>2</v>
      </c>
      <c r="V420" s="15">
        <v>18</v>
      </c>
      <c r="W420" s="15">
        <v>165.60000000000002</v>
      </c>
      <c r="X420" s="15" t="s">
        <v>186</v>
      </c>
      <c r="Y420" s="15"/>
      <c r="Z420" s="37">
        <v>8</v>
      </c>
      <c r="AA420" s="37">
        <v>5</v>
      </c>
      <c r="AB420" s="15"/>
      <c r="AC420" s="38">
        <f t="shared" si="336"/>
        <v>2.9313031418791247</v>
      </c>
      <c r="AD420" s="38">
        <f t="shared" si="337"/>
        <v>0</v>
      </c>
      <c r="AE420" s="38">
        <f t="shared" si="338"/>
        <v>1.0545726301621539</v>
      </c>
      <c r="AF420" s="38">
        <f t="shared" si="339"/>
        <v>0</v>
      </c>
      <c r="AG420" s="38">
        <f t="shared" si="340"/>
        <v>9.0071134295930822E-3</v>
      </c>
      <c r="AH420" s="38">
        <f t="shared" si="341"/>
        <v>0</v>
      </c>
      <c r="AI420" s="38">
        <f t="shared" si="342"/>
        <v>0</v>
      </c>
      <c r="AJ420" s="38">
        <f t="shared" si="343"/>
        <v>5.9402430185714374E-2</v>
      </c>
      <c r="AK420" s="38">
        <f t="shared" si="344"/>
        <v>0.8233340449846922</v>
      </c>
      <c r="AL420" s="38">
        <f t="shared" si="345"/>
        <v>0.15091640978173268</v>
      </c>
      <c r="AM420" s="38">
        <f t="shared" si="346"/>
        <v>0</v>
      </c>
      <c r="AN420" s="38">
        <f t="shared" si="347"/>
        <v>0</v>
      </c>
      <c r="AO420" s="38">
        <f t="shared" si="348"/>
        <v>0</v>
      </c>
      <c r="AP420" s="38">
        <f t="shared" si="349"/>
        <v>5.0285357704230114</v>
      </c>
      <c r="AQ420" s="38">
        <f t="shared" si="350"/>
        <v>3.9858757720412785</v>
      </c>
      <c r="AR420" s="38">
        <f t="shared" si="351"/>
        <v>1.0336528849521391</v>
      </c>
      <c r="AS420" s="40"/>
      <c r="AT420" s="38">
        <f t="shared" si="352"/>
        <v>2.9146686786246496</v>
      </c>
      <c r="AU420" s="38">
        <f t="shared" si="353"/>
        <v>0</v>
      </c>
      <c r="AV420" s="38">
        <f t="shared" si="354"/>
        <v>1.048588175871165</v>
      </c>
      <c r="AW420" s="38">
        <f t="shared" si="355"/>
        <v>0</v>
      </c>
      <c r="AX420" s="38">
        <f t="shared" si="356"/>
        <v>0</v>
      </c>
      <c r="AY420" s="38">
        <f t="shared" si="357"/>
        <v>8.9560001567169766E-3</v>
      </c>
      <c r="AZ420" s="38">
        <f t="shared" si="358"/>
        <v>0</v>
      </c>
      <c r="BA420" s="38">
        <f t="shared" si="359"/>
        <v>0</v>
      </c>
      <c r="BB420" s="38">
        <f t="shared" si="360"/>
        <v>5.9065335216574699E-2</v>
      </c>
      <c r="BC420" s="38">
        <f t="shared" si="361"/>
        <v>0.81866181585840803</v>
      </c>
      <c r="BD420" s="38">
        <f t="shared" si="362"/>
        <v>0.15005999427248509</v>
      </c>
      <c r="BE420" s="38">
        <f t="shared" si="363"/>
        <v>0</v>
      </c>
      <c r="BF420" s="38">
        <f t="shared" si="364"/>
        <v>0</v>
      </c>
      <c r="BG420" s="38">
        <f t="shared" si="365"/>
        <v>0</v>
      </c>
      <c r="BH420" s="41">
        <f t="shared" si="366"/>
        <v>5</v>
      </c>
      <c r="BI420" s="42">
        <f t="shared" si="367"/>
        <v>7.9590798615731435</v>
      </c>
      <c r="BJ420" s="38">
        <f t="shared" si="368"/>
        <v>3.9632568544958149</v>
      </c>
      <c r="BK420" s="38">
        <f t="shared" si="369"/>
        <v>1.0277871453474678</v>
      </c>
      <c r="BL420" s="16"/>
      <c r="BM420" s="16">
        <f t="shared" si="370"/>
        <v>5.7468451015318223E-2</v>
      </c>
      <c r="BN420" s="16">
        <f t="shared" si="371"/>
        <v>0.79652856096155988</v>
      </c>
      <c r="BO420" s="16">
        <f t="shared" si="372"/>
        <v>0.146002988023122</v>
      </c>
      <c r="BP420" s="15"/>
      <c r="BQ420" s="38">
        <f t="shared" si="373"/>
        <v>1.1051930758988018</v>
      </c>
      <c r="BR420" s="38">
        <f t="shared" si="374"/>
        <v>0</v>
      </c>
      <c r="BS420" s="38">
        <f t="shared" si="375"/>
        <v>0.39760690466849746</v>
      </c>
      <c r="BT420" s="38">
        <f t="shared" si="376"/>
        <v>0</v>
      </c>
      <c r="BU420" s="38">
        <f t="shared" si="377"/>
        <v>3.3959638135003484E-3</v>
      </c>
      <c r="BV420" s="38">
        <f t="shared" si="378"/>
        <v>0</v>
      </c>
      <c r="BW420" s="38">
        <f t="shared" si="379"/>
        <v>0</v>
      </c>
      <c r="BX420" s="38">
        <f t="shared" si="380"/>
        <v>2.2396576319543511E-2</v>
      </c>
      <c r="BY420" s="38">
        <f t="shared" si="381"/>
        <v>0.31042271700548563</v>
      </c>
      <c r="BZ420" s="38">
        <f t="shared" si="382"/>
        <v>5.6900212314225054E-2</v>
      </c>
      <c r="CA420" s="38">
        <f t="shared" si="383"/>
        <v>0</v>
      </c>
      <c r="CB420" s="38">
        <f t="shared" si="384"/>
        <v>0</v>
      </c>
      <c r="CC420" s="38">
        <f t="shared" si="385"/>
        <v>0</v>
      </c>
      <c r="CD420" s="38">
        <f t="shared" si="386"/>
        <v>1.8959154500200539</v>
      </c>
      <c r="CE420" s="38">
        <f t="shared" si="387"/>
        <v>3.0162505135932491</v>
      </c>
      <c r="CF420" s="38">
        <f t="shared" si="388"/>
        <v>2.6372484068037489</v>
      </c>
      <c r="CG420" s="38">
        <f t="shared" si="389"/>
        <v>7.954601861494786</v>
      </c>
      <c r="CH420" s="15"/>
      <c r="CI420" s="16"/>
      <c r="CJ420" s="13"/>
      <c r="CK420" s="104"/>
      <c r="CL420" s="13"/>
      <c r="CM420" s="13"/>
      <c r="CN420" s="13"/>
      <c r="CO420" s="16"/>
      <c r="CP420" s="16"/>
      <c r="CQ420" s="16"/>
      <c r="CR420" s="16"/>
      <c r="CS420" s="16"/>
      <c r="CT420" s="16"/>
      <c r="CU420" s="16"/>
      <c r="CV420" s="16"/>
      <c r="CW420" s="16"/>
      <c r="CX420" s="16"/>
      <c r="CY420" s="104"/>
      <c r="CZ420" s="104"/>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3"/>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row>
    <row r="421" spans="1:167" x14ac:dyDescent="0.25">
      <c r="A421" s="35" t="s">
        <v>85</v>
      </c>
      <c r="B421" s="15">
        <v>1399</v>
      </c>
      <c r="C421" s="102" t="s">
        <v>98</v>
      </c>
      <c r="D421" s="102" t="s">
        <v>105</v>
      </c>
      <c r="E421" s="15">
        <v>406</v>
      </c>
      <c r="F421" s="16">
        <v>63.7</v>
      </c>
      <c r="G421" s="16">
        <v>0</v>
      </c>
      <c r="H421" s="16">
        <v>22.22</v>
      </c>
      <c r="I421" s="16">
        <v>0</v>
      </c>
      <c r="J421" s="44">
        <v>0.19400000000000001</v>
      </c>
      <c r="K421" s="16">
        <v>0</v>
      </c>
      <c r="L421" s="16">
        <v>0</v>
      </c>
      <c r="M421" s="16">
        <v>3.45</v>
      </c>
      <c r="N421" s="16">
        <v>9.31</v>
      </c>
      <c r="O421" s="16">
        <v>1.2</v>
      </c>
      <c r="P421" s="16">
        <v>0</v>
      </c>
      <c r="Q421" s="16"/>
      <c r="R421" s="16"/>
      <c r="S421" s="16">
        <f t="shared" si="335"/>
        <v>100.07400000000001</v>
      </c>
      <c r="T421" s="16"/>
      <c r="U421" s="15">
        <v>2</v>
      </c>
      <c r="V421" s="15">
        <v>19</v>
      </c>
      <c r="W421" s="15">
        <v>174.8</v>
      </c>
      <c r="X421" s="15" t="s">
        <v>186</v>
      </c>
      <c r="Y421" s="15"/>
      <c r="Z421" s="37">
        <v>8</v>
      </c>
      <c r="AA421" s="37">
        <v>5</v>
      </c>
      <c r="AB421" s="15"/>
      <c r="AC421" s="38">
        <f t="shared" si="336"/>
        <v>2.8259662859187822</v>
      </c>
      <c r="AD421" s="38">
        <f t="shared" si="337"/>
        <v>0</v>
      </c>
      <c r="AE421" s="38">
        <f t="shared" si="338"/>
        <v>1.1617206027348335</v>
      </c>
      <c r="AF421" s="38">
        <f t="shared" si="339"/>
        <v>0</v>
      </c>
      <c r="AG421" s="38">
        <f t="shared" si="340"/>
        <v>7.1966838651630295E-3</v>
      </c>
      <c r="AH421" s="38">
        <f t="shared" si="341"/>
        <v>0</v>
      </c>
      <c r="AI421" s="38">
        <f t="shared" si="342"/>
        <v>0</v>
      </c>
      <c r="AJ421" s="38">
        <f t="shared" si="343"/>
        <v>0.1639715711912175</v>
      </c>
      <c r="AK421" s="38">
        <f t="shared" si="344"/>
        <v>0.80072902790031719</v>
      </c>
      <c r="AL421" s="38">
        <f t="shared" si="345"/>
        <v>6.79075101072905E-2</v>
      </c>
      <c r="AM421" s="38">
        <f t="shared" si="346"/>
        <v>0</v>
      </c>
      <c r="AN421" s="38">
        <f t="shared" si="347"/>
        <v>0</v>
      </c>
      <c r="AO421" s="38">
        <f t="shared" si="348"/>
        <v>0</v>
      </c>
      <c r="AP421" s="38">
        <f t="shared" si="349"/>
        <v>5.0274916817176036</v>
      </c>
      <c r="AQ421" s="38">
        <f t="shared" si="350"/>
        <v>3.9876868886536156</v>
      </c>
      <c r="AR421" s="38">
        <f t="shared" si="351"/>
        <v>1.0326081091988253</v>
      </c>
      <c r="AS421" s="40"/>
      <c r="AT421" s="38">
        <f t="shared" si="352"/>
        <v>2.8105131393805829</v>
      </c>
      <c r="AU421" s="38">
        <f t="shared" si="353"/>
        <v>0</v>
      </c>
      <c r="AV421" s="38">
        <f t="shared" si="354"/>
        <v>1.1553680008655334</v>
      </c>
      <c r="AW421" s="38">
        <f t="shared" si="355"/>
        <v>0</v>
      </c>
      <c r="AX421" s="38">
        <f t="shared" si="356"/>
        <v>0</v>
      </c>
      <c r="AY421" s="38">
        <f t="shared" si="357"/>
        <v>7.1573304549997149E-3</v>
      </c>
      <c r="AZ421" s="38">
        <f t="shared" si="358"/>
        <v>0</v>
      </c>
      <c r="BA421" s="38">
        <f t="shared" si="359"/>
        <v>0</v>
      </c>
      <c r="BB421" s="38">
        <f t="shared" si="360"/>
        <v>0.16307493037482046</v>
      </c>
      <c r="BC421" s="38">
        <f t="shared" si="361"/>
        <v>0.79635042541408452</v>
      </c>
      <c r="BD421" s="38">
        <f t="shared" si="362"/>
        <v>6.7536173509978245E-2</v>
      </c>
      <c r="BE421" s="38">
        <f t="shared" si="363"/>
        <v>0</v>
      </c>
      <c r="BF421" s="38">
        <f t="shared" si="364"/>
        <v>0</v>
      </c>
      <c r="BG421" s="38">
        <f t="shared" si="365"/>
        <v>0</v>
      </c>
      <c r="BH421" s="41">
        <f t="shared" si="366"/>
        <v>5</v>
      </c>
      <c r="BI421" s="42">
        <f t="shared" si="367"/>
        <v>7.9598325055788175</v>
      </c>
      <c r="BJ421" s="38">
        <f t="shared" si="368"/>
        <v>3.9658811402461165</v>
      </c>
      <c r="BK421" s="38">
        <f t="shared" si="369"/>
        <v>1.0269615292988832</v>
      </c>
      <c r="BL421" s="16"/>
      <c r="BM421" s="16">
        <f t="shared" si="370"/>
        <v>0.15879361175890719</v>
      </c>
      <c r="BN421" s="16">
        <f t="shared" si="371"/>
        <v>0.77544328847231569</v>
      </c>
      <c r="BO421" s="16">
        <f t="shared" si="372"/>
        <v>6.5763099768776978E-2</v>
      </c>
      <c r="BP421" s="15"/>
      <c r="BQ421" s="38">
        <f t="shared" si="373"/>
        <v>1.0602529960053264</v>
      </c>
      <c r="BR421" s="38">
        <f t="shared" si="374"/>
        <v>0</v>
      </c>
      <c r="BS421" s="38">
        <f t="shared" si="375"/>
        <v>0.43585719890153002</v>
      </c>
      <c r="BT421" s="38">
        <f t="shared" si="376"/>
        <v>0</v>
      </c>
      <c r="BU421" s="38">
        <f t="shared" si="377"/>
        <v>2.7000695894224083E-3</v>
      </c>
      <c r="BV421" s="38">
        <f t="shared" si="378"/>
        <v>0</v>
      </c>
      <c r="BW421" s="38">
        <f t="shared" si="379"/>
        <v>0</v>
      </c>
      <c r="BX421" s="38">
        <f t="shared" si="380"/>
        <v>6.1519258202567768E-2</v>
      </c>
      <c r="BY421" s="38">
        <f t="shared" si="381"/>
        <v>0.30041949015811553</v>
      </c>
      <c r="BZ421" s="38">
        <f t="shared" si="382"/>
        <v>2.5477707006369425E-2</v>
      </c>
      <c r="CA421" s="38">
        <f t="shared" si="383"/>
        <v>0</v>
      </c>
      <c r="CB421" s="38">
        <f t="shared" si="384"/>
        <v>0</v>
      </c>
      <c r="CC421" s="38">
        <f t="shared" si="385"/>
        <v>0</v>
      </c>
      <c r="CD421" s="38">
        <f t="shared" si="386"/>
        <v>1.8862267198633318</v>
      </c>
      <c r="CE421" s="38">
        <f t="shared" si="387"/>
        <v>3.0014597167371808</v>
      </c>
      <c r="CF421" s="38">
        <f t="shared" si="388"/>
        <v>2.6507948102666465</v>
      </c>
      <c r="CG421" s="38">
        <f t="shared" si="389"/>
        <v>7.9562538403513177</v>
      </c>
      <c r="CH421" s="15"/>
      <c r="CI421" s="16"/>
      <c r="CJ421" s="13"/>
      <c r="CK421" s="104"/>
      <c r="CL421" s="13"/>
      <c r="CM421" s="13"/>
      <c r="CN421" s="13"/>
      <c r="CO421" s="16"/>
      <c r="CP421" s="16"/>
      <c r="CQ421" s="16"/>
      <c r="CR421" s="16"/>
      <c r="CS421" s="16"/>
      <c r="CT421" s="16"/>
      <c r="CU421" s="16"/>
      <c r="CV421" s="16"/>
      <c r="CW421" s="16"/>
      <c r="CX421" s="16"/>
      <c r="CY421" s="104"/>
      <c r="CZ421" s="104"/>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3"/>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row>
    <row r="422" spans="1:167" x14ac:dyDescent="0.25">
      <c r="A422" s="35" t="s">
        <v>85</v>
      </c>
      <c r="B422" s="15">
        <v>1400</v>
      </c>
      <c r="C422" s="102" t="s">
        <v>98</v>
      </c>
      <c r="D422" s="102" t="s">
        <v>105</v>
      </c>
      <c r="E422" s="15">
        <v>407</v>
      </c>
      <c r="F422" s="16">
        <v>64.92</v>
      </c>
      <c r="G422" s="16">
        <v>0</v>
      </c>
      <c r="H422" s="16">
        <v>21.53</v>
      </c>
      <c r="I422" s="16">
        <v>0</v>
      </c>
      <c r="J422" s="44">
        <v>0.217</v>
      </c>
      <c r="K422" s="16">
        <v>0</v>
      </c>
      <c r="L422" s="16">
        <v>0</v>
      </c>
      <c r="M422" s="16">
        <v>2.4500000000000002</v>
      </c>
      <c r="N422" s="16">
        <v>9.93</v>
      </c>
      <c r="O422" s="16">
        <v>1.37</v>
      </c>
      <c r="P422" s="16">
        <v>0</v>
      </c>
      <c r="Q422" s="16"/>
      <c r="R422" s="16"/>
      <c r="S422" s="16">
        <f t="shared" si="335"/>
        <v>100.417</v>
      </c>
      <c r="T422" s="16"/>
      <c r="U422" s="15">
        <v>2</v>
      </c>
      <c r="V422" s="15">
        <v>20</v>
      </c>
      <c r="W422" s="15">
        <v>184</v>
      </c>
      <c r="X422" s="15" t="s">
        <v>186</v>
      </c>
      <c r="Y422" s="15"/>
      <c r="Z422" s="37">
        <v>8</v>
      </c>
      <c r="AA422" s="37">
        <v>5</v>
      </c>
      <c r="AB422" s="15"/>
      <c r="AC422" s="38">
        <f t="shared" si="336"/>
        <v>2.8661417283939654</v>
      </c>
      <c r="AD422" s="38">
        <f t="shared" si="337"/>
        <v>0</v>
      </c>
      <c r="AE422" s="38">
        <f t="shared" si="338"/>
        <v>1.1201940811760205</v>
      </c>
      <c r="AF422" s="38">
        <f t="shared" si="339"/>
        <v>0</v>
      </c>
      <c r="AG422" s="38">
        <f t="shared" si="340"/>
        <v>8.0109133888450149E-3</v>
      </c>
      <c r="AH422" s="38">
        <f t="shared" si="341"/>
        <v>0</v>
      </c>
      <c r="AI422" s="38">
        <f t="shared" si="342"/>
        <v>0</v>
      </c>
      <c r="AJ422" s="38">
        <f t="shared" si="343"/>
        <v>0.11587964454349778</v>
      </c>
      <c r="AK422" s="38">
        <f t="shared" si="344"/>
        <v>0.84991745233648242</v>
      </c>
      <c r="AL422" s="38">
        <f t="shared" si="345"/>
        <v>7.7152274694909803E-2</v>
      </c>
      <c r="AM422" s="38">
        <f t="shared" si="346"/>
        <v>0</v>
      </c>
      <c r="AN422" s="38">
        <f t="shared" si="347"/>
        <v>0</v>
      </c>
      <c r="AO422" s="38">
        <f t="shared" si="348"/>
        <v>0</v>
      </c>
      <c r="AP422" s="38">
        <f t="shared" si="349"/>
        <v>5.0372960945337208</v>
      </c>
      <c r="AQ422" s="38">
        <f t="shared" si="350"/>
        <v>3.9863358095699857</v>
      </c>
      <c r="AR422" s="38">
        <f t="shared" si="351"/>
        <v>1.0429493715748899</v>
      </c>
      <c r="AS422" s="40"/>
      <c r="AT422" s="38">
        <f t="shared" si="352"/>
        <v>2.8449208410680797</v>
      </c>
      <c r="AU422" s="38">
        <f t="shared" si="353"/>
        <v>0</v>
      </c>
      <c r="AV422" s="38">
        <f t="shared" si="354"/>
        <v>1.1119001743729258</v>
      </c>
      <c r="AW422" s="38">
        <f t="shared" si="355"/>
        <v>0</v>
      </c>
      <c r="AX422" s="38">
        <f t="shared" si="356"/>
        <v>0</v>
      </c>
      <c r="AY422" s="38">
        <f t="shared" si="357"/>
        <v>7.9516006588714796E-3</v>
      </c>
      <c r="AZ422" s="38">
        <f t="shared" si="358"/>
        <v>0</v>
      </c>
      <c r="BA422" s="38">
        <f t="shared" si="359"/>
        <v>0</v>
      </c>
      <c r="BB422" s="38">
        <f t="shared" si="360"/>
        <v>0.11502167270775077</v>
      </c>
      <c r="BC422" s="38">
        <f t="shared" si="361"/>
        <v>0.84362467123858365</v>
      </c>
      <c r="BD422" s="38">
        <f t="shared" si="362"/>
        <v>7.6581039953788357E-2</v>
      </c>
      <c r="BE422" s="38">
        <f t="shared" si="363"/>
        <v>0</v>
      </c>
      <c r="BF422" s="38">
        <f t="shared" si="364"/>
        <v>0</v>
      </c>
      <c r="BG422" s="38">
        <f t="shared" si="365"/>
        <v>0</v>
      </c>
      <c r="BH422" s="41">
        <f t="shared" si="366"/>
        <v>5</v>
      </c>
      <c r="BI422" s="42">
        <f t="shared" si="367"/>
        <v>7.9447438729877913</v>
      </c>
      <c r="BJ422" s="38">
        <f t="shared" si="368"/>
        <v>3.9568210154410055</v>
      </c>
      <c r="BK422" s="38">
        <f t="shared" si="369"/>
        <v>1.0352273839001227</v>
      </c>
      <c r="BL422" s="16"/>
      <c r="BM422" s="16">
        <f t="shared" si="370"/>
        <v>0.11110764117774526</v>
      </c>
      <c r="BN422" s="16">
        <f t="shared" si="371"/>
        <v>0.81491726779898954</v>
      </c>
      <c r="BO422" s="16">
        <f t="shared" si="372"/>
        <v>7.3975091023265285E-2</v>
      </c>
      <c r="BP422" s="15"/>
      <c r="BQ422" s="38">
        <f t="shared" si="373"/>
        <v>1.0805592543275633</v>
      </c>
      <c r="BR422" s="38">
        <f t="shared" si="374"/>
        <v>0</v>
      </c>
      <c r="BS422" s="38">
        <f t="shared" si="375"/>
        <v>0.42232247940368778</v>
      </c>
      <c r="BT422" s="38">
        <f t="shared" si="376"/>
        <v>0</v>
      </c>
      <c r="BU422" s="38">
        <f t="shared" si="377"/>
        <v>3.0201809324982604E-3</v>
      </c>
      <c r="BV422" s="38">
        <f t="shared" si="378"/>
        <v>0</v>
      </c>
      <c r="BW422" s="38">
        <f t="shared" si="379"/>
        <v>0</v>
      </c>
      <c r="BX422" s="38">
        <f t="shared" si="380"/>
        <v>4.3687589158345225E-2</v>
      </c>
      <c r="BY422" s="38">
        <f t="shared" si="381"/>
        <v>0.32042594385285578</v>
      </c>
      <c r="BZ422" s="38">
        <f t="shared" si="382"/>
        <v>2.9087048832271763E-2</v>
      </c>
      <c r="CA422" s="38">
        <f t="shared" si="383"/>
        <v>0</v>
      </c>
      <c r="CB422" s="38">
        <f t="shared" si="384"/>
        <v>0</v>
      </c>
      <c r="CC422" s="38">
        <f t="shared" si="385"/>
        <v>0</v>
      </c>
      <c r="CD422" s="38">
        <f t="shared" si="386"/>
        <v>1.8991024965072223</v>
      </c>
      <c r="CE422" s="38">
        <f t="shared" si="387"/>
        <v>3.0160664941940651</v>
      </c>
      <c r="CF422" s="38">
        <f t="shared" si="388"/>
        <v>2.6328226144696583</v>
      </c>
      <c r="CG422" s="38">
        <f t="shared" si="389"/>
        <v>7.9407680726583552</v>
      </c>
      <c r="CH422" s="15"/>
      <c r="CI422" s="16"/>
      <c r="CJ422" s="13"/>
      <c r="CK422" s="104"/>
      <c r="CL422" s="13"/>
      <c r="CM422" s="13"/>
      <c r="CN422" s="13"/>
      <c r="CO422" s="16"/>
      <c r="CP422" s="16"/>
      <c r="CQ422" s="16"/>
      <c r="CR422" s="16"/>
      <c r="CS422" s="16"/>
      <c r="CT422" s="16"/>
      <c r="CU422" s="16"/>
      <c r="CV422" s="16"/>
      <c r="CW422" s="16"/>
      <c r="CX422" s="16"/>
      <c r="CY422" s="104"/>
      <c r="CZ422" s="104"/>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3"/>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row>
    <row r="423" spans="1:167" x14ac:dyDescent="0.25">
      <c r="A423" s="35" t="s">
        <v>85</v>
      </c>
      <c r="B423" s="15">
        <v>1401</v>
      </c>
      <c r="C423" s="102" t="s">
        <v>98</v>
      </c>
      <c r="D423" s="102" t="s">
        <v>105</v>
      </c>
      <c r="E423" s="15">
        <v>408</v>
      </c>
      <c r="F423" s="16">
        <v>65.11</v>
      </c>
      <c r="G423" s="16">
        <v>0</v>
      </c>
      <c r="H423" s="16">
        <v>21.02</v>
      </c>
      <c r="I423" s="16">
        <v>0</v>
      </c>
      <c r="J423" s="44">
        <v>0.29199999999999998</v>
      </c>
      <c r="K423" s="16">
        <v>0</v>
      </c>
      <c r="L423" s="16">
        <v>0</v>
      </c>
      <c r="M423" s="16">
        <v>2.34</v>
      </c>
      <c r="N423" s="16">
        <v>10.029999999999999</v>
      </c>
      <c r="O423" s="16">
        <v>1.53</v>
      </c>
      <c r="P423" s="16">
        <v>0</v>
      </c>
      <c r="Q423" s="16"/>
      <c r="R423" s="16"/>
      <c r="S423" s="16">
        <f t="shared" si="335"/>
        <v>100.322</v>
      </c>
      <c r="T423" s="16"/>
      <c r="U423" s="15">
        <v>2</v>
      </c>
      <c r="V423" s="15">
        <v>21</v>
      </c>
      <c r="W423" s="15">
        <v>193.2</v>
      </c>
      <c r="X423" s="15" t="s">
        <v>187</v>
      </c>
      <c r="Y423" s="15"/>
      <c r="Z423" s="37">
        <v>8</v>
      </c>
      <c r="AA423" s="37">
        <v>5</v>
      </c>
      <c r="AB423" s="15"/>
      <c r="AC423" s="38">
        <f t="shared" si="336"/>
        <v>2.880534190925792</v>
      </c>
      <c r="AD423" s="38">
        <f t="shared" si="337"/>
        <v>0</v>
      </c>
      <c r="AE423" s="38">
        <f t="shared" si="338"/>
        <v>1.0959434457663342</v>
      </c>
      <c r="AF423" s="38">
        <f t="shared" si="339"/>
        <v>0</v>
      </c>
      <c r="AG423" s="38">
        <f t="shared" si="340"/>
        <v>1.0802178317517777E-2</v>
      </c>
      <c r="AH423" s="38">
        <f t="shared" si="341"/>
        <v>0</v>
      </c>
      <c r="AI423" s="38">
        <f t="shared" si="342"/>
        <v>0</v>
      </c>
      <c r="AJ423" s="38">
        <f t="shared" si="343"/>
        <v>0.1109080617675548</v>
      </c>
      <c r="AK423" s="38">
        <f t="shared" si="344"/>
        <v>0.86026968669742465</v>
      </c>
      <c r="AL423" s="38">
        <f t="shared" si="345"/>
        <v>8.6342732130259711E-2</v>
      </c>
      <c r="AM423" s="38">
        <f t="shared" si="346"/>
        <v>0</v>
      </c>
      <c r="AN423" s="38">
        <f t="shared" si="347"/>
        <v>0</v>
      </c>
      <c r="AO423" s="38">
        <f t="shared" si="348"/>
        <v>0</v>
      </c>
      <c r="AP423" s="38">
        <f t="shared" si="349"/>
        <v>5.0448002956048832</v>
      </c>
      <c r="AQ423" s="38">
        <f t="shared" si="350"/>
        <v>3.9764776366921262</v>
      </c>
      <c r="AR423" s="38">
        <f t="shared" si="351"/>
        <v>1.0575204805952392</v>
      </c>
      <c r="AS423" s="40"/>
      <c r="AT423" s="38">
        <f t="shared" si="352"/>
        <v>2.8549536375457345</v>
      </c>
      <c r="AU423" s="38">
        <f t="shared" si="353"/>
        <v>0</v>
      </c>
      <c r="AV423" s="38">
        <f t="shared" si="354"/>
        <v>1.0862109316013349</v>
      </c>
      <c r="AW423" s="38">
        <f t="shared" si="355"/>
        <v>0</v>
      </c>
      <c r="AX423" s="38">
        <f t="shared" si="356"/>
        <v>0</v>
      </c>
      <c r="AY423" s="38">
        <f t="shared" si="357"/>
        <v>1.0706249687355136E-2</v>
      </c>
      <c r="AZ423" s="38">
        <f t="shared" si="358"/>
        <v>0</v>
      </c>
      <c r="BA423" s="38">
        <f t="shared" si="359"/>
        <v>0</v>
      </c>
      <c r="BB423" s="38">
        <f t="shared" si="360"/>
        <v>0.10992314389945208</v>
      </c>
      <c r="BC423" s="38">
        <f t="shared" si="361"/>
        <v>0.85263007085424802</v>
      </c>
      <c r="BD423" s="38">
        <f t="shared" si="362"/>
        <v>8.5575966411874607E-2</v>
      </c>
      <c r="BE423" s="38">
        <f t="shared" si="363"/>
        <v>0</v>
      </c>
      <c r="BF423" s="38">
        <f t="shared" si="364"/>
        <v>0</v>
      </c>
      <c r="BG423" s="38">
        <f t="shared" si="365"/>
        <v>0</v>
      </c>
      <c r="BH423" s="41">
        <f t="shared" si="366"/>
        <v>4.9999999999999991</v>
      </c>
      <c r="BI423" s="42">
        <f t="shared" si="367"/>
        <v>7.934309209557016</v>
      </c>
      <c r="BJ423" s="38">
        <f t="shared" si="368"/>
        <v>3.9411645691470696</v>
      </c>
      <c r="BK423" s="38">
        <f t="shared" si="369"/>
        <v>1.0481291811655749</v>
      </c>
      <c r="BL423" s="16"/>
      <c r="BM423" s="16">
        <f t="shared" si="370"/>
        <v>0.10487556865577559</v>
      </c>
      <c r="BN423" s="16">
        <f t="shared" si="371"/>
        <v>0.81347803894370974</v>
      </c>
      <c r="BO423" s="16">
        <f t="shared" si="372"/>
        <v>8.164639240051462E-2</v>
      </c>
      <c r="BP423" s="15"/>
      <c r="BQ423" s="38">
        <f t="shared" si="373"/>
        <v>1.0837217043941412</v>
      </c>
      <c r="BR423" s="38">
        <f t="shared" si="374"/>
        <v>0</v>
      </c>
      <c r="BS423" s="38">
        <f t="shared" si="375"/>
        <v>0.41231855629658692</v>
      </c>
      <c r="BT423" s="38">
        <f t="shared" si="376"/>
        <v>0</v>
      </c>
      <c r="BU423" s="38">
        <f t="shared" si="377"/>
        <v>4.0640222686151705E-3</v>
      </c>
      <c r="BV423" s="38">
        <f t="shared" si="378"/>
        <v>0</v>
      </c>
      <c r="BW423" s="38">
        <f t="shared" si="379"/>
        <v>0</v>
      </c>
      <c r="BX423" s="38">
        <f t="shared" si="380"/>
        <v>4.1726105563480741E-2</v>
      </c>
      <c r="BY423" s="38">
        <f t="shared" si="381"/>
        <v>0.32365279122297513</v>
      </c>
      <c r="BZ423" s="38">
        <f t="shared" si="382"/>
        <v>3.2484076433121019E-2</v>
      </c>
      <c r="CA423" s="38">
        <f t="shared" si="383"/>
        <v>0</v>
      </c>
      <c r="CB423" s="38">
        <f t="shared" si="384"/>
        <v>0</v>
      </c>
      <c r="CC423" s="38">
        <f t="shared" si="385"/>
        <v>0</v>
      </c>
      <c r="CD423" s="38">
        <f t="shared" si="386"/>
        <v>1.8979672561789205</v>
      </c>
      <c r="CE423" s="38">
        <f t="shared" si="387"/>
        <v>3.0097798048933067</v>
      </c>
      <c r="CF423" s="38">
        <f t="shared" si="388"/>
        <v>2.6343973973851593</v>
      </c>
      <c r="CG423" s="38">
        <f t="shared" si="389"/>
        <v>7.9289560847133398</v>
      </c>
      <c r="CH423" s="15"/>
      <c r="CI423" s="16"/>
      <c r="CJ423" s="13"/>
      <c r="CK423" s="104"/>
      <c r="CL423" s="13"/>
      <c r="CM423" s="13"/>
      <c r="CN423" s="13"/>
      <c r="CO423" s="16"/>
      <c r="CP423" s="16"/>
      <c r="CQ423" s="16"/>
      <c r="CR423" s="16"/>
      <c r="CS423" s="16"/>
      <c r="CT423" s="16"/>
      <c r="CU423" s="16"/>
      <c r="CV423" s="16"/>
      <c r="CW423" s="16"/>
      <c r="CX423" s="16"/>
      <c r="CY423" s="104"/>
      <c r="CZ423" s="104"/>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3"/>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row>
    <row r="424" spans="1:167" x14ac:dyDescent="0.25">
      <c r="A424" s="35" t="s">
        <v>85</v>
      </c>
      <c r="B424" s="15">
        <v>1402</v>
      </c>
      <c r="C424" s="102" t="s">
        <v>98</v>
      </c>
      <c r="D424" s="102" t="s">
        <v>105</v>
      </c>
      <c r="E424" s="15">
        <v>409</v>
      </c>
      <c r="F424" s="16">
        <v>66.55</v>
      </c>
      <c r="G424" s="16">
        <v>0</v>
      </c>
      <c r="H424" s="16">
        <v>18.8</v>
      </c>
      <c r="I424" s="16">
        <v>0</v>
      </c>
      <c r="J424" s="44">
        <v>0.36299999999999999</v>
      </c>
      <c r="K424" s="16">
        <v>0</v>
      </c>
      <c r="L424" s="16">
        <v>0</v>
      </c>
      <c r="M424" s="16">
        <v>0.26200000000000001</v>
      </c>
      <c r="N424" s="16">
        <v>7.24</v>
      </c>
      <c r="O424" s="16">
        <v>6.86</v>
      </c>
      <c r="P424" s="16">
        <v>0</v>
      </c>
      <c r="Q424" s="16"/>
      <c r="R424" s="16"/>
      <c r="S424" s="16">
        <f t="shared" si="335"/>
        <v>100.07499999999999</v>
      </c>
      <c r="T424" s="16"/>
      <c r="U424" s="15"/>
      <c r="V424" s="15"/>
      <c r="W424" s="15"/>
      <c r="X424" s="15" t="s">
        <v>187</v>
      </c>
      <c r="Y424" s="15"/>
      <c r="Z424" s="37">
        <v>8</v>
      </c>
      <c r="AA424" s="37">
        <v>5</v>
      </c>
      <c r="AB424" s="15"/>
      <c r="AC424" s="38">
        <f t="shared" si="336"/>
        <v>2.9857899263777932</v>
      </c>
      <c r="AD424" s="38">
        <f t="shared" si="337"/>
        <v>0</v>
      </c>
      <c r="AE424" s="38">
        <f t="shared" si="338"/>
        <v>0.99402917394674406</v>
      </c>
      <c r="AF424" s="38">
        <f t="shared" si="339"/>
        <v>0</v>
      </c>
      <c r="AG424" s="38">
        <f t="shared" si="340"/>
        <v>1.36182394212775E-2</v>
      </c>
      <c r="AH424" s="38">
        <f t="shared" si="341"/>
        <v>0</v>
      </c>
      <c r="AI424" s="38">
        <f t="shared" si="342"/>
        <v>0</v>
      </c>
      <c r="AJ424" s="38">
        <f t="shared" si="343"/>
        <v>1.2593150656172142E-2</v>
      </c>
      <c r="AK424" s="38">
        <f t="shared" si="344"/>
        <v>0.62973539296085268</v>
      </c>
      <c r="AL424" s="38">
        <f t="shared" si="345"/>
        <v>0.39259459953284359</v>
      </c>
      <c r="AM424" s="38">
        <f t="shared" si="346"/>
        <v>0</v>
      </c>
      <c r="AN424" s="38">
        <f t="shared" si="347"/>
        <v>0</v>
      </c>
      <c r="AO424" s="38">
        <f t="shared" si="348"/>
        <v>0</v>
      </c>
      <c r="AP424" s="38">
        <f t="shared" si="349"/>
        <v>5.0283604828956827</v>
      </c>
      <c r="AQ424" s="38">
        <f t="shared" si="350"/>
        <v>3.9798191003245371</v>
      </c>
      <c r="AR424" s="38">
        <f t="shared" si="351"/>
        <v>1.0349231431498684</v>
      </c>
      <c r="AS424" s="40"/>
      <c r="AT424" s="38">
        <f t="shared" si="352"/>
        <v>2.9689497566196428</v>
      </c>
      <c r="AU424" s="38">
        <f t="shared" si="353"/>
        <v>0</v>
      </c>
      <c r="AV424" s="38">
        <f t="shared" si="354"/>
        <v>0.98842274467791569</v>
      </c>
      <c r="AW424" s="38">
        <f t="shared" si="355"/>
        <v>0</v>
      </c>
      <c r="AX424" s="38">
        <f t="shared" si="356"/>
        <v>0</v>
      </c>
      <c r="AY424" s="38">
        <f t="shared" si="357"/>
        <v>1.3541431116166874E-2</v>
      </c>
      <c r="AZ424" s="38">
        <f t="shared" si="358"/>
        <v>0</v>
      </c>
      <c r="BA424" s="38">
        <f t="shared" si="359"/>
        <v>0</v>
      </c>
      <c r="BB424" s="38">
        <f t="shared" si="360"/>
        <v>1.2522123959696822E-2</v>
      </c>
      <c r="BC424" s="38">
        <f t="shared" si="361"/>
        <v>0.62618361899762487</v>
      </c>
      <c r="BD424" s="38">
        <f t="shared" si="362"/>
        <v>0.3903803246289535</v>
      </c>
      <c r="BE424" s="38">
        <f t="shared" si="363"/>
        <v>0</v>
      </c>
      <c r="BF424" s="38">
        <f t="shared" si="364"/>
        <v>0</v>
      </c>
      <c r="BG424" s="38">
        <f t="shared" si="365"/>
        <v>0</v>
      </c>
      <c r="BH424" s="41">
        <f t="shared" si="366"/>
        <v>5</v>
      </c>
      <c r="BI424" s="42">
        <f t="shared" si="367"/>
        <v>7.9616498727033953</v>
      </c>
      <c r="BJ424" s="38">
        <f t="shared" si="368"/>
        <v>3.9573725012975585</v>
      </c>
      <c r="BK424" s="38">
        <f t="shared" si="369"/>
        <v>1.0290860675862752</v>
      </c>
      <c r="BL424" s="16"/>
      <c r="BM424" s="16">
        <f t="shared" si="370"/>
        <v>1.2168198903972633E-2</v>
      </c>
      <c r="BN424" s="16">
        <f t="shared" si="371"/>
        <v>0.60848517798549218</v>
      </c>
      <c r="BO424" s="16">
        <f t="shared" si="372"/>
        <v>0.37934662311053519</v>
      </c>
      <c r="BP424" s="15"/>
      <c r="BQ424" s="38">
        <f t="shared" si="373"/>
        <v>1.1076897470039946</v>
      </c>
      <c r="BR424" s="38">
        <f t="shared" si="374"/>
        <v>0</v>
      </c>
      <c r="BS424" s="38">
        <f t="shared" si="375"/>
        <v>0.36877206747744218</v>
      </c>
      <c r="BT424" s="38">
        <f t="shared" si="376"/>
        <v>0</v>
      </c>
      <c r="BU424" s="38">
        <f t="shared" si="377"/>
        <v>5.0521920668058461E-3</v>
      </c>
      <c r="BV424" s="38">
        <f t="shared" si="378"/>
        <v>0</v>
      </c>
      <c r="BW424" s="38">
        <f t="shared" si="379"/>
        <v>0</v>
      </c>
      <c r="BX424" s="38">
        <f t="shared" si="380"/>
        <v>4.6718972895863058E-3</v>
      </c>
      <c r="BY424" s="38">
        <f t="shared" si="381"/>
        <v>0.23362374959664409</v>
      </c>
      <c r="BZ424" s="38">
        <f t="shared" si="382"/>
        <v>0.14564755838641189</v>
      </c>
      <c r="CA424" s="38">
        <f t="shared" si="383"/>
        <v>0</v>
      </c>
      <c r="CB424" s="38">
        <f t="shared" si="384"/>
        <v>0</v>
      </c>
      <c r="CC424" s="38">
        <f t="shared" si="385"/>
        <v>0</v>
      </c>
      <c r="CD424" s="38">
        <f t="shared" si="386"/>
        <v>1.8654572118208848</v>
      </c>
      <c r="CE424" s="38">
        <f t="shared" si="387"/>
        <v>2.9678973385720724</v>
      </c>
      <c r="CF424" s="38">
        <f t="shared" si="388"/>
        <v>2.68030805977022</v>
      </c>
      <c r="CG424" s="38">
        <f t="shared" si="389"/>
        <v>7.954879157145311</v>
      </c>
      <c r="CH424" s="15"/>
      <c r="CI424" s="16"/>
      <c r="CJ424" s="13"/>
      <c r="CK424" s="104"/>
      <c r="CL424" s="13"/>
      <c r="CM424" s="13"/>
      <c r="CN424" s="13"/>
      <c r="CO424" s="16"/>
      <c r="CP424" s="16"/>
      <c r="CQ424" s="16"/>
      <c r="CR424" s="16"/>
      <c r="CS424" s="16"/>
      <c r="CT424" s="16"/>
      <c r="CU424" s="16"/>
      <c r="CV424" s="16"/>
      <c r="CW424" s="16"/>
      <c r="CX424" s="16"/>
      <c r="CY424" s="104"/>
      <c r="CZ424" s="104"/>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3"/>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row>
    <row r="425" spans="1:167" x14ac:dyDescent="0.25">
      <c r="A425" s="35" t="s">
        <v>85</v>
      </c>
      <c r="B425" s="15">
        <v>1403</v>
      </c>
      <c r="C425" s="102" t="s">
        <v>98</v>
      </c>
      <c r="D425" s="102" t="s">
        <v>105</v>
      </c>
      <c r="E425" s="15">
        <v>410</v>
      </c>
      <c r="F425" s="16">
        <v>61.64</v>
      </c>
      <c r="G425" s="16">
        <v>0</v>
      </c>
      <c r="H425" s="16">
        <v>23.84</v>
      </c>
      <c r="I425" s="16">
        <v>0</v>
      </c>
      <c r="J425" s="44">
        <v>0.29699999999999999</v>
      </c>
      <c r="K425" s="16">
        <v>0</v>
      </c>
      <c r="L425" s="16">
        <v>0</v>
      </c>
      <c r="M425" s="16">
        <v>5.32</v>
      </c>
      <c r="N425" s="16">
        <v>8.7899999999999991</v>
      </c>
      <c r="O425" s="16">
        <v>0.58399999999999996</v>
      </c>
      <c r="P425" s="16">
        <v>0</v>
      </c>
      <c r="Q425" s="16"/>
      <c r="R425" s="16"/>
      <c r="S425" s="16">
        <f t="shared" si="335"/>
        <v>100.471</v>
      </c>
      <c r="T425" s="16"/>
      <c r="U425" s="15"/>
      <c r="V425" s="15"/>
      <c r="W425" s="15"/>
      <c r="X425" s="15" t="s">
        <v>187</v>
      </c>
      <c r="Y425" s="15"/>
      <c r="Z425" s="37">
        <v>8</v>
      </c>
      <c r="AA425" s="37">
        <v>5</v>
      </c>
      <c r="AB425" s="15"/>
      <c r="AC425" s="38">
        <f t="shared" si="336"/>
        <v>2.7355430153474845</v>
      </c>
      <c r="AD425" s="38">
        <f t="shared" si="337"/>
        <v>0</v>
      </c>
      <c r="AE425" s="38">
        <f t="shared" si="338"/>
        <v>1.2468587638139044</v>
      </c>
      <c r="AF425" s="38">
        <f t="shared" si="339"/>
        <v>0</v>
      </c>
      <c r="AG425" s="38">
        <f t="shared" si="340"/>
        <v>1.102149528194934E-2</v>
      </c>
      <c r="AH425" s="38">
        <f t="shared" si="341"/>
        <v>0</v>
      </c>
      <c r="AI425" s="38">
        <f t="shared" si="342"/>
        <v>0</v>
      </c>
      <c r="AJ425" s="38">
        <f t="shared" si="343"/>
        <v>0.25293822674935756</v>
      </c>
      <c r="AK425" s="38">
        <f t="shared" si="344"/>
        <v>0.75627220820780117</v>
      </c>
      <c r="AL425" s="38">
        <f t="shared" si="345"/>
        <v>3.3059994897932404E-2</v>
      </c>
      <c r="AM425" s="38">
        <f t="shared" si="346"/>
        <v>0</v>
      </c>
      <c r="AN425" s="38">
        <f t="shared" si="347"/>
        <v>0</v>
      </c>
      <c r="AO425" s="38">
        <f t="shared" si="348"/>
        <v>0</v>
      </c>
      <c r="AP425" s="38">
        <f t="shared" si="349"/>
        <v>5.0356937042984296</v>
      </c>
      <c r="AQ425" s="38">
        <f t="shared" si="350"/>
        <v>3.982401779161389</v>
      </c>
      <c r="AR425" s="38">
        <f t="shared" si="351"/>
        <v>1.0422704298550911</v>
      </c>
      <c r="AS425" s="40"/>
      <c r="AT425" s="38">
        <f t="shared" si="352"/>
        <v>2.7161531022155359</v>
      </c>
      <c r="AU425" s="38">
        <f t="shared" si="353"/>
        <v>0</v>
      </c>
      <c r="AV425" s="38">
        <f t="shared" si="354"/>
        <v>1.2380208537600246</v>
      </c>
      <c r="AW425" s="38">
        <f t="shared" si="355"/>
        <v>0</v>
      </c>
      <c r="AX425" s="38">
        <f t="shared" si="356"/>
        <v>0</v>
      </c>
      <c r="AY425" s="38">
        <f t="shared" si="357"/>
        <v>1.0943373375292343E-2</v>
      </c>
      <c r="AZ425" s="38">
        <f t="shared" si="358"/>
        <v>0</v>
      </c>
      <c r="BA425" s="38">
        <f t="shared" si="359"/>
        <v>0</v>
      </c>
      <c r="BB425" s="38">
        <f t="shared" si="360"/>
        <v>0.25114536507001162</v>
      </c>
      <c r="BC425" s="38">
        <f t="shared" si="361"/>
        <v>0.75091164456870463</v>
      </c>
      <c r="BD425" s="38">
        <f t="shared" si="362"/>
        <v>3.2825661010431051E-2</v>
      </c>
      <c r="BE425" s="38">
        <f t="shared" si="363"/>
        <v>0</v>
      </c>
      <c r="BF425" s="38">
        <f t="shared" si="364"/>
        <v>0</v>
      </c>
      <c r="BG425" s="38">
        <f t="shared" si="365"/>
        <v>0</v>
      </c>
      <c r="BH425" s="41">
        <f t="shared" si="366"/>
        <v>5</v>
      </c>
      <c r="BI425" s="42">
        <f t="shared" si="367"/>
        <v>7.9487665629936268</v>
      </c>
      <c r="BJ425" s="38">
        <f t="shared" si="368"/>
        <v>3.9541739559755604</v>
      </c>
      <c r="BK425" s="38">
        <f t="shared" si="369"/>
        <v>1.0348826706491474</v>
      </c>
      <c r="BL425" s="16"/>
      <c r="BM425" s="16">
        <f t="shared" si="370"/>
        <v>0.24268003725724432</v>
      </c>
      <c r="BN425" s="16">
        <f t="shared" si="371"/>
        <v>0.72560075249659262</v>
      </c>
      <c r="BO425" s="16">
        <f t="shared" si="372"/>
        <v>3.1719210246163081E-2</v>
      </c>
      <c r="BP425" s="15"/>
      <c r="BQ425" s="38">
        <f t="shared" si="373"/>
        <v>1.025965379494008</v>
      </c>
      <c r="BR425" s="38">
        <f t="shared" si="374"/>
        <v>0</v>
      </c>
      <c r="BS425" s="38">
        <f t="shared" si="375"/>
        <v>0.46763436641820322</v>
      </c>
      <c r="BT425" s="38">
        <f t="shared" si="376"/>
        <v>0</v>
      </c>
      <c r="BU425" s="38">
        <f t="shared" si="377"/>
        <v>4.1336116910229643E-3</v>
      </c>
      <c r="BV425" s="38">
        <f t="shared" si="378"/>
        <v>0</v>
      </c>
      <c r="BW425" s="38">
        <f t="shared" si="379"/>
        <v>0</v>
      </c>
      <c r="BX425" s="38">
        <f t="shared" si="380"/>
        <v>9.4864479315263914E-2</v>
      </c>
      <c r="BY425" s="38">
        <f t="shared" si="381"/>
        <v>0.28363988383349464</v>
      </c>
      <c r="BZ425" s="38">
        <f t="shared" si="382"/>
        <v>1.2399150743099786E-2</v>
      </c>
      <c r="CA425" s="38">
        <f t="shared" si="383"/>
        <v>0</v>
      </c>
      <c r="CB425" s="38">
        <f t="shared" si="384"/>
        <v>0</v>
      </c>
      <c r="CC425" s="38">
        <f t="shared" si="385"/>
        <v>0</v>
      </c>
      <c r="CD425" s="38">
        <f t="shared" si="386"/>
        <v>1.8886368714950925</v>
      </c>
      <c r="CE425" s="38">
        <f t="shared" si="387"/>
        <v>3.0003999169099052</v>
      </c>
      <c r="CF425" s="38">
        <f t="shared" si="388"/>
        <v>2.6474120438207236</v>
      </c>
      <c r="CG425" s="38">
        <f t="shared" si="389"/>
        <v>7.9432948763059814</v>
      </c>
      <c r="CH425" s="15"/>
      <c r="CI425" s="16"/>
      <c r="CJ425" s="13"/>
      <c r="CK425" s="104"/>
      <c r="CL425" s="13"/>
      <c r="CM425" s="13"/>
      <c r="CN425" s="13"/>
      <c r="CO425" s="16"/>
      <c r="CP425" s="16"/>
      <c r="CQ425" s="16"/>
      <c r="CR425" s="16"/>
      <c r="CS425" s="16"/>
      <c r="CT425" s="16"/>
      <c r="CU425" s="16"/>
      <c r="CV425" s="16"/>
      <c r="CW425" s="16"/>
      <c r="CX425" s="16"/>
      <c r="CY425" s="104"/>
      <c r="CZ425" s="104"/>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3"/>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row>
    <row r="426" spans="1:167" x14ac:dyDescent="0.25">
      <c r="A426" s="35" t="s">
        <v>85</v>
      </c>
      <c r="B426" s="15">
        <v>1404</v>
      </c>
      <c r="C426" s="102" t="s">
        <v>98</v>
      </c>
      <c r="D426" s="102" t="s">
        <v>105</v>
      </c>
      <c r="E426" s="15">
        <v>411</v>
      </c>
      <c r="F426" s="16">
        <v>55.21</v>
      </c>
      <c r="G426" s="16">
        <v>0</v>
      </c>
      <c r="H426" s="16">
        <v>28.01</v>
      </c>
      <c r="I426" s="16">
        <v>0</v>
      </c>
      <c r="J426" s="44">
        <v>0.46400000000000002</v>
      </c>
      <c r="K426" s="16">
        <v>0</v>
      </c>
      <c r="L426" s="16">
        <v>0</v>
      </c>
      <c r="M426" s="16">
        <v>10.32</v>
      </c>
      <c r="N426" s="16">
        <v>5.9</v>
      </c>
      <c r="O426" s="16">
        <v>0.218</v>
      </c>
      <c r="P426" s="16">
        <v>0</v>
      </c>
      <c r="Q426" s="16"/>
      <c r="R426" s="16"/>
      <c r="S426" s="16">
        <f t="shared" si="335"/>
        <v>100.122</v>
      </c>
      <c r="T426" s="16"/>
      <c r="U426" s="15">
        <v>3</v>
      </c>
      <c r="V426" s="15" t="s">
        <v>185</v>
      </c>
      <c r="W426" s="15"/>
      <c r="X426" s="15" t="s">
        <v>185</v>
      </c>
      <c r="Y426" s="15"/>
      <c r="Z426" s="37">
        <v>8</v>
      </c>
      <c r="AA426" s="37">
        <v>5</v>
      </c>
      <c r="AB426" s="15"/>
      <c r="AC426" s="38">
        <f t="shared" si="336"/>
        <v>2.4920305734771553</v>
      </c>
      <c r="AD426" s="38">
        <f t="shared" si="337"/>
        <v>0</v>
      </c>
      <c r="AE426" s="38">
        <f t="shared" si="338"/>
        <v>1.489974448249469</v>
      </c>
      <c r="AF426" s="38">
        <f t="shared" si="339"/>
        <v>0</v>
      </c>
      <c r="AG426" s="38">
        <f t="shared" si="340"/>
        <v>1.7512846903268556E-2</v>
      </c>
      <c r="AH426" s="38">
        <f t="shared" si="341"/>
        <v>0</v>
      </c>
      <c r="AI426" s="38">
        <f t="shared" si="342"/>
        <v>0</v>
      </c>
      <c r="AJ426" s="38">
        <f t="shared" si="343"/>
        <v>0.49904215790859141</v>
      </c>
      <c r="AK426" s="38">
        <f t="shared" si="344"/>
        <v>0.51629269279015821</v>
      </c>
      <c r="AL426" s="38">
        <f t="shared" si="345"/>
        <v>1.2551658929092829E-2</v>
      </c>
      <c r="AM426" s="38">
        <f t="shared" si="346"/>
        <v>0</v>
      </c>
      <c r="AN426" s="38">
        <f t="shared" si="347"/>
        <v>0</v>
      </c>
      <c r="AO426" s="38">
        <f t="shared" si="348"/>
        <v>0</v>
      </c>
      <c r="AP426" s="38">
        <f t="shared" si="349"/>
        <v>5.0274043782577351</v>
      </c>
      <c r="AQ426" s="38">
        <f t="shared" si="350"/>
        <v>3.9820050217266241</v>
      </c>
      <c r="AR426" s="38">
        <f t="shared" si="351"/>
        <v>1.0278865096278424</v>
      </c>
      <c r="AS426" s="40"/>
      <c r="AT426" s="38">
        <f t="shared" si="352"/>
        <v>2.4784465163122378</v>
      </c>
      <c r="AU426" s="38">
        <f t="shared" si="353"/>
        <v>0</v>
      </c>
      <c r="AV426" s="38">
        <f t="shared" si="354"/>
        <v>1.4818525984235873</v>
      </c>
      <c r="AW426" s="38">
        <f t="shared" si="355"/>
        <v>0</v>
      </c>
      <c r="AX426" s="38">
        <f t="shared" si="356"/>
        <v>0</v>
      </c>
      <c r="AY426" s="38">
        <f t="shared" si="357"/>
        <v>1.7417384385277651E-2</v>
      </c>
      <c r="AZ426" s="38">
        <f t="shared" si="358"/>
        <v>0</v>
      </c>
      <c r="BA426" s="38">
        <f t="shared" si="359"/>
        <v>0</v>
      </c>
      <c r="BB426" s="38">
        <f t="shared" si="360"/>
        <v>0.49632187940443356</v>
      </c>
      <c r="BC426" s="38">
        <f t="shared" si="361"/>
        <v>0.51347838163068282</v>
      </c>
      <c r="BD426" s="38">
        <f t="shared" si="362"/>
        <v>1.2483239843780629E-2</v>
      </c>
      <c r="BE426" s="38">
        <f t="shared" si="363"/>
        <v>0</v>
      </c>
      <c r="BF426" s="38">
        <f t="shared" si="364"/>
        <v>0</v>
      </c>
      <c r="BG426" s="38">
        <f t="shared" si="365"/>
        <v>0</v>
      </c>
      <c r="BH426" s="41">
        <f t="shared" si="366"/>
        <v>5</v>
      </c>
      <c r="BI426" s="42">
        <f t="shared" si="367"/>
        <v>7.9651006969794382</v>
      </c>
      <c r="BJ426" s="38">
        <f t="shared" si="368"/>
        <v>3.9602991147358253</v>
      </c>
      <c r="BK426" s="38">
        <f t="shared" si="369"/>
        <v>1.0222835008788971</v>
      </c>
      <c r="BL426" s="16"/>
      <c r="BM426" s="16">
        <f t="shared" si="370"/>
        <v>0.48550316910888835</v>
      </c>
      <c r="BN426" s="16">
        <f t="shared" si="371"/>
        <v>0.50228569784137711</v>
      </c>
      <c r="BO426" s="16">
        <f t="shared" si="372"/>
        <v>1.2211133049734542E-2</v>
      </c>
      <c r="BP426" s="15"/>
      <c r="BQ426" s="38">
        <f t="shared" si="373"/>
        <v>0.91894141145139818</v>
      </c>
      <c r="BR426" s="38">
        <f t="shared" si="374"/>
        <v>0</v>
      </c>
      <c r="BS426" s="38">
        <f t="shared" si="375"/>
        <v>0.54943114947038063</v>
      </c>
      <c r="BT426" s="38">
        <f t="shared" si="376"/>
        <v>0</v>
      </c>
      <c r="BU426" s="38">
        <f t="shared" si="377"/>
        <v>6.4578983994432859E-3</v>
      </c>
      <c r="BV426" s="38">
        <f t="shared" si="378"/>
        <v>0</v>
      </c>
      <c r="BW426" s="38">
        <f t="shared" si="379"/>
        <v>0</v>
      </c>
      <c r="BX426" s="38">
        <f t="shared" si="380"/>
        <v>0.18402282453637661</v>
      </c>
      <c r="BY426" s="38">
        <f t="shared" si="381"/>
        <v>0.19038399483704424</v>
      </c>
      <c r="BZ426" s="38">
        <f t="shared" si="382"/>
        <v>4.6284501061571127E-3</v>
      </c>
      <c r="CA426" s="38">
        <f t="shared" si="383"/>
        <v>0</v>
      </c>
      <c r="CB426" s="38">
        <f t="shared" si="384"/>
        <v>0</v>
      </c>
      <c r="CC426" s="38">
        <f t="shared" si="385"/>
        <v>0</v>
      </c>
      <c r="CD426" s="38">
        <f t="shared" si="386"/>
        <v>1.8538657288008</v>
      </c>
      <c r="CE426" s="38">
        <f t="shared" si="387"/>
        <v>2.9500164925157879</v>
      </c>
      <c r="CF426" s="38">
        <f t="shared" si="388"/>
        <v>2.6970669570737047</v>
      </c>
      <c r="CG426" s="38">
        <f t="shared" si="389"/>
        <v>7.9563920047867995</v>
      </c>
      <c r="CH426" s="15"/>
      <c r="CI426" s="16">
        <v>18.789597909558722</v>
      </c>
      <c r="CJ426" s="13">
        <v>37733.748061995662</v>
      </c>
      <c r="CK426" s="104">
        <v>412.91430636744377</v>
      </c>
      <c r="CL426" s="13">
        <v>147139.66195008083</v>
      </c>
      <c r="CM426" s="13">
        <v>256499.20932040818</v>
      </c>
      <c r="CN426" s="13">
        <v>76184.170541582847</v>
      </c>
      <c r="CO426" s="16">
        <v>0.46807202707952045</v>
      </c>
      <c r="CP426" s="16">
        <v>285.57279867554547</v>
      </c>
      <c r="CQ426" s="16">
        <v>0.51233711860278819</v>
      </c>
      <c r="CR426" s="16">
        <v>0</v>
      </c>
      <c r="CS426" s="16">
        <v>44.004169313273323</v>
      </c>
      <c r="CT426" s="16">
        <v>0.4199973464686988</v>
      </c>
      <c r="CU426" s="16">
        <v>23.710887985800692</v>
      </c>
      <c r="CV426" s="16">
        <v>0</v>
      </c>
      <c r="CW426" s="16">
        <v>7.6482055809382565</v>
      </c>
      <c r="CX426" s="16">
        <v>0</v>
      </c>
      <c r="CY426" s="104">
        <v>496.1310459525053</v>
      </c>
      <c r="CZ426" s="104">
        <v>480.87574325927466</v>
      </c>
      <c r="DA426" s="16">
        <v>0.36375806925788146</v>
      </c>
      <c r="DB426" s="16">
        <v>0</v>
      </c>
      <c r="DC426" s="16">
        <v>0</v>
      </c>
      <c r="DD426" s="16">
        <v>0</v>
      </c>
      <c r="DE426" s="16">
        <v>55.448739125861785</v>
      </c>
      <c r="DF426" s="16">
        <v>1.8389832832992603</v>
      </c>
      <c r="DG426" s="16">
        <v>3.3663573289263535</v>
      </c>
      <c r="DH426" s="16">
        <v>0.320002727794299</v>
      </c>
      <c r="DI426" s="16">
        <v>1.3900926453391573</v>
      </c>
      <c r="DJ426" s="16">
        <v>0.40806088998652773</v>
      </c>
      <c r="DK426" s="16">
        <v>1.0595570822662888</v>
      </c>
      <c r="DL426" s="16">
        <v>0</v>
      </c>
      <c r="DM426" s="16">
        <v>0</v>
      </c>
      <c r="DN426" s="16">
        <v>0</v>
      </c>
      <c r="DO426" s="16">
        <v>0</v>
      </c>
      <c r="DP426" s="16">
        <v>2.3107029962077415E-2</v>
      </c>
      <c r="DQ426" s="16">
        <v>4.2198249279546865E-2</v>
      </c>
      <c r="DR426" s="16">
        <v>0</v>
      </c>
      <c r="DS426" s="16">
        <v>0</v>
      </c>
      <c r="DT426" s="16">
        <v>0</v>
      </c>
      <c r="DU426" s="16">
        <v>0.11163348240320127</v>
      </c>
      <c r="DV426" s="16">
        <v>1.3992071739110736</v>
      </c>
      <c r="DW426" s="16">
        <v>0</v>
      </c>
      <c r="DX426" s="16">
        <v>0</v>
      </c>
      <c r="DY426" s="16" t="e">
        <f>(DK426/0.05883)/SQRT((DJ426/0.1536)*(DL426/0.2069))</f>
        <v>#DIV/0!</v>
      </c>
      <c r="DZ426" s="16"/>
      <c r="EA426" s="13">
        <f>1128+200*((BM426-0.4)/0.4) -273</f>
        <v>897.75158455444421</v>
      </c>
      <c r="EB426" s="16"/>
      <c r="EC426" s="16">
        <f>(-18.482 -16.353 * BM426)/(0.008314 * (EA426+273))</f>
        <v>-2.7144484559034252</v>
      </c>
      <c r="ED426" s="16"/>
      <c r="EE426" s="16"/>
      <c r="EF426" s="16"/>
      <c r="EG426" s="16"/>
      <c r="EH426" s="16"/>
      <c r="EI426" s="16"/>
      <c r="EJ426" s="16"/>
      <c r="EK426" s="16"/>
      <c r="EL426" s="16">
        <f>(23.856 -20.71 * BM426)/(0.008314 * (EA426+273))</f>
        <v>1.4178915006939241</v>
      </c>
      <c r="EM426" s="16"/>
      <c r="EN426" s="16">
        <f>(-4.5269  -51.811 * BM426)/(0.008314 * (EA426+273)) +N("eqn50a")</f>
        <v>-3.0493565851785212</v>
      </c>
      <c r="EO426" s="16" t="e">
        <f>(-187.27 + 2.26018 *#REF!)/(0.008314 * (EA426+273)) +N("fsp eqn35 from SiO2")</f>
        <v>#REF!</v>
      </c>
      <c r="EP426" s="16"/>
      <c r="EQ426" s="16"/>
      <c r="ER426" s="16">
        <f>(10.146 -35.204 * BM426)/(0.008314 * (EA426+273))</f>
        <v>-0.71357289228347487</v>
      </c>
      <c r="ES426" s="16">
        <f>(2.1146 -37.009 * BM426)/(0.008314 * (EA426+273))</f>
        <v>-1.6287231942513922</v>
      </c>
      <c r="ET426" s="16">
        <f>(-3.6812 -33.822 * BM426)/(0.008314 * (EA426+273))</f>
        <v>-2.0651998200142621</v>
      </c>
      <c r="EU426" s="16">
        <f>(-6.8025 -26.094 * BM426)/(0.008314 * (EA426+273))</f>
        <v>-2.0004070780680818</v>
      </c>
      <c r="EV426" s="16">
        <f>(-5.6996 -30.85 * BM426)/(0.008314 * (EA426+273))</f>
        <v>-2.1243231542489487</v>
      </c>
      <c r="EW426" s="16">
        <f>(-8.6767 -33.32 * BM426)/(0.008314 * (EA426+273))</f>
        <v>-2.5533813161717087</v>
      </c>
      <c r="EX426" s="16"/>
      <c r="EY426" s="16">
        <f>(-1.9714 -59.897 * BM426)/(0.008314 * (EA426+273))</f>
        <v>-3.1901343640840092</v>
      </c>
      <c r="EZ426" s="16">
        <f>(-4.3691 -44.528 * BM426)/(0.008314 * (EA426+273))</f>
        <v>-2.6698763620946093</v>
      </c>
      <c r="FA426" s="16">
        <f>(-2.2521 -58.215 * BM426)/(0.008314 * (EA426+273))</f>
        <v>-3.1350761377646248</v>
      </c>
      <c r="FB426" s="16"/>
      <c r="FC426" s="16">
        <f>(-8.5 - 57.253 * BM426)/(0.008314 * (EA426+273))</f>
        <v>-3.7289806460357582</v>
      </c>
      <c r="FD426" s="16"/>
      <c r="FE426" s="16">
        <f>(-9.2954 -52.923 * BM426)/(0.008314 * (EA426+273))</f>
        <v>-3.5947214950025828</v>
      </c>
      <c r="FF426" s="16">
        <f>(0.61501 -70.378 * BM426)/(0.008314 * (EA426+273))</f>
        <v>-3.4471966374905927</v>
      </c>
      <c r="FG426" s="16"/>
      <c r="FH426" s="16"/>
      <c r="FI426" s="16"/>
      <c r="FJ426" s="16"/>
      <c r="FK426" s="16"/>
    </row>
    <row r="427" spans="1:167" x14ac:dyDescent="0.25">
      <c r="A427" s="35" t="s">
        <v>85</v>
      </c>
      <c r="B427" s="15">
        <v>1406</v>
      </c>
      <c r="C427" s="102" t="s">
        <v>98</v>
      </c>
      <c r="D427" s="102" t="s">
        <v>105</v>
      </c>
      <c r="E427" s="15">
        <v>413</v>
      </c>
      <c r="F427" s="16">
        <v>57.42</v>
      </c>
      <c r="G427" s="16">
        <v>0</v>
      </c>
      <c r="H427" s="16">
        <v>26.6</v>
      </c>
      <c r="I427" s="16">
        <v>0</v>
      </c>
      <c r="J427" s="44">
        <v>0.378</v>
      </c>
      <c r="K427" s="16">
        <v>0</v>
      </c>
      <c r="L427" s="16">
        <v>0</v>
      </c>
      <c r="M427" s="16">
        <v>8.58</v>
      </c>
      <c r="N427" s="16">
        <v>7.03</v>
      </c>
      <c r="O427" s="16">
        <v>0.26900000000000002</v>
      </c>
      <c r="P427" s="16">
        <v>0</v>
      </c>
      <c r="Q427" s="16"/>
      <c r="R427" s="16"/>
      <c r="S427" s="16">
        <f t="shared" si="335"/>
        <v>100.27700000000002</v>
      </c>
      <c r="T427" s="16"/>
      <c r="U427" s="15">
        <v>3</v>
      </c>
      <c r="V427" s="15" t="s">
        <v>186</v>
      </c>
      <c r="W427" s="15"/>
      <c r="X427" s="15" t="s">
        <v>186</v>
      </c>
      <c r="Y427" s="15"/>
      <c r="Z427" s="37">
        <v>8</v>
      </c>
      <c r="AA427" s="37">
        <v>5</v>
      </c>
      <c r="AB427" s="15"/>
      <c r="AC427" s="38">
        <f t="shared" si="336"/>
        <v>2.5755183863117117</v>
      </c>
      <c r="AD427" s="38">
        <f t="shared" si="337"/>
        <v>0</v>
      </c>
      <c r="AE427" s="38">
        <f t="shared" si="338"/>
        <v>1.4060902472047907</v>
      </c>
      <c r="AF427" s="38">
        <f t="shared" si="339"/>
        <v>0</v>
      </c>
      <c r="AG427" s="38">
        <f t="shared" si="340"/>
        <v>1.4177394291231779E-2</v>
      </c>
      <c r="AH427" s="38">
        <f t="shared" si="341"/>
        <v>0</v>
      </c>
      <c r="AI427" s="38">
        <f t="shared" si="342"/>
        <v>0</v>
      </c>
      <c r="AJ427" s="38">
        <f t="shared" si="343"/>
        <v>0.41229747332318756</v>
      </c>
      <c r="AK427" s="38">
        <f t="shared" si="344"/>
        <v>0.61131512231883756</v>
      </c>
      <c r="AL427" s="38">
        <f t="shared" si="345"/>
        <v>1.5390855591105599E-2</v>
      </c>
      <c r="AM427" s="38">
        <f t="shared" si="346"/>
        <v>0</v>
      </c>
      <c r="AN427" s="38">
        <f t="shared" si="347"/>
        <v>0</v>
      </c>
      <c r="AO427" s="38">
        <f t="shared" si="348"/>
        <v>0</v>
      </c>
      <c r="AP427" s="38">
        <f t="shared" si="349"/>
        <v>5.0347894790408656</v>
      </c>
      <c r="AQ427" s="38">
        <f t="shared" si="350"/>
        <v>3.9816086335165024</v>
      </c>
      <c r="AR427" s="38">
        <f t="shared" si="351"/>
        <v>1.0390034512331305</v>
      </c>
      <c r="AS427" s="40"/>
      <c r="AT427" s="38">
        <f t="shared" si="352"/>
        <v>2.5577220229696196</v>
      </c>
      <c r="AU427" s="38">
        <f t="shared" si="353"/>
        <v>0</v>
      </c>
      <c r="AV427" s="38">
        <f t="shared" si="354"/>
        <v>1.3963744194848173</v>
      </c>
      <c r="AW427" s="38">
        <f t="shared" si="355"/>
        <v>0</v>
      </c>
      <c r="AX427" s="38">
        <f t="shared" si="356"/>
        <v>0</v>
      </c>
      <c r="AY427" s="38">
        <f t="shared" si="357"/>
        <v>1.4079431076761321E-2</v>
      </c>
      <c r="AZ427" s="38">
        <f t="shared" si="358"/>
        <v>0</v>
      </c>
      <c r="BA427" s="38">
        <f t="shared" si="359"/>
        <v>0</v>
      </c>
      <c r="BB427" s="38">
        <f t="shared" si="360"/>
        <v>0.40944857281473751</v>
      </c>
      <c r="BC427" s="38">
        <f t="shared" si="361"/>
        <v>0.60709104607417874</v>
      </c>
      <c r="BD427" s="38">
        <f t="shared" si="362"/>
        <v>1.5284507579885526E-2</v>
      </c>
      <c r="BE427" s="38">
        <f t="shared" si="363"/>
        <v>0</v>
      </c>
      <c r="BF427" s="38">
        <f t="shared" si="364"/>
        <v>0</v>
      </c>
      <c r="BG427" s="38">
        <f t="shared" si="365"/>
        <v>0</v>
      </c>
      <c r="BH427" s="41">
        <f t="shared" si="366"/>
        <v>4.9999999999999991</v>
      </c>
      <c r="BI427" s="42">
        <f t="shared" si="367"/>
        <v>7.9517611714233771</v>
      </c>
      <c r="BJ427" s="38">
        <f t="shared" si="368"/>
        <v>3.9540964424544369</v>
      </c>
      <c r="BK427" s="38">
        <f t="shared" si="369"/>
        <v>1.0318241264688017</v>
      </c>
      <c r="BL427" s="16"/>
      <c r="BM427" s="16">
        <f t="shared" si="370"/>
        <v>0.39682011915731036</v>
      </c>
      <c r="BN427" s="16">
        <f t="shared" si="371"/>
        <v>0.58836678703357959</v>
      </c>
      <c r="BO427" s="16">
        <f t="shared" si="372"/>
        <v>1.4813093809110181E-2</v>
      </c>
      <c r="BP427" s="15"/>
      <c r="BQ427" s="38">
        <f t="shared" si="373"/>
        <v>0.9557256990679095</v>
      </c>
      <c r="BR427" s="38">
        <f t="shared" si="374"/>
        <v>0</v>
      </c>
      <c r="BS427" s="38">
        <f t="shared" si="375"/>
        <v>0.5217732444095724</v>
      </c>
      <c r="BT427" s="38">
        <f t="shared" si="376"/>
        <v>0</v>
      </c>
      <c r="BU427" s="38">
        <f t="shared" si="377"/>
        <v>5.2609603340292282E-3</v>
      </c>
      <c r="BV427" s="38">
        <f t="shared" si="378"/>
        <v>0</v>
      </c>
      <c r="BW427" s="38">
        <f t="shared" si="379"/>
        <v>0</v>
      </c>
      <c r="BX427" s="38">
        <f t="shared" si="380"/>
        <v>0.15299572039942938</v>
      </c>
      <c r="BY427" s="38">
        <f t="shared" si="381"/>
        <v>0.22684737011939338</v>
      </c>
      <c r="BZ427" s="38">
        <f t="shared" si="382"/>
        <v>5.7112526539278129E-3</v>
      </c>
      <c r="CA427" s="38">
        <f t="shared" si="383"/>
        <v>0</v>
      </c>
      <c r="CB427" s="38">
        <f t="shared" si="384"/>
        <v>0</v>
      </c>
      <c r="CC427" s="38">
        <f t="shared" si="385"/>
        <v>0</v>
      </c>
      <c r="CD427" s="38">
        <f t="shared" si="386"/>
        <v>1.8683142469842617</v>
      </c>
      <c r="CE427" s="38">
        <f t="shared" si="387"/>
        <v>2.9686472568702964</v>
      </c>
      <c r="CF427" s="38">
        <f t="shared" si="388"/>
        <v>2.6762093197494732</v>
      </c>
      <c r="CG427" s="38">
        <f t="shared" si="389"/>
        <v>7.9447214558849959</v>
      </c>
      <c r="CH427" s="15"/>
      <c r="CI427" s="16">
        <v>21.756553185938294</v>
      </c>
      <c r="CJ427" s="13">
        <v>56878.501575324866</v>
      </c>
      <c r="CK427" s="104">
        <v>126.45579938927962</v>
      </c>
      <c r="CL427" s="13">
        <v>129048.3854129503</v>
      </c>
      <c r="CM427" s="13">
        <v>281627.22825988231</v>
      </c>
      <c r="CN427" s="13">
        <v>41125.667028630443</v>
      </c>
      <c r="CO427" s="16">
        <v>0.4603146173836461</v>
      </c>
      <c r="CP427" s="16">
        <v>161.32498246763177</v>
      </c>
      <c r="CQ427" s="16">
        <v>7.7235678302014943E-2</v>
      </c>
      <c r="CR427" s="16">
        <v>0</v>
      </c>
      <c r="CS427" s="16">
        <v>20.500557206631278</v>
      </c>
      <c r="CT427" s="16">
        <v>0.33009915165820736</v>
      </c>
      <c r="CU427" s="16">
        <v>0</v>
      </c>
      <c r="CV427" s="16">
        <v>0.97363326588761701</v>
      </c>
      <c r="CW427" s="16">
        <v>8.5941482076132552</v>
      </c>
      <c r="CX427" s="16">
        <v>1.4858106954485488</v>
      </c>
      <c r="CY427" s="104">
        <v>365.06048711158428</v>
      </c>
      <c r="CZ427" s="104">
        <v>359.75582150311061</v>
      </c>
      <c r="DA427" s="16">
        <v>0</v>
      </c>
      <c r="DB427" s="16">
        <v>0</v>
      </c>
      <c r="DC427" s="16">
        <v>0</v>
      </c>
      <c r="DD427" s="16">
        <v>0</v>
      </c>
      <c r="DE427" s="16">
        <v>388.79042558571246</v>
      </c>
      <c r="DF427" s="16">
        <v>4.4415512852921228</v>
      </c>
      <c r="DG427" s="16">
        <v>6.0665622984292025</v>
      </c>
      <c r="DH427" s="16">
        <v>0.55586547332214176</v>
      </c>
      <c r="DI427" s="16">
        <v>1.6972381116137736</v>
      </c>
      <c r="DJ427" s="16">
        <v>0.18177288845599465</v>
      </c>
      <c r="DK427" s="16">
        <v>3.0498810957445808</v>
      </c>
      <c r="DL427" s="16">
        <v>0.15751435066532229</v>
      </c>
      <c r="DM427" s="16">
        <v>3.1950679271820638E-2</v>
      </c>
      <c r="DN427" s="16">
        <v>4.6170825517739607E-2</v>
      </c>
      <c r="DO427" s="16">
        <v>0</v>
      </c>
      <c r="DP427" s="16">
        <v>0</v>
      </c>
      <c r="DQ427" s="16">
        <v>3.9525708519891664E-2</v>
      </c>
      <c r="DR427" s="16">
        <v>0</v>
      </c>
      <c r="DS427" s="16">
        <v>0</v>
      </c>
      <c r="DT427" s="16">
        <v>0</v>
      </c>
      <c r="DU427" s="16">
        <v>0</v>
      </c>
      <c r="DV427" s="16">
        <v>4.2604655185241782</v>
      </c>
      <c r="DW427" s="16">
        <v>0</v>
      </c>
      <c r="DX427" s="16">
        <v>0</v>
      </c>
      <c r="DY427" s="16">
        <f>(DK427/0.05883)/SQRT((DJ427/0.1536)*(DL427/0.2069))</f>
        <v>54.617937359234425</v>
      </c>
      <c r="DZ427" s="16"/>
      <c r="EA427" s="13">
        <f>1128+200*((BM427-0.4)/0.4) -273</f>
        <v>853.41005957865514</v>
      </c>
      <c r="EB427" s="16"/>
      <c r="EC427" s="16">
        <f>(-18.482 -16.353 * BM427)/(0.008314 * (EA427+273))</f>
        <v>-2.6664464255333309</v>
      </c>
      <c r="ED427" s="16"/>
      <c r="EE427" s="16"/>
      <c r="EF427" s="16"/>
      <c r="EG427" s="16"/>
      <c r="EH427" s="16"/>
      <c r="EI427" s="16"/>
      <c r="EJ427" s="16"/>
      <c r="EK427" s="16"/>
      <c r="EL427" s="16">
        <f>(23.856 -20.71 * BM427)/(0.008314 * (EA427+273))</f>
        <v>1.6698238146848772</v>
      </c>
      <c r="EM427" s="16"/>
      <c r="EN427" s="16">
        <f>(-4.5269  -51.811 * BM427)/(0.008314 * (EA427+273)) +N("eqn50a")</f>
        <v>-2.678763362504883</v>
      </c>
      <c r="EO427" s="16" t="e">
        <f>(-187.27 + 2.26018 *#REF!)/(0.008314 * (EA427+273)) +N("fsp eqn35 from SiO2")</f>
        <v>#REF!</v>
      </c>
      <c r="EP427" s="16"/>
      <c r="EQ427" s="16"/>
      <c r="ER427" s="16">
        <f>(10.146 -35.204 * BM427)/(0.008314 * (EA427+273))</f>
        <v>-0.40829326242878305</v>
      </c>
      <c r="ES427" s="16">
        <f>(2.1146 -37.009 * BM427)/(0.008314 * (EA427+273))</f>
        <v>-1.3423760510555909</v>
      </c>
      <c r="ET427" s="16">
        <f>(-3.6812 -33.822 * BM427)/(0.008314 * (EA427+273))</f>
        <v>-1.8262145166209043</v>
      </c>
      <c r="EU427" s="16">
        <f>(-6.8025 -26.094 * BM427)/(0.008314 * (EA427+273))</f>
        <v>-1.8320526666912109</v>
      </c>
      <c r="EV427" s="16">
        <f>(-5.6996 -30.85 * BM427)/(0.008314 * (EA427+273))</f>
        <v>-1.9158090712212819</v>
      </c>
      <c r="EW427" s="16">
        <f>(-8.6767 -33.32 * BM427)/(0.008314 * (EA427+273))</f>
        <v>-2.3383672136606695</v>
      </c>
      <c r="EX427" s="16"/>
      <c r="EY427" s="16">
        <f>(-1.9714 -59.897 * BM427)/(0.008314 * (EA427+273))</f>
        <v>-2.7485112909924228</v>
      </c>
      <c r="EZ427" s="16">
        <f>(-4.3691 -44.528 * BM427)/(0.008314 * (EA427+273))</f>
        <v>-2.3533122532243729</v>
      </c>
      <c r="FA427" s="16">
        <f>(-2.2521 -58.215 * BM427)/(0.008314 * (EA427+273))</f>
        <v>-2.7072136352806839</v>
      </c>
      <c r="FB427" s="16"/>
      <c r="FC427" s="16">
        <f>(-8.5 - 57.253 * BM427)/(0.008314 * (EA427+273))</f>
        <v>-3.3336072082207369</v>
      </c>
      <c r="FD427" s="16"/>
      <c r="FE427" s="16">
        <f>(-9.2954 -52.923 * BM427)/(0.008314 * (EA427+273))</f>
        <v>-3.2350664977711832</v>
      </c>
      <c r="FF427" s="16">
        <f>(0.61501 -70.378 * BM427)/(0.008314 * (EA427+273))</f>
        <v>-2.9164414739590581</v>
      </c>
      <c r="FG427" s="16"/>
      <c r="FH427" s="16"/>
      <c r="FI427" s="16"/>
      <c r="FJ427" s="16"/>
      <c r="FK427" s="16"/>
    </row>
    <row r="428" spans="1:167" x14ac:dyDescent="0.25">
      <c r="A428" s="35" t="s">
        <v>85</v>
      </c>
      <c r="B428" s="15">
        <v>1407</v>
      </c>
      <c r="C428" s="102" t="s">
        <v>98</v>
      </c>
      <c r="D428" s="102" t="s">
        <v>105</v>
      </c>
      <c r="E428" s="15">
        <v>414</v>
      </c>
      <c r="F428" s="16">
        <v>67.989999999999995</v>
      </c>
      <c r="G428" s="16">
        <v>0</v>
      </c>
      <c r="H428" s="16">
        <v>17.43</v>
      </c>
      <c r="I428" s="16">
        <v>0</v>
      </c>
      <c r="J428" s="44">
        <v>0.47399999999999998</v>
      </c>
      <c r="K428" s="16">
        <v>0</v>
      </c>
      <c r="L428" s="16">
        <v>0</v>
      </c>
      <c r="M428" s="16">
        <v>0.15</v>
      </c>
      <c r="N428" s="16">
        <v>6.1</v>
      </c>
      <c r="O428" s="16">
        <v>7.63</v>
      </c>
      <c r="P428" s="16">
        <v>0</v>
      </c>
      <c r="Q428" s="16"/>
      <c r="R428" s="16"/>
      <c r="S428" s="16">
        <f t="shared" si="335"/>
        <v>99.773999999999987</v>
      </c>
      <c r="T428" s="16"/>
      <c r="U428" s="15"/>
      <c r="V428" s="15"/>
      <c r="W428" s="15"/>
      <c r="X428" s="15" t="s">
        <v>187</v>
      </c>
      <c r="Y428" s="15"/>
      <c r="Z428" s="37">
        <v>8</v>
      </c>
      <c r="AA428" s="37">
        <v>5</v>
      </c>
      <c r="AB428" s="15"/>
      <c r="AC428" s="38">
        <f t="shared" si="336"/>
        <v>3.0535289410517401</v>
      </c>
      <c r="AD428" s="38">
        <f t="shared" si="337"/>
        <v>0</v>
      </c>
      <c r="AE428" s="38">
        <f t="shared" si="338"/>
        <v>0.92253845724182915</v>
      </c>
      <c r="AF428" s="38">
        <f t="shared" si="339"/>
        <v>0</v>
      </c>
      <c r="AG428" s="38">
        <f t="shared" si="340"/>
        <v>1.7800757858585609E-2</v>
      </c>
      <c r="AH428" s="38">
        <f t="shared" si="341"/>
        <v>0</v>
      </c>
      <c r="AI428" s="38">
        <f t="shared" si="342"/>
        <v>0</v>
      </c>
      <c r="AJ428" s="38">
        <f t="shared" si="343"/>
        <v>7.2172238807770989E-3</v>
      </c>
      <c r="AK428" s="38">
        <f t="shared" si="344"/>
        <v>0.53112308979827394</v>
      </c>
      <c r="AL428" s="38">
        <f t="shared" si="345"/>
        <v>0.43710981079055417</v>
      </c>
      <c r="AM428" s="38">
        <f t="shared" si="346"/>
        <v>0</v>
      </c>
      <c r="AN428" s="38">
        <f t="shared" si="347"/>
        <v>0</v>
      </c>
      <c r="AO428" s="38">
        <f t="shared" si="348"/>
        <v>0</v>
      </c>
      <c r="AP428" s="38">
        <f t="shared" si="349"/>
        <v>4.96931828062176</v>
      </c>
      <c r="AQ428" s="38">
        <f t="shared" si="350"/>
        <v>3.9760673982935693</v>
      </c>
      <c r="AR428" s="38">
        <f t="shared" si="351"/>
        <v>0.97545012446960522</v>
      </c>
      <c r="AS428" s="40"/>
      <c r="AT428" s="38">
        <f t="shared" si="352"/>
        <v>3.0723821343454811</v>
      </c>
      <c r="AU428" s="38">
        <f t="shared" si="353"/>
        <v>0</v>
      </c>
      <c r="AV428" s="38">
        <f t="shared" si="354"/>
        <v>0.92823442285769753</v>
      </c>
      <c r="AW428" s="38">
        <f t="shared" si="355"/>
        <v>0</v>
      </c>
      <c r="AX428" s="38">
        <f t="shared" si="356"/>
        <v>1.7910663851016584E-2</v>
      </c>
      <c r="AY428" s="38">
        <f t="shared" si="357"/>
        <v>0</v>
      </c>
      <c r="AZ428" s="38">
        <f t="shared" si="358"/>
        <v>0</v>
      </c>
      <c r="BA428" s="38">
        <f t="shared" si="359"/>
        <v>0</v>
      </c>
      <c r="BB428" s="38">
        <f t="shared" si="360"/>
        <v>7.2617846887783584E-3</v>
      </c>
      <c r="BC428" s="38">
        <f t="shared" si="361"/>
        <v>0.53440236648699813</v>
      </c>
      <c r="BD428" s="38">
        <f t="shared" si="362"/>
        <v>0.43980862777002788</v>
      </c>
      <c r="BE428" s="38">
        <f t="shared" si="363"/>
        <v>0</v>
      </c>
      <c r="BF428" s="38">
        <f t="shared" si="364"/>
        <v>0</v>
      </c>
      <c r="BG428" s="38">
        <f t="shared" si="365"/>
        <v>0</v>
      </c>
      <c r="BH428" s="41">
        <f t="shared" si="366"/>
        <v>5</v>
      </c>
      <c r="BI428" s="42">
        <f t="shared" si="367"/>
        <v>8.049393848645817</v>
      </c>
      <c r="BJ428" s="38">
        <f t="shared" si="368"/>
        <v>4.0006165572031787</v>
      </c>
      <c r="BK428" s="38">
        <f t="shared" si="369"/>
        <v>0.98147277894580442</v>
      </c>
      <c r="BL428" s="16"/>
      <c r="BM428" s="16">
        <f t="shared" si="370"/>
        <v>7.3988650979991601E-3</v>
      </c>
      <c r="BN428" s="16">
        <f t="shared" si="371"/>
        <v>0.54449025785615512</v>
      </c>
      <c r="BO428" s="16">
        <f t="shared" si="372"/>
        <v>0.44811087704584573</v>
      </c>
      <c r="BP428" s="15"/>
      <c r="BQ428" s="38">
        <f t="shared" si="373"/>
        <v>1.1316577896138482</v>
      </c>
      <c r="BR428" s="38">
        <f t="shared" si="374"/>
        <v>0</v>
      </c>
      <c r="BS428" s="38">
        <f t="shared" si="375"/>
        <v>0.34189878383679878</v>
      </c>
      <c r="BT428" s="38">
        <f t="shared" si="376"/>
        <v>0</v>
      </c>
      <c r="BU428" s="38">
        <f t="shared" si="377"/>
        <v>6.5970772442588725E-3</v>
      </c>
      <c r="BV428" s="38">
        <f t="shared" si="378"/>
        <v>0</v>
      </c>
      <c r="BW428" s="38">
        <f t="shared" si="379"/>
        <v>0</v>
      </c>
      <c r="BX428" s="38">
        <f t="shared" si="380"/>
        <v>2.6747503566333809E-3</v>
      </c>
      <c r="BY428" s="38">
        <f t="shared" si="381"/>
        <v>0.19683768957728298</v>
      </c>
      <c r="BZ428" s="38">
        <f t="shared" si="382"/>
        <v>0.16199575371549893</v>
      </c>
      <c r="CA428" s="38">
        <f t="shared" si="383"/>
        <v>0</v>
      </c>
      <c r="CB428" s="38">
        <f t="shared" si="384"/>
        <v>0</v>
      </c>
      <c r="CC428" s="38">
        <f t="shared" si="385"/>
        <v>0</v>
      </c>
      <c r="CD428" s="38">
        <f t="shared" si="386"/>
        <v>1.8416618443443213</v>
      </c>
      <c r="CE428" s="38">
        <f t="shared" si="387"/>
        <v>2.9648523042301775</v>
      </c>
      <c r="CF428" s="38">
        <f t="shared" si="388"/>
        <v>2.7149392356446023</v>
      </c>
      <c r="CG428" s="38">
        <f t="shared" si="389"/>
        <v>8.0493938486458152</v>
      </c>
      <c r="CH428" s="15"/>
      <c r="CI428" s="16"/>
      <c r="CJ428" s="13"/>
      <c r="CK428" s="104"/>
      <c r="CL428" s="13"/>
      <c r="CM428" s="13"/>
      <c r="CN428" s="13"/>
      <c r="CO428" s="16"/>
      <c r="CP428" s="16"/>
      <c r="CQ428" s="16"/>
      <c r="CR428" s="16"/>
      <c r="CS428" s="16"/>
      <c r="CT428" s="16"/>
      <c r="CU428" s="16"/>
      <c r="CV428" s="16"/>
      <c r="CW428" s="16"/>
      <c r="CX428" s="16"/>
      <c r="CY428" s="104"/>
      <c r="CZ428" s="104"/>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3"/>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row>
    <row r="429" spans="1:167" x14ac:dyDescent="0.25">
      <c r="A429" s="35" t="s">
        <v>85</v>
      </c>
      <c r="B429" s="15">
        <v>1408</v>
      </c>
      <c r="C429" s="102" t="s">
        <v>98</v>
      </c>
      <c r="D429" s="102" t="s">
        <v>105</v>
      </c>
      <c r="E429" s="15">
        <v>415</v>
      </c>
      <c r="F429" s="16">
        <v>66.709999999999994</v>
      </c>
      <c r="G429" s="16">
        <v>0</v>
      </c>
      <c r="H429" s="16">
        <v>19.02</v>
      </c>
      <c r="I429" s="16">
        <v>0</v>
      </c>
      <c r="J429" s="44">
        <v>0.28899999999999998</v>
      </c>
      <c r="K429" s="16">
        <v>0</v>
      </c>
      <c r="L429" s="16">
        <v>0</v>
      </c>
      <c r="M429" s="16">
        <v>0.21299999999999999</v>
      </c>
      <c r="N429" s="16">
        <v>6.65</v>
      </c>
      <c r="O429" s="16">
        <v>8.02</v>
      </c>
      <c r="P429" s="16">
        <v>0</v>
      </c>
      <c r="Q429" s="16"/>
      <c r="R429" s="16"/>
      <c r="S429" s="16">
        <f t="shared" si="335"/>
        <v>100.90199999999999</v>
      </c>
      <c r="T429" s="16"/>
      <c r="U429" s="15"/>
      <c r="V429" s="15"/>
      <c r="W429" s="15"/>
      <c r="X429" s="15" t="s">
        <v>187</v>
      </c>
      <c r="Y429" s="15"/>
      <c r="Z429" s="37">
        <v>8</v>
      </c>
      <c r="AA429" s="37">
        <v>5</v>
      </c>
      <c r="AB429" s="15"/>
      <c r="AC429" s="38">
        <f t="shared" si="336"/>
        <v>2.9802249631814259</v>
      </c>
      <c r="AD429" s="38">
        <f t="shared" si="337"/>
        <v>0</v>
      </c>
      <c r="AE429" s="38">
        <f t="shared" si="338"/>
        <v>1.0013795382608859</v>
      </c>
      <c r="AF429" s="38">
        <f t="shared" si="339"/>
        <v>0</v>
      </c>
      <c r="AG429" s="38">
        <f t="shared" si="340"/>
        <v>1.0795906181381827E-2</v>
      </c>
      <c r="AH429" s="38">
        <f t="shared" si="341"/>
        <v>0</v>
      </c>
      <c r="AI429" s="38">
        <f t="shared" si="342"/>
        <v>0</v>
      </c>
      <c r="AJ429" s="38">
        <f t="shared" si="343"/>
        <v>1.0194352111613696E-2</v>
      </c>
      <c r="AK429" s="38">
        <f t="shared" si="344"/>
        <v>0.5759544002060818</v>
      </c>
      <c r="AL429" s="38">
        <f t="shared" si="345"/>
        <v>0.45702661569956582</v>
      </c>
      <c r="AM429" s="38">
        <f t="shared" si="346"/>
        <v>0</v>
      </c>
      <c r="AN429" s="38">
        <f t="shared" si="347"/>
        <v>0</v>
      </c>
      <c r="AO429" s="38">
        <f t="shared" si="348"/>
        <v>0</v>
      </c>
      <c r="AP429" s="38">
        <f t="shared" si="349"/>
        <v>5.0355757756409547</v>
      </c>
      <c r="AQ429" s="38">
        <f t="shared" si="350"/>
        <v>3.9816045014423116</v>
      </c>
      <c r="AR429" s="38">
        <f t="shared" si="351"/>
        <v>1.0431753680172613</v>
      </c>
      <c r="AS429" s="40"/>
      <c r="AT429" s="38">
        <f t="shared" si="352"/>
        <v>2.9591700095130506</v>
      </c>
      <c r="AU429" s="38">
        <f t="shared" si="353"/>
        <v>0</v>
      </c>
      <c r="AV429" s="38">
        <f t="shared" si="354"/>
        <v>0.99430490461979493</v>
      </c>
      <c r="AW429" s="38">
        <f t="shared" si="355"/>
        <v>0</v>
      </c>
      <c r="AX429" s="38">
        <f t="shared" si="356"/>
        <v>0</v>
      </c>
      <c r="AY429" s="38">
        <f t="shared" si="357"/>
        <v>1.0719634320275588E-2</v>
      </c>
      <c r="AZ429" s="38">
        <f t="shared" si="358"/>
        <v>0</v>
      </c>
      <c r="BA429" s="38">
        <f t="shared" si="359"/>
        <v>0</v>
      </c>
      <c r="BB429" s="38">
        <f t="shared" si="360"/>
        <v>1.0122330162250517E-2</v>
      </c>
      <c r="BC429" s="38">
        <f t="shared" si="361"/>
        <v>0.57188534724489504</v>
      </c>
      <c r="BD429" s="38">
        <f t="shared" si="362"/>
        <v>0.45379777413973388</v>
      </c>
      <c r="BE429" s="38">
        <f t="shared" si="363"/>
        <v>0</v>
      </c>
      <c r="BF429" s="38">
        <f t="shared" si="364"/>
        <v>0</v>
      </c>
      <c r="BG429" s="38">
        <f t="shared" si="365"/>
        <v>0</v>
      </c>
      <c r="BH429" s="41">
        <f t="shared" si="366"/>
        <v>5</v>
      </c>
      <c r="BI429" s="42">
        <f t="shared" si="367"/>
        <v>7.9488407182907723</v>
      </c>
      <c r="BJ429" s="38">
        <f t="shared" si="368"/>
        <v>3.9534749141328458</v>
      </c>
      <c r="BK429" s="38">
        <f t="shared" si="369"/>
        <v>1.0358054515468793</v>
      </c>
      <c r="BL429" s="16"/>
      <c r="BM429" s="16">
        <f t="shared" si="370"/>
        <v>9.7724241044819336E-3</v>
      </c>
      <c r="BN429" s="16">
        <f t="shared" si="371"/>
        <v>0.55211656435176826</v>
      </c>
      <c r="BO429" s="16">
        <f t="shared" si="372"/>
        <v>0.43811101154374982</v>
      </c>
      <c r="BP429" s="15"/>
      <c r="BQ429" s="38">
        <f t="shared" si="373"/>
        <v>1.1103528628495338</v>
      </c>
      <c r="BR429" s="38">
        <f t="shared" si="374"/>
        <v>0</v>
      </c>
      <c r="BS429" s="38">
        <f t="shared" si="375"/>
        <v>0.3730874852883484</v>
      </c>
      <c r="BT429" s="38">
        <f t="shared" si="376"/>
        <v>0</v>
      </c>
      <c r="BU429" s="38">
        <f t="shared" si="377"/>
        <v>4.0222686151704943E-3</v>
      </c>
      <c r="BV429" s="38">
        <f t="shared" si="378"/>
        <v>0</v>
      </c>
      <c r="BW429" s="38">
        <f t="shared" si="379"/>
        <v>0</v>
      </c>
      <c r="BX429" s="38">
        <f t="shared" si="380"/>
        <v>3.7981455064194009E-3</v>
      </c>
      <c r="BY429" s="38">
        <f t="shared" si="381"/>
        <v>0.21458535011293969</v>
      </c>
      <c r="BZ429" s="38">
        <f t="shared" si="382"/>
        <v>0.17027600849256899</v>
      </c>
      <c r="CA429" s="38">
        <f t="shared" si="383"/>
        <v>0</v>
      </c>
      <c r="CB429" s="38">
        <f t="shared" si="384"/>
        <v>0</v>
      </c>
      <c r="CC429" s="38">
        <f t="shared" si="385"/>
        <v>0</v>
      </c>
      <c r="CD429" s="38">
        <f t="shared" si="386"/>
        <v>1.8761221208649808</v>
      </c>
      <c r="CE429" s="38">
        <f t="shared" si="387"/>
        <v>2.9805880470559347</v>
      </c>
      <c r="CF429" s="38">
        <f t="shared" si="388"/>
        <v>2.6650717159577888</v>
      </c>
      <c r="CG429" s="38">
        <f t="shared" si="389"/>
        <v>7.9434809011306342</v>
      </c>
      <c r="CH429" s="15"/>
      <c r="CI429" s="16"/>
      <c r="CJ429" s="13"/>
      <c r="CK429" s="104"/>
      <c r="CL429" s="13"/>
      <c r="CM429" s="13"/>
      <c r="CN429" s="13"/>
      <c r="CO429" s="16"/>
      <c r="CP429" s="16"/>
      <c r="CQ429" s="16"/>
      <c r="CR429" s="16"/>
      <c r="CS429" s="16"/>
      <c r="CT429" s="16"/>
      <c r="CU429" s="16"/>
      <c r="CV429" s="16"/>
      <c r="CW429" s="16"/>
      <c r="CX429" s="16"/>
      <c r="CY429" s="104"/>
      <c r="CZ429" s="104"/>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3"/>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row>
    <row r="430" spans="1:167" x14ac:dyDescent="0.25">
      <c r="A430" s="35" t="s">
        <v>85</v>
      </c>
      <c r="B430" s="15">
        <v>1409</v>
      </c>
      <c r="C430" s="102" t="s">
        <v>98</v>
      </c>
      <c r="D430" s="102" t="s">
        <v>105</v>
      </c>
      <c r="E430" s="15">
        <v>416</v>
      </c>
      <c r="F430" s="16">
        <v>54.79</v>
      </c>
      <c r="G430" s="16">
        <v>0</v>
      </c>
      <c r="H430" s="16">
        <v>28.29</v>
      </c>
      <c r="I430" s="16">
        <v>0</v>
      </c>
      <c r="J430" s="44">
        <v>0.497</v>
      </c>
      <c r="K430" s="16">
        <v>0</v>
      </c>
      <c r="L430" s="16">
        <v>0</v>
      </c>
      <c r="M430" s="16">
        <v>10.73</v>
      </c>
      <c r="N430" s="16">
        <v>5.81</v>
      </c>
      <c r="O430" s="16">
        <v>0.189</v>
      </c>
      <c r="P430" s="16">
        <v>0</v>
      </c>
      <c r="Q430" s="16"/>
      <c r="R430" s="16"/>
      <c r="S430" s="16">
        <f t="shared" si="335"/>
        <v>100.306</v>
      </c>
      <c r="T430" s="16"/>
      <c r="U430" s="15"/>
      <c r="V430" s="15"/>
      <c r="W430" s="15"/>
      <c r="X430" s="15" t="s">
        <v>185</v>
      </c>
      <c r="Y430" s="15"/>
      <c r="Z430" s="37">
        <v>8</v>
      </c>
      <c r="AA430" s="37">
        <v>5</v>
      </c>
      <c r="AB430" s="15"/>
      <c r="AC430" s="38">
        <f t="shared" si="336"/>
        <v>2.4728486704292876</v>
      </c>
      <c r="AD430" s="38">
        <f t="shared" si="337"/>
        <v>0</v>
      </c>
      <c r="AE430" s="38">
        <f t="shared" si="338"/>
        <v>1.5047324258003933</v>
      </c>
      <c r="AF430" s="38">
        <f t="shared" si="339"/>
        <v>0</v>
      </c>
      <c r="AG430" s="38">
        <f t="shared" si="340"/>
        <v>1.8756671818325663E-2</v>
      </c>
      <c r="AH430" s="38">
        <f t="shared" si="341"/>
        <v>0</v>
      </c>
      <c r="AI430" s="38">
        <f t="shared" si="342"/>
        <v>0</v>
      </c>
      <c r="AJ430" s="38">
        <f t="shared" si="343"/>
        <v>0.51882139903163915</v>
      </c>
      <c r="AK430" s="38">
        <f t="shared" si="344"/>
        <v>0.50837094302194707</v>
      </c>
      <c r="AL430" s="38">
        <f t="shared" si="345"/>
        <v>1.0880956159792132E-2</v>
      </c>
      <c r="AM430" s="38">
        <f t="shared" si="346"/>
        <v>0</v>
      </c>
      <c r="AN430" s="38">
        <f t="shared" si="347"/>
        <v>0</v>
      </c>
      <c r="AO430" s="38">
        <f t="shared" si="348"/>
        <v>0</v>
      </c>
      <c r="AP430" s="38">
        <f t="shared" si="349"/>
        <v>5.0344110662613852</v>
      </c>
      <c r="AQ430" s="38">
        <f t="shared" si="350"/>
        <v>3.9775810962296809</v>
      </c>
      <c r="AR430" s="38">
        <f t="shared" si="351"/>
        <v>1.0380732982133785</v>
      </c>
      <c r="AS430" s="40"/>
      <c r="AT430" s="38">
        <f t="shared" si="352"/>
        <v>2.4559463240907498</v>
      </c>
      <c r="AU430" s="38">
        <f t="shared" si="353"/>
        <v>0</v>
      </c>
      <c r="AV430" s="38">
        <f t="shared" si="354"/>
        <v>1.4944473206454176</v>
      </c>
      <c r="AW430" s="38">
        <f t="shared" si="355"/>
        <v>0</v>
      </c>
      <c r="AX430" s="38">
        <f t="shared" si="356"/>
        <v>0</v>
      </c>
      <c r="AY430" s="38">
        <f t="shared" si="357"/>
        <v>1.8628466737674043E-2</v>
      </c>
      <c r="AZ430" s="38">
        <f t="shared" si="358"/>
        <v>0</v>
      </c>
      <c r="BA430" s="38">
        <f t="shared" si="359"/>
        <v>0</v>
      </c>
      <c r="BB430" s="38">
        <f t="shared" si="360"/>
        <v>0.5152751654593456</v>
      </c>
      <c r="BC430" s="38">
        <f t="shared" si="361"/>
        <v>0.50489614011542128</v>
      </c>
      <c r="BD430" s="38">
        <f t="shared" si="362"/>
        <v>1.0806582951392231E-2</v>
      </c>
      <c r="BE430" s="38">
        <f t="shared" si="363"/>
        <v>0</v>
      </c>
      <c r="BF430" s="38">
        <f t="shared" si="364"/>
        <v>0</v>
      </c>
      <c r="BG430" s="38">
        <f t="shared" si="365"/>
        <v>0</v>
      </c>
      <c r="BH430" s="41">
        <f t="shared" si="366"/>
        <v>5.0000000000000009</v>
      </c>
      <c r="BI430" s="42">
        <f t="shared" si="367"/>
        <v>7.9546328562488897</v>
      </c>
      <c r="BJ430" s="38">
        <f t="shared" si="368"/>
        <v>3.9503936447361676</v>
      </c>
      <c r="BK430" s="38">
        <f t="shared" si="369"/>
        <v>1.0309778885261589</v>
      </c>
      <c r="BL430" s="16"/>
      <c r="BM430" s="16">
        <f t="shared" si="370"/>
        <v>0.49979264462786921</v>
      </c>
      <c r="BN430" s="16">
        <f t="shared" si="371"/>
        <v>0.4897254788239917</v>
      </c>
      <c r="BO430" s="16">
        <f t="shared" si="372"/>
        <v>1.0481876548139016E-2</v>
      </c>
      <c r="BP430" s="15"/>
      <c r="BQ430" s="38">
        <f t="shared" si="373"/>
        <v>0.91195073235685753</v>
      </c>
      <c r="BR430" s="38">
        <f t="shared" si="374"/>
        <v>0</v>
      </c>
      <c r="BS430" s="38">
        <f t="shared" si="375"/>
        <v>0.55492349941153396</v>
      </c>
      <c r="BT430" s="38">
        <f t="shared" si="376"/>
        <v>0</v>
      </c>
      <c r="BU430" s="38">
        <f t="shared" si="377"/>
        <v>6.9171885873347255E-3</v>
      </c>
      <c r="BV430" s="38">
        <f t="shared" si="378"/>
        <v>0</v>
      </c>
      <c r="BW430" s="38">
        <f t="shared" si="379"/>
        <v>0</v>
      </c>
      <c r="BX430" s="38">
        <f t="shared" si="380"/>
        <v>0.19133380884450785</v>
      </c>
      <c r="BY430" s="38">
        <f t="shared" si="381"/>
        <v>0.18747983220393674</v>
      </c>
      <c r="BZ430" s="38">
        <f t="shared" si="382"/>
        <v>4.0127388535031849E-3</v>
      </c>
      <c r="CA430" s="38">
        <f t="shared" si="383"/>
        <v>0</v>
      </c>
      <c r="CB430" s="38">
        <f t="shared" si="384"/>
        <v>0</v>
      </c>
      <c r="CC430" s="38">
        <f t="shared" si="385"/>
        <v>0</v>
      </c>
      <c r="CD430" s="38">
        <f t="shared" si="386"/>
        <v>1.8566178002576739</v>
      </c>
      <c r="CE430" s="38">
        <f t="shared" si="387"/>
        <v>2.9502839967915788</v>
      </c>
      <c r="CF430" s="38">
        <f t="shared" si="388"/>
        <v>2.693069084712032</v>
      </c>
      <c r="CG430" s="38">
        <f t="shared" si="389"/>
        <v>7.9453186228800528</v>
      </c>
      <c r="CH430" s="15"/>
      <c r="CI430" s="16"/>
      <c r="CJ430" s="13"/>
      <c r="CK430" s="104"/>
      <c r="CL430" s="13"/>
      <c r="CM430" s="13"/>
      <c r="CN430" s="13"/>
      <c r="CO430" s="16"/>
      <c r="CP430" s="16"/>
      <c r="CQ430" s="16"/>
      <c r="CR430" s="16"/>
      <c r="CS430" s="16"/>
      <c r="CT430" s="16"/>
      <c r="CU430" s="16"/>
      <c r="CV430" s="16"/>
      <c r="CW430" s="16"/>
      <c r="CX430" s="16"/>
      <c r="CY430" s="104"/>
      <c r="CZ430" s="104"/>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3"/>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row>
    <row r="431" spans="1:167" x14ac:dyDescent="0.25">
      <c r="A431" s="35" t="s">
        <v>85</v>
      </c>
      <c r="B431" s="15">
        <v>1410</v>
      </c>
      <c r="C431" s="102" t="s">
        <v>98</v>
      </c>
      <c r="D431" s="102" t="s">
        <v>105</v>
      </c>
      <c r="E431" s="15">
        <v>417</v>
      </c>
      <c r="F431" s="16">
        <v>66.37</v>
      </c>
      <c r="G431" s="16">
        <v>0</v>
      </c>
      <c r="H431" s="16">
        <v>18.37</v>
      </c>
      <c r="I431" s="16">
        <v>0</v>
      </c>
      <c r="J431" s="44">
        <v>0.36799999999999999</v>
      </c>
      <c r="K431" s="16">
        <v>0</v>
      </c>
      <c r="L431" s="16">
        <v>0</v>
      </c>
      <c r="M431" s="16">
        <v>0.17799999999999999</v>
      </c>
      <c r="N431" s="16">
        <v>6.6</v>
      </c>
      <c r="O431" s="16">
        <v>7.99</v>
      </c>
      <c r="P431" s="16">
        <v>0</v>
      </c>
      <c r="Q431" s="16"/>
      <c r="R431" s="16"/>
      <c r="S431" s="16">
        <f t="shared" si="335"/>
        <v>99.875999999999991</v>
      </c>
      <c r="T431" s="16"/>
      <c r="U431" s="15"/>
      <c r="V431" s="15"/>
      <c r="W431" s="15"/>
      <c r="X431" s="15" t="s">
        <v>187</v>
      </c>
      <c r="Y431" s="15"/>
      <c r="Z431" s="37">
        <v>8</v>
      </c>
      <c r="AA431" s="37">
        <v>5</v>
      </c>
      <c r="AB431" s="15"/>
      <c r="AC431" s="38">
        <f t="shared" si="336"/>
        <v>2.9962926861558543</v>
      </c>
      <c r="AD431" s="38">
        <f t="shared" si="337"/>
        <v>0</v>
      </c>
      <c r="AE431" s="38">
        <f t="shared" si="338"/>
        <v>0.97735348460295934</v>
      </c>
      <c r="AF431" s="38">
        <f t="shared" si="339"/>
        <v>0</v>
      </c>
      <c r="AG431" s="38">
        <f t="shared" si="340"/>
        <v>1.3891955604737886E-2</v>
      </c>
      <c r="AH431" s="38">
        <f t="shared" si="341"/>
        <v>0</v>
      </c>
      <c r="AI431" s="38">
        <f t="shared" si="342"/>
        <v>0</v>
      </c>
      <c r="AJ431" s="38">
        <f t="shared" si="343"/>
        <v>8.6090323129067482E-3</v>
      </c>
      <c r="AK431" s="38">
        <f t="shared" si="344"/>
        <v>0.57764989647105247</v>
      </c>
      <c r="AL431" s="38">
        <f t="shared" si="345"/>
        <v>0.46011692926136183</v>
      </c>
      <c r="AM431" s="38">
        <f t="shared" si="346"/>
        <v>0</v>
      </c>
      <c r="AN431" s="38">
        <f t="shared" si="347"/>
        <v>0</v>
      </c>
      <c r="AO431" s="38">
        <f t="shared" si="348"/>
        <v>0</v>
      </c>
      <c r="AP431" s="38">
        <f t="shared" si="349"/>
        <v>5.0339139844088727</v>
      </c>
      <c r="AQ431" s="38">
        <f t="shared" si="350"/>
        <v>3.9736461707588138</v>
      </c>
      <c r="AR431" s="38">
        <f t="shared" si="351"/>
        <v>1.0463758580453211</v>
      </c>
      <c r="AS431" s="40"/>
      <c r="AT431" s="38">
        <f t="shared" si="352"/>
        <v>2.9761063612092147</v>
      </c>
      <c r="AU431" s="38">
        <f t="shared" si="353"/>
        <v>0</v>
      </c>
      <c r="AV431" s="38">
        <f t="shared" si="354"/>
        <v>0.97076895595558022</v>
      </c>
      <c r="AW431" s="38">
        <f t="shared" si="355"/>
        <v>0</v>
      </c>
      <c r="AX431" s="38">
        <f t="shared" si="356"/>
        <v>0</v>
      </c>
      <c r="AY431" s="38">
        <f t="shared" si="357"/>
        <v>1.3798364103721573E-2</v>
      </c>
      <c r="AZ431" s="38">
        <f t="shared" si="358"/>
        <v>0</v>
      </c>
      <c r="BA431" s="38">
        <f t="shared" si="359"/>
        <v>0</v>
      </c>
      <c r="BB431" s="38">
        <f t="shared" si="360"/>
        <v>8.5510323970282315E-3</v>
      </c>
      <c r="BC431" s="38">
        <f t="shared" si="361"/>
        <v>0.57375821106614044</v>
      </c>
      <c r="BD431" s="38">
        <f t="shared" si="362"/>
        <v>0.45701707526831414</v>
      </c>
      <c r="BE431" s="38">
        <f t="shared" si="363"/>
        <v>0</v>
      </c>
      <c r="BF431" s="38">
        <f t="shared" si="364"/>
        <v>0</v>
      </c>
      <c r="BG431" s="38">
        <f t="shared" si="365"/>
        <v>0</v>
      </c>
      <c r="BH431" s="41">
        <f t="shared" si="366"/>
        <v>4.9999999999999991</v>
      </c>
      <c r="BI431" s="42">
        <f t="shared" si="367"/>
        <v>7.9530023780716377</v>
      </c>
      <c r="BJ431" s="38">
        <f t="shared" si="368"/>
        <v>3.9468753171647948</v>
      </c>
      <c r="BK431" s="38">
        <f t="shared" si="369"/>
        <v>1.039326318731483</v>
      </c>
      <c r="BL431" s="16"/>
      <c r="BM431" s="16">
        <f t="shared" si="370"/>
        <v>8.2274760514723863E-3</v>
      </c>
      <c r="BN431" s="16">
        <f t="shared" si="371"/>
        <v>0.55204818806707701</v>
      </c>
      <c r="BO431" s="16">
        <f t="shared" si="372"/>
        <v>0.4397243358814506</v>
      </c>
      <c r="BP431" s="15"/>
      <c r="BQ431" s="38">
        <f t="shared" si="373"/>
        <v>1.1046937416777631</v>
      </c>
      <c r="BR431" s="38">
        <f t="shared" si="374"/>
        <v>0</v>
      </c>
      <c r="BS431" s="38">
        <f t="shared" si="375"/>
        <v>0.36033738721067088</v>
      </c>
      <c r="BT431" s="38">
        <f t="shared" si="376"/>
        <v>0</v>
      </c>
      <c r="BU431" s="38">
        <f t="shared" si="377"/>
        <v>5.1217814892136398E-3</v>
      </c>
      <c r="BV431" s="38">
        <f t="shared" si="378"/>
        <v>0</v>
      </c>
      <c r="BW431" s="38">
        <f t="shared" si="379"/>
        <v>0</v>
      </c>
      <c r="BX431" s="38">
        <f t="shared" si="380"/>
        <v>3.1740370898716121E-3</v>
      </c>
      <c r="BY431" s="38">
        <f t="shared" si="381"/>
        <v>0.21297192642787996</v>
      </c>
      <c r="BZ431" s="38">
        <f t="shared" si="382"/>
        <v>0.16963906581740976</v>
      </c>
      <c r="CA431" s="38">
        <f t="shared" si="383"/>
        <v>0</v>
      </c>
      <c r="CB431" s="38">
        <f t="shared" si="384"/>
        <v>0</v>
      </c>
      <c r="CC431" s="38">
        <f t="shared" si="385"/>
        <v>0</v>
      </c>
      <c r="CD431" s="38">
        <f t="shared" si="386"/>
        <v>1.8559379397128091</v>
      </c>
      <c r="CE431" s="38">
        <f t="shared" si="387"/>
        <v>2.9494948788732631</v>
      </c>
      <c r="CF431" s="38">
        <f t="shared" si="388"/>
        <v>2.6940556001423777</v>
      </c>
      <c r="CG431" s="38">
        <f t="shared" si="389"/>
        <v>7.9461031960197781</v>
      </c>
      <c r="CH431" s="15"/>
      <c r="CI431" s="16"/>
      <c r="CJ431" s="13"/>
      <c r="CK431" s="104"/>
      <c r="CL431" s="13"/>
      <c r="CM431" s="13"/>
      <c r="CN431" s="13"/>
      <c r="CO431" s="16"/>
      <c r="CP431" s="16"/>
      <c r="CQ431" s="16"/>
      <c r="CR431" s="16"/>
      <c r="CS431" s="16"/>
      <c r="CT431" s="16"/>
      <c r="CU431" s="16"/>
      <c r="CV431" s="16"/>
      <c r="CW431" s="16"/>
      <c r="CX431" s="16"/>
      <c r="CY431" s="104"/>
      <c r="CZ431" s="104"/>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3"/>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row>
    <row r="432" spans="1:167" x14ac:dyDescent="0.25">
      <c r="A432" s="35" t="s">
        <v>91</v>
      </c>
      <c r="B432" s="15">
        <v>1479</v>
      </c>
      <c r="C432" s="102" t="s">
        <v>96</v>
      </c>
      <c r="D432" s="102" t="s">
        <v>104</v>
      </c>
      <c r="E432" s="15">
        <v>486</v>
      </c>
      <c r="F432" s="16">
        <v>64.959999999999994</v>
      </c>
      <c r="G432" s="16">
        <v>0</v>
      </c>
      <c r="H432" s="16">
        <v>18.45</v>
      </c>
      <c r="I432" s="16">
        <v>0</v>
      </c>
      <c r="J432" s="44">
        <v>0.22700000000000001</v>
      </c>
      <c r="K432" s="16">
        <v>0</v>
      </c>
      <c r="L432" s="16">
        <v>0</v>
      </c>
      <c r="M432" s="16">
        <v>7.8E-2</v>
      </c>
      <c r="N432" s="16">
        <v>2.41</v>
      </c>
      <c r="O432" s="16">
        <v>14.01</v>
      </c>
      <c r="P432" s="16">
        <v>0</v>
      </c>
      <c r="Q432" s="16"/>
      <c r="R432" s="16"/>
      <c r="S432" s="16">
        <f t="shared" si="335"/>
        <v>100.13500000000001</v>
      </c>
      <c r="T432" s="16"/>
      <c r="U432" s="15"/>
      <c r="V432" s="15"/>
      <c r="W432" s="15"/>
      <c r="X432" s="15" t="s">
        <v>187</v>
      </c>
      <c r="Y432" s="15"/>
      <c r="Z432" s="37">
        <v>8</v>
      </c>
      <c r="AA432" s="37">
        <v>5</v>
      </c>
      <c r="AB432" s="15"/>
      <c r="AC432" s="38">
        <f t="shared" si="336"/>
        <v>2.9852942957568205</v>
      </c>
      <c r="AD432" s="38">
        <f t="shared" si="337"/>
        <v>0</v>
      </c>
      <c r="AE432" s="38">
        <f t="shared" si="338"/>
        <v>0.99923490950019322</v>
      </c>
      <c r="AF432" s="38">
        <f t="shared" si="339"/>
        <v>0</v>
      </c>
      <c r="AG432" s="38">
        <f t="shared" si="340"/>
        <v>8.723085787949985E-3</v>
      </c>
      <c r="AH432" s="38">
        <f t="shared" si="341"/>
        <v>0</v>
      </c>
      <c r="AI432" s="38">
        <f t="shared" si="342"/>
        <v>0</v>
      </c>
      <c r="AJ432" s="38">
        <f t="shared" si="343"/>
        <v>3.8402337190897909E-3</v>
      </c>
      <c r="AK432" s="38">
        <f t="shared" si="344"/>
        <v>0.21471704676835321</v>
      </c>
      <c r="AL432" s="38">
        <f t="shared" si="345"/>
        <v>0.82127440268970608</v>
      </c>
      <c r="AM432" s="38">
        <f t="shared" si="346"/>
        <v>0</v>
      </c>
      <c r="AN432" s="38">
        <f t="shared" si="347"/>
        <v>0</v>
      </c>
      <c r="AO432" s="38">
        <f t="shared" si="348"/>
        <v>0</v>
      </c>
      <c r="AP432" s="38">
        <f t="shared" si="349"/>
        <v>5.0330839742221132</v>
      </c>
      <c r="AQ432" s="38">
        <f t="shared" si="350"/>
        <v>3.9845292052570138</v>
      </c>
      <c r="AR432" s="38">
        <f t="shared" si="351"/>
        <v>1.039831683177149</v>
      </c>
      <c r="AS432" s="40"/>
      <c r="AT432" s="38">
        <f t="shared" si="352"/>
        <v>2.9656710587848001</v>
      </c>
      <c r="AU432" s="38">
        <f t="shared" si="353"/>
        <v>0</v>
      </c>
      <c r="AV432" s="38">
        <f t="shared" si="354"/>
        <v>0.99266663800759436</v>
      </c>
      <c r="AW432" s="38">
        <f t="shared" si="355"/>
        <v>0</v>
      </c>
      <c r="AX432" s="38">
        <f t="shared" si="356"/>
        <v>0</v>
      </c>
      <c r="AY432" s="38">
        <f t="shared" si="357"/>
        <v>8.665746322361112E-3</v>
      </c>
      <c r="AZ432" s="38">
        <f t="shared" si="358"/>
        <v>0</v>
      </c>
      <c r="BA432" s="38">
        <f t="shared" si="359"/>
        <v>0</v>
      </c>
      <c r="BB432" s="38">
        <f t="shared" si="360"/>
        <v>3.8149907082399891E-3</v>
      </c>
      <c r="BC432" s="38">
        <f t="shared" si="361"/>
        <v>0.21330564706258331</v>
      </c>
      <c r="BD432" s="38">
        <f t="shared" si="362"/>
        <v>0.81587591911442126</v>
      </c>
      <c r="BE432" s="38">
        <f t="shared" si="363"/>
        <v>0</v>
      </c>
      <c r="BF432" s="38">
        <f t="shared" si="364"/>
        <v>0</v>
      </c>
      <c r="BG432" s="38">
        <f t="shared" si="365"/>
        <v>0</v>
      </c>
      <c r="BH432" s="41">
        <f t="shared" si="366"/>
        <v>5</v>
      </c>
      <c r="BI432" s="42">
        <f t="shared" si="367"/>
        <v>7.9517464678612759</v>
      </c>
      <c r="BJ432" s="38">
        <f t="shared" si="368"/>
        <v>3.9583376967923947</v>
      </c>
      <c r="BK432" s="38">
        <f t="shared" si="369"/>
        <v>1.0329965568852446</v>
      </c>
      <c r="BL432" s="16"/>
      <c r="BM432" s="16">
        <f t="shared" si="370"/>
        <v>3.6931301298265564E-3</v>
      </c>
      <c r="BN432" s="16">
        <f t="shared" si="371"/>
        <v>0.20649211814002144</v>
      </c>
      <c r="BO432" s="16">
        <f t="shared" si="372"/>
        <v>0.78981475173015203</v>
      </c>
      <c r="BP432" s="15"/>
      <c r="BQ432" s="38">
        <f t="shared" si="373"/>
        <v>1.0812250332889479</v>
      </c>
      <c r="BR432" s="38">
        <f t="shared" si="374"/>
        <v>0</v>
      </c>
      <c r="BS432" s="38">
        <f t="shared" si="375"/>
        <v>0.36190663005100038</v>
      </c>
      <c r="BT432" s="38">
        <f t="shared" si="376"/>
        <v>0</v>
      </c>
      <c r="BU432" s="38">
        <f t="shared" si="377"/>
        <v>3.1593597773138487E-3</v>
      </c>
      <c r="BV432" s="38">
        <f t="shared" si="378"/>
        <v>0</v>
      </c>
      <c r="BW432" s="38">
        <f t="shared" si="379"/>
        <v>0</v>
      </c>
      <c r="BX432" s="38">
        <f t="shared" si="380"/>
        <v>1.3908701854493581E-3</v>
      </c>
      <c r="BY432" s="38">
        <f t="shared" si="381"/>
        <v>7.7767021619877391E-2</v>
      </c>
      <c r="BZ432" s="38">
        <f t="shared" si="382"/>
        <v>0.29745222929936305</v>
      </c>
      <c r="CA432" s="38">
        <f t="shared" si="383"/>
        <v>0</v>
      </c>
      <c r="CB432" s="38">
        <f t="shared" si="384"/>
        <v>0</v>
      </c>
      <c r="CC432" s="38">
        <f t="shared" si="385"/>
        <v>0</v>
      </c>
      <c r="CD432" s="38">
        <f t="shared" si="386"/>
        <v>1.8229011442219518</v>
      </c>
      <c r="CE432" s="38">
        <f t="shared" si="387"/>
        <v>2.8974698670767798</v>
      </c>
      <c r="CF432" s="38">
        <f t="shared" si="388"/>
        <v>2.7428804989499818</v>
      </c>
      <c r="CG432" s="38">
        <f t="shared" si="389"/>
        <v>7.9474135947000955</v>
      </c>
      <c r="CH432" s="15"/>
      <c r="CI432" s="16"/>
      <c r="CJ432" s="13"/>
      <c r="CK432" s="104"/>
      <c r="CL432" s="13"/>
      <c r="CM432" s="13"/>
      <c r="CN432" s="13"/>
      <c r="CO432" s="16"/>
      <c r="CP432" s="16"/>
      <c r="CQ432" s="16"/>
      <c r="CR432" s="16"/>
      <c r="CS432" s="16"/>
      <c r="CT432" s="16"/>
      <c r="CU432" s="16"/>
      <c r="CV432" s="16"/>
      <c r="CW432" s="16"/>
      <c r="CX432" s="16"/>
      <c r="CY432" s="104"/>
      <c r="CZ432" s="104"/>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3"/>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row>
    <row r="433" spans="1:167" x14ac:dyDescent="0.25">
      <c r="A433" s="35" t="s">
        <v>91</v>
      </c>
      <c r="B433" s="15">
        <v>1481</v>
      </c>
      <c r="C433" s="102" t="s">
        <v>96</v>
      </c>
      <c r="D433" s="102" t="s">
        <v>104</v>
      </c>
      <c r="E433" s="15">
        <v>488</v>
      </c>
      <c r="F433" s="16">
        <v>54.24</v>
      </c>
      <c r="G433" s="16">
        <v>0</v>
      </c>
      <c r="H433" s="16">
        <v>28.29</v>
      </c>
      <c r="I433" s="16">
        <v>0</v>
      </c>
      <c r="J433" s="44">
        <v>0.86699999999999999</v>
      </c>
      <c r="K433" s="16">
        <v>0</v>
      </c>
      <c r="L433" s="16">
        <v>0</v>
      </c>
      <c r="M433" s="16">
        <v>11.19</v>
      </c>
      <c r="N433" s="16">
        <v>5.49</v>
      </c>
      <c r="O433" s="16">
        <v>0.28899999999999998</v>
      </c>
      <c r="P433" s="16">
        <v>0</v>
      </c>
      <c r="Q433" s="16"/>
      <c r="R433" s="16"/>
      <c r="S433" s="16">
        <f t="shared" si="335"/>
        <v>100.366</v>
      </c>
      <c r="T433" s="16"/>
      <c r="U433" s="15"/>
      <c r="V433" s="15"/>
      <c r="W433" s="15"/>
      <c r="X433" s="15" t="s">
        <v>185</v>
      </c>
      <c r="Y433" s="15"/>
      <c r="Z433" s="37">
        <v>8</v>
      </c>
      <c r="AA433" s="37">
        <v>5</v>
      </c>
      <c r="AB433" s="15"/>
      <c r="AC433" s="38">
        <f t="shared" si="336"/>
        <v>2.4555646109196347</v>
      </c>
      <c r="AD433" s="38">
        <f t="shared" si="337"/>
        <v>0</v>
      </c>
      <c r="AE433" s="38">
        <f t="shared" si="338"/>
        <v>1.5093665644526648</v>
      </c>
      <c r="AF433" s="38">
        <f t="shared" si="339"/>
        <v>0</v>
      </c>
      <c r="AG433" s="38">
        <f t="shared" si="340"/>
        <v>3.2821160578478184E-2</v>
      </c>
      <c r="AH433" s="38">
        <f t="shared" si="341"/>
        <v>0</v>
      </c>
      <c r="AI433" s="38">
        <f t="shared" si="342"/>
        <v>0</v>
      </c>
      <c r="AJ433" s="38">
        <f t="shared" si="343"/>
        <v>0.54272982773080236</v>
      </c>
      <c r="AK433" s="38">
        <f t="shared" si="344"/>
        <v>0.48185057008472348</v>
      </c>
      <c r="AL433" s="38">
        <f t="shared" si="345"/>
        <v>1.668931626018158E-2</v>
      </c>
      <c r="AM433" s="38">
        <f t="shared" si="346"/>
        <v>0</v>
      </c>
      <c r="AN433" s="38">
        <f t="shared" si="347"/>
        <v>0</v>
      </c>
      <c r="AO433" s="38">
        <f t="shared" si="348"/>
        <v>0</v>
      </c>
      <c r="AP433" s="38">
        <f t="shared" si="349"/>
        <v>5.0390220500264853</v>
      </c>
      <c r="AQ433" s="38">
        <f t="shared" si="350"/>
        <v>3.9649311753722998</v>
      </c>
      <c r="AR433" s="38">
        <f t="shared" si="351"/>
        <v>1.0412697140757075</v>
      </c>
      <c r="AS433" s="40"/>
      <c r="AT433" s="38">
        <f t="shared" si="352"/>
        <v>2.4365487852020098</v>
      </c>
      <c r="AU433" s="38">
        <f t="shared" si="353"/>
        <v>0</v>
      </c>
      <c r="AV433" s="38">
        <f t="shared" si="354"/>
        <v>1.4976780707327244</v>
      </c>
      <c r="AW433" s="38">
        <f t="shared" si="355"/>
        <v>0</v>
      </c>
      <c r="AX433" s="38">
        <f t="shared" si="356"/>
        <v>0</v>
      </c>
      <c r="AY433" s="38">
        <f t="shared" si="357"/>
        <v>3.2566994401528444E-2</v>
      </c>
      <c r="AZ433" s="38">
        <f t="shared" si="358"/>
        <v>0</v>
      </c>
      <c r="BA433" s="38">
        <f t="shared" si="359"/>
        <v>0</v>
      </c>
      <c r="BB433" s="38">
        <f t="shared" si="360"/>
        <v>0.53852694267129653</v>
      </c>
      <c r="BC433" s="38">
        <f t="shared" si="361"/>
        <v>0.47811913234452996</v>
      </c>
      <c r="BD433" s="38">
        <f t="shared" si="362"/>
        <v>1.6560074647910959E-2</v>
      </c>
      <c r="BE433" s="38">
        <f t="shared" si="363"/>
        <v>0</v>
      </c>
      <c r="BF433" s="38">
        <f t="shared" si="364"/>
        <v>0</v>
      </c>
      <c r="BG433" s="38">
        <f t="shared" si="365"/>
        <v>0</v>
      </c>
      <c r="BH433" s="41">
        <f t="shared" si="366"/>
        <v>5</v>
      </c>
      <c r="BI433" s="42">
        <f t="shared" si="367"/>
        <v>7.9543317142729162</v>
      </c>
      <c r="BJ433" s="38">
        <f t="shared" si="368"/>
        <v>3.9342268559347344</v>
      </c>
      <c r="BK433" s="38">
        <f t="shared" si="369"/>
        <v>1.0332061496637375</v>
      </c>
      <c r="BL433" s="16"/>
      <c r="BM433" s="16">
        <f t="shared" si="370"/>
        <v>0.52121925798308788</v>
      </c>
      <c r="BN433" s="16">
        <f t="shared" si="371"/>
        <v>0.46275289060187691</v>
      </c>
      <c r="BO433" s="16">
        <f t="shared" si="372"/>
        <v>1.6027851415035155E-2</v>
      </c>
      <c r="BP433" s="15"/>
      <c r="BQ433" s="38">
        <f t="shared" si="373"/>
        <v>0.90279627163781628</v>
      </c>
      <c r="BR433" s="38">
        <f t="shared" si="374"/>
        <v>0</v>
      </c>
      <c r="BS433" s="38">
        <f t="shared" si="375"/>
        <v>0.55492349941153396</v>
      </c>
      <c r="BT433" s="38">
        <f t="shared" si="376"/>
        <v>0</v>
      </c>
      <c r="BU433" s="38">
        <f t="shared" si="377"/>
        <v>1.2066805845511484E-2</v>
      </c>
      <c r="BV433" s="38">
        <f t="shared" si="378"/>
        <v>0</v>
      </c>
      <c r="BW433" s="38">
        <f t="shared" si="379"/>
        <v>0</v>
      </c>
      <c r="BX433" s="38">
        <f t="shared" si="380"/>
        <v>0.19953637660485021</v>
      </c>
      <c r="BY433" s="38">
        <f t="shared" si="381"/>
        <v>0.17715392061955471</v>
      </c>
      <c r="BZ433" s="38">
        <f t="shared" si="382"/>
        <v>6.13588110403397E-3</v>
      </c>
      <c r="CA433" s="38">
        <f t="shared" si="383"/>
        <v>0</v>
      </c>
      <c r="CB433" s="38">
        <f t="shared" si="384"/>
        <v>0</v>
      </c>
      <c r="CC433" s="38">
        <f t="shared" si="385"/>
        <v>0</v>
      </c>
      <c r="CD433" s="38">
        <f t="shared" si="386"/>
        <v>1.8526127552233005</v>
      </c>
      <c r="CE433" s="38">
        <f t="shared" si="387"/>
        <v>2.94122587570509</v>
      </c>
      <c r="CF433" s="38">
        <f t="shared" si="388"/>
        <v>2.6988910585349695</v>
      </c>
      <c r="CG433" s="38">
        <f t="shared" si="389"/>
        <v>7.9380482170721525</v>
      </c>
      <c r="CH433" s="15"/>
      <c r="CI433" s="16"/>
      <c r="CJ433" s="13"/>
      <c r="CK433" s="104"/>
      <c r="CL433" s="13"/>
      <c r="CM433" s="13"/>
      <c r="CN433" s="13"/>
      <c r="CO433" s="16"/>
      <c r="CP433" s="16"/>
      <c r="CQ433" s="16"/>
      <c r="CR433" s="16"/>
      <c r="CS433" s="16"/>
      <c r="CT433" s="16"/>
      <c r="CU433" s="16"/>
      <c r="CV433" s="16"/>
      <c r="CW433" s="16"/>
      <c r="CX433" s="16"/>
      <c r="CY433" s="104"/>
      <c r="CZ433" s="104"/>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3"/>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row>
    <row r="434" spans="1:167" x14ac:dyDescent="0.25">
      <c r="A434" s="35" t="s">
        <v>91</v>
      </c>
      <c r="B434" s="15">
        <v>1482</v>
      </c>
      <c r="C434" s="102" t="s">
        <v>96</v>
      </c>
      <c r="D434" s="102" t="s">
        <v>104</v>
      </c>
      <c r="E434" s="15">
        <v>489</v>
      </c>
      <c r="F434" s="16">
        <v>54.2</v>
      </c>
      <c r="G434" s="16">
        <v>0</v>
      </c>
      <c r="H434" s="16">
        <v>28.42</v>
      </c>
      <c r="I434" s="16">
        <v>0</v>
      </c>
      <c r="J434" s="44">
        <v>0.78900000000000003</v>
      </c>
      <c r="K434" s="16">
        <v>0</v>
      </c>
      <c r="L434" s="16">
        <v>0</v>
      </c>
      <c r="M434" s="16">
        <v>11.18</v>
      </c>
      <c r="N434" s="16">
        <v>5.4</v>
      </c>
      <c r="O434" s="16">
        <v>0.28399999999999997</v>
      </c>
      <c r="P434" s="16">
        <v>0</v>
      </c>
      <c r="Q434" s="16"/>
      <c r="R434" s="16"/>
      <c r="S434" s="16">
        <f t="shared" ref="S434:S476" si="391">SUM(F434:R434)</f>
        <v>100.27300000000001</v>
      </c>
      <c r="T434" s="16"/>
      <c r="U434" s="15"/>
      <c r="V434" s="15"/>
      <c r="W434" s="15"/>
      <c r="X434" s="15" t="s">
        <v>185</v>
      </c>
      <c r="Y434" s="15"/>
      <c r="Z434" s="37">
        <v>8</v>
      </c>
      <c r="AA434" s="37">
        <v>5</v>
      </c>
      <c r="AB434" s="15"/>
      <c r="AC434" s="38">
        <f t="shared" ref="AC434:AC476" si="392">BQ434*($Z434/$CE434)</f>
        <v>2.4539836668300983</v>
      </c>
      <c r="AD434" s="38">
        <f t="shared" ref="AD434:AD476" si="393">BR434*($Z434/$CE434)</f>
        <v>0</v>
      </c>
      <c r="AE434" s="38">
        <f t="shared" ref="AE434:AE476" si="394">BS434*($Z434/$CE434)</f>
        <v>1.5164445958633617</v>
      </c>
      <c r="AF434" s="38">
        <f t="shared" ref="AF434:AF476" si="395">BT434*($Z434/$CE434)</f>
        <v>0</v>
      </c>
      <c r="AG434" s="38">
        <f t="shared" ref="AG434:AG476" si="396">BU434*($Z434/$CE434)</f>
        <v>2.9871190810289779E-2</v>
      </c>
      <c r="AH434" s="38">
        <f t="shared" ref="AH434:AH476" si="397">BV434*($Z434/$CE434)</f>
        <v>0</v>
      </c>
      <c r="AI434" s="38">
        <f t="shared" ref="AI434:AI476" si="398">BW434*($Z434/$CE434)</f>
        <v>0</v>
      </c>
      <c r="AJ434" s="38">
        <f t="shared" ref="AJ434:AJ476" si="399">BX434*($Z434/$CE434)</f>
        <v>0.54229562890561012</v>
      </c>
      <c r="AK434" s="38">
        <f t="shared" ref="AK434:AK476" si="400">BY434*($Z434/$CE434)</f>
        <v>0.47399579497553812</v>
      </c>
      <c r="AL434" s="38">
        <f t="shared" ref="AL434:AL476" si="401">BZ434*($Z434/$CE434)</f>
        <v>1.6402110682184896E-2</v>
      </c>
      <c r="AM434" s="38">
        <f t="shared" ref="AM434:AM476" si="402">CA434*($Z434/$CE434)</f>
        <v>0</v>
      </c>
      <c r="AN434" s="38">
        <f t="shared" ref="AN434:AN476" si="403">CB434*($Z434/$CE434)</f>
        <v>0</v>
      </c>
      <c r="AO434" s="38">
        <f t="shared" ref="AO434:AO476" si="404">CC434*($Z434/$CE434)</f>
        <v>0</v>
      </c>
      <c r="AP434" s="38">
        <f t="shared" ref="AP434:AP476" si="405">SUM(AC434:AN434)</f>
        <v>5.0329929880670834</v>
      </c>
      <c r="AQ434" s="38">
        <f t="shared" ref="AQ434:AQ476" si="406">AC434+AE434</f>
        <v>3.9704282626934599</v>
      </c>
      <c r="AR434" s="38">
        <f t="shared" ref="AR434:AR476" si="407">SUM(AJ434:AL434)</f>
        <v>1.0326935345633332</v>
      </c>
      <c r="AS434" s="40"/>
      <c r="AT434" s="38">
        <f t="shared" ref="AT434:AT476" si="408">IF($AA434&gt;0,BQ434*$CF434,"")</f>
        <v>2.4378969657302747</v>
      </c>
      <c r="AU434" s="38">
        <f t="shared" ref="AU434:AU476" si="409">IF($AA434&gt;0,BR434*$CF434,"")</f>
        <v>0</v>
      </c>
      <c r="AV434" s="38">
        <f t="shared" ref="AV434:AV476" si="410">IF($AA434&gt;0,BS434*$CF434,"")</f>
        <v>1.5065037835923463</v>
      </c>
      <c r="AW434" s="38">
        <f t="shared" ref="AW434:AW476" si="411">IF($AA434&gt;0,BT434*$CF434,"")</f>
        <v>0</v>
      </c>
      <c r="AX434" s="38">
        <f t="shared" ref="AX434:AX476" si="412">IF($AA434&gt;0 +N("so a blank cell if no ideal cations set"),                         BU434*CF434-AY434,"")</f>
        <v>0</v>
      </c>
      <c r="AY434" s="38">
        <f t="shared" ref="AY434:AY476" si="413">IF($AA434&gt;0 +N("so a blank cell if no ideal cations set"),                                                                     IF(AP434&gt;AA434,                          IF(  2*Z434*(1-(AA434/AP434))   &lt;   BU434*CF434,    2*Z434*(1-(AA434/AP434)),    BU434*CF434),0),"")</f>
        <v>2.9675374951954568E-2</v>
      </c>
      <c r="AZ434" s="38">
        <f t="shared" ref="AZ434:AZ476" si="414">IF($AA434&gt;0,BV434*$CF434,"")</f>
        <v>0</v>
      </c>
      <c r="BA434" s="38">
        <f t="shared" ref="BA434:BA476" si="415">IF($AA434&gt;0,BW434*$CF434,"")</f>
        <v>0</v>
      </c>
      <c r="BB434" s="38">
        <f t="shared" ref="BB434:BB476" si="416">IF($AA434&gt;0,BX434*$CF434,"")</f>
        <v>0.53874069583581752</v>
      </c>
      <c r="BC434" s="38">
        <f t="shared" ref="BC434:BC476" si="417">IF($AA434&gt;0,BY434*$CF434,"")</f>
        <v>0.47088859064512212</v>
      </c>
      <c r="BD434" s="38">
        <f t="shared" ref="BD434:BD476" si="418">IF($AA434&gt;0,BZ434*$CF434,"")</f>
        <v>1.6294589244484636E-2</v>
      </c>
      <c r="BE434" s="38">
        <f t="shared" ref="BE434:BE476" si="419">IF($AA434&gt;0,CA434*$CF434,"")</f>
        <v>0</v>
      </c>
      <c r="BF434" s="38">
        <f t="shared" ref="BF434:BF476" si="420">IF($AA434&gt;0,CB434*$CF434,"")</f>
        <v>0</v>
      </c>
      <c r="BG434" s="38">
        <f t="shared" ref="BG434:BG476" si="421">IF($AA434&gt;0,CC434*$CF434,"")</f>
        <v>0</v>
      </c>
      <c r="BH434" s="41">
        <f t="shared" ref="BH434:BH476" si="422">IF(AA434&gt;0,SUM(AT434:BF434),"")</f>
        <v>5</v>
      </c>
      <c r="BI434" s="42">
        <f t="shared" ref="BI434:BI476" si="423">(AT434+AU434)*2+(AV434+AW434+AY434)*1.5+AX434+AZ434+BA434+BB434+(BC434+BD434)*0.5+BE434*2.5+BF434*3  -(0.5*(BG434))</f>
        <v>7.9623949550576212</v>
      </c>
      <c r="BJ434" s="38">
        <f t="shared" ref="BJ434:BJ476" si="424">IF(AA434&gt;0,AT434+AV434,"")</f>
        <v>3.9444007493226207</v>
      </c>
      <c r="BK434" s="38">
        <f t="shared" ref="BK434:BK476" si="425">IF(AA434&gt;0,SUM(BB434:BD434),"")</f>
        <v>1.0259238757254243</v>
      </c>
      <c r="BL434" s="16"/>
      <c r="BM434" s="16">
        <f t="shared" ref="BM434:BM476" si="426">AJ434/(AJ434+AK434+AL434)</f>
        <v>0.5251273594299356</v>
      </c>
      <c r="BN434" s="16">
        <f t="shared" ref="BN434:BN476" si="427">AK434/(AK434+AJ434+AL434)</f>
        <v>0.45898979620896313</v>
      </c>
      <c r="BO434" s="16">
        <f t="shared" ref="BO434:BO476" si="428">AL434/(AJ434+AK434+AL434)</f>
        <v>1.5882844361101191E-2</v>
      </c>
      <c r="BP434" s="15"/>
      <c r="BQ434" s="38">
        <f t="shared" ref="BQ434:BQ476" si="429">F434/60.08</f>
        <v>0.90213049267643153</v>
      </c>
      <c r="BR434" s="38">
        <f t="shared" ref="BR434:BR476" si="430">G434/79.88</f>
        <v>0</v>
      </c>
      <c r="BS434" s="38">
        <f t="shared" ref="BS434:BS476" si="431">H434/101.96*2</f>
        <v>0.55747351902706954</v>
      </c>
      <c r="BT434" s="38">
        <f t="shared" ref="BT434:BT476" si="432">I434/151.99*2</f>
        <v>0</v>
      </c>
      <c r="BU434" s="38">
        <f t="shared" ref="BU434:BU476" si="433">J434/71.85</f>
        <v>1.0981210855949898E-2</v>
      </c>
      <c r="BV434" s="38">
        <f t="shared" ref="BV434:BV476" si="434">K434/70.94</f>
        <v>0</v>
      </c>
      <c r="BW434" s="38">
        <f t="shared" ref="BW434:BW476" si="435">L434/40.3</f>
        <v>0</v>
      </c>
      <c r="BX434" s="38">
        <f t="shared" ref="BX434:BX476" si="436">M434/56.08</f>
        <v>0.199358059914408</v>
      </c>
      <c r="BY434" s="38">
        <f t="shared" ref="BY434:BY476" si="437">N434/61.98*2</f>
        <v>0.17424975798644726</v>
      </c>
      <c r="BZ434" s="38">
        <f t="shared" ref="BZ434:BZ476" si="438">O434/94.2*2</f>
        <v>6.0297239915074307E-3</v>
      </c>
      <c r="CA434" s="38">
        <f t="shared" ref="CA434:CA476" si="439">P434/141.94*2</f>
        <v>0</v>
      </c>
      <c r="CB434" s="38">
        <f t="shared" ref="CB434:CB476" si="440">Q434/80.06</f>
        <v>0</v>
      </c>
      <c r="CC434" s="38">
        <f t="shared" ref="CC434:CC476" si="441">R434/35.45</f>
        <v>0</v>
      </c>
      <c r="CD434" s="38">
        <f t="shared" ref="CD434:CD476" si="442">SUM(BQ434:CB434)</f>
        <v>1.8502227644518137</v>
      </c>
      <c r="CE434" s="38">
        <f t="shared" ref="CE434:CE476" si="443">(BQ434+BR434)*2+(BS434+BT434)*1.5+BU434+BV434+BW434+BX434+(BY434+BZ434)*0.5+CA434*2.5+CB434*3+     -(0.5*(CC434))</f>
        <v>2.9409502756528023</v>
      </c>
      <c r="CF434" s="38">
        <f t="shared" ref="CF434:CF476" si="444">AA434/CD434</f>
        <v>2.7023773007578393</v>
      </c>
      <c r="CG434" s="38">
        <f t="shared" ref="CG434:CG476" si="445">CE434*CF434</f>
        <v>7.9475572675816437</v>
      </c>
      <c r="CH434" s="15"/>
      <c r="CI434" s="16"/>
      <c r="CJ434" s="13"/>
      <c r="CK434" s="104"/>
      <c r="CL434" s="13"/>
      <c r="CM434" s="13"/>
      <c r="CN434" s="13"/>
      <c r="CO434" s="16"/>
      <c r="CP434" s="16"/>
      <c r="CQ434" s="16"/>
      <c r="CR434" s="16"/>
      <c r="CS434" s="16"/>
      <c r="CT434" s="16"/>
      <c r="CU434" s="16"/>
      <c r="CV434" s="16"/>
      <c r="CW434" s="16"/>
      <c r="CX434" s="16"/>
      <c r="CY434" s="104"/>
      <c r="CZ434" s="104"/>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3"/>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row>
    <row r="435" spans="1:167" x14ac:dyDescent="0.25">
      <c r="A435" s="35" t="s">
        <v>91</v>
      </c>
      <c r="B435" s="15">
        <v>1483</v>
      </c>
      <c r="C435" s="102" t="s">
        <v>96</v>
      </c>
      <c r="D435" s="102" t="s">
        <v>104</v>
      </c>
      <c r="E435" s="15">
        <v>490</v>
      </c>
      <c r="F435" s="16">
        <v>45.32</v>
      </c>
      <c r="G435" s="16">
        <v>0</v>
      </c>
      <c r="H435" s="16">
        <v>34.81</v>
      </c>
      <c r="I435" s="16">
        <v>0</v>
      </c>
      <c r="J435" s="44">
        <v>0.56999999999999995</v>
      </c>
      <c r="K435" s="16">
        <v>0</v>
      </c>
      <c r="L435" s="16">
        <v>0</v>
      </c>
      <c r="M435" s="16">
        <v>18.28</v>
      </c>
      <c r="N435" s="16">
        <v>1.1200000000000001</v>
      </c>
      <c r="O435" s="16">
        <v>4.5999999999999999E-2</v>
      </c>
      <c r="P435" s="16">
        <v>0</v>
      </c>
      <c r="Q435" s="16"/>
      <c r="R435" s="16"/>
      <c r="S435" s="16">
        <f t="shared" si="391"/>
        <v>100.146</v>
      </c>
      <c r="T435" s="16"/>
      <c r="U435" s="15">
        <v>1</v>
      </c>
      <c r="V435" s="15">
        <v>1</v>
      </c>
      <c r="W435" s="15">
        <v>0</v>
      </c>
      <c r="X435" s="15" t="s">
        <v>185</v>
      </c>
      <c r="Y435" s="15"/>
      <c r="Z435" s="37">
        <v>8</v>
      </c>
      <c r="AA435" s="37">
        <v>5</v>
      </c>
      <c r="AB435" s="15"/>
      <c r="AC435" s="38">
        <f t="shared" si="392"/>
        <v>2.0914799591617044</v>
      </c>
      <c r="AD435" s="38">
        <f t="shared" si="393"/>
        <v>0</v>
      </c>
      <c r="AE435" s="38">
        <f t="shared" si="394"/>
        <v>1.8932062190490091</v>
      </c>
      <c r="AF435" s="38">
        <f t="shared" si="395"/>
        <v>0</v>
      </c>
      <c r="AG435" s="38">
        <f t="shared" si="396"/>
        <v>2.1995903894571737E-2</v>
      </c>
      <c r="AH435" s="38">
        <f t="shared" si="397"/>
        <v>0</v>
      </c>
      <c r="AI435" s="38">
        <f t="shared" si="398"/>
        <v>0</v>
      </c>
      <c r="AJ435" s="38">
        <f t="shared" si="399"/>
        <v>0.90377831485724103</v>
      </c>
      <c r="AK435" s="38">
        <f t="shared" si="400"/>
        <v>0.10020518096975124</v>
      </c>
      <c r="AL435" s="38">
        <f t="shared" si="401"/>
        <v>2.7078877327801633E-3</v>
      </c>
      <c r="AM435" s="38">
        <f t="shared" si="402"/>
        <v>0</v>
      </c>
      <c r="AN435" s="38">
        <f t="shared" si="403"/>
        <v>0</v>
      </c>
      <c r="AO435" s="38">
        <f t="shared" si="404"/>
        <v>0</v>
      </c>
      <c r="AP435" s="38">
        <f t="shared" si="405"/>
        <v>5.0133734656650573</v>
      </c>
      <c r="AQ435" s="38">
        <f t="shared" si="406"/>
        <v>3.9846861782107137</v>
      </c>
      <c r="AR435" s="38">
        <f t="shared" si="407"/>
        <v>1.0066913835597724</v>
      </c>
      <c r="AS435" s="40"/>
      <c r="AT435" s="38">
        <f t="shared" si="408"/>
        <v>2.0859008145768128</v>
      </c>
      <c r="AU435" s="38">
        <f t="shared" si="409"/>
        <v>0</v>
      </c>
      <c r="AV435" s="38">
        <f t="shared" si="410"/>
        <v>1.8881559812120066</v>
      </c>
      <c r="AW435" s="38">
        <f t="shared" si="411"/>
        <v>0</v>
      </c>
      <c r="AX435" s="38">
        <f t="shared" si="412"/>
        <v>0</v>
      </c>
      <c r="AY435" s="38">
        <f t="shared" si="413"/>
        <v>2.1937228540038392E-2</v>
      </c>
      <c r="AZ435" s="38">
        <f t="shared" si="414"/>
        <v>0</v>
      </c>
      <c r="BA435" s="38">
        <f t="shared" si="415"/>
        <v>0</v>
      </c>
      <c r="BB435" s="38">
        <f t="shared" si="416"/>
        <v>0.90136743357234483</v>
      </c>
      <c r="BC435" s="38">
        <f t="shared" si="417"/>
        <v>9.9937877814233758E-2</v>
      </c>
      <c r="BD435" s="38">
        <f t="shared" si="418"/>
        <v>2.7006642845636714E-3</v>
      </c>
      <c r="BE435" s="38">
        <f t="shared" si="419"/>
        <v>0</v>
      </c>
      <c r="BF435" s="38">
        <f t="shared" si="420"/>
        <v>0</v>
      </c>
      <c r="BG435" s="38">
        <f t="shared" si="421"/>
        <v>0</v>
      </c>
      <c r="BH435" s="41">
        <f t="shared" si="422"/>
        <v>4.9999999999999991</v>
      </c>
      <c r="BI435" s="42">
        <f t="shared" si="423"/>
        <v>7.9896281484034359</v>
      </c>
      <c r="BJ435" s="38">
        <f t="shared" si="424"/>
        <v>3.9740567957888193</v>
      </c>
      <c r="BK435" s="38">
        <f t="shared" si="425"/>
        <v>1.0040059756711424</v>
      </c>
      <c r="BL435" s="16"/>
      <c r="BM435" s="16">
        <f t="shared" si="426"/>
        <v>0.89777098484878326</v>
      </c>
      <c r="BN435" s="16">
        <f t="shared" si="427"/>
        <v>9.9539126495167371E-2</v>
      </c>
      <c r="BO435" s="16">
        <f t="shared" si="428"/>
        <v>2.6898886560494557E-3</v>
      </c>
      <c r="BP435" s="15"/>
      <c r="BQ435" s="38">
        <f t="shared" si="429"/>
        <v>0.75432756324900141</v>
      </c>
      <c r="BR435" s="38">
        <f t="shared" si="430"/>
        <v>0</v>
      </c>
      <c r="BS435" s="38">
        <f t="shared" si="431"/>
        <v>0.68281679089839165</v>
      </c>
      <c r="BT435" s="38">
        <f t="shared" si="432"/>
        <v>0</v>
      </c>
      <c r="BU435" s="38">
        <f t="shared" si="433"/>
        <v>7.9331941544885185E-3</v>
      </c>
      <c r="BV435" s="38">
        <f t="shared" si="434"/>
        <v>0</v>
      </c>
      <c r="BW435" s="38">
        <f t="shared" si="435"/>
        <v>0</v>
      </c>
      <c r="BX435" s="38">
        <f t="shared" si="436"/>
        <v>0.32596291012838807</v>
      </c>
      <c r="BY435" s="38">
        <f t="shared" si="437"/>
        <v>3.6140690545337209E-2</v>
      </c>
      <c r="BZ435" s="38">
        <f t="shared" si="438"/>
        <v>9.766454352441614E-4</v>
      </c>
      <c r="CA435" s="38">
        <f t="shared" si="439"/>
        <v>0</v>
      </c>
      <c r="CB435" s="38">
        <f t="shared" si="440"/>
        <v>0</v>
      </c>
      <c r="CC435" s="38">
        <f t="shared" si="441"/>
        <v>0</v>
      </c>
      <c r="CD435" s="38">
        <f t="shared" si="442"/>
        <v>1.8081577944108511</v>
      </c>
      <c r="CE435" s="38">
        <f t="shared" si="443"/>
        <v>2.8853350851187574</v>
      </c>
      <c r="CF435" s="38">
        <f t="shared" si="444"/>
        <v>2.7652453870206286</v>
      </c>
      <c r="CG435" s="38">
        <f t="shared" si="445"/>
        <v>7.978659534133417</v>
      </c>
      <c r="CH435" s="15"/>
      <c r="CI435" s="16"/>
      <c r="CJ435" s="13"/>
      <c r="CK435" s="104"/>
      <c r="CL435" s="13"/>
      <c r="CM435" s="13"/>
      <c r="CN435" s="13"/>
      <c r="CO435" s="16"/>
      <c r="CP435" s="16"/>
      <c r="CQ435" s="16"/>
      <c r="CR435" s="16"/>
      <c r="CS435" s="16"/>
      <c r="CT435" s="16"/>
      <c r="CU435" s="16"/>
      <c r="CV435" s="16"/>
      <c r="CW435" s="16"/>
      <c r="CX435" s="16"/>
      <c r="CY435" s="104"/>
      <c r="CZ435" s="104"/>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3"/>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row>
    <row r="436" spans="1:167" x14ac:dyDescent="0.25">
      <c r="A436" s="35" t="s">
        <v>91</v>
      </c>
      <c r="B436" s="15">
        <v>1484</v>
      </c>
      <c r="C436" s="102" t="s">
        <v>96</v>
      </c>
      <c r="D436" s="102" t="s">
        <v>104</v>
      </c>
      <c r="E436" s="15">
        <v>491</v>
      </c>
      <c r="F436" s="16">
        <v>45.57</v>
      </c>
      <c r="G436" s="16">
        <v>0</v>
      </c>
      <c r="H436" s="16">
        <v>34.36</v>
      </c>
      <c r="I436" s="16">
        <v>0</v>
      </c>
      <c r="J436" s="44">
        <v>0.59</v>
      </c>
      <c r="K436" s="16">
        <v>0</v>
      </c>
      <c r="L436" s="16">
        <v>0</v>
      </c>
      <c r="M436" s="16">
        <v>17.73</v>
      </c>
      <c r="N436" s="16">
        <v>1.4</v>
      </c>
      <c r="O436" s="16">
        <v>4.3999999999999997E-2</v>
      </c>
      <c r="P436" s="16">
        <v>0</v>
      </c>
      <c r="Q436" s="16"/>
      <c r="R436" s="16"/>
      <c r="S436" s="16">
        <f t="shared" si="391"/>
        <v>99.694000000000017</v>
      </c>
      <c r="T436" s="16"/>
      <c r="U436" s="15">
        <v>1</v>
      </c>
      <c r="V436" s="15">
        <v>2</v>
      </c>
      <c r="W436" s="15">
        <v>21.2</v>
      </c>
      <c r="X436" s="15" t="s">
        <v>185</v>
      </c>
      <c r="Y436" s="15"/>
      <c r="Z436" s="37">
        <v>8</v>
      </c>
      <c r="AA436" s="37">
        <v>5</v>
      </c>
      <c r="AB436" s="15"/>
      <c r="AC436" s="38">
        <f t="shared" si="392"/>
        <v>2.1102952437407589</v>
      </c>
      <c r="AD436" s="38">
        <f t="shared" si="393"/>
        <v>0</v>
      </c>
      <c r="AE436" s="38">
        <f t="shared" si="394"/>
        <v>1.8751993316607583</v>
      </c>
      <c r="AF436" s="38">
        <f t="shared" si="395"/>
        <v>0</v>
      </c>
      <c r="AG436" s="38">
        <f t="shared" si="396"/>
        <v>2.2846483035475464E-2</v>
      </c>
      <c r="AH436" s="38">
        <f t="shared" si="397"/>
        <v>0</v>
      </c>
      <c r="AI436" s="38">
        <f t="shared" si="398"/>
        <v>0</v>
      </c>
      <c r="AJ436" s="38">
        <f t="shared" si="399"/>
        <v>0.87961949521669147</v>
      </c>
      <c r="AK436" s="38">
        <f t="shared" si="400"/>
        <v>0.1256899562208956</v>
      </c>
      <c r="AL436" s="38">
        <f t="shared" si="401"/>
        <v>2.5991173294595753E-3</v>
      </c>
      <c r="AM436" s="38">
        <f t="shared" si="402"/>
        <v>0</v>
      </c>
      <c r="AN436" s="38">
        <f t="shared" si="403"/>
        <v>0</v>
      </c>
      <c r="AO436" s="38">
        <f t="shared" si="404"/>
        <v>0</v>
      </c>
      <c r="AP436" s="38">
        <f t="shared" si="405"/>
        <v>5.01624962720404</v>
      </c>
      <c r="AQ436" s="38">
        <f t="shared" si="406"/>
        <v>3.9854945754015172</v>
      </c>
      <c r="AR436" s="38">
        <f t="shared" si="407"/>
        <v>1.0079085687670466</v>
      </c>
      <c r="AS436" s="40"/>
      <c r="AT436" s="38">
        <f t="shared" si="408"/>
        <v>2.1034591583084716</v>
      </c>
      <c r="AU436" s="38">
        <f t="shared" si="409"/>
        <v>0</v>
      </c>
      <c r="AV436" s="38">
        <f t="shared" si="410"/>
        <v>1.8691248153712379</v>
      </c>
      <c r="AW436" s="38">
        <f t="shared" si="411"/>
        <v>0</v>
      </c>
      <c r="AX436" s="38">
        <f t="shared" si="412"/>
        <v>0</v>
      </c>
      <c r="AY436" s="38">
        <f t="shared" si="413"/>
        <v>2.2772474192247934E-2</v>
      </c>
      <c r="AZ436" s="38">
        <f t="shared" si="414"/>
        <v>0</v>
      </c>
      <c r="BA436" s="38">
        <f t="shared" si="415"/>
        <v>0</v>
      </c>
      <c r="BB436" s="38">
        <f t="shared" si="416"/>
        <v>0.87677005789978424</v>
      </c>
      <c r="BC436" s="38">
        <f t="shared" si="417"/>
        <v>0.12528279647334131</v>
      </c>
      <c r="BD436" s="38">
        <f t="shared" si="418"/>
        <v>2.5906977549164283E-3</v>
      </c>
      <c r="BE436" s="38">
        <f t="shared" si="419"/>
        <v>0</v>
      </c>
      <c r="BF436" s="38">
        <f t="shared" si="420"/>
        <v>0</v>
      </c>
      <c r="BG436" s="38">
        <f t="shared" si="421"/>
        <v>0</v>
      </c>
      <c r="BH436" s="41">
        <f t="shared" si="422"/>
        <v>4.9999999999999991</v>
      </c>
      <c r="BI436" s="42">
        <f t="shared" si="423"/>
        <v>7.9854710559760846</v>
      </c>
      <c r="BJ436" s="38">
        <f t="shared" si="424"/>
        <v>3.9725839736797095</v>
      </c>
      <c r="BK436" s="38">
        <f t="shared" si="425"/>
        <v>1.0046435521280419</v>
      </c>
      <c r="BL436" s="16"/>
      <c r="BM436" s="16">
        <f t="shared" si="426"/>
        <v>0.87271754847040495</v>
      </c>
      <c r="BN436" s="16">
        <f t="shared" si="427"/>
        <v>0.12470372821083314</v>
      </c>
      <c r="BO436" s="16">
        <f t="shared" si="428"/>
        <v>2.5787233187619597E-3</v>
      </c>
      <c r="BP436" s="15"/>
      <c r="BQ436" s="38">
        <f t="shared" si="429"/>
        <v>0.75848868175765649</v>
      </c>
      <c r="BR436" s="38">
        <f t="shared" si="430"/>
        <v>0</v>
      </c>
      <c r="BS436" s="38">
        <f t="shared" si="431"/>
        <v>0.67398979992153785</v>
      </c>
      <c r="BT436" s="38">
        <f t="shared" si="432"/>
        <v>0</v>
      </c>
      <c r="BU436" s="38">
        <f t="shared" si="433"/>
        <v>8.2115518441196935E-3</v>
      </c>
      <c r="BV436" s="38">
        <f t="shared" si="434"/>
        <v>0</v>
      </c>
      <c r="BW436" s="38">
        <f t="shared" si="435"/>
        <v>0</v>
      </c>
      <c r="BX436" s="38">
        <f t="shared" si="436"/>
        <v>0.31615549215406563</v>
      </c>
      <c r="BY436" s="38">
        <f t="shared" si="437"/>
        <v>4.5175863181671508E-2</v>
      </c>
      <c r="BZ436" s="38">
        <f t="shared" si="438"/>
        <v>9.3418259023354561E-4</v>
      </c>
      <c r="CA436" s="38">
        <f t="shared" si="439"/>
        <v>0</v>
      </c>
      <c r="CB436" s="38">
        <f t="shared" si="440"/>
        <v>0</v>
      </c>
      <c r="CC436" s="38">
        <f t="shared" si="441"/>
        <v>0</v>
      </c>
      <c r="CD436" s="38">
        <f t="shared" si="442"/>
        <v>1.8029555714492849</v>
      </c>
      <c r="CE436" s="38">
        <f t="shared" si="443"/>
        <v>2.8753841302817578</v>
      </c>
      <c r="CF436" s="38">
        <f t="shared" si="444"/>
        <v>2.7732241876491766</v>
      </c>
      <c r="CG436" s="38">
        <f t="shared" si="445"/>
        <v>7.9740848188799616</v>
      </c>
      <c r="CH436" s="15"/>
      <c r="CI436" s="16">
        <v>0.85724695645239735</v>
      </c>
      <c r="CJ436" s="13">
        <v>5447.4809834407906</v>
      </c>
      <c r="CK436" s="104">
        <v>193.38593103185667</v>
      </c>
      <c r="CL436" s="13">
        <v>174833.31605235161</v>
      </c>
      <c r="CM436" s="13">
        <v>217266.96925047561</v>
      </c>
      <c r="CN436" s="13">
        <v>120227.62963077657</v>
      </c>
      <c r="CO436" s="16">
        <v>0.2945745538158695</v>
      </c>
      <c r="CP436" s="16">
        <v>51.707435607798182</v>
      </c>
      <c r="CQ436" s="16">
        <v>1.3042400737629931</v>
      </c>
      <c r="CR436" s="16">
        <v>0</v>
      </c>
      <c r="CS436" s="16">
        <v>63.914076888929195</v>
      </c>
      <c r="CT436" s="16">
        <v>0.25066929928288406</v>
      </c>
      <c r="CU436" s="16">
        <v>0</v>
      </c>
      <c r="CV436" s="16">
        <v>0</v>
      </c>
      <c r="CW436" s="16">
        <v>0</v>
      </c>
      <c r="CX436" s="16">
        <v>0</v>
      </c>
      <c r="CY436" s="104">
        <v>246.4733463005181</v>
      </c>
      <c r="CZ436" s="104">
        <v>246.54071926838307</v>
      </c>
      <c r="DA436" s="16">
        <v>0</v>
      </c>
      <c r="DB436" s="16">
        <v>0</v>
      </c>
      <c r="DC436" s="16">
        <v>0</v>
      </c>
      <c r="DD436" s="16">
        <v>0</v>
      </c>
      <c r="DE436" s="16">
        <v>5.4276045266266779</v>
      </c>
      <c r="DF436" s="16">
        <v>0.10534686456004591</v>
      </c>
      <c r="DG436" s="16">
        <v>0.16561490008038945</v>
      </c>
      <c r="DH436" s="16">
        <v>2.2575034463853009E-2</v>
      </c>
      <c r="DI436" s="16">
        <v>0</v>
      </c>
      <c r="DJ436" s="16">
        <v>0</v>
      </c>
      <c r="DK436" s="16">
        <v>8.7665146523639742E-2</v>
      </c>
      <c r="DL436" s="16">
        <v>0</v>
      </c>
      <c r="DM436" s="16">
        <v>0</v>
      </c>
      <c r="DN436" s="16">
        <v>3.7243155008507306E-2</v>
      </c>
      <c r="DO436" s="16">
        <v>0</v>
      </c>
      <c r="DP436" s="16">
        <v>0</v>
      </c>
      <c r="DQ436" s="16">
        <v>0</v>
      </c>
      <c r="DR436" s="16">
        <v>0</v>
      </c>
      <c r="DS436" s="16">
        <v>0</v>
      </c>
      <c r="DT436" s="16">
        <v>0</v>
      </c>
      <c r="DU436" s="16">
        <v>0</v>
      </c>
      <c r="DV436" s="16">
        <v>0.4253445337945882</v>
      </c>
      <c r="DW436" s="16">
        <v>0</v>
      </c>
      <c r="DX436" s="16">
        <v>7.778891821322278E-3</v>
      </c>
      <c r="DY436" s="16" t="e">
        <f>(DK436/0.05883)/SQRT((DJ436/0.1536)*(DL436/0.2069))</f>
        <v>#DIV/0!</v>
      </c>
      <c r="DZ436" s="16"/>
      <c r="EA436" s="13">
        <f>1128+200*((BM436-0.4)/0.4) -273</f>
        <v>1091.3587742352024</v>
      </c>
      <c r="EB436" s="16"/>
      <c r="EC436" s="16">
        <f>(-18.482 -16.353 * BM436)/(0.008314 * (EA436+273))</f>
        <v>-2.8874852241729596</v>
      </c>
      <c r="ED436" s="16"/>
      <c r="EE436" s="16"/>
      <c r="EF436" s="16"/>
      <c r="EG436" s="16"/>
      <c r="EH436" s="16"/>
      <c r="EI436" s="16"/>
      <c r="EJ436" s="16"/>
      <c r="EK436" s="16"/>
      <c r="EL436" s="16">
        <f>(23.856 -20.71 * BM436)/(0.008314 * (EA436+273))</f>
        <v>0.50973088541255362</v>
      </c>
      <c r="EM436" s="16"/>
      <c r="EN436" s="16">
        <f>(-4.5269  -51.811 * BM436)/(0.008314 * (EA436+273)) +N("eqn50a")</f>
        <v>-4.3852636936826084</v>
      </c>
      <c r="EO436" s="16" t="e">
        <f>(-187.27 + 2.26018 *#REF!)/(0.008314 * (EA436+273)) +N("fsp eqn35 from SiO2")</f>
        <v>#REF!</v>
      </c>
      <c r="EP436" s="16"/>
      <c r="EQ436" s="16"/>
      <c r="ER436" s="16">
        <f>(10.146 -35.204 * BM436)/(0.008314 * (EA436+273))</f>
        <v>-1.8140388551041964</v>
      </c>
      <c r="ES436" s="16">
        <f>(2.1146 -37.009 * BM436)/(0.008314 * (EA436+273))</f>
        <v>-2.6609417041726742</v>
      </c>
      <c r="ET436" s="16">
        <f>(-3.6812 -33.822 * BM436)/(0.008314 * (EA436+273))</f>
        <v>-2.9266893079435921</v>
      </c>
      <c r="EU436" s="16">
        <f>(-6.8025 -26.094 * BM436)/(0.008314 * (EA436+273))</f>
        <v>-2.6072877254900835</v>
      </c>
      <c r="EV436" s="16">
        <f>(-5.6996 -30.85 * BM436)/(0.008314 * (EA436+273))</f>
        <v>-2.8759705905680426</v>
      </c>
      <c r="EW436" s="16">
        <f>(-8.6767 -33.32 * BM436)/(0.008314 * (EA436+273))</f>
        <v>-3.3284598939741956</v>
      </c>
      <c r="EX436" s="16"/>
      <c r="EY436" s="16">
        <f>(-1.9714 -59.897 * BM436)/(0.008314 * (EA436+273))</f>
        <v>-4.7820884704385724</v>
      </c>
      <c r="EZ436" s="16">
        <f>(-4.3691 -44.528 * BM436)/(0.008314 * (EA436+273))</f>
        <v>-3.8110203913512812</v>
      </c>
      <c r="FA436" s="16">
        <f>(-2.2521 -58.215 * BM436)/(0.008314 * (EA436+273))</f>
        <v>-4.6774264117576498</v>
      </c>
      <c r="FB436" s="16"/>
      <c r="FC436" s="16">
        <f>(-8.5 - 57.253 * BM436)/(0.008314 * (EA436+273))</f>
        <v>-5.1542149832430741</v>
      </c>
      <c r="FD436" s="16"/>
      <c r="FE436" s="16">
        <f>(-9.2954 -52.923 * BM436)/(0.008314 * (EA436+273))</f>
        <v>-4.8911987050932941</v>
      </c>
      <c r="FF436" s="16">
        <f>(0.61501 -70.378 * BM436)/(0.008314 * (EA436+273))</f>
        <v>-5.3604523379636682</v>
      </c>
      <c r="FG436" s="16"/>
      <c r="FH436" s="16"/>
      <c r="FI436" s="16"/>
      <c r="FJ436" s="16"/>
      <c r="FK436" s="16"/>
    </row>
    <row r="437" spans="1:167" x14ac:dyDescent="0.25">
      <c r="A437" s="35" t="s">
        <v>91</v>
      </c>
      <c r="B437" s="15">
        <v>1485</v>
      </c>
      <c r="C437" s="102" t="s">
        <v>96</v>
      </c>
      <c r="D437" s="102" t="s">
        <v>104</v>
      </c>
      <c r="E437" s="15">
        <v>492</v>
      </c>
      <c r="F437" s="16">
        <v>45.6</v>
      </c>
      <c r="G437" s="16">
        <v>0</v>
      </c>
      <c r="H437" s="16">
        <v>34.299999999999997</v>
      </c>
      <c r="I437" s="16">
        <v>0</v>
      </c>
      <c r="J437" s="44">
        <v>0.63</v>
      </c>
      <c r="K437" s="16">
        <v>0</v>
      </c>
      <c r="L437" s="16">
        <v>0</v>
      </c>
      <c r="M437" s="16">
        <v>17.73</v>
      </c>
      <c r="N437" s="16">
        <v>1.42</v>
      </c>
      <c r="O437" s="16">
        <v>5.6000000000000001E-2</v>
      </c>
      <c r="P437" s="16">
        <v>0</v>
      </c>
      <c r="Q437" s="16"/>
      <c r="R437" s="16"/>
      <c r="S437" s="16">
        <f t="shared" si="391"/>
        <v>99.736000000000004</v>
      </c>
      <c r="T437" s="16"/>
      <c r="U437" s="15">
        <v>1</v>
      </c>
      <c r="V437" s="15">
        <v>3</v>
      </c>
      <c r="W437" s="15">
        <v>42.4</v>
      </c>
      <c r="X437" s="15" t="s">
        <v>185</v>
      </c>
      <c r="Y437" s="15"/>
      <c r="Z437" s="37">
        <v>8</v>
      </c>
      <c r="AA437" s="37">
        <v>5</v>
      </c>
      <c r="AB437" s="15"/>
      <c r="AC437" s="38">
        <f t="shared" si="392"/>
        <v>2.1115082251278054</v>
      </c>
      <c r="AD437" s="38">
        <f t="shared" si="393"/>
        <v>0</v>
      </c>
      <c r="AE437" s="38">
        <f t="shared" si="394"/>
        <v>1.8717685581388872</v>
      </c>
      <c r="AF437" s="38">
        <f t="shared" si="395"/>
        <v>0</v>
      </c>
      <c r="AG437" s="38">
        <f t="shared" si="396"/>
        <v>2.4393360596630859E-2</v>
      </c>
      <c r="AH437" s="38">
        <f t="shared" si="397"/>
        <v>0</v>
      </c>
      <c r="AI437" s="38">
        <f t="shared" si="398"/>
        <v>0</v>
      </c>
      <c r="AJ437" s="38">
        <f t="shared" si="399"/>
        <v>0.87954606403347679</v>
      </c>
      <c r="AK437" s="38">
        <f t="shared" si="400"/>
        <v>0.12747488445286786</v>
      </c>
      <c r="AL437" s="38">
        <f t="shared" si="401"/>
        <v>3.3076913590335969E-3</v>
      </c>
      <c r="AM437" s="38">
        <f t="shared" si="402"/>
        <v>0</v>
      </c>
      <c r="AN437" s="38">
        <f t="shared" si="403"/>
        <v>0</v>
      </c>
      <c r="AO437" s="38">
        <f t="shared" si="404"/>
        <v>0</v>
      </c>
      <c r="AP437" s="38">
        <f t="shared" si="405"/>
        <v>5.017998783708701</v>
      </c>
      <c r="AQ437" s="38">
        <f t="shared" si="406"/>
        <v>3.9832767832666924</v>
      </c>
      <c r="AR437" s="38">
        <f t="shared" si="407"/>
        <v>1.0103286398453781</v>
      </c>
      <c r="AS437" s="40"/>
      <c r="AT437" s="38">
        <f t="shared" si="408"/>
        <v>2.1039345724663887</v>
      </c>
      <c r="AU437" s="38">
        <f t="shared" si="409"/>
        <v>0</v>
      </c>
      <c r="AV437" s="38">
        <f t="shared" si="410"/>
        <v>1.8650548144966874</v>
      </c>
      <c r="AW437" s="38">
        <f t="shared" si="411"/>
        <v>0</v>
      </c>
      <c r="AX437" s="38">
        <f t="shared" si="412"/>
        <v>0</v>
      </c>
      <c r="AY437" s="38">
        <f t="shared" si="413"/>
        <v>2.4305865393815636E-2</v>
      </c>
      <c r="AZ437" s="38">
        <f t="shared" si="414"/>
        <v>0</v>
      </c>
      <c r="BA437" s="38">
        <f t="shared" si="415"/>
        <v>0</v>
      </c>
      <c r="BB437" s="38">
        <f t="shared" si="416"/>
        <v>0.87639126865573092</v>
      </c>
      <c r="BC437" s="38">
        <f t="shared" si="417"/>
        <v>0.1270176518044647</v>
      </c>
      <c r="BD437" s="38">
        <f t="shared" si="418"/>
        <v>3.2958271829122967E-3</v>
      </c>
      <c r="BE437" s="38">
        <f t="shared" si="419"/>
        <v>0</v>
      </c>
      <c r="BF437" s="38">
        <f t="shared" si="420"/>
        <v>0</v>
      </c>
      <c r="BG437" s="38">
        <f t="shared" si="421"/>
        <v>0</v>
      </c>
      <c r="BH437" s="41">
        <f t="shared" si="422"/>
        <v>5</v>
      </c>
      <c r="BI437" s="42">
        <f t="shared" si="423"/>
        <v>7.9834581729179517</v>
      </c>
      <c r="BJ437" s="38">
        <f t="shared" si="424"/>
        <v>3.9689893869630763</v>
      </c>
      <c r="BK437" s="38">
        <f t="shared" si="425"/>
        <v>1.0067047476431079</v>
      </c>
      <c r="BL437" s="16"/>
      <c r="BM437" s="16">
        <f t="shared" si="426"/>
        <v>0.87055442095364488</v>
      </c>
      <c r="BN437" s="16">
        <f t="shared" si="427"/>
        <v>0.12617170238030348</v>
      </c>
      <c r="BO437" s="16">
        <f t="shared" si="428"/>
        <v>3.2738766660517608E-3</v>
      </c>
      <c r="BP437" s="15"/>
      <c r="BQ437" s="38">
        <f t="shared" si="429"/>
        <v>0.75898801597869514</v>
      </c>
      <c r="BR437" s="38">
        <f t="shared" si="430"/>
        <v>0</v>
      </c>
      <c r="BS437" s="38">
        <f t="shared" si="431"/>
        <v>0.67281286779129068</v>
      </c>
      <c r="BT437" s="38">
        <f t="shared" si="432"/>
        <v>0</v>
      </c>
      <c r="BU437" s="38">
        <f t="shared" si="433"/>
        <v>8.768267223382047E-3</v>
      </c>
      <c r="BV437" s="38">
        <f t="shared" si="434"/>
        <v>0</v>
      </c>
      <c r="BW437" s="38">
        <f t="shared" si="435"/>
        <v>0</v>
      </c>
      <c r="BX437" s="38">
        <f t="shared" si="436"/>
        <v>0.31615549215406563</v>
      </c>
      <c r="BY437" s="38">
        <f t="shared" si="437"/>
        <v>4.5821232655695383E-2</v>
      </c>
      <c r="BZ437" s="38">
        <f t="shared" si="438"/>
        <v>1.1889596602972399E-3</v>
      </c>
      <c r="CA437" s="38">
        <f t="shared" si="439"/>
        <v>0</v>
      </c>
      <c r="CB437" s="38">
        <f t="shared" si="440"/>
        <v>0</v>
      </c>
      <c r="CC437" s="38">
        <f t="shared" si="441"/>
        <v>0</v>
      </c>
      <c r="CD437" s="38">
        <f t="shared" si="442"/>
        <v>1.8037348354634262</v>
      </c>
      <c r="CE437" s="38">
        <f t="shared" si="443"/>
        <v>2.8756241891797703</v>
      </c>
      <c r="CF437" s="38">
        <f t="shared" si="444"/>
        <v>2.7720260770565925</v>
      </c>
      <c r="CG437" s="38">
        <f t="shared" si="445"/>
        <v>7.9713052402210431</v>
      </c>
      <c r="CH437" s="15"/>
      <c r="CI437" s="16"/>
      <c r="CJ437" s="13"/>
      <c r="CK437" s="104"/>
      <c r="CL437" s="13"/>
      <c r="CM437" s="13"/>
      <c r="CN437" s="13"/>
      <c r="CO437" s="16"/>
      <c r="CP437" s="16"/>
      <c r="CQ437" s="16"/>
      <c r="CR437" s="16"/>
      <c r="CS437" s="16"/>
      <c r="CT437" s="16"/>
      <c r="CU437" s="16"/>
      <c r="CV437" s="16"/>
      <c r="CW437" s="16"/>
      <c r="CX437" s="16"/>
      <c r="CY437" s="104"/>
      <c r="CZ437" s="104"/>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3"/>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row>
    <row r="438" spans="1:167" x14ac:dyDescent="0.25">
      <c r="A438" s="35" t="s">
        <v>91</v>
      </c>
      <c r="B438" s="15">
        <v>1486</v>
      </c>
      <c r="C438" s="102" t="s">
        <v>96</v>
      </c>
      <c r="D438" s="102" t="s">
        <v>104</v>
      </c>
      <c r="E438" s="15">
        <v>493</v>
      </c>
      <c r="F438" s="16">
        <v>46.07</v>
      </c>
      <c r="G438" s="16">
        <v>0</v>
      </c>
      <c r="H438" s="16">
        <v>33.81</v>
      </c>
      <c r="I438" s="16">
        <v>0</v>
      </c>
      <c r="J438" s="44">
        <v>0.69799999999999995</v>
      </c>
      <c r="K438" s="16">
        <v>0</v>
      </c>
      <c r="L438" s="16">
        <v>0</v>
      </c>
      <c r="M438" s="16">
        <v>17.48</v>
      </c>
      <c r="N438" s="16">
        <v>1.69</v>
      </c>
      <c r="O438" s="16">
        <v>0.13</v>
      </c>
      <c r="P438" s="16">
        <v>0</v>
      </c>
      <c r="Q438" s="16"/>
      <c r="R438" s="16"/>
      <c r="S438" s="16">
        <f t="shared" si="391"/>
        <v>99.877999999999986</v>
      </c>
      <c r="T438" s="16"/>
      <c r="U438" s="15">
        <v>1</v>
      </c>
      <c r="V438" s="15">
        <v>4</v>
      </c>
      <c r="W438" s="15">
        <v>63.599999999999994</v>
      </c>
      <c r="X438" s="15" t="s">
        <v>185</v>
      </c>
      <c r="Y438" s="15"/>
      <c r="Z438" s="37">
        <v>8</v>
      </c>
      <c r="AA438" s="37">
        <v>5</v>
      </c>
      <c r="AB438" s="15"/>
      <c r="AC438" s="38">
        <f t="shared" si="392"/>
        <v>2.1311529727418783</v>
      </c>
      <c r="AD438" s="38">
        <f t="shared" si="393"/>
        <v>0</v>
      </c>
      <c r="AE438" s="38">
        <f t="shared" si="394"/>
        <v>1.8431966634194858</v>
      </c>
      <c r="AF438" s="38">
        <f t="shared" si="395"/>
        <v>0</v>
      </c>
      <c r="AG438" s="38">
        <f t="shared" si="396"/>
        <v>2.6999454275256532E-2</v>
      </c>
      <c r="AH438" s="38">
        <f t="shared" si="397"/>
        <v>0</v>
      </c>
      <c r="AI438" s="38">
        <f t="shared" si="398"/>
        <v>0</v>
      </c>
      <c r="AJ438" s="38">
        <f t="shared" si="399"/>
        <v>0.86628293503031728</v>
      </c>
      <c r="AK438" s="38">
        <f t="shared" si="400"/>
        <v>0.15156239671335134</v>
      </c>
      <c r="AL438" s="38">
        <f t="shared" si="401"/>
        <v>7.6709434495292467E-3</v>
      </c>
      <c r="AM438" s="38">
        <f t="shared" si="402"/>
        <v>0</v>
      </c>
      <c r="AN438" s="38">
        <f t="shared" si="403"/>
        <v>0</v>
      </c>
      <c r="AO438" s="38">
        <f t="shared" si="404"/>
        <v>0</v>
      </c>
      <c r="AP438" s="38">
        <f t="shared" si="405"/>
        <v>5.0268653656298188</v>
      </c>
      <c r="AQ438" s="38">
        <f t="shared" si="406"/>
        <v>3.9743496361613642</v>
      </c>
      <c r="AR438" s="38">
        <f t="shared" si="407"/>
        <v>1.0255162751931979</v>
      </c>
      <c r="AS438" s="40"/>
      <c r="AT438" s="38">
        <f t="shared" si="408"/>
        <v>2.1197633293634719</v>
      </c>
      <c r="AU438" s="38">
        <f t="shared" si="409"/>
        <v>0</v>
      </c>
      <c r="AV438" s="38">
        <f t="shared" si="410"/>
        <v>1.8333459615031389</v>
      </c>
      <c r="AW438" s="38">
        <f t="shared" si="411"/>
        <v>0</v>
      </c>
      <c r="AX438" s="38">
        <f t="shared" si="412"/>
        <v>0</v>
      </c>
      <c r="AY438" s="38">
        <f t="shared" si="413"/>
        <v>2.6855159539242755E-2</v>
      </c>
      <c r="AZ438" s="38">
        <f t="shared" si="414"/>
        <v>0</v>
      </c>
      <c r="BA438" s="38">
        <f t="shared" si="415"/>
        <v>0</v>
      </c>
      <c r="BB438" s="38">
        <f t="shared" si="416"/>
        <v>0.86165320932737988</v>
      </c>
      <c r="BC438" s="38">
        <f t="shared" si="417"/>
        <v>0.15075239308141086</v>
      </c>
      <c r="BD438" s="38">
        <f t="shared" si="418"/>
        <v>7.6299471853550922E-3</v>
      </c>
      <c r="BE438" s="38">
        <f t="shared" si="419"/>
        <v>0</v>
      </c>
      <c r="BF438" s="38">
        <f t="shared" si="420"/>
        <v>0</v>
      </c>
      <c r="BG438" s="38">
        <f t="shared" si="421"/>
        <v>0</v>
      </c>
      <c r="BH438" s="41">
        <f t="shared" si="422"/>
        <v>4.9999999999999982</v>
      </c>
      <c r="BI438" s="42">
        <f t="shared" si="423"/>
        <v>7.9706727197512786</v>
      </c>
      <c r="BJ438" s="38">
        <f t="shared" si="424"/>
        <v>3.9531092908666108</v>
      </c>
      <c r="BK438" s="38">
        <f t="shared" si="425"/>
        <v>1.0200355495941458</v>
      </c>
      <c r="BL438" s="16"/>
      <c r="BM438" s="16">
        <f t="shared" si="426"/>
        <v>0.84472860741982614</v>
      </c>
      <c r="BN438" s="16">
        <f t="shared" si="427"/>
        <v>0.14779131290217543</v>
      </c>
      <c r="BO438" s="16">
        <f t="shared" si="428"/>
        <v>7.4800796779983924E-3</v>
      </c>
      <c r="BP438" s="15"/>
      <c r="BQ438" s="38">
        <f t="shared" si="429"/>
        <v>0.76681091877496677</v>
      </c>
      <c r="BR438" s="38">
        <f t="shared" si="430"/>
        <v>0</v>
      </c>
      <c r="BS438" s="38">
        <f t="shared" si="431"/>
        <v>0.66320125539427233</v>
      </c>
      <c r="BT438" s="38">
        <f t="shared" si="432"/>
        <v>0</v>
      </c>
      <c r="BU438" s="38">
        <f t="shared" si="433"/>
        <v>9.7146833681280454E-3</v>
      </c>
      <c r="BV438" s="38">
        <f t="shared" si="434"/>
        <v>0</v>
      </c>
      <c r="BW438" s="38">
        <f t="shared" si="435"/>
        <v>0</v>
      </c>
      <c r="BX438" s="38">
        <f t="shared" si="436"/>
        <v>0.31169757489300998</v>
      </c>
      <c r="BY438" s="38">
        <f t="shared" si="437"/>
        <v>5.4533720555017748E-2</v>
      </c>
      <c r="BZ438" s="38">
        <f t="shared" si="438"/>
        <v>2.7600849256900211E-3</v>
      </c>
      <c r="CA438" s="38">
        <f t="shared" si="439"/>
        <v>0</v>
      </c>
      <c r="CB438" s="38">
        <f t="shared" si="440"/>
        <v>0</v>
      </c>
      <c r="CC438" s="38">
        <f t="shared" si="441"/>
        <v>0</v>
      </c>
      <c r="CD438" s="38">
        <f t="shared" si="442"/>
        <v>1.8087182379110851</v>
      </c>
      <c r="CE438" s="38">
        <f t="shared" si="443"/>
        <v>2.8784828816428343</v>
      </c>
      <c r="CF438" s="38">
        <f t="shared" si="444"/>
        <v>2.7643885571555757</v>
      </c>
      <c r="CG438" s="38">
        <f t="shared" si="445"/>
        <v>7.9572451399816586</v>
      </c>
      <c r="CH438" s="15"/>
      <c r="CI438" s="16"/>
      <c r="CJ438" s="13"/>
      <c r="CK438" s="104"/>
      <c r="CL438" s="13"/>
      <c r="CM438" s="13"/>
      <c r="CN438" s="13"/>
      <c r="CO438" s="16"/>
      <c r="CP438" s="16"/>
      <c r="CQ438" s="16"/>
      <c r="CR438" s="16"/>
      <c r="CS438" s="16"/>
      <c r="CT438" s="16"/>
      <c r="CU438" s="16"/>
      <c r="CV438" s="16"/>
      <c r="CW438" s="16"/>
      <c r="CX438" s="16"/>
      <c r="CY438" s="104"/>
      <c r="CZ438" s="104"/>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3"/>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row>
    <row r="439" spans="1:167" x14ac:dyDescent="0.25">
      <c r="A439" s="35" t="s">
        <v>91</v>
      </c>
      <c r="B439" s="15">
        <v>1487</v>
      </c>
      <c r="C439" s="102" t="s">
        <v>96</v>
      </c>
      <c r="D439" s="102" t="s">
        <v>104</v>
      </c>
      <c r="E439" s="15">
        <v>494</v>
      </c>
      <c r="F439" s="16">
        <v>45.85</v>
      </c>
      <c r="G439" s="16">
        <v>0</v>
      </c>
      <c r="H439" s="16">
        <v>33.799999999999997</v>
      </c>
      <c r="I439" s="16">
        <v>0</v>
      </c>
      <c r="J439" s="44">
        <v>0.72699999999999998</v>
      </c>
      <c r="K439" s="16">
        <v>0</v>
      </c>
      <c r="L439" s="16">
        <v>0</v>
      </c>
      <c r="M439" s="16">
        <v>17.78</v>
      </c>
      <c r="N439" s="16">
        <v>1.54</v>
      </c>
      <c r="O439" s="16">
        <v>5.0999999999999997E-2</v>
      </c>
      <c r="P439" s="16">
        <v>0</v>
      </c>
      <c r="Q439" s="16"/>
      <c r="R439" s="16"/>
      <c r="S439" s="16">
        <f t="shared" si="391"/>
        <v>99.748000000000019</v>
      </c>
      <c r="T439" s="16"/>
      <c r="U439" s="15">
        <v>1</v>
      </c>
      <c r="V439" s="15">
        <v>5</v>
      </c>
      <c r="W439" s="15">
        <v>84.8</v>
      </c>
      <c r="X439" s="15" t="s">
        <v>185</v>
      </c>
      <c r="Y439" s="15"/>
      <c r="Z439" s="37">
        <v>8</v>
      </c>
      <c r="AA439" s="37">
        <v>5</v>
      </c>
      <c r="AB439" s="15"/>
      <c r="AC439" s="38">
        <f t="shared" si="392"/>
        <v>2.1247578801682918</v>
      </c>
      <c r="AD439" s="38">
        <f t="shared" si="393"/>
        <v>0</v>
      </c>
      <c r="AE439" s="38">
        <f t="shared" si="394"/>
        <v>1.8459371140431706</v>
      </c>
      <c r="AF439" s="38">
        <f t="shared" si="395"/>
        <v>0</v>
      </c>
      <c r="AG439" s="38">
        <f t="shared" si="396"/>
        <v>2.8171350756111907E-2</v>
      </c>
      <c r="AH439" s="38">
        <f t="shared" si="397"/>
        <v>0</v>
      </c>
      <c r="AI439" s="38">
        <f t="shared" si="398"/>
        <v>0</v>
      </c>
      <c r="AJ439" s="38">
        <f t="shared" si="399"/>
        <v>0.8827216619085545</v>
      </c>
      <c r="AK439" s="38">
        <f t="shared" si="400"/>
        <v>0.13835637576717638</v>
      </c>
      <c r="AL439" s="38">
        <f t="shared" si="401"/>
        <v>3.0147361008115441E-3</v>
      </c>
      <c r="AM439" s="38">
        <f t="shared" si="402"/>
        <v>0</v>
      </c>
      <c r="AN439" s="38">
        <f t="shared" si="403"/>
        <v>0</v>
      </c>
      <c r="AO439" s="38">
        <f t="shared" si="404"/>
        <v>0</v>
      </c>
      <c r="AP439" s="38">
        <f t="shared" si="405"/>
        <v>5.0229591187441169</v>
      </c>
      <c r="AQ439" s="38">
        <f t="shared" si="406"/>
        <v>3.9706949942114624</v>
      </c>
      <c r="AR439" s="38">
        <f t="shared" si="407"/>
        <v>1.0240927737765424</v>
      </c>
      <c r="AS439" s="40"/>
      <c r="AT439" s="38">
        <f t="shared" si="408"/>
        <v>2.1150459618906297</v>
      </c>
      <c r="AU439" s="38">
        <f t="shared" si="409"/>
        <v>0</v>
      </c>
      <c r="AV439" s="38">
        <f t="shared" si="410"/>
        <v>1.8374996395597858</v>
      </c>
      <c r="AW439" s="38">
        <f t="shared" si="411"/>
        <v>0</v>
      </c>
      <c r="AX439" s="38">
        <f t="shared" si="412"/>
        <v>0</v>
      </c>
      <c r="AY439" s="38">
        <f t="shared" si="413"/>
        <v>2.8042584152223354E-2</v>
      </c>
      <c r="AZ439" s="38">
        <f t="shared" si="414"/>
        <v>0</v>
      </c>
      <c r="BA439" s="38">
        <f t="shared" si="415"/>
        <v>0</v>
      </c>
      <c r="BB439" s="38">
        <f t="shared" si="416"/>
        <v>0.87868688659490835</v>
      </c>
      <c r="BC439" s="38">
        <f t="shared" si="417"/>
        <v>0.13772397156376762</v>
      </c>
      <c r="BD439" s="38">
        <f t="shared" si="418"/>
        <v>3.0009562386855682E-3</v>
      </c>
      <c r="BE439" s="38">
        <f t="shared" si="419"/>
        <v>0</v>
      </c>
      <c r="BF439" s="38">
        <f t="shared" si="420"/>
        <v>0</v>
      </c>
      <c r="BG439" s="38">
        <f t="shared" si="421"/>
        <v>0</v>
      </c>
      <c r="BH439" s="41">
        <f t="shared" si="422"/>
        <v>5</v>
      </c>
      <c r="BI439" s="42">
        <f t="shared" si="423"/>
        <v>7.9774546098454087</v>
      </c>
      <c r="BJ439" s="38">
        <f t="shared" si="424"/>
        <v>3.9525456014504154</v>
      </c>
      <c r="BK439" s="38">
        <f t="shared" si="425"/>
        <v>1.0194118143973614</v>
      </c>
      <c r="BL439" s="16"/>
      <c r="BM439" s="16">
        <f t="shared" si="426"/>
        <v>0.86195478037926754</v>
      </c>
      <c r="BN439" s="16">
        <f t="shared" si="427"/>
        <v>0.13510140810481475</v>
      </c>
      <c r="BO439" s="16">
        <f t="shared" si="428"/>
        <v>2.943811515917757E-3</v>
      </c>
      <c r="BP439" s="15"/>
      <c r="BQ439" s="38">
        <f t="shared" si="429"/>
        <v>0.76314913448735022</v>
      </c>
      <c r="BR439" s="38">
        <f t="shared" si="430"/>
        <v>0</v>
      </c>
      <c r="BS439" s="38">
        <f t="shared" si="431"/>
        <v>0.66300510003923108</v>
      </c>
      <c r="BT439" s="38">
        <f t="shared" si="432"/>
        <v>0</v>
      </c>
      <c r="BU439" s="38">
        <f t="shared" si="433"/>
        <v>1.011830201809325E-2</v>
      </c>
      <c r="BV439" s="38">
        <f t="shared" si="434"/>
        <v>0</v>
      </c>
      <c r="BW439" s="38">
        <f t="shared" si="435"/>
        <v>0</v>
      </c>
      <c r="BX439" s="38">
        <f t="shared" si="436"/>
        <v>0.31704707560627676</v>
      </c>
      <c r="BY439" s="38">
        <f t="shared" si="437"/>
        <v>4.9693449499838664E-2</v>
      </c>
      <c r="BZ439" s="38">
        <f t="shared" si="438"/>
        <v>1.0828025477707004E-3</v>
      </c>
      <c r="CA439" s="38">
        <f t="shared" si="439"/>
        <v>0</v>
      </c>
      <c r="CB439" s="38">
        <f t="shared" si="440"/>
        <v>0</v>
      </c>
      <c r="CC439" s="38">
        <f t="shared" si="441"/>
        <v>0</v>
      </c>
      <c r="CD439" s="38">
        <f t="shared" si="442"/>
        <v>1.8040958641985605</v>
      </c>
      <c r="CE439" s="38">
        <f t="shared" si="443"/>
        <v>2.8733594226817218</v>
      </c>
      <c r="CF439" s="38">
        <f t="shared" si="444"/>
        <v>2.7714713498449077</v>
      </c>
      <c r="CG439" s="38">
        <f t="shared" si="445"/>
        <v>7.9634333177692964</v>
      </c>
      <c r="CH439" s="15"/>
      <c r="CI439" s="16"/>
      <c r="CJ439" s="13"/>
      <c r="CK439" s="104"/>
      <c r="CL439" s="13"/>
      <c r="CM439" s="13"/>
      <c r="CN439" s="13"/>
      <c r="CO439" s="16"/>
      <c r="CP439" s="16"/>
      <c r="CQ439" s="16"/>
      <c r="CR439" s="16"/>
      <c r="CS439" s="16"/>
      <c r="CT439" s="16"/>
      <c r="CU439" s="16"/>
      <c r="CV439" s="16"/>
      <c r="CW439" s="16"/>
      <c r="CX439" s="16"/>
      <c r="CY439" s="104"/>
      <c r="CZ439" s="104"/>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3"/>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row>
    <row r="440" spans="1:167" x14ac:dyDescent="0.25">
      <c r="A440" s="35" t="s">
        <v>91</v>
      </c>
      <c r="B440" s="15">
        <v>1488</v>
      </c>
      <c r="C440" s="102" t="s">
        <v>96</v>
      </c>
      <c r="D440" s="102" t="s">
        <v>104</v>
      </c>
      <c r="E440" s="15">
        <v>495</v>
      </c>
      <c r="F440" s="16">
        <v>45.27</v>
      </c>
      <c r="G440" s="16">
        <v>0</v>
      </c>
      <c r="H440" s="16">
        <v>34.44</v>
      </c>
      <c r="I440" s="16">
        <v>0</v>
      </c>
      <c r="J440" s="44">
        <v>0.65700000000000003</v>
      </c>
      <c r="K440" s="16">
        <v>0</v>
      </c>
      <c r="L440" s="16">
        <v>0</v>
      </c>
      <c r="M440" s="16">
        <v>18.09</v>
      </c>
      <c r="N440" s="16">
        <v>1.2909999999999999</v>
      </c>
      <c r="O440" s="16">
        <v>9.5000000000000001E-2</v>
      </c>
      <c r="P440" s="16">
        <v>0</v>
      </c>
      <c r="Q440" s="16"/>
      <c r="R440" s="16"/>
      <c r="S440" s="16">
        <f t="shared" si="391"/>
        <v>99.843000000000004</v>
      </c>
      <c r="T440" s="16"/>
      <c r="U440" s="15">
        <v>1</v>
      </c>
      <c r="V440" s="15">
        <v>6</v>
      </c>
      <c r="W440" s="15">
        <v>106</v>
      </c>
      <c r="X440" s="15" t="s">
        <v>185</v>
      </c>
      <c r="Y440" s="15"/>
      <c r="Z440" s="37">
        <v>8</v>
      </c>
      <c r="AA440" s="37">
        <v>5</v>
      </c>
      <c r="AB440" s="15"/>
      <c r="AC440" s="38">
        <f t="shared" si="392"/>
        <v>2.0974954333838047</v>
      </c>
      <c r="AD440" s="38">
        <f t="shared" si="393"/>
        <v>0</v>
      </c>
      <c r="AE440" s="38">
        <f t="shared" si="394"/>
        <v>1.8805451511160374</v>
      </c>
      <c r="AF440" s="38">
        <f t="shared" si="395"/>
        <v>0</v>
      </c>
      <c r="AG440" s="38">
        <f t="shared" si="396"/>
        <v>2.5454176462594031E-2</v>
      </c>
      <c r="AH440" s="38">
        <f t="shared" si="397"/>
        <v>0</v>
      </c>
      <c r="AI440" s="38">
        <f t="shared" si="398"/>
        <v>0</v>
      </c>
      <c r="AJ440" s="38">
        <f t="shared" si="399"/>
        <v>0.89794764413439121</v>
      </c>
      <c r="AK440" s="38">
        <f t="shared" si="400"/>
        <v>0.11596451593994128</v>
      </c>
      <c r="AL440" s="38">
        <f t="shared" si="401"/>
        <v>5.6146559827547592E-3</v>
      </c>
      <c r="AM440" s="38">
        <f t="shared" si="402"/>
        <v>0</v>
      </c>
      <c r="AN440" s="38">
        <f t="shared" si="403"/>
        <v>0</v>
      </c>
      <c r="AO440" s="38">
        <f t="shared" si="404"/>
        <v>0</v>
      </c>
      <c r="AP440" s="38">
        <f t="shared" si="405"/>
        <v>5.0230215770195237</v>
      </c>
      <c r="AQ440" s="38">
        <f t="shared" si="406"/>
        <v>3.9780405844998423</v>
      </c>
      <c r="AR440" s="38">
        <f t="shared" si="407"/>
        <v>1.0195268160570872</v>
      </c>
      <c r="AS440" s="40"/>
      <c r="AT440" s="38">
        <f t="shared" si="408"/>
        <v>2.0878821653682618</v>
      </c>
      <c r="AU440" s="38">
        <f t="shared" si="409"/>
        <v>0</v>
      </c>
      <c r="AV440" s="38">
        <f t="shared" si="410"/>
        <v>1.8719262124212133</v>
      </c>
      <c r="AW440" s="38">
        <f t="shared" si="411"/>
        <v>0</v>
      </c>
      <c r="AX440" s="38">
        <f t="shared" si="412"/>
        <v>0</v>
      </c>
      <c r="AY440" s="38">
        <f t="shared" si="413"/>
        <v>2.5337514554036218E-2</v>
      </c>
      <c r="AZ440" s="38">
        <f t="shared" si="414"/>
        <v>0</v>
      </c>
      <c r="BA440" s="38">
        <f t="shared" si="415"/>
        <v>0</v>
      </c>
      <c r="BB440" s="38">
        <f t="shared" si="416"/>
        <v>0.89383215895640278</v>
      </c>
      <c r="BC440" s="38">
        <f t="shared" si="417"/>
        <v>0.11543302588075917</v>
      </c>
      <c r="BD440" s="38">
        <f t="shared" si="418"/>
        <v>5.5889228193264986E-3</v>
      </c>
      <c r="BE440" s="38">
        <f t="shared" si="419"/>
        <v>0</v>
      </c>
      <c r="BF440" s="38">
        <f t="shared" si="420"/>
        <v>0</v>
      </c>
      <c r="BG440" s="38">
        <f t="shared" si="421"/>
        <v>0</v>
      </c>
      <c r="BH440" s="41">
        <f t="shared" si="422"/>
        <v>4.9999999999999991</v>
      </c>
      <c r="BI440" s="42">
        <f t="shared" si="423"/>
        <v>7.9760030545058429</v>
      </c>
      <c r="BJ440" s="38">
        <f t="shared" si="424"/>
        <v>3.959808377789475</v>
      </c>
      <c r="BK440" s="38">
        <f t="shared" si="425"/>
        <v>1.0148541076564883</v>
      </c>
      <c r="BL440" s="16"/>
      <c r="BM440" s="16">
        <f t="shared" si="426"/>
        <v>0.88074941236671866</v>
      </c>
      <c r="BN440" s="16">
        <f t="shared" si="427"/>
        <v>0.11374346815949565</v>
      </c>
      <c r="BO440" s="16">
        <f t="shared" si="428"/>
        <v>5.507119473785742E-3</v>
      </c>
      <c r="BP440" s="15"/>
      <c r="BQ440" s="38">
        <f t="shared" si="429"/>
        <v>0.75349533954727033</v>
      </c>
      <c r="BR440" s="38">
        <f t="shared" si="430"/>
        <v>0</v>
      </c>
      <c r="BS440" s="38">
        <f t="shared" si="431"/>
        <v>0.6755590427618674</v>
      </c>
      <c r="BT440" s="38">
        <f t="shared" si="432"/>
        <v>0</v>
      </c>
      <c r="BU440" s="38">
        <f t="shared" si="433"/>
        <v>9.1440501043841341E-3</v>
      </c>
      <c r="BV440" s="38">
        <f t="shared" si="434"/>
        <v>0</v>
      </c>
      <c r="BW440" s="38">
        <f t="shared" si="435"/>
        <v>0</v>
      </c>
      <c r="BX440" s="38">
        <f t="shared" si="436"/>
        <v>0.32257489300998576</v>
      </c>
      <c r="BY440" s="38">
        <f t="shared" si="437"/>
        <v>4.1658599548241367E-2</v>
      </c>
      <c r="BZ440" s="38">
        <f t="shared" si="438"/>
        <v>2.0169851380042463E-3</v>
      </c>
      <c r="CA440" s="38">
        <f t="shared" si="439"/>
        <v>0</v>
      </c>
      <c r="CB440" s="38">
        <f t="shared" si="440"/>
        <v>0</v>
      </c>
      <c r="CC440" s="38">
        <f t="shared" si="441"/>
        <v>0</v>
      </c>
      <c r="CD440" s="38">
        <f t="shared" si="442"/>
        <v>1.8044489101097534</v>
      </c>
      <c r="CE440" s="38">
        <f t="shared" si="443"/>
        <v>2.8738859786948345</v>
      </c>
      <c r="CF440" s="38">
        <f t="shared" si="444"/>
        <v>2.770929103055559</v>
      </c>
      <c r="CG440" s="38">
        <f t="shared" si="445"/>
        <v>7.9633342972288252</v>
      </c>
      <c r="CH440" s="15"/>
      <c r="CI440" s="16"/>
      <c r="CJ440" s="13"/>
      <c r="CK440" s="104"/>
      <c r="CL440" s="13"/>
      <c r="CM440" s="13"/>
      <c r="CN440" s="13"/>
      <c r="CO440" s="16"/>
      <c r="CP440" s="16"/>
      <c r="CQ440" s="16"/>
      <c r="CR440" s="16"/>
      <c r="CS440" s="16"/>
      <c r="CT440" s="16"/>
      <c r="CU440" s="16"/>
      <c r="CV440" s="16"/>
      <c r="CW440" s="16"/>
      <c r="CX440" s="16"/>
      <c r="CY440" s="104"/>
      <c r="CZ440" s="104"/>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3"/>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row>
    <row r="441" spans="1:167" x14ac:dyDescent="0.25">
      <c r="A441" s="35" t="s">
        <v>91</v>
      </c>
      <c r="B441" s="15">
        <v>1489</v>
      </c>
      <c r="C441" s="102" t="s">
        <v>96</v>
      </c>
      <c r="D441" s="102" t="s">
        <v>104</v>
      </c>
      <c r="E441" s="15">
        <v>496</v>
      </c>
      <c r="F441" s="16">
        <v>46.53</v>
      </c>
      <c r="G441" s="16">
        <v>0</v>
      </c>
      <c r="H441" s="16">
        <v>33.43</v>
      </c>
      <c r="I441" s="16">
        <v>0</v>
      </c>
      <c r="J441" s="44">
        <v>0.71899999999999997</v>
      </c>
      <c r="K441" s="16">
        <v>0</v>
      </c>
      <c r="L441" s="16">
        <v>0</v>
      </c>
      <c r="M441" s="16">
        <v>16.98</v>
      </c>
      <c r="N441" s="16">
        <v>1.92</v>
      </c>
      <c r="O441" s="16">
        <v>4.5999999999999999E-2</v>
      </c>
      <c r="P441" s="16">
        <v>0</v>
      </c>
      <c r="Q441" s="16"/>
      <c r="R441" s="16"/>
      <c r="S441" s="16">
        <f t="shared" si="391"/>
        <v>99.625000000000014</v>
      </c>
      <c r="T441" s="16"/>
      <c r="U441" s="15">
        <v>1</v>
      </c>
      <c r="V441" s="15">
        <v>7</v>
      </c>
      <c r="W441" s="15">
        <v>127.2</v>
      </c>
      <c r="X441" s="15" t="s">
        <v>185</v>
      </c>
      <c r="Y441" s="15"/>
      <c r="Z441" s="37">
        <v>8</v>
      </c>
      <c r="AA441" s="37">
        <v>5</v>
      </c>
      <c r="AB441" s="15"/>
      <c r="AC441" s="38">
        <f t="shared" si="392"/>
        <v>2.1536833698853632</v>
      </c>
      <c r="AD441" s="38">
        <f t="shared" si="393"/>
        <v>0</v>
      </c>
      <c r="AE441" s="38">
        <f t="shared" si="394"/>
        <v>1.8235399048288126</v>
      </c>
      <c r="AF441" s="38">
        <f t="shared" si="395"/>
        <v>0</v>
      </c>
      <c r="AG441" s="38">
        <f t="shared" si="396"/>
        <v>2.7827926264911627E-2</v>
      </c>
      <c r="AH441" s="38">
        <f t="shared" si="397"/>
        <v>0</v>
      </c>
      <c r="AI441" s="38">
        <f t="shared" si="398"/>
        <v>0</v>
      </c>
      <c r="AJ441" s="38">
        <f t="shared" si="399"/>
        <v>0.84199285657469325</v>
      </c>
      <c r="AK441" s="38">
        <f t="shared" si="400"/>
        <v>0.17228932856429027</v>
      </c>
      <c r="AL441" s="38">
        <f t="shared" si="401"/>
        <v>2.7159117286086601E-3</v>
      </c>
      <c r="AM441" s="38">
        <f t="shared" si="402"/>
        <v>0</v>
      </c>
      <c r="AN441" s="38">
        <f t="shared" si="403"/>
        <v>0</v>
      </c>
      <c r="AO441" s="38">
        <f t="shared" si="404"/>
        <v>0</v>
      </c>
      <c r="AP441" s="38">
        <f t="shared" si="405"/>
        <v>5.0220492978466797</v>
      </c>
      <c r="AQ441" s="38">
        <f t="shared" si="406"/>
        <v>3.9772232747141758</v>
      </c>
      <c r="AR441" s="38">
        <f t="shared" si="407"/>
        <v>1.0169980968675922</v>
      </c>
      <c r="AS441" s="40"/>
      <c r="AT441" s="38">
        <f t="shared" si="408"/>
        <v>2.1442276271648759</v>
      </c>
      <c r="AU441" s="38">
        <f t="shared" si="409"/>
        <v>0</v>
      </c>
      <c r="AV441" s="38">
        <f t="shared" si="410"/>
        <v>1.8155336563608582</v>
      </c>
      <c r="AW441" s="38">
        <f t="shared" si="411"/>
        <v>0</v>
      </c>
      <c r="AX441" s="38">
        <f t="shared" si="412"/>
        <v>0</v>
      </c>
      <c r="AY441" s="38">
        <f t="shared" si="413"/>
        <v>2.7705747807815723E-2</v>
      </c>
      <c r="AZ441" s="38">
        <f t="shared" si="414"/>
        <v>0</v>
      </c>
      <c r="BA441" s="38">
        <f t="shared" si="415"/>
        <v>0</v>
      </c>
      <c r="BB441" s="38">
        <f t="shared" si="416"/>
        <v>0.83829608854667892</v>
      </c>
      <c r="BC441" s="38">
        <f t="shared" si="417"/>
        <v>0.1715328925964181</v>
      </c>
      <c r="BD441" s="38">
        <f t="shared" si="418"/>
        <v>2.7039875233534354E-3</v>
      </c>
      <c r="BE441" s="38">
        <f t="shared" si="419"/>
        <v>0</v>
      </c>
      <c r="BF441" s="38">
        <f t="shared" si="420"/>
        <v>0</v>
      </c>
      <c r="BG441" s="38">
        <f t="shared" si="421"/>
        <v>0</v>
      </c>
      <c r="BH441" s="41">
        <f t="shared" si="422"/>
        <v>5</v>
      </c>
      <c r="BI441" s="42">
        <f t="shared" si="423"/>
        <v>7.9787288891893269</v>
      </c>
      <c r="BJ441" s="38">
        <f t="shared" si="424"/>
        <v>3.9597612835257339</v>
      </c>
      <c r="BK441" s="38">
        <f t="shared" si="425"/>
        <v>1.0125329686664504</v>
      </c>
      <c r="BL441" s="16"/>
      <c r="BM441" s="16">
        <f t="shared" si="426"/>
        <v>0.82791979568897489</v>
      </c>
      <c r="BN441" s="16">
        <f t="shared" si="427"/>
        <v>0.16940968630614991</v>
      </c>
      <c r="BO441" s="16">
        <f t="shared" si="428"/>
        <v>2.670518004875143E-3</v>
      </c>
      <c r="BP441" s="15"/>
      <c r="BQ441" s="38">
        <f t="shared" si="429"/>
        <v>0.77446737683089217</v>
      </c>
      <c r="BR441" s="38">
        <f t="shared" si="430"/>
        <v>0</v>
      </c>
      <c r="BS441" s="38">
        <f t="shared" si="431"/>
        <v>0.65574735190270694</v>
      </c>
      <c r="BT441" s="38">
        <f t="shared" si="432"/>
        <v>0</v>
      </c>
      <c r="BU441" s="38">
        <f t="shared" si="433"/>
        <v>1.000695894224078E-2</v>
      </c>
      <c r="BV441" s="38">
        <f t="shared" si="434"/>
        <v>0</v>
      </c>
      <c r="BW441" s="38">
        <f t="shared" si="435"/>
        <v>0</v>
      </c>
      <c r="BX441" s="38">
        <f t="shared" si="436"/>
        <v>0.30278174037089872</v>
      </c>
      <c r="BY441" s="38">
        <f t="shared" si="437"/>
        <v>6.1955469506292354E-2</v>
      </c>
      <c r="BZ441" s="38">
        <f t="shared" si="438"/>
        <v>9.766454352441614E-4</v>
      </c>
      <c r="CA441" s="38">
        <f t="shared" si="439"/>
        <v>0</v>
      </c>
      <c r="CB441" s="38">
        <f t="shared" si="440"/>
        <v>0</v>
      </c>
      <c r="CC441" s="38">
        <f t="shared" si="441"/>
        <v>0</v>
      </c>
      <c r="CD441" s="38">
        <f t="shared" si="442"/>
        <v>1.8059355429882751</v>
      </c>
      <c r="CE441" s="38">
        <f t="shared" si="443"/>
        <v>2.8768105382997526</v>
      </c>
      <c r="CF441" s="38">
        <f t="shared" si="444"/>
        <v>2.7686480945640608</v>
      </c>
      <c r="CG441" s="38">
        <f t="shared" si="445"/>
        <v>7.9648760152854203</v>
      </c>
      <c r="CH441" s="15"/>
      <c r="CI441" s="16"/>
      <c r="CJ441" s="13"/>
      <c r="CK441" s="104"/>
      <c r="CL441" s="13"/>
      <c r="CM441" s="13"/>
      <c r="CN441" s="13"/>
      <c r="CO441" s="16"/>
      <c r="CP441" s="16"/>
      <c r="CQ441" s="16"/>
      <c r="CR441" s="16"/>
      <c r="CS441" s="16"/>
      <c r="CT441" s="16"/>
      <c r="CU441" s="16"/>
      <c r="CV441" s="16"/>
      <c r="CW441" s="16"/>
      <c r="CX441" s="16"/>
      <c r="CY441" s="104"/>
      <c r="CZ441" s="104"/>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3"/>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row>
    <row r="442" spans="1:167" x14ac:dyDescent="0.25">
      <c r="A442" s="35" t="s">
        <v>91</v>
      </c>
      <c r="B442" s="15">
        <v>1490</v>
      </c>
      <c r="C442" s="102" t="s">
        <v>96</v>
      </c>
      <c r="D442" s="102" t="s">
        <v>104</v>
      </c>
      <c r="E442" s="15">
        <v>497</v>
      </c>
      <c r="F442" s="16">
        <v>46.7</v>
      </c>
      <c r="G442" s="16">
        <v>0</v>
      </c>
      <c r="H442" s="16">
        <v>33.22</v>
      </c>
      <c r="I442" s="16">
        <v>0</v>
      </c>
      <c r="J442" s="44">
        <v>0.75700000000000001</v>
      </c>
      <c r="K442" s="16">
        <v>0</v>
      </c>
      <c r="L442" s="16">
        <v>0</v>
      </c>
      <c r="M442" s="16">
        <v>16.79</v>
      </c>
      <c r="N442" s="16">
        <v>2.14</v>
      </c>
      <c r="O442" s="16">
        <v>9.2999999999999999E-2</v>
      </c>
      <c r="P442" s="16">
        <v>0</v>
      </c>
      <c r="Q442" s="16"/>
      <c r="R442" s="16"/>
      <c r="S442" s="16">
        <f t="shared" si="391"/>
        <v>99.700000000000017</v>
      </c>
      <c r="T442" s="16"/>
      <c r="U442" s="15">
        <v>1</v>
      </c>
      <c r="V442" s="15">
        <v>8</v>
      </c>
      <c r="W442" s="15">
        <v>148.4</v>
      </c>
      <c r="X442" s="15" t="s">
        <v>185</v>
      </c>
      <c r="Y442" s="15"/>
      <c r="Z442" s="37">
        <v>8</v>
      </c>
      <c r="AA442" s="37">
        <v>5</v>
      </c>
      <c r="AB442" s="15"/>
      <c r="AC442" s="38">
        <f t="shared" si="392"/>
        <v>2.1610490032211538</v>
      </c>
      <c r="AD442" s="38">
        <f t="shared" si="393"/>
        <v>0</v>
      </c>
      <c r="AE442" s="38">
        <f t="shared" si="394"/>
        <v>1.81166316935447</v>
      </c>
      <c r="AF442" s="38">
        <f t="shared" si="395"/>
        <v>0</v>
      </c>
      <c r="AG442" s="38">
        <f t="shared" si="396"/>
        <v>2.9291847563085682E-2</v>
      </c>
      <c r="AH442" s="38">
        <f t="shared" si="397"/>
        <v>0</v>
      </c>
      <c r="AI442" s="38">
        <f t="shared" si="398"/>
        <v>0</v>
      </c>
      <c r="AJ442" s="38">
        <f t="shared" si="399"/>
        <v>0.83237753303865258</v>
      </c>
      <c r="AK442" s="38">
        <f t="shared" si="400"/>
        <v>0.19198613050071936</v>
      </c>
      <c r="AL442" s="38">
        <f t="shared" si="401"/>
        <v>5.4895873477807033E-3</v>
      </c>
      <c r="AM442" s="38">
        <f t="shared" si="402"/>
        <v>0</v>
      </c>
      <c r="AN442" s="38">
        <f t="shared" si="403"/>
        <v>0</v>
      </c>
      <c r="AO442" s="38">
        <f t="shared" si="404"/>
        <v>0</v>
      </c>
      <c r="AP442" s="38">
        <f t="shared" si="405"/>
        <v>5.0318572710258627</v>
      </c>
      <c r="AQ442" s="38">
        <f t="shared" si="406"/>
        <v>3.9727121725756236</v>
      </c>
      <c r="AR442" s="38">
        <f t="shared" si="407"/>
        <v>1.0298532508871527</v>
      </c>
      <c r="AS442" s="40"/>
      <c r="AT442" s="38">
        <f t="shared" si="408"/>
        <v>2.1473671517520736</v>
      </c>
      <c r="AU442" s="38">
        <f t="shared" si="409"/>
        <v>0</v>
      </c>
      <c r="AV442" s="38">
        <f t="shared" si="410"/>
        <v>1.8001933200552802</v>
      </c>
      <c r="AW442" s="38">
        <f t="shared" si="411"/>
        <v>0</v>
      </c>
      <c r="AX442" s="38">
        <f t="shared" si="412"/>
        <v>0</v>
      </c>
      <c r="AY442" s="38">
        <f t="shared" si="413"/>
        <v>2.9106397484436046E-2</v>
      </c>
      <c r="AZ442" s="38">
        <f t="shared" si="414"/>
        <v>0</v>
      </c>
      <c r="BA442" s="38">
        <f t="shared" si="415"/>
        <v>0</v>
      </c>
      <c r="BB442" s="38">
        <f t="shared" si="416"/>
        <v>0.82710765449528822</v>
      </c>
      <c r="BC442" s="38">
        <f t="shared" si="417"/>
        <v>0.19077064407828331</v>
      </c>
      <c r="BD442" s="38">
        <f t="shared" si="418"/>
        <v>5.4548321346379542E-3</v>
      </c>
      <c r="BE442" s="38">
        <f t="shared" si="419"/>
        <v>0</v>
      </c>
      <c r="BF442" s="38">
        <f t="shared" si="420"/>
        <v>0</v>
      </c>
      <c r="BG442" s="38">
        <f t="shared" si="421"/>
        <v>0</v>
      </c>
      <c r="BH442" s="41">
        <f t="shared" si="422"/>
        <v>5</v>
      </c>
      <c r="BI442" s="42">
        <f t="shared" si="423"/>
        <v>7.9639042724154701</v>
      </c>
      <c r="BJ442" s="38">
        <f t="shared" si="424"/>
        <v>3.9475604718073538</v>
      </c>
      <c r="BK442" s="38">
        <f t="shared" si="425"/>
        <v>1.0233331307082094</v>
      </c>
      <c r="BL442" s="16"/>
      <c r="BM442" s="16">
        <f t="shared" si="426"/>
        <v>0.80824868234538516</v>
      </c>
      <c r="BN442" s="16">
        <f t="shared" si="427"/>
        <v>0.18642086174446271</v>
      </c>
      <c r="BO442" s="16">
        <f t="shared" si="428"/>
        <v>5.3304559101520288E-3</v>
      </c>
      <c r="BP442" s="15"/>
      <c r="BQ442" s="38">
        <f t="shared" si="429"/>
        <v>0.77729693741677774</v>
      </c>
      <c r="BR442" s="38">
        <f t="shared" si="430"/>
        <v>0</v>
      </c>
      <c r="BS442" s="38">
        <f t="shared" si="431"/>
        <v>0.65162808944684192</v>
      </c>
      <c r="BT442" s="38">
        <f t="shared" si="432"/>
        <v>0</v>
      </c>
      <c r="BU442" s="38">
        <f t="shared" si="433"/>
        <v>1.0535838552540014E-2</v>
      </c>
      <c r="BV442" s="38">
        <f t="shared" si="434"/>
        <v>0</v>
      </c>
      <c r="BW442" s="38">
        <f t="shared" si="435"/>
        <v>0</v>
      </c>
      <c r="BX442" s="38">
        <f t="shared" si="436"/>
        <v>0.29939372325249641</v>
      </c>
      <c r="BY442" s="38">
        <f t="shared" si="437"/>
        <v>6.905453372055502E-2</v>
      </c>
      <c r="BZ442" s="38">
        <f t="shared" si="438"/>
        <v>1.9745222929936305E-3</v>
      </c>
      <c r="CA442" s="38">
        <f t="shared" si="439"/>
        <v>0</v>
      </c>
      <c r="CB442" s="38">
        <f t="shared" si="440"/>
        <v>0</v>
      </c>
      <c r="CC442" s="38">
        <f t="shared" si="441"/>
        <v>0</v>
      </c>
      <c r="CD442" s="38">
        <f t="shared" si="442"/>
        <v>1.8098836446822049</v>
      </c>
      <c r="CE442" s="38">
        <f t="shared" si="443"/>
        <v>2.8774800988156288</v>
      </c>
      <c r="CF442" s="38">
        <f t="shared" si="444"/>
        <v>2.7626085327037382</v>
      </c>
      <c r="CG442" s="38">
        <f t="shared" si="445"/>
        <v>7.9493510736732516</v>
      </c>
      <c r="CH442" s="15"/>
      <c r="CI442" s="16"/>
      <c r="CJ442" s="13"/>
      <c r="CK442" s="104"/>
      <c r="CL442" s="13"/>
      <c r="CM442" s="13"/>
      <c r="CN442" s="13"/>
      <c r="CO442" s="16"/>
      <c r="CP442" s="16"/>
      <c r="CQ442" s="16"/>
      <c r="CR442" s="16"/>
      <c r="CS442" s="16"/>
      <c r="CT442" s="16"/>
      <c r="CU442" s="16"/>
      <c r="CV442" s="16"/>
      <c r="CW442" s="16"/>
      <c r="CX442" s="16"/>
      <c r="CY442" s="104"/>
      <c r="CZ442" s="104"/>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3"/>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row>
    <row r="443" spans="1:167" x14ac:dyDescent="0.25">
      <c r="A443" s="35" t="s">
        <v>91</v>
      </c>
      <c r="B443" s="15">
        <v>1491</v>
      </c>
      <c r="C443" s="102" t="s">
        <v>96</v>
      </c>
      <c r="D443" s="102" t="s">
        <v>104</v>
      </c>
      <c r="E443" s="15">
        <v>498</v>
      </c>
      <c r="F443" s="16">
        <v>47.16</v>
      </c>
      <c r="G443" s="16">
        <v>0</v>
      </c>
      <c r="H443" s="16">
        <v>32.799999999999997</v>
      </c>
      <c r="I443" s="16">
        <v>0</v>
      </c>
      <c r="J443" s="44">
        <v>0.65500000000000003</v>
      </c>
      <c r="K443" s="16">
        <v>0</v>
      </c>
      <c r="L443" s="16">
        <v>0</v>
      </c>
      <c r="M443" s="16">
        <v>16.72</v>
      </c>
      <c r="N443" s="16">
        <v>2.21</v>
      </c>
      <c r="O443" s="16">
        <v>9.6000000000000002E-2</v>
      </c>
      <c r="P443" s="16">
        <v>0</v>
      </c>
      <c r="Q443" s="16"/>
      <c r="R443" s="16"/>
      <c r="S443" s="16">
        <f t="shared" si="391"/>
        <v>99.640999999999991</v>
      </c>
      <c r="T443" s="16"/>
      <c r="U443" s="15">
        <v>1</v>
      </c>
      <c r="V443" s="15">
        <v>9</v>
      </c>
      <c r="W443" s="15">
        <v>169.6</v>
      </c>
      <c r="X443" s="15" t="s">
        <v>185</v>
      </c>
      <c r="Y443" s="15"/>
      <c r="Z443" s="37">
        <v>8</v>
      </c>
      <c r="AA443" s="37">
        <v>5</v>
      </c>
      <c r="AB443" s="15"/>
      <c r="AC443" s="38">
        <f t="shared" si="392"/>
        <v>2.1812375262999399</v>
      </c>
      <c r="AD443" s="38">
        <f t="shared" si="393"/>
        <v>0</v>
      </c>
      <c r="AE443" s="38">
        <f t="shared" si="394"/>
        <v>1.7878583241857775</v>
      </c>
      <c r="AF443" s="38">
        <f t="shared" si="395"/>
        <v>0</v>
      </c>
      <c r="AG443" s="38">
        <f t="shared" si="396"/>
        <v>2.5332241278145134E-2</v>
      </c>
      <c r="AH443" s="38">
        <f t="shared" si="397"/>
        <v>0</v>
      </c>
      <c r="AI443" s="38">
        <f t="shared" si="398"/>
        <v>0</v>
      </c>
      <c r="AJ443" s="38">
        <f t="shared" si="399"/>
        <v>0.82849016342946946</v>
      </c>
      <c r="AK443" s="38">
        <f t="shared" si="400"/>
        <v>0.19816629319946835</v>
      </c>
      <c r="AL443" s="38">
        <f t="shared" si="401"/>
        <v>5.6638196282113367E-3</v>
      </c>
      <c r="AM443" s="38">
        <f t="shared" si="402"/>
        <v>0</v>
      </c>
      <c r="AN443" s="38">
        <f t="shared" si="403"/>
        <v>0</v>
      </c>
      <c r="AO443" s="38">
        <f t="shared" si="404"/>
        <v>0</v>
      </c>
      <c r="AP443" s="38">
        <f t="shared" si="405"/>
        <v>5.0267483680210132</v>
      </c>
      <c r="AQ443" s="38">
        <f t="shared" si="406"/>
        <v>3.9690958504857177</v>
      </c>
      <c r="AR443" s="38">
        <f t="shared" si="407"/>
        <v>1.0323202762571491</v>
      </c>
      <c r="AS443" s="40"/>
      <c r="AT443" s="38">
        <f t="shared" si="408"/>
        <v>2.1696307101589358</v>
      </c>
      <c r="AU443" s="38">
        <f t="shared" si="409"/>
        <v>0</v>
      </c>
      <c r="AV443" s="38">
        <f t="shared" si="410"/>
        <v>1.778344760163161</v>
      </c>
      <c r="AW443" s="38">
        <f t="shared" si="411"/>
        <v>0</v>
      </c>
      <c r="AX443" s="38">
        <f t="shared" si="412"/>
        <v>0</v>
      </c>
      <c r="AY443" s="38">
        <f t="shared" si="413"/>
        <v>2.5197443181463865E-2</v>
      </c>
      <c r="AZ443" s="38">
        <f t="shared" si="414"/>
        <v>0</v>
      </c>
      <c r="BA443" s="38">
        <f t="shared" si="415"/>
        <v>0</v>
      </c>
      <c r="BB443" s="38">
        <f t="shared" si="416"/>
        <v>0.82408159586834362</v>
      </c>
      <c r="BC443" s="38">
        <f t="shared" si="417"/>
        <v>0.19711180935588063</v>
      </c>
      <c r="BD443" s="38">
        <f t="shared" si="418"/>
        <v>5.6336812722148789E-3</v>
      </c>
      <c r="BE443" s="38">
        <f t="shared" si="419"/>
        <v>0</v>
      </c>
      <c r="BF443" s="38">
        <f t="shared" si="420"/>
        <v>0</v>
      </c>
      <c r="BG443" s="38">
        <f t="shared" si="421"/>
        <v>0</v>
      </c>
      <c r="BH443" s="41">
        <f t="shared" si="422"/>
        <v>5</v>
      </c>
      <c r="BI443" s="42">
        <f t="shared" si="423"/>
        <v>7.9700290665172</v>
      </c>
      <c r="BJ443" s="38">
        <f t="shared" si="424"/>
        <v>3.9479754703220968</v>
      </c>
      <c r="BK443" s="38">
        <f t="shared" si="425"/>
        <v>1.0268270864964391</v>
      </c>
      <c r="BL443" s="16"/>
      <c r="BM443" s="16">
        <f t="shared" si="426"/>
        <v>0.80255147795149395</v>
      </c>
      <c r="BN443" s="16">
        <f t="shared" si="427"/>
        <v>0.19196202744167112</v>
      </c>
      <c r="BO443" s="16">
        <f t="shared" si="428"/>
        <v>5.4864946068350689E-3</v>
      </c>
      <c r="BP443" s="15"/>
      <c r="BQ443" s="38">
        <f t="shared" si="429"/>
        <v>0.78495339547270304</v>
      </c>
      <c r="BR443" s="38">
        <f t="shared" si="430"/>
        <v>0</v>
      </c>
      <c r="BS443" s="38">
        <f t="shared" si="431"/>
        <v>0.64338956453511176</v>
      </c>
      <c r="BT443" s="38">
        <f t="shared" si="432"/>
        <v>0</v>
      </c>
      <c r="BU443" s="38">
        <f t="shared" si="433"/>
        <v>9.1162143354210166E-3</v>
      </c>
      <c r="BV443" s="38">
        <f t="shared" si="434"/>
        <v>0</v>
      </c>
      <c r="BW443" s="38">
        <f t="shared" si="435"/>
        <v>0</v>
      </c>
      <c r="BX443" s="38">
        <f t="shared" si="436"/>
        <v>0.29814550641940085</v>
      </c>
      <c r="BY443" s="38">
        <f t="shared" si="437"/>
        <v>7.1313326879638594E-2</v>
      </c>
      <c r="BZ443" s="38">
        <f t="shared" si="438"/>
        <v>2.0382165605095539E-3</v>
      </c>
      <c r="CA443" s="38">
        <f t="shared" si="439"/>
        <v>0</v>
      </c>
      <c r="CB443" s="38">
        <f t="shared" si="440"/>
        <v>0</v>
      </c>
      <c r="CC443" s="38">
        <f t="shared" si="441"/>
        <v>0</v>
      </c>
      <c r="CD443" s="38">
        <f t="shared" si="442"/>
        <v>1.808956224202785</v>
      </c>
      <c r="CE443" s="38">
        <f t="shared" si="443"/>
        <v>2.8789286302229695</v>
      </c>
      <c r="CF443" s="38">
        <f t="shared" si="444"/>
        <v>2.7640248741804254</v>
      </c>
      <c r="CG443" s="38">
        <f t="shared" si="445"/>
        <v>7.9574303449264674</v>
      </c>
      <c r="CH443" s="15"/>
      <c r="CI443" s="16"/>
      <c r="CJ443" s="13"/>
      <c r="CK443" s="104"/>
      <c r="CL443" s="13"/>
      <c r="CM443" s="13"/>
      <c r="CN443" s="13"/>
      <c r="CO443" s="16"/>
      <c r="CP443" s="16"/>
      <c r="CQ443" s="16"/>
      <c r="CR443" s="16"/>
      <c r="CS443" s="16"/>
      <c r="CT443" s="16"/>
      <c r="CU443" s="16"/>
      <c r="CV443" s="16"/>
      <c r="CW443" s="16"/>
      <c r="CX443" s="16"/>
      <c r="CY443" s="104"/>
      <c r="CZ443" s="104"/>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3"/>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row>
    <row r="444" spans="1:167" x14ac:dyDescent="0.25">
      <c r="A444" s="35" t="s">
        <v>91</v>
      </c>
      <c r="B444" s="15">
        <v>1492</v>
      </c>
      <c r="C444" s="102" t="s">
        <v>96</v>
      </c>
      <c r="D444" s="102" t="s">
        <v>104</v>
      </c>
      <c r="E444" s="15">
        <v>499</v>
      </c>
      <c r="F444" s="16">
        <v>46.94</v>
      </c>
      <c r="G444" s="16">
        <v>0</v>
      </c>
      <c r="H444" s="16">
        <v>33.020000000000003</v>
      </c>
      <c r="I444" s="16">
        <v>0</v>
      </c>
      <c r="J444" s="44">
        <v>0.72</v>
      </c>
      <c r="K444" s="16">
        <v>0</v>
      </c>
      <c r="L444" s="16">
        <v>0</v>
      </c>
      <c r="M444" s="16">
        <v>16.78</v>
      </c>
      <c r="N444" s="16">
        <v>2.06</v>
      </c>
      <c r="O444" s="16">
        <v>5.6000000000000001E-2</v>
      </c>
      <c r="P444" s="16">
        <v>0</v>
      </c>
      <c r="Q444" s="16"/>
      <c r="R444" s="16"/>
      <c r="S444" s="16">
        <f t="shared" si="391"/>
        <v>99.576000000000008</v>
      </c>
      <c r="T444" s="16"/>
      <c r="U444" s="15">
        <v>1</v>
      </c>
      <c r="V444" s="15">
        <v>10</v>
      </c>
      <c r="W444" s="15">
        <v>190.79999999999998</v>
      </c>
      <c r="X444" s="15" t="s">
        <v>185</v>
      </c>
      <c r="Y444" s="15"/>
      <c r="Z444" s="37">
        <v>8</v>
      </c>
      <c r="AA444" s="37">
        <v>5</v>
      </c>
      <c r="AB444" s="15"/>
      <c r="AC444" s="38">
        <f t="shared" si="392"/>
        <v>2.1723604680916915</v>
      </c>
      <c r="AD444" s="38">
        <f t="shared" si="393"/>
        <v>0</v>
      </c>
      <c r="AE444" s="38">
        <f t="shared" si="394"/>
        <v>1.8009264127388531</v>
      </c>
      <c r="AF444" s="38">
        <f t="shared" si="395"/>
        <v>0</v>
      </c>
      <c r="AG444" s="38">
        <f t="shared" si="396"/>
        <v>2.7862780506458934E-2</v>
      </c>
      <c r="AH444" s="38">
        <f t="shared" si="397"/>
        <v>0</v>
      </c>
      <c r="AI444" s="38">
        <f t="shared" si="398"/>
        <v>0</v>
      </c>
      <c r="AJ444" s="38">
        <f t="shared" si="399"/>
        <v>0.83196045030285781</v>
      </c>
      <c r="AK444" s="38">
        <f t="shared" si="400"/>
        <v>0.184826557202211</v>
      </c>
      <c r="AL444" s="38">
        <f t="shared" si="401"/>
        <v>3.3058705958300357E-3</v>
      </c>
      <c r="AM444" s="38">
        <f t="shared" si="402"/>
        <v>0</v>
      </c>
      <c r="AN444" s="38">
        <f t="shared" si="403"/>
        <v>0</v>
      </c>
      <c r="AO444" s="38">
        <f t="shared" si="404"/>
        <v>0</v>
      </c>
      <c r="AP444" s="38">
        <f t="shared" si="405"/>
        <v>5.0212425394379023</v>
      </c>
      <c r="AQ444" s="38">
        <f t="shared" si="406"/>
        <v>3.9732868808305444</v>
      </c>
      <c r="AR444" s="38">
        <f t="shared" si="407"/>
        <v>1.0200928781008989</v>
      </c>
      <c r="AS444" s="40"/>
      <c r="AT444" s="38">
        <f t="shared" si="408"/>
        <v>2.1631702223399012</v>
      </c>
      <c r="AU444" s="38">
        <f t="shared" si="409"/>
        <v>0</v>
      </c>
      <c r="AV444" s="38">
        <f t="shared" si="410"/>
        <v>1.7933075315462217</v>
      </c>
      <c r="AW444" s="38">
        <f t="shared" si="411"/>
        <v>0</v>
      </c>
      <c r="AX444" s="38">
        <f t="shared" si="412"/>
        <v>0</v>
      </c>
      <c r="AY444" s="38">
        <f t="shared" si="413"/>
        <v>2.7744906054247287E-2</v>
      </c>
      <c r="AZ444" s="38">
        <f t="shared" si="414"/>
        <v>0</v>
      </c>
      <c r="BA444" s="38">
        <f t="shared" si="415"/>
        <v>0</v>
      </c>
      <c r="BB444" s="38">
        <f t="shared" si="416"/>
        <v>0.82844081297454208</v>
      </c>
      <c r="BC444" s="38">
        <f t="shared" si="417"/>
        <v>0.18404464208863053</v>
      </c>
      <c r="BD444" s="38">
        <f t="shared" si="418"/>
        <v>3.291884996457578E-3</v>
      </c>
      <c r="BE444" s="38">
        <f t="shared" si="419"/>
        <v>0</v>
      </c>
      <c r="BF444" s="38">
        <f t="shared" si="420"/>
        <v>0</v>
      </c>
      <c r="BG444" s="38">
        <f t="shared" si="421"/>
        <v>0</v>
      </c>
      <c r="BH444" s="41">
        <f t="shared" si="422"/>
        <v>5</v>
      </c>
      <c r="BI444" s="42">
        <f t="shared" si="423"/>
        <v>7.9800281775975925</v>
      </c>
      <c r="BJ444" s="38">
        <f t="shared" si="424"/>
        <v>3.9564777538861229</v>
      </c>
      <c r="BK444" s="38">
        <f t="shared" si="425"/>
        <v>1.0157773400596302</v>
      </c>
      <c r="BL444" s="16"/>
      <c r="BM444" s="16">
        <f t="shared" si="426"/>
        <v>0.81557323667597192</v>
      </c>
      <c r="BN444" s="16">
        <f t="shared" si="427"/>
        <v>0.18118600881353231</v>
      </c>
      <c r="BO444" s="16">
        <f t="shared" si="428"/>
        <v>3.2407545104957071E-3</v>
      </c>
      <c r="BP444" s="15"/>
      <c r="BQ444" s="38">
        <f t="shared" si="429"/>
        <v>0.7812916111850865</v>
      </c>
      <c r="BR444" s="38">
        <f t="shared" si="430"/>
        <v>0</v>
      </c>
      <c r="BS444" s="38">
        <f t="shared" si="431"/>
        <v>0.64770498234601814</v>
      </c>
      <c r="BT444" s="38">
        <f t="shared" si="432"/>
        <v>0</v>
      </c>
      <c r="BU444" s="38">
        <f t="shared" si="433"/>
        <v>1.0020876826722338E-2</v>
      </c>
      <c r="BV444" s="38">
        <f t="shared" si="434"/>
        <v>0</v>
      </c>
      <c r="BW444" s="38">
        <f t="shared" si="435"/>
        <v>0</v>
      </c>
      <c r="BX444" s="38">
        <f t="shared" si="436"/>
        <v>0.29921540656205425</v>
      </c>
      <c r="BY444" s="38">
        <f t="shared" si="437"/>
        <v>6.6473055824459504E-2</v>
      </c>
      <c r="BZ444" s="38">
        <f t="shared" si="438"/>
        <v>1.1889596602972399E-3</v>
      </c>
      <c r="CA444" s="38">
        <f t="shared" si="439"/>
        <v>0</v>
      </c>
      <c r="CB444" s="38">
        <f t="shared" si="440"/>
        <v>0</v>
      </c>
      <c r="CC444" s="38">
        <f t="shared" si="441"/>
        <v>0</v>
      </c>
      <c r="CD444" s="38">
        <f t="shared" si="442"/>
        <v>1.8058948924046379</v>
      </c>
      <c r="CE444" s="38">
        <f t="shared" si="443"/>
        <v>2.8772079870203555</v>
      </c>
      <c r="CF444" s="38">
        <f t="shared" si="444"/>
        <v>2.7687104166634273</v>
      </c>
      <c r="CG444" s="38">
        <f t="shared" si="445"/>
        <v>7.9661557245704699</v>
      </c>
      <c r="CH444" s="15"/>
      <c r="CI444" s="16"/>
      <c r="CJ444" s="13"/>
      <c r="CK444" s="104"/>
      <c r="CL444" s="13"/>
      <c r="CM444" s="13"/>
      <c r="CN444" s="13"/>
      <c r="CO444" s="16"/>
      <c r="CP444" s="16"/>
      <c r="CQ444" s="16"/>
      <c r="CR444" s="16"/>
      <c r="CS444" s="16"/>
      <c r="CT444" s="16"/>
      <c r="CU444" s="16"/>
      <c r="CV444" s="16"/>
      <c r="CW444" s="16"/>
      <c r="CX444" s="16"/>
      <c r="CY444" s="104"/>
      <c r="CZ444" s="104"/>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3"/>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row>
    <row r="445" spans="1:167" x14ac:dyDescent="0.25">
      <c r="A445" s="35" t="s">
        <v>91</v>
      </c>
      <c r="B445" s="15">
        <v>1493</v>
      </c>
      <c r="C445" s="102" t="s">
        <v>96</v>
      </c>
      <c r="D445" s="102" t="s">
        <v>104</v>
      </c>
      <c r="E445" s="15">
        <v>500</v>
      </c>
      <c r="F445" s="16">
        <v>47.27</v>
      </c>
      <c r="G445" s="16">
        <v>0</v>
      </c>
      <c r="H445" s="16">
        <v>32.76</v>
      </c>
      <c r="I445" s="16">
        <v>0</v>
      </c>
      <c r="J445" s="44">
        <v>0.71399999999999997</v>
      </c>
      <c r="K445" s="16">
        <v>0</v>
      </c>
      <c r="L445" s="16">
        <v>0</v>
      </c>
      <c r="M445" s="16">
        <v>16.489999999999998</v>
      </c>
      <c r="N445" s="16">
        <v>2.35</v>
      </c>
      <c r="O445" s="16">
        <v>8.7999999999999995E-2</v>
      </c>
      <c r="P445" s="16">
        <v>0</v>
      </c>
      <c r="Q445" s="16"/>
      <c r="R445" s="16"/>
      <c r="S445" s="16">
        <f t="shared" si="391"/>
        <v>99.671999999999983</v>
      </c>
      <c r="T445" s="16"/>
      <c r="U445" s="15">
        <v>1</v>
      </c>
      <c r="V445" s="15">
        <v>11</v>
      </c>
      <c r="W445" s="15">
        <v>211.99999999999997</v>
      </c>
      <c r="X445" s="15" t="s">
        <v>185</v>
      </c>
      <c r="Y445" s="15"/>
      <c r="Z445" s="37">
        <v>8</v>
      </c>
      <c r="AA445" s="37">
        <v>5</v>
      </c>
      <c r="AB445" s="15"/>
      <c r="AC445" s="38">
        <f t="shared" si="392"/>
        <v>2.1852787975898837</v>
      </c>
      <c r="AD445" s="38">
        <f t="shared" si="393"/>
        <v>0</v>
      </c>
      <c r="AE445" s="38">
        <f t="shared" si="394"/>
        <v>1.7848233366093944</v>
      </c>
      <c r="AF445" s="38">
        <f t="shared" si="395"/>
        <v>0</v>
      </c>
      <c r="AG445" s="38">
        <f t="shared" si="396"/>
        <v>2.7600859927303992E-2</v>
      </c>
      <c r="AH445" s="38">
        <f t="shared" si="397"/>
        <v>0</v>
      </c>
      <c r="AI445" s="38">
        <f t="shared" si="398"/>
        <v>0</v>
      </c>
      <c r="AJ445" s="38">
        <f t="shared" si="399"/>
        <v>0.81670238613353696</v>
      </c>
      <c r="AK445" s="38">
        <f t="shared" si="400"/>
        <v>0.21061895798027649</v>
      </c>
      <c r="AL445" s="38">
        <f t="shared" si="401"/>
        <v>5.1893497103236352E-3</v>
      </c>
      <c r="AM445" s="38">
        <f t="shared" si="402"/>
        <v>0</v>
      </c>
      <c r="AN445" s="38">
        <f t="shared" si="403"/>
        <v>0</v>
      </c>
      <c r="AO445" s="38">
        <f t="shared" si="404"/>
        <v>0</v>
      </c>
      <c r="AP445" s="38">
        <f t="shared" si="405"/>
        <v>5.0302136879507193</v>
      </c>
      <c r="AQ445" s="38">
        <f t="shared" si="406"/>
        <v>3.9701021341992782</v>
      </c>
      <c r="AR445" s="38">
        <f t="shared" si="407"/>
        <v>1.0325106938241371</v>
      </c>
      <c r="AS445" s="40"/>
      <c r="AT445" s="38">
        <f t="shared" si="408"/>
        <v>2.1721530467229058</v>
      </c>
      <c r="AU445" s="38">
        <f t="shared" si="409"/>
        <v>0</v>
      </c>
      <c r="AV445" s="38">
        <f t="shared" si="410"/>
        <v>1.7741028983368312</v>
      </c>
      <c r="AW445" s="38">
        <f t="shared" si="411"/>
        <v>0</v>
      </c>
      <c r="AX445" s="38">
        <f t="shared" si="412"/>
        <v>0</v>
      </c>
      <c r="AY445" s="38">
        <f t="shared" si="413"/>
        <v>2.7435076956490518E-2</v>
      </c>
      <c r="AZ445" s="38">
        <f t="shared" si="414"/>
        <v>0</v>
      </c>
      <c r="BA445" s="38">
        <f t="shared" si="415"/>
        <v>0</v>
      </c>
      <c r="BB445" s="38">
        <f t="shared" si="416"/>
        <v>0.81179691042733515</v>
      </c>
      <c r="BC445" s="38">
        <f t="shared" si="417"/>
        <v>0.20935388737539048</v>
      </c>
      <c r="BD445" s="38">
        <f t="shared" si="418"/>
        <v>5.1581801810468885E-3</v>
      </c>
      <c r="BE445" s="38">
        <f t="shared" si="419"/>
        <v>0</v>
      </c>
      <c r="BF445" s="38">
        <f t="shared" si="420"/>
        <v>0</v>
      </c>
      <c r="BG445" s="38">
        <f t="shared" si="421"/>
        <v>0</v>
      </c>
      <c r="BH445" s="41">
        <f t="shared" si="422"/>
        <v>5</v>
      </c>
      <c r="BI445" s="42">
        <f t="shared" si="423"/>
        <v>7.9656660005913489</v>
      </c>
      <c r="BJ445" s="38">
        <f t="shared" si="424"/>
        <v>3.946255945059737</v>
      </c>
      <c r="BK445" s="38">
        <f t="shared" si="425"/>
        <v>1.0263089779837726</v>
      </c>
      <c r="BL445" s="16"/>
      <c r="BM445" s="16">
        <f t="shared" si="426"/>
        <v>0.79098685468205154</v>
      </c>
      <c r="BN445" s="16">
        <f t="shared" si="427"/>
        <v>0.20398719281076064</v>
      </c>
      <c r="BO445" s="16">
        <f t="shared" si="428"/>
        <v>5.0259525071877989E-3</v>
      </c>
      <c r="BP445" s="15"/>
      <c r="BQ445" s="38">
        <f t="shared" si="429"/>
        <v>0.78678428761651142</v>
      </c>
      <c r="BR445" s="38">
        <f t="shared" si="430"/>
        <v>0</v>
      </c>
      <c r="BS445" s="38">
        <f t="shared" si="431"/>
        <v>0.64260494311494709</v>
      </c>
      <c r="BT445" s="38">
        <f t="shared" si="432"/>
        <v>0</v>
      </c>
      <c r="BU445" s="38">
        <f t="shared" si="433"/>
        <v>9.9373695198329854E-3</v>
      </c>
      <c r="BV445" s="38">
        <f t="shared" si="434"/>
        <v>0</v>
      </c>
      <c r="BW445" s="38">
        <f t="shared" si="435"/>
        <v>0</v>
      </c>
      <c r="BX445" s="38">
        <f t="shared" si="436"/>
        <v>0.29404422253922963</v>
      </c>
      <c r="BY445" s="38">
        <f t="shared" si="437"/>
        <v>7.5830913197805744E-2</v>
      </c>
      <c r="BZ445" s="38">
        <f t="shared" si="438"/>
        <v>1.8683651804670912E-3</v>
      </c>
      <c r="CA445" s="38">
        <f t="shared" si="439"/>
        <v>0</v>
      </c>
      <c r="CB445" s="38">
        <f t="shared" si="440"/>
        <v>0</v>
      </c>
      <c r="CC445" s="38">
        <f t="shared" si="441"/>
        <v>0</v>
      </c>
      <c r="CD445" s="38">
        <f t="shared" si="442"/>
        <v>1.811070101168794</v>
      </c>
      <c r="CE445" s="38">
        <f t="shared" si="443"/>
        <v>2.8803072211536422</v>
      </c>
      <c r="CF445" s="38">
        <f t="shared" si="444"/>
        <v>2.7607987105375962</v>
      </c>
      <c r="CG445" s="38">
        <f t="shared" si="445"/>
        <v>7.9519484621131022</v>
      </c>
      <c r="CH445" s="15"/>
      <c r="CI445" s="16"/>
      <c r="CJ445" s="13"/>
      <c r="CK445" s="104"/>
      <c r="CL445" s="13"/>
      <c r="CM445" s="13"/>
      <c r="CN445" s="13"/>
      <c r="CO445" s="16"/>
      <c r="CP445" s="16"/>
      <c r="CQ445" s="16"/>
      <c r="CR445" s="16"/>
      <c r="CS445" s="16"/>
      <c r="CT445" s="16"/>
      <c r="CU445" s="16"/>
      <c r="CV445" s="16"/>
      <c r="CW445" s="16"/>
      <c r="CX445" s="16"/>
      <c r="CY445" s="104"/>
      <c r="CZ445" s="104"/>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3"/>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row>
    <row r="446" spans="1:167" x14ac:dyDescent="0.25">
      <c r="A446" s="35" t="s">
        <v>91</v>
      </c>
      <c r="B446" s="15">
        <v>1494</v>
      </c>
      <c r="C446" s="102" t="s">
        <v>96</v>
      </c>
      <c r="D446" s="102" t="s">
        <v>104</v>
      </c>
      <c r="E446" s="15">
        <v>501</v>
      </c>
      <c r="F446" s="16">
        <v>51.84</v>
      </c>
      <c r="G446" s="16">
        <v>0</v>
      </c>
      <c r="H446" s="16">
        <v>29.76</v>
      </c>
      <c r="I446" s="16">
        <v>0</v>
      </c>
      <c r="J446" s="44">
        <v>0.76500000000000001</v>
      </c>
      <c r="K446" s="16">
        <v>0</v>
      </c>
      <c r="L446" s="16">
        <v>0</v>
      </c>
      <c r="M446" s="16">
        <v>12.83</v>
      </c>
      <c r="N446" s="16">
        <v>4.4400000000000004</v>
      </c>
      <c r="O446" s="16">
        <v>0.221</v>
      </c>
      <c r="P446" s="16">
        <v>0</v>
      </c>
      <c r="Q446" s="16"/>
      <c r="R446" s="16"/>
      <c r="S446" s="16">
        <f t="shared" si="391"/>
        <v>99.856000000000009</v>
      </c>
      <c r="T446" s="16"/>
      <c r="U446" s="15">
        <v>1</v>
      </c>
      <c r="V446" s="15">
        <v>12</v>
      </c>
      <c r="W446" s="15">
        <v>233.19999999999996</v>
      </c>
      <c r="X446" s="15" t="s">
        <v>258</v>
      </c>
      <c r="Y446" s="15"/>
      <c r="Z446" s="37">
        <v>8</v>
      </c>
      <c r="AA446" s="37">
        <v>5</v>
      </c>
      <c r="AB446" s="15"/>
      <c r="AC446" s="38">
        <f t="shared" si="392"/>
        <v>2.3682323987993783</v>
      </c>
      <c r="AD446" s="38">
        <f t="shared" si="393"/>
        <v>0</v>
      </c>
      <c r="AE446" s="38">
        <f t="shared" si="394"/>
        <v>1.6022207249451006</v>
      </c>
      <c r="AF446" s="38">
        <f t="shared" si="395"/>
        <v>0</v>
      </c>
      <c r="AG446" s="38">
        <f t="shared" si="396"/>
        <v>2.9222940380684747E-2</v>
      </c>
      <c r="AH446" s="38">
        <f t="shared" si="397"/>
        <v>0</v>
      </c>
      <c r="AI446" s="38">
        <f t="shared" si="398"/>
        <v>0</v>
      </c>
      <c r="AJ446" s="38">
        <f t="shared" si="399"/>
        <v>0.62792518291559929</v>
      </c>
      <c r="AK446" s="38">
        <f t="shared" si="400"/>
        <v>0.39323362175037541</v>
      </c>
      <c r="AL446" s="38">
        <f t="shared" si="401"/>
        <v>1.2878361624240896E-2</v>
      </c>
      <c r="AM446" s="38">
        <f t="shared" si="402"/>
        <v>0</v>
      </c>
      <c r="AN446" s="38">
        <f t="shared" si="403"/>
        <v>0</v>
      </c>
      <c r="AO446" s="38">
        <f t="shared" si="404"/>
        <v>0</v>
      </c>
      <c r="AP446" s="38">
        <f t="shared" si="405"/>
        <v>5.033713230415378</v>
      </c>
      <c r="AQ446" s="38">
        <f t="shared" si="406"/>
        <v>3.9704531237444787</v>
      </c>
      <c r="AR446" s="38">
        <f t="shared" si="407"/>
        <v>1.0340371662902157</v>
      </c>
      <c r="AS446" s="40"/>
      <c r="AT446" s="38">
        <f t="shared" si="408"/>
        <v>2.3523711923930488</v>
      </c>
      <c r="AU446" s="38">
        <f t="shared" si="409"/>
        <v>0</v>
      </c>
      <c r="AV446" s="38">
        <f t="shared" si="410"/>
        <v>1.5914898719934492</v>
      </c>
      <c r="AW446" s="38">
        <f t="shared" si="411"/>
        <v>0</v>
      </c>
      <c r="AX446" s="38">
        <f t="shared" si="412"/>
        <v>0</v>
      </c>
      <c r="AY446" s="38">
        <f t="shared" si="413"/>
        <v>2.9027220108716133E-2</v>
      </c>
      <c r="AZ446" s="38">
        <f t="shared" si="414"/>
        <v>0</v>
      </c>
      <c r="BA446" s="38">
        <f t="shared" si="415"/>
        <v>0</v>
      </c>
      <c r="BB446" s="38">
        <f t="shared" si="416"/>
        <v>0.62371966197981377</v>
      </c>
      <c r="BC446" s="38">
        <f t="shared" si="417"/>
        <v>0.39059994456411057</v>
      </c>
      <c r="BD446" s="38">
        <f t="shared" si="418"/>
        <v>1.2792108960861664E-2</v>
      </c>
      <c r="BE446" s="38">
        <f t="shared" si="419"/>
        <v>0</v>
      </c>
      <c r="BF446" s="38">
        <f t="shared" si="420"/>
        <v>0</v>
      </c>
      <c r="BG446" s="38">
        <f t="shared" si="421"/>
        <v>0</v>
      </c>
      <c r="BH446" s="41">
        <f t="shared" si="422"/>
        <v>5</v>
      </c>
      <c r="BI446" s="42">
        <f t="shared" si="423"/>
        <v>7.9609337116816459</v>
      </c>
      <c r="BJ446" s="38">
        <f t="shared" si="424"/>
        <v>3.943861064386498</v>
      </c>
      <c r="BK446" s="38">
        <f t="shared" si="425"/>
        <v>1.027111715504786</v>
      </c>
      <c r="BL446" s="16"/>
      <c r="BM446" s="16">
        <f t="shared" si="426"/>
        <v>0.60725591244305821</v>
      </c>
      <c r="BN446" s="16">
        <f t="shared" si="427"/>
        <v>0.38028964003408888</v>
      </c>
      <c r="BO446" s="16">
        <f t="shared" si="428"/>
        <v>1.2454447522852791E-2</v>
      </c>
      <c r="BP446" s="15"/>
      <c r="BQ446" s="38">
        <f t="shared" si="429"/>
        <v>0.86284953395472708</v>
      </c>
      <c r="BR446" s="38">
        <f t="shared" si="430"/>
        <v>0</v>
      </c>
      <c r="BS446" s="38">
        <f t="shared" si="431"/>
        <v>0.58375833660258936</v>
      </c>
      <c r="BT446" s="38">
        <f t="shared" si="432"/>
        <v>0</v>
      </c>
      <c r="BU446" s="38">
        <f t="shared" si="433"/>
        <v>1.0647181628392486E-2</v>
      </c>
      <c r="BV446" s="38">
        <f t="shared" si="434"/>
        <v>0</v>
      </c>
      <c r="BW446" s="38">
        <f t="shared" si="435"/>
        <v>0</v>
      </c>
      <c r="BX446" s="38">
        <f t="shared" si="436"/>
        <v>0.22878031383737518</v>
      </c>
      <c r="BY446" s="38">
        <f t="shared" si="437"/>
        <v>0.14327202323330107</v>
      </c>
      <c r="BZ446" s="38">
        <f t="shared" si="438"/>
        <v>4.6921443736730357E-3</v>
      </c>
      <c r="CA446" s="38">
        <f t="shared" si="439"/>
        <v>0</v>
      </c>
      <c r="CB446" s="38">
        <f t="shared" si="440"/>
        <v>0</v>
      </c>
      <c r="CC446" s="38">
        <f t="shared" si="441"/>
        <v>0</v>
      </c>
      <c r="CD446" s="38">
        <f t="shared" si="442"/>
        <v>1.8339995336300581</v>
      </c>
      <c r="CE446" s="38">
        <f t="shared" si="443"/>
        <v>2.9147461520825928</v>
      </c>
      <c r="CF446" s="38">
        <f t="shared" si="444"/>
        <v>2.7262820455049068</v>
      </c>
      <c r="CG446" s="38">
        <f t="shared" si="445"/>
        <v>7.9464201016272877</v>
      </c>
      <c r="CH446" s="15"/>
      <c r="CI446" s="16"/>
      <c r="CJ446" s="13"/>
      <c r="CK446" s="104"/>
      <c r="CL446" s="13"/>
      <c r="CM446" s="13"/>
      <c r="CN446" s="13"/>
      <c r="CO446" s="16"/>
      <c r="CP446" s="16"/>
      <c r="CQ446" s="16"/>
      <c r="CR446" s="16"/>
      <c r="CS446" s="16"/>
      <c r="CT446" s="16"/>
      <c r="CU446" s="16"/>
      <c r="CV446" s="16"/>
      <c r="CW446" s="16"/>
      <c r="CX446" s="16"/>
      <c r="CY446" s="104"/>
      <c r="CZ446" s="104"/>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3"/>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row>
    <row r="447" spans="1:167" x14ac:dyDescent="0.25">
      <c r="A447" s="35" t="s">
        <v>91</v>
      </c>
      <c r="B447" s="15">
        <v>1495</v>
      </c>
      <c r="C447" s="102" t="s">
        <v>96</v>
      </c>
      <c r="D447" s="102" t="s">
        <v>104</v>
      </c>
      <c r="E447" s="15">
        <v>502</v>
      </c>
      <c r="F447" s="16">
        <v>52.15</v>
      </c>
      <c r="G447" s="16">
        <v>0</v>
      </c>
      <c r="H447" s="16">
        <v>29.5</v>
      </c>
      <c r="I447" s="16">
        <v>0</v>
      </c>
      <c r="J447" s="44">
        <v>0.69699999999999995</v>
      </c>
      <c r="K447" s="16">
        <v>0</v>
      </c>
      <c r="L447" s="16">
        <v>0</v>
      </c>
      <c r="M447" s="16">
        <v>12.45</v>
      </c>
      <c r="N447" s="16">
        <v>4.6500000000000004</v>
      </c>
      <c r="O447" s="16">
        <v>0.23599999999999999</v>
      </c>
      <c r="P447" s="16">
        <v>0</v>
      </c>
      <c r="Q447" s="16"/>
      <c r="R447" s="16"/>
      <c r="S447" s="16">
        <f t="shared" si="391"/>
        <v>99.683000000000021</v>
      </c>
      <c r="T447" s="16"/>
      <c r="U447" s="15">
        <v>1</v>
      </c>
      <c r="V447" s="15">
        <v>13</v>
      </c>
      <c r="W447" s="15">
        <v>254.39999999999995</v>
      </c>
      <c r="X447" s="15" t="s">
        <v>258</v>
      </c>
      <c r="Y447" s="15"/>
      <c r="Z447" s="37">
        <v>8</v>
      </c>
      <c r="AA447" s="37">
        <v>5</v>
      </c>
      <c r="AB447" s="15"/>
      <c r="AC447" s="38">
        <f t="shared" si="392"/>
        <v>2.3836254605068059</v>
      </c>
      <c r="AD447" s="38">
        <f t="shared" si="393"/>
        <v>0</v>
      </c>
      <c r="AE447" s="38">
        <f t="shared" si="394"/>
        <v>1.5890435935750726</v>
      </c>
      <c r="AF447" s="38">
        <f t="shared" si="395"/>
        <v>0</v>
      </c>
      <c r="AG447" s="38">
        <f t="shared" si="396"/>
        <v>2.6639105175857738E-2</v>
      </c>
      <c r="AH447" s="38">
        <f t="shared" si="397"/>
        <v>0</v>
      </c>
      <c r="AI447" s="38">
        <f t="shared" si="398"/>
        <v>0</v>
      </c>
      <c r="AJ447" s="38">
        <f t="shared" si="399"/>
        <v>0.60964213223584474</v>
      </c>
      <c r="AK447" s="38">
        <f t="shared" si="400"/>
        <v>0.41204533683596783</v>
      </c>
      <c r="AL447" s="38">
        <f t="shared" si="401"/>
        <v>1.3759565588188057E-2</v>
      </c>
      <c r="AM447" s="38">
        <f t="shared" si="402"/>
        <v>0</v>
      </c>
      <c r="AN447" s="38">
        <f t="shared" si="403"/>
        <v>0</v>
      </c>
      <c r="AO447" s="38">
        <f t="shared" si="404"/>
        <v>0</v>
      </c>
      <c r="AP447" s="38">
        <f t="shared" si="405"/>
        <v>5.0347551939177366</v>
      </c>
      <c r="AQ447" s="38">
        <f t="shared" si="406"/>
        <v>3.9726690540818783</v>
      </c>
      <c r="AR447" s="38">
        <f t="shared" si="407"/>
        <v>1.0354470346600007</v>
      </c>
      <c r="AS447" s="40"/>
      <c r="AT447" s="38">
        <f t="shared" si="408"/>
        <v>2.3671711619527773</v>
      </c>
      <c r="AU447" s="38">
        <f t="shared" si="409"/>
        <v>0</v>
      </c>
      <c r="AV447" s="38">
        <f t="shared" si="410"/>
        <v>1.5780743376507416</v>
      </c>
      <c r="AW447" s="38">
        <f t="shared" si="411"/>
        <v>0</v>
      </c>
      <c r="AX447" s="38">
        <f t="shared" si="412"/>
        <v>0</v>
      </c>
      <c r="AY447" s="38">
        <f t="shared" si="413"/>
        <v>2.6455213957611339E-2</v>
      </c>
      <c r="AZ447" s="38">
        <f t="shared" si="414"/>
        <v>0</v>
      </c>
      <c r="BA447" s="38">
        <f t="shared" si="415"/>
        <v>0</v>
      </c>
      <c r="BB447" s="38">
        <f t="shared" si="416"/>
        <v>0.60543373883632534</v>
      </c>
      <c r="BC447" s="38">
        <f t="shared" si="417"/>
        <v>0.40920096505758757</v>
      </c>
      <c r="BD447" s="38">
        <f t="shared" si="418"/>
        <v>1.3664582544957077E-2</v>
      </c>
      <c r="BE447" s="38">
        <f t="shared" si="419"/>
        <v>0</v>
      </c>
      <c r="BF447" s="38">
        <f t="shared" si="420"/>
        <v>0</v>
      </c>
      <c r="BG447" s="38">
        <f t="shared" si="421"/>
        <v>0</v>
      </c>
      <c r="BH447" s="41">
        <f t="shared" si="422"/>
        <v>5.0000000000000009</v>
      </c>
      <c r="BI447" s="42">
        <f t="shared" si="423"/>
        <v>7.9580031639556807</v>
      </c>
      <c r="BJ447" s="38">
        <f t="shared" si="424"/>
        <v>3.9452454996035189</v>
      </c>
      <c r="BK447" s="38">
        <f t="shared" si="425"/>
        <v>1.02829928643887</v>
      </c>
      <c r="BL447" s="16"/>
      <c r="BM447" s="16">
        <f t="shared" si="426"/>
        <v>0.58877191380052274</v>
      </c>
      <c r="BN447" s="16">
        <f t="shared" si="427"/>
        <v>0.39793955947854642</v>
      </c>
      <c r="BO447" s="16">
        <f t="shared" si="428"/>
        <v>1.3288526720930876E-2</v>
      </c>
      <c r="BP447" s="15"/>
      <c r="BQ447" s="38">
        <f t="shared" si="429"/>
        <v>0.86800932090545935</v>
      </c>
      <c r="BR447" s="38">
        <f t="shared" si="430"/>
        <v>0</v>
      </c>
      <c r="BS447" s="38">
        <f t="shared" si="431"/>
        <v>0.5786582973715183</v>
      </c>
      <c r="BT447" s="38">
        <f t="shared" si="432"/>
        <v>0</v>
      </c>
      <c r="BU447" s="38">
        <f t="shared" si="433"/>
        <v>9.7007654836464858E-3</v>
      </c>
      <c r="BV447" s="38">
        <f t="shared" si="434"/>
        <v>0</v>
      </c>
      <c r="BW447" s="38">
        <f t="shared" si="435"/>
        <v>0</v>
      </c>
      <c r="BX447" s="38">
        <f t="shared" si="436"/>
        <v>0.22200427960057062</v>
      </c>
      <c r="BY447" s="38">
        <f t="shared" si="437"/>
        <v>0.15004840271055181</v>
      </c>
      <c r="BZ447" s="38">
        <f t="shared" si="438"/>
        <v>5.0106157112526535E-3</v>
      </c>
      <c r="CA447" s="38">
        <f t="shared" si="439"/>
        <v>0</v>
      </c>
      <c r="CB447" s="38">
        <f t="shared" si="440"/>
        <v>0</v>
      </c>
      <c r="CC447" s="38">
        <f t="shared" si="441"/>
        <v>0</v>
      </c>
      <c r="CD447" s="38">
        <f t="shared" si="442"/>
        <v>1.8334316817829992</v>
      </c>
      <c r="CE447" s="38">
        <f t="shared" si="443"/>
        <v>2.9132406421633155</v>
      </c>
      <c r="CF447" s="38">
        <f t="shared" si="444"/>
        <v>2.7271264316418575</v>
      </c>
      <c r="CG447" s="38">
        <f t="shared" si="445"/>
        <v>7.9447755569768761</v>
      </c>
      <c r="CH447" s="15"/>
      <c r="CI447" s="16"/>
      <c r="CJ447" s="13"/>
      <c r="CK447" s="104"/>
      <c r="CL447" s="13"/>
      <c r="CM447" s="13"/>
      <c r="CN447" s="13"/>
      <c r="CO447" s="16"/>
      <c r="CP447" s="16"/>
      <c r="CQ447" s="16"/>
      <c r="CR447" s="16"/>
      <c r="CS447" s="16"/>
      <c r="CT447" s="16"/>
      <c r="CU447" s="16"/>
      <c r="CV447" s="16"/>
      <c r="CW447" s="16"/>
      <c r="CX447" s="16"/>
      <c r="CY447" s="104"/>
      <c r="CZ447" s="104"/>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3"/>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row>
    <row r="448" spans="1:167" x14ac:dyDescent="0.25">
      <c r="A448" s="35" t="s">
        <v>91</v>
      </c>
      <c r="B448" s="15">
        <v>1496</v>
      </c>
      <c r="C448" s="102" t="s">
        <v>96</v>
      </c>
      <c r="D448" s="102" t="s">
        <v>104</v>
      </c>
      <c r="E448" s="15">
        <v>503</v>
      </c>
      <c r="F448" s="16">
        <v>52</v>
      </c>
      <c r="G448" s="16">
        <v>0</v>
      </c>
      <c r="H448" s="16">
        <v>29.27</v>
      </c>
      <c r="I448" s="16">
        <v>0</v>
      </c>
      <c r="J448" s="44">
        <v>0.83</v>
      </c>
      <c r="K448" s="16">
        <v>0</v>
      </c>
      <c r="L448" s="16">
        <v>0</v>
      </c>
      <c r="M448" s="16">
        <v>12.39</v>
      </c>
      <c r="N448" s="16">
        <v>4.57</v>
      </c>
      <c r="O448" s="16">
        <v>0.22500000000000001</v>
      </c>
      <c r="P448" s="16">
        <v>0</v>
      </c>
      <c r="Q448" s="16"/>
      <c r="R448" s="16"/>
      <c r="S448" s="16">
        <f t="shared" si="391"/>
        <v>99.284999999999997</v>
      </c>
      <c r="T448" s="16"/>
      <c r="U448" s="15">
        <v>1</v>
      </c>
      <c r="V448" s="15">
        <v>14</v>
      </c>
      <c r="W448" s="15">
        <v>275.59999999999997</v>
      </c>
      <c r="X448" s="15" t="s">
        <v>258</v>
      </c>
      <c r="Y448" s="15"/>
      <c r="Z448" s="37">
        <v>8</v>
      </c>
      <c r="AA448" s="37">
        <v>5</v>
      </c>
      <c r="AB448" s="15"/>
      <c r="AC448" s="38">
        <f t="shared" si="392"/>
        <v>2.3869185200767618</v>
      </c>
      <c r="AD448" s="38">
        <f t="shared" si="393"/>
        <v>0</v>
      </c>
      <c r="AE448" s="38">
        <f t="shared" si="394"/>
        <v>1.5833869667461677</v>
      </c>
      <c r="AF448" s="38">
        <f t="shared" si="395"/>
        <v>0</v>
      </c>
      <c r="AG448" s="38">
        <f t="shared" si="396"/>
        <v>3.1857778943727807E-2</v>
      </c>
      <c r="AH448" s="38">
        <f t="shared" si="397"/>
        <v>0</v>
      </c>
      <c r="AI448" s="38">
        <f t="shared" si="398"/>
        <v>0</v>
      </c>
      <c r="AJ448" s="38">
        <f t="shared" si="399"/>
        <v>0.6092948059990414</v>
      </c>
      <c r="AK448" s="38">
        <f t="shared" si="400"/>
        <v>0.40668560305805102</v>
      </c>
      <c r="AL448" s="38">
        <f t="shared" si="401"/>
        <v>1.3174246510859734E-2</v>
      </c>
      <c r="AM448" s="38">
        <f t="shared" si="402"/>
        <v>0</v>
      </c>
      <c r="AN448" s="38">
        <f t="shared" si="403"/>
        <v>0</v>
      </c>
      <c r="AO448" s="38">
        <f t="shared" si="404"/>
        <v>0</v>
      </c>
      <c r="AP448" s="38">
        <f t="shared" si="405"/>
        <v>5.0313179213346091</v>
      </c>
      <c r="AQ448" s="38">
        <f t="shared" si="406"/>
        <v>3.9703054868229293</v>
      </c>
      <c r="AR448" s="38">
        <f t="shared" si="407"/>
        <v>1.0291546555679523</v>
      </c>
      <c r="AS448" s="40"/>
      <c r="AT448" s="38">
        <f t="shared" si="408"/>
        <v>2.3720609166391204</v>
      </c>
      <c r="AU448" s="38">
        <f t="shared" si="409"/>
        <v>0</v>
      </c>
      <c r="AV448" s="38">
        <f t="shared" si="410"/>
        <v>1.5735310225895625</v>
      </c>
      <c r="AW448" s="38">
        <f t="shared" si="411"/>
        <v>0</v>
      </c>
      <c r="AX448" s="38">
        <f t="shared" si="412"/>
        <v>0</v>
      </c>
      <c r="AY448" s="38">
        <f t="shared" si="413"/>
        <v>3.1659477140809661E-2</v>
      </c>
      <c r="AZ448" s="38">
        <f t="shared" si="414"/>
        <v>0</v>
      </c>
      <c r="BA448" s="38">
        <f t="shared" si="415"/>
        <v>0</v>
      </c>
      <c r="BB448" s="38">
        <f t="shared" si="416"/>
        <v>0.60550219199567068</v>
      </c>
      <c r="BC448" s="38">
        <f t="shared" si="417"/>
        <v>0.40415414948591988</v>
      </c>
      <c r="BD448" s="38">
        <f t="shared" si="418"/>
        <v>1.3092242148917046E-2</v>
      </c>
      <c r="BE448" s="38">
        <f t="shared" si="419"/>
        <v>0</v>
      </c>
      <c r="BF448" s="38">
        <f t="shared" si="420"/>
        <v>0</v>
      </c>
      <c r="BG448" s="38">
        <f t="shared" si="421"/>
        <v>0</v>
      </c>
      <c r="BH448" s="41">
        <f t="shared" si="422"/>
        <v>5</v>
      </c>
      <c r="BI448" s="42">
        <f t="shared" si="423"/>
        <v>7.9660329706868875</v>
      </c>
      <c r="BJ448" s="38">
        <f t="shared" si="424"/>
        <v>3.9455919392286827</v>
      </c>
      <c r="BK448" s="38">
        <f t="shared" si="425"/>
        <v>1.0227485836305077</v>
      </c>
      <c r="BL448" s="16"/>
      <c r="BM448" s="16">
        <f t="shared" si="426"/>
        <v>0.59203425131745069</v>
      </c>
      <c r="BN448" s="16">
        <f t="shared" si="427"/>
        <v>0.3951647119874479</v>
      </c>
      <c r="BO448" s="16">
        <f t="shared" si="428"/>
        <v>1.2801036695101336E-2</v>
      </c>
      <c r="BP448" s="15"/>
      <c r="BQ448" s="38">
        <f t="shared" si="429"/>
        <v>0.86551264980026632</v>
      </c>
      <c r="BR448" s="38">
        <f t="shared" si="430"/>
        <v>0</v>
      </c>
      <c r="BS448" s="38">
        <f t="shared" si="431"/>
        <v>0.57414672420557089</v>
      </c>
      <c r="BT448" s="38">
        <f t="shared" si="432"/>
        <v>0</v>
      </c>
      <c r="BU448" s="38">
        <f t="shared" si="433"/>
        <v>1.1551844119693807E-2</v>
      </c>
      <c r="BV448" s="38">
        <f t="shared" si="434"/>
        <v>0</v>
      </c>
      <c r="BW448" s="38">
        <f t="shared" si="435"/>
        <v>0</v>
      </c>
      <c r="BX448" s="38">
        <f t="shared" si="436"/>
        <v>0.22093437945791727</v>
      </c>
      <c r="BY448" s="38">
        <f t="shared" si="437"/>
        <v>0.14746692481445628</v>
      </c>
      <c r="BZ448" s="38">
        <f t="shared" si="438"/>
        <v>4.7770700636942673E-3</v>
      </c>
      <c r="CA448" s="38">
        <f t="shared" si="439"/>
        <v>0</v>
      </c>
      <c r="CB448" s="38">
        <f t="shared" si="440"/>
        <v>0</v>
      </c>
      <c r="CC448" s="38">
        <f t="shared" si="441"/>
        <v>0</v>
      </c>
      <c r="CD448" s="38">
        <f t="shared" si="442"/>
        <v>1.8243895924615987</v>
      </c>
      <c r="CE448" s="38">
        <f t="shared" si="443"/>
        <v>2.9008536069255757</v>
      </c>
      <c r="CF448" s="38">
        <f t="shared" si="444"/>
        <v>2.7406426898399685</v>
      </c>
      <c r="CG448" s="38">
        <f t="shared" si="445"/>
        <v>7.9502032321164844</v>
      </c>
      <c r="CH448" s="15"/>
      <c r="CI448" s="16"/>
      <c r="CJ448" s="13"/>
      <c r="CK448" s="104"/>
      <c r="CL448" s="13"/>
      <c r="CM448" s="13"/>
      <c r="CN448" s="13"/>
      <c r="CO448" s="16"/>
      <c r="CP448" s="16"/>
      <c r="CQ448" s="16"/>
      <c r="CR448" s="16"/>
      <c r="CS448" s="16"/>
      <c r="CT448" s="16"/>
      <c r="CU448" s="16"/>
      <c r="CV448" s="16"/>
      <c r="CW448" s="16"/>
      <c r="CX448" s="16"/>
      <c r="CY448" s="104"/>
      <c r="CZ448" s="104"/>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3"/>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row>
    <row r="449" spans="1:167" x14ac:dyDescent="0.25">
      <c r="A449" s="35" t="s">
        <v>91</v>
      </c>
      <c r="B449" s="15">
        <v>1497</v>
      </c>
      <c r="C449" s="102" t="s">
        <v>96</v>
      </c>
      <c r="D449" s="102" t="s">
        <v>104</v>
      </c>
      <c r="E449" s="15">
        <v>504</v>
      </c>
      <c r="F449" s="16">
        <v>52.74</v>
      </c>
      <c r="G449" s="16">
        <v>0</v>
      </c>
      <c r="H449" s="16">
        <v>29.17</v>
      </c>
      <c r="I449" s="16">
        <v>0</v>
      </c>
      <c r="J449" s="44">
        <v>0.76900000000000002</v>
      </c>
      <c r="K449" s="16">
        <v>0</v>
      </c>
      <c r="L449" s="16">
        <v>0</v>
      </c>
      <c r="M449" s="16">
        <v>12.28</v>
      </c>
      <c r="N449" s="16">
        <v>4.82</v>
      </c>
      <c r="O449" s="16">
        <v>0.248</v>
      </c>
      <c r="P449" s="16">
        <v>0</v>
      </c>
      <c r="Q449" s="16"/>
      <c r="R449" s="16"/>
      <c r="S449" s="16">
        <f t="shared" si="391"/>
        <v>100.027</v>
      </c>
      <c r="T449" s="16"/>
      <c r="U449" s="15">
        <v>1</v>
      </c>
      <c r="V449" s="15">
        <v>15</v>
      </c>
      <c r="W449" s="15">
        <v>296.79999999999995</v>
      </c>
      <c r="X449" s="15" t="s">
        <v>258</v>
      </c>
      <c r="Y449" s="15"/>
      <c r="Z449" s="37">
        <v>8</v>
      </c>
      <c r="AA449" s="37">
        <v>5</v>
      </c>
      <c r="AB449" s="15"/>
      <c r="AC449" s="38">
        <f t="shared" si="392"/>
        <v>2.4017123247206622</v>
      </c>
      <c r="AD449" s="38">
        <f t="shared" si="393"/>
        <v>0</v>
      </c>
      <c r="AE449" s="38">
        <f t="shared" si="394"/>
        <v>1.5654794940690977</v>
      </c>
      <c r="AF449" s="38">
        <f t="shared" si="395"/>
        <v>0</v>
      </c>
      <c r="AG449" s="38">
        <f t="shared" si="396"/>
        <v>2.9282648378880012E-2</v>
      </c>
      <c r="AH449" s="38">
        <f t="shared" si="397"/>
        <v>0</v>
      </c>
      <c r="AI449" s="38">
        <f t="shared" si="398"/>
        <v>0</v>
      </c>
      <c r="AJ449" s="38">
        <f t="shared" si="399"/>
        <v>0.59910252102134998</v>
      </c>
      <c r="AK449" s="38">
        <f t="shared" si="400"/>
        <v>0.42553594152518637</v>
      </c>
      <c r="AL449" s="38">
        <f t="shared" si="401"/>
        <v>1.4405938584413183E-2</v>
      </c>
      <c r="AM449" s="38">
        <f t="shared" si="402"/>
        <v>0</v>
      </c>
      <c r="AN449" s="38">
        <f t="shared" si="403"/>
        <v>0</v>
      </c>
      <c r="AO449" s="38">
        <f t="shared" si="404"/>
        <v>0</v>
      </c>
      <c r="AP449" s="38">
        <f t="shared" si="405"/>
        <v>5.0355188682995902</v>
      </c>
      <c r="AQ449" s="38">
        <f t="shared" si="406"/>
        <v>3.9671918187897601</v>
      </c>
      <c r="AR449" s="38">
        <f t="shared" si="407"/>
        <v>1.0390444011309494</v>
      </c>
      <c r="AS449" s="40"/>
      <c r="AT449" s="38">
        <f t="shared" si="408"/>
        <v>2.384771448122565</v>
      </c>
      <c r="AU449" s="38">
        <f t="shared" si="409"/>
        <v>0</v>
      </c>
      <c r="AV449" s="38">
        <f t="shared" si="410"/>
        <v>1.5544371245675961</v>
      </c>
      <c r="AW449" s="38">
        <f t="shared" si="411"/>
        <v>0</v>
      </c>
      <c r="AX449" s="38">
        <f t="shared" si="412"/>
        <v>0</v>
      </c>
      <c r="AY449" s="38">
        <f t="shared" si="413"/>
        <v>2.9076098357236693E-2</v>
      </c>
      <c r="AZ449" s="38">
        <f t="shared" si="414"/>
        <v>0</v>
      </c>
      <c r="BA449" s="38">
        <f t="shared" si="415"/>
        <v>0</v>
      </c>
      <c r="BB449" s="38">
        <f t="shared" si="416"/>
        <v>0.59487665193046624</v>
      </c>
      <c r="BC449" s="38">
        <f t="shared" si="417"/>
        <v>0.42253435311710263</v>
      </c>
      <c r="BD449" s="38">
        <f t="shared" si="418"/>
        <v>1.4304323905033672E-2</v>
      </c>
      <c r="BE449" s="38">
        <f t="shared" si="419"/>
        <v>0</v>
      </c>
      <c r="BF449" s="38">
        <f t="shared" si="420"/>
        <v>0</v>
      </c>
      <c r="BG449" s="38">
        <f t="shared" si="421"/>
        <v>0</v>
      </c>
      <c r="BH449" s="41">
        <f t="shared" si="422"/>
        <v>5</v>
      </c>
      <c r="BI449" s="42">
        <f t="shared" si="423"/>
        <v>7.9581087210739136</v>
      </c>
      <c r="BJ449" s="38">
        <f t="shared" si="424"/>
        <v>3.9392085726901609</v>
      </c>
      <c r="BK449" s="38">
        <f t="shared" si="425"/>
        <v>1.0317153289526027</v>
      </c>
      <c r="BL449" s="16"/>
      <c r="BM449" s="16">
        <f t="shared" si="426"/>
        <v>0.57658991316372621</v>
      </c>
      <c r="BN449" s="16">
        <f t="shared" si="427"/>
        <v>0.40954548339032587</v>
      </c>
      <c r="BO449" s="16">
        <f t="shared" si="428"/>
        <v>1.3864603445948044E-2</v>
      </c>
      <c r="BP449" s="15"/>
      <c r="BQ449" s="38">
        <f t="shared" si="429"/>
        <v>0.87782956058588557</v>
      </c>
      <c r="BR449" s="38">
        <f t="shared" si="430"/>
        <v>0</v>
      </c>
      <c r="BS449" s="38">
        <f t="shared" si="431"/>
        <v>0.57218517065515895</v>
      </c>
      <c r="BT449" s="38">
        <f t="shared" si="432"/>
        <v>0</v>
      </c>
      <c r="BU449" s="38">
        <f t="shared" si="433"/>
        <v>1.0702853166318721E-2</v>
      </c>
      <c r="BV449" s="38">
        <f t="shared" si="434"/>
        <v>0</v>
      </c>
      <c r="BW449" s="38">
        <f t="shared" si="435"/>
        <v>0</v>
      </c>
      <c r="BX449" s="38">
        <f t="shared" si="436"/>
        <v>0.21897289586305277</v>
      </c>
      <c r="BY449" s="38">
        <f t="shared" si="437"/>
        <v>0.15553404323975478</v>
      </c>
      <c r="BZ449" s="38">
        <f t="shared" si="438"/>
        <v>5.2653927813163482E-3</v>
      </c>
      <c r="CA449" s="38">
        <f t="shared" si="439"/>
        <v>0</v>
      </c>
      <c r="CB449" s="38">
        <f t="shared" si="440"/>
        <v>0</v>
      </c>
      <c r="CC449" s="38">
        <f t="shared" si="441"/>
        <v>0</v>
      </c>
      <c r="CD449" s="38">
        <f t="shared" si="442"/>
        <v>1.8404899162914872</v>
      </c>
      <c r="CE449" s="38">
        <f t="shared" si="443"/>
        <v>2.9240123441944164</v>
      </c>
      <c r="CF449" s="38">
        <f t="shared" si="444"/>
        <v>2.7166679674479273</v>
      </c>
      <c r="CG449" s="38">
        <f t="shared" si="445"/>
        <v>7.9435706718952943</v>
      </c>
      <c r="CH449" s="15"/>
      <c r="CI449" s="16"/>
      <c r="CJ449" s="13"/>
      <c r="CK449" s="104"/>
      <c r="CL449" s="13"/>
      <c r="CM449" s="13"/>
      <c r="CN449" s="13"/>
      <c r="CO449" s="16"/>
      <c r="CP449" s="16"/>
      <c r="CQ449" s="16"/>
      <c r="CR449" s="16"/>
      <c r="CS449" s="16"/>
      <c r="CT449" s="16"/>
      <c r="CU449" s="16"/>
      <c r="CV449" s="16"/>
      <c r="CW449" s="16"/>
      <c r="CX449" s="16"/>
      <c r="CY449" s="104"/>
      <c r="CZ449" s="104"/>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3"/>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row>
    <row r="450" spans="1:167" x14ac:dyDescent="0.25">
      <c r="A450" s="35" t="s">
        <v>91</v>
      </c>
      <c r="B450" s="15">
        <v>1498</v>
      </c>
      <c r="C450" s="102" t="s">
        <v>96</v>
      </c>
      <c r="D450" s="102" t="s">
        <v>104</v>
      </c>
      <c r="E450" s="15">
        <v>505</v>
      </c>
      <c r="F450" s="16">
        <v>51.92</v>
      </c>
      <c r="G450" s="16">
        <v>0</v>
      </c>
      <c r="H450" s="16">
        <v>29.38</v>
      </c>
      <c r="I450" s="16">
        <v>0</v>
      </c>
      <c r="J450" s="44">
        <v>0.77800000000000002</v>
      </c>
      <c r="K450" s="16">
        <v>0</v>
      </c>
      <c r="L450" s="16">
        <v>0</v>
      </c>
      <c r="M450" s="16">
        <v>12.72</v>
      </c>
      <c r="N450" s="16">
        <v>4.51</v>
      </c>
      <c r="O450" s="16">
        <v>0.27500000000000002</v>
      </c>
      <c r="P450" s="16">
        <v>0</v>
      </c>
      <c r="Q450" s="16"/>
      <c r="R450" s="16"/>
      <c r="S450" s="16">
        <f t="shared" si="391"/>
        <v>99.583000000000013</v>
      </c>
      <c r="T450" s="16"/>
      <c r="U450" s="15">
        <v>1</v>
      </c>
      <c r="V450" s="15">
        <v>16</v>
      </c>
      <c r="W450" s="15">
        <v>317.99999999999994</v>
      </c>
      <c r="X450" s="15" t="s">
        <v>258</v>
      </c>
      <c r="Y450" s="15"/>
      <c r="Z450" s="37">
        <v>8</v>
      </c>
      <c r="AA450" s="37">
        <v>5</v>
      </c>
      <c r="AB450" s="15"/>
      <c r="AC450" s="38">
        <f t="shared" si="392"/>
        <v>2.3789025101637193</v>
      </c>
      <c r="AD450" s="38">
        <f t="shared" si="393"/>
        <v>0</v>
      </c>
      <c r="AE450" s="38">
        <f t="shared" si="394"/>
        <v>1.5864407071991788</v>
      </c>
      <c r="AF450" s="38">
        <f t="shared" si="395"/>
        <v>0</v>
      </c>
      <c r="AG450" s="38">
        <f t="shared" si="396"/>
        <v>2.9807442118723156E-2</v>
      </c>
      <c r="AH450" s="38">
        <f t="shared" si="397"/>
        <v>0</v>
      </c>
      <c r="AI450" s="38">
        <f t="shared" si="398"/>
        <v>0</v>
      </c>
      <c r="AJ450" s="38">
        <f t="shared" si="399"/>
        <v>0.624382886512861</v>
      </c>
      <c r="AK450" s="38">
        <f t="shared" si="400"/>
        <v>0.4006146717117664</v>
      </c>
      <c r="AL450" s="38">
        <f t="shared" si="401"/>
        <v>1.6072508772652431E-2</v>
      </c>
      <c r="AM450" s="38">
        <f t="shared" si="402"/>
        <v>0</v>
      </c>
      <c r="AN450" s="38">
        <f t="shared" si="403"/>
        <v>0</v>
      </c>
      <c r="AO450" s="38">
        <f t="shared" si="404"/>
        <v>0</v>
      </c>
      <c r="AP450" s="38">
        <f t="shared" si="405"/>
        <v>5.0362207264789012</v>
      </c>
      <c r="AQ450" s="38">
        <f t="shared" si="406"/>
        <v>3.9653432173628982</v>
      </c>
      <c r="AR450" s="38">
        <f t="shared" si="407"/>
        <v>1.0410700669972799</v>
      </c>
      <c r="AS450" s="40"/>
      <c r="AT450" s="38">
        <f t="shared" si="408"/>
        <v>2.3617933360785606</v>
      </c>
      <c r="AU450" s="38">
        <f t="shared" si="409"/>
        <v>0</v>
      </c>
      <c r="AV450" s="38">
        <f t="shared" si="410"/>
        <v>1.5750309541221663</v>
      </c>
      <c r="AW450" s="38">
        <f t="shared" si="411"/>
        <v>0</v>
      </c>
      <c r="AX450" s="38">
        <f t="shared" si="412"/>
        <v>0</v>
      </c>
      <c r="AY450" s="38">
        <f t="shared" si="413"/>
        <v>2.9593065651396872E-2</v>
      </c>
      <c r="AZ450" s="38">
        <f t="shared" si="414"/>
        <v>0</v>
      </c>
      <c r="BA450" s="38">
        <f t="shared" si="415"/>
        <v>0</v>
      </c>
      <c r="BB450" s="38">
        <f t="shared" si="416"/>
        <v>0.61989229664820644</v>
      </c>
      <c r="BC450" s="38">
        <f t="shared" si="417"/>
        <v>0.39773343293459867</v>
      </c>
      <c r="BD450" s="38">
        <f t="shared" si="418"/>
        <v>1.5956914565070705E-2</v>
      </c>
      <c r="BE450" s="38">
        <f t="shared" si="419"/>
        <v>0</v>
      </c>
      <c r="BF450" s="38">
        <f t="shared" si="420"/>
        <v>0</v>
      </c>
      <c r="BG450" s="38">
        <f t="shared" si="421"/>
        <v>0</v>
      </c>
      <c r="BH450" s="41">
        <f t="shared" si="422"/>
        <v>5</v>
      </c>
      <c r="BI450" s="42">
        <f t="shared" si="423"/>
        <v>7.9572601722155065</v>
      </c>
      <c r="BJ450" s="38">
        <f t="shared" si="424"/>
        <v>3.9368242902007271</v>
      </c>
      <c r="BK450" s="38">
        <f t="shared" si="425"/>
        <v>1.0335826441478757</v>
      </c>
      <c r="BL450" s="16"/>
      <c r="BM450" s="16">
        <f t="shared" si="426"/>
        <v>0.59975106989075733</v>
      </c>
      <c r="BN450" s="16">
        <f t="shared" si="427"/>
        <v>0.38481047953596875</v>
      </c>
      <c r="BO450" s="16">
        <f t="shared" si="428"/>
        <v>1.5438450573273879E-2</v>
      </c>
      <c r="BP450" s="15"/>
      <c r="BQ450" s="38">
        <f t="shared" si="429"/>
        <v>0.8641810918774967</v>
      </c>
      <c r="BR450" s="38">
        <f t="shared" si="430"/>
        <v>0</v>
      </c>
      <c r="BS450" s="38">
        <f t="shared" si="431"/>
        <v>0.57630443311102397</v>
      </c>
      <c r="BT450" s="38">
        <f t="shared" si="432"/>
        <v>0</v>
      </c>
      <c r="BU450" s="38">
        <f t="shared" si="433"/>
        <v>1.0828114126652751E-2</v>
      </c>
      <c r="BV450" s="38">
        <f t="shared" si="434"/>
        <v>0</v>
      </c>
      <c r="BW450" s="38">
        <f t="shared" si="435"/>
        <v>0</v>
      </c>
      <c r="BX450" s="38">
        <f t="shared" si="436"/>
        <v>0.22681883024251071</v>
      </c>
      <c r="BY450" s="38">
        <f t="shared" si="437"/>
        <v>0.14553081639238463</v>
      </c>
      <c r="BZ450" s="38">
        <f t="shared" si="438"/>
        <v>5.8386411889596607E-3</v>
      </c>
      <c r="CA450" s="38">
        <f t="shared" si="439"/>
        <v>0</v>
      </c>
      <c r="CB450" s="38">
        <f t="shared" si="440"/>
        <v>0</v>
      </c>
      <c r="CC450" s="38">
        <f t="shared" si="441"/>
        <v>0</v>
      </c>
      <c r="CD450" s="38">
        <f t="shared" si="442"/>
        <v>1.8295019269390285</v>
      </c>
      <c r="CE450" s="38">
        <f t="shared" si="443"/>
        <v>2.9061505065813646</v>
      </c>
      <c r="CF450" s="38">
        <f t="shared" si="444"/>
        <v>2.732984276417564</v>
      </c>
      <c r="CG450" s="38">
        <f t="shared" si="445"/>
        <v>7.9424636393898078</v>
      </c>
      <c r="CH450" s="15"/>
      <c r="CI450" s="16"/>
      <c r="CJ450" s="13"/>
      <c r="CK450" s="104"/>
      <c r="CL450" s="13"/>
      <c r="CM450" s="13"/>
      <c r="CN450" s="13"/>
      <c r="CO450" s="16"/>
      <c r="CP450" s="16"/>
      <c r="CQ450" s="16"/>
      <c r="CR450" s="16"/>
      <c r="CS450" s="16"/>
      <c r="CT450" s="16"/>
      <c r="CU450" s="16"/>
      <c r="CV450" s="16"/>
      <c r="CW450" s="16"/>
      <c r="CX450" s="16"/>
      <c r="CY450" s="104"/>
      <c r="CZ450" s="104"/>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3"/>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row>
    <row r="451" spans="1:167" x14ac:dyDescent="0.25">
      <c r="A451" s="35" t="s">
        <v>91</v>
      </c>
      <c r="B451" s="15">
        <v>1499</v>
      </c>
      <c r="C451" s="102" t="s">
        <v>96</v>
      </c>
      <c r="D451" s="102" t="s">
        <v>104</v>
      </c>
      <c r="E451" s="15">
        <v>506</v>
      </c>
      <c r="F451" s="16">
        <v>52.79</v>
      </c>
      <c r="G451" s="16">
        <v>0</v>
      </c>
      <c r="H451" s="16">
        <v>28.91</v>
      </c>
      <c r="I451" s="16">
        <v>0</v>
      </c>
      <c r="J451" s="44">
        <v>0.68400000000000005</v>
      </c>
      <c r="K451" s="16">
        <v>0</v>
      </c>
      <c r="L451" s="16">
        <v>0</v>
      </c>
      <c r="M451" s="16">
        <v>12.19</v>
      </c>
      <c r="N451" s="16">
        <v>4.8499999999999996</v>
      </c>
      <c r="O451" s="16">
        <v>0.26700000000000002</v>
      </c>
      <c r="P451" s="16">
        <v>0</v>
      </c>
      <c r="Q451" s="16"/>
      <c r="R451" s="16"/>
      <c r="S451" s="16">
        <f t="shared" si="391"/>
        <v>99.690999999999988</v>
      </c>
      <c r="T451" s="16"/>
      <c r="U451" s="15">
        <v>1</v>
      </c>
      <c r="V451" s="15">
        <v>17</v>
      </c>
      <c r="W451" s="15">
        <v>339.19999999999993</v>
      </c>
      <c r="X451" s="15" t="s">
        <v>258</v>
      </c>
      <c r="Y451" s="15"/>
      <c r="Z451" s="37">
        <v>8</v>
      </c>
      <c r="AA451" s="37">
        <v>5</v>
      </c>
      <c r="AB451" s="15"/>
      <c r="AC451" s="38">
        <f t="shared" si="392"/>
        <v>2.4106570873908915</v>
      </c>
      <c r="AD451" s="38">
        <f t="shared" si="393"/>
        <v>0</v>
      </c>
      <c r="AE451" s="38">
        <f t="shared" si="394"/>
        <v>1.555829348296762</v>
      </c>
      <c r="AF451" s="38">
        <f t="shared" si="395"/>
        <v>0</v>
      </c>
      <c r="AG451" s="38">
        <f t="shared" si="396"/>
        <v>2.6118187074227941E-2</v>
      </c>
      <c r="AH451" s="38">
        <f t="shared" si="397"/>
        <v>0</v>
      </c>
      <c r="AI451" s="38">
        <f t="shared" si="398"/>
        <v>0</v>
      </c>
      <c r="AJ451" s="38">
        <f t="shared" si="399"/>
        <v>0.59636122702329875</v>
      </c>
      <c r="AK451" s="38">
        <f t="shared" si="400"/>
        <v>0.42937213972173133</v>
      </c>
      <c r="AL451" s="38">
        <f t="shared" si="401"/>
        <v>1.5552637629363772E-2</v>
      </c>
      <c r="AM451" s="38">
        <f t="shared" si="402"/>
        <v>0</v>
      </c>
      <c r="AN451" s="38">
        <f t="shared" si="403"/>
        <v>0</v>
      </c>
      <c r="AO451" s="38">
        <f t="shared" si="404"/>
        <v>0</v>
      </c>
      <c r="AP451" s="38">
        <f t="shared" si="405"/>
        <v>5.0338906271362758</v>
      </c>
      <c r="AQ451" s="38">
        <f t="shared" si="406"/>
        <v>3.9664864356876537</v>
      </c>
      <c r="AR451" s="38">
        <f t="shared" si="407"/>
        <v>1.0412860043743939</v>
      </c>
      <c r="AS451" s="40"/>
      <c r="AT451" s="38">
        <f t="shared" si="408"/>
        <v>2.3944273584290081</v>
      </c>
      <c r="AU451" s="38">
        <f t="shared" si="409"/>
        <v>0</v>
      </c>
      <c r="AV451" s="38">
        <f t="shared" si="410"/>
        <v>1.5453547400391732</v>
      </c>
      <c r="AW451" s="38">
        <f t="shared" si="411"/>
        <v>0</v>
      </c>
      <c r="AX451" s="38">
        <f t="shared" si="412"/>
        <v>0</v>
      </c>
      <c r="AY451" s="38">
        <f t="shared" si="413"/>
        <v>2.5942346595128833E-2</v>
      </c>
      <c r="AZ451" s="38">
        <f t="shared" si="414"/>
        <v>0</v>
      </c>
      <c r="BA451" s="38">
        <f t="shared" si="415"/>
        <v>0</v>
      </c>
      <c r="BB451" s="38">
        <f t="shared" si="416"/>
        <v>0.59234622998013164</v>
      </c>
      <c r="BC451" s="38">
        <f t="shared" si="417"/>
        <v>0.42648139533178175</v>
      </c>
      <c r="BD451" s="38">
        <f t="shared" si="418"/>
        <v>1.5447929624775633E-2</v>
      </c>
      <c r="BE451" s="38">
        <f t="shared" si="419"/>
        <v>0</v>
      </c>
      <c r="BF451" s="38">
        <f t="shared" si="420"/>
        <v>0</v>
      </c>
      <c r="BG451" s="38">
        <f t="shared" si="421"/>
        <v>0</v>
      </c>
      <c r="BH451" s="41">
        <f t="shared" si="422"/>
        <v>4.9999999999999982</v>
      </c>
      <c r="BI451" s="42">
        <f t="shared" si="423"/>
        <v>7.9591112392678802</v>
      </c>
      <c r="BJ451" s="38">
        <f t="shared" si="424"/>
        <v>3.9397820984681813</v>
      </c>
      <c r="BK451" s="38">
        <f t="shared" si="425"/>
        <v>1.0342755549366889</v>
      </c>
      <c r="BL451" s="16"/>
      <c r="BM451" s="16">
        <f t="shared" si="426"/>
        <v>0.57271606889751048</v>
      </c>
      <c r="BN451" s="16">
        <f t="shared" si="427"/>
        <v>0.41234794083273857</v>
      </c>
      <c r="BO451" s="16">
        <f t="shared" si="428"/>
        <v>1.4935990269750931E-2</v>
      </c>
      <c r="BP451" s="15"/>
      <c r="BQ451" s="38">
        <f t="shared" si="429"/>
        <v>0.87866178428761654</v>
      </c>
      <c r="BR451" s="38">
        <f t="shared" si="430"/>
        <v>0</v>
      </c>
      <c r="BS451" s="38">
        <f t="shared" si="431"/>
        <v>0.5670851314240879</v>
      </c>
      <c r="BT451" s="38">
        <f t="shared" si="432"/>
        <v>0</v>
      </c>
      <c r="BU451" s="38">
        <f t="shared" si="433"/>
        <v>9.5198329853862229E-3</v>
      </c>
      <c r="BV451" s="38">
        <f t="shared" si="434"/>
        <v>0</v>
      </c>
      <c r="BW451" s="38">
        <f t="shared" si="435"/>
        <v>0</v>
      </c>
      <c r="BX451" s="38">
        <f t="shared" si="436"/>
        <v>0.21736804564907275</v>
      </c>
      <c r="BY451" s="38">
        <f t="shared" si="437"/>
        <v>0.15650209745079058</v>
      </c>
      <c r="BZ451" s="38">
        <f t="shared" si="438"/>
        <v>5.6687898089171976E-3</v>
      </c>
      <c r="CA451" s="38">
        <f t="shared" si="439"/>
        <v>0</v>
      </c>
      <c r="CB451" s="38">
        <f t="shared" si="440"/>
        <v>0</v>
      </c>
      <c r="CC451" s="38">
        <f t="shared" si="441"/>
        <v>0</v>
      </c>
      <c r="CD451" s="38">
        <f t="shared" si="442"/>
        <v>1.8348056816058713</v>
      </c>
      <c r="CE451" s="38">
        <f t="shared" si="443"/>
        <v>2.9159245879756779</v>
      </c>
      <c r="CF451" s="38">
        <f t="shared" si="444"/>
        <v>2.7250842147076115</v>
      </c>
      <c r="CG451" s="38">
        <f t="shared" si="445"/>
        <v>7.9461400659703161</v>
      </c>
      <c r="CH451" s="15"/>
      <c r="CI451" s="16">
        <v>1.783021932594316</v>
      </c>
      <c r="CJ451" s="13">
        <v>32903.005242836662</v>
      </c>
      <c r="CK451" s="104">
        <v>543.07635109915645</v>
      </c>
      <c r="CL451" s="13">
        <v>144034.13162503927</v>
      </c>
      <c r="CM451" s="13">
        <v>253263.65785763421</v>
      </c>
      <c r="CN451" s="13">
        <v>77200.102280552339</v>
      </c>
      <c r="CO451" s="16">
        <v>0</v>
      </c>
      <c r="CP451" s="16">
        <v>300.9302305939263</v>
      </c>
      <c r="CQ451" s="16">
        <v>2.5346695912469479</v>
      </c>
      <c r="CR451" s="16">
        <v>1.1722351787213696</v>
      </c>
      <c r="CS451" s="16">
        <v>44.254980900580357</v>
      </c>
      <c r="CT451" s="16">
        <v>0.79537153731442956</v>
      </c>
      <c r="CU451" s="16">
        <v>0</v>
      </c>
      <c r="CV451" s="16">
        <v>0</v>
      </c>
      <c r="CW451" s="16">
        <v>6.9728421936031566</v>
      </c>
      <c r="CX451" s="16">
        <v>0.27711182142415342</v>
      </c>
      <c r="CY451" s="104">
        <v>342.39832861238574</v>
      </c>
      <c r="CZ451" s="104">
        <v>348.13728676240328</v>
      </c>
      <c r="DA451" s="16">
        <v>0.26065354325246848</v>
      </c>
      <c r="DB451" s="16">
        <v>0</v>
      </c>
      <c r="DC451" s="16">
        <v>0</v>
      </c>
      <c r="DD451" s="16">
        <v>0</v>
      </c>
      <c r="DE451" s="16">
        <v>73.519439195985996</v>
      </c>
      <c r="DF451" s="16">
        <v>1.524906641294498</v>
      </c>
      <c r="DG451" s="16">
        <v>2.5927335299408307</v>
      </c>
      <c r="DH451" s="16">
        <v>0.24464146599086667</v>
      </c>
      <c r="DI451" s="16">
        <v>1.1333444601761</v>
      </c>
      <c r="DJ451" s="16">
        <v>0.16331131043629479</v>
      </c>
      <c r="DK451" s="16">
        <v>0.62027806168989885</v>
      </c>
      <c r="DL451" s="16">
        <v>0</v>
      </c>
      <c r="DM451" s="16">
        <v>4.4074003635192142E-2</v>
      </c>
      <c r="DN451" s="16">
        <v>0.22019831199465709</v>
      </c>
      <c r="DO451" s="16">
        <v>3.4848215417424028E-2</v>
      </c>
      <c r="DP451" s="16">
        <v>0</v>
      </c>
      <c r="DQ451" s="16">
        <v>5.5456827663663784E-2</v>
      </c>
      <c r="DR451" s="16">
        <v>0.12000701797810634</v>
      </c>
      <c r="DS451" s="16">
        <v>9.2638144169045936E-2</v>
      </c>
      <c r="DT451" s="16">
        <v>0</v>
      </c>
      <c r="DU451" s="16">
        <v>0</v>
      </c>
      <c r="DV451" s="16">
        <v>2.0660618058359415</v>
      </c>
      <c r="DW451" s="16">
        <v>0</v>
      </c>
      <c r="DX451" s="16">
        <v>1.8531111417537424E-2</v>
      </c>
      <c r="DY451" s="16" t="e">
        <f>(DK451/0.05883)/SQRT((DJ451/0.1536)*(DL451/0.2069))</f>
        <v>#DIV/0!</v>
      </c>
      <c r="DZ451" s="16"/>
      <c r="EA451" s="13">
        <f>1128+200*((BM451-0.4)/0.4) -273</f>
        <v>941.35803444875523</v>
      </c>
      <c r="EB451" s="16"/>
      <c r="EC451" s="16">
        <f>(-18.482 -16.353 * BM451)/(0.008314 * (EA451+273))</f>
        <v>-2.7582358886427323</v>
      </c>
      <c r="ED451" s="16"/>
      <c r="EE451" s="16"/>
      <c r="EF451" s="16"/>
      <c r="EG451" s="16"/>
      <c r="EH451" s="16"/>
      <c r="EI451" s="16"/>
      <c r="EJ451" s="16"/>
      <c r="EK451" s="16"/>
      <c r="EL451" s="16">
        <f>(23.856 -20.71 * BM451)/(0.008314 * (EA451+273))</f>
        <v>1.1880789455023117</v>
      </c>
      <c r="EM451" s="16"/>
      <c r="EN451" s="16">
        <f>(-4.5269  -51.811 * BM451)/(0.008314 * (EA451+273)) +N("eqn50a")</f>
        <v>-3.3874115734019914</v>
      </c>
      <c r="EO451" s="16" t="e">
        <f>(-187.27 + 2.26018 *#REF!)/(0.008314 * (EA451+273)) +N("fsp eqn35 from SiO2")</f>
        <v>#REF!</v>
      </c>
      <c r="EP451" s="16"/>
      <c r="EQ451" s="16"/>
      <c r="ER451" s="16">
        <f>(10.146 -35.204 * BM451)/(0.008314 * (EA451+273))</f>
        <v>-0.99204884748537847</v>
      </c>
      <c r="ES451" s="16">
        <f>(2.1146 -37.009 * BM451)/(0.008314 * (EA451+273))</f>
        <v>-1.889928942760529</v>
      </c>
      <c r="ET451" s="16">
        <f>(-3.6812 -33.822 * BM451)/(0.008314 * (EA451+273))</f>
        <v>-2.2832021173616468</v>
      </c>
      <c r="EU451" s="16">
        <f>(-6.8025 -26.094 * BM451)/(0.008314 * (EA451+273))</f>
        <v>-2.1539799042109329</v>
      </c>
      <c r="EV451" s="16">
        <f>(-5.6996 -30.85 * BM451)/(0.008314 * (EA451+273))</f>
        <v>-2.3145296166710141</v>
      </c>
      <c r="EW451" s="16">
        <f>(-8.6767 -33.32 * BM451)/(0.008314 * (EA451+273))</f>
        <v>-2.7495170937443616</v>
      </c>
      <c r="EX451" s="16"/>
      <c r="EY451" s="16">
        <f>(-1.9714 -59.897 * BM451)/(0.008314 * (EA451+273))</f>
        <v>-3.5929827532048835</v>
      </c>
      <c r="EZ451" s="16">
        <f>(-4.3691 -44.528 * BM451)/(0.008314 * (EA451+273))</f>
        <v>-2.9586460145022691</v>
      </c>
      <c r="FA451" s="16">
        <f>(-2.2521 -58.215 * BM451)/(0.008314 * (EA451+273))</f>
        <v>-3.5253721399282982</v>
      </c>
      <c r="FB451" s="16"/>
      <c r="FC451" s="16">
        <f>(-8.5 - 57.253 * BM451)/(0.008314 * (EA451+273))</f>
        <v>-4.0896401365147179</v>
      </c>
      <c r="FD451" s="16"/>
      <c r="FE451" s="16">
        <f>(-9.2954 -52.923 * BM451)/(0.008314 * (EA451+273))</f>
        <v>-3.9227986383901854</v>
      </c>
      <c r="FF451" s="16">
        <f>(0.61501 -70.378 * BM451)/(0.008314 * (EA451+273))</f>
        <v>-3.931351283554394</v>
      </c>
      <c r="FG451" s="16"/>
      <c r="FH451" s="16"/>
      <c r="FI451" s="16"/>
      <c r="FJ451" s="16"/>
      <c r="FK451" s="16"/>
    </row>
    <row r="452" spans="1:167" x14ac:dyDescent="0.25">
      <c r="A452" s="35" t="s">
        <v>91</v>
      </c>
      <c r="B452" s="15">
        <v>1500</v>
      </c>
      <c r="C452" s="102" t="s">
        <v>96</v>
      </c>
      <c r="D452" s="102" t="s">
        <v>104</v>
      </c>
      <c r="E452" s="15">
        <v>507</v>
      </c>
      <c r="F452" s="16">
        <v>53.06</v>
      </c>
      <c r="G452" s="16">
        <v>0</v>
      </c>
      <c r="H452" s="16">
        <v>28.96</v>
      </c>
      <c r="I452" s="16">
        <v>0</v>
      </c>
      <c r="J452" s="44">
        <v>0.70299999999999996</v>
      </c>
      <c r="K452" s="16">
        <v>0</v>
      </c>
      <c r="L452" s="16">
        <v>0</v>
      </c>
      <c r="M452" s="16">
        <v>12.02</v>
      </c>
      <c r="N452" s="16">
        <v>4.84</v>
      </c>
      <c r="O452" s="16">
        <v>0.26200000000000001</v>
      </c>
      <c r="P452" s="16">
        <v>0</v>
      </c>
      <c r="Q452" s="16"/>
      <c r="R452" s="16"/>
      <c r="S452" s="16">
        <f t="shared" si="391"/>
        <v>99.845000000000013</v>
      </c>
      <c r="T452" s="16"/>
      <c r="U452" s="15">
        <v>1</v>
      </c>
      <c r="V452" s="15">
        <v>18</v>
      </c>
      <c r="W452" s="15">
        <v>360.39999999999992</v>
      </c>
      <c r="X452" s="15" t="s">
        <v>258</v>
      </c>
      <c r="Y452" s="15"/>
      <c r="Z452" s="37">
        <v>8</v>
      </c>
      <c r="AA452" s="37">
        <v>5</v>
      </c>
      <c r="AB452" s="15"/>
      <c r="AC452" s="38">
        <f t="shared" si="392"/>
        <v>2.4167888512098386</v>
      </c>
      <c r="AD452" s="38">
        <f t="shared" si="393"/>
        <v>0</v>
      </c>
      <c r="AE452" s="38">
        <f t="shared" si="394"/>
        <v>1.5545336006332791</v>
      </c>
      <c r="AF452" s="38">
        <f t="shared" si="395"/>
        <v>0</v>
      </c>
      <c r="AG452" s="38">
        <f t="shared" si="396"/>
        <v>2.6775028374548746E-2</v>
      </c>
      <c r="AH452" s="38">
        <f t="shared" si="397"/>
        <v>0</v>
      </c>
      <c r="AI452" s="38">
        <f t="shared" si="398"/>
        <v>0</v>
      </c>
      <c r="AJ452" s="38">
        <f t="shared" si="399"/>
        <v>0.58654029044846911</v>
      </c>
      <c r="AK452" s="38">
        <f t="shared" si="400"/>
        <v>0.42739080322624262</v>
      </c>
      <c r="AL452" s="38">
        <f t="shared" si="401"/>
        <v>1.5222352388531039E-2</v>
      </c>
      <c r="AM452" s="38">
        <f t="shared" si="402"/>
        <v>0</v>
      </c>
      <c r="AN452" s="38">
        <f t="shared" si="403"/>
        <v>0</v>
      </c>
      <c r="AO452" s="38">
        <f t="shared" si="404"/>
        <v>0</v>
      </c>
      <c r="AP452" s="38">
        <f t="shared" si="405"/>
        <v>5.0272509262809093</v>
      </c>
      <c r="AQ452" s="38">
        <f t="shared" si="406"/>
        <v>3.9713224518431174</v>
      </c>
      <c r="AR452" s="38">
        <f t="shared" si="407"/>
        <v>1.0291534460632428</v>
      </c>
      <c r="AS452" s="40"/>
      <c r="AT452" s="38">
        <f t="shared" si="408"/>
        <v>2.4036883046513715</v>
      </c>
      <c r="AU452" s="38">
        <f t="shared" si="409"/>
        <v>0</v>
      </c>
      <c r="AV452" s="38">
        <f t="shared" si="410"/>
        <v>1.5461070308890488</v>
      </c>
      <c r="AW452" s="38">
        <f t="shared" si="411"/>
        <v>0</v>
      </c>
      <c r="AX452" s="38">
        <f t="shared" si="412"/>
        <v>0</v>
      </c>
      <c r="AY452" s="38">
        <f t="shared" si="413"/>
        <v>2.6629890537766081E-2</v>
      </c>
      <c r="AZ452" s="38">
        <f t="shared" si="414"/>
        <v>0</v>
      </c>
      <c r="BA452" s="38">
        <f t="shared" si="415"/>
        <v>0</v>
      </c>
      <c r="BB452" s="38">
        <f t="shared" si="416"/>
        <v>0.5833608656594188</v>
      </c>
      <c r="BC452" s="38">
        <f t="shared" si="417"/>
        <v>0.42507407079282244</v>
      </c>
      <c r="BD452" s="38">
        <f t="shared" si="418"/>
        <v>1.5139837469573383E-2</v>
      </c>
      <c r="BE452" s="38">
        <f t="shared" si="419"/>
        <v>0</v>
      </c>
      <c r="BF452" s="38">
        <f t="shared" si="420"/>
        <v>0</v>
      </c>
      <c r="BG452" s="38">
        <f t="shared" si="421"/>
        <v>0</v>
      </c>
      <c r="BH452" s="41">
        <f t="shared" si="422"/>
        <v>5.0000000000000009</v>
      </c>
      <c r="BI452" s="42">
        <f t="shared" si="423"/>
        <v>7.9699498112335814</v>
      </c>
      <c r="BJ452" s="38">
        <f t="shared" si="424"/>
        <v>3.9497953355404203</v>
      </c>
      <c r="BK452" s="38">
        <f t="shared" si="425"/>
        <v>1.0235747739218148</v>
      </c>
      <c r="BL452" s="16"/>
      <c r="BM452" s="16">
        <f t="shared" si="426"/>
        <v>0.56992501234109016</v>
      </c>
      <c r="BN452" s="16">
        <f t="shared" si="427"/>
        <v>0.41528384796369705</v>
      </c>
      <c r="BO452" s="16">
        <f t="shared" si="428"/>
        <v>1.4791139695212764E-2</v>
      </c>
      <c r="BP452" s="15"/>
      <c r="BQ452" s="38">
        <f t="shared" si="429"/>
        <v>0.88315579227696406</v>
      </c>
      <c r="BR452" s="38">
        <f t="shared" si="430"/>
        <v>0</v>
      </c>
      <c r="BS452" s="38">
        <f t="shared" si="431"/>
        <v>0.56806590819929392</v>
      </c>
      <c r="BT452" s="38">
        <f t="shared" si="432"/>
        <v>0</v>
      </c>
      <c r="BU452" s="38">
        <f t="shared" si="433"/>
        <v>9.7842727905358383E-3</v>
      </c>
      <c r="BV452" s="38">
        <f t="shared" si="434"/>
        <v>0</v>
      </c>
      <c r="BW452" s="38">
        <f t="shared" si="435"/>
        <v>0</v>
      </c>
      <c r="BX452" s="38">
        <f t="shared" si="436"/>
        <v>0.21433666191155493</v>
      </c>
      <c r="BY452" s="38">
        <f t="shared" si="437"/>
        <v>0.15617941271377864</v>
      </c>
      <c r="BZ452" s="38">
        <f t="shared" si="438"/>
        <v>5.5626326963906583E-3</v>
      </c>
      <c r="CA452" s="38">
        <f t="shared" si="439"/>
        <v>0</v>
      </c>
      <c r="CB452" s="38">
        <f t="shared" si="440"/>
        <v>0</v>
      </c>
      <c r="CC452" s="38">
        <f t="shared" si="441"/>
        <v>0</v>
      </c>
      <c r="CD452" s="38">
        <f t="shared" si="442"/>
        <v>1.8370846805885179</v>
      </c>
      <c r="CE452" s="38">
        <f t="shared" si="443"/>
        <v>2.9234024042600444</v>
      </c>
      <c r="CF452" s="38">
        <f t="shared" si="444"/>
        <v>2.7217036061713982</v>
      </c>
      <c r="CG452" s="38">
        <f t="shared" si="445"/>
        <v>7.9566348659646984</v>
      </c>
      <c r="CH452" s="15"/>
      <c r="CI452" s="16"/>
      <c r="CJ452" s="13"/>
      <c r="CK452" s="104"/>
      <c r="CL452" s="13"/>
      <c r="CM452" s="13"/>
      <c r="CN452" s="13"/>
      <c r="CO452" s="16"/>
      <c r="CP452" s="16"/>
      <c r="CQ452" s="16"/>
      <c r="CR452" s="16"/>
      <c r="CS452" s="16"/>
      <c r="CT452" s="16"/>
      <c r="CU452" s="16"/>
      <c r="CV452" s="16"/>
      <c r="CW452" s="16"/>
      <c r="CX452" s="16"/>
      <c r="CY452" s="104"/>
      <c r="CZ452" s="104"/>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3"/>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row>
    <row r="453" spans="1:167" x14ac:dyDescent="0.25">
      <c r="A453" s="35" t="s">
        <v>91</v>
      </c>
      <c r="B453" s="15">
        <v>1501</v>
      </c>
      <c r="C453" s="102" t="s">
        <v>96</v>
      </c>
      <c r="D453" s="102" t="s">
        <v>104</v>
      </c>
      <c r="E453" s="15">
        <v>508</v>
      </c>
      <c r="F453" s="16">
        <v>52.8</v>
      </c>
      <c r="G453" s="16">
        <v>0</v>
      </c>
      <c r="H453" s="16">
        <v>29.34</v>
      </c>
      <c r="I453" s="16">
        <v>0</v>
      </c>
      <c r="J453" s="44">
        <v>0.76300000000000001</v>
      </c>
      <c r="K453" s="16">
        <v>0</v>
      </c>
      <c r="L453" s="16">
        <v>0</v>
      </c>
      <c r="M453" s="16">
        <v>12.27</v>
      </c>
      <c r="N453" s="16">
        <v>4.8899999999999997</v>
      </c>
      <c r="O453" s="16">
        <v>0.254</v>
      </c>
      <c r="P453" s="16">
        <v>0</v>
      </c>
      <c r="Q453" s="16"/>
      <c r="R453" s="16"/>
      <c r="S453" s="16">
        <f t="shared" si="391"/>
        <v>100.31700000000001</v>
      </c>
      <c r="T453" s="16"/>
      <c r="U453" s="15">
        <v>1</v>
      </c>
      <c r="V453" s="15">
        <v>19</v>
      </c>
      <c r="W453" s="15">
        <v>381.59999999999991</v>
      </c>
      <c r="X453" s="15" t="s">
        <v>258</v>
      </c>
      <c r="Y453" s="15"/>
      <c r="Z453" s="37">
        <v>8</v>
      </c>
      <c r="AA453" s="37">
        <v>5</v>
      </c>
      <c r="AB453" s="15"/>
      <c r="AC453" s="38">
        <f t="shared" si="392"/>
        <v>2.3979409044721818</v>
      </c>
      <c r="AD453" s="38">
        <f t="shared" si="393"/>
        <v>0</v>
      </c>
      <c r="AE453" s="38">
        <f t="shared" si="394"/>
        <v>1.5703438421795708</v>
      </c>
      <c r="AF453" s="38">
        <f t="shared" si="395"/>
        <v>0</v>
      </c>
      <c r="AG453" s="38">
        <f t="shared" si="396"/>
        <v>2.8975587007745905E-2</v>
      </c>
      <c r="AH453" s="38">
        <f t="shared" si="397"/>
        <v>0</v>
      </c>
      <c r="AI453" s="38">
        <f t="shared" si="398"/>
        <v>0</v>
      </c>
      <c r="AJ453" s="38">
        <f t="shared" si="399"/>
        <v>0.59699546935933323</v>
      </c>
      <c r="AK453" s="38">
        <f t="shared" si="400"/>
        <v>0.43054818260898414</v>
      </c>
      <c r="AL453" s="38">
        <f t="shared" si="401"/>
        <v>1.4714560229417957E-2</v>
      </c>
      <c r="AM453" s="38">
        <f t="shared" si="402"/>
        <v>0</v>
      </c>
      <c r="AN453" s="38">
        <f t="shared" si="403"/>
        <v>0</v>
      </c>
      <c r="AO453" s="38">
        <f t="shared" si="404"/>
        <v>0</v>
      </c>
      <c r="AP453" s="38">
        <f t="shared" si="405"/>
        <v>5.0395185458572334</v>
      </c>
      <c r="AQ453" s="38">
        <f t="shared" si="406"/>
        <v>3.9682847466517526</v>
      </c>
      <c r="AR453" s="38">
        <f t="shared" si="407"/>
        <v>1.0422582121977353</v>
      </c>
      <c r="AS453" s="40"/>
      <c r="AT453" s="38">
        <f t="shared" si="408"/>
        <v>2.3791368983485768</v>
      </c>
      <c r="AU453" s="38">
        <f t="shared" si="409"/>
        <v>0</v>
      </c>
      <c r="AV453" s="38">
        <f t="shared" si="410"/>
        <v>1.5580296291105837</v>
      </c>
      <c r="AW453" s="38">
        <f t="shared" si="411"/>
        <v>0</v>
      </c>
      <c r="AX453" s="38">
        <f t="shared" si="412"/>
        <v>0</v>
      </c>
      <c r="AY453" s="38">
        <f t="shared" si="413"/>
        <v>2.8748368265819224E-2</v>
      </c>
      <c r="AZ453" s="38">
        <f t="shared" si="414"/>
        <v>0</v>
      </c>
      <c r="BA453" s="38">
        <f t="shared" si="415"/>
        <v>0</v>
      </c>
      <c r="BB453" s="38">
        <f t="shared" si="416"/>
        <v>0.59231399182973232</v>
      </c>
      <c r="BC453" s="38">
        <f t="shared" si="417"/>
        <v>0.42717193983036228</v>
      </c>
      <c r="BD453" s="38">
        <f t="shared" si="418"/>
        <v>1.4599172614925833E-2</v>
      </c>
      <c r="BE453" s="38">
        <f t="shared" si="419"/>
        <v>0</v>
      </c>
      <c r="BF453" s="38">
        <f t="shared" si="420"/>
        <v>0</v>
      </c>
      <c r="BG453" s="38">
        <f t="shared" si="421"/>
        <v>0</v>
      </c>
      <c r="BH453" s="41">
        <f t="shared" si="422"/>
        <v>5</v>
      </c>
      <c r="BI453" s="42">
        <f t="shared" si="423"/>
        <v>7.9516403408141336</v>
      </c>
      <c r="BJ453" s="38">
        <f t="shared" si="424"/>
        <v>3.9371665274591603</v>
      </c>
      <c r="BK453" s="38">
        <f t="shared" si="425"/>
        <v>1.0340851042750205</v>
      </c>
      <c r="BL453" s="16"/>
      <c r="BM453" s="16">
        <f t="shared" si="426"/>
        <v>0.57279037226340646</v>
      </c>
      <c r="BN453" s="16">
        <f t="shared" si="427"/>
        <v>0.41309166727611385</v>
      </c>
      <c r="BO453" s="16">
        <f t="shared" si="428"/>
        <v>1.4117960460479766E-2</v>
      </c>
      <c r="BP453" s="15"/>
      <c r="BQ453" s="38">
        <f t="shared" si="429"/>
        <v>0.87882822902796265</v>
      </c>
      <c r="BR453" s="38">
        <f t="shared" si="430"/>
        <v>0</v>
      </c>
      <c r="BS453" s="38">
        <f t="shared" si="431"/>
        <v>0.5755198116908592</v>
      </c>
      <c r="BT453" s="38">
        <f t="shared" si="432"/>
        <v>0</v>
      </c>
      <c r="BU453" s="38">
        <f t="shared" si="433"/>
        <v>1.0619345859429368E-2</v>
      </c>
      <c r="BV453" s="38">
        <f t="shared" si="434"/>
        <v>0</v>
      </c>
      <c r="BW453" s="38">
        <f t="shared" si="435"/>
        <v>0</v>
      </c>
      <c r="BX453" s="38">
        <f t="shared" si="436"/>
        <v>0.21879457917261055</v>
      </c>
      <c r="BY453" s="38">
        <f t="shared" si="437"/>
        <v>0.15779283639883834</v>
      </c>
      <c r="BZ453" s="38">
        <f t="shared" si="438"/>
        <v>5.3927813163481952E-3</v>
      </c>
      <c r="CA453" s="38">
        <f t="shared" si="439"/>
        <v>0</v>
      </c>
      <c r="CB453" s="38">
        <f t="shared" si="440"/>
        <v>0</v>
      </c>
      <c r="CC453" s="38">
        <f t="shared" si="441"/>
        <v>0</v>
      </c>
      <c r="CD453" s="38">
        <f t="shared" si="442"/>
        <v>1.8469475834660483</v>
      </c>
      <c r="CE453" s="38">
        <f t="shared" si="443"/>
        <v>2.9319429094818474</v>
      </c>
      <c r="CF453" s="38">
        <f t="shared" si="444"/>
        <v>2.7071694100905779</v>
      </c>
      <c r="CG453" s="38">
        <f t="shared" si="445"/>
        <v>7.9372661566812255</v>
      </c>
      <c r="CH453" s="15"/>
      <c r="CI453" s="16"/>
      <c r="CJ453" s="13"/>
      <c r="CK453" s="104"/>
      <c r="CL453" s="13"/>
      <c r="CM453" s="13"/>
      <c r="CN453" s="13"/>
      <c r="CO453" s="16"/>
      <c r="CP453" s="16"/>
      <c r="CQ453" s="16"/>
      <c r="CR453" s="16"/>
      <c r="CS453" s="16"/>
      <c r="CT453" s="16"/>
      <c r="CU453" s="16"/>
      <c r="CV453" s="16"/>
      <c r="CW453" s="16"/>
      <c r="CX453" s="16"/>
      <c r="CY453" s="104"/>
      <c r="CZ453" s="104"/>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3"/>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row>
    <row r="454" spans="1:167" x14ac:dyDescent="0.25">
      <c r="A454" s="35" t="s">
        <v>91</v>
      </c>
      <c r="B454" s="15">
        <v>1502</v>
      </c>
      <c r="C454" s="102" t="s">
        <v>96</v>
      </c>
      <c r="D454" s="102" t="s">
        <v>104</v>
      </c>
      <c r="E454" s="15">
        <v>509</v>
      </c>
      <c r="F454" s="16">
        <v>52.69</v>
      </c>
      <c r="G454" s="16">
        <v>0</v>
      </c>
      <c r="H454" s="16">
        <v>29.27</v>
      </c>
      <c r="I454" s="16">
        <v>0</v>
      </c>
      <c r="J454" s="44">
        <v>0.77500000000000002</v>
      </c>
      <c r="K454" s="16">
        <v>0</v>
      </c>
      <c r="L454" s="16">
        <v>0</v>
      </c>
      <c r="M454" s="16">
        <v>12.28</v>
      </c>
      <c r="N454" s="16">
        <v>4.82</v>
      </c>
      <c r="O454" s="16">
        <v>0.19800000000000001</v>
      </c>
      <c r="P454" s="16">
        <v>0</v>
      </c>
      <c r="Q454" s="16"/>
      <c r="R454" s="16"/>
      <c r="S454" s="16">
        <f t="shared" si="391"/>
        <v>100.033</v>
      </c>
      <c r="T454" s="16"/>
      <c r="U454" s="15">
        <v>1</v>
      </c>
      <c r="V454" s="15">
        <v>20</v>
      </c>
      <c r="W454" s="15">
        <v>402.7999999999999</v>
      </c>
      <c r="X454" s="15" t="s">
        <v>258</v>
      </c>
      <c r="Y454" s="15"/>
      <c r="Z454" s="37">
        <v>8</v>
      </c>
      <c r="AA454" s="37">
        <v>5</v>
      </c>
      <c r="AB454" s="15"/>
      <c r="AC454" s="38">
        <f t="shared" si="392"/>
        <v>2.3987539904683866</v>
      </c>
      <c r="AD454" s="38">
        <f t="shared" si="393"/>
        <v>0</v>
      </c>
      <c r="AE454" s="38">
        <f t="shared" si="394"/>
        <v>1.5704001459064738</v>
      </c>
      <c r="AF454" s="38">
        <f t="shared" si="395"/>
        <v>0</v>
      </c>
      <c r="AG454" s="38">
        <f t="shared" si="396"/>
        <v>2.9502740931533863E-2</v>
      </c>
      <c r="AH454" s="38">
        <f t="shared" si="397"/>
        <v>0</v>
      </c>
      <c r="AI454" s="38">
        <f t="shared" si="398"/>
        <v>0</v>
      </c>
      <c r="AJ454" s="38">
        <f t="shared" si="399"/>
        <v>0.59893238629674406</v>
      </c>
      <c r="AK454" s="38">
        <f t="shared" si="400"/>
        <v>0.42541509669866506</v>
      </c>
      <c r="AL454" s="38">
        <f t="shared" si="401"/>
        <v>1.1498249251812347E-2</v>
      </c>
      <c r="AM454" s="38">
        <f t="shared" si="402"/>
        <v>0</v>
      </c>
      <c r="AN454" s="38">
        <f t="shared" si="403"/>
        <v>0</v>
      </c>
      <c r="AO454" s="38">
        <f t="shared" si="404"/>
        <v>0</v>
      </c>
      <c r="AP454" s="38">
        <f t="shared" si="405"/>
        <v>5.0345026095536163</v>
      </c>
      <c r="AQ454" s="38">
        <f t="shared" si="406"/>
        <v>3.9691541363748604</v>
      </c>
      <c r="AR454" s="38">
        <f t="shared" si="407"/>
        <v>1.0358457322472214</v>
      </c>
      <c r="AS454" s="40"/>
      <c r="AT454" s="38">
        <f t="shared" si="408"/>
        <v>2.3823147751641267</v>
      </c>
      <c r="AU454" s="38">
        <f t="shared" si="409"/>
        <v>0</v>
      </c>
      <c r="AV454" s="38">
        <f t="shared" si="410"/>
        <v>1.5596378308816821</v>
      </c>
      <c r="AW454" s="38">
        <f t="shared" si="411"/>
        <v>0</v>
      </c>
      <c r="AX454" s="38">
        <f t="shared" si="412"/>
        <v>0</v>
      </c>
      <c r="AY454" s="38">
        <f t="shared" si="413"/>
        <v>2.9300551831623466E-2</v>
      </c>
      <c r="AZ454" s="38">
        <f t="shared" si="414"/>
        <v>0</v>
      </c>
      <c r="BA454" s="38">
        <f t="shared" si="415"/>
        <v>0</v>
      </c>
      <c r="BB454" s="38">
        <f t="shared" si="416"/>
        <v>0.59482776427624939</v>
      </c>
      <c r="BC454" s="38">
        <f t="shared" si="417"/>
        <v>0.42249962875318131</v>
      </c>
      <c r="BD454" s="38">
        <f t="shared" si="418"/>
        <v>1.1419449093136769E-2</v>
      </c>
      <c r="BE454" s="38">
        <f t="shared" si="419"/>
        <v>0</v>
      </c>
      <c r="BF454" s="38">
        <f t="shared" si="420"/>
        <v>0</v>
      </c>
      <c r="BG454" s="38">
        <f t="shared" si="421"/>
        <v>0</v>
      </c>
      <c r="BH454" s="41">
        <f t="shared" si="422"/>
        <v>5</v>
      </c>
      <c r="BI454" s="42">
        <f t="shared" si="423"/>
        <v>7.9598244275976198</v>
      </c>
      <c r="BJ454" s="38">
        <f t="shared" si="424"/>
        <v>3.9419526060458088</v>
      </c>
      <c r="BK454" s="38">
        <f t="shared" si="425"/>
        <v>1.0287468421225674</v>
      </c>
      <c r="BL454" s="16"/>
      <c r="BM454" s="16">
        <f t="shared" si="426"/>
        <v>0.57820616299435512</v>
      </c>
      <c r="BN454" s="16">
        <f t="shared" si="427"/>
        <v>0.41069348789587218</v>
      </c>
      <c r="BO454" s="16">
        <f t="shared" si="428"/>
        <v>1.1100349109772751E-2</v>
      </c>
      <c r="BP454" s="15"/>
      <c r="BQ454" s="38">
        <f t="shared" si="429"/>
        <v>0.87699733688415449</v>
      </c>
      <c r="BR454" s="38">
        <f t="shared" si="430"/>
        <v>0</v>
      </c>
      <c r="BS454" s="38">
        <f t="shared" si="431"/>
        <v>0.57414672420557089</v>
      </c>
      <c r="BT454" s="38">
        <f t="shared" si="432"/>
        <v>0</v>
      </c>
      <c r="BU454" s="38">
        <f t="shared" si="433"/>
        <v>1.0786360473208073E-2</v>
      </c>
      <c r="BV454" s="38">
        <f t="shared" si="434"/>
        <v>0</v>
      </c>
      <c r="BW454" s="38">
        <f t="shared" si="435"/>
        <v>0</v>
      </c>
      <c r="BX454" s="38">
        <f t="shared" si="436"/>
        <v>0.21897289586305277</v>
      </c>
      <c r="BY454" s="38">
        <f t="shared" si="437"/>
        <v>0.15553404323975478</v>
      </c>
      <c r="BZ454" s="38">
        <f t="shared" si="438"/>
        <v>4.2038216560509557E-3</v>
      </c>
      <c r="CA454" s="38">
        <f t="shared" si="439"/>
        <v>0</v>
      </c>
      <c r="CB454" s="38">
        <f t="shared" si="440"/>
        <v>0</v>
      </c>
      <c r="CC454" s="38">
        <f t="shared" si="441"/>
        <v>0</v>
      </c>
      <c r="CD454" s="38">
        <f t="shared" si="442"/>
        <v>1.8406411823217921</v>
      </c>
      <c r="CE454" s="38">
        <f t="shared" si="443"/>
        <v>2.924842948860829</v>
      </c>
      <c r="CF454" s="38">
        <f t="shared" si="444"/>
        <v>2.7164447085188979</v>
      </c>
      <c r="CG454" s="38">
        <f t="shared" si="445"/>
        <v>7.9451741516818082</v>
      </c>
      <c r="CH454" s="15"/>
      <c r="CI454" s="16"/>
      <c r="CJ454" s="13"/>
      <c r="CK454" s="104"/>
      <c r="CL454" s="13"/>
      <c r="CM454" s="13"/>
      <c r="CN454" s="13"/>
      <c r="CO454" s="16"/>
      <c r="CP454" s="16"/>
      <c r="CQ454" s="16"/>
      <c r="CR454" s="16"/>
      <c r="CS454" s="16"/>
      <c r="CT454" s="16"/>
      <c r="CU454" s="16"/>
      <c r="CV454" s="16"/>
      <c r="CW454" s="16"/>
      <c r="CX454" s="16"/>
      <c r="CY454" s="104"/>
      <c r="CZ454" s="104"/>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3"/>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row>
    <row r="455" spans="1:167" x14ac:dyDescent="0.25">
      <c r="A455" s="35" t="s">
        <v>91</v>
      </c>
      <c r="B455" s="15">
        <v>1503</v>
      </c>
      <c r="C455" s="102" t="s">
        <v>96</v>
      </c>
      <c r="D455" s="102" t="s">
        <v>104</v>
      </c>
      <c r="E455" s="15">
        <v>510</v>
      </c>
      <c r="F455" s="16">
        <v>52.29</v>
      </c>
      <c r="G455" s="16">
        <v>0</v>
      </c>
      <c r="H455" s="16">
        <v>29.16</v>
      </c>
      <c r="I455" s="16">
        <v>0</v>
      </c>
      <c r="J455" s="44">
        <v>0.83699999999999997</v>
      </c>
      <c r="K455" s="16">
        <v>0</v>
      </c>
      <c r="L455" s="16">
        <v>0</v>
      </c>
      <c r="M455" s="16">
        <v>12.27</v>
      </c>
      <c r="N455" s="16">
        <v>4.6900000000000004</v>
      </c>
      <c r="O455" s="16">
        <v>0.23300000000000001</v>
      </c>
      <c r="P455" s="16">
        <v>0</v>
      </c>
      <c r="Q455" s="16"/>
      <c r="R455" s="16"/>
      <c r="S455" s="16">
        <f t="shared" si="391"/>
        <v>99.48</v>
      </c>
      <c r="T455" s="16"/>
      <c r="U455" s="15">
        <v>1</v>
      </c>
      <c r="V455" s="15">
        <v>21</v>
      </c>
      <c r="W455" s="15">
        <v>423.99999999999989</v>
      </c>
      <c r="X455" s="15" t="s">
        <v>258</v>
      </c>
      <c r="Y455" s="15"/>
      <c r="Z455" s="37">
        <v>8</v>
      </c>
      <c r="AA455" s="37">
        <v>5</v>
      </c>
      <c r="AB455" s="15"/>
      <c r="AC455" s="38">
        <f t="shared" si="392"/>
        <v>2.3949497227838323</v>
      </c>
      <c r="AD455" s="38">
        <f t="shared" si="393"/>
        <v>0</v>
      </c>
      <c r="AE455" s="38">
        <f t="shared" si="394"/>
        <v>1.5739660893554239</v>
      </c>
      <c r="AF455" s="38">
        <f t="shared" si="395"/>
        <v>0</v>
      </c>
      <c r="AG455" s="38">
        <f t="shared" si="396"/>
        <v>3.2055781441474335E-2</v>
      </c>
      <c r="AH455" s="38">
        <f t="shared" si="397"/>
        <v>0</v>
      </c>
      <c r="AI455" s="38">
        <f t="shared" si="398"/>
        <v>0</v>
      </c>
      <c r="AJ455" s="38">
        <f t="shared" si="399"/>
        <v>0.60206619172885478</v>
      </c>
      <c r="AK455" s="38">
        <f t="shared" si="400"/>
        <v>0.4164462438807669</v>
      </c>
      <c r="AL455" s="38">
        <f t="shared" si="401"/>
        <v>1.3612650576971993E-2</v>
      </c>
      <c r="AM455" s="38">
        <f t="shared" si="402"/>
        <v>0</v>
      </c>
      <c r="AN455" s="38">
        <f t="shared" si="403"/>
        <v>0</v>
      </c>
      <c r="AO455" s="38">
        <f t="shared" si="404"/>
        <v>0</v>
      </c>
      <c r="AP455" s="38">
        <f t="shared" si="405"/>
        <v>5.0330966797673238</v>
      </c>
      <c r="AQ455" s="38">
        <f t="shared" si="406"/>
        <v>3.9689158121392563</v>
      </c>
      <c r="AR455" s="38">
        <f t="shared" si="407"/>
        <v>1.0321250861865936</v>
      </c>
      <c r="AS455" s="40"/>
      <c r="AT455" s="38">
        <f t="shared" si="408"/>
        <v>2.3792009921161985</v>
      </c>
      <c r="AU455" s="38">
        <f t="shared" si="409"/>
        <v>0</v>
      </c>
      <c r="AV455" s="38">
        <f t="shared" si="410"/>
        <v>1.5636159898166184</v>
      </c>
      <c r="AW455" s="38">
        <f t="shared" si="411"/>
        <v>0</v>
      </c>
      <c r="AX455" s="38">
        <f t="shared" si="412"/>
        <v>0</v>
      </c>
      <c r="AY455" s="38">
        <f t="shared" si="413"/>
        <v>3.1844988762421554E-2</v>
      </c>
      <c r="AZ455" s="38">
        <f t="shared" si="414"/>
        <v>0</v>
      </c>
      <c r="BA455" s="38">
        <f t="shared" si="415"/>
        <v>0</v>
      </c>
      <c r="BB455" s="38">
        <f t="shared" si="416"/>
        <v>0.59810711976695807</v>
      </c>
      <c r="BC455" s="38">
        <f t="shared" si="417"/>
        <v>0.41370777314376844</v>
      </c>
      <c r="BD455" s="38">
        <f t="shared" si="418"/>
        <v>1.3523136394035348E-2</v>
      </c>
      <c r="BE455" s="38">
        <f t="shared" si="419"/>
        <v>0</v>
      </c>
      <c r="BF455" s="38">
        <f t="shared" si="420"/>
        <v>0</v>
      </c>
      <c r="BG455" s="38">
        <f t="shared" si="421"/>
        <v>0</v>
      </c>
      <c r="BH455" s="41">
        <f t="shared" si="422"/>
        <v>5</v>
      </c>
      <c r="BI455" s="42">
        <f t="shared" si="423"/>
        <v>7.9633160266368161</v>
      </c>
      <c r="BJ455" s="38">
        <f t="shared" si="424"/>
        <v>3.9428169819328169</v>
      </c>
      <c r="BK455" s="38">
        <f t="shared" si="425"/>
        <v>1.0253380293047618</v>
      </c>
      <c r="BL455" s="16"/>
      <c r="BM455" s="16">
        <f t="shared" si="426"/>
        <v>0.58332676899978941</v>
      </c>
      <c r="BN455" s="16">
        <f t="shared" si="427"/>
        <v>0.40348427671631976</v>
      </c>
      <c r="BO455" s="16">
        <f t="shared" si="428"/>
        <v>1.3188954283890953E-2</v>
      </c>
      <c r="BP455" s="15"/>
      <c r="BQ455" s="38">
        <f t="shared" si="429"/>
        <v>0.87033954727030627</v>
      </c>
      <c r="BR455" s="38">
        <f t="shared" si="430"/>
        <v>0</v>
      </c>
      <c r="BS455" s="38">
        <f t="shared" si="431"/>
        <v>0.5719890153001177</v>
      </c>
      <c r="BT455" s="38">
        <f t="shared" si="432"/>
        <v>0</v>
      </c>
      <c r="BU455" s="38">
        <f t="shared" si="433"/>
        <v>1.1649269311064719E-2</v>
      </c>
      <c r="BV455" s="38">
        <f t="shared" si="434"/>
        <v>0</v>
      </c>
      <c r="BW455" s="38">
        <f t="shared" si="435"/>
        <v>0</v>
      </c>
      <c r="BX455" s="38">
        <f t="shared" si="436"/>
        <v>0.21879457917261055</v>
      </c>
      <c r="BY455" s="38">
        <f t="shared" si="437"/>
        <v>0.15133914165859957</v>
      </c>
      <c r="BZ455" s="38">
        <f t="shared" si="438"/>
        <v>4.9469214437367305E-3</v>
      </c>
      <c r="CA455" s="38">
        <f t="shared" si="439"/>
        <v>0</v>
      </c>
      <c r="CB455" s="38">
        <f t="shared" si="440"/>
        <v>0</v>
      </c>
      <c r="CC455" s="38">
        <f t="shared" si="441"/>
        <v>0</v>
      </c>
      <c r="CD455" s="38">
        <f t="shared" si="442"/>
        <v>1.8290584741564355</v>
      </c>
      <c r="CE455" s="38">
        <f t="shared" si="443"/>
        <v>2.9072494975256329</v>
      </c>
      <c r="CF455" s="38">
        <f t="shared" si="444"/>
        <v>2.7336468848028534</v>
      </c>
      <c r="CG455" s="38">
        <f t="shared" si="445"/>
        <v>7.9473935322556075</v>
      </c>
      <c r="CH455" s="15"/>
      <c r="CI455" s="16"/>
      <c r="CJ455" s="13"/>
      <c r="CK455" s="104"/>
      <c r="CL455" s="13"/>
      <c r="CM455" s="13"/>
      <c r="CN455" s="13"/>
      <c r="CO455" s="16"/>
      <c r="CP455" s="16"/>
      <c r="CQ455" s="16"/>
      <c r="CR455" s="16"/>
      <c r="CS455" s="16"/>
      <c r="CT455" s="16"/>
      <c r="CU455" s="16"/>
      <c r="CV455" s="16"/>
      <c r="CW455" s="16"/>
      <c r="CX455" s="16"/>
      <c r="CY455" s="104"/>
      <c r="CZ455" s="104"/>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3"/>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row>
    <row r="456" spans="1:167" x14ac:dyDescent="0.25">
      <c r="A456" s="35" t="s">
        <v>91</v>
      </c>
      <c r="B456" s="15">
        <v>1504</v>
      </c>
      <c r="C456" s="102" t="s">
        <v>96</v>
      </c>
      <c r="D456" s="102" t="s">
        <v>104</v>
      </c>
      <c r="E456" s="15">
        <v>511</v>
      </c>
      <c r="F456" s="16">
        <v>52.93</v>
      </c>
      <c r="G456" s="16">
        <v>0</v>
      </c>
      <c r="H456" s="16">
        <v>28.87</v>
      </c>
      <c r="I456" s="16">
        <v>0</v>
      </c>
      <c r="J456" s="44">
        <v>0.877</v>
      </c>
      <c r="K456" s="16">
        <v>0</v>
      </c>
      <c r="L456" s="16">
        <v>0</v>
      </c>
      <c r="M456" s="16">
        <v>12.12</v>
      </c>
      <c r="N456" s="16">
        <v>4.78</v>
      </c>
      <c r="O456" s="16">
        <v>0.22900000000000001</v>
      </c>
      <c r="P456" s="16">
        <v>0</v>
      </c>
      <c r="Q456" s="16"/>
      <c r="R456" s="16"/>
      <c r="S456" s="16">
        <f t="shared" si="391"/>
        <v>99.805999999999997</v>
      </c>
      <c r="T456" s="16"/>
      <c r="U456" s="15">
        <v>1</v>
      </c>
      <c r="V456" s="15">
        <v>22</v>
      </c>
      <c r="W456" s="15">
        <v>445.19999999999987</v>
      </c>
      <c r="X456" s="15" t="s">
        <v>258</v>
      </c>
      <c r="Y456" s="15"/>
      <c r="Z456" s="37">
        <v>8</v>
      </c>
      <c r="AA456" s="37">
        <v>5</v>
      </c>
      <c r="AB456" s="15"/>
      <c r="AC456" s="38">
        <f t="shared" si="392"/>
        <v>2.4142445438516766</v>
      </c>
      <c r="AD456" s="38">
        <f t="shared" si="393"/>
        <v>0</v>
      </c>
      <c r="AE456" s="38">
        <f t="shared" si="394"/>
        <v>1.5518732291849648</v>
      </c>
      <c r="AF456" s="38">
        <f t="shared" si="395"/>
        <v>0</v>
      </c>
      <c r="AG456" s="38">
        <f t="shared" si="396"/>
        <v>3.3448920744621774E-2</v>
      </c>
      <c r="AH456" s="38">
        <f t="shared" si="397"/>
        <v>0</v>
      </c>
      <c r="AI456" s="38">
        <f t="shared" si="398"/>
        <v>0</v>
      </c>
      <c r="AJ456" s="38">
        <f t="shared" si="399"/>
        <v>0.59224841000625061</v>
      </c>
      <c r="AK456" s="38">
        <f t="shared" si="400"/>
        <v>0.42268380565235986</v>
      </c>
      <c r="AL456" s="38">
        <f t="shared" si="401"/>
        <v>1.3323669884298334E-2</v>
      </c>
      <c r="AM456" s="38">
        <f t="shared" si="402"/>
        <v>0</v>
      </c>
      <c r="AN456" s="38">
        <f t="shared" si="403"/>
        <v>0</v>
      </c>
      <c r="AO456" s="38">
        <f t="shared" si="404"/>
        <v>0</v>
      </c>
      <c r="AP456" s="38">
        <f t="shared" si="405"/>
        <v>5.0278225793241722</v>
      </c>
      <c r="AQ456" s="38">
        <f t="shared" si="406"/>
        <v>3.9661177730366415</v>
      </c>
      <c r="AR456" s="38">
        <f t="shared" si="407"/>
        <v>1.0282558855429087</v>
      </c>
      <c r="AS456" s="40"/>
      <c r="AT456" s="38">
        <f t="shared" si="408"/>
        <v>2.4008847823904254</v>
      </c>
      <c r="AU456" s="38">
        <f t="shared" si="409"/>
        <v>0</v>
      </c>
      <c r="AV456" s="38">
        <f t="shared" si="410"/>
        <v>1.5432855920241757</v>
      </c>
      <c r="AW456" s="38">
        <f t="shared" si="411"/>
        <v>0</v>
      </c>
      <c r="AX456" s="38">
        <f t="shared" si="412"/>
        <v>0</v>
      </c>
      <c r="AY456" s="38">
        <f t="shared" si="413"/>
        <v>3.3263823670084534E-2</v>
      </c>
      <c r="AZ456" s="38">
        <f t="shared" si="414"/>
        <v>0</v>
      </c>
      <c r="BA456" s="38">
        <f t="shared" si="415"/>
        <v>0</v>
      </c>
      <c r="BB456" s="38">
        <f t="shared" si="416"/>
        <v>0.58897107113698033</v>
      </c>
      <c r="BC456" s="38">
        <f t="shared" si="417"/>
        <v>0.42034479039749251</v>
      </c>
      <c r="BD456" s="38">
        <f t="shared" si="418"/>
        <v>1.3249940380841034E-2</v>
      </c>
      <c r="BE456" s="38">
        <f t="shared" si="419"/>
        <v>0</v>
      </c>
      <c r="BF456" s="38">
        <f t="shared" si="420"/>
        <v>0</v>
      </c>
      <c r="BG456" s="38">
        <f t="shared" si="421"/>
        <v>0</v>
      </c>
      <c r="BH456" s="41">
        <f t="shared" si="422"/>
        <v>4.9999999999999991</v>
      </c>
      <c r="BI456" s="42">
        <f t="shared" si="423"/>
        <v>7.972362124848388</v>
      </c>
      <c r="BJ456" s="38">
        <f t="shared" si="424"/>
        <v>3.9441703744146013</v>
      </c>
      <c r="BK456" s="38">
        <f t="shared" si="425"/>
        <v>1.0225658019153139</v>
      </c>
      <c r="BL456" s="16"/>
      <c r="BM456" s="16">
        <f t="shared" si="426"/>
        <v>0.57597376133038081</v>
      </c>
      <c r="BN456" s="16">
        <f t="shared" si="427"/>
        <v>0.41106869563813592</v>
      </c>
      <c r="BO456" s="16">
        <f t="shared" si="428"/>
        <v>1.2957543031483424E-2</v>
      </c>
      <c r="BP456" s="15"/>
      <c r="BQ456" s="38">
        <f t="shared" si="429"/>
        <v>0.88099201065246335</v>
      </c>
      <c r="BR456" s="38">
        <f t="shared" si="430"/>
        <v>0</v>
      </c>
      <c r="BS456" s="38">
        <f t="shared" si="431"/>
        <v>0.56630051000392312</v>
      </c>
      <c r="BT456" s="38">
        <f t="shared" si="432"/>
        <v>0</v>
      </c>
      <c r="BU456" s="38">
        <f t="shared" si="433"/>
        <v>1.2205984690327071E-2</v>
      </c>
      <c r="BV456" s="38">
        <f t="shared" si="434"/>
        <v>0</v>
      </c>
      <c r="BW456" s="38">
        <f t="shared" si="435"/>
        <v>0</v>
      </c>
      <c r="BX456" s="38">
        <f t="shared" si="436"/>
        <v>0.21611982881597716</v>
      </c>
      <c r="BY456" s="38">
        <f t="shared" si="437"/>
        <v>0.15424330429170702</v>
      </c>
      <c r="BZ456" s="38">
        <f t="shared" si="438"/>
        <v>4.8619957537154989E-3</v>
      </c>
      <c r="CA456" s="38">
        <f t="shared" si="439"/>
        <v>0</v>
      </c>
      <c r="CB456" s="38">
        <f t="shared" si="440"/>
        <v>0</v>
      </c>
      <c r="CC456" s="38">
        <f t="shared" si="441"/>
        <v>0</v>
      </c>
      <c r="CD456" s="38">
        <f t="shared" si="442"/>
        <v>1.8347236342081132</v>
      </c>
      <c r="CE456" s="38">
        <f t="shared" si="443"/>
        <v>2.9193132498398264</v>
      </c>
      <c r="CF456" s="38">
        <f t="shared" si="444"/>
        <v>2.7252060783301864</v>
      </c>
      <c r="CG456" s="38">
        <f t="shared" si="445"/>
        <v>7.9557302130133447</v>
      </c>
      <c r="CH456" s="15"/>
      <c r="CI456" s="16"/>
      <c r="CJ456" s="13"/>
      <c r="CK456" s="104"/>
      <c r="CL456" s="13"/>
      <c r="CM456" s="13"/>
      <c r="CN456" s="13"/>
      <c r="CO456" s="16"/>
      <c r="CP456" s="16"/>
      <c r="CQ456" s="16"/>
      <c r="CR456" s="16"/>
      <c r="CS456" s="16"/>
      <c r="CT456" s="16"/>
      <c r="CU456" s="16"/>
      <c r="CV456" s="16"/>
      <c r="CW456" s="16"/>
      <c r="CX456" s="16"/>
      <c r="CY456" s="104"/>
      <c r="CZ456" s="104"/>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3"/>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row>
    <row r="457" spans="1:167" x14ac:dyDescent="0.25">
      <c r="A457" s="35" t="s">
        <v>91</v>
      </c>
      <c r="B457" s="15">
        <v>1505</v>
      </c>
      <c r="C457" s="102" t="s">
        <v>96</v>
      </c>
      <c r="D457" s="102" t="s">
        <v>104</v>
      </c>
      <c r="E457" s="15">
        <v>512</v>
      </c>
      <c r="F457" s="16">
        <v>52.8</v>
      </c>
      <c r="G457" s="16">
        <v>0</v>
      </c>
      <c r="H457" s="16">
        <v>29</v>
      </c>
      <c r="I457" s="16">
        <v>0</v>
      </c>
      <c r="J457" s="44">
        <v>0.83499999999999996</v>
      </c>
      <c r="K457" s="16">
        <v>0</v>
      </c>
      <c r="L457" s="16">
        <v>0</v>
      </c>
      <c r="M457" s="16">
        <v>12.31</v>
      </c>
      <c r="N457" s="16">
        <v>4.79</v>
      </c>
      <c r="O457" s="16">
        <v>0.23400000000000001</v>
      </c>
      <c r="P457" s="16">
        <v>0</v>
      </c>
      <c r="Q457" s="16"/>
      <c r="R457" s="16"/>
      <c r="S457" s="16">
        <f t="shared" si="391"/>
        <v>99.968999999999994</v>
      </c>
      <c r="T457" s="16"/>
      <c r="U457" s="15">
        <v>1</v>
      </c>
      <c r="V457" s="15">
        <v>23</v>
      </c>
      <c r="W457" s="15">
        <v>466.39999999999986</v>
      </c>
      <c r="X457" s="15" t="s">
        <v>258</v>
      </c>
      <c r="Y457" s="15"/>
      <c r="Z457" s="37">
        <v>8</v>
      </c>
      <c r="AA457" s="37">
        <v>5</v>
      </c>
      <c r="AB457" s="15"/>
      <c r="AC457" s="38">
        <f t="shared" si="392"/>
        <v>2.4062417026186145</v>
      </c>
      <c r="AD457" s="38">
        <f t="shared" si="393"/>
        <v>0</v>
      </c>
      <c r="AE457" s="38">
        <f t="shared" si="394"/>
        <v>1.5575192303972687</v>
      </c>
      <c r="AF457" s="38">
        <f t="shared" si="395"/>
        <v>0</v>
      </c>
      <c r="AG457" s="38">
        <f t="shared" si="396"/>
        <v>3.1819617428704455E-2</v>
      </c>
      <c r="AH457" s="38">
        <f t="shared" si="397"/>
        <v>0</v>
      </c>
      <c r="AI457" s="38">
        <f t="shared" si="398"/>
        <v>0</v>
      </c>
      <c r="AJ457" s="38">
        <f t="shared" si="399"/>
        <v>0.60101498278394494</v>
      </c>
      <c r="AK457" s="38">
        <f t="shared" si="400"/>
        <v>0.42320343876386896</v>
      </c>
      <c r="AL457" s="38">
        <f t="shared" si="401"/>
        <v>1.3602859144566031E-2</v>
      </c>
      <c r="AM457" s="38">
        <f t="shared" si="402"/>
        <v>0</v>
      </c>
      <c r="AN457" s="38">
        <f t="shared" si="403"/>
        <v>0</v>
      </c>
      <c r="AO457" s="38">
        <f t="shared" si="404"/>
        <v>0</v>
      </c>
      <c r="AP457" s="38">
        <f t="shared" si="405"/>
        <v>5.0334018311369668</v>
      </c>
      <c r="AQ457" s="38">
        <f t="shared" si="406"/>
        <v>3.9637609330158829</v>
      </c>
      <c r="AR457" s="38">
        <f t="shared" si="407"/>
        <v>1.0378212806923799</v>
      </c>
      <c r="AS457" s="40"/>
      <c r="AT457" s="38">
        <f t="shared" si="408"/>
        <v>2.3902737982624784</v>
      </c>
      <c r="AU457" s="38">
        <f t="shared" si="409"/>
        <v>0</v>
      </c>
      <c r="AV457" s="38">
        <f t="shared" si="410"/>
        <v>1.5471834781423055</v>
      </c>
      <c r="AW457" s="38">
        <f t="shared" si="411"/>
        <v>0</v>
      </c>
      <c r="AX457" s="38">
        <f t="shared" si="412"/>
        <v>0</v>
      </c>
      <c r="AY457" s="38">
        <f t="shared" si="413"/>
        <v>3.1608461331128115E-2</v>
      </c>
      <c r="AZ457" s="38">
        <f t="shared" si="414"/>
        <v>0</v>
      </c>
      <c r="BA457" s="38">
        <f t="shared" si="415"/>
        <v>0</v>
      </c>
      <c r="BB457" s="38">
        <f t="shared" si="416"/>
        <v>0.59702662627293657</v>
      </c>
      <c r="BC457" s="38">
        <f t="shared" si="417"/>
        <v>0.42039504589709448</v>
      </c>
      <c r="BD457" s="38">
        <f t="shared" si="418"/>
        <v>1.351259009405708E-2</v>
      </c>
      <c r="BE457" s="38">
        <f t="shared" si="419"/>
        <v>0</v>
      </c>
      <c r="BF457" s="38">
        <f t="shared" si="420"/>
        <v>0</v>
      </c>
      <c r="BG457" s="38">
        <f t="shared" si="421"/>
        <v>0</v>
      </c>
      <c r="BH457" s="41">
        <f t="shared" si="422"/>
        <v>4.9999999999999991</v>
      </c>
      <c r="BI457" s="42">
        <f t="shared" si="423"/>
        <v>7.9627159500036191</v>
      </c>
      <c r="BJ457" s="38">
        <f t="shared" si="424"/>
        <v>3.9374572764047837</v>
      </c>
      <c r="BK457" s="38">
        <f t="shared" si="425"/>
        <v>1.0309342622640882</v>
      </c>
      <c r="BL457" s="16"/>
      <c r="BM457" s="16">
        <f t="shared" si="426"/>
        <v>0.57911221706976301</v>
      </c>
      <c r="BN457" s="16">
        <f t="shared" si="427"/>
        <v>0.40778065225404692</v>
      </c>
      <c r="BO457" s="16">
        <f t="shared" si="428"/>
        <v>1.310713067619014E-2</v>
      </c>
      <c r="BP457" s="15"/>
      <c r="BQ457" s="38">
        <f t="shared" si="429"/>
        <v>0.87882822902796265</v>
      </c>
      <c r="BR457" s="38">
        <f t="shared" si="430"/>
        <v>0</v>
      </c>
      <c r="BS457" s="38">
        <f t="shared" si="431"/>
        <v>0.5688505296194587</v>
      </c>
      <c r="BT457" s="38">
        <f t="shared" si="432"/>
        <v>0</v>
      </c>
      <c r="BU457" s="38">
        <f t="shared" si="433"/>
        <v>1.16214335421016E-2</v>
      </c>
      <c r="BV457" s="38">
        <f t="shared" si="434"/>
        <v>0</v>
      </c>
      <c r="BW457" s="38">
        <f t="shared" si="435"/>
        <v>0</v>
      </c>
      <c r="BX457" s="38">
        <f t="shared" si="436"/>
        <v>0.21950784593437947</v>
      </c>
      <c r="BY457" s="38">
        <f t="shared" si="437"/>
        <v>0.15456598902871896</v>
      </c>
      <c r="BZ457" s="38">
        <f t="shared" si="438"/>
        <v>4.9681528662420382E-3</v>
      </c>
      <c r="CA457" s="38">
        <f t="shared" si="439"/>
        <v>0</v>
      </c>
      <c r="CB457" s="38">
        <f t="shared" si="440"/>
        <v>0</v>
      </c>
      <c r="CC457" s="38">
        <f t="shared" si="441"/>
        <v>0</v>
      </c>
      <c r="CD457" s="38">
        <f t="shared" si="442"/>
        <v>1.8383421800188635</v>
      </c>
      <c r="CE457" s="38">
        <f t="shared" si="443"/>
        <v>2.9218286029090752</v>
      </c>
      <c r="CF457" s="38">
        <f t="shared" si="444"/>
        <v>2.7198418522653354</v>
      </c>
      <c r="CG457" s="38">
        <f t="shared" si="445"/>
        <v>7.9469117193380558</v>
      </c>
      <c r="CH457" s="15"/>
      <c r="CI457" s="16"/>
      <c r="CJ457" s="13"/>
      <c r="CK457" s="104"/>
      <c r="CL457" s="13"/>
      <c r="CM457" s="13"/>
      <c r="CN457" s="13"/>
      <c r="CO457" s="16"/>
      <c r="CP457" s="16"/>
      <c r="CQ457" s="16"/>
      <c r="CR457" s="16"/>
      <c r="CS457" s="16"/>
      <c r="CT457" s="16"/>
      <c r="CU457" s="16"/>
      <c r="CV457" s="16"/>
      <c r="CW457" s="16"/>
      <c r="CX457" s="16"/>
      <c r="CY457" s="104"/>
      <c r="CZ457" s="104"/>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3"/>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row>
    <row r="458" spans="1:167" x14ac:dyDescent="0.25">
      <c r="A458" s="35" t="s">
        <v>91</v>
      </c>
      <c r="B458" s="15">
        <v>1506</v>
      </c>
      <c r="C458" s="102" t="s">
        <v>96</v>
      </c>
      <c r="D458" s="102" t="s">
        <v>104</v>
      </c>
      <c r="E458" s="15">
        <v>513</v>
      </c>
      <c r="F458" s="16">
        <v>53.84</v>
      </c>
      <c r="G458" s="16">
        <v>0</v>
      </c>
      <c r="H458" s="16">
        <v>28.09</v>
      </c>
      <c r="I458" s="16">
        <v>0</v>
      </c>
      <c r="J458" s="44">
        <v>0.69499999999999995</v>
      </c>
      <c r="K458" s="16">
        <v>0</v>
      </c>
      <c r="L458" s="16">
        <v>0</v>
      </c>
      <c r="M458" s="16">
        <v>11.28</v>
      </c>
      <c r="N458" s="16">
        <v>5.32</v>
      </c>
      <c r="O458" s="16">
        <v>0.22</v>
      </c>
      <c r="P458" s="16">
        <v>0</v>
      </c>
      <c r="Q458" s="16"/>
      <c r="R458" s="16"/>
      <c r="S458" s="16">
        <f t="shared" si="391"/>
        <v>99.444999999999993</v>
      </c>
      <c r="T458" s="16"/>
      <c r="U458" s="15">
        <v>1</v>
      </c>
      <c r="V458" s="15">
        <v>24</v>
      </c>
      <c r="W458" s="15">
        <v>487.59999999999985</v>
      </c>
      <c r="X458" s="15" t="s">
        <v>258</v>
      </c>
      <c r="Y458" s="15"/>
      <c r="Z458" s="37">
        <v>8</v>
      </c>
      <c r="AA458" s="37">
        <v>5</v>
      </c>
      <c r="AB458" s="15"/>
      <c r="AC458" s="38">
        <f t="shared" si="392"/>
        <v>2.457057690946197</v>
      </c>
      <c r="AD458" s="38">
        <f t="shared" si="393"/>
        <v>0</v>
      </c>
      <c r="AE458" s="38">
        <f t="shared" si="394"/>
        <v>1.5107483707023666</v>
      </c>
      <c r="AF458" s="38">
        <f t="shared" si="395"/>
        <v>0</v>
      </c>
      <c r="AG458" s="38">
        <f t="shared" si="396"/>
        <v>2.6521510710896017E-2</v>
      </c>
      <c r="AH458" s="38">
        <f t="shared" si="397"/>
        <v>0</v>
      </c>
      <c r="AI458" s="38">
        <f t="shared" si="398"/>
        <v>0</v>
      </c>
      <c r="AJ458" s="38">
        <f t="shared" si="399"/>
        <v>0.551494672124059</v>
      </c>
      <c r="AK458" s="38">
        <f t="shared" si="400"/>
        <v>0.47068491795470419</v>
      </c>
      <c r="AL458" s="38">
        <f t="shared" si="401"/>
        <v>1.2806840483500078E-2</v>
      </c>
      <c r="AM458" s="38">
        <f t="shared" si="402"/>
        <v>0</v>
      </c>
      <c r="AN458" s="38">
        <f t="shared" si="403"/>
        <v>0</v>
      </c>
      <c r="AO458" s="38">
        <f t="shared" si="404"/>
        <v>0</v>
      </c>
      <c r="AP458" s="38">
        <f t="shared" si="405"/>
        <v>5.0293140029217236</v>
      </c>
      <c r="AQ458" s="38">
        <f t="shared" si="406"/>
        <v>3.9678060616485635</v>
      </c>
      <c r="AR458" s="38">
        <f t="shared" si="407"/>
        <v>1.0349864305622631</v>
      </c>
      <c r="AS458" s="40"/>
      <c r="AT458" s="38">
        <f t="shared" si="408"/>
        <v>2.4427364144680541</v>
      </c>
      <c r="AU458" s="38">
        <f t="shared" si="409"/>
        <v>0</v>
      </c>
      <c r="AV458" s="38">
        <f t="shared" si="410"/>
        <v>1.5019427796959135</v>
      </c>
      <c r="AW458" s="38">
        <f t="shared" si="411"/>
        <v>0</v>
      </c>
      <c r="AX458" s="38">
        <f t="shared" si="412"/>
        <v>0</v>
      </c>
      <c r="AY458" s="38">
        <f t="shared" si="413"/>
        <v>2.6366926677762269E-2</v>
      </c>
      <c r="AZ458" s="38">
        <f t="shared" si="414"/>
        <v>0</v>
      </c>
      <c r="BA458" s="38">
        <f t="shared" si="415"/>
        <v>0</v>
      </c>
      <c r="BB458" s="38">
        <f t="shared" si="416"/>
        <v>0.54828021456174192</v>
      </c>
      <c r="BC458" s="38">
        <f t="shared" si="417"/>
        <v>0.46794147042843737</v>
      </c>
      <c r="BD458" s="38">
        <f t="shared" si="418"/>
        <v>1.2732194168091406E-2</v>
      </c>
      <c r="BE458" s="38">
        <f t="shared" si="419"/>
        <v>0</v>
      </c>
      <c r="BF458" s="38">
        <f t="shared" si="420"/>
        <v>0</v>
      </c>
      <c r="BG458" s="38">
        <f t="shared" si="421"/>
        <v>0</v>
      </c>
      <c r="BH458" s="41">
        <f t="shared" si="422"/>
        <v>5</v>
      </c>
      <c r="BI458" s="42">
        <f t="shared" si="423"/>
        <v>7.9665544353566276</v>
      </c>
      <c r="BJ458" s="38">
        <f t="shared" si="424"/>
        <v>3.9446791941639674</v>
      </c>
      <c r="BK458" s="38">
        <f t="shared" si="425"/>
        <v>1.0289538791582706</v>
      </c>
      <c r="BL458" s="16"/>
      <c r="BM458" s="16">
        <f t="shared" si="426"/>
        <v>0.53285207983302341</v>
      </c>
      <c r="BN458" s="16">
        <f t="shared" si="427"/>
        <v>0.4547739990165876</v>
      </c>
      <c r="BO458" s="16">
        <f t="shared" si="428"/>
        <v>1.2373921150389072E-2</v>
      </c>
      <c r="BP458" s="15"/>
      <c r="BQ458" s="38">
        <f t="shared" si="429"/>
        <v>0.89613848202396817</v>
      </c>
      <c r="BR458" s="38">
        <f t="shared" si="430"/>
        <v>0</v>
      </c>
      <c r="BS458" s="38">
        <f t="shared" si="431"/>
        <v>0.55100039231071007</v>
      </c>
      <c r="BT458" s="38">
        <f t="shared" si="432"/>
        <v>0</v>
      </c>
      <c r="BU458" s="38">
        <f t="shared" si="433"/>
        <v>9.6729297146833683E-3</v>
      </c>
      <c r="BV458" s="38">
        <f t="shared" si="434"/>
        <v>0</v>
      </c>
      <c r="BW458" s="38">
        <f t="shared" si="435"/>
        <v>0</v>
      </c>
      <c r="BX458" s="38">
        <f t="shared" si="436"/>
        <v>0.20114122681883023</v>
      </c>
      <c r="BY458" s="38">
        <f t="shared" si="437"/>
        <v>0.17166828009035173</v>
      </c>
      <c r="BZ458" s="38">
        <f t="shared" si="438"/>
        <v>4.6709129511677281E-3</v>
      </c>
      <c r="CA458" s="38">
        <f t="shared" si="439"/>
        <v>0</v>
      </c>
      <c r="CB458" s="38">
        <f t="shared" si="440"/>
        <v>0</v>
      </c>
      <c r="CC458" s="38">
        <f t="shared" si="441"/>
        <v>0</v>
      </c>
      <c r="CD458" s="38">
        <f t="shared" si="442"/>
        <v>1.8342922239097113</v>
      </c>
      <c r="CE458" s="38">
        <f t="shared" si="443"/>
        <v>2.9177613055682747</v>
      </c>
      <c r="CF458" s="38">
        <f t="shared" si="444"/>
        <v>2.7258470241686603</v>
      </c>
      <c r="CG458" s="38">
        <f t="shared" si="445"/>
        <v>7.9533709720177468</v>
      </c>
      <c r="CH458" s="15"/>
      <c r="CI458" s="16"/>
      <c r="CJ458" s="13"/>
      <c r="CK458" s="104"/>
      <c r="CL458" s="13"/>
      <c r="CM458" s="13"/>
      <c r="CN458" s="13"/>
      <c r="CO458" s="16"/>
      <c r="CP458" s="16"/>
      <c r="CQ458" s="16"/>
      <c r="CR458" s="16"/>
      <c r="CS458" s="16"/>
      <c r="CT458" s="16"/>
      <c r="CU458" s="16"/>
      <c r="CV458" s="16"/>
      <c r="CW458" s="16"/>
      <c r="CX458" s="16"/>
      <c r="CY458" s="104"/>
      <c r="CZ458" s="104"/>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3"/>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row>
    <row r="459" spans="1:167" x14ac:dyDescent="0.25">
      <c r="A459" s="35" t="s">
        <v>91</v>
      </c>
      <c r="B459" s="15">
        <v>1507</v>
      </c>
      <c r="C459" s="102" t="s">
        <v>96</v>
      </c>
      <c r="D459" s="102" t="s">
        <v>104</v>
      </c>
      <c r="E459" s="15">
        <v>514</v>
      </c>
      <c r="F459" s="16">
        <v>52.6</v>
      </c>
      <c r="G459" s="16">
        <v>0</v>
      </c>
      <c r="H459" s="16">
        <v>28.89</v>
      </c>
      <c r="I459" s="16">
        <v>0</v>
      </c>
      <c r="J459" s="44">
        <v>0.82499999999999996</v>
      </c>
      <c r="K459" s="16">
        <v>0</v>
      </c>
      <c r="L459" s="16">
        <v>0</v>
      </c>
      <c r="M459" s="16">
        <v>11.93</v>
      </c>
      <c r="N459" s="16">
        <v>4.93</v>
      </c>
      <c r="O459" s="16">
        <v>0.24199999999999999</v>
      </c>
      <c r="P459" s="16">
        <v>0</v>
      </c>
      <c r="Q459" s="16"/>
      <c r="R459" s="16"/>
      <c r="S459" s="16">
        <f t="shared" si="391"/>
        <v>99.417000000000016</v>
      </c>
      <c r="T459" s="16"/>
      <c r="U459" s="15">
        <v>1</v>
      </c>
      <c r="V459" s="15">
        <v>25</v>
      </c>
      <c r="W459" s="15">
        <v>508.79999999999984</v>
      </c>
      <c r="X459" s="15" t="s">
        <v>258</v>
      </c>
      <c r="Y459" s="15"/>
      <c r="Z459" s="37">
        <v>8</v>
      </c>
      <c r="AA459" s="37">
        <v>5</v>
      </c>
      <c r="AB459" s="15"/>
      <c r="AC459" s="38">
        <f t="shared" si="392"/>
        <v>2.409054274367993</v>
      </c>
      <c r="AD459" s="38">
        <f t="shared" si="393"/>
        <v>0</v>
      </c>
      <c r="AE459" s="38">
        <f t="shared" si="394"/>
        <v>1.5593315821415088</v>
      </c>
      <c r="AF459" s="38">
        <f t="shared" si="395"/>
        <v>0</v>
      </c>
      <c r="AG459" s="38">
        <f t="shared" si="396"/>
        <v>3.1594969495311036E-2</v>
      </c>
      <c r="AH459" s="38">
        <f t="shared" si="397"/>
        <v>0</v>
      </c>
      <c r="AI459" s="38">
        <f t="shared" si="398"/>
        <v>0</v>
      </c>
      <c r="AJ459" s="38">
        <f t="shared" si="399"/>
        <v>0.58536021700126462</v>
      </c>
      <c r="AK459" s="38">
        <f t="shared" si="400"/>
        <v>0.43773987276888227</v>
      </c>
      <c r="AL459" s="38">
        <f t="shared" si="401"/>
        <v>1.4137910341468688E-2</v>
      </c>
      <c r="AM459" s="38">
        <f t="shared" si="402"/>
        <v>0</v>
      </c>
      <c r="AN459" s="38">
        <f t="shared" si="403"/>
        <v>0</v>
      </c>
      <c r="AO459" s="38">
        <f t="shared" si="404"/>
        <v>0</v>
      </c>
      <c r="AP459" s="38">
        <f t="shared" si="405"/>
        <v>5.0372188261164288</v>
      </c>
      <c r="AQ459" s="38">
        <f t="shared" si="406"/>
        <v>3.968385856509502</v>
      </c>
      <c r="AR459" s="38">
        <f t="shared" si="407"/>
        <v>1.0372380001116155</v>
      </c>
      <c r="AS459" s="40"/>
      <c r="AT459" s="38">
        <f t="shared" si="408"/>
        <v>2.391254338483161</v>
      </c>
      <c r="AU459" s="38">
        <f t="shared" si="409"/>
        <v>0</v>
      </c>
      <c r="AV459" s="38">
        <f t="shared" si="410"/>
        <v>1.5478100475373977</v>
      </c>
      <c r="AW459" s="38">
        <f t="shared" si="411"/>
        <v>0</v>
      </c>
      <c r="AX459" s="38">
        <f t="shared" si="412"/>
        <v>0</v>
      </c>
      <c r="AY459" s="38">
        <f t="shared" si="413"/>
        <v>3.136152169079974E-2</v>
      </c>
      <c r="AZ459" s="38">
        <f t="shared" si="414"/>
        <v>0</v>
      </c>
      <c r="BA459" s="38">
        <f t="shared" si="415"/>
        <v>0</v>
      </c>
      <c r="BB459" s="38">
        <f t="shared" si="416"/>
        <v>0.58103512792252754</v>
      </c>
      <c r="BC459" s="38">
        <f t="shared" si="417"/>
        <v>0.43450551572162777</v>
      </c>
      <c r="BD459" s="38">
        <f t="shared" si="418"/>
        <v>1.4033448644486097E-2</v>
      </c>
      <c r="BE459" s="38">
        <f t="shared" si="419"/>
        <v>0</v>
      </c>
      <c r="BF459" s="38">
        <f t="shared" si="420"/>
        <v>0</v>
      </c>
      <c r="BG459" s="38">
        <f t="shared" si="421"/>
        <v>0</v>
      </c>
      <c r="BH459" s="41">
        <f t="shared" si="422"/>
        <v>5</v>
      </c>
      <c r="BI459" s="42">
        <f t="shared" si="423"/>
        <v>7.9565706409142019</v>
      </c>
      <c r="BJ459" s="38">
        <f t="shared" si="424"/>
        <v>3.9390643860205588</v>
      </c>
      <c r="BK459" s="38">
        <f t="shared" si="425"/>
        <v>1.0295740922886416</v>
      </c>
      <c r="BL459" s="16"/>
      <c r="BM459" s="16">
        <f t="shared" si="426"/>
        <v>0.56434513288008625</v>
      </c>
      <c r="BN459" s="16">
        <f t="shared" si="427"/>
        <v>0.42202452351512171</v>
      </c>
      <c r="BO459" s="16">
        <f t="shared" si="428"/>
        <v>1.3630343604792084E-2</v>
      </c>
      <c r="BP459" s="15"/>
      <c r="BQ459" s="38">
        <f t="shared" si="429"/>
        <v>0.87549933422103865</v>
      </c>
      <c r="BR459" s="38">
        <f t="shared" si="430"/>
        <v>0</v>
      </c>
      <c r="BS459" s="38">
        <f t="shared" si="431"/>
        <v>0.56669282071400551</v>
      </c>
      <c r="BT459" s="38">
        <f t="shared" si="432"/>
        <v>0</v>
      </c>
      <c r="BU459" s="38">
        <f t="shared" si="433"/>
        <v>1.1482254697286013E-2</v>
      </c>
      <c r="BV459" s="38">
        <f t="shared" si="434"/>
        <v>0</v>
      </c>
      <c r="BW459" s="38">
        <f t="shared" si="435"/>
        <v>0</v>
      </c>
      <c r="BX459" s="38">
        <f t="shared" si="436"/>
        <v>0.21273181169757491</v>
      </c>
      <c r="BY459" s="38">
        <f t="shared" si="437"/>
        <v>0.15908357534688608</v>
      </c>
      <c r="BZ459" s="38">
        <f t="shared" si="438"/>
        <v>5.1380042462845004E-3</v>
      </c>
      <c r="CA459" s="38">
        <f t="shared" si="439"/>
        <v>0</v>
      </c>
      <c r="CB459" s="38">
        <f t="shared" si="440"/>
        <v>0</v>
      </c>
      <c r="CC459" s="38">
        <f t="shared" si="441"/>
        <v>0</v>
      </c>
      <c r="CD459" s="38">
        <f t="shared" si="442"/>
        <v>1.8306278009230756</v>
      </c>
      <c r="CE459" s="38">
        <f t="shared" si="443"/>
        <v>2.9073627557045314</v>
      </c>
      <c r="CF459" s="38">
        <f t="shared" si="444"/>
        <v>2.7313034345260134</v>
      </c>
      <c r="CG459" s="38">
        <f t="shared" si="445"/>
        <v>7.9408898800688013</v>
      </c>
      <c r="CH459" s="15"/>
      <c r="CI459" s="16"/>
      <c r="CJ459" s="13"/>
      <c r="CK459" s="104"/>
      <c r="CL459" s="13"/>
      <c r="CM459" s="13"/>
      <c r="CN459" s="13"/>
      <c r="CO459" s="16"/>
      <c r="CP459" s="16"/>
      <c r="CQ459" s="16"/>
      <c r="CR459" s="16"/>
      <c r="CS459" s="16"/>
      <c r="CT459" s="16"/>
      <c r="CU459" s="16"/>
      <c r="CV459" s="16"/>
      <c r="CW459" s="16"/>
      <c r="CX459" s="16"/>
      <c r="CY459" s="104"/>
      <c r="CZ459" s="104"/>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3"/>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row>
    <row r="460" spans="1:167" x14ac:dyDescent="0.25">
      <c r="A460" s="35" t="s">
        <v>91</v>
      </c>
      <c r="B460" s="15">
        <v>1508</v>
      </c>
      <c r="C460" s="102" t="s">
        <v>96</v>
      </c>
      <c r="D460" s="102" t="s">
        <v>104</v>
      </c>
      <c r="E460" s="15">
        <v>515</v>
      </c>
      <c r="F460" s="16">
        <v>54.02</v>
      </c>
      <c r="G460" s="16">
        <v>0</v>
      </c>
      <c r="H460" s="16">
        <v>27.66</v>
      </c>
      <c r="I460" s="16">
        <v>0</v>
      </c>
      <c r="J460" s="44">
        <v>0.78600000000000003</v>
      </c>
      <c r="K460" s="16">
        <v>0</v>
      </c>
      <c r="L460" s="16">
        <v>0</v>
      </c>
      <c r="M460" s="16">
        <v>10.94</v>
      </c>
      <c r="N460" s="16">
        <v>5.51</v>
      </c>
      <c r="O460" s="16">
        <v>0.215</v>
      </c>
      <c r="P460" s="16">
        <v>0</v>
      </c>
      <c r="Q460" s="16"/>
      <c r="R460" s="16"/>
      <c r="S460" s="16">
        <f t="shared" si="391"/>
        <v>99.131000000000014</v>
      </c>
      <c r="T460" s="16"/>
      <c r="U460" s="15">
        <v>1</v>
      </c>
      <c r="V460" s="15">
        <v>26</v>
      </c>
      <c r="W460" s="15">
        <v>529.99999999999989</v>
      </c>
      <c r="X460" s="15" t="s">
        <v>258</v>
      </c>
      <c r="Y460" s="15"/>
      <c r="Z460" s="37">
        <v>8</v>
      </c>
      <c r="AA460" s="37">
        <v>5</v>
      </c>
      <c r="AB460" s="15"/>
      <c r="AC460" s="38">
        <f t="shared" si="392"/>
        <v>2.4724272763684891</v>
      </c>
      <c r="AD460" s="38">
        <f t="shared" si="393"/>
        <v>0</v>
      </c>
      <c r="AE460" s="38">
        <f t="shared" si="394"/>
        <v>1.4919395091084395</v>
      </c>
      <c r="AF460" s="38">
        <f t="shared" si="395"/>
        <v>0</v>
      </c>
      <c r="AG460" s="38">
        <f t="shared" si="396"/>
        <v>3.008116444943482E-2</v>
      </c>
      <c r="AH460" s="38">
        <f t="shared" si="397"/>
        <v>0</v>
      </c>
      <c r="AI460" s="38">
        <f t="shared" si="398"/>
        <v>0</v>
      </c>
      <c r="AJ460" s="38">
        <f t="shared" si="399"/>
        <v>0.53642398406378056</v>
      </c>
      <c r="AK460" s="38">
        <f t="shared" si="400"/>
        <v>0.48890996923255731</v>
      </c>
      <c r="AL460" s="38">
        <f t="shared" si="401"/>
        <v>1.2552100941739374E-2</v>
      </c>
      <c r="AM460" s="38">
        <f t="shared" si="402"/>
        <v>0</v>
      </c>
      <c r="AN460" s="38">
        <f t="shared" si="403"/>
        <v>0</v>
      </c>
      <c r="AO460" s="38">
        <f t="shared" si="404"/>
        <v>0</v>
      </c>
      <c r="AP460" s="38">
        <f t="shared" si="405"/>
        <v>5.0323340041644409</v>
      </c>
      <c r="AQ460" s="38">
        <f t="shared" si="406"/>
        <v>3.9643667854769289</v>
      </c>
      <c r="AR460" s="38">
        <f t="shared" si="407"/>
        <v>1.0378860542380772</v>
      </c>
      <c r="AS460" s="40"/>
      <c r="AT460" s="38">
        <f t="shared" si="408"/>
        <v>2.4565413129598164</v>
      </c>
      <c r="AU460" s="38">
        <f t="shared" si="409"/>
        <v>0</v>
      </c>
      <c r="AV460" s="38">
        <f t="shared" si="410"/>
        <v>1.4823534247466532</v>
      </c>
      <c r="AW460" s="38">
        <f t="shared" si="411"/>
        <v>0</v>
      </c>
      <c r="AX460" s="38">
        <f t="shared" si="412"/>
        <v>0</v>
      </c>
      <c r="AY460" s="38">
        <f t="shared" si="413"/>
        <v>2.9887885446933323E-2</v>
      </c>
      <c r="AZ460" s="38">
        <f t="shared" si="414"/>
        <v>0</v>
      </c>
      <c r="BA460" s="38">
        <f t="shared" si="415"/>
        <v>0</v>
      </c>
      <c r="BB460" s="38">
        <f t="shared" si="416"/>
        <v>0.53297732584906921</v>
      </c>
      <c r="BC460" s="38">
        <f t="shared" si="417"/>
        <v>0.48576860044262399</v>
      </c>
      <c r="BD460" s="38">
        <f t="shared" si="418"/>
        <v>1.2471450554903599E-2</v>
      </c>
      <c r="BE460" s="38">
        <f t="shared" si="419"/>
        <v>0</v>
      </c>
      <c r="BF460" s="38">
        <f t="shared" si="420"/>
        <v>0</v>
      </c>
      <c r="BG460" s="38">
        <f t="shared" si="421"/>
        <v>0</v>
      </c>
      <c r="BH460" s="41">
        <f t="shared" si="422"/>
        <v>4.9999999999999991</v>
      </c>
      <c r="BI460" s="42">
        <f t="shared" si="423"/>
        <v>7.9635419425578453</v>
      </c>
      <c r="BJ460" s="38">
        <f t="shared" si="424"/>
        <v>3.9388947377064696</v>
      </c>
      <c r="BK460" s="38">
        <f t="shared" si="425"/>
        <v>1.0312173768465966</v>
      </c>
      <c r="BL460" s="16"/>
      <c r="BM460" s="16">
        <f t="shared" si="426"/>
        <v>0.51684284789583657</v>
      </c>
      <c r="BN460" s="16">
        <f t="shared" si="427"/>
        <v>0.47106324170765657</v>
      </c>
      <c r="BO460" s="16">
        <f t="shared" si="428"/>
        <v>1.2093910396506868E-2</v>
      </c>
      <c r="BP460" s="15"/>
      <c r="BQ460" s="38">
        <f t="shared" si="429"/>
        <v>0.89913448735019985</v>
      </c>
      <c r="BR460" s="38">
        <f t="shared" si="430"/>
        <v>0</v>
      </c>
      <c r="BS460" s="38">
        <f t="shared" si="431"/>
        <v>0.54256571204393889</v>
      </c>
      <c r="BT460" s="38">
        <f t="shared" si="432"/>
        <v>0</v>
      </c>
      <c r="BU460" s="38">
        <f t="shared" si="433"/>
        <v>1.0939457202505221E-2</v>
      </c>
      <c r="BV460" s="38">
        <f t="shared" si="434"/>
        <v>0</v>
      </c>
      <c r="BW460" s="38">
        <f t="shared" si="435"/>
        <v>0</v>
      </c>
      <c r="BX460" s="38">
        <f t="shared" si="436"/>
        <v>0.19507845934379459</v>
      </c>
      <c r="BY460" s="38">
        <f t="shared" si="437"/>
        <v>0.17779929009357859</v>
      </c>
      <c r="BZ460" s="38">
        <f t="shared" si="438"/>
        <v>4.5647558386411888E-3</v>
      </c>
      <c r="CA460" s="38">
        <f t="shared" si="439"/>
        <v>0</v>
      </c>
      <c r="CB460" s="38">
        <f t="shared" si="440"/>
        <v>0</v>
      </c>
      <c r="CC460" s="38">
        <f t="shared" si="441"/>
        <v>0</v>
      </c>
      <c r="CD460" s="38">
        <f t="shared" si="442"/>
        <v>1.8300821618726584</v>
      </c>
      <c r="CE460" s="38">
        <f t="shared" si="443"/>
        <v>2.9093174822787176</v>
      </c>
      <c r="CF460" s="38">
        <f t="shared" si="444"/>
        <v>2.7321177727253931</v>
      </c>
      <c r="CG460" s="38">
        <f t="shared" si="445"/>
        <v>7.9485979998343783</v>
      </c>
      <c r="CH460" s="15"/>
      <c r="CI460" s="16"/>
      <c r="CJ460" s="13"/>
      <c r="CK460" s="104"/>
      <c r="CL460" s="13"/>
      <c r="CM460" s="13"/>
      <c r="CN460" s="13"/>
      <c r="CO460" s="16"/>
      <c r="CP460" s="16"/>
      <c r="CQ460" s="16"/>
      <c r="CR460" s="16"/>
      <c r="CS460" s="16"/>
      <c r="CT460" s="16"/>
      <c r="CU460" s="16"/>
      <c r="CV460" s="16"/>
      <c r="CW460" s="16"/>
      <c r="CX460" s="16"/>
      <c r="CY460" s="104"/>
      <c r="CZ460" s="104"/>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3"/>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row>
    <row r="461" spans="1:167" x14ac:dyDescent="0.25">
      <c r="A461" s="35" t="s">
        <v>91</v>
      </c>
      <c r="B461" s="15">
        <v>1510</v>
      </c>
      <c r="C461" s="102" t="s">
        <v>96</v>
      </c>
      <c r="D461" s="102" t="s">
        <v>104</v>
      </c>
      <c r="E461" s="15">
        <v>517</v>
      </c>
      <c r="F461" s="16">
        <v>65.33</v>
      </c>
      <c r="G461" s="16">
        <v>0</v>
      </c>
      <c r="H461" s="16">
        <v>20.92</v>
      </c>
      <c r="I461" s="16">
        <v>0</v>
      </c>
      <c r="J461" s="44">
        <v>0.29499999999999998</v>
      </c>
      <c r="K461" s="16">
        <v>0</v>
      </c>
      <c r="L461" s="16">
        <v>0</v>
      </c>
      <c r="M461" s="16">
        <v>2.06</v>
      </c>
      <c r="N461" s="16">
        <v>10.29</v>
      </c>
      <c r="O461" s="16">
        <v>1.196</v>
      </c>
      <c r="P461" s="16">
        <v>0</v>
      </c>
      <c r="Q461" s="16"/>
      <c r="R461" s="16"/>
      <c r="S461" s="16">
        <f t="shared" si="391"/>
        <v>100.09100000000001</v>
      </c>
      <c r="T461" s="16"/>
      <c r="U461" s="15">
        <v>1</v>
      </c>
      <c r="V461" s="15">
        <v>28</v>
      </c>
      <c r="W461" s="15">
        <v>572.39999999999986</v>
      </c>
      <c r="X461" s="15" t="s">
        <v>187</v>
      </c>
      <c r="Y461" s="15"/>
      <c r="Z461" s="37">
        <v>8</v>
      </c>
      <c r="AA461" s="37">
        <v>5</v>
      </c>
      <c r="AB461" s="15"/>
      <c r="AC461" s="38">
        <f t="shared" si="392"/>
        <v>2.890190995372973</v>
      </c>
      <c r="AD461" s="38">
        <f t="shared" si="393"/>
        <v>0</v>
      </c>
      <c r="AE461" s="38">
        <f t="shared" si="394"/>
        <v>1.0907008673297454</v>
      </c>
      <c r="AF461" s="38">
        <f t="shared" si="395"/>
        <v>0</v>
      </c>
      <c r="AG461" s="38">
        <f t="shared" si="396"/>
        <v>1.091287179037668E-2</v>
      </c>
      <c r="AH461" s="38">
        <f t="shared" si="397"/>
        <v>0</v>
      </c>
      <c r="AI461" s="38">
        <f t="shared" si="398"/>
        <v>0</v>
      </c>
      <c r="AJ461" s="38">
        <f t="shared" si="399"/>
        <v>9.7634436674329833E-2</v>
      </c>
      <c r="AK461" s="38">
        <f t="shared" si="400"/>
        <v>0.88254652232768671</v>
      </c>
      <c r="AL461" s="38">
        <f t="shared" si="401"/>
        <v>6.7492277261774314E-2</v>
      </c>
      <c r="AM461" s="38">
        <f t="shared" si="402"/>
        <v>0</v>
      </c>
      <c r="AN461" s="38">
        <f t="shared" si="403"/>
        <v>0</v>
      </c>
      <c r="AO461" s="38">
        <f t="shared" si="404"/>
        <v>0</v>
      </c>
      <c r="AP461" s="38">
        <f t="shared" si="405"/>
        <v>5.0394779707568853</v>
      </c>
      <c r="AQ461" s="38">
        <f t="shared" si="406"/>
        <v>3.9808918627027183</v>
      </c>
      <c r="AR461" s="38">
        <f t="shared" si="407"/>
        <v>1.0476732362637908</v>
      </c>
      <c r="AS461" s="40"/>
      <c r="AT461" s="38">
        <f t="shared" si="408"/>
        <v>2.8675499844866783</v>
      </c>
      <c r="AU461" s="38">
        <f t="shared" si="409"/>
        <v>0</v>
      </c>
      <c r="AV461" s="38">
        <f t="shared" si="410"/>
        <v>1.0821565980235166</v>
      </c>
      <c r="AW461" s="38">
        <f t="shared" si="411"/>
        <v>0</v>
      </c>
      <c r="AX461" s="38">
        <f t="shared" si="412"/>
        <v>0</v>
      </c>
      <c r="AY461" s="38">
        <f t="shared" si="413"/>
        <v>1.0827383167167274E-2</v>
      </c>
      <c r="AZ461" s="38">
        <f t="shared" si="414"/>
        <v>0</v>
      </c>
      <c r="BA461" s="38">
        <f t="shared" si="415"/>
        <v>0</v>
      </c>
      <c r="BB461" s="38">
        <f t="shared" si="416"/>
        <v>9.6869593677047061E-2</v>
      </c>
      <c r="BC461" s="38">
        <f t="shared" si="417"/>
        <v>0.87563288047783239</v>
      </c>
      <c r="BD461" s="38">
        <f t="shared" si="418"/>
        <v>6.6963560167758354E-2</v>
      </c>
      <c r="BE461" s="38">
        <f t="shared" si="419"/>
        <v>0</v>
      </c>
      <c r="BF461" s="38">
        <f t="shared" si="420"/>
        <v>0</v>
      </c>
      <c r="BG461" s="38">
        <f t="shared" si="421"/>
        <v>0</v>
      </c>
      <c r="BH461" s="41">
        <f t="shared" si="422"/>
        <v>5</v>
      </c>
      <c r="BI461" s="42">
        <f t="shared" si="423"/>
        <v>7.942743754759225</v>
      </c>
      <c r="BJ461" s="38">
        <f t="shared" si="424"/>
        <v>3.9497065825101947</v>
      </c>
      <c r="BK461" s="38">
        <f t="shared" si="425"/>
        <v>1.0394660343226378</v>
      </c>
      <c r="BL461" s="16"/>
      <c r="BM461" s="16">
        <f t="shared" si="426"/>
        <v>9.3191687345677995E-2</v>
      </c>
      <c r="BN461" s="16">
        <f t="shared" si="427"/>
        <v>0.84238719839309961</v>
      </c>
      <c r="BO461" s="16">
        <f t="shared" si="428"/>
        <v>6.4421114261222392E-2</v>
      </c>
      <c r="BP461" s="15"/>
      <c r="BQ461" s="38">
        <f t="shared" si="429"/>
        <v>1.0873834886817577</v>
      </c>
      <c r="BR461" s="38">
        <f t="shared" si="430"/>
        <v>0</v>
      </c>
      <c r="BS461" s="38">
        <f t="shared" si="431"/>
        <v>0.41035700274617504</v>
      </c>
      <c r="BT461" s="38">
        <f t="shared" si="432"/>
        <v>0</v>
      </c>
      <c r="BU461" s="38">
        <f t="shared" si="433"/>
        <v>4.1057759220598468E-3</v>
      </c>
      <c r="BV461" s="38">
        <f t="shared" si="434"/>
        <v>0</v>
      </c>
      <c r="BW461" s="38">
        <f t="shared" si="435"/>
        <v>0</v>
      </c>
      <c r="BX461" s="38">
        <f t="shared" si="436"/>
        <v>3.6733238231098433E-2</v>
      </c>
      <c r="BY461" s="38">
        <f t="shared" si="437"/>
        <v>0.33204259438528555</v>
      </c>
      <c r="BZ461" s="38">
        <f t="shared" si="438"/>
        <v>2.5392781316348194E-2</v>
      </c>
      <c r="CA461" s="38">
        <f t="shared" si="439"/>
        <v>0</v>
      </c>
      <c r="CB461" s="38">
        <f t="shared" si="440"/>
        <v>0</v>
      </c>
      <c r="CC461" s="38">
        <f t="shared" si="441"/>
        <v>0</v>
      </c>
      <c r="CD461" s="38">
        <f t="shared" si="442"/>
        <v>1.8960148812827249</v>
      </c>
      <c r="CE461" s="38">
        <f t="shared" si="443"/>
        <v>3.009859183486753</v>
      </c>
      <c r="CF461" s="38">
        <f t="shared" si="444"/>
        <v>2.6371101035965041</v>
      </c>
      <c r="CG461" s="38">
        <f t="shared" si="445"/>
        <v>7.93733006317564</v>
      </c>
      <c r="CH461" s="15"/>
      <c r="CI461" s="16"/>
      <c r="CJ461" s="13"/>
      <c r="CK461" s="104"/>
      <c r="CL461" s="13"/>
      <c r="CM461" s="13"/>
      <c r="CN461" s="13"/>
      <c r="CO461" s="16"/>
      <c r="CP461" s="16"/>
      <c r="CQ461" s="16"/>
      <c r="CR461" s="16"/>
      <c r="CS461" s="16"/>
      <c r="CT461" s="16"/>
      <c r="CU461" s="16"/>
      <c r="CV461" s="16"/>
      <c r="CW461" s="16"/>
      <c r="CX461" s="16"/>
      <c r="CY461" s="104"/>
      <c r="CZ461" s="104"/>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3"/>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row>
    <row r="462" spans="1:167" x14ac:dyDescent="0.25">
      <c r="A462" s="35" t="s">
        <v>91</v>
      </c>
      <c r="B462" s="15">
        <v>1516</v>
      </c>
      <c r="C462" s="102" t="s">
        <v>96</v>
      </c>
      <c r="D462" s="102" t="s">
        <v>104</v>
      </c>
      <c r="E462" s="15">
        <v>523</v>
      </c>
      <c r="F462" s="16">
        <v>53.08</v>
      </c>
      <c r="G462" s="16">
        <v>0</v>
      </c>
      <c r="H462" s="16">
        <v>29</v>
      </c>
      <c r="I462" s="16">
        <v>0</v>
      </c>
      <c r="J462" s="44">
        <v>0.79500000000000004</v>
      </c>
      <c r="K462" s="16">
        <v>0</v>
      </c>
      <c r="L462" s="16">
        <v>0</v>
      </c>
      <c r="M462" s="16">
        <v>11.78</v>
      </c>
      <c r="N462" s="16">
        <v>4.96</v>
      </c>
      <c r="O462" s="16">
        <v>0.27200000000000002</v>
      </c>
      <c r="P462" s="16">
        <v>0</v>
      </c>
      <c r="Q462" s="16"/>
      <c r="R462" s="16"/>
      <c r="S462" s="16">
        <f t="shared" si="391"/>
        <v>99.887</v>
      </c>
      <c r="T462" s="16"/>
      <c r="U462" s="15">
        <v>2</v>
      </c>
      <c r="V462" s="15"/>
      <c r="W462" s="15"/>
      <c r="X462" s="15" t="s">
        <v>185</v>
      </c>
      <c r="Y462" s="15"/>
      <c r="Z462" s="37">
        <v>8</v>
      </c>
      <c r="AA462" s="37">
        <v>5</v>
      </c>
      <c r="AB462" s="15"/>
      <c r="AC462" s="38">
        <f t="shared" si="392"/>
        <v>2.4169674493691415</v>
      </c>
      <c r="AD462" s="38">
        <f t="shared" si="393"/>
        <v>0</v>
      </c>
      <c r="AE462" s="38">
        <f t="shared" si="394"/>
        <v>1.5562091988675477</v>
      </c>
      <c r="AF462" s="38">
        <f t="shared" si="395"/>
        <v>0</v>
      </c>
      <c r="AG462" s="38">
        <f t="shared" si="396"/>
        <v>3.0269842939948038E-2</v>
      </c>
      <c r="AH462" s="38">
        <f t="shared" si="397"/>
        <v>0</v>
      </c>
      <c r="AI462" s="38">
        <f t="shared" si="398"/>
        <v>0</v>
      </c>
      <c r="AJ462" s="38">
        <f t="shared" si="399"/>
        <v>0.57465487702813223</v>
      </c>
      <c r="AK462" s="38">
        <f t="shared" si="400"/>
        <v>0.43785459491160345</v>
      </c>
      <c r="AL462" s="38">
        <f t="shared" si="401"/>
        <v>1.579857107302788E-2</v>
      </c>
      <c r="AM462" s="38">
        <f t="shared" si="402"/>
        <v>0</v>
      </c>
      <c r="AN462" s="38">
        <f t="shared" si="403"/>
        <v>0</v>
      </c>
      <c r="AO462" s="38">
        <f t="shared" si="404"/>
        <v>0</v>
      </c>
      <c r="AP462" s="38">
        <f t="shared" si="405"/>
        <v>5.0317545341894014</v>
      </c>
      <c r="AQ462" s="38">
        <f t="shared" si="406"/>
        <v>3.9731766482366893</v>
      </c>
      <c r="AR462" s="38">
        <f t="shared" si="407"/>
        <v>1.0283080430127636</v>
      </c>
      <c r="AS462" s="40"/>
      <c r="AT462" s="38">
        <f t="shared" si="408"/>
        <v>2.401714385058439</v>
      </c>
      <c r="AU462" s="38">
        <f t="shared" si="409"/>
        <v>0</v>
      </c>
      <c r="AV462" s="38">
        <f t="shared" si="410"/>
        <v>1.5463882312755226</v>
      </c>
      <c r="AW462" s="38">
        <f t="shared" si="411"/>
        <v>0</v>
      </c>
      <c r="AX462" s="38">
        <f t="shared" si="412"/>
        <v>0</v>
      </c>
      <c r="AY462" s="38">
        <f t="shared" si="413"/>
        <v>3.0078815186902207E-2</v>
      </c>
      <c r="AZ462" s="38">
        <f t="shared" si="414"/>
        <v>0</v>
      </c>
      <c r="BA462" s="38">
        <f t="shared" si="415"/>
        <v>0</v>
      </c>
      <c r="BB462" s="38">
        <f t="shared" si="416"/>
        <v>0.57102832930691372</v>
      </c>
      <c r="BC462" s="38">
        <f t="shared" si="417"/>
        <v>0.43509137015379107</v>
      </c>
      <c r="BD462" s="38">
        <f t="shared" si="418"/>
        <v>1.5698869018431736E-2</v>
      </c>
      <c r="BE462" s="38">
        <f t="shared" si="419"/>
        <v>0</v>
      </c>
      <c r="BF462" s="38">
        <f t="shared" si="420"/>
        <v>0</v>
      </c>
      <c r="BG462" s="38">
        <f t="shared" si="421"/>
        <v>0</v>
      </c>
      <c r="BH462" s="41">
        <f t="shared" si="422"/>
        <v>5</v>
      </c>
      <c r="BI462" s="42">
        <f t="shared" si="423"/>
        <v>7.9645527887035401</v>
      </c>
      <c r="BJ462" s="38">
        <f t="shared" si="424"/>
        <v>3.9481026163339616</v>
      </c>
      <c r="BK462" s="38">
        <f t="shared" si="425"/>
        <v>1.0218185684791365</v>
      </c>
      <c r="BL462" s="16"/>
      <c r="BM462" s="16">
        <f t="shared" si="426"/>
        <v>0.55883534212617214</v>
      </c>
      <c r="BN462" s="16">
        <f t="shared" si="427"/>
        <v>0.42580100183673142</v>
      </c>
      <c r="BO462" s="16">
        <f t="shared" si="428"/>
        <v>1.5363656037096449E-2</v>
      </c>
      <c r="BP462" s="15"/>
      <c r="BQ462" s="38">
        <f t="shared" si="429"/>
        <v>0.88348868175765649</v>
      </c>
      <c r="BR462" s="38">
        <f t="shared" si="430"/>
        <v>0</v>
      </c>
      <c r="BS462" s="38">
        <f t="shared" si="431"/>
        <v>0.5688505296194587</v>
      </c>
      <c r="BT462" s="38">
        <f t="shared" si="432"/>
        <v>0</v>
      </c>
      <c r="BU462" s="38">
        <f t="shared" si="433"/>
        <v>1.106471816283925E-2</v>
      </c>
      <c r="BV462" s="38">
        <f t="shared" si="434"/>
        <v>0</v>
      </c>
      <c r="BW462" s="38">
        <f t="shared" si="435"/>
        <v>0</v>
      </c>
      <c r="BX462" s="38">
        <f t="shared" si="436"/>
        <v>0.21005706134094151</v>
      </c>
      <c r="BY462" s="38">
        <f t="shared" si="437"/>
        <v>0.1600516295579219</v>
      </c>
      <c r="BZ462" s="38">
        <f t="shared" si="438"/>
        <v>5.7749469214437368E-3</v>
      </c>
      <c r="CA462" s="38">
        <f t="shared" si="439"/>
        <v>0</v>
      </c>
      <c r="CB462" s="38">
        <f t="shared" si="440"/>
        <v>0</v>
      </c>
      <c r="CC462" s="38">
        <f t="shared" si="441"/>
        <v>0</v>
      </c>
      <c r="CD462" s="38">
        <f t="shared" si="442"/>
        <v>1.8392875673602616</v>
      </c>
      <c r="CE462" s="38">
        <f t="shared" si="443"/>
        <v>2.9242882256879645</v>
      </c>
      <c r="CF462" s="38">
        <f t="shared" si="444"/>
        <v>2.7184438631181425</v>
      </c>
      <c r="CG462" s="38">
        <f t="shared" si="445"/>
        <v>7.9495133811100889</v>
      </c>
      <c r="CH462" s="15"/>
      <c r="CI462" s="16"/>
      <c r="CJ462" s="13"/>
      <c r="CK462" s="104"/>
      <c r="CL462" s="13"/>
      <c r="CM462" s="13"/>
      <c r="CN462" s="13"/>
      <c r="CO462" s="16"/>
      <c r="CP462" s="16"/>
      <c r="CQ462" s="16"/>
      <c r="CR462" s="16"/>
      <c r="CS462" s="16"/>
      <c r="CT462" s="16"/>
      <c r="CU462" s="16"/>
      <c r="CV462" s="16"/>
      <c r="CW462" s="16"/>
      <c r="CX462" s="16"/>
      <c r="CY462" s="104"/>
      <c r="CZ462" s="104"/>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3"/>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row>
    <row r="463" spans="1:167" x14ac:dyDescent="0.25">
      <c r="A463" s="35" t="s">
        <v>91</v>
      </c>
      <c r="B463" s="15">
        <v>1517</v>
      </c>
      <c r="C463" s="102" t="s">
        <v>96</v>
      </c>
      <c r="D463" s="102" t="s">
        <v>104</v>
      </c>
      <c r="E463" s="15">
        <v>524</v>
      </c>
      <c r="F463" s="16">
        <v>45.73</v>
      </c>
      <c r="G463" s="16">
        <v>0</v>
      </c>
      <c r="H463" s="16">
        <v>34.19</v>
      </c>
      <c r="I463" s="16">
        <v>0</v>
      </c>
      <c r="J463" s="44">
        <v>0.82499999999999996</v>
      </c>
      <c r="K463" s="16">
        <v>0</v>
      </c>
      <c r="L463" s="16">
        <v>0</v>
      </c>
      <c r="M463" s="16">
        <v>17.75</v>
      </c>
      <c r="N463" s="16">
        <v>1.6</v>
      </c>
      <c r="O463" s="16">
        <v>0.05</v>
      </c>
      <c r="P463" s="16">
        <v>0</v>
      </c>
      <c r="Q463" s="16"/>
      <c r="R463" s="16"/>
      <c r="S463" s="16">
        <f t="shared" si="391"/>
        <v>100.14499999999998</v>
      </c>
      <c r="T463" s="16"/>
      <c r="U463" s="15">
        <v>2</v>
      </c>
      <c r="V463" s="15"/>
      <c r="W463" s="15"/>
      <c r="X463" s="15" t="s">
        <v>186</v>
      </c>
      <c r="Y463" s="15"/>
      <c r="Z463" s="37">
        <v>8</v>
      </c>
      <c r="AA463" s="37">
        <v>5</v>
      </c>
      <c r="AB463" s="15"/>
      <c r="AC463" s="38">
        <f t="shared" si="392"/>
        <v>2.1123842610758725</v>
      </c>
      <c r="AD463" s="38">
        <f t="shared" si="393"/>
        <v>0</v>
      </c>
      <c r="AE463" s="38">
        <f t="shared" si="394"/>
        <v>1.8612337337976406</v>
      </c>
      <c r="AF463" s="38">
        <f t="shared" si="395"/>
        <v>0</v>
      </c>
      <c r="AG463" s="38">
        <f t="shared" si="396"/>
        <v>3.1866093176930371E-2</v>
      </c>
      <c r="AH463" s="38">
        <f t="shared" si="397"/>
        <v>0</v>
      </c>
      <c r="AI463" s="38">
        <f t="shared" si="398"/>
        <v>0</v>
      </c>
      <c r="AJ463" s="38">
        <f t="shared" si="399"/>
        <v>0.8783993344363773</v>
      </c>
      <c r="AK463" s="38">
        <f t="shared" si="400"/>
        <v>0.14328477697086706</v>
      </c>
      <c r="AL463" s="38">
        <f t="shared" si="401"/>
        <v>2.9461221061087913E-3</v>
      </c>
      <c r="AM463" s="38">
        <f t="shared" si="402"/>
        <v>0</v>
      </c>
      <c r="AN463" s="38">
        <f t="shared" si="403"/>
        <v>0</v>
      </c>
      <c r="AO463" s="38">
        <f t="shared" si="404"/>
        <v>0</v>
      </c>
      <c r="AP463" s="38">
        <f t="shared" si="405"/>
        <v>5.0301143215637962</v>
      </c>
      <c r="AQ463" s="38">
        <f t="shared" si="406"/>
        <v>3.9736179948735133</v>
      </c>
      <c r="AR463" s="38">
        <f t="shared" si="407"/>
        <v>1.0246302335133533</v>
      </c>
      <c r="AS463" s="40"/>
      <c r="AT463" s="38">
        <f t="shared" si="408"/>
        <v>2.0997378250631487</v>
      </c>
      <c r="AU463" s="38">
        <f t="shared" si="409"/>
        <v>0</v>
      </c>
      <c r="AV463" s="38">
        <f t="shared" si="410"/>
        <v>1.8500908874164586</v>
      </c>
      <c r="AW463" s="38">
        <f t="shared" si="411"/>
        <v>0</v>
      </c>
      <c r="AX463" s="38">
        <f t="shared" si="412"/>
        <v>0</v>
      </c>
      <c r="AY463" s="38">
        <f t="shared" si="413"/>
        <v>3.1675317040332808E-2</v>
      </c>
      <c r="AZ463" s="38">
        <f t="shared" si="414"/>
        <v>0</v>
      </c>
      <c r="BA463" s="38">
        <f t="shared" si="415"/>
        <v>0</v>
      </c>
      <c r="BB463" s="38">
        <f t="shared" si="416"/>
        <v>0.87314052751319415</v>
      </c>
      <c r="BC463" s="38">
        <f t="shared" si="417"/>
        <v>0.14242695872399347</v>
      </c>
      <c r="BD463" s="38">
        <f t="shared" si="418"/>
        <v>2.9284842428719195E-3</v>
      </c>
      <c r="BE463" s="38">
        <f t="shared" si="419"/>
        <v>0</v>
      </c>
      <c r="BF463" s="38">
        <f t="shared" si="420"/>
        <v>0</v>
      </c>
      <c r="BG463" s="38">
        <f t="shared" si="421"/>
        <v>0</v>
      </c>
      <c r="BH463" s="41">
        <f t="shared" si="422"/>
        <v>5</v>
      </c>
      <c r="BI463" s="42">
        <f t="shared" si="423"/>
        <v>7.967943205808111</v>
      </c>
      <c r="BJ463" s="38">
        <f t="shared" si="424"/>
        <v>3.949828712479607</v>
      </c>
      <c r="BK463" s="38">
        <f t="shared" si="425"/>
        <v>1.0184959704800596</v>
      </c>
      <c r="BL463" s="16"/>
      <c r="BM463" s="16">
        <f t="shared" si="426"/>
        <v>0.85728422381646396</v>
      </c>
      <c r="BN463" s="16">
        <f t="shared" si="427"/>
        <v>0.13984047345505127</v>
      </c>
      <c r="BO463" s="16">
        <f t="shared" si="428"/>
        <v>2.875302728484633E-3</v>
      </c>
      <c r="BP463" s="15"/>
      <c r="BQ463" s="38">
        <f t="shared" si="429"/>
        <v>0.76115179760319573</v>
      </c>
      <c r="BR463" s="38">
        <f t="shared" si="430"/>
        <v>0</v>
      </c>
      <c r="BS463" s="38">
        <f t="shared" si="431"/>
        <v>0.6706551588858376</v>
      </c>
      <c r="BT463" s="38">
        <f t="shared" si="432"/>
        <v>0</v>
      </c>
      <c r="BU463" s="38">
        <f t="shared" si="433"/>
        <v>1.1482254697286013E-2</v>
      </c>
      <c r="BV463" s="38">
        <f t="shared" si="434"/>
        <v>0</v>
      </c>
      <c r="BW463" s="38">
        <f t="shared" si="435"/>
        <v>0</v>
      </c>
      <c r="BX463" s="38">
        <f t="shared" si="436"/>
        <v>0.31651212553495006</v>
      </c>
      <c r="BY463" s="38">
        <f t="shared" si="437"/>
        <v>5.1629557921910298E-2</v>
      </c>
      <c r="BZ463" s="38">
        <f t="shared" si="438"/>
        <v>1.0615711252653928E-3</v>
      </c>
      <c r="CA463" s="38">
        <f t="shared" si="439"/>
        <v>0</v>
      </c>
      <c r="CB463" s="38">
        <f t="shared" si="440"/>
        <v>0</v>
      </c>
      <c r="CC463" s="38">
        <f t="shared" si="441"/>
        <v>0</v>
      </c>
      <c r="CD463" s="38">
        <f t="shared" si="442"/>
        <v>1.8124924657684451</v>
      </c>
      <c r="CE463" s="38">
        <f t="shared" si="443"/>
        <v>2.8826262782909713</v>
      </c>
      <c r="CF463" s="38">
        <f t="shared" si="444"/>
        <v>2.7586321567853482</v>
      </c>
      <c r="CG463" s="38">
        <f t="shared" si="445"/>
        <v>7.9521055472879434</v>
      </c>
      <c r="CH463" s="15"/>
      <c r="CI463" s="16"/>
      <c r="CJ463" s="13"/>
      <c r="CK463" s="104"/>
      <c r="CL463" s="13"/>
      <c r="CM463" s="13"/>
      <c r="CN463" s="13"/>
      <c r="CO463" s="16"/>
      <c r="CP463" s="16"/>
      <c r="CQ463" s="16"/>
      <c r="CR463" s="16"/>
      <c r="CS463" s="16"/>
      <c r="CT463" s="16"/>
      <c r="CU463" s="16"/>
      <c r="CV463" s="16"/>
      <c r="CW463" s="16"/>
      <c r="CX463" s="16"/>
      <c r="CY463" s="104"/>
      <c r="CZ463" s="104"/>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3"/>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row>
    <row r="464" spans="1:167" x14ac:dyDescent="0.25">
      <c r="A464" s="35" t="s">
        <v>91</v>
      </c>
      <c r="B464" s="15">
        <v>1518</v>
      </c>
      <c r="C464" s="102" t="s">
        <v>96</v>
      </c>
      <c r="D464" s="102" t="s">
        <v>104</v>
      </c>
      <c r="E464" s="15">
        <v>525</v>
      </c>
      <c r="F464" s="16">
        <v>46.72</v>
      </c>
      <c r="G464" s="16">
        <v>0</v>
      </c>
      <c r="H464" s="16">
        <v>33.19</v>
      </c>
      <c r="I464" s="16">
        <v>0</v>
      </c>
      <c r="J464" s="44">
        <v>0.75600000000000001</v>
      </c>
      <c r="K464" s="16">
        <v>0</v>
      </c>
      <c r="L464" s="16">
        <v>0</v>
      </c>
      <c r="M464" s="16">
        <v>16.75</v>
      </c>
      <c r="N464" s="16">
        <v>2.0099999999999998</v>
      </c>
      <c r="O464" s="16">
        <v>8.2000000000000003E-2</v>
      </c>
      <c r="P464" s="16">
        <v>0</v>
      </c>
      <c r="Q464" s="16"/>
      <c r="R464" s="16"/>
      <c r="S464" s="16">
        <f t="shared" si="391"/>
        <v>99.507999999999996</v>
      </c>
      <c r="T464" s="16"/>
      <c r="U464" s="15"/>
      <c r="V464" s="15"/>
      <c r="W464" s="15"/>
      <c r="X464" s="15" t="s">
        <v>185</v>
      </c>
      <c r="Y464" s="15"/>
      <c r="Z464" s="37">
        <v>8</v>
      </c>
      <c r="AA464" s="37">
        <v>5</v>
      </c>
      <c r="AB464" s="15"/>
      <c r="AC464" s="38">
        <f t="shared" si="392"/>
        <v>2.1643501013713928</v>
      </c>
      <c r="AD464" s="38">
        <f t="shared" si="393"/>
        <v>0</v>
      </c>
      <c r="AE464" s="38">
        <f t="shared" si="394"/>
        <v>1.8120159825721309</v>
      </c>
      <c r="AF464" s="38">
        <f t="shared" si="395"/>
        <v>0</v>
      </c>
      <c r="AG464" s="38">
        <f t="shared" si="396"/>
        <v>2.9285296521344331E-2</v>
      </c>
      <c r="AH464" s="38">
        <f t="shared" si="397"/>
        <v>0</v>
      </c>
      <c r="AI464" s="38">
        <f t="shared" si="398"/>
        <v>0</v>
      </c>
      <c r="AJ464" s="38">
        <f t="shared" si="399"/>
        <v>0.83130694570000585</v>
      </c>
      <c r="AK464" s="38">
        <f t="shared" si="400"/>
        <v>0.1805215624970235</v>
      </c>
      <c r="AL464" s="38">
        <f t="shared" si="401"/>
        <v>4.8455998583112692E-3</v>
      </c>
      <c r="AM464" s="38">
        <f t="shared" si="402"/>
        <v>0</v>
      </c>
      <c r="AN464" s="38">
        <f t="shared" si="403"/>
        <v>0</v>
      </c>
      <c r="AO464" s="38">
        <f t="shared" si="404"/>
        <v>0</v>
      </c>
      <c r="AP464" s="38">
        <f t="shared" si="405"/>
        <v>5.0223254885202087</v>
      </c>
      <c r="AQ464" s="38">
        <f t="shared" si="406"/>
        <v>3.9763660839435238</v>
      </c>
      <c r="AR464" s="38">
        <f t="shared" si="407"/>
        <v>1.0166741080553405</v>
      </c>
      <c r="AS464" s="40"/>
      <c r="AT464" s="38">
        <f t="shared" si="408"/>
        <v>2.1547290257457035</v>
      </c>
      <c r="AU464" s="38">
        <f t="shared" si="409"/>
        <v>0</v>
      </c>
      <c r="AV464" s="38">
        <f t="shared" si="410"/>
        <v>1.8039611199174073</v>
      </c>
      <c r="AW464" s="38">
        <f t="shared" si="411"/>
        <v>0</v>
      </c>
      <c r="AX464" s="38">
        <f t="shared" si="412"/>
        <v>0</v>
      </c>
      <c r="AY464" s="38">
        <f t="shared" si="413"/>
        <v>2.9155116079476788E-2</v>
      </c>
      <c r="AZ464" s="38">
        <f t="shared" si="414"/>
        <v>0</v>
      </c>
      <c r="BA464" s="38">
        <f t="shared" si="415"/>
        <v>0</v>
      </c>
      <c r="BB464" s="38">
        <f t="shared" si="416"/>
        <v>0.82761157913815775</v>
      </c>
      <c r="BC464" s="38">
        <f t="shared" si="417"/>
        <v>0.17971909915999176</v>
      </c>
      <c r="BD464" s="38">
        <f t="shared" si="418"/>
        <v>4.8240599592630044E-3</v>
      </c>
      <c r="BE464" s="38">
        <f t="shared" si="419"/>
        <v>0</v>
      </c>
      <c r="BF464" s="38">
        <f t="shared" si="420"/>
        <v>0</v>
      </c>
      <c r="BG464" s="38">
        <f t="shared" si="421"/>
        <v>0</v>
      </c>
      <c r="BH464" s="41">
        <f t="shared" si="422"/>
        <v>5</v>
      </c>
      <c r="BI464" s="42">
        <f t="shared" si="423"/>
        <v>7.9790155641845182</v>
      </c>
      <c r="BJ464" s="38">
        <f t="shared" si="424"/>
        <v>3.9586901456631107</v>
      </c>
      <c r="BK464" s="38">
        <f t="shared" si="425"/>
        <v>1.0121547382574125</v>
      </c>
      <c r="BL464" s="16"/>
      <c r="BM464" s="16">
        <f t="shared" si="426"/>
        <v>0.8176729781090829</v>
      </c>
      <c r="BN464" s="16">
        <f t="shared" si="427"/>
        <v>0.17756089298105465</v>
      </c>
      <c r="BO464" s="16">
        <f t="shared" si="428"/>
        <v>4.7661289098625392E-3</v>
      </c>
      <c r="BP464" s="15"/>
      <c r="BQ464" s="38">
        <f t="shared" si="429"/>
        <v>0.77762982689747007</v>
      </c>
      <c r="BR464" s="38">
        <f t="shared" si="430"/>
        <v>0</v>
      </c>
      <c r="BS464" s="38">
        <f t="shared" si="431"/>
        <v>0.65103962338171828</v>
      </c>
      <c r="BT464" s="38">
        <f t="shared" si="432"/>
        <v>0</v>
      </c>
      <c r="BU464" s="38">
        <f t="shared" si="433"/>
        <v>1.0521920668058456E-2</v>
      </c>
      <c r="BV464" s="38">
        <f t="shared" si="434"/>
        <v>0</v>
      </c>
      <c r="BW464" s="38">
        <f t="shared" si="435"/>
        <v>0</v>
      </c>
      <c r="BX464" s="38">
        <f t="shared" si="436"/>
        <v>0.29868045649072755</v>
      </c>
      <c r="BY464" s="38">
        <f t="shared" si="437"/>
        <v>6.4859632139399798E-2</v>
      </c>
      <c r="BZ464" s="38">
        <f t="shared" si="438"/>
        <v>1.7409766454352441E-3</v>
      </c>
      <c r="CA464" s="38">
        <f t="shared" si="439"/>
        <v>0</v>
      </c>
      <c r="CB464" s="38">
        <f t="shared" si="440"/>
        <v>0</v>
      </c>
      <c r="CC464" s="38">
        <f t="shared" si="441"/>
        <v>0</v>
      </c>
      <c r="CD464" s="38">
        <f t="shared" si="442"/>
        <v>1.8044724362228093</v>
      </c>
      <c r="CE464" s="38">
        <f t="shared" si="443"/>
        <v>2.8743217704187209</v>
      </c>
      <c r="CF464" s="38">
        <f t="shared" si="444"/>
        <v>2.7708929766010675</v>
      </c>
      <c r="CG464" s="38">
        <f t="shared" si="445"/>
        <v>7.9644380061447801</v>
      </c>
      <c r="CH464" s="15"/>
      <c r="CI464" s="16"/>
      <c r="CJ464" s="13"/>
      <c r="CK464" s="104"/>
      <c r="CL464" s="13"/>
      <c r="CM464" s="13"/>
      <c r="CN464" s="13"/>
      <c r="CO464" s="16"/>
      <c r="CP464" s="16"/>
      <c r="CQ464" s="16"/>
      <c r="CR464" s="16"/>
      <c r="CS464" s="16"/>
      <c r="CT464" s="16"/>
      <c r="CU464" s="16"/>
      <c r="CV464" s="16"/>
      <c r="CW464" s="16"/>
      <c r="CX464" s="16"/>
      <c r="CY464" s="104"/>
      <c r="CZ464" s="104"/>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3"/>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row>
    <row r="465" spans="1:167" x14ac:dyDescent="0.25">
      <c r="A465" s="35" t="s">
        <v>91</v>
      </c>
      <c r="B465" s="15">
        <v>1519</v>
      </c>
      <c r="C465" s="102" t="s">
        <v>96</v>
      </c>
      <c r="D465" s="102" t="s">
        <v>104</v>
      </c>
      <c r="E465" s="15">
        <v>526</v>
      </c>
      <c r="F465" s="16">
        <v>54.05</v>
      </c>
      <c r="G465" s="16">
        <v>0</v>
      </c>
      <c r="H465" s="16">
        <v>27.59</v>
      </c>
      <c r="I465" s="16">
        <v>0</v>
      </c>
      <c r="J465" s="44">
        <v>0.79</v>
      </c>
      <c r="K465" s="16">
        <v>0</v>
      </c>
      <c r="L465" s="16">
        <v>0</v>
      </c>
      <c r="M465" s="16">
        <v>10.54</v>
      </c>
      <c r="N465" s="16">
        <v>5.98</v>
      </c>
      <c r="O465" s="16">
        <v>0.29899999999999999</v>
      </c>
      <c r="P465" s="16">
        <v>0</v>
      </c>
      <c r="Q465" s="16"/>
      <c r="R465" s="16"/>
      <c r="S465" s="16">
        <f t="shared" si="391"/>
        <v>99.249000000000009</v>
      </c>
      <c r="T465" s="16"/>
      <c r="U465" s="15"/>
      <c r="V465" s="15"/>
      <c r="W465" s="15"/>
      <c r="X465" s="15" t="s">
        <v>185</v>
      </c>
      <c r="Y465" s="15"/>
      <c r="Z465" s="37">
        <v>8</v>
      </c>
      <c r="AA465" s="37">
        <v>5</v>
      </c>
      <c r="AB465" s="15"/>
      <c r="AC465" s="38">
        <f t="shared" si="392"/>
        <v>2.4735139453810158</v>
      </c>
      <c r="AD465" s="38">
        <f t="shared" si="393"/>
        <v>0</v>
      </c>
      <c r="AE465" s="38">
        <f t="shared" si="394"/>
        <v>1.4879915270917508</v>
      </c>
      <c r="AF465" s="38">
        <f t="shared" si="395"/>
        <v>0</v>
      </c>
      <c r="AG465" s="38">
        <f t="shared" si="396"/>
        <v>3.0230749020992896E-2</v>
      </c>
      <c r="AH465" s="38">
        <f t="shared" si="397"/>
        <v>0</v>
      </c>
      <c r="AI465" s="38">
        <f t="shared" si="398"/>
        <v>0</v>
      </c>
      <c r="AJ465" s="38">
        <f t="shared" si="399"/>
        <v>0.51675084424711759</v>
      </c>
      <c r="AK465" s="38">
        <f t="shared" si="400"/>
        <v>0.53055229398649917</v>
      </c>
      <c r="AL465" s="38">
        <f t="shared" si="401"/>
        <v>1.7454156677963489E-2</v>
      </c>
      <c r="AM465" s="38">
        <f t="shared" si="402"/>
        <v>0</v>
      </c>
      <c r="AN465" s="38">
        <f t="shared" si="403"/>
        <v>0</v>
      </c>
      <c r="AO465" s="38">
        <f t="shared" si="404"/>
        <v>0</v>
      </c>
      <c r="AP465" s="38">
        <f t="shared" si="405"/>
        <v>5.0564935164053395</v>
      </c>
      <c r="AQ465" s="38">
        <f t="shared" si="406"/>
        <v>3.9615054724727665</v>
      </c>
      <c r="AR465" s="38">
        <f t="shared" si="407"/>
        <v>1.0647572949115804</v>
      </c>
      <c r="AS465" s="40"/>
      <c r="AT465" s="38">
        <f t="shared" si="408"/>
        <v>2.4458786878257843</v>
      </c>
      <c r="AU465" s="38">
        <f t="shared" si="409"/>
        <v>0</v>
      </c>
      <c r="AV465" s="38">
        <f t="shared" si="410"/>
        <v>1.4713669880759219</v>
      </c>
      <c r="AW465" s="38">
        <f t="shared" si="411"/>
        <v>0</v>
      </c>
      <c r="AX465" s="38">
        <f t="shared" si="412"/>
        <v>0</v>
      </c>
      <c r="AY465" s="38">
        <f t="shared" si="413"/>
        <v>2.9892996918627443E-2</v>
      </c>
      <c r="AZ465" s="38">
        <f t="shared" si="414"/>
        <v>0</v>
      </c>
      <c r="BA465" s="38">
        <f t="shared" si="415"/>
        <v>0</v>
      </c>
      <c r="BB465" s="38">
        <f t="shared" si="416"/>
        <v>0.51097746152602164</v>
      </c>
      <c r="BC465" s="38">
        <f t="shared" si="417"/>
        <v>0.52462471499782382</v>
      </c>
      <c r="BD465" s="38">
        <f t="shared" si="418"/>
        <v>1.7259150655820125E-2</v>
      </c>
      <c r="BE465" s="38">
        <f t="shared" si="419"/>
        <v>0</v>
      </c>
      <c r="BF465" s="38">
        <f t="shared" si="420"/>
        <v>0</v>
      </c>
      <c r="BG465" s="38">
        <f t="shared" si="421"/>
        <v>0</v>
      </c>
      <c r="BH465" s="41">
        <f t="shared" si="422"/>
        <v>5</v>
      </c>
      <c r="BI465" s="42">
        <f t="shared" si="423"/>
        <v>7.9255667474962364</v>
      </c>
      <c r="BJ465" s="38">
        <f t="shared" si="424"/>
        <v>3.9172456759017065</v>
      </c>
      <c r="BK465" s="38">
        <f t="shared" si="425"/>
        <v>1.0528613271796656</v>
      </c>
      <c r="BL465" s="16"/>
      <c r="BM465" s="16">
        <f t="shared" si="426"/>
        <v>0.48532266152731979</v>
      </c>
      <c r="BN465" s="16">
        <f t="shared" si="427"/>
        <v>0.49828472321531009</v>
      </c>
      <c r="BO465" s="16">
        <f t="shared" si="428"/>
        <v>1.6392615257369913E-2</v>
      </c>
      <c r="BP465" s="15"/>
      <c r="BQ465" s="38">
        <f t="shared" si="429"/>
        <v>0.89963382157123828</v>
      </c>
      <c r="BR465" s="38">
        <f t="shared" si="430"/>
        <v>0</v>
      </c>
      <c r="BS465" s="38">
        <f t="shared" si="431"/>
        <v>0.54119262455865047</v>
      </c>
      <c r="BT465" s="38">
        <f t="shared" si="432"/>
        <v>0</v>
      </c>
      <c r="BU465" s="38">
        <f t="shared" si="433"/>
        <v>1.0995128740431456E-2</v>
      </c>
      <c r="BV465" s="38">
        <f t="shared" si="434"/>
        <v>0</v>
      </c>
      <c r="BW465" s="38">
        <f t="shared" si="435"/>
        <v>0</v>
      </c>
      <c r="BX465" s="38">
        <f t="shared" si="436"/>
        <v>0.18794579172610557</v>
      </c>
      <c r="BY465" s="38">
        <f t="shared" si="437"/>
        <v>0.19296547273313974</v>
      </c>
      <c r="BZ465" s="38">
        <f t="shared" si="438"/>
        <v>6.3481953290870485E-3</v>
      </c>
      <c r="CA465" s="38">
        <f t="shared" si="439"/>
        <v>0</v>
      </c>
      <c r="CB465" s="38">
        <f t="shared" si="440"/>
        <v>0</v>
      </c>
      <c r="CC465" s="38">
        <f t="shared" si="441"/>
        <v>0</v>
      </c>
      <c r="CD465" s="38">
        <f t="shared" si="442"/>
        <v>1.8390810346586528</v>
      </c>
      <c r="CE465" s="38">
        <f t="shared" si="443"/>
        <v>2.9096543344781027</v>
      </c>
      <c r="CF465" s="38">
        <f t="shared" si="444"/>
        <v>2.7187491501308627</v>
      </c>
      <c r="CG465" s="38">
        <f t="shared" si="445"/>
        <v>7.9106202490369224</v>
      </c>
      <c r="CH465" s="15"/>
      <c r="CI465" s="16"/>
      <c r="CJ465" s="13"/>
      <c r="CK465" s="104"/>
      <c r="CL465" s="13"/>
      <c r="CM465" s="13"/>
      <c r="CN465" s="13"/>
      <c r="CO465" s="16"/>
      <c r="CP465" s="16"/>
      <c r="CQ465" s="16"/>
      <c r="CR465" s="16"/>
      <c r="CS465" s="16"/>
      <c r="CT465" s="16"/>
      <c r="CU465" s="16"/>
      <c r="CV465" s="16"/>
      <c r="CW465" s="16"/>
      <c r="CX465" s="16"/>
      <c r="CY465" s="104"/>
      <c r="CZ465" s="104"/>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3"/>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row>
    <row r="466" spans="1:167" x14ac:dyDescent="0.25">
      <c r="A466" s="35" t="s">
        <v>91</v>
      </c>
      <c r="B466" s="15">
        <v>1520</v>
      </c>
      <c r="C466" s="102" t="s">
        <v>96</v>
      </c>
      <c r="D466" s="102" t="s">
        <v>104</v>
      </c>
      <c r="E466" s="15">
        <v>527</v>
      </c>
      <c r="F466" s="16">
        <v>63.74</v>
      </c>
      <c r="G466" s="16">
        <v>0</v>
      </c>
      <c r="H466" s="16">
        <v>18.04</v>
      </c>
      <c r="I466" s="16">
        <v>0</v>
      </c>
      <c r="J466" s="44">
        <v>0.22</v>
      </c>
      <c r="K466" s="16">
        <v>0</v>
      </c>
      <c r="L466" s="16">
        <v>0</v>
      </c>
      <c r="M466" s="16">
        <v>0.1</v>
      </c>
      <c r="N466" s="16">
        <v>2.68</v>
      </c>
      <c r="O466" s="16">
        <v>13.04</v>
      </c>
      <c r="P466" s="16">
        <v>0</v>
      </c>
      <c r="Q466" s="16"/>
      <c r="R466" s="16"/>
      <c r="S466" s="16">
        <f t="shared" si="391"/>
        <v>97.82</v>
      </c>
      <c r="T466" s="16"/>
      <c r="U466" s="15"/>
      <c r="V466" s="15"/>
      <c r="W466" s="15"/>
      <c r="X466" s="15" t="s">
        <v>187</v>
      </c>
      <c r="Y466" s="15"/>
      <c r="Z466" s="37">
        <v>8</v>
      </c>
      <c r="AA466" s="37">
        <v>5</v>
      </c>
      <c r="AB466" s="15"/>
      <c r="AC466" s="38">
        <f t="shared" si="392"/>
        <v>2.9894007572959005</v>
      </c>
      <c r="AD466" s="38">
        <f t="shared" si="393"/>
        <v>0</v>
      </c>
      <c r="AE466" s="38">
        <f t="shared" si="394"/>
        <v>0.99709997905809622</v>
      </c>
      <c r="AF466" s="38">
        <f t="shared" si="395"/>
        <v>0</v>
      </c>
      <c r="AG466" s="38">
        <f t="shared" si="396"/>
        <v>8.62775717235802E-3</v>
      </c>
      <c r="AH466" s="38">
        <f t="shared" si="397"/>
        <v>0</v>
      </c>
      <c r="AI466" s="38">
        <f t="shared" si="398"/>
        <v>0</v>
      </c>
      <c r="AJ466" s="38">
        <f t="shared" si="399"/>
        <v>5.0245132994579476E-3</v>
      </c>
      <c r="AK466" s="38">
        <f t="shared" si="400"/>
        <v>0.24367738355406665</v>
      </c>
      <c r="AL466" s="38">
        <f t="shared" si="401"/>
        <v>0.78011510914440885</v>
      </c>
      <c r="AM466" s="38">
        <f t="shared" si="402"/>
        <v>0</v>
      </c>
      <c r="AN466" s="38">
        <f t="shared" si="403"/>
        <v>0</v>
      </c>
      <c r="AO466" s="38">
        <f t="shared" si="404"/>
        <v>0</v>
      </c>
      <c r="AP466" s="38">
        <f t="shared" si="405"/>
        <v>5.023945499524288</v>
      </c>
      <c r="AQ466" s="38">
        <f t="shared" si="406"/>
        <v>3.9865007363539968</v>
      </c>
      <c r="AR466" s="38">
        <f t="shared" si="407"/>
        <v>1.0288170059979334</v>
      </c>
      <c r="AS466" s="40"/>
      <c r="AT466" s="38">
        <f t="shared" si="408"/>
        <v>2.9751524549569299</v>
      </c>
      <c r="AU466" s="38">
        <f t="shared" si="409"/>
        <v>0</v>
      </c>
      <c r="AV466" s="38">
        <f t="shared" si="410"/>
        <v>0.99234752760804301</v>
      </c>
      <c r="AW466" s="38">
        <f t="shared" si="411"/>
        <v>0</v>
      </c>
      <c r="AX466" s="38">
        <f t="shared" si="412"/>
        <v>0</v>
      </c>
      <c r="AY466" s="38">
        <f t="shared" si="413"/>
        <v>8.5866349198801765E-3</v>
      </c>
      <c r="AZ466" s="38">
        <f t="shared" si="414"/>
        <v>0</v>
      </c>
      <c r="BA466" s="38">
        <f t="shared" si="415"/>
        <v>0</v>
      </c>
      <c r="BB466" s="38">
        <f t="shared" si="416"/>
        <v>5.0005650936437449E-3</v>
      </c>
      <c r="BC466" s="38">
        <f t="shared" si="417"/>
        <v>0.24251595043889335</v>
      </c>
      <c r="BD466" s="38">
        <f t="shared" si="418"/>
        <v>0.7763968669826109</v>
      </c>
      <c r="BE466" s="38">
        <f t="shared" si="419"/>
        <v>0</v>
      </c>
      <c r="BF466" s="38">
        <f t="shared" si="420"/>
        <v>0</v>
      </c>
      <c r="BG466" s="38">
        <f t="shared" si="421"/>
        <v>0</v>
      </c>
      <c r="BH466" s="41">
        <f t="shared" si="422"/>
        <v>5.0000000000000009</v>
      </c>
      <c r="BI466" s="42">
        <f t="shared" si="423"/>
        <v>7.966163127510141</v>
      </c>
      <c r="BJ466" s="38">
        <f t="shared" si="424"/>
        <v>3.967499982564973</v>
      </c>
      <c r="BK466" s="38">
        <f t="shared" si="425"/>
        <v>1.0239133825151481</v>
      </c>
      <c r="BL466" s="16"/>
      <c r="BM466" s="16">
        <f t="shared" si="426"/>
        <v>4.8837774552377882E-3</v>
      </c>
      <c r="BN466" s="16">
        <f t="shared" si="427"/>
        <v>0.23685201754388199</v>
      </c>
      <c r="BO466" s="16">
        <f t="shared" si="428"/>
        <v>0.75826420500088032</v>
      </c>
      <c r="BP466" s="15"/>
      <c r="BQ466" s="38">
        <f t="shared" si="429"/>
        <v>1.0609187749667111</v>
      </c>
      <c r="BR466" s="38">
        <f t="shared" si="430"/>
        <v>0</v>
      </c>
      <c r="BS466" s="38">
        <f t="shared" si="431"/>
        <v>0.35386426049431152</v>
      </c>
      <c r="BT466" s="38">
        <f t="shared" si="432"/>
        <v>0</v>
      </c>
      <c r="BU466" s="38">
        <f t="shared" si="433"/>
        <v>3.0619345859429371E-3</v>
      </c>
      <c r="BV466" s="38">
        <f t="shared" si="434"/>
        <v>0</v>
      </c>
      <c r="BW466" s="38">
        <f t="shared" si="435"/>
        <v>0</v>
      </c>
      <c r="BX466" s="38">
        <f t="shared" si="436"/>
        <v>1.783166904422254E-3</v>
      </c>
      <c r="BY466" s="38">
        <f t="shared" si="437"/>
        <v>8.6479509519199749E-2</v>
      </c>
      <c r="BZ466" s="38">
        <f t="shared" si="438"/>
        <v>0.27685774946921443</v>
      </c>
      <c r="CA466" s="38">
        <f t="shared" si="439"/>
        <v>0</v>
      </c>
      <c r="CB466" s="38">
        <f t="shared" si="440"/>
        <v>0</v>
      </c>
      <c r="CC466" s="38">
        <f t="shared" si="441"/>
        <v>0</v>
      </c>
      <c r="CD466" s="38">
        <f t="shared" si="442"/>
        <v>1.7829653959398015</v>
      </c>
      <c r="CE466" s="38">
        <f t="shared" si="443"/>
        <v>2.8391476716594619</v>
      </c>
      <c r="CF466" s="38">
        <f t="shared" si="444"/>
        <v>2.8043169045154119</v>
      </c>
      <c r="CG466" s="38">
        <f t="shared" si="445"/>
        <v>7.9618698100502012</v>
      </c>
      <c r="CH466" s="15"/>
      <c r="CI466" s="16"/>
      <c r="CJ466" s="13"/>
      <c r="CK466" s="104"/>
      <c r="CL466" s="13"/>
      <c r="CM466" s="13"/>
      <c r="CN466" s="13"/>
      <c r="CO466" s="16"/>
      <c r="CP466" s="16"/>
      <c r="CQ466" s="16"/>
      <c r="CR466" s="16"/>
      <c r="CS466" s="16"/>
      <c r="CT466" s="16"/>
      <c r="CU466" s="16"/>
      <c r="CV466" s="16"/>
      <c r="CW466" s="16"/>
      <c r="CX466" s="16"/>
      <c r="CY466" s="104"/>
      <c r="CZ466" s="104"/>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3"/>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row>
    <row r="467" spans="1:167" x14ac:dyDescent="0.25">
      <c r="A467" s="35" t="s">
        <v>91</v>
      </c>
      <c r="B467" s="15">
        <v>1521</v>
      </c>
      <c r="C467" s="102" t="s">
        <v>96</v>
      </c>
      <c r="D467" s="102" t="s">
        <v>104</v>
      </c>
      <c r="E467" s="15">
        <v>528</v>
      </c>
      <c r="F467" s="16">
        <v>65.64</v>
      </c>
      <c r="G467" s="16">
        <v>0</v>
      </c>
      <c r="H467" s="16">
        <v>18.66</v>
      </c>
      <c r="I467" s="16">
        <v>0</v>
      </c>
      <c r="J467" s="44">
        <v>0.158</v>
      </c>
      <c r="K467" s="16">
        <v>0</v>
      </c>
      <c r="L467" s="16">
        <v>0</v>
      </c>
      <c r="M467" s="16">
        <v>7.4999999999999997E-2</v>
      </c>
      <c r="N467" s="16">
        <v>2.74</v>
      </c>
      <c r="O467" s="16">
        <v>13.54</v>
      </c>
      <c r="P467" s="16">
        <v>0</v>
      </c>
      <c r="Q467" s="16"/>
      <c r="R467" s="16"/>
      <c r="S467" s="16">
        <f t="shared" si="391"/>
        <v>100.81299999999999</v>
      </c>
      <c r="T467" s="16"/>
      <c r="U467" s="15"/>
      <c r="V467" s="15"/>
      <c r="W467" s="15"/>
      <c r="X467" s="15" t="s">
        <v>187</v>
      </c>
      <c r="Y467" s="15"/>
      <c r="Z467" s="37">
        <v>8</v>
      </c>
      <c r="AA467" s="37">
        <v>5</v>
      </c>
      <c r="AB467" s="15"/>
      <c r="AC467" s="38">
        <f t="shared" si="392"/>
        <v>2.9875332557862273</v>
      </c>
      <c r="AD467" s="38">
        <f t="shared" si="393"/>
        <v>0</v>
      </c>
      <c r="AE467" s="38">
        <f t="shared" si="394"/>
        <v>1.0008889814548017</v>
      </c>
      <c r="AF467" s="38">
        <f t="shared" si="395"/>
        <v>0</v>
      </c>
      <c r="AG467" s="38">
        <f t="shared" si="396"/>
        <v>6.0131829093311691E-3</v>
      </c>
      <c r="AH467" s="38">
        <f t="shared" si="397"/>
        <v>0</v>
      </c>
      <c r="AI467" s="38">
        <f t="shared" si="398"/>
        <v>0</v>
      </c>
      <c r="AJ467" s="38">
        <f t="shared" si="399"/>
        <v>3.6570201929723286E-3</v>
      </c>
      <c r="AK467" s="38">
        <f t="shared" si="400"/>
        <v>0.24177037635193019</v>
      </c>
      <c r="AL467" s="38">
        <f t="shared" si="401"/>
        <v>0.78608924993414464</v>
      </c>
      <c r="AM467" s="38">
        <f t="shared" si="402"/>
        <v>0</v>
      </c>
      <c r="AN467" s="38">
        <f t="shared" si="403"/>
        <v>0</v>
      </c>
      <c r="AO467" s="38">
        <f t="shared" si="404"/>
        <v>0</v>
      </c>
      <c r="AP467" s="38">
        <f t="shared" si="405"/>
        <v>5.0259520666294071</v>
      </c>
      <c r="AQ467" s="38">
        <f t="shared" si="406"/>
        <v>3.988422237241029</v>
      </c>
      <c r="AR467" s="38">
        <f t="shared" si="407"/>
        <v>1.0315166464790471</v>
      </c>
      <c r="AS467" s="40"/>
      <c r="AT467" s="38">
        <f t="shared" si="408"/>
        <v>2.972106793081474</v>
      </c>
      <c r="AU467" s="38">
        <f t="shared" si="409"/>
        <v>0</v>
      </c>
      <c r="AV467" s="38">
        <f t="shared" si="410"/>
        <v>0.99572077905434075</v>
      </c>
      <c r="AW467" s="38">
        <f t="shared" si="411"/>
        <v>0</v>
      </c>
      <c r="AX467" s="38">
        <f t="shared" si="412"/>
        <v>0</v>
      </c>
      <c r="AY467" s="38">
        <f t="shared" si="413"/>
        <v>5.9821331656310789E-3</v>
      </c>
      <c r="AZ467" s="38">
        <f t="shared" si="414"/>
        <v>0</v>
      </c>
      <c r="BA467" s="38">
        <f t="shared" si="415"/>
        <v>0</v>
      </c>
      <c r="BB467" s="38">
        <f t="shared" si="416"/>
        <v>3.6381367594546755E-3</v>
      </c>
      <c r="BC467" s="38">
        <f t="shared" si="417"/>
        <v>0.24052196792444788</v>
      </c>
      <c r="BD467" s="38">
        <f t="shared" si="418"/>
        <v>0.78203019001465091</v>
      </c>
      <c r="BE467" s="38">
        <f t="shared" si="419"/>
        <v>0</v>
      </c>
      <c r="BF467" s="38">
        <f t="shared" si="420"/>
        <v>0</v>
      </c>
      <c r="BG467" s="38">
        <f t="shared" si="421"/>
        <v>0</v>
      </c>
      <c r="BH467" s="41">
        <f t="shared" si="422"/>
        <v>4.9999999999999991</v>
      </c>
      <c r="BI467" s="42">
        <f t="shared" si="423"/>
        <v>7.96168217022191</v>
      </c>
      <c r="BJ467" s="38">
        <f t="shared" si="424"/>
        <v>3.9678275721358149</v>
      </c>
      <c r="BK467" s="38">
        <f t="shared" si="425"/>
        <v>1.0261902946985535</v>
      </c>
      <c r="BL467" s="16"/>
      <c r="BM467" s="16">
        <f t="shared" si="426"/>
        <v>3.5452847081577491E-3</v>
      </c>
      <c r="BN467" s="16">
        <f t="shared" si="427"/>
        <v>0.23438339766709834</v>
      </c>
      <c r="BO467" s="16">
        <f t="shared" si="428"/>
        <v>0.762071317624744</v>
      </c>
      <c r="BP467" s="15"/>
      <c r="BQ467" s="38">
        <f t="shared" si="429"/>
        <v>1.09254327563249</v>
      </c>
      <c r="BR467" s="38">
        <f t="shared" si="430"/>
        <v>0</v>
      </c>
      <c r="BS467" s="38">
        <f t="shared" si="431"/>
        <v>0.36602589250686546</v>
      </c>
      <c r="BT467" s="38">
        <f t="shared" si="432"/>
        <v>0</v>
      </c>
      <c r="BU467" s="38">
        <f t="shared" si="433"/>
        <v>2.1990257480862911E-3</v>
      </c>
      <c r="BV467" s="38">
        <f t="shared" si="434"/>
        <v>0</v>
      </c>
      <c r="BW467" s="38">
        <f t="shared" si="435"/>
        <v>0</v>
      </c>
      <c r="BX467" s="38">
        <f t="shared" si="436"/>
        <v>1.3373751783166904E-3</v>
      </c>
      <c r="BY467" s="38">
        <f t="shared" si="437"/>
        <v>8.8415617941271396E-2</v>
      </c>
      <c r="BZ467" s="38">
        <f t="shared" si="438"/>
        <v>0.28747346072186836</v>
      </c>
      <c r="CA467" s="38">
        <f t="shared" si="439"/>
        <v>0</v>
      </c>
      <c r="CB467" s="38">
        <f t="shared" si="440"/>
        <v>0</v>
      </c>
      <c r="CC467" s="38">
        <f t="shared" si="441"/>
        <v>0</v>
      </c>
      <c r="CD467" s="38">
        <f t="shared" si="442"/>
        <v>1.8379946477288984</v>
      </c>
      <c r="CE467" s="38">
        <f t="shared" si="443"/>
        <v>2.9256063302832516</v>
      </c>
      <c r="CF467" s="38">
        <f t="shared" si="444"/>
        <v>2.7203561262695759</v>
      </c>
      <c r="CG467" s="38">
        <f t="shared" si="445"/>
        <v>7.9586911036390955</v>
      </c>
      <c r="CH467" s="15"/>
      <c r="CI467" s="16"/>
      <c r="CJ467" s="13"/>
      <c r="CK467" s="104"/>
      <c r="CL467" s="13"/>
      <c r="CM467" s="13"/>
      <c r="CN467" s="13"/>
      <c r="CO467" s="16"/>
      <c r="CP467" s="16"/>
      <c r="CQ467" s="16"/>
      <c r="CR467" s="16"/>
      <c r="CS467" s="16"/>
      <c r="CT467" s="16"/>
      <c r="CU467" s="16"/>
      <c r="CV467" s="16"/>
      <c r="CW467" s="16"/>
      <c r="CX467" s="16"/>
      <c r="CY467" s="104"/>
      <c r="CZ467" s="104"/>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3"/>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row>
    <row r="468" spans="1:167" x14ac:dyDescent="0.25">
      <c r="A468" s="35" t="s">
        <v>91</v>
      </c>
      <c r="B468" s="15">
        <v>1522</v>
      </c>
      <c r="C468" s="102" t="s">
        <v>96</v>
      </c>
      <c r="D468" s="102" t="s">
        <v>104</v>
      </c>
      <c r="E468" s="15">
        <v>529</v>
      </c>
      <c r="F468" s="16">
        <v>65.38</v>
      </c>
      <c r="G468" s="16">
        <v>0</v>
      </c>
      <c r="H468" s="16">
        <v>18.59</v>
      </c>
      <c r="I468" s="16">
        <v>0</v>
      </c>
      <c r="J468" s="44">
        <v>0.26900000000000002</v>
      </c>
      <c r="K468" s="16">
        <v>0</v>
      </c>
      <c r="L468" s="16">
        <v>0</v>
      </c>
      <c r="M468" s="16">
        <v>0.13700000000000001</v>
      </c>
      <c r="N468" s="16">
        <v>2.84</v>
      </c>
      <c r="O468" s="16">
        <v>13.15</v>
      </c>
      <c r="P468" s="16">
        <v>0</v>
      </c>
      <c r="Q468" s="16"/>
      <c r="R468" s="16"/>
      <c r="S468" s="16">
        <f t="shared" si="391"/>
        <v>100.36600000000001</v>
      </c>
      <c r="T468" s="16"/>
      <c r="U468" s="15"/>
      <c r="V468" s="15"/>
      <c r="W468" s="15"/>
      <c r="X468" s="15" t="s">
        <v>187</v>
      </c>
      <c r="Y468" s="15"/>
      <c r="Z468" s="37">
        <v>8</v>
      </c>
      <c r="AA468" s="37">
        <v>5</v>
      </c>
      <c r="AB468" s="15"/>
      <c r="AC468" s="38">
        <f t="shared" si="392"/>
        <v>2.9865111331552945</v>
      </c>
      <c r="AD468" s="38">
        <f t="shared" si="393"/>
        <v>0</v>
      </c>
      <c r="AE468" s="38">
        <f t="shared" si="394"/>
        <v>1.0007571564538005</v>
      </c>
      <c r="AF468" s="38">
        <f t="shared" si="395"/>
        <v>0</v>
      </c>
      <c r="AG468" s="38">
        <f t="shared" si="396"/>
        <v>1.0274830195361705E-2</v>
      </c>
      <c r="AH468" s="38">
        <f t="shared" si="397"/>
        <v>0</v>
      </c>
      <c r="AI468" s="38">
        <f t="shared" si="398"/>
        <v>0</v>
      </c>
      <c r="AJ468" s="38">
        <f t="shared" si="399"/>
        <v>6.7044276423042217E-3</v>
      </c>
      <c r="AK468" s="38">
        <f t="shared" si="400"/>
        <v>0.25150458664377129</v>
      </c>
      <c r="AL468" s="38">
        <f t="shared" si="401"/>
        <v>0.76622089569831731</v>
      </c>
      <c r="AM468" s="38">
        <f t="shared" si="402"/>
        <v>0</v>
      </c>
      <c r="AN468" s="38">
        <f t="shared" si="403"/>
        <v>0</v>
      </c>
      <c r="AO468" s="38">
        <f t="shared" si="404"/>
        <v>0</v>
      </c>
      <c r="AP468" s="38">
        <f t="shared" si="405"/>
        <v>5.0219730297888496</v>
      </c>
      <c r="AQ468" s="38">
        <f t="shared" si="406"/>
        <v>3.9872682896090952</v>
      </c>
      <c r="AR468" s="38">
        <f t="shared" si="407"/>
        <v>1.0244299099843928</v>
      </c>
      <c r="AS468" s="40"/>
      <c r="AT468" s="38">
        <f t="shared" si="408"/>
        <v>2.9734440183571267</v>
      </c>
      <c r="AU468" s="38">
        <f t="shared" si="409"/>
        <v>0</v>
      </c>
      <c r="AV468" s="38">
        <f t="shared" si="410"/>
        <v>0.99637846571218802</v>
      </c>
      <c r="AW468" s="38">
        <f t="shared" si="411"/>
        <v>0</v>
      </c>
      <c r="AX468" s="38">
        <f t="shared" si="412"/>
        <v>0</v>
      </c>
      <c r="AY468" s="38">
        <f t="shared" si="413"/>
        <v>1.0229873930439759E-2</v>
      </c>
      <c r="AZ468" s="38">
        <f t="shared" si="414"/>
        <v>0</v>
      </c>
      <c r="BA468" s="38">
        <f t="shared" si="415"/>
        <v>0</v>
      </c>
      <c r="BB468" s="38">
        <f t="shared" si="416"/>
        <v>6.6750932377927482E-3</v>
      </c>
      <c r="BC468" s="38">
        <f t="shared" si="417"/>
        <v>0.25040415903462737</v>
      </c>
      <c r="BD468" s="38">
        <f t="shared" si="418"/>
        <v>0.762868389727825</v>
      </c>
      <c r="BE468" s="38">
        <f t="shared" si="419"/>
        <v>0</v>
      </c>
      <c r="BF468" s="38">
        <f t="shared" si="420"/>
        <v>0</v>
      </c>
      <c r="BG468" s="38">
        <f t="shared" si="421"/>
        <v>0</v>
      </c>
      <c r="BH468" s="41">
        <f t="shared" si="422"/>
        <v>5</v>
      </c>
      <c r="BI468" s="42">
        <f t="shared" si="423"/>
        <v>7.970111913797215</v>
      </c>
      <c r="BJ468" s="38">
        <f t="shared" si="424"/>
        <v>3.9698224840693146</v>
      </c>
      <c r="BK468" s="38">
        <f t="shared" si="425"/>
        <v>1.0199476420002451</v>
      </c>
      <c r="BL468" s="16"/>
      <c r="BM468" s="16">
        <f t="shared" si="426"/>
        <v>6.5445449971353962E-3</v>
      </c>
      <c r="BN468" s="16">
        <f t="shared" si="427"/>
        <v>0.24550687576820454</v>
      </c>
      <c r="BO468" s="16">
        <f t="shared" si="428"/>
        <v>0.74794857923466007</v>
      </c>
      <c r="BP468" s="15"/>
      <c r="BQ468" s="38">
        <f t="shared" si="429"/>
        <v>1.0882157123834886</v>
      </c>
      <c r="BR468" s="38">
        <f t="shared" si="430"/>
        <v>0</v>
      </c>
      <c r="BS468" s="38">
        <f t="shared" si="431"/>
        <v>0.3646528050215771</v>
      </c>
      <c r="BT468" s="38">
        <f t="shared" si="432"/>
        <v>0</v>
      </c>
      <c r="BU468" s="38">
        <f t="shared" si="433"/>
        <v>3.7439109255393184E-3</v>
      </c>
      <c r="BV468" s="38">
        <f t="shared" si="434"/>
        <v>0</v>
      </c>
      <c r="BW468" s="38">
        <f t="shared" si="435"/>
        <v>0</v>
      </c>
      <c r="BX468" s="38">
        <f t="shared" si="436"/>
        <v>2.4429386590584883E-3</v>
      </c>
      <c r="BY468" s="38">
        <f t="shared" si="437"/>
        <v>9.1642465311390767E-2</v>
      </c>
      <c r="BZ468" s="38">
        <f t="shared" si="438"/>
        <v>0.2791932059447983</v>
      </c>
      <c r="CA468" s="38">
        <f t="shared" si="439"/>
        <v>0</v>
      </c>
      <c r="CB468" s="38">
        <f t="shared" si="440"/>
        <v>0</v>
      </c>
      <c r="CC468" s="38">
        <f t="shared" si="441"/>
        <v>0</v>
      </c>
      <c r="CD468" s="38">
        <f t="shared" si="442"/>
        <v>1.8298910382458526</v>
      </c>
      <c r="CE468" s="38">
        <f t="shared" si="443"/>
        <v>2.9150153175120352</v>
      </c>
      <c r="CF468" s="38">
        <f t="shared" si="444"/>
        <v>2.732403129747571</v>
      </c>
      <c r="CG468" s="38">
        <f t="shared" si="445"/>
        <v>7.964996976831995</v>
      </c>
      <c r="CH468" s="15"/>
      <c r="CI468" s="16"/>
      <c r="CJ468" s="13"/>
      <c r="CK468" s="104"/>
      <c r="CL468" s="13"/>
      <c r="CM468" s="13"/>
      <c r="CN468" s="13"/>
      <c r="CO468" s="16"/>
      <c r="CP468" s="16"/>
      <c r="CQ468" s="16"/>
      <c r="CR468" s="16"/>
      <c r="CS468" s="16"/>
      <c r="CT468" s="16"/>
      <c r="CU468" s="16"/>
      <c r="CV468" s="16"/>
      <c r="CW468" s="16"/>
      <c r="CX468" s="16"/>
      <c r="CY468" s="104"/>
      <c r="CZ468" s="104"/>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3"/>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row>
    <row r="469" spans="1:167" x14ac:dyDescent="0.25">
      <c r="A469" s="35" t="s">
        <v>91</v>
      </c>
      <c r="B469" s="15">
        <v>1523</v>
      </c>
      <c r="C469" s="102" t="s">
        <v>96</v>
      </c>
      <c r="D469" s="102" t="s">
        <v>104</v>
      </c>
      <c r="E469" s="15">
        <v>530</v>
      </c>
      <c r="F469" s="16">
        <v>65.319999999999993</v>
      </c>
      <c r="G469" s="16">
        <v>0</v>
      </c>
      <c r="H469" s="16">
        <v>18.600000000000001</v>
      </c>
      <c r="I469" s="16">
        <v>0</v>
      </c>
      <c r="J469" s="44">
        <v>0.06</v>
      </c>
      <c r="K469" s="16">
        <v>0</v>
      </c>
      <c r="L469" s="16">
        <v>0</v>
      </c>
      <c r="M469" s="16">
        <v>1.7000000000000001E-2</v>
      </c>
      <c r="N469" s="16">
        <v>2.44</v>
      </c>
      <c r="O469" s="16">
        <v>13.88</v>
      </c>
      <c r="P469" s="16">
        <v>0</v>
      </c>
      <c r="Q469" s="16"/>
      <c r="R469" s="16"/>
      <c r="S469" s="16">
        <f t="shared" si="391"/>
        <v>100.31699999999998</v>
      </c>
      <c r="T469" s="16"/>
      <c r="U469" s="15"/>
      <c r="V469" s="15"/>
      <c r="W469" s="15"/>
      <c r="X469" s="15" t="s">
        <v>187</v>
      </c>
      <c r="Y469" s="15"/>
      <c r="Z469" s="37">
        <v>8</v>
      </c>
      <c r="AA469" s="37">
        <v>5</v>
      </c>
      <c r="AB469" s="15"/>
      <c r="AC469" s="38">
        <f t="shared" si="392"/>
        <v>2.9893655035952942</v>
      </c>
      <c r="AD469" s="38">
        <f t="shared" si="393"/>
        <v>0</v>
      </c>
      <c r="AE469" s="38">
        <f t="shared" si="394"/>
        <v>1.0031731035217692</v>
      </c>
      <c r="AF469" s="38">
        <f t="shared" si="395"/>
        <v>0</v>
      </c>
      <c r="AG469" s="38">
        <f t="shared" si="396"/>
        <v>2.2960812093986032E-3</v>
      </c>
      <c r="AH469" s="38">
        <f t="shared" si="397"/>
        <v>0</v>
      </c>
      <c r="AI469" s="38">
        <f t="shared" si="398"/>
        <v>0</v>
      </c>
      <c r="AJ469" s="38">
        <f t="shared" si="399"/>
        <v>8.3349631277339635E-4</v>
      </c>
      <c r="AK469" s="38">
        <f t="shared" si="400"/>
        <v>0.21648659844278084</v>
      </c>
      <c r="AL469" s="38">
        <f t="shared" si="401"/>
        <v>0.81027292156639064</v>
      </c>
      <c r="AM469" s="38">
        <f t="shared" si="402"/>
        <v>0</v>
      </c>
      <c r="AN469" s="38">
        <f t="shared" si="403"/>
        <v>0</v>
      </c>
      <c r="AO469" s="38">
        <f t="shared" si="404"/>
        <v>0</v>
      </c>
      <c r="AP469" s="38">
        <f t="shared" si="405"/>
        <v>5.0224277046484067</v>
      </c>
      <c r="AQ469" s="38">
        <f t="shared" si="406"/>
        <v>3.9925386071170634</v>
      </c>
      <c r="AR469" s="38">
        <f t="shared" si="407"/>
        <v>1.0275930163219449</v>
      </c>
      <c r="AS469" s="40"/>
      <c r="AT469" s="38">
        <f t="shared" si="408"/>
        <v>2.9760164599567531</v>
      </c>
      <c r="AU469" s="38">
        <f t="shared" si="409"/>
        <v>0</v>
      </c>
      <c r="AV469" s="38">
        <f t="shared" si="410"/>
        <v>0.99869342329537425</v>
      </c>
      <c r="AW469" s="38">
        <f t="shared" si="411"/>
        <v>0</v>
      </c>
      <c r="AX469" s="38">
        <f t="shared" si="412"/>
        <v>0</v>
      </c>
      <c r="AY469" s="38">
        <f t="shared" si="413"/>
        <v>2.2858280341930175E-3</v>
      </c>
      <c r="AZ469" s="38">
        <f t="shared" si="414"/>
        <v>0</v>
      </c>
      <c r="BA469" s="38">
        <f t="shared" si="415"/>
        <v>0</v>
      </c>
      <c r="BB469" s="38">
        <f t="shared" si="416"/>
        <v>8.2977432607140439E-4</v>
      </c>
      <c r="BC469" s="38">
        <f t="shared" si="417"/>
        <v>0.21551987522131583</v>
      </c>
      <c r="BD469" s="38">
        <f t="shared" si="418"/>
        <v>0.80665463916629299</v>
      </c>
      <c r="BE469" s="38">
        <f t="shared" si="419"/>
        <v>0</v>
      </c>
      <c r="BF469" s="38">
        <f t="shared" si="420"/>
        <v>0</v>
      </c>
      <c r="BG469" s="38">
        <f t="shared" si="421"/>
        <v>0</v>
      </c>
      <c r="BH469" s="41">
        <f t="shared" si="422"/>
        <v>5</v>
      </c>
      <c r="BI469" s="42">
        <f t="shared" si="423"/>
        <v>7.9654188284277332</v>
      </c>
      <c r="BJ469" s="38">
        <f t="shared" si="424"/>
        <v>3.9747098832521273</v>
      </c>
      <c r="BK469" s="38">
        <f t="shared" si="425"/>
        <v>1.0230042887136803</v>
      </c>
      <c r="BL469" s="16"/>
      <c r="BM469" s="16">
        <f t="shared" si="426"/>
        <v>8.1111519787933429E-4</v>
      </c>
      <c r="BN469" s="16">
        <f t="shared" si="427"/>
        <v>0.21067348162568242</v>
      </c>
      <c r="BO469" s="16">
        <f t="shared" si="428"/>
        <v>0.7885154031764382</v>
      </c>
      <c r="BP469" s="15"/>
      <c r="BQ469" s="38">
        <f t="shared" si="429"/>
        <v>1.0872170439414113</v>
      </c>
      <c r="BR469" s="38">
        <f t="shared" si="430"/>
        <v>0</v>
      </c>
      <c r="BS469" s="38">
        <f t="shared" si="431"/>
        <v>0.36484896037661835</v>
      </c>
      <c r="BT469" s="38">
        <f t="shared" si="432"/>
        <v>0</v>
      </c>
      <c r="BU469" s="38">
        <f t="shared" si="433"/>
        <v>8.3507306889352823E-4</v>
      </c>
      <c r="BV469" s="38">
        <f t="shared" si="434"/>
        <v>0</v>
      </c>
      <c r="BW469" s="38">
        <f t="shared" si="435"/>
        <v>0</v>
      </c>
      <c r="BX469" s="38">
        <f t="shared" si="436"/>
        <v>3.0313837375178321E-4</v>
      </c>
      <c r="BY469" s="38">
        <f t="shared" si="437"/>
        <v>7.8735075830913201E-2</v>
      </c>
      <c r="BZ469" s="38">
        <f t="shared" si="438"/>
        <v>0.29469214437367303</v>
      </c>
      <c r="CA469" s="38">
        <f t="shared" si="439"/>
        <v>0</v>
      </c>
      <c r="CB469" s="38">
        <f t="shared" si="440"/>
        <v>0</v>
      </c>
      <c r="CC469" s="38">
        <f t="shared" si="441"/>
        <v>0</v>
      </c>
      <c r="CD469" s="38">
        <f t="shared" si="442"/>
        <v>1.8266314359652609</v>
      </c>
      <c r="CE469" s="38">
        <f t="shared" si="443"/>
        <v>2.9095593499926884</v>
      </c>
      <c r="CF469" s="38">
        <f t="shared" si="444"/>
        <v>2.7372790709461383</v>
      </c>
      <c r="CG469" s="38">
        <f t="shared" si="445"/>
        <v>7.9642759144106359</v>
      </c>
      <c r="CH469" s="15"/>
      <c r="CI469" s="16"/>
      <c r="CJ469" s="13"/>
      <c r="CK469" s="104"/>
      <c r="CL469" s="13"/>
      <c r="CM469" s="13"/>
      <c r="CN469" s="13"/>
      <c r="CO469" s="16"/>
      <c r="CP469" s="16"/>
      <c r="CQ469" s="16"/>
      <c r="CR469" s="16"/>
      <c r="CS469" s="16"/>
      <c r="CT469" s="16"/>
      <c r="CU469" s="16"/>
      <c r="CV469" s="16"/>
      <c r="CW469" s="16"/>
      <c r="CX469" s="16"/>
      <c r="CY469" s="104"/>
      <c r="CZ469" s="104"/>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3"/>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row>
    <row r="470" spans="1:167" x14ac:dyDescent="0.25">
      <c r="A470" s="35" t="s">
        <v>91</v>
      </c>
      <c r="B470" s="15">
        <v>1524</v>
      </c>
      <c r="C470" s="102" t="s">
        <v>96</v>
      </c>
      <c r="D470" s="102" t="s">
        <v>104</v>
      </c>
      <c r="E470" s="15">
        <v>531</v>
      </c>
      <c r="F470" s="16">
        <v>55.66</v>
      </c>
      <c r="G470" s="16">
        <v>0</v>
      </c>
      <c r="H470" s="16">
        <v>27.69</v>
      </c>
      <c r="I470" s="16">
        <v>0</v>
      </c>
      <c r="J470" s="44">
        <v>0.66600000000000004</v>
      </c>
      <c r="K470" s="16">
        <v>0</v>
      </c>
      <c r="L470" s="16">
        <v>0</v>
      </c>
      <c r="M470" s="16">
        <v>9.99</v>
      </c>
      <c r="N470" s="16">
        <v>6.07</v>
      </c>
      <c r="O470" s="16">
        <v>0.30099999999999999</v>
      </c>
      <c r="P470" s="16">
        <v>0</v>
      </c>
      <c r="Q470" s="16"/>
      <c r="R470" s="16"/>
      <c r="S470" s="16">
        <f t="shared" si="391"/>
        <v>100.377</v>
      </c>
      <c r="T470" s="16"/>
      <c r="U470" s="15">
        <v>3</v>
      </c>
      <c r="V470" s="15">
        <v>1</v>
      </c>
      <c r="W470" s="15">
        <v>0</v>
      </c>
      <c r="X470" s="15" t="s">
        <v>185</v>
      </c>
      <c r="Y470" s="15"/>
      <c r="Z470" s="37">
        <v>8</v>
      </c>
      <c r="AA470" s="37">
        <v>5</v>
      </c>
      <c r="AB470" s="15"/>
      <c r="AC470" s="38">
        <f t="shared" si="392"/>
        <v>2.5071449880434207</v>
      </c>
      <c r="AD470" s="38">
        <f t="shared" si="393"/>
        <v>0</v>
      </c>
      <c r="AE470" s="38">
        <f t="shared" si="394"/>
        <v>1.4699050992613947</v>
      </c>
      <c r="AF470" s="38">
        <f t="shared" si="395"/>
        <v>0</v>
      </c>
      <c r="AG470" s="38">
        <f t="shared" si="396"/>
        <v>2.5084972462337332E-2</v>
      </c>
      <c r="AH470" s="38">
        <f t="shared" si="397"/>
        <v>0</v>
      </c>
      <c r="AI470" s="38">
        <f t="shared" si="398"/>
        <v>0</v>
      </c>
      <c r="AJ470" s="38">
        <f t="shared" si="399"/>
        <v>0.48208504050078566</v>
      </c>
      <c r="AK470" s="38">
        <f t="shared" si="400"/>
        <v>0.53007007479468571</v>
      </c>
      <c r="AL470" s="38">
        <f t="shared" si="401"/>
        <v>1.7294649321203368E-2</v>
      </c>
      <c r="AM470" s="38">
        <f t="shared" si="402"/>
        <v>0</v>
      </c>
      <c r="AN470" s="38">
        <f t="shared" si="403"/>
        <v>0</v>
      </c>
      <c r="AO470" s="38">
        <f t="shared" si="404"/>
        <v>0</v>
      </c>
      <c r="AP470" s="38">
        <f t="shared" si="405"/>
        <v>5.0315848243838266</v>
      </c>
      <c r="AQ470" s="38">
        <f t="shared" si="406"/>
        <v>3.9770500873048151</v>
      </c>
      <c r="AR470" s="38">
        <f t="shared" si="407"/>
        <v>1.0294497646166747</v>
      </c>
      <c r="AS470" s="40"/>
      <c r="AT470" s="38">
        <f t="shared" si="408"/>
        <v>2.4914068584250173</v>
      </c>
      <c r="AU470" s="38">
        <f t="shared" si="409"/>
        <v>0</v>
      </c>
      <c r="AV470" s="38">
        <f t="shared" si="410"/>
        <v>1.4606780473400851</v>
      </c>
      <c r="AW470" s="38">
        <f t="shared" si="411"/>
        <v>0</v>
      </c>
      <c r="AX470" s="38">
        <f t="shared" si="412"/>
        <v>0</v>
      </c>
      <c r="AY470" s="38">
        <f t="shared" si="413"/>
        <v>2.4927506280696819E-2</v>
      </c>
      <c r="AZ470" s="38">
        <f t="shared" si="414"/>
        <v>0</v>
      </c>
      <c r="BA470" s="38">
        <f t="shared" si="415"/>
        <v>0</v>
      </c>
      <c r="BB470" s="38">
        <f t="shared" si="416"/>
        <v>0.47905884261806342</v>
      </c>
      <c r="BC470" s="38">
        <f t="shared" si="417"/>
        <v>0.5267426599129218</v>
      </c>
      <c r="BD470" s="38">
        <f t="shared" si="418"/>
        <v>1.7186085423215824E-2</v>
      </c>
      <c r="BE470" s="38">
        <f t="shared" si="419"/>
        <v>0</v>
      </c>
      <c r="BF470" s="38">
        <f t="shared" si="420"/>
        <v>0</v>
      </c>
      <c r="BG470" s="38">
        <f t="shared" si="421"/>
        <v>0</v>
      </c>
      <c r="BH470" s="41">
        <f t="shared" si="422"/>
        <v>5</v>
      </c>
      <c r="BI470" s="42">
        <f t="shared" si="423"/>
        <v>7.9622452625673397</v>
      </c>
      <c r="BJ470" s="38">
        <f t="shared" si="424"/>
        <v>3.9520849057651022</v>
      </c>
      <c r="BK470" s="38">
        <f t="shared" si="425"/>
        <v>1.022987587954201</v>
      </c>
      <c r="BL470" s="16"/>
      <c r="BM470" s="16">
        <f t="shared" si="426"/>
        <v>0.46829389550668804</v>
      </c>
      <c r="BN470" s="16">
        <f t="shared" si="427"/>
        <v>0.51490620816457444</v>
      </c>
      <c r="BO470" s="16">
        <f t="shared" si="428"/>
        <v>1.6799896328737511E-2</v>
      </c>
      <c r="BP470" s="15"/>
      <c r="BQ470" s="38">
        <f t="shared" si="429"/>
        <v>0.92643142476697737</v>
      </c>
      <c r="BR470" s="38">
        <f t="shared" si="430"/>
        <v>0</v>
      </c>
      <c r="BS470" s="38">
        <f t="shared" si="431"/>
        <v>0.54315417810906241</v>
      </c>
      <c r="BT470" s="38">
        <f t="shared" si="432"/>
        <v>0</v>
      </c>
      <c r="BU470" s="38">
        <f t="shared" si="433"/>
        <v>9.2693110647181637E-3</v>
      </c>
      <c r="BV470" s="38">
        <f t="shared" si="434"/>
        <v>0</v>
      </c>
      <c r="BW470" s="38">
        <f t="shared" si="435"/>
        <v>0</v>
      </c>
      <c r="BX470" s="38">
        <f t="shared" si="436"/>
        <v>0.17813837375178318</v>
      </c>
      <c r="BY470" s="38">
        <f t="shared" si="437"/>
        <v>0.19586963536624719</v>
      </c>
      <c r="BZ470" s="38">
        <f t="shared" si="438"/>
        <v>6.3906581740976638E-3</v>
      </c>
      <c r="CA470" s="38">
        <f t="shared" si="439"/>
        <v>0</v>
      </c>
      <c r="CB470" s="38">
        <f t="shared" si="440"/>
        <v>0</v>
      </c>
      <c r="CC470" s="38">
        <f t="shared" si="441"/>
        <v>0</v>
      </c>
      <c r="CD470" s="38">
        <f t="shared" si="442"/>
        <v>1.8592535812328859</v>
      </c>
      <c r="CE470" s="38">
        <f t="shared" si="443"/>
        <v>2.9561319482842219</v>
      </c>
      <c r="CF470" s="38">
        <f t="shared" si="444"/>
        <v>2.6892512406427422</v>
      </c>
      <c r="CG470" s="38">
        <f t="shared" si="445"/>
        <v>7.9497815094269901</v>
      </c>
      <c r="CH470" s="15"/>
      <c r="CI470" s="16"/>
      <c r="CJ470" s="13"/>
      <c r="CK470" s="104"/>
      <c r="CL470" s="13"/>
      <c r="CM470" s="13"/>
      <c r="CN470" s="13"/>
      <c r="CO470" s="16"/>
      <c r="CP470" s="16"/>
      <c r="CQ470" s="16"/>
      <c r="CR470" s="16"/>
      <c r="CS470" s="16"/>
      <c r="CT470" s="16"/>
      <c r="CU470" s="16"/>
      <c r="CV470" s="16"/>
      <c r="CW470" s="16"/>
      <c r="CX470" s="16"/>
      <c r="CY470" s="104"/>
      <c r="CZ470" s="104"/>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3"/>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row>
    <row r="471" spans="1:167" x14ac:dyDescent="0.25">
      <c r="A471" s="35" t="s">
        <v>91</v>
      </c>
      <c r="B471" s="15">
        <v>1525</v>
      </c>
      <c r="C471" s="102" t="s">
        <v>96</v>
      </c>
      <c r="D471" s="102" t="s">
        <v>104</v>
      </c>
      <c r="E471" s="15">
        <v>532</v>
      </c>
      <c r="F471" s="16">
        <v>55.09</v>
      </c>
      <c r="G471" s="16">
        <v>0</v>
      </c>
      <c r="H471" s="16">
        <v>27.95</v>
      </c>
      <c r="I471" s="16">
        <v>0</v>
      </c>
      <c r="J471" s="44">
        <v>0.73299999999999998</v>
      </c>
      <c r="K471" s="16">
        <v>0</v>
      </c>
      <c r="L471" s="16">
        <v>0</v>
      </c>
      <c r="M471" s="16">
        <v>10.31</v>
      </c>
      <c r="N471" s="16">
        <v>6.01</v>
      </c>
      <c r="O471" s="16">
        <v>0.34399999999999997</v>
      </c>
      <c r="P471" s="16">
        <v>0</v>
      </c>
      <c r="Q471" s="16"/>
      <c r="R471" s="16"/>
      <c r="S471" s="16">
        <f t="shared" si="391"/>
        <v>100.43700000000001</v>
      </c>
      <c r="T471" s="16"/>
      <c r="U471" s="15">
        <v>3</v>
      </c>
      <c r="V471" s="15">
        <v>2</v>
      </c>
      <c r="W471" s="15">
        <v>10</v>
      </c>
      <c r="X471" s="15" t="s">
        <v>185</v>
      </c>
      <c r="Y471" s="15"/>
      <c r="Z471" s="37">
        <v>8</v>
      </c>
      <c r="AA471" s="37">
        <v>5</v>
      </c>
      <c r="AB471" s="15"/>
      <c r="AC471" s="38">
        <f t="shared" si="392"/>
        <v>2.4858406526527861</v>
      </c>
      <c r="AD471" s="38">
        <f t="shared" si="393"/>
        <v>0</v>
      </c>
      <c r="AE471" s="38">
        <f t="shared" si="394"/>
        <v>1.4863203321267482</v>
      </c>
      <c r="AF471" s="38">
        <f t="shared" si="395"/>
        <v>0</v>
      </c>
      <c r="AG471" s="38">
        <f t="shared" si="396"/>
        <v>2.7657163674483464E-2</v>
      </c>
      <c r="AH471" s="38">
        <f t="shared" si="397"/>
        <v>0</v>
      </c>
      <c r="AI471" s="38">
        <f t="shared" si="398"/>
        <v>0</v>
      </c>
      <c r="AJ471" s="38">
        <f t="shared" si="399"/>
        <v>0.49840351668781441</v>
      </c>
      <c r="AK471" s="38">
        <f t="shared" si="400"/>
        <v>0.52575490540978709</v>
      </c>
      <c r="AL471" s="38">
        <f t="shared" si="401"/>
        <v>1.9800126874230703E-2</v>
      </c>
      <c r="AM471" s="38">
        <f t="shared" si="402"/>
        <v>0</v>
      </c>
      <c r="AN471" s="38">
        <f t="shared" si="403"/>
        <v>0</v>
      </c>
      <c r="AO471" s="38">
        <f t="shared" si="404"/>
        <v>0</v>
      </c>
      <c r="AP471" s="38">
        <f t="shared" si="405"/>
        <v>5.0437766974258489</v>
      </c>
      <c r="AQ471" s="38">
        <f t="shared" si="406"/>
        <v>3.9721609847795341</v>
      </c>
      <c r="AR471" s="38">
        <f t="shared" si="407"/>
        <v>1.0439585489718322</v>
      </c>
      <c r="AS471" s="40"/>
      <c r="AT471" s="38">
        <f t="shared" si="408"/>
        <v>2.4642651744688298</v>
      </c>
      <c r="AU471" s="38">
        <f t="shared" si="409"/>
        <v>0</v>
      </c>
      <c r="AV471" s="38">
        <f t="shared" si="410"/>
        <v>1.4734200394768757</v>
      </c>
      <c r="AW471" s="38">
        <f t="shared" si="411"/>
        <v>0</v>
      </c>
      <c r="AX471" s="38">
        <f t="shared" si="412"/>
        <v>0</v>
      </c>
      <c r="AY471" s="38">
        <f t="shared" si="413"/>
        <v>2.7417117503039559E-2</v>
      </c>
      <c r="AZ471" s="38">
        <f t="shared" si="414"/>
        <v>0</v>
      </c>
      <c r="BA471" s="38">
        <f t="shared" si="415"/>
        <v>0</v>
      </c>
      <c r="BB471" s="38">
        <f t="shared" si="416"/>
        <v>0.49407769870361273</v>
      </c>
      <c r="BC471" s="38">
        <f t="shared" si="417"/>
        <v>0.52119169518162078</v>
      </c>
      <c r="BD471" s="38">
        <f t="shared" si="418"/>
        <v>1.9628274666021524E-2</v>
      </c>
      <c r="BE471" s="38">
        <f t="shared" si="419"/>
        <v>0</v>
      </c>
      <c r="BF471" s="38">
        <f t="shared" si="420"/>
        <v>0</v>
      </c>
      <c r="BG471" s="38">
        <f t="shared" si="421"/>
        <v>0</v>
      </c>
      <c r="BH471" s="41">
        <f t="shared" si="422"/>
        <v>5</v>
      </c>
      <c r="BI471" s="42">
        <f t="shared" si="423"/>
        <v>7.9442737680349671</v>
      </c>
      <c r="BJ471" s="38">
        <f t="shared" si="424"/>
        <v>3.9376852139457057</v>
      </c>
      <c r="BK471" s="38">
        <f t="shared" si="425"/>
        <v>1.034897668551255</v>
      </c>
      <c r="BL471" s="16"/>
      <c r="BM471" s="16">
        <f t="shared" si="426"/>
        <v>0.47741695987707478</v>
      </c>
      <c r="BN471" s="16">
        <f t="shared" si="427"/>
        <v>0.50361664831193687</v>
      </c>
      <c r="BO471" s="16">
        <f t="shared" si="428"/>
        <v>1.8966391810988411E-2</v>
      </c>
      <c r="BP471" s="15"/>
      <c r="BQ471" s="38">
        <f t="shared" si="429"/>
        <v>0.91694407456724381</v>
      </c>
      <c r="BR471" s="38">
        <f t="shared" si="430"/>
        <v>0</v>
      </c>
      <c r="BS471" s="38">
        <f t="shared" si="431"/>
        <v>0.54825421734013335</v>
      </c>
      <c r="BT471" s="38">
        <f t="shared" si="432"/>
        <v>0</v>
      </c>
      <c r="BU471" s="38">
        <f t="shared" si="433"/>
        <v>1.0201809324982603E-2</v>
      </c>
      <c r="BV471" s="38">
        <f t="shared" si="434"/>
        <v>0</v>
      </c>
      <c r="BW471" s="38">
        <f t="shared" si="435"/>
        <v>0</v>
      </c>
      <c r="BX471" s="38">
        <f t="shared" si="436"/>
        <v>0.1838445078459344</v>
      </c>
      <c r="BY471" s="38">
        <f t="shared" si="437"/>
        <v>0.19393352694417554</v>
      </c>
      <c r="BZ471" s="38">
        <f t="shared" si="438"/>
        <v>7.3036093418259018E-3</v>
      </c>
      <c r="CA471" s="38">
        <f t="shared" si="439"/>
        <v>0</v>
      </c>
      <c r="CB471" s="38">
        <f t="shared" si="440"/>
        <v>0</v>
      </c>
      <c r="CC471" s="38">
        <f t="shared" si="441"/>
        <v>0</v>
      </c>
      <c r="CD471" s="38">
        <f t="shared" si="442"/>
        <v>1.8604817453642957</v>
      </c>
      <c r="CE471" s="38">
        <f t="shared" si="443"/>
        <v>2.9509343604586049</v>
      </c>
      <c r="CF471" s="38">
        <f t="shared" si="444"/>
        <v>2.6874759789814355</v>
      </c>
      <c r="CG471" s="38">
        <f t="shared" si="445"/>
        <v>7.9305652092834453</v>
      </c>
      <c r="CH471" s="15"/>
      <c r="CI471" s="16"/>
      <c r="CJ471" s="13"/>
      <c r="CK471" s="104"/>
      <c r="CL471" s="13"/>
      <c r="CM471" s="13"/>
      <c r="CN471" s="13"/>
      <c r="CO471" s="16"/>
      <c r="CP471" s="16"/>
      <c r="CQ471" s="16"/>
      <c r="CR471" s="16"/>
      <c r="CS471" s="16"/>
      <c r="CT471" s="16"/>
      <c r="CU471" s="16"/>
      <c r="CV471" s="16"/>
      <c r="CW471" s="16"/>
      <c r="CX471" s="16"/>
      <c r="CY471" s="104"/>
      <c r="CZ471" s="104"/>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3"/>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row>
    <row r="472" spans="1:167" x14ac:dyDescent="0.25">
      <c r="A472" s="35" t="s">
        <v>91</v>
      </c>
      <c r="B472" s="15">
        <v>1526</v>
      </c>
      <c r="C472" s="102" t="s">
        <v>96</v>
      </c>
      <c r="D472" s="102" t="s">
        <v>104</v>
      </c>
      <c r="E472" s="15">
        <v>533</v>
      </c>
      <c r="F472" s="16">
        <v>56.57</v>
      </c>
      <c r="G472" s="16">
        <v>0</v>
      </c>
      <c r="H472" s="16">
        <v>27.06</v>
      </c>
      <c r="I472" s="16">
        <v>0</v>
      </c>
      <c r="J472" s="44">
        <v>0.65400000000000003</v>
      </c>
      <c r="K472" s="16">
        <v>0</v>
      </c>
      <c r="L472" s="16">
        <v>0</v>
      </c>
      <c r="M472" s="16">
        <v>9.15</v>
      </c>
      <c r="N472" s="16">
        <v>6.61</v>
      </c>
      <c r="O472" s="16">
        <v>0.38500000000000001</v>
      </c>
      <c r="P472" s="16">
        <v>0</v>
      </c>
      <c r="Q472" s="16"/>
      <c r="R472" s="16"/>
      <c r="S472" s="16">
        <f t="shared" si="391"/>
        <v>100.429</v>
      </c>
      <c r="T472" s="16"/>
      <c r="U472" s="15">
        <v>3</v>
      </c>
      <c r="V472" s="15">
        <v>3</v>
      </c>
      <c r="W472" s="15">
        <v>20</v>
      </c>
      <c r="X472" s="15" t="s">
        <v>185</v>
      </c>
      <c r="Y472" s="15"/>
      <c r="Z472" s="37">
        <v>8</v>
      </c>
      <c r="AA472" s="37">
        <v>5</v>
      </c>
      <c r="AB472" s="15"/>
      <c r="AC472" s="38">
        <f t="shared" si="392"/>
        <v>2.5427891044158026</v>
      </c>
      <c r="AD472" s="38">
        <f t="shared" si="393"/>
        <v>0</v>
      </c>
      <c r="AE472" s="38">
        <f t="shared" si="394"/>
        <v>1.4334483472646524</v>
      </c>
      <c r="AF472" s="38">
        <f t="shared" si="395"/>
        <v>0</v>
      </c>
      <c r="AG472" s="38">
        <f t="shared" si="396"/>
        <v>2.4581312215943747E-2</v>
      </c>
      <c r="AH472" s="38">
        <f t="shared" si="397"/>
        <v>0</v>
      </c>
      <c r="AI472" s="38">
        <f t="shared" si="398"/>
        <v>0</v>
      </c>
      <c r="AJ472" s="38">
        <f t="shared" si="399"/>
        <v>0.44062301334614151</v>
      </c>
      <c r="AK472" s="38">
        <f t="shared" si="400"/>
        <v>0.57601523519719988</v>
      </c>
      <c r="AL472" s="38">
        <f t="shared" si="401"/>
        <v>2.207465422146548E-2</v>
      </c>
      <c r="AM472" s="38">
        <f t="shared" si="402"/>
        <v>0</v>
      </c>
      <c r="AN472" s="38">
        <f t="shared" si="403"/>
        <v>0</v>
      </c>
      <c r="AO472" s="38">
        <f t="shared" si="404"/>
        <v>0</v>
      </c>
      <c r="AP472" s="38">
        <f t="shared" si="405"/>
        <v>5.0395316666612056</v>
      </c>
      <c r="AQ472" s="38">
        <f t="shared" si="406"/>
        <v>3.9762374516804551</v>
      </c>
      <c r="AR472" s="38">
        <f t="shared" si="407"/>
        <v>1.0387129027648068</v>
      </c>
      <c r="AS472" s="40"/>
      <c r="AT472" s="38">
        <f t="shared" si="408"/>
        <v>2.5228426693273001</v>
      </c>
      <c r="AU472" s="38">
        <f t="shared" si="409"/>
        <v>0</v>
      </c>
      <c r="AV472" s="38">
        <f t="shared" si="410"/>
        <v>1.4222039289360611</v>
      </c>
      <c r="AW472" s="38">
        <f t="shared" si="411"/>
        <v>0</v>
      </c>
      <c r="AX472" s="38">
        <f t="shared" si="412"/>
        <v>0</v>
      </c>
      <c r="AY472" s="38">
        <f t="shared" si="413"/>
        <v>2.4388488694852647E-2</v>
      </c>
      <c r="AZ472" s="38">
        <f t="shared" si="414"/>
        <v>0</v>
      </c>
      <c r="BA472" s="38">
        <f t="shared" si="415"/>
        <v>0</v>
      </c>
      <c r="BB472" s="38">
        <f t="shared" si="416"/>
        <v>0.43716662826137515</v>
      </c>
      <c r="BC472" s="38">
        <f t="shared" si="417"/>
        <v>0.57149679106870455</v>
      </c>
      <c r="BD472" s="38">
        <f t="shared" si="418"/>
        <v>2.1901493711706747E-2</v>
      </c>
      <c r="BE472" s="38">
        <f t="shared" si="419"/>
        <v>0</v>
      </c>
      <c r="BF472" s="38">
        <f t="shared" si="420"/>
        <v>0</v>
      </c>
      <c r="BG472" s="38">
        <f t="shared" si="421"/>
        <v>0</v>
      </c>
      <c r="BH472" s="41">
        <f t="shared" si="422"/>
        <v>5</v>
      </c>
      <c r="BI472" s="42">
        <f t="shared" si="423"/>
        <v>7.9494397357525513</v>
      </c>
      <c r="BJ472" s="38">
        <f t="shared" si="424"/>
        <v>3.9450465982633611</v>
      </c>
      <c r="BK472" s="38">
        <f t="shared" si="425"/>
        <v>1.0305649130417864</v>
      </c>
      <c r="BL472" s="16"/>
      <c r="BM472" s="16">
        <f t="shared" si="426"/>
        <v>0.42420096272348962</v>
      </c>
      <c r="BN472" s="16">
        <f t="shared" si="427"/>
        <v>0.5545471069666934</v>
      </c>
      <c r="BO472" s="16">
        <f t="shared" si="428"/>
        <v>2.125193030981708E-2</v>
      </c>
      <c r="BP472" s="15"/>
      <c r="BQ472" s="38">
        <f t="shared" si="429"/>
        <v>0.94157789613848208</v>
      </c>
      <c r="BR472" s="38">
        <f t="shared" si="430"/>
        <v>0</v>
      </c>
      <c r="BS472" s="38">
        <f t="shared" si="431"/>
        <v>0.53079639074146723</v>
      </c>
      <c r="BT472" s="38">
        <f t="shared" si="432"/>
        <v>0</v>
      </c>
      <c r="BU472" s="38">
        <f t="shared" si="433"/>
        <v>9.1022964509394587E-3</v>
      </c>
      <c r="BV472" s="38">
        <f t="shared" si="434"/>
        <v>0</v>
      </c>
      <c r="BW472" s="38">
        <f t="shared" si="435"/>
        <v>0</v>
      </c>
      <c r="BX472" s="38">
        <f t="shared" si="436"/>
        <v>0.16315977175463625</v>
      </c>
      <c r="BY472" s="38">
        <f t="shared" si="437"/>
        <v>0.21329461116489193</v>
      </c>
      <c r="BZ472" s="38">
        <f t="shared" si="438"/>
        <v>8.1740976645435243E-3</v>
      </c>
      <c r="CA472" s="38">
        <f t="shared" si="439"/>
        <v>0</v>
      </c>
      <c r="CB472" s="38">
        <f t="shared" si="440"/>
        <v>0</v>
      </c>
      <c r="CC472" s="38">
        <f t="shared" si="441"/>
        <v>0</v>
      </c>
      <c r="CD472" s="38">
        <f t="shared" si="442"/>
        <v>1.8661050639149606</v>
      </c>
      <c r="CE472" s="38">
        <f t="shared" si="443"/>
        <v>2.962346801009458</v>
      </c>
      <c r="CF472" s="38">
        <f t="shared" si="444"/>
        <v>2.6793775423932149</v>
      </c>
      <c r="CG472" s="38">
        <f t="shared" si="445"/>
        <v>7.9372454914051236</v>
      </c>
      <c r="CH472" s="15"/>
      <c r="CI472" s="16"/>
      <c r="CJ472" s="13"/>
      <c r="CK472" s="104"/>
      <c r="CL472" s="13"/>
      <c r="CM472" s="13"/>
      <c r="CN472" s="13"/>
      <c r="CO472" s="16"/>
      <c r="CP472" s="16"/>
      <c r="CQ472" s="16"/>
      <c r="CR472" s="16"/>
      <c r="CS472" s="16"/>
      <c r="CT472" s="16"/>
      <c r="CU472" s="16"/>
      <c r="CV472" s="16"/>
      <c r="CW472" s="16"/>
      <c r="CX472" s="16"/>
      <c r="CY472" s="104"/>
      <c r="CZ472" s="104"/>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3"/>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row>
    <row r="473" spans="1:167" x14ac:dyDescent="0.25">
      <c r="A473" s="35" t="s">
        <v>91</v>
      </c>
      <c r="B473" s="15">
        <v>1527</v>
      </c>
      <c r="C473" s="102" t="s">
        <v>96</v>
      </c>
      <c r="D473" s="102" t="s">
        <v>104</v>
      </c>
      <c r="E473" s="15">
        <v>534</v>
      </c>
      <c r="F473" s="16">
        <v>63.82</v>
      </c>
      <c r="G473" s="16">
        <v>0</v>
      </c>
      <c r="H473" s="16">
        <v>22.07</v>
      </c>
      <c r="I473" s="16">
        <v>0</v>
      </c>
      <c r="J473" s="44">
        <v>0.30599999999999999</v>
      </c>
      <c r="K473" s="16">
        <v>0</v>
      </c>
      <c r="L473" s="16">
        <v>0</v>
      </c>
      <c r="M473" s="16">
        <v>3.23</v>
      </c>
      <c r="N473" s="16">
        <v>9.84</v>
      </c>
      <c r="O473" s="16">
        <v>1.111</v>
      </c>
      <c r="P473" s="16">
        <v>0</v>
      </c>
      <c r="Q473" s="16"/>
      <c r="R473" s="16"/>
      <c r="S473" s="16">
        <f t="shared" si="391"/>
        <v>100.37700000000001</v>
      </c>
      <c r="T473" s="16"/>
      <c r="U473" s="15">
        <v>3</v>
      </c>
      <c r="V473" s="15">
        <v>4</v>
      </c>
      <c r="W473" s="15">
        <v>30</v>
      </c>
      <c r="X473" s="15" t="s">
        <v>186</v>
      </c>
      <c r="Y473" s="15"/>
      <c r="Z473" s="37">
        <v>8</v>
      </c>
      <c r="AA473" s="37">
        <v>5</v>
      </c>
      <c r="AB473" s="15"/>
      <c r="AC473" s="38">
        <f t="shared" si="392"/>
        <v>2.826747329607461</v>
      </c>
      <c r="AD473" s="38">
        <f t="shared" si="393"/>
        <v>0</v>
      </c>
      <c r="AE473" s="38">
        <f t="shared" si="394"/>
        <v>1.1520268912183489</v>
      </c>
      <c r="AF473" s="38">
        <f t="shared" si="395"/>
        <v>0</v>
      </c>
      <c r="AG473" s="38">
        <f t="shared" si="396"/>
        <v>1.1333257822206937E-2</v>
      </c>
      <c r="AH473" s="38">
        <f t="shared" si="397"/>
        <v>0</v>
      </c>
      <c r="AI473" s="38">
        <f t="shared" si="398"/>
        <v>0</v>
      </c>
      <c r="AJ473" s="38">
        <f t="shared" si="399"/>
        <v>0.15326910877304048</v>
      </c>
      <c r="AK473" s="38">
        <f t="shared" si="400"/>
        <v>0.84495511026449532</v>
      </c>
      <c r="AL473" s="38">
        <f t="shared" si="401"/>
        <v>6.2770164460118669E-2</v>
      </c>
      <c r="AM473" s="38">
        <f t="shared" si="402"/>
        <v>0</v>
      </c>
      <c r="AN473" s="38">
        <f t="shared" si="403"/>
        <v>0</v>
      </c>
      <c r="AO473" s="38">
        <f t="shared" si="404"/>
        <v>0</v>
      </c>
      <c r="AP473" s="38">
        <f t="shared" si="405"/>
        <v>5.0511018621456705</v>
      </c>
      <c r="AQ473" s="38">
        <f t="shared" si="406"/>
        <v>3.9787742208258097</v>
      </c>
      <c r="AR473" s="38">
        <f t="shared" si="407"/>
        <v>1.0609943834976545</v>
      </c>
      <c r="AS473" s="40"/>
      <c r="AT473" s="38">
        <f t="shared" si="408"/>
        <v>2.798149202644153</v>
      </c>
      <c r="AU473" s="38">
        <f t="shared" si="409"/>
        <v>0</v>
      </c>
      <c r="AV473" s="38">
        <f t="shared" si="410"/>
        <v>1.1403718660397162</v>
      </c>
      <c r="AW473" s="38">
        <f t="shared" si="411"/>
        <v>0</v>
      </c>
      <c r="AX473" s="38">
        <f t="shared" si="412"/>
        <v>0</v>
      </c>
      <c r="AY473" s="38">
        <f t="shared" si="413"/>
        <v>1.1218599556605112E-2</v>
      </c>
      <c r="AZ473" s="38">
        <f t="shared" si="414"/>
        <v>0</v>
      </c>
      <c r="BA473" s="38">
        <f t="shared" si="415"/>
        <v>0</v>
      </c>
      <c r="BB473" s="38">
        <f t="shared" si="416"/>
        <v>0.15171848930792783</v>
      </c>
      <c r="BC473" s="38">
        <f t="shared" si="417"/>
        <v>0.83640672206278233</v>
      </c>
      <c r="BD473" s="38">
        <f t="shared" si="418"/>
        <v>6.2135120388815884E-2</v>
      </c>
      <c r="BE473" s="38">
        <f t="shared" si="419"/>
        <v>0</v>
      </c>
      <c r="BF473" s="38">
        <f t="shared" si="420"/>
        <v>0</v>
      </c>
      <c r="BG473" s="38">
        <f t="shared" si="421"/>
        <v>0</v>
      </c>
      <c r="BH473" s="41">
        <f t="shared" si="422"/>
        <v>5</v>
      </c>
      <c r="BI473" s="42">
        <f t="shared" si="423"/>
        <v>7.9246735142165159</v>
      </c>
      <c r="BJ473" s="38">
        <f t="shared" si="424"/>
        <v>3.938521068683869</v>
      </c>
      <c r="BK473" s="38">
        <f t="shared" si="425"/>
        <v>1.050260331759526</v>
      </c>
      <c r="BL473" s="16"/>
      <c r="BM473" s="16">
        <f t="shared" si="426"/>
        <v>0.14445798314952088</v>
      </c>
      <c r="BN473" s="16">
        <f t="shared" si="427"/>
        <v>0.79638037995925282</v>
      </c>
      <c r="BO473" s="16">
        <f t="shared" si="428"/>
        <v>5.9161636891226228E-2</v>
      </c>
      <c r="BP473" s="15"/>
      <c r="BQ473" s="38">
        <f t="shared" si="429"/>
        <v>1.0622503328894808</v>
      </c>
      <c r="BR473" s="38">
        <f t="shared" si="430"/>
        <v>0</v>
      </c>
      <c r="BS473" s="38">
        <f t="shared" si="431"/>
        <v>0.43291486857591216</v>
      </c>
      <c r="BT473" s="38">
        <f t="shared" si="432"/>
        <v>0</v>
      </c>
      <c r="BU473" s="38">
        <f t="shared" si="433"/>
        <v>4.2588726513569939E-3</v>
      </c>
      <c r="BV473" s="38">
        <f t="shared" si="434"/>
        <v>0</v>
      </c>
      <c r="BW473" s="38">
        <f t="shared" si="435"/>
        <v>0</v>
      </c>
      <c r="BX473" s="38">
        <f t="shared" si="436"/>
        <v>5.75962910128388E-2</v>
      </c>
      <c r="BY473" s="38">
        <f t="shared" si="437"/>
        <v>0.31752178121974833</v>
      </c>
      <c r="BZ473" s="38">
        <f t="shared" si="438"/>
        <v>2.3588110403397027E-2</v>
      </c>
      <c r="CA473" s="38">
        <f t="shared" si="439"/>
        <v>0</v>
      </c>
      <c r="CB473" s="38">
        <f t="shared" si="440"/>
        <v>0</v>
      </c>
      <c r="CC473" s="38">
        <f t="shared" si="441"/>
        <v>0</v>
      </c>
      <c r="CD473" s="38">
        <f t="shared" si="442"/>
        <v>1.8981302567527341</v>
      </c>
      <c r="CE473" s="38">
        <f t="shared" si="443"/>
        <v>3.0062830781185985</v>
      </c>
      <c r="CF473" s="38">
        <f t="shared" si="444"/>
        <v>2.6341711703989454</v>
      </c>
      <c r="CG473" s="38">
        <f t="shared" si="445"/>
        <v>7.9190642144382126</v>
      </c>
      <c r="CH473" s="15"/>
      <c r="CI473" s="16"/>
      <c r="CJ473" s="13"/>
      <c r="CK473" s="104"/>
      <c r="CL473" s="13"/>
      <c r="CM473" s="13"/>
      <c r="CN473" s="13"/>
      <c r="CO473" s="16"/>
      <c r="CP473" s="16"/>
      <c r="CQ473" s="16"/>
      <c r="CR473" s="16"/>
      <c r="CS473" s="16"/>
      <c r="CT473" s="16"/>
      <c r="CU473" s="16"/>
      <c r="CV473" s="16"/>
      <c r="CW473" s="16"/>
      <c r="CX473" s="16"/>
      <c r="CY473" s="104"/>
      <c r="CZ473" s="104"/>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3"/>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row>
    <row r="474" spans="1:167" x14ac:dyDescent="0.25">
      <c r="A474" s="35" t="s">
        <v>91</v>
      </c>
      <c r="B474" s="15">
        <v>1528</v>
      </c>
      <c r="C474" s="102" t="s">
        <v>96</v>
      </c>
      <c r="D474" s="102" t="s">
        <v>104</v>
      </c>
      <c r="E474" s="15">
        <v>535</v>
      </c>
      <c r="F474" s="16">
        <v>65.55</v>
      </c>
      <c r="G474" s="16">
        <v>0</v>
      </c>
      <c r="H474" s="16">
        <v>20.86</v>
      </c>
      <c r="I474" s="16">
        <v>0</v>
      </c>
      <c r="J474" s="44">
        <v>0.38100000000000001</v>
      </c>
      <c r="K474" s="16">
        <v>0</v>
      </c>
      <c r="L474" s="16">
        <v>0</v>
      </c>
      <c r="M474" s="16">
        <v>1.85</v>
      </c>
      <c r="N474" s="16">
        <v>9.92</v>
      </c>
      <c r="O474" s="16">
        <v>2</v>
      </c>
      <c r="P474" s="16">
        <v>0</v>
      </c>
      <c r="Q474" s="16"/>
      <c r="R474" s="16"/>
      <c r="S474" s="16">
        <f t="shared" si="391"/>
        <v>100.56099999999999</v>
      </c>
      <c r="T474" s="16"/>
      <c r="U474" s="15">
        <v>3</v>
      </c>
      <c r="V474" s="15">
        <v>5</v>
      </c>
      <c r="W474" s="15">
        <v>40</v>
      </c>
      <c r="X474" s="15" t="s">
        <v>186</v>
      </c>
      <c r="Y474" s="15"/>
      <c r="Z474" s="37">
        <v>8</v>
      </c>
      <c r="AA474" s="37">
        <v>5</v>
      </c>
      <c r="AB474" s="15"/>
      <c r="AC474" s="38">
        <f t="shared" si="392"/>
        <v>2.8945615366986006</v>
      </c>
      <c r="AD474" s="38">
        <f t="shared" si="393"/>
        <v>0</v>
      </c>
      <c r="AE474" s="38">
        <f t="shared" si="394"/>
        <v>1.0855616383040121</v>
      </c>
      <c r="AF474" s="38">
        <f t="shared" si="395"/>
        <v>0</v>
      </c>
      <c r="AG474" s="38">
        <f t="shared" si="396"/>
        <v>1.4068189770422549E-2</v>
      </c>
      <c r="AH474" s="38">
        <f t="shared" si="397"/>
        <v>0</v>
      </c>
      <c r="AI474" s="38">
        <f t="shared" si="398"/>
        <v>0</v>
      </c>
      <c r="AJ474" s="38">
        <f t="shared" si="399"/>
        <v>8.7519280422371462E-2</v>
      </c>
      <c r="AK474" s="38">
        <f t="shared" si="400"/>
        <v>0.84923935290684838</v>
      </c>
      <c r="AL474" s="38">
        <f t="shared" si="401"/>
        <v>0.11265464500112678</v>
      </c>
      <c r="AM474" s="38">
        <f t="shared" si="402"/>
        <v>0</v>
      </c>
      <c r="AN474" s="38">
        <f t="shared" si="403"/>
        <v>0</v>
      </c>
      <c r="AO474" s="38">
        <f t="shared" si="404"/>
        <v>0</v>
      </c>
      <c r="AP474" s="38">
        <f t="shared" si="405"/>
        <v>5.0436046431033823</v>
      </c>
      <c r="AQ474" s="38">
        <f t="shared" si="406"/>
        <v>3.9801231750026127</v>
      </c>
      <c r="AR474" s="38">
        <f t="shared" si="407"/>
        <v>1.0494132783303467</v>
      </c>
      <c r="AS474" s="40"/>
      <c r="AT474" s="38">
        <f t="shared" si="408"/>
        <v>2.8695365135891651</v>
      </c>
      <c r="AU474" s="38">
        <f t="shared" si="409"/>
        <v>0</v>
      </c>
      <c r="AV474" s="38">
        <f t="shared" si="410"/>
        <v>1.0761763809028999</v>
      </c>
      <c r="AW474" s="38">
        <f t="shared" si="411"/>
        <v>0</v>
      </c>
      <c r="AX474" s="38">
        <f t="shared" si="412"/>
        <v>0</v>
      </c>
      <c r="AY474" s="38">
        <f t="shared" si="413"/>
        <v>1.3946562791811381E-2</v>
      </c>
      <c r="AZ474" s="38">
        <f t="shared" si="414"/>
        <v>0</v>
      </c>
      <c r="BA474" s="38">
        <f t="shared" si="415"/>
        <v>0</v>
      </c>
      <c r="BB474" s="38">
        <f t="shared" si="416"/>
        <v>8.6762629721626974E-2</v>
      </c>
      <c r="BC474" s="38">
        <f t="shared" si="417"/>
        <v>0.84189722728177863</v>
      </c>
      <c r="BD474" s="38">
        <f t="shared" si="418"/>
        <v>0.11168068571271797</v>
      </c>
      <c r="BE474" s="38">
        <f t="shared" si="419"/>
        <v>0</v>
      </c>
      <c r="BF474" s="38">
        <f t="shared" si="420"/>
        <v>0</v>
      </c>
      <c r="BG474" s="38">
        <f t="shared" si="421"/>
        <v>0</v>
      </c>
      <c r="BH474" s="41">
        <f t="shared" si="422"/>
        <v>5</v>
      </c>
      <c r="BI474" s="42">
        <f t="shared" si="423"/>
        <v>7.9378090289392729</v>
      </c>
      <c r="BJ474" s="38">
        <f t="shared" si="424"/>
        <v>3.9457128944920647</v>
      </c>
      <c r="BK474" s="38">
        <f t="shared" si="425"/>
        <v>1.0403405427161236</v>
      </c>
      <c r="BL474" s="16"/>
      <c r="BM474" s="16">
        <f t="shared" si="426"/>
        <v>8.3398297152879275E-2</v>
      </c>
      <c r="BN474" s="16">
        <f t="shared" si="427"/>
        <v>0.80925157937587555</v>
      </c>
      <c r="BO474" s="16">
        <f t="shared" si="428"/>
        <v>0.10735012347124506</v>
      </c>
      <c r="BP474" s="15"/>
      <c r="BQ474" s="38">
        <f t="shared" si="429"/>
        <v>1.0910452729693743</v>
      </c>
      <c r="BR474" s="38">
        <f t="shared" si="430"/>
        <v>0</v>
      </c>
      <c r="BS474" s="38">
        <f t="shared" si="431"/>
        <v>0.40918007061592782</v>
      </c>
      <c r="BT474" s="38">
        <f t="shared" si="432"/>
        <v>0</v>
      </c>
      <c r="BU474" s="38">
        <f t="shared" si="433"/>
        <v>5.3027139874739044E-3</v>
      </c>
      <c r="BV474" s="38">
        <f t="shared" si="434"/>
        <v>0</v>
      </c>
      <c r="BW474" s="38">
        <f t="shared" si="435"/>
        <v>0</v>
      </c>
      <c r="BX474" s="38">
        <f t="shared" si="436"/>
        <v>3.2988587731811701E-2</v>
      </c>
      <c r="BY474" s="38">
        <f t="shared" si="437"/>
        <v>0.32010325911584381</v>
      </c>
      <c r="BZ474" s="38">
        <f t="shared" si="438"/>
        <v>4.2462845010615709E-2</v>
      </c>
      <c r="CA474" s="38">
        <f t="shared" si="439"/>
        <v>0</v>
      </c>
      <c r="CB474" s="38">
        <f t="shared" si="440"/>
        <v>0</v>
      </c>
      <c r="CC474" s="38">
        <f t="shared" si="441"/>
        <v>0</v>
      </c>
      <c r="CD474" s="38">
        <f t="shared" si="442"/>
        <v>1.9010827494310472</v>
      </c>
      <c r="CE474" s="38">
        <f t="shared" si="443"/>
        <v>3.0154350056451555</v>
      </c>
      <c r="CF474" s="38">
        <f t="shared" si="444"/>
        <v>2.6300801485345082</v>
      </c>
      <c r="CG474" s="38">
        <f t="shared" si="445"/>
        <v>7.930835747543366</v>
      </c>
      <c r="CH474" s="15"/>
      <c r="CI474" s="16"/>
      <c r="CJ474" s="13"/>
      <c r="CK474" s="104"/>
      <c r="CL474" s="13"/>
      <c r="CM474" s="13"/>
      <c r="CN474" s="13"/>
      <c r="CO474" s="16"/>
      <c r="CP474" s="16"/>
      <c r="CQ474" s="16"/>
      <c r="CR474" s="16"/>
      <c r="CS474" s="16"/>
      <c r="CT474" s="16"/>
      <c r="CU474" s="16"/>
      <c r="CV474" s="16"/>
      <c r="CW474" s="16"/>
      <c r="CX474" s="16"/>
      <c r="CY474" s="104"/>
      <c r="CZ474" s="104"/>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3"/>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row>
    <row r="475" spans="1:167" x14ac:dyDescent="0.25">
      <c r="A475" s="35" t="s">
        <v>91</v>
      </c>
      <c r="B475" s="15">
        <v>1531</v>
      </c>
      <c r="C475" s="102" t="s">
        <v>96</v>
      </c>
      <c r="D475" s="102" t="s">
        <v>104</v>
      </c>
      <c r="E475" s="15">
        <v>538</v>
      </c>
      <c r="F475" s="16">
        <v>53.8</v>
      </c>
      <c r="G475" s="16">
        <v>0</v>
      </c>
      <c r="H475" s="16">
        <v>27.15</v>
      </c>
      <c r="I475" s="16">
        <v>0</v>
      </c>
      <c r="J475" s="16">
        <v>0.93899999999999995</v>
      </c>
      <c r="K475" s="16">
        <v>0</v>
      </c>
      <c r="L475" s="16">
        <v>0</v>
      </c>
      <c r="M475" s="16">
        <v>10.41</v>
      </c>
      <c r="N475" s="16">
        <v>5.81</v>
      </c>
      <c r="O475" s="16">
        <v>0.32800000000000001</v>
      </c>
      <c r="P475" s="16">
        <v>0</v>
      </c>
      <c r="Q475" s="16"/>
      <c r="R475" s="16"/>
      <c r="S475" s="16">
        <f t="shared" si="391"/>
        <v>98.436999999999983</v>
      </c>
      <c r="T475" s="16"/>
      <c r="U475" s="15"/>
      <c r="V475" s="15"/>
      <c r="W475" s="15"/>
      <c r="X475" s="15" t="s">
        <v>252</v>
      </c>
      <c r="Y475" s="15" t="s">
        <v>260</v>
      </c>
      <c r="Z475" s="37">
        <v>8</v>
      </c>
      <c r="AA475" s="37">
        <v>5</v>
      </c>
      <c r="AB475" s="15"/>
      <c r="AC475" s="38">
        <f t="shared" si="392"/>
        <v>2.4825052571950916</v>
      </c>
      <c r="AD475" s="38">
        <f t="shared" si="393"/>
        <v>0</v>
      </c>
      <c r="AE475" s="38">
        <f t="shared" si="394"/>
        <v>1.4764128892988986</v>
      </c>
      <c r="AF475" s="38">
        <f t="shared" si="395"/>
        <v>0</v>
      </c>
      <c r="AG475" s="38">
        <f t="shared" si="396"/>
        <v>3.6230693329321453E-2</v>
      </c>
      <c r="AH475" s="38">
        <f t="shared" si="397"/>
        <v>0</v>
      </c>
      <c r="AI475" s="38">
        <f t="shared" si="398"/>
        <v>0</v>
      </c>
      <c r="AJ475" s="38">
        <f t="shared" si="399"/>
        <v>0.5146127591300288</v>
      </c>
      <c r="AK475" s="38">
        <f t="shared" si="400"/>
        <v>0.51974746686588735</v>
      </c>
      <c r="AL475" s="38">
        <f t="shared" si="401"/>
        <v>1.9305931538350026E-2</v>
      </c>
      <c r="AM475" s="38">
        <f t="shared" si="402"/>
        <v>0</v>
      </c>
      <c r="AN475" s="38">
        <f t="shared" si="403"/>
        <v>0</v>
      </c>
      <c r="AO475" s="38">
        <f t="shared" si="404"/>
        <v>0</v>
      </c>
      <c r="AP475" s="38">
        <f t="shared" si="405"/>
        <v>5.0488149973575771</v>
      </c>
      <c r="AQ475" s="38">
        <f t="shared" si="406"/>
        <v>3.95891814649399</v>
      </c>
      <c r="AR475" s="38">
        <f t="shared" si="407"/>
        <v>1.0536661575342661</v>
      </c>
      <c r="AS475" s="40"/>
      <c r="AT475" s="38">
        <f t="shared" si="408"/>
        <v>2.4585028947330927</v>
      </c>
      <c r="AU475" s="38">
        <f t="shared" si="409"/>
        <v>0</v>
      </c>
      <c r="AV475" s="38">
        <f t="shared" si="410"/>
        <v>1.4621380364220273</v>
      </c>
      <c r="AW475" s="38">
        <f t="shared" si="411"/>
        <v>0</v>
      </c>
      <c r="AX475" s="38">
        <f t="shared" si="412"/>
        <v>0</v>
      </c>
      <c r="AY475" s="38">
        <f t="shared" si="413"/>
        <v>3.5880393070734103E-2</v>
      </c>
      <c r="AZ475" s="38">
        <f t="shared" si="414"/>
        <v>0</v>
      </c>
      <c r="BA475" s="38">
        <f t="shared" si="415"/>
        <v>0</v>
      </c>
      <c r="BB475" s="38">
        <f t="shared" si="416"/>
        <v>0.50963717169213374</v>
      </c>
      <c r="BC475" s="38">
        <f t="shared" si="417"/>
        <v>0.51472223396768357</v>
      </c>
      <c r="BD475" s="38">
        <f t="shared" si="418"/>
        <v>1.9119270114328075E-2</v>
      </c>
      <c r="BE475" s="38">
        <f t="shared" si="419"/>
        <v>0</v>
      </c>
      <c r="BF475" s="38">
        <f t="shared" si="420"/>
        <v>0</v>
      </c>
      <c r="BG475" s="38">
        <f t="shared" si="421"/>
        <v>0</v>
      </c>
      <c r="BH475" s="41">
        <f t="shared" si="422"/>
        <v>4.9999999999999991</v>
      </c>
      <c r="BI475" s="42">
        <f t="shared" si="423"/>
        <v>7.9405913574384677</v>
      </c>
      <c r="BJ475" s="38">
        <f t="shared" si="424"/>
        <v>3.9206409311551198</v>
      </c>
      <c r="BK475" s="38">
        <f t="shared" si="425"/>
        <v>1.0434786757741454</v>
      </c>
      <c r="BL475" s="16"/>
      <c r="BM475" s="16">
        <f t="shared" si="426"/>
        <v>0.48840209534137302</v>
      </c>
      <c r="BN475" s="16">
        <f t="shared" si="427"/>
        <v>0.49327527808444843</v>
      </c>
      <c r="BO475" s="16">
        <f t="shared" si="428"/>
        <v>1.8322626574178626E-2</v>
      </c>
      <c r="BP475" s="15"/>
      <c r="BQ475" s="38">
        <f t="shared" si="429"/>
        <v>0.8954727030625832</v>
      </c>
      <c r="BR475" s="38">
        <f t="shared" si="430"/>
        <v>0</v>
      </c>
      <c r="BS475" s="38">
        <f t="shared" si="431"/>
        <v>0.53256178893683803</v>
      </c>
      <c r="BT475" s="38">
        <f t="shared" si="432"/>
        <v>0</v>
      </c>
      <c r="BU475" s="38">
        <f t="shared" si="433"/>
        <v>1.3068893528183717E-2</v>
      </c>
      <c r="BV475" s="38">
        <f t="shared" si="434"/>
        <v>0</v>
      </c>
      <c r="BW475" s="38">
        <f t="shared" si="435"/>
        <v>0</v>
      </c>
      <c r="BX475" s="38">
        <f t="shared" si="436"/>
        <v>0.18562767475035663</v>
      </c>
      <c r="BY475" s="38">
        <f t="shared" si="437"/>
        <v>0.18747983220393674</v>
      </c>
      <c r="BZ475" s="38">
        <f t="shared" si="438"/>
        <v>6.9639065817409763E-3</v>
      </c>
      <c r="CA475" s="38">
        <f t="shared" si="439"/>
        <v>0</v>
      </c>
      <c r="CB475" s="38">
        <f t="shared" si="440"/>
        <v>0</v>
      </c>
      <c r="CC475" s="38">
        <f t="shared" si="441"/>
        <v>0</v>
      </c>
      <c r="CD475" s="38">
        <f t="shared" si="442"/>
        <v>1.8211747990636395</v>
      </c>
      <c r="CE475" s="38">
        <f t="shared" si="443"/>
        <v>2.8857065272018025</v>
      </c>
      <c r="CF475" s="38">
        <f t="shared" si="444"/>
        <v>2.7454805560513793</v>
      </c>
      <c r="CG475" s="38">
        <f t="shared" si="445"/>
        <v>7.9226511609030998</v>
      </c>
      <c r="CH475" s="15"/>
      <c r="CI475" s="16"/>
      <c r="CJ475" s="13"/>
      <c r="CK475" s="104"/>
      <c r="CL475" s="13"/>
      <c r="CM475" s="13"/>
      <c r="CN475" s="13"/>
      <c r="CO475" s="16"/>
      <c r="CP475" s="16"/>
      <c r="CQ475" s="16"/>
      <c r="CR475" s="16"/>
      <c r="CS475" s="16"/>
      <c r="CT475" s="16"/>
      <c r="CU475" s="16"/>
      <c r="CV475" s="16"/>
      <c r="CW475" s="16"/>
      <c r="CX475" s="16"/>
      <c r="CY475" s="104"/>
      <c r="CZ475" s="104"/>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3"/>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row>
    <row r="476" spans="1:167" x14ac:dyDescent="0.25">
      <c r="A476" s="35" t="s">
        <v>91</v>
      </c>
      <c r="B476" s="15">
        <v>1532</v>
      </c>
      <c r="C476" s="102" t="s">
        <v>96</v>
      </c>
      <c r="D476" s="102" t="s">
        <v>104</v>
      </c>
      <c r="E476" s="15">
        <v>539</v>
      </c>
      <c r="F476" s="16">
        <v>53.37</v>
      </c>
      <c r="G476" s="16">
        <v>0</v>
      </c>
      <c r="H476" s="16">
        <v>28.47</v>
      </c>
      <c r="I476" s="16">
        <v>0</v>
      </c>
      <c r="J476" s="16">
        <v>0.95399999999999996</v>
      </c>
      <c r="K476" s="16">
        <v>0</v>
      </c>
      <c r="L476" s="16">
        <v>0</v>
      </c>
      <c r="M476" s="16">
        <v>11.43</v>
      </c>
      <c r="N476" s="16">
        <v>5.09</v>
      </c>
      <c r="O476" s="16">
        <v>0.17100000000000001</v>
      </c>
      <c r="P476" s="16">
        <v>0</v>
      </c>
      <c r="Q476" s="16"/>
      <c r="R476" s="16"/>
      <c r="S476" s="16">
        <f t="shared" si="391"/>
        <v>99.484999999999999</v>
      </c>
      <c r="T476" s="16"/>
      <c r="U476" s="15"/>
      <c r="V476" s="15"/>
      <c r="W476" s="15"/>
      <c r="X476" s="15" t="s">
        <v>252</v>
      </c>
      <c r="Y476" s="15" t="s">
        <v>260</v>
      </c>
      <c r="Z476" s="37">
        <v>8</v>
      </c>
      <c r="AA476" s="37">
        <v>5</v>
      </c>
      <c r="AB476" s="15"/>
      <c r="AC476" s="38">
        <f t="shared" si="392"/>
        <v>2.4376274978165831</v>
      </c>
      <c r="AD476" s="38">
        <f t="shared" si="393"/>
        <v>0</v>
      </c>
      <c r="AE476" s="38">
        <f t="shared" si="394"/>
        <v>1.5324548837755869</v>
      </c>
      <c r="AF476" s="38">
        <f t="shared" si="395"/>
        <v>0</v>
      </c>
      <c r="AG476" s="38">
        <f t="shared" si="396"/>
        <v>3.6435242447658202E-2</v>
      </c>
      <c r="AH476" s="38">
        <f t="shared" si="397"/>
        <v>0</v>
      </c>
      <c r="AI476" s="38">
        <f t="shared" si="398"/>
        <v>0</v>
      </c>
      <c r="AJ476" s="38">
        <f t="shared" si="399"/>
        <v>0.55929158744374396</v>
      </c>
      <c r="AK476" s="38">
        <f t="shared" si="400"/>
        <v>0.4507090386433234</v>
      </c>
      <c r="AL476" s="38">
        <f t="shared" si="401"/>
        <v>9.9626589807756682E-3</v>
      </c>
      <c r="AM476" s="38">
        <f t="shared" si="402"/>
        <v>0</v>
      </c>
      <c r="AN476" s="38">
        <f t="shared" si="403"/>
        <v>0</v>
      </c>
      <c r="AO476" s="38">
        <f t="shared" si="404"/>
        <v>0</v>
      </c>
      <c r="AP476" s="38">
        <f t="shared" si="405"/>
        <v>5.0264809091076712</v>
      </c>
      <c r="AQ476" s="38">
        <f t="shared" si="406"/>
        <v>3.97008238159217</v>
      </c>
      <c r="AR476" s="38">
        <f t="shared" si="407"/>
        <v>1.0199632850678431</v>
      </c>
      <c r="AS476" s="40"/>
      <c r="AT476" s="38">
        <f t="shared" si="408"/>
        <v>2.4247853934944366</v>
      </c>
      <c r="AU476" s="38">
        <f t="shared" si="409"/>
        <v>0</v>
      </c>
      <c r="AV476" s="38">
        <f t="shared" si="410"/>
        <v>1.5243814822800521</v>
      </c>
      <c r="AW476" s="38">
        <f t="shared" si="411"/>
        <v>0</v>
      </c>
      <c r="AX476" s="38">
        <f t="shared" si="412"/>
        <v>0</v>
      </c>
      <c r="AY476" s="38">
        <f t="shared" si="413"/>
        <v>3.6243291386663594E-2</v>
      </c>
      <c r="AZ476" s="38">
        <f t="shared" si="414"/>
        <v>0</v>
      </c>
      <c r="BA476" s="38">
        <f t="shared" si="415"/>
        <v>0</v>
      </c>
      <c r="BB476" s="38">
        <f t="shared" si="416"/>
        <v>0.55634508273008898</v>
      </c>
      <c r="BC476" s="38">
        <f t="shared" si="417"/>
        <v>0.44833457720556213</v>
      </c>
      <c r="BD476" s="38">
        <f t="shared" si="418"/>
        <v>9.9101729031974926E-3</v>
      </c>
      <c r="BE476" s="38">
        <f t="shared" si="419"/>
        <v>0</v>
      </c>
      <c r="BF476" s="38">
        <f t="shared" si="420"/>
        <v>0</v>
      </c>
      <c r="BG476" s="38">
        <f t="shared" si="421"/>
        <v>0</v>
      </c>
      <c r="BH476" s="41">
        <f t="shared" si="422"/>
        <v>5.0000000000000009</v>
      </c>
      <c r="BI476" s="42">
        <f t="shared" si="423"/>
        <v>7.9759754052734149</v>
      </c>
      <c r="BJ476" s="38">
        <f t="shared" si="424"/>
        <v>3.9491668757744884</v>
      </c>
      <c r="BK476" s="38">
        <f t="shared" si="425"/>
        <v>1.0145898328388485</v>
      </c>
      <c r="BL476" s="16"/>
      <c r="BM476" s="16">
        <f t="shared" si="426"/>
        <v>0.54834482341836699</v>
      </c>
      <c r="BN476" s="16">
        <f t="shared" si="427"/>
        <v>0.44188751226799738</v>
      </c>
      <c r="BO476" s="16">
        <f t="shared" si="428"/>
        <v>9.7676643136355643E-3</v>
      </c>
      <c r="BP476" s="15"/>
      <c r="BQ476" s="38">
        <f t="shared" si="429"/>
        <v>0.88831557922769644</v>
      </c>
      <c r="BR476" s="38">
        <f t="shared" si="430"/>
        <v>0</v>
      </c>
      <c r="BS476" s="38">
        <f t="shared" si="431"/>
        <v>0.55845429580227546</v>
      </c>
      <c r="BT476" s="38">
        <f t="shared" si="432"/>
        <v>0</v>
      </c>
      <c r="BU476" s="38">
        <f t="shared" si="433"/>
        <v>1.3277661795407099E-2</v>
      </c>
      <c r="BV476" s="38">
        <f t="shared" si="434"/>
        <v>0</v>
      </c>
      <c r="BW476" s="38">
        <f t="shared" si="435"/>
        <v>0</v>
      </c>
      <c r="BX476" s="38">
        <f t="shared" si="436"/>
        <v>0.20381597717546363</v>
      </c>
      <c r="BY476" s="38">
        <f t="shared" si="437"/>
        <v>0.16424653113907711</v>
      </c>
      <c r="BZ476" s="38">
        <f t="shared" si="438"/>
        <v>3.6305732484076436E-3</v>
      </c>
      <c r="CA476" s="38">
        <f t="shared" si="439"/>
        <v>0</v>
      </c>
      <c r="CB476" s="38">
        <f t="shared" si="440"/>
        <v>0</v>
      </c>
      <c r="CC476" s="38">
        <f t="shared" si="441"/>
        <v>0</v>
      </c>
      <c r="CD476" s="38">
        <f t="shared" si="442"/>
        <v>1.8317406183883271</v>
      </c>
      <c r="CE476" s="38">
        <f t="shared" si="443"/>
        <v>2.9153447933234196</v>
      </c>
      <c r="CF476" s="38">
        <f t="shared" si="444"/>
        <v>2.7296441154421163</v>
      </c>
      <c r="CG476" s="38">
        <f t="shared" si="445"/>
        <v>7.9578537595800851</v>
      </c>
      <c r="CH476" s="15"/>
      <c r="CI476" s="16"/>
      <c r="CJ476" s="13"/>
      <c r="CK476" s="104"/>
      <c r="CL476" s="13"/>
      <c r="CM476" s="13"/>
      <c r="CN476" s="13"/>
      <c r="CO476" s="16"/>
      <c r="CP476" s="16"/>
      <c r="CQ476" s="16"/>
      <c r="CR476" s="16"/>
      <c r="CS476" s="16"/>
      <c r="CT476" s="16"/>
      <c r="CU476" s="16"/>
      <c r="CV476" s="16"/>
      <c r="CW476" s="16"/>
      <c r="CX476" s="16"/>
      <c r="CY476" s="104"/>
      <c r="CZ476" s="104"/>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3"/>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row>
  </sheetData>
  <conditionalFormatting sqref="F1:R476">
    <cfRule type="colorScale" priority="2064">
      <colorScale>
        <cfvo type="min"/>
        <cfvo type="max"/>
        <color rgb="FFFCFCFF"/>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K285"/>
  <sheetViews>
    <sheetView zoomScaleNormal="100" workbookViewId="0">
      <pane ySplit="1" topLeftCell="A2" activePane="bottomLeft" state="frozen"/>
      <selection pane="bottomLeft"/>
    </sheetView>
  </sheetViews>
  <sheetFormatPr defaultColWidth="9" defaultRowHeight="15" x14ac:dyDescent="0.25"/>
  <cols>
    <col min="1" max="1" width="14.7109375" style="35" customWidth="1"/>
    <col min="2" max="2" width="9.140625" style="15" customWidth="1"/>
    <col min="3" max="3" width="9.140625" style="102" customWidth="1"/>
    <col min="4" max="4" width="14.5703125" style="103" customWidth="1"/>
    <col min="5" max="5" width="7.28515625" style="15" customWidth="1"/>
    <col min="6" max="6" width="11" style="15" customWidth="1"/>
    <col min="7" max="8" width="7.5703125" style="16" customWidth="1"/>
    <col min="9" max="10" width="9" style="16"/>
    <col min="11" max="11" width="6.7109375" style="16" customWidth="1"/>
    <col min="12" max="12" width="8.28515625" style="16" customWidth="1"/>
    <col min="13" max="13" width="7.5703125" style="16" customWidth="1"/>
    <col min="14" max="14" width="7.28515625" style="16" customWidth="1"/>
    <col min="15" max="15" width="8.28515625" style="16" customWidth="1"/>
    <col min="16" max="16" width="6.5703125" style="16" customWidth="1"/>
    <col min="17" max="17" width="8.28515625" style="16" customWidth="1"/>
    <col min="18" max="18" width="7.140625" style="16" customWidth="1"/>
    <col min="19" max="19" width="6.140625" style="16" customWidth="1"/>
    <col min="20" max="20" width="7.28515625" style="15" customWidth="1"/>
    <col min="21" max="21" width="3.28515625" style="15" customWidth="1"/>
    <col min="22" max="24" width="10.28515625" style="15" customWidth="1"/>
    <col min="25" max="25" width="7.140625" style="15" customWidth="1"/>
    <col min="26" max="29" width="9" style="15"/>
    <col min="30" max="30" width="5.7109375" style="15" customWidth="1"/>
    <col min="31" max="31" width="6.140625" style="15" customWidth="1"/>
    <col min="32" max="32" width="9" style="15"/>
    <col min="33" max="45" width="7.5703125" style="38" customWidth="1"/>
    <col min="46" max="48" width="9" style="38"/>
    <col min="49" max="49" width="9" style="15"/>
    <col min="50" max="63" width="7.5703125" style="38" customWidth="1"/>
    <col min="64" max="64" width="9" style="41"/>
    <col min="65" max="65" width="9" style="42"/>
    <col min="66" max="67" width="9" style="38"/>
    <col min="68" max="68" width="0" style="15" hidden="1" customWidth="1"/>
    <col min="69" max="81" width="6.85546875" style="15" hidden="1" customWidth="1"/>
    <col min="82" max="85" width="0" style="15" hidden="1" customWidth="1"/>
    <col min="86" max="86" width="9" style="15"/>
    <col min="87" max="87" width="9.140625" style="16" bestFit="1" customWidth="1"/>
    <col min="88" max="88" width="9.140625" style="13" bestFit="1" customWidth="1"/>
    <col min="89" max="92" width="9.42578125" style="13" bestFit="1" customWidth="1"/>
    <col min="93" max="93" width="9.140625" style="16" bestFit="1" customWidth="1"/>
    <col min="94" max="94" width="9.140625" style="13" bestFit="1" customWidth="1"/>
    <col min="95" max="96" width="9.140625" style="16" bestFit="1" customWidth="1"/>
    <col min="97" max="97" width="9.140625" style="13" bestFit="1" customWidth="1"/>
    <col min="98" max="129" width="9.140625" style="16" bestFit="1" customWidth="1"/>
    <col min="130" max="130" width="9" style="16"/>
    <col min="131" max="131" width="9.140625" style="16" bestFit="1" customWidth="1"/>
    <col min="132" max="132" width="9" style="16"/>
    <col min="133" max="133" width="9.140625" style="16" bestFit="1" customWidth="1"/>
    <col min="134" max="141" width="9" style="16"/>
    <col min="142" max="142" width="9.140625" style="16" bestFit="1" customWidth="1"/>
    <col min="143" max="143" width="12.28515625" style="16" bestFit="1" customWidth="1"/>
    <col min="144" max="145" width="9.140625" style="16" bestFit="1" customWidth="1"/>
    <col min="146" max="147" width="9" style="16"/>
    <col min="148" max="163" width="9.140625" style="16" bestFit="1" customWidth="1"/>
    <col min="164" max="167" width="9" style="16"/>
    <col min="168" max="16384" width="9" style="15"/>
  </cols>
  <sheetData>
    <row r="1" spans="1:167" x14ac:dyDescent="0.25">
      <c r="A1" s="35" t="s">
        <v>81</v>
      </c>
      <c r="B1" s="15" t="s">
        <v>114</v>
      </c>
      <c r="C1" s="102" t="s">
        <v>94</v>
      </c>
      <c r="D1" s="103" t="s">
        <v>102</v>
      </c>
      <c r="E1" s="45" t="s">
        <v>115</v>
      </c>
      <c r="F1" s="15" t="s">
        <v>116</v>
      </c>
      <c r="G1" s="16" t="s">
        <v>117</v>
      </c>
      <c r="H1" s="16" t="s">
        <v>118</v>
      </c>
      <c r="I1" s="16" t="s">
        <v>119</v>
      </c>
      <c r="J1" s="16" t="s">
        <v>120</v>
      </c>
      <c r="K1" s="16" t="s">
        <v>21</v>
      </c>
      <c r="L1" s="16" t="s">
        <v>22</v>
      </c>
      <c r="M1" s="16" t="s">
        <v>23</v>
      </c>
      <c r="N1" s="16" t="s">
        <v>24</v>
      </c>
      <c r="O1" s="16" t="s">
        <v>121</v>
      </c>
      <c r="P1" s="16" t="s">
        <v>122</v>
      </c>
      <c r="Q1" s="16" t="s">
        <v>123</v>
      </c>
      <c r="R1" s="16" t="s">
        <v>124</v>
      </c>
      <c r="S1" s="16" t="s">
        <v>29</v>
      </c>
      <c r="T1" s="15" t="s">
        <v>31</v>
      </c>
      <c r="V1" s="15" t="s">
        <v>125</v>
      </c>
      <c r="W1" s="15" t="s">
        <v>126</v>
      </c>
      <c r="X1" s="15" t="s">
        <v>127</v>
      </c>
      <c r="Y1" s="15" t="s">
        <v>128</v>
      </c>
      <c r="Z1" s="15" t="s">
        <v>129</v>
      </c>
      <c r="AA1" s="15" t="s">
        <v>130</v>
      </c>
      <c r="AB1" s="15" t="s">
        <v>131</v>
      </c>
      <c r="AC1" s="15" t="s">
        <v>132</v>
      </c>
      <c r="AD1" s="15" t="s">
        <v>133</v>
      </c>
      <c r="AE1" s="15" t="s">
        <v>134</v>
      </c>
      <c r="AF1" s="36" t="s">
        <v>135</v>
      </c>
      <c r="AG1" s="38" t="s">
        <v>136</v>
      </c>
      <c r="AH1" s="38" t="s">
        <v>137</v>
      </c>
      <c r="AI1" s="38" t="s">
        <v>138</v>
      </c>
      <c r="AJ1" s="38" t="s">
        <v>139</v>
      </c>
      <c r="AK1" s="38" t="s">
        <v>140</v>
      </c>
      <c r="AL1" s="38" t="s">
        <v>141</v>
      </c>
      <c r="AM1" s="38" t="s">
        <v>142</v>
      </c>
      <c r="AN1" s="38" t="s">
        <v>143</v>
      </c>
      <c r="AO1" s="38" t="s">
        <v>144</v>
      </c>
      <c r="AP1" s="38" t="s">
        <v>145</v>
      </c>
      <c r="AQ1" s="38" t="s">
        <v>146</v>
      </c>
      <c r="AR1" s="38" t="s">
        <v>30</v>
      </c>
      <c r="AS1" s="38" t="s">
        <v>29</v>
      </c>
      <c r="AT1" s="39" t="s">
        <v>147</v>
      </c>
      <c r="AU1" s="38" t="s">
        <v>189</v>
      </c>
      <c r="AV1" s="38" t="s">
        <v>190</v>
      </c>
      <c r="AW1" s="36" t="s">
        <v>148</v>
      </c>
      <c r="AX1" s="38" t="s">
        <v>136</v>
      </c>
      <c r="AY1" s="38" t="s">
        <v>137</v>
      </c>
      <c r="AZ1" s="38" t="s">
        <v>138</v>
      </c>
      <c r="BA1" s="38" t="s">
        <v>139</v>
      </c>
      <c r="BB1" s="38" t="s">
        <v>149</v>
      </c>
      <c r="BC1" s="38" t="s">
        <v>150</v>
      </c>
      <c r="BD1" s="38" t="s">
        <v>141</v>
      </c>
      <c r="BE1" s="38" t="s">
        <v>142</v>
      </c>
      <c r="BF1" s="38" t="s">
        <v>143</v>
      </c>
      <c r="BG1" s="38" t="s">
        <v>144</v>
      </c>
      <c r="BH1" s="38" t="s">
        <v>145</v>
      </c>
      <c r="BI1" s="38" t="s">
        <v>146</v>
      </c>
      <c r="BJ1" s="38" t="s">
        <v>30</v>
      </c>
      <c r="BK1" s="38" t="s">
        <v>29</v>
      </c>
      <c r="BL1" s="41" t="s">
        <v>147</v>
      </c>
      <c r="BM1" s="42" t="s">
        <v>151</v>
      </c>
      <c r="BN1" s="38" t="s">
        <v>189</v>
      </c>
      <c r="BO1" s="38" t="s">
        <v>190</v>
      </c>
      <c r="BP1" s="36" t="s">
        <v>153</v>
      </c>
      <c r="BQ1" s="15" t="s">
        <v>136</v>
      </c>
      <c r="BR1" s="15" t="s">
        <v>137</v>
      </c>
      <c r="BS1" s="15" t="s">
        <v>138</v>
      </c>
      <c r="BT1" s="15" t="s">
        <v>139</v>
      </c>
      <c r="BU1" s="15" t="s">
        <v>140</v>
      </c>
      <c r="BV1" s="15" t="s">
        <v>141</v>
      </c>
      <c r="BW1" s="15" t="s">
        <v>142</v>
      </c>
      <c r="BX1" s="15" t="s">
        <v>143</v>
      </c>
      <c r="BY1" s="15" t="s">
        <v>144</v>
      </c>
      <c r="BZ1" s="15" t="s">
        <v>145</v>
      </c>
      <c r="CA1" s="15" t="s">
        <v>146</v>
      </c>
      <c r="CB1" s="15" t="s">
        <v>30</v>
      </c>
      <c r="CC1" s="15" t="s">
        <v>29</v>
      </c>
      <c r="CD1" s="15" t="s">
        <v>147</v>
      </c>
      <c r="CE1" s="15" t="s">
        <v>151</v>
      </c>
      <c r="CF1" s="15" t="s">
        <v>154</v>
      </c>
      <c r="CG1" s="15" t="s">
        <v>155</v>
      </c>
      <c r="CH1" s="36" t="s">
        <v>156</v>
      </c>
      <c r="CI1" s="16" t="s">
        <v>157</v>
      </c>
      <c r="CJ1" s="13" t="s">
        <v>144</v>
      </c>
      <c r="CK1" s="13" t="s">
        <v>142</v>
      </c>
      <c r="CL1" s="13" t="s">
        <v>138</v>
      </c>
      <c r="CM1" s="13" t="s">
        <v>136</v>
      </c>
      <c r="CN1" s="13" t="s">
        <v>143</v>
      </c>
      <c r="CO1" s="16" t="s">
        <v>108</v>
      </c>
      <c r="CP1" s="13" t="s">
        <v>137</v>
      </c>
      <c r="CQ1" s="16" t="s">
        <v>158</v>
      </c>
      <c r="CR1" s="16" t="s">
        <v>139</v>
      </c>
      <c r="CS1" s="13" t="s">
        <v>141</v>
      </c>
      <c r="CT1" s="16" t="s">
        <v>159</v>
      </c>
      <c r="CU1" s="16" t="s">
        <v>160</v>
      </c>
      <c r="CV1" s="16" t="s">
        <v>161</v>
      </c>
      <c r="CW1" s="16" t="s">
        <v>162</v>
      </c>
      <c r="CX1" s="16" t="s">
        <v>163</v>
      </c>
      <c r="CY1" s="16" t="s">
        <v>109</v>
      </c>
      <c r="CZ1" s="16" t="s">
        <v>109</v>
      </c>
      <c r="DA1" s="16" t="s">
        <v>110</v>
      </c>
      <c r="DB1" s="16" t="s">
        <v>111</v>
      </c>
      <c r="DC1" s="16" t="s">
        <v>112</v>
      </c>
      <c r="DD1" s="16" t="s">
        <v>164</v>
      </c>
      <c r="DE1" s="16" t="s">
        <v>113</v>
      </c>
      <c r="DF1" s="16" t="s">
        <v>165</v>
      </c>
      <c r="DG1" s="16" t="s">
        <v>166</v>
      </c>
      <c r="DH1" s="16" t="s">
        <v>167</v>
      </c>
      <c r="DI1" s="16" t="s">
        <v>168</v>
      </c>
      <c r="DJ1" s="16" t="s">
        <v>169</v>
      </c>
      <c r="DK1" s="16" t="s">
        <v>170</v>
      </c>
      <c r="DL1" s="16" t="s">
        <v>171</v>
      </c>
      <c r="DM1" s="16" t="s">
        <v>172</v>
      </c>
      <c r="DN1" s="16" t="s">
        <v>173</v>
      </c>
      <c r="DO1" s="16" t="s">
        <v>174</v>
      </c>
      <c r="DP1" s="16" t="s">
        <v>175</v>
      </c>
      <c r="DQ1" s="16" t="s">
        <v>176</v>
      </c>
      <c r="DR1" s="16" t="s">
        <v>177</v>
      </c>
      <c r="DS1" s="16" t="s">
        <v>178</v>
      </c>
      <c r="DT1" s="16" t="s">
        <v>179</v>
      </c>
      <c r="DU1" s="16" t="s">
        <v>180</v>
      </c>
      <c r="DV1" s="16" t="s">
        <v>181</v>
      </c>
      <c r="DW1" s="16" t="s">
        <v>182</v>
      </c>
      <c r="DX1" s="16" t="s">
        <v>183</v>
      </c>
      <c r="DY1" s="16" t="s">
        <v>214</v>
      </c>
      <c r="EA1" s="16" t="s">
        <v>269</v>
      </c>
      <c r="EB1" s="16" t="s">
        <v>215</v>
      </c>
      <c r="EC1" s="16" t="s">
        <v>216</v>
      </c>
      <c r="ED1" s="16" t="s">
        <v>217</v>
      </c>
      <c r="EE1" s="16" t="s">
        <v>218</v>
      </c>
      <c r="EG1" s="16" t="s">
        <v>219</v>
      </c>
      <c r="EH1" s="16" t="s">
        <v>220</v>
      </c>
      <c r="EI1" s="16" t="s">
        <v>221</v>
      </c>
      <c r="EJ1" s="16" t="s">
        <v>222</v>
      </c>
      <c r="EK1" s="16" t="s">
        <v>223</v>
      </c>
      <c r="EL1" s="16" t="s">
        <v>224</v>
      </c>
      <c r="EM1" s="16" t="s">
        <v>224</v>
      </c>
      <c r="EN1" s="16" t="s">
        <v>225</v>
      </c>
      <c r="EO1" s="16" t="s">
        <v>226</v>
      </c>
      <c r="EP1" s="16" t="s">
        <v>227</v>
      </c>
      <c r="EQ1" s="16" t="s">
        <v>228</v>
      </c>
      <c r="ER1" s="16" t="s">
        <v>229</v>
      </c>
      <c r="ES1" s="16" t="s">
        <v>230</v>
      </c>
      <c r="ET1" s="16" t="s">
        <v>231</v>
      </c>
      <c r="EU1" s="16" t="s">
        <v>232</v>
      </c>
      <c r="EV1" s="16" t="s">
        <v>233</v>
      </c>
      <c r="EW1" s="16" t="s">
        <v>234</v>
      </c>
      <c r="EX1" s="16" t="s">
        <v>235</v>
      </c>
      <c r="EY1" s="16" t="s">
        <v>236</v>
      </c>
      <c r="EZ1" s="16" t="s">
        <v>237</v>
      </c>
      <c r="FA1" s="16" t="s">
        <v>238</v>
      </c>
      <c r="FB1" s="16" t="s">
        <v>239</v>
      </c>
      <c r="FC1" s="16" t="s">
        <v>240</v>
      </c>
      <c r="FD1" s="16" t="s">
        <v>241</v>
      </c>
      <c r="FE1" s="16" t="s">
        <v>242</v>
      </c>
      <c r="FF1" s="16" t="s">
        <v>243</v>
      </c>
      <c r="FG1" s="16" t="s">
        <v>244</v>
      </c>
      <c r="FH1" s="16" t="s">
        <v>245</v>
      </c>
      <c r="FI1" s="16" t="s">
        <v>246</v>
      </c>
      <c r="FJ1" s="16" t="s">
        <v>247</v>
      </c>
      <c r="FK1" s="16" t="s">
        <v>248</v>
      </c>
    </row>
    <row r="2" spans="1:167" ht="15" customHeight="1" x14ac:dyDescent="0.25">
      <c r="A2" s="35" t="s">
        <v>82</v>
      </c>
      <c r="B2" s="15">
        <v>6</v>
      </c>
      <c r="C2" s="102" t="s">
        <v>95</v>
      </c>
      <c r="D2" s="103" t="s">
        <v>103</v>
      </c>
      <c r="E2" s="15">
        <v>37</v>
      </c>
      <c r="F2" s="15" t="s">
        <v>270</v>
      </c>
      <c r="G2" s="16">
        <v>50.35</v>
      </c>
      <c r="H2" s="16">
        <v>1.1299999999999999</v>
      </c>
      <c r="I2" s="16">
        <v>4.04</v>
      </c>
      <c r="J2" s="16">
        <v>0</v>
      </c>
      <c r="K2" s="16">
        <v>18.489999999999998</v>
      </c>
      <c r="L2" s="16">
        <v>0.624</v>
      </c>
      <c r="M2" s="16">
        <v>17.5</v>
      </c>
      <c r="N2" s="16">
        <v>7.98</v>
      </c>
      <c r="O2" s="16">
        <v>0.222</v>
      </c>
      <c r="P2" s="16">
        <v>0</v>
      </c>
      <c r="Q2" s="16">
        <v>0</v>
      </c>
      <c r="R2" s="16">
        <v>0</v>
      </c>
      <c r="S2" s="16">
        <v>0</v>
      </c>
      <c r="T2" s="16">
        <f t="shared" ref="T2:T65" si="0">SUM(G2:S2)</f>
        <v>100.336</v>
      </c>
      <c r="U2" s="16"/>
      <c r="V2" s="16">
        <f>K2*BB2/(BB2+BC2)</f>
        <v>18.144440274523159</v>
      </c>
      <c r="W2" s="16">
        <f>1.1113*K2*BC2/(BB2+BC2)</f>
        <v>0.38402052292241057</v>
      </c>
      <c r="X2" s="16">
        <f>SUM(G2:J2)+SUM(L2:S2)+SUM(V2:W2)</f>
        <v>100.37446079744558</v>
      </c>
      <c r="AB2" s="15" t="s">
        <v>271</v>
      </c>
      <c r="AD2" s="15">
        <v>6</v>
      </c>
      <c r="AE2" s="15">
        <v>4</v>
      </c>
      <c r="AG2" s="38">
        <f t="shared" ref="AG2:AG65" si="1">BQ2*($AD2/$CE2)</f>
        <v>1.8835949361273476</v>
      </c>
      <c r="AH2" s="38">
        <f t="shared" ref="AH2:AH65" si="2">BR2*($AD2/$CE2)</f>
        <v>3.1794964952806593E-2</v>
      </c>
      <c r="AI2" s="38">
        <f t="shared" ref="AI2:AI65" si="3">BS2*($AD2/$CE2)</f>
        <v>0.17811459072511465</v>
      </c>
      <c r="AJ2" s="38">
        <f t="shared" ref="AJ2:AJ65" si="4">BT2*($AD2/$CE2)</f>
        <v>0</v>
      </c>
      <c r="AK2" s="38">
        <f t="shared" ref="AK2:AK65" si="5">BU2*($AD2/$CE2)</f>
        <v>0.57839975723704395</v>
      </c>
      <c r="AL2" s="38">
        <f t="shared" ref="AL2:AL65" si="6">BV2*($AD2/$CE2)</f>
        <v>1.9770213934603077E-2</v>
      </c>
      <c r="AM2" s="38">
        <f t="shared" ref="AM2:AM65" si="7">BW2*($AD2/$CE2)</f>
        <v>0.9760025803712935</v>
      </c>
      <c r="AN2" s="38">
        <f t="shared" ref="AN2:AN65" si="8">BX2*($AD2/$CE2)</f>
        <v>0.3198253248745932</v>
      </c>
      <c r="AO2" s="38">
        <f t="shared" ref="AO2:AO65" si="9">BY2*($AD2/$CE2)</f>
        <v>1.6100870668971215E-2</v>
      </c>
      <c r="AP2" s="38">
        <f t="shared" ref="AP2:AP65" si="10">BZ2*($AD2/$CE2)</f>
        <v>0</v>
      </c>
      <c r="AQ2" s="38">
        <f t="shared" ref="AQ2:AQ65" si="11">CA2*($AD2/$CE2)</f>
        <v>0</v>
      </c>
      <c r="AR2" s="38">
        <f t="shared" ref="AR2:AR65" si="12">CB2*($AD2/$CE2)</f>
        <v>0</v>
      </c>
      <c r="AS2" s="38">
        <f t="shared" ref="AS2:AS65" si="13">CC2*($AD2/$CE2)</f>
        <v>0</v>
      </c>
      <c r="AT2" s="39">
        <f t="shared" ref="AT2:AT65" si="14">SUM(AG2:AR2)</f>
        <v>4.0036032388917739</v>
      </c>
      <c r="AU2" s="38">
        <f t="shared" ref="AU2:AU65" si="15">AG2+AI2</f>
        <v>2.0617095268524621</v>
      </c>
      <c r="AV2" s="38">
        <f t="shared" ref="AV2:AV65" si="16">SUM(AN2:AP2)</f>
        <v>0.3359261955435644</v>
      </c>
      <c r="AW2" s="40"/>
      <c r="AX2" s="38">
        <f t="shared" ref="AX2:AX65" si="17">IF($AE2&gt;0,BQ2*$CF2,"")</f>
        <v>1.8818997025776614</v>
      </c>
      <c r="AY2" s="38">
        <f t="shared" ref="AY2:AY65" si="18">IF($AE2&gt;0,BR2*$CF2,"")</f>
        <v>3.1766349516299884E-2</v>
      </c>
      <c r="AZ2" s="38">
        <f t="shared" ref="AZ2:AZ65" si="19">IF($AE2&gt;0,BS2*$CF2,"")</f>
        <v>0.17795428777244976</v>
      </c>
      <c r="BA2" s="38">
        <f t="shared" ref="BA2:BA65" si="20">IF($AE2&gt;0,BT2*$CF2,"")</f>
        <v>0</v>
      </c>
      <c r="BB2" s="38">
        <f t="shared" ref="BB2:BB65" si="21">IF($AE2&gt;0 +N("so a blank cell if no ideal cations set"),                         BU2*CF2-BC2,"")</f>
        <v>0.56707921009558881</v>
      </c>
      <c r="BC2" s="38">
        <f t="shared" ref="BC2:BC65" si="22">IF($AE2&gt;0 +N("so a blank cell if no ideal cations set"),                                                                     IF(AT2&gt;AE2,                          IF(  2*AD2*(1-(AE2/AT2))   &lt;   BU2*CF2,    2*AD2*(1-(AE2/AT2)),    BU2*CF2),0),"")</f>
        <v>1.079998794117687E-2</v>
      </c>
      <c r="BD2" s="38">
        <f t="shared" ref="BD2:BD65" si="23">IF($AE2&gt;0,BV2*$CF2,"")</f>
        <v>1.9752420761929065E-2</v>
      </c>
      <c r="BE2" s="38">
        <f t="shared" ref="BE2:BE65" si="24">IF($AE2&gt;0,BW2*$CF2,"")</f>
        <v>0.97512417902974635</v>
      </c>
      <c r="BF2" s="38">
        <f t="shared" ref="BF2:BF65" si="25">IF($AE2&gt;0,BX2*$CF2,"")</f>
        <v>0.31953748240359914</v>
      </c>
      <c r="BG2" s="38">
        <f t="shared" ref="BG2:BG65" si="26">IF($AE2&gt;0,BY2*$CF2,"")</f>
        <v>1.6086379901548938E-2</v>
      </c>
      <c r="BH2" s="38">
        <f t="shared" ref="BH2:BH65" si="27">IF($AE2&gt;0,BZ2*$CF2,"")</f>
        <v>0</v>
      </c>
      <c r="BI2" s="38">
        <f t="shared" ref="BI2:BI65" si="28">IF($AE2&gt;0,CA2*$CF2,"")</f>
        <v>0</v>
      </c>
      <c r="BJ2" s="38">
        <f t="shared" ref="BJ2:BJ65" si="29">IF($AE2&gt;0,CB2*$CF2,"")</f>
        <v>0</v>
      </c>
      <c r="BK2" s="38">
        <f t="shared" ref="BK2:BK65" si="30">IF($AE2&gt;0,CC2*$CF2,"")</f>
        <v>0</v>
      </c>
      <c r="BL2" s="41">
        <f t="shared" ref="BL2:BL65" si="31">IF(AE2&gt;0,SUM(AX2:BJ2),"")</f>
        <v>4</v>
      </c>
      <c r="BM2" s="42">
        <f>(AX2+AY2)*2+(AZ2+BA2+BC2)*1.5+BB2+BD2+BE2+BF2+(BG2+BH2)*0.5+BI2*2.5+BJ2*3  -(0.5*(BK2))</f>
        <v>6.0000000000000009</v>
      </c>
      <c r="BN2" s="38">
        <f t="shared" ref="BN2:BN65" si="32">IF(AE2&gt;0,AX2+AZ2,"")</f>
        <v>2.0598539903501112</v>
      </c>
      <c r="BO2" s="38">
        <f t="shared" ref="BO2:BO65" si="33">IF(AE2&gt;0,SUM(BF2:BH2),"")</f>
        <v>0.33562386230514807</v>
      </c>
      <c r="BQ2" s="38">
        <f t="shared" ref="BQ2:BQ65" si="34">G2/60.08</f>
        <v>0.83804926764314247</v>
      </c>
      <c r="BR2" s="38">
        <f t="shared" ref="BR2:BR65" si="35">H2/79.88</f>
        <v>1.414621932899349E-2</v>
      </c>
      <c r="BS2" s="38">
        <f t="shared" ref="BS2:BS65" si="36">I2/101.96*2</f>
        <v>7.9246763436641832E-2</v>
      </c>
      <c r="BT2" s="38">
        <f t="shared" ref="BT2:BT65" si="37">J2/151.99*2</f>
        <v>0</v>
      </c>
      <c r="BU2" s="38">
        <f t="shared" ref="BU2:BU65" si="38">K2/71.85</f>
        <v>0.25734168406402225</v>
      </c>
      <c r="BV2" s="38">
        <f t="shared" ref="BV2:BV65" si="39">L2/70.94</f>
        <v>8.7961657738934319E-3</v>
      </c>
      <c r="BW2" s="38">
        <f t="shared" ref="BW2:BW65" si="40">M2/40.3</f>
        <v>0.4342431761786601</v>
      </c>
      <c r="BX2" s="38">
        <f t="shared" ref="BX2:BX65" si="41">N2/56.08</f>
        <v>0.14229671897289586</v>
      </c>
      <c r="BY2" s="38">
        <f t="shared" ref="BY2:BY65" si="42">O2/61.98*2</f>
        <v>7.1636011616650541E-3</v>
      </c>
      <c r="BZ2" s="38">
        <f t="shared" ref="BZ2:BZ65" si="43">P2/94.2*2</f>
        <v>0</v>
      </c>
      <c r="CA2" s="38">
        <f t="shared" ref="CA2:CA65" si="44">Q2/141.94*2</f>
        <v>0</v>
      </c>
      <c r="CB2" s="38">
        <f t="shared" ref="CB2:CB65" si="45">R2/80.06</f>
        <v>0</v>
      </c>
      <c r="CC2" s="38">
        <f t="shared" ref="CC2:CC65" si="46">S2/35.45</f>
        <v>0</v>
      </c>
      <c r="CD2" s="38">
        <f t="shared" ref="CD2:CD65" si="47">SUM(BQ2:CB2)</f>
        <v>1.7812835965599145</v>
      </c>
      <c r="CE2" s="38">
        <f t="shared" ref="CE2:CE65" si="48">(BQ2+BR2)*2+(BS2+BT2)*1.5+BU2+BV2+BW2+BX2+(BY2+BZ2)*0.5+CA2*2.5+CB2*3+     -(0.5*(CC2))</f>
        <v>2.6695206646695389</v>
      </c>
      <c r="CF2" s="38">
        <f t="shared" ref="CF2:CF65" si="49">AE2/CD2</f>
        <v>2.2455716808513584</v>
      </c>
      <c r="CG2" s="38">
        <f t="shared" ref="CG2:CG65" si="50">CE2*CF2</f>
        <v>5.9946000060294118</v>
      </c>
    </row>
    <row r="3" spans="1:167" ht="15" customHeight="1" x14ac:dyDescent="0.25">
      <c r="A3" s="35" t="s">
        <v>82</v>
      </c>
      <c r="B3" s="15">
        <v>7</v>
      </c>
      <c r="C3" s="102" t="s">
        <v>95</v>
      </c>
      <c r="D3" s="103" t="s">
        <v>103</v>
      </c>
      <c r="E3" s="15">
        <v>38</v>
      </c>
      <c r="F3" s="15" t="s">
        <v>270</v>
      </c>
      <c r="G3" s="16">
        <v>47.79</v>
      </c>
      <c r="H3" s="16">
        <v>1.1359999999999999</v>
      </c>
      <c r="I3" s="16">
        <v>4.1900000000000004</v>
      </c>
      <c r="J3" s="16">
        <v>2.7E-2</v>
      </c>
      <c r="K3" s="16">
        <v>16.37</v>
      </c>
      <c r="L3" s="16">
        <v>0.45</v>
      </c>
      <c r="M3" s="16">
        <v>17.28</v>
      </c>
      <c r="N3" s="16">
        <v>8.1300000000000008</v>
      </c>
      <c r="O3" s="16">
        <v>0.18</v>
      </c>
      <c r="P3" s="16">
        <v>0</v>
      </c>
      <c r="Q3" s="16">
        <v>0</v>
      </c>
      <c r="R3" s="16">
        <v>0</v>
      </c>
      <c r="S3" s="16">
        <v>0</v>
      </c>
      <c r="T3" s="16">
        <f t="shared" si="0"/>
        <v>95.553000000000011</v>
      </c>
      <c r="U3" s="16"/>
      <c r="V3" s="16">
        <f>K3*BB3/(BB3+BC3)</f>
        <v>15.659356754496677</v>
      </c>
      <c r="W3" s="16">
        <f>1.1113*K3*BC3/(BB3+BC3)</f>
        <v>0.78973783872784165</v>
      </c>
      <c r="X3" s="16">
        <f>SUM(G3:J3)+SUM(L3:S3)+SUM(V3:W3)</f>
        <v>95.632094593224508</v>
      </c>
      <c r="AB3" s="15" t="s">
        <v>271</v>
      </c>
      <c r="AD3" s="15">
        <v>6</v>
      </c>
      <c r="AE3" s="15">
        <v>4</v>
      </c>
      <c r="AG3" s="38">
        <f t="shared" si="1"/>
        <v>1.8687077205417764</v>
      </c>
      <c r="AH3" s="38">
        <f t="shared" si="2"/>
        <v>3.3409851749210524E-2</v>
      </c>
      <c r="AI3" s="38">
        <f t="shared" si="3"/>
        <v>0.19308496829873675</v>
      </c>
      <c r="AJ3" s="38">
        <f t="shared" si="4"/>
        <v>8.3466656741950317E-4</v>
      </c>
      <c r="AK3" s="38">
        <f t="shared" si="5"/>
        <v>0.53524938910766218</v>
      </c>
      <c r="AL3" s="38">
        <f t="shared" si="6"/>
        <v>1.4902378956640625E-2</v>
      </c>
      <c r="AM3" s="38">
        <f t="shared" si="7"/>
        <v>1.0073327768304938</v>
      </c>
      <c r="AN3" s="38">
        <f t="shared" si="8"/>
        <v>0.34057817501532012</v>
      </c>
      <c r="AO3" s="38">
        <f t="shared" si="9"/>
        <v>1.3645366417348639E-2</v>
      </c>
      <c r="AP3" s="38">
        <f t="shared" si="10"/>
        <v>0</v>
      </c>
      <c r="AQ3" s="38">
        <f t="shared" si="11"/>
        <v>0</v>
      </c>
      <c r="AR3" s="38">
        <f t="shared" si="12"/>
        <v>0</v>
      </c>
      <c r="AS3" s="38">
        <f t="shared" si="13"/>
        <v>0</v>
      </c>
      <c r="AT3" s="39">
        <f t="shared" si="14"/>
        <v>4.007745293484609</v>
      </c>
      <c r="AU3" s="38">
        <f t="shared" si="15"/>
        <v>2.0617926888405131</v>
      </c>
      <c r="AV3" s="38">
        <f t="shared" si="16"/>
        <v>0.35422354143266876</v>
      </c>
      <c r="AW3" s="40"/>
      <c r="AX3" s="38">
        <f t="shared" si="17"/>
        <v>1.8650962910040561</v>
      </c>
      <c r="AY3" s="38">
        <f t="shared" si="18"/>
        <v>3.3345284495524118E-2</v>
      </c>
      <c r="AZ3" s="38">
        <f t="shared" si="19"/>
        <v>0.19271181590570138</v>
      </c>
      <c r="BA3" s="38">
        <f t="shared" si="20"/>
        <v>8.3305350644555232E-4</v>
      </c>
      <c r="BB3" s="38">
        <f t="shared" si="21"/>
        <v>0.51102400093760059</v>
      </c>
      <c r="BC3" s="38">
        <f t="shared" si="22"/>
        <v>2.3190975226495603E-2</v>
      </c>
      <c r="BD3" s="38">
        <f t="shared" si="23"/>
        <v>1.4873578898207351E-2</v>
      </c>
      <c r="BE3" s="38">
        <f t="shared" si="24"/>
        <v>1.0053860243744679</v>
      </c>
      <c r="BF3" s="38">
        <f t="shared" si="25"/>
        <v>0.339919980013698</v>
      </c>
      <c r="BG3" s="38">
        <f t="shared" si="26"/>
        <v>1.3618995637803541E-2</v>
      </c>
      <c r="BH3" s="38">
        <f t="shared" si="27"/>
        <v>0</v>
      </c>
      <c r="BI3" s="38">
        <f t="shared" si="28"/>
        <v>0</v>
      </c>
      <c r="BJ3" s="38">
        <f t="shared" si="29"/>
        <v>0</v>
      </c>
      <c r="BK3" s="38">
        <f t="shared" si="30"/>
        <v>0</v>
      </c>
      <c r="BL3" s="41">
        <f t="shared" si="31"/>
        <v>4</v>
      </c>
      <c r="BM3" s="42">
        <f>(AX3+AY3)*2+(AZ3+BA3+BC3)*1.5+BB3+BD3+BE3+BF3+(BG3+BH3)*0.5+BI3*2.5+BJ3*3  -(0.5*(BK3))</f>
        <v>6</v>
      </c>
      <c r="BN3" s="38">
        <f t="shared" si="32"/>
        <v>2.0578081069097576</v>
      </c>
      <c r="BO3" s="38">
        <f t="shared" si="33"/>
        <v>0.35353897565150155</v>
      </c>
      <c r="BQ3" s="38">
        <f t="shared" si="34"/>
        <v>0.79543941411451402</v>
      </c>
      <c r="BR3" s="38">
        <f t="shared" si="35"/>
        <v>1.4221331997996994E-2</v>
      </c>
      <c r="BS3" s="38">
        <f t="shared" si="36"/>
        <v>8.2189093762259718E-2</v>
      </c>
      <c r="BT3" s="38">
        <f t="shared" si="37"/>
        <v>3.5528653200868473E-4</v>
      </c>
      <c r="BU3" s="38">
        <f t="shared" si="38"/>
        <v>0.22783576896311764</v>
      </c>
      <c r="BV3" s="38">
        <f t="shared" si="39"/>
        <v>6.3433887792500709E-3</v>
      </c>
      <c r="BW3" s="38">
        <f t="shared" si="40"/>
        <v>0.42878411910669983</v>
      </c>
      <c r="BX3" s="38">
        <f t="shared" si="41"/>
        <v>0.14497146932952926</v>
      </c>
      <c r="BY3" s="38">
        <f t="shared" si="42"/>
        <v>5.8083252662149082E-3</v>
      </c>
      <c r="BZ3" s="38">
        <f t="shared" si="43"/>
        <v>0</v>
      </c>
      <c r="CA3" s="38">
        <f t="shared" si="44"/>
        <v>0</v>
      </c>
      <c r="CB3" s="38">
        <f t="shared" si="45"/>
        <v>0</v>
      </c>
      <c r="CC3" s="38">
        <f t="shared" si="46"/>
        <v>0</v>
      </c>
      <c r="CD3" s="38">
        <f t="shared" si="47"/>
        <v>1.7059481978515911</v>
      </c>
      <c r="CE3" s="38">
        <f t="shared" si="48"/>
        <v>2.5539769714781291</v>
      </c>
      <c r="CF3" s="38">
        <f t="shared" si="49"/>
        <v>2.3447370823085096</v>
      </c>
      <c r="CG3" s="38">
        <f t="shared" si="50"/>
        <v>5.9884045123867518</v>
      </c>
    </row>
    <row r="4" spans="1:167" ht="15" customHeight="1" x14ac:dyDescent="0.25">
      <c r="A4" s="35" t="s">
        <v>82</v>
      </c>
      <c r="B4" s="15">
        <v>43</v>
      </c>
      <c r="C4" s="102" t="s">
        <v>95</v>
      </c>
      <c r="D4" s="103" t="s">
        <v>103</v>
      </c>
      <c r="E4" s="15">
        <v>74</v>
      </c>
      <c r="F4" s="15" t="s">
        <v>272</v>
      </c>
      <c r="G4" s="16">
        <v>0.80600000000000005</v>
      </c>
      <c r="H4" s="16">
        <v>10.56</v>
      </c>
      <c r="I4" s="16">
        <v>2.88</v>
      </c>
      <c r="J4" s="16">
        <v>4.7E-2</v>
      </c>
      <c r="K4" s="16">
        <v>75.47</v>
      </c>
      <c r="L4" s="16">
        <v>0.47099999999999997</v>
      </c>
      <c r="M4" s="16">
        <v>2.29</v>
      </c>
      <c r="N4" s="16">
        <v>0.39300000000000002</v>
      </c>
      <c r="O4" s="16">
        <v>0.12</v>
      </c>
      <c r="P4" s="16">
        <v>0</v>
      </c>
      <c r="Q4" s="16">
        <v>0</v>
      </c>
      <c r="T4" s="16">
        <f t="shared" si="0"/>
        <v>93.03700000000002</v>
      </c>
      <c r="U4" s="16"/>
      <c r="V4" s="16">
        <f>K4*BB4/(BB4+BC4)</f>
        <v>36.635013890887699</v>
      </c>
      <c r="W4" s="16">
        <f>1.1113*K4*BC4/(BB4+BC4)</f>
        <v>43.157320063056503</v>
      </c>
      <c r="X4" s="16">
        <f>SUM(G4:J4)+SUM(L4:S4)+SUM(V4:W4)</f>
        <v>97.359333953944201</v>
      </c>
      <c r="AB4" s="15" t="s">
        <v>271</v>
      </c>
      <c r="AD4" s="15">
        <v>4</v>
      </c>
      <c r="AE4" s="15">
        <v>3</v>
      </c>
      <c r="AG4" s="38">
        <f t="shared" si="1"/>
        <v>3.5782055598142785E-2</v>
      </c>
      <c r="AH4" s="38">
        <f t="shared" si="2"/>
        <v>0.35260302220627127</v>
      </c>
      <c r="AI4" s="38">
        <f t="shared" si="3"/>
        <v>0.1506790332064461</v>
      </c>
      <c r="AJ4" s="38">
        <f t="shared" si="4"/>
        <v>1.6495785738125919E-3</v>
      </c>
      <c r="AK4" s="38">
        <f t="shared" si="5"/>
        <v>2.8016104321691269</v>
      </c>
      <c r="AL4" s="38">
        <f t="shared" si="6"/>
        <v>1.7708830918143053E-2</v>
      </c>
      <c r="AM4" s="38">
        <f t="shared" si="7"/>
        <v>0.15156209667476553</v>
      </c>
      <c r="AN4" s="38">
        <f t="shared" si="8"/>
        <v>1.8691524046475005E-2</v>
      </c>
      <c r="AO4" s="38">
        <f t="shared" si="9"/>
        <v>1.0328085824546389E-2</v>
      </c>
      <c r="AP4" s="38">
        <f t="shared" si="10"/>
        <v>0</v>
      </c>
      <c r="AQ4" s="38">
        <f t="shared" si="11"/>
        <v>0</v>
      </c>
      <c r="AR4" s="38">
        <f t="shared" si="12"/>
        <v>0</v>
      </c>
      <c r="AS4" s="38">
        <f t="shared" si="13"/>
        <v>0</v>
      </c>
      <c r="AT4" s="39">
        <f t="shared" si="14"/>
        <v>3.5406146592177299</v>
      </c>
      <c r="AU4" s="38">
        <f t="shared" si="15"/>
        <v>0.18646108880458889</v>
      </c>
      <c r="AV4" s="38">
        <f t="shared" si="16"/>
        <v>2.9019609871021396E-2</v>
      </c>
      <c r="AW4" s="40"/>
      <c r="AX4" s="38">
        <f t="shared" si="17"/>
        <v>3.0318511650218854E-2</v>
      </c>
      <c r="AY4" s="38">
        <f t="shared" si="18"/>
        <v>0.29876424531680845</v>
      </c>
      <c r="AZ4" s="38">
        <f t="shared" si="19"/>
        <v>0.12767192793558968</v>
      </c>
      <c r="BA4" s="38">
        <f t="shared" si="20"/>
        <v>1.3977052567847527E-3</v>
      </c>
      <c r="BB4" s="38">
        <f t="shared" si="21"/>
        <v>1.1523180056162814</v>
      </c>
      <c r="BC4" s="38">
        <f t="shared" si="22"/>
        <v>1.2215159485040923</v>
      </c>
      <c r="BD4" s="38">
        <f t="shared" si="23"/>
        <v>1.5004878493658795E-2</v>
      </c>
      <c r="BE4" s="38">
        <f t="shared" si="24"/>
        <v>0.12842015689014741</v>
      </c>
      <c r="BF4" s="38">
        <f t="shared" si="25"/>
        <v>1.5837524705897891E-2</v>
      </c>
      <c r="BG4" s="38">
        <f t="shared" si="26"/>
        <v>8.7510956305210854E-3</v>
      </c>
      <c r="BH4" s="38">
        <f t="shared" si="27"/>
        <v>0</v>
      </c>
      <c r="BI4" s="38">
        <f t="shared" si="28"/>
        <v>0</v>
      </c>
      <c r="BJ4" s="38">
        <f t="shared" si="29"/>
        <v>0</v>
      </c>
      <c r="BK4" s="38">
        <f t="shared" si="30"/>
        <v>0</v>
      </c>
      <c r="BL4" s="41">
        <f t="shared" si="31"/>
        <v>3.0000000000000004</v>
      </c>
      <c r="BM4" s="42">
        <f>(AX4+AY4)*2+(AZ4+BA4+BC4)*1.5+BB4+BD4+BE4+BF4+(BG4+BH4)*0.5+BI4*2.5+BJ4*3  -(0.5*(BK4))</f>
        <v>4.0000000000000009</v>
      </c>
      <c r="BN4" s="38">
        <f t="shared" si="32"/>
        <v>0.15799043958580852</v>
      </c>
      <c r="BO4" s="38">
        <f t="shared" si="33"/>
        <v>2.4588620336418975E-2</v>
      </c>
      <c r="BQ4" s="38">
        <f t="shared" si="34"/>
        <v>1.3415446071904129E-2</v>
      </c>
      <c r="BR4" s="38">
        <f t="shared" si="35"/>
        <v>0.13219829744616926</v>
      </c>
      <c r="BS4" s="38">
        <f t="shared" si="36"/>
        <v>5.649274225186348E-2</v>
      </c>
      <c r="BT4" s="38">
        <f t="shared" si="37"/>
        <v>6.1846174090400682E-4</v>
      </c>
      <c r="BU4" s="38">
        <f t="shared" si="38"/>
        <v>1.050382741823243</v>
      </c>
      <c r="BV4" s="38">
        <f t="shared" si="39"/>
        <v>6.6394135889484068E-3</v>
      </c>
      <c r="BW4" s="38">
        <f t="shared" si="40"/>
        <v>5.6823821339950377E-2</v>
      </c>
      <c r="BX4" s="38">
        <f t="shared" si="41"/>
        <v>7.0078459343794587E-3</v>
      </c>
      <c r="BY4" s="38">
        <f t="shared" si="42"/>
        <v>3.8722168441432721E-3</v>
      </c>
      <c r="BZ4" s="38">
        <f t="shared" si="43"/>
        <v>0</v>
      </c>
      <c r="CA4" s="38">
        <f t="shared" si="44"/>
        <v>0</v>
      </c>
      <c r="CB4" s="38">
        <f t="shared" si="45"/>
        <v>0</v>
      </c>
      <c r="CC4" s="38">
        <f t="shared" si="46"/>
        <v>0</v>
      </c>
      <c r="CD4" s="38">
        <f t="shared" si="47"/>
        <v>1.3274509870415052</v>
      </c>
      <c r="CE4" s="38">
        <f t="shared" si="48"/>
        <v>1.499684224133891</v>
      </c>
      <c r="CF4" s="38">
        <f t="shared" si="49"/>
        <v>2.25997044658207</v>
      </c>
      <c r="CG4" s="38">
        <f t="shared" si="50"/>
        <v>3.3892420257479547</v>
      </c>
    </row>
    <row r="5" spans="1:167" ht="15" customHeight="1" x14ac:dyDescent="0.25">
      <c r="A5" s="35" t="s">
        <v>82</v>
      </c>
      <c r="B5" s="15">
        <v>44</v>
      </c>
      <c r="C5" s="102" t="s">
        <v>95</v>
      </c>
      <c r="D5" s="103" t="s">
        <v>103</v>
      </c>
      <c r="E5" s="15">
        <v>75</v>
      </c>
      <c r="F5" s="15" t="s">
        <v>272</v>
      </c>
      <c r="G5" s="16">
        <v>7.56</v>
      </c>
      <c r="H5" s="16">
        <v>8.68</v>
      </c>
      <c r="I5" s="16">
        <v>2.0099999999999998</v>
      </c>
      <c r="J5" s="16">
        <v>1.0999999999999999E-2</v>
      </c>
      <c r="K5" s="16">
        <v>70.260000000000005</v>
      </c>
      <c r="L5" s="16">
        <v>0.60099999999999998</v>
      </c>
      <c r="M5" s="16">
        <v>9.68</v>
      </c>
      <c r="N5" s="16">
        <v>0.41599999999999998</v>
      </c>
      <c r="O5" s="16">
        <v>3.4000000000000002E-2</v>
      </c>
      <c r="P5" s="16">
        <v>0</v>
      </c>
      <c r="Q5" s="16">
        <v>0</v>
      </c>
      <c r="R5" s="16">
        <v>0</v>
      </c>
      <c r="S5" s="16">
        <v>0</v>
      </c>
      <c r="T5" s="16">
        <f t="shared" si="0"/>
        <v>99.251999999999995</v>
      </c>
      <c r="U5" s="16"/>
      <c r="V5" s="16">
        <f>K5*BB5/(BB5+BC5)</f>
        <v>34.434373588997367</v>
      </c>
      <c r="W5" s="16">
        <f>1.1113*K5*BC5/(BB5+BC5)</f>
        <v>39.813018630547226</v>
      </c>
      <c r="X5" s="16">
        <f>SUM(G5:J5)+SUM(L5:S5)+SUM(V5:W5)</f>
        <v>103.23939221954458</v>
      </c>
      <c r="AB5" s="15" t="s">
        <v>271</v>
      </c>
      <c r="AD5" s="15">
        <v>4</v>
      </c>
      <c r="AE5" s="15">
        <v>3</v>
      </c>
      <c r="AG5" s="38">
        <f t="shared" si="1"/>
        <v>0.28551901410867364</v>
      </c>
      <c r="AH5" s="38">
        <f t="shared" si="2"/>
        <v>0.24656125549301844</v>
      </c>
      <c r="AI5" s="38">
        <f t="shared" si="3"/>
        <v>8.9462162148281801E-2</v>
      </c>
      <c r="AJ5" s="38">
        <f t="shared" si="4"/>
        <v>3.2843605702989403E-4</v>
      </c>
      <c r="AK5" s="38">
        <f t="shared" si="5"/>
        <v>2.2188325935333877</v>
      </c>
      <c r="AL5" s="38">
        <f t="shared" si="6"/>
        <v>1.9223233962818855E-2</v>
      </c>
      <c r="AM5" s="38">
        <f t="shared" si="7"/>
        <v>0.54502129964040658</v>
      </c>
      <c r="AN5" s="38">
        <f t="shared" si="8"/>
        <v>1.6831719673288986E-2</v>
      </c>
      <c r="AO5" s="38">
        <f t="shared" si="9"/>
        <v>2.4894333574923037E-3</v>
      </c>
      <c r="AP5" s="38">
        <f t="shared" si="10"/>
        <v>0</v>
      </c>
      <c r="AQ5" s="38">
        <f t="shared" si="11"/>
        <v>0</v>
      </c>
      <c r="AR5" s="38">
        <f t="shared" si="12"/>
        <v>0</v>
      </c>
      <c r="AS5" s="38">
        <f t="shared" si="13"/>
        <v>0</v>
      </c>
      <c r="AT5" s="39">
        <f t="shared" si="14"/>
        <v>3.4242691479743979</v>
      </c>
      <c r="AU5" s="38">
        <f t="shared" si="15"/>
        <v>0.37498117625695543</v>
      </c>
      <c r="AV5" s="38">
        <f t="shared" si="16"/>
        <v>1.9321153030781288E-2</v>
      </c>
      <c r="AW5" s="40"/>
      <c r="AX5" s="38">
        <f t="shared" si="17"/>
        <v>0.25014302477733419</v>
      </c>
      <c r="AY5" s="38">
        <f t="shared" si="18"/>
        <v>0.21601215748960911</v>
      </c>
      <c r="AZ5" s="38">
        <f t="shared" si="19"/>
        <v>7.837774276698066E-2</v>
      </c>
      <c r="BA5" s="38">
        <f t="shared" si="20"/>
        <v>2.8774261850080744E-4</v>
      </c>
      <c r="BB5" s="38">
        <f t="shared" si="21"/>
        <v>0.95271266825938494</v>
      </c>
      <c r="BC5" s="38">
        <f t="shared" si="22"/>
        <v>0.99120514104534418</v>
      </c>
      <c r="BD5" s="38">
        <f t="shared" si="23"/>
        <v>1.6841462921385917E-2</v>
      </c>
      <c r="BE5" s="38">
        <f t="shared" si="24"/>
        <v>0.47749281036755831</v>
      </c>
      <c r="BF5" s="38">
        <f t="shared" si="25"/>
        <v>1.4746258789189223E-2</v>
      </c>
      <c r="BG5" s="38">
        <f t="shared" si="26"/>
        <v>2.1809909647127856E-3</v>
      </c>
      <c r="BH5" s="38">
        <f t="shared" si="27"/>
        <v>0</v>
      </c>
      <c r="BI5" s="38">
        <f t="shared" si="28"/>
        <v>0</v>
      </c>
      <c r="BJ5" s="38">
        <f t="shared" si="29"/>
        <v>0</v>
      </c>
      <c r="BK5" s="38">
        <f t="shared" si="30"/>
        <v>0</v>
      </c>
      <c r="BL5" s="41">
        <f t="shared" si="31"/>
        <v>3</v>
      </c>
      <c r="BM5" s="42">
        <f>(AX5+AY5)*2+(AZ5+BA5+BC5)*1.5+BB5+BD5+BE5+BF5+(BG5+BH5)*0.5+BI5*2.5+BJ5*3  -(0.5*(BK5))</f>
        <v>4</v>
      </c>
      <c r="BN5" s="38">
        <f t="shared" si="32"/>
        <v>0.32852076754431486</v>
      </c>
      <c r="BO5" s="38">
        <f t="shared" si="33"/>
        <v>1.6927249753902009E-2</v>
      </c>
      <c r="BQ5" s="38">
        <f t="shared" si="34"/>
        <v>0.12583222370173103</v>
      </c>
      <c r="BR5" s="38">
        <f t="shared" si="35"/>
        <v>0.10866299449173761</v>
      </c>
      <c r="BS5" s="38">
        <f t="shared" si="36"/>
        <v>3.9427226363279715E-2</v>
      </c>
      <c r="BT5" s="38">
        <f t="shared" si="37"/>
        <v>1.4474636489242711E-4</v>
      </c>
      <c r="BU5" s="38">
        <f t="shared" si="38"/>
        <v>0.97787056367432168</v>
      </c>
      <c r="BV5" s="38">
        <f t="shared" si="39"/>
        <v>8.4719481251762044E-3</v>
      </c>
      <c r="BW5" s="38">
        <f t="shared" si="40"/>
        <v>0.2401985111662531</v>
      </c>
      <c r="BX5" s="38">
        <f t="shared" si="41"/>
        <v>7.4179743223965764E-3</v>
      </c>
      <c r="BY5" s="38">
        <f t="shared" si="42"/>
        <v>1.0971281058405938E-3</v>
      </c>
      <c r="BZ5" s="38">
        <f t="shared" si="43"/>
        <v>0</v>
      </c>
      <c r="CA5" s="38">
        <f t="shared" si="44"/>
        <v>0</v>
      </c>
      <c r="CB5" s="38">
        <f t="shared" si="45"/>
        <v>0</v>
      </c>
      <c r="CC5" s="38">
        <f t="shared" si="46"/>
        <v>0</v>
      </c>
      <c r="CD5" s="38">
        <f t="shared" si="47"/>
        <v>1.5091233163156288</v>
      </c>
      <c r="CE5" s="38">
        <f t="shared" si="48"/>
        <v>1.7628559568202633</v>
      </c>
      <c r="CF5" s="38">
        <f t="shared" si="49"/>
        <v>1.987909117542624</v>
      </c>
      <c r="CG5" s="38">
        <f t="shared" si="50"/>
        <v>3.5043974294773279</v>
      </c>
    </row>
    <row r="6" spans="1:167" ht="15" customHeight="1" x14ac:dyDescent="0.25">
      <c r="A6" s="35" t="s">
        <v>82</v>
      </c>
      <c r="B6" s="15">
        <v>45</v>
      </c>
      <c r="C6" s="102" t="s">
        <v>95</v>
      </c>
      <c r="D6" s="103" t="s">
        <v>103</v>
      </c>
      <c r="E6" s="15">
        <v>76</v>
      </c>
      <c r="F6" s="15" t="s">
        <v>272</v>
      </c>
      <c r="G6" s="16">
        <v>5.17</v>
      </c>
      <c r="H6" s="16">
        <v>9.42</v>
      </c>
      <c r="I6" s="16">
        <v>4.0199999999999996</v>
      </c>
      <c r="J6" s="16">
        <v>6.5000000000000002E-2</v>
      </c>
      <c r="K6" s="16">
        <v>73.900000000000006</v>
      </c>
      <c r="L6" s="16">
        <v>0.52700000000000002</v>
      </c>
      <c r="M6" s="16">
        <v>2.4500000000000002</v>
      </c>
      <c r="N6" s="16">
        <v>0.505</v>
      </c>
      <c r="O6" s="16">
        <v>0.76400000000000001</v>
      </c>
      <c r="P6" s="16">
        <v>8.2000000000000003E-2</v>
      </c>
      <c r="Q6" s="16">
        <v>0</v>
      </c>
      <c r="R6" s="16">
        <v>0</v>
      </c>
      <c r="S6" s="16">
        <v>0</v>
      </c>
      <c r="T6" s="16">
        <f t="shared" si="0"/>
        <v>96.902999999999992</v>
      </c>
      <c r="U6" s="16"/>
      <c r="V6" s="16">
        <f>K6*BB6/(BB6+BC6)</f>
        <v>39.223647049167596</v>
      </c>
      <c r="W6" s="16">
        <f>1.1113*K6*BC6/(BB6+BC6)</f>
        <v>38.535831034260056</v>
      </c>
      <c r="X6" s="16">
        <f>SUM(G6:J6)+SUM(L6:S6)+SUM(V6:W6)</f>
        <v>100.76247808342765</v>
      </c>
      <c r="AB6" s="15" t="s">
        <v>271</v>
      </c>
      <c r="AD6" s="15">
        <v>4</v>
      </c>
      <c r="AE6" s="15">
        <v>3</v>
      </c>
      <c r="AG6" s="38">
        <f t="shared" si="1"/>
        <v>0.20905687373388263</v>
      </c>
      <c r="AH6" s="38">
        <f t="shared" si="2"/>
        <v>0.28649475735468849</v>
      </c>
      <c r="AI6" s="38">
        <f t="shared" si="3"/>
        <v>0.1915711271276607</v>
      </c>
      <c r="AJ6" s="38">
        <f t="shared" si="4"/>
        <v>2.0779360122963357E-3</v>
      </c>
      <c r="AK6" s="38">
        <f t="shared" si="5"/>
        <v>2.4987424703398315</v>
      </c>
      <c r="AL6" s="38">
        <f t="shared" si="6"/>
        <v>1.8047758192860801E-2</v>
      </c>
      <c r="AM6" s="38">
        <f t="shared" si="7"/>
        <v>0.14769468630403784</v>
      </c>
      <c r="AN6" s="38">
        <f t="shared" si="8"/>
        <v>2.1876971733650368E-2</v>
      </c>
      <c r="AO6" s="38">
        <f t="shared" si="9"/>
        <v>5.9892937623753306E-2</v>
      </c>
      <c r="AP6" s="38">
        <f t="shared" si="10"/>
        <v>4.2295754613312824E-3</v>
      </c>
      <c r="AQ6" s="38">
        <f t="shared" si="11"/>
        <v>0</v>
      </c>
      <c r="AR6" s="38">
        <f t="shared" si="12"/>
        <v>0</v>
      </c>
      <c r="AS6" s="38">
        <f t="shared" si="13"/>
        <v>0</v>
      </c>
      <c r="AT6" s="39">
        <f t="shared" si="14"/>
        <v>3.4396850938839929</v>
      </c>
      <c r="AU6" s="38">
        <f t="shared" si="15"/>
        <v>0.40062800086154332</v>
      </c>
      <c r="AV6" s="38">
        <f t="shared" si="16"/>
        <v>8.5999484818734956E-2</v>
      </c>
      <c r="AW6" s="40"/>
      <c r="AX6" s="38">
        <f t="shared" si="17"/>
        <v>0.18233373232823033</v>
      </c>
      <c r="AY6" s="38">
        <f t="shared" si="18"/>
        <v>0.24987295307709712</v>
      </c>
      <c r="AZ6" s="38">
        <f t="shared" si="19"/>
        <v>0.16708313862942387</v>
      </c>
      <c r="BA6" s="38">
        <f t="shared" si="20"/>
        <v>1.8123194033003674E-3</v>
      </c>
      <c r="BB6" s="38">
        <f t="shared" si="21"/>
        <v>1.1567182900033632</v>
      </c>
      <c r="BC6" s="38">
        <f t="shared" si="22"/>
        <v>1.0226170870485429</v>
      </c>
      <c r="BD6" s="38">
        <f t="shared" si="23"/>
        <v>1.5740764953993326E-2</v>
      </c>
      <c r="BE6" s="38">
        <f t="shared" si="24"/>
        <v>0.12881529756893989</v>
      </c>
      <c r="BF6" s="38">
        <f t="shared" si="25"/>
        <v>1.9080501095186757E-2</v>
      </c>
      <c r="BG6" s="38">
        <f t="shared" si="26"/>
        <v>5.2236994947805461E-2</v>
      </c>
      <c r="BH6" s="38">
        <f t="shared" si="27"/>
        <v>3.6889209441164578E-3</v>
      </c>
      <c r="BI6" s="38">
        <f t="shared" si="28"/>
        <v>0</v>
      </c>
      <c r="BJ6" s="38">
        <f t="shared" si="29"/>
        <v>0</v>
      </c>
      <c r="BK6" s="38">
        <f t="shared" si="30"/>
        <v>0</v>
      </c>
      <c r="BL6" s="41">
        <f t="shared" si="31"/>
        <v>3</v>
      </c>
      <c r="BM6" s="42">
        <f>(AX6+AY6)*2+(AZ6+BA6+BC6)*1.5+BB6+BD6+BE6+BF6+(BG6+BH6)*0.5+BI6*2.5+BJ6*3  -(0.5*(BK6))</f>
        <v>4</v>
      </c>
      <c r="BN6" s="38">
        <f t="shared" si="32"/>
        <v>0.34941687095765417</v>
      </c>
      <c r="BO6" s="38">
        <f t="shared" si="33"/>
        <v>7.5006416987108679E-2</v>
      </c>
      <c r="BQ6" s="38">
        <f t="shared" si="34"/>
        <v>8.6051930758988024E-2</v>
      </c>
      <c r="BR6" s="38">
        <f t="shared" si="35"/>
        <v>0.11792689033550326</v>
      </c>
      <c r="BS6" s="38">
        <f t="shared" si="36"/>
        <v>7.8854452726559429E-2</v>
      </c>
      <c r="BT6" s="38">
        <f t="shared" si="37"/>
        <v>8.5531942890979668E-4</v>
      </c>
      <c r="BU6" s="38">
        <f t="shared" si="38"/>
        <v>1.0285316631871957</v>
      </c>
      <c r="BV6" s="38">
        <f t="shared" si="39"/>
        <v>7.4288130814773052E-3</v>
      </c>
      <c r="BW6" s="38">
        <f t="shared" si="40"/>
        <v>6.0794044665012419E-2</v>
      </c>
      <c r="BX6" s="38">
        <f t="shared" si="41"/>
        <v>9.0049928673323829E-3</v>
      </c>
      <c r="BY6" s="38">
        <f t="shared" si="42"/>
        <v>2.4653113907712167E-2</v>
      </c>
      <c r="BZ6" s="38">
        <f t="shared" si="43"/>
        <v>1.7409766454352441E-3</v>
      </c>
      <c r="CA6" s="38">
        <f t="shared" si="44"/>
        <v>0</v>
      </c>
      <c r="CB6" s="38">
        <f t="shared" si="45"/>
        <v>0</v>
      </c>
      <c r="CC6" s="38">
        <f t="shared" si="46"/>
        <v>0</v>
      </c>
      <c r="CD6" s="38">
        <f t="shared" si="47"/>
        <v>1.4158421976041258</v>
      </c>
      <c r="CE6" s="38">
        <f t="shared" si="48"/>
        <v>1.6464788594997777</v>
      </c>
      <c r="CF6" s="38">
        <f t="shared" si="49"/>
        <v>2.118880200827868</v>
      </c>
      <c r="CG6" s="38">
        <f t="shared" si="50"/>
        <v>3.4886914564757281</v>
      </c>
    </row>
    <row r="7" spans="1:167" ht="15" customHeight="1" x14ac:dyDescent="0.25">
      <c r="A7" s="35" t="s">
        <v>82</v>
      </c>
      <c r="B7" s="15">
        <v>52</v>
      </c>
      <c r="C7" s="102" t="s">
        <v>95</v>
      </c>
      <c r="D7" s="103" t="s">
        <v>103</v>
      </c>
      <c r="E7" s="15">
        <v>83</v>
      </c>
      <c r="G7" s="16">
        <v>39.020000000000003</v>
      </c>
      <c r="H7" s="16">
        <v>2.23</v>
      </c>
      <c r="I7" s="16">
        <v>16.940000000000001</v>
      </c>
      <c r="K7" s="16">
        <v>13.12</v>
      </c>
      <c r="L7" s="16">
        <v>0.30399999999999999</v>
      </c>
      <c r="M7" s="16">
        <v>10.82</v>
      </c>
      <c r="N7" s="16">
        <v>11.49</v>
      </c>
      <c r="O7" s="16">
        <v>2.4500000000000002</v>
      </c>
      <c r="P7" s="16">
        <v>0.251</v>
      </c>
      <c r="Q7" s="16">
        <v>0.127</v>
      </c>
      <c r="R7" s="16">
        <v>2.1999999999999999E-2</v>
      </c>
      <c r="S7" s="16">
        <v>2.5000000000000001E-2</v>
      </c>
      <c r="T7" s="16">
        <f t="shared" si="0"/>
        <v>96.799000000000007</v>
      </c>
      <c r="U7" s="16"/>
      <c r="V7" s="16"/>
      <c r="W7" s="16"/>
      <c r="X7" s="16"/>
      <c r="AC7" s="15" t="s">
        <v>273</v>
      </c>
      <c r="AG7" s="38">
        <f t="shared" si="1"/>
        <v>0</v>
      </c>
      <c r="AH7" s="38">
        <f t="shared" si="2"/>
        <v>0</v>
      </c>
      <c r="AI7" s="38">
        <f t="shared" si="3"/>
        <v>0</v>
      </c>
      <c r="AJ7" s="38">
        <f t="shared" si="4"/>
        <v>0</v>
      </c>
      <c r="AK7" s="38">
        <f t="shared" si="5"/>
        <v>0</v>
      </c>
      <c r="AL7" s="38">
        <f t="shared" si="6"/>
        <v>0</v>
      </c>
      <c r="AM7" s="38">
        <f t="shared" si="7"/>
        <v>0</v>
      </c>
      <c r="AN7" s="38">
        <f t="shared" si="8"/>
        <v>0</v>
      </c>
      <c r="AO7" s="38">
        <f t="shared" si="9"/>
        <v>0</v>
      </c>
      <c r="AP7" s="38">
        <f t="shared" si="10"/>
        <v>0</v>
      </c>
      <c r="AQ7" s="38">
        <f t="shared" si="11"/>
        <v>0</v>
      </c>
      <c r="AR7" s="38">
        <f t="shared" si="12"/>
        <v>0</v>
      </c>
      <c r="AS7" s="38">
        <f t="shared" si="13"/>
        <v>0</v>
      </c>
      <c r="AT7" s="39">
        <f t="shared" si="14"/>
        <v>0</v>
      </c>
      <c r="AU7" s="38">
        <f t="shared" si="15"/>
        <v>0</v>
      </c>
      <c r="AV7" s="38">
        <f t="shared" si="16"/>
        <v>0</v>
      </c>
      <c r="AW7" s="40"/>
      <c r="AX7" s="38" t="str">
        <f t="shared" si="17"/>
        <v/>
      </c>
      <c r="AY7" s="38" t="str">
        <f t="shared" si="18"/>
        <v/>
      </c>
      <c r="AZ7" s="38" t="str">
        <f t="shared" si="19"/>
        <v/>
      </c>
      <c r="BA7" s="38" t="str">
        <f t="shared" si="20"/>
        <v/>
      </c>
      <c r="BB7" s="38" t="str">
        <f t="shared" si="21"/>
        <v/>
      </c>
      <c r="BC7" s="38" t="str">
        <f t="shared" si="22"/>
        <v/>
      </c>
      <c r="BD7" s="38" t="str">
        <f t="shared" si="23"/>
        <v/>
      </c>
      <c r="BE7" s="38" t="str">
        <f t="shared" si="24"/>
        <v/>
      </c>
      <c r="BF7" s="38" t="str">
        <f t="shared" si="25"/>
        <v/>
      </c>
      <c r="BG7" s="38" t="str">
        <f t="shared" si="26"/>
        <v/>
      </c>
      <c r="BH7" s="38" t="str">
        <f t="shared" si="27"/>
        <v/>
      </c>
      <c r="BI7" s="38" t="str">
        <f t="shared" si="28"/>
        <v/>
      </c>
      <c r="BJ7" s="38" t="str">
        <f t="shared" si="29"/>
        <v/>
      </c>
      <c r="BK7" s="38" t="str">
        <f t="shared" si="30"/>
        <v/>
      </c>
      <c r="BL7" s="41" t="str">
        <f t="shared" si="31"/>
        <v/>
      </c>
      <c r="BN7" s="38" t="str">
        <f t="shared" si="32"/>
        <v/>
      </c>
      <c r="BO7" s="38" t="str">
        <f t="shared" si="33"/>
        <v/>
      </c>
      <c r="BQ7" s="38">
        <f t="shared" si="34"/>
        <v>0.64946737683089217</v>
      </c>
      <c r="BR7" s="38">
        <f t="shared" si="35"/>
        <v>2.7916875312969457E-2</v>
      </c>
      <c r="BS7" s="38">
        <f t="shared" si="36"/>
        <v>0.33228717143978037</v>
      </c>
      <c r="BT7" s="38">
        <f t="shared" si="37"/>
        <v>0</v>
      </c>
      <c r="BU7" s="38">
        <f t="shared" si="38"/>
        <v>0.18260264439805149</v>
      </c>
      <c r="BV7" s="38">
        <f t="shared" si="39"/>
        <v>4.2853115308711586E-3</v>
      </c>
      <c r="BW7" s="38">
        <f t="shared" si="40"/>
        <v>0.2684863523573201</v>
      </c>
      <c r="BX7" s="38">
        <f t="shared" si="41"/>
        <v>0.204885877318117</v>
      </c>
      <c r="BY7" s="38">
        <f t="shared" si="42"/>
        <v>7.9057760567925142E-2</v>
      </c>
      <c r="BZ7" s="38">
        <f t="shared" si="43"/>
        <v>5.3290870488322713E-3</v>
      </c>
      <c r="CA7" s="38">
        <f t="shared" si="44"/>
        <v>1.7894885162744823E-3</v>
      </c>
      <c r="CB7" s="38">
        <f t="shared" si="45"/>
        <v>2.747939045715713E-4</v>
      </c>
      <c r="CC7" s="38">
        <f t="shared" si="46"/>
        <v>7.0521861777150916E-4</v>
      </c>
      <c r="CD7" s="38">
        <f t="shared" si="47"/>
        <v>1.7563827392256053</v>
      </c>
      <c r="CE7" s="38">
        <f t="shared" si="48"/>
        <v>2.5605983645556472</v>
      </c>
      <c r="CF7" s="38">
        <f t="shared" si="49"/>
        <v>0</v>
      </c>
      <c r="CG7" s="38">
        <f t="shared" si="50"/>
        <v>0</v>
      </c>
    </row>
    <row r="8" spans="1:167" ht="15" customHeight="1" x14ac:dyDescent="0.25">
      <c r="A8" s="35" t="s">
        <v>82</v>
      </c>
      <c r="B8" s="15">
        <v>53</v>
      </c>
      <c r="C8" s="102" t="s">
        <v>95</v>
      </c>
      <c r="D8" s="103" t="s">
        <v>103</v>
      </c>
      <c r="E8" s="15">
        <v>84</v>
      </c>
      <c r="G8" s="16">
        <v>41.34</v>
      </c>
      <c r="H8" s="16">
        <v>1.514</v>
      </c>
      <c r="I8" s="16">
        <v>5.64</v>
      </c>
      <c r="K8" s="16">
        <v>21.03</v>
      </c>
      <c r="L8" s="16">
        <v>0.2</v>
      </c>
      <c r="M8" s="16">
        <v>13.73</v>
      </c>
      <c r="N8" s="16">
        <v>16.690000000000001</v>
      </c>
      <c r="O8" s="16">
        <v>0.24199999999999999</v>
      </c>
      <c r="P8" s="16">
        <v>0</v>
      </c>
      <c r="Q8" s="16">
        <v>0.13500000000000001</v>
      </c>
      <c r="R8" s="16">
        <v>0.04</v>
      </c>
      <c r="S8" s="16">
        <v>5.0000000000000001E-3</v>
      </c>
      <c r="T8" s="16">
        <f t="shared" si="0"/>
        <v>100.56600000000002</v>
      </c>
      <c r="U8" s="16"/>
      <c r="V8" s="16"/>
      <c r="W8" s="16"/>
      <c r="X8" s="16"/>
      <c r="AC8" s="15" t="s">
        <v>273</v>
      </c>
      <c r="AG8" s="38">
        <f t="shared" si="1"/>
        <v>0</v>
      </c>
      <c r="AH8" s="38">
        <f t="shared" si="2"/>
        <v>0</v>
      </c>
      <c r="AI8" s="38">
        <f t="shared" si="3"/>
        <v>0</v>
      </c>
      <c r="AJ8" s="38">
        <f t="shared" si="4"/>
        <v>0</v>
      </c>
      <c r="AK8" s="38">
        <f t="shared" si="5"/>
        <v>0</v>
      </c>
      <c r="AL8" s="38">
        <f t="shared" si="6"/>
        <v>0</v>
      </c>
      <c r="AM8" s="38">
        <f t="shared" si="7"/>
        <v>0</v>
      </c>
      <c r="AN8" s="38">
        <f t="shared" si="8"/>
        <v>0</v>
      </c>
      <c r="AO8" s="38">
        <f t="shared" si="9"/>
        <v>0</v>
      </c>
      <c r="AP8" s="38">
        <f t="shared" si="10"/>
        <v>0</v>
      </c>
      <c r="AQ8" s="38">
        <f t="shared" si="11"/>
        <v>0</v>
      </c>
      <c r="AR8" s="38">
        <f t="shared" si="12"/>
        <v>0</v>
      </c>
      <c r="AS8" s="38">
        <f t="shared" si="13"/>
        <v>0</v>
      </c>
      <c r="AT8" s="39">
        <f t="shared" si="14"/>
        <v>0</v>
      </c>
      <c r="AU8" s="38">
        <f t="shared" si="15"/>
        <v>0</v>
      </c>
      <c r="AV8" s="38">
        <f t="shared" si="16"/>
        <v>0</v>
      </c>
      <c r="AW8" s="40"/>
      <c r="AX8" s="38" t="str">
        <f t="shared" si="17"/>
        <v/>
      </c>
      <c r="AY8" s="38" t="str">
        <f t="shared" si="18"/>
        <v/>
      </c>
      <c r="AZ8" s="38" t="str">
        <f t="shared" si="19"/>
        <v/>
      </c>
      <c r="BA8" s="38" t="str">
        <f t="shared" si="20"/>
        <v/>
      </c>
      <c r="BB8" s="38" t="str">
        <f t="shared" si="21"/>
        <v/>
      </c>
      <c r="BC8" s="38" t="str">
        <f t="shared" si="22"/>
        <v/>
      </c>
      <c r="BD8" s="38" t="str">
        <f t="shared" si="23"/>
        <v/>
      </c>
      <c r="BE8" s="38" t="str">
        <f t="shared" si="24"/>
        <v/>
      </c>
      <c r="BF8" s="38" t="str">
        <f t="shared" si="25"/>
        <v/>
      </c>
      <c r="BG8" s="38" t="str">
        <f t="shared" si="26"/>
        <v/>
      </c>
      <c r="BH8" s="38" t="str">
        <f t="shared" si="27"/>
        <v/>
      </c>
      <c r="BI8" s="38" t="str">
        <f t="shared" si="28"/>
        <v/>
      </c>
      <c r="BJ8" s="38" t="str">
        <f t="shared" si="29"/>
        <v/>
      </c>
      <c r="BK8" s="38" t="str">
        <f t="shared" si="30"/>
        <v/>
      </c>
      <c r="BL8" s="41" t="str">
        <f t="shared" si="31"/>
        <v/>
      </c>
      <c r="BN8" s="38" t="str">
        <f t="shared" si="32"/>
        <v/>
      </c>
      <c r="BO8" s="38" t="str">
        <f t="shared" si="33"/>
        <v/>
      </c>
      <c r="BQ8" s="38">
        <f t="shared" si="34"/>
        <v>0.68808255659121176</v>
      </c>
      <c r="BR8" s="38">
        <f t="shared" si="35"/>
        <v>1.8953430145217828E-2</v>
      </c>
      <c r="BS8" s="38">
        <f t="shared" si="36"/>
        <v>0.11063162024323264</v>
      </c>
      <c r="BT8" s="38">
        <f t="shared" si="37"/>
        <v>0</v>
      </c>
      <c r="BU8" s="38">
        <f t="shared" si="38"/>
        <v>0.29269311064718168</v>
      </c>
      <c r="BV8" s="38">
        <f t="shared" si="39"/>
        <v>2.8192839018889204E-3</v>
      </c>
      <c r="BW8" s="38">
        <f t="shared" si="40"/>
        <v>0.34069478908188588</v>
      </c>
      <c r="BX8" s="38">
        <f t="shared" si="41"/>
        <v>0.29761055634807421</v>
      </c>
      <c r="BY8" s="38">
        <f t="shared" si="42"/>
        <v>7.8089706356889322E-3</v>
      </c>
      <c r="BZ8" s="38">
        <f t="shared" si="43"/>
        <v>0</v>
      </c>
      <c r="CA8" s="38">
        <f t="shared" si="44"/>
        <v>1.9022122023390165E-3</v>
      </c>
      <c r="CB8" s="38">
        <f t="shared" si="45"/>
        <v>4.9962528103922061E-4</v>
      </c>
      <c r="CC8" s="38">
        <f t="shared" si="46"/>
        <v>1.4104372355430183E-4</v>
      </c>
      <c r="CD8" s="38">
        <f t="shared" si="47"/>
        <v>1.7616961550777603</v>
      </c>
      <c r="CE8" s="38">
        <f t="shared" si="48"/>
        <v>2.5239255136217711</v>
      </c>
      <c r="CF8" s="38">
        <f t="shared" si="49"/>
        <v>0</v>
      </c>
      <c r="CG8" s="38">
        <f t="shared" si="50"/>
        <v>0</v>
      </c>
    </row>
    <row r="9" spans="1:167" ht="15" customHeight="1" x14ac:dyDescent="0.25">
      <c r="A9" s="35" t="s">
        <v>90</v>
      </c>
      <c r="B9" s="15">
        <v>312</v>
      </c>
      <c r="C9" s="102" t="s">
        <v>95</v>
      </c>
      <c r="D9" s="103" t="s">
        <v>105</v>
      </c>
      <c r="E9" s="15">
        <v>144</v>
      </c>
      <c r="F9" s="15" t="s">
        <v>279</v>
      </c>
      <c r="G9" s="16">
        <v>4.9000000000000002E-2</v>
      </c>
      <c r="H9" s="16">
        <v>47.99</v>
      </c>
      <c r="I9" s="16">
        <v>6.9000000000000006E-2</v>
      </c>
      <c r="J9" s="16">
        <v>3.7999999999999999E-2</v>
      </c>
      <c r="K9" s="16">
        <v>44.48</v>
      </c>
      <c r="L9" s="16">
        <v>0.38600000000000001</v>
      </c>
      <c r="M9" s="16">
        <v>2.86</v>
      </c>
      <c r="N9" s="16">
        <v>0.41</v>
      </c>
      <c r="O9" s="16">
        <v>0</v>
      </c>
      <c r="P9" s="16">
        <v>0</v>
      </c>
      <c r="Q9" s="16">
        <v>0</v>
      </c>
      <c r="T9" s="16">
        <f t="shared" si="0"/>
        <v>96.281999999999996</v>
      </c>
      <c r="U9" s="16"/>
      <c r="V9" s="16">
        <f t="shared" ref="V9:V72" si="51">K9*BB9/(BB9+BC9)</f>
        <v>37.209088779690966</v>
      </c>
      <c r="W9" s="16">
        <f t="shared" ref="W9:W72" si="52">1.1113*K9*BC9/(BB9+BC9)</f>
        <v>8.0801636391294309</v>
      </c>
      <c r="X9" s="16">
        <f t="shared" ref="X9:X72" si="53">SUM(G9:J9)+SUM(L9:S9)+SUM(V9:W9)</f>
        <v>97.091252418820403</v>
      </c>
      <c r="AD9" s="15">
        <v>3</v>
      </c>
      <c r="AE9" s="15">
        <v>2</v>
      </c>
      <c r="AG9" s="38">
        <f t="shared" si="1"/>
        <v>1.2818526038062667E-3</v>
      </c>
      <c r="AH9" s="38">
        <f t="shared" si="2"/>
        <v>0.94424485603821473</v>
      </c>
      <c r="AI9" s="38">
        <f t="shared" si="3"/>
        <v>2.1272630347759242E-3</v>
      </c>
      <c r="AJ9" s="38">
        <f t="shared" si="4"/>
        <v>7.8590583123590524E-4</v>
      </c>
      <c r="AK9" s="38">
        <f t="shared" si="5"/>
        <v>0.97299350214975877</v>
      </c>
      <c r="AL9" s="38">
        <f t="shared" si="6"/>
        <v>8.5520071323736263E-3</v>
      </c>
      <c r="AM9" s="38">
        <f t="shared" si="7"/>
        <v>0.11154058575424429</v>
      </c>
      <c r="AN9" s="38">
        <f t="shared" si="8"/>
        <v>1.1490734380563845E-2</v>
      </c>
      <c r="AO9" s="38">
        <f t="shared" si="9"/>
        <v>0</v>
      </c>
      <c r="AP9" s="38">
        <f t="shared" si="10"/>
        <v>0</v>
      </c>
      <c r="AQ9" s="38">
        <f t="shared" si="11"/>
        <v>0</v>
      </c>
      <c r="AR9" s="38">
        <f t="shared" si="12"/>
        <v>0</v>
      </c>
      <c r="AS9" s="38">
        <f t="shared" si="13"/>
        <v>0</v>
      </c>
      <c r="AT9" s="39">
        <f t="shared" si="14"/>
        <v>2.0530167069249736</v>
      </c>
      <c r="AU9" s="38">
        <f t="shared" si="15"/>
        <v>3.4091156385821909E-3</v>
      </c>
      <c r="AV9" s="38">
        <f t="shared" si="16"/>
        <v>1.1490734380563845E-2</v>
      </c>
      <c r="AW9" s="40"/>
      <c r="AX9" s="38">
        <f t="shared" si="17"/>
        <v>1.2487502897394703E-3</v>
      </c>
      <c r="AY9" s="38">
        <f t="shared" si="18"/>
        <v>0.91986085924504057</v>
      </c>
      <c r="AZ9" s="38">
        <f t="shared" si="19"/>
        <v>2.0723290050202836E-3</v>
      </c>
      <c r="BA9" s="38">
        <f t="shared" si="20"/>
        <v>7.6561075083801146E-4</v>
      </c>
      <c r="BB9" s="38">
        <f t="shared" si="21"/>
        <v>0.79292426469726107</v>
      </c>
      <c r="BC9" s="38">
        <f t="shared" si="22"/>
        <v>0.15494284117458279</v>
      </c>
      <c r="BD9" s="38">
        <f t="shared" si="23"/>
        <v>8.3311617519010849E-3</v>
      </c>
      <c r="BE9" s="38">
        <f t="shared" si="24"/>
        <v>0.10866018321040435</v>
      </c>
      <c r="BF9" s="38">
        <f t="shared" si="25"/>
        <v>1.1193999875212676E-2</v>
      </c>
      <c r="BG9" s="38">
        <f t="shared" si="26"/>
        <v>0</v>
      </c>
      <c r="BH9" s="38">
        <f t="shared" si="27"/>
        <v>0</v>
      </c>
      <c r="BI9" s="38">
        <f t="shared" si="28"/>
        <v>0</v>
      </c>
      <c r="BJ9" s="38">
        <f t="shared" si="29"/>
        <v>0</v>
      </c>
      <c r="BK9" s="38">
        <f t="shared" si="30"/>
        <v>0</v>
      </c>
      <c r="BL9" s="41">
        <f t="shared" si="31"/>
        <v>2.0000000000000004</v>
      </c>
      <c r="BM9" s="42">
        <f t="shared" ref="BM9:BM14" si="54">(AX9+AY9)*2+(AZ9+BA9+BC9)*1.5+BB9+BD9+BE9+BF9+(BG9+BH9)*0.5+BI9*2.5+BJ9*3  -(0.5*(BK9))</f>
        <v>3.0000000000000013</v>
      </c>
      <c r="BN9" s="38">
        <f t="shared" si="32"/>
        <v>3.3210792947597541E-3</v>
      </c>
      <c r="BO9" s="38">
        <f t="shared" si="33"/>
        <v>1.1193999875212676E-2</v>
      </c>
      <c r="BQ9" s="38">
        <f t="shared" si="34"/>
        <v>8.155792276964049E-4</v>
      </c>
      <c r="BR9" s="38">
        <f t="shared" si="35"/>
        <v>0.60077616424636959</v>
      </c>
      <c r="BS9" s="38">
        <f t="shared" si="36"/>
        <v>1.3534719497842293E-3</v>
      </c>
      <c r="BT9" s="38">
        <f t="shared" si="37"/>
        <v>5.0003289690111184E-4</v>
      </c>
      <c r="BU9" s="38">
        <f t="shared" si="38"/>
        <v>0.61906750173973557</v>
      </c>
      <c r="BV9" s="38">
        <f t="shared" si="39"/>
        <v>5.4412179306456161E-3</v>
      </c>
      <c r="BW9" s="38">
        <f t="shared" si="40"/>
        <v>7.0967741935483872E-2</v>
      </c>
      <c r="BX9" s="38">
        <f t="shared" si="41"/>
        <v>7.3109843081312405E-3</v>
      </c>
      <c r="BY9" s="38">
        <f t="shared" si="42"/>
        <v>0</v>
      </c>
      <c r="BZ9" s="38">
        <f t="shared" si="43"/>
        <v>0</v>
      </c>
      <c r="CA9" s="38">
        <f t="shared" si="44"/>
        <v>0</v>
      </c>
      <c r="CB9" s="38">
        <f t="shared" si="45"/>
        <v>0</v>
      </c>
      <c r="CC9" s="38">
        <f t="shared" si="46"/>
        <v>0</v>
      </c>
      <c r="CD9" s="38">
        <f t="shared" si="47"/>
        <v>1.3062326942347475</v>
      </c>
      <c r="CE9" s="38">
        <f t="shared" si="48"/>
        <v>1.9087511901321561</v>
      </c>
      <c r="CF9" s="38">
        <f t="shared" si="49"/>
        <v>1.531120763419334</v>
      </c>
      <c r="CG9" s="38">
        <f t="shared" si="50"/>
        <v>2.9225285794127092</v>
      </c>
    </row>
    <row r="10" spans="1:167" ht="15" customHeight="1" x14ac:dyDescent="0.25">
      <c r="A10" s="35" t="s">
        <v>90</v>
      </c>
      <c r="B10" s="15">
        <v>313</v>
      </c>
      <c r="C10" s="102" t="s">
        <v>95</v>
      </c>
      <c r="D10" s="103" t="s">
        <v>105</v>
      </c>
      <c r="E10" s="15">
        <v>145</v>
      </c>
      <c r="F10" s="15" t="s">
        <v>279</v>
      </c>
      <c r="G10" s="16">
        <v>3.5000000000000003E-2</v>
      </c>
      <c r="H10" s="16">
        <v>49.8</v>
      </c>
      <c r="I10" s="16">
        <v>9.6000000000000002E-2</v>
      </c>
      <c r="J10" s="16">
        <v>0</v>
      </c>
      <c r="K10" s="16">
        <v>44.71</v>
      </c>
      <c r="L10" s="16">
        <v>0.46</v>
      </c>
      <c r="M10" s="16">
        <v>2.89</v>
      </c>
      <c r="N10" s="16">
        <v>0.14499999999999999</v>
      </c>
      <c r="O10" s="16">
        <v>1.9E-2</v>
      </c>
      <c r="P10" s="16">
        <v>7.0000000000000001E-3</v>
      </c>
      <c r="Q10" s="16">
        <v>0</v>
      </c>
      <c r="T10" s="16">
        <f t="shared" si="0"/>
        <v>98.161999999999992</v>
      </c>
      <c r="U10" s="16"/>
      <c r="V10" s="16">
        <f t="shared" si="51"/>
        <v>38.922018955371037</v>
      </c>
      <c r="W10" s="16">
        <f t="shared" si="52"/>
        <v>6.4321833348961626</v>
      </c>
      <c r="X10" s="16">
        <f t="shared" si="53"/>
        <v>98.80620229026718</v>
      </c>
      <c r="AD10" s="15">
        <v>3</v>
      </c>
      <c r="AE10" s="15">
        <v>2</v>
      </c>
      <c r="AG10" s="38">
        <f t="shared" si="1"/>
        <v>8.9427275958160518E-4</v>
      </c>
      <c r="AH10" s="38">
        <f t="shared" si="2"/>
        <v>0.95702474722941888</v>
      </c>
      <c r="AI10" s="38">
        <f t="shared" si="3"/>
        <v>2.8907017373668289E-3</v>
      </c>
      <c r="AJ10" s="38">
        <f t="shared" si="4"/>
        <v>0</v>
      </c>
      <c r="AK10" s="38">
        <f t="shared" si="5"/>
        <v>0.95523401517450468</v>
      </c>
      <c r="AL10" s="38">
        <f t="shared" si="6"/>
        <v>9.9540204607535161E-3</v>
      </c>
      <c r="AM10" s="38">
        <f t="shared" si="7"/>
        <v>0.110084120789412</v>
      </c>
      <c r="AN10" s="38">
        <f t="shared" si="8"/>
        <v>3.9690985186321128E-3</v>
      </c>
      <c r="AO10" s="38">
        <f t="shared" si="9"/>
        <v>9.4116096484358439E-4</v>
      </c>
      <c r="AP10" s="38">
        <f t="shared" si="10"/>
        <v>2.2814398044867447E-4</v>
      </c>
      <c r="AQ10" s="38">
        <f t="shared" si="11"/>
        <v>0</v>
      </c>
      <c r="AR10" s="38">
        <f t="shared" si="12"/>
        <v>0</v>
      </c>
      <c r="AS10" s="38">
        <f t="shared" si="13"/>
        <v>0</v>
      </c>
      <c r="AT10" s="39">
        <f t="shared" si="14"/>
        <v>2.0412202816149621</v>
      </c>
      <c r="AU10" s="38">
        <f t="shared" si="15"/>
        <v>3.7849744969484342E-3</v>
      </c>
      <c r="AV10" s="38">
        <f t="shared" si="16"/>
        <v>5.1384034639243717E-3</v>
      </c>
      <c r="AW10" s="40"/>
      <c r="AX10" s="38">
        <f t="shared" si="17"/>
        <v>8.7621386837688985E-4</v>
      </c>
      <c r="AY10" s="38">
        <f t="shared" si="18"/>
        <v>0.93769864609834763</v>
      </c>
      <c r="AZ10" s="38">
        <f t="shared" si="19"/>
        <v>2.8323270774869807E-3</v>
      </c>
      <c r="BA10" s="38">
        <f t="shared" si="20"/>
        <v>0</v>
      </c>
      <c r="BB10" s="38">
        <f t="shared" si="21"/>
        <v>0.81478043092115382</v>
      </c>
      <c r="BC10" s="38">
        <f t="shared" si="22"/>
        <v>0.12116364505946264</v>
      </c>
      <c r="BD10" s="38">
        <f t="shared" si="23"/>
        <v>9.7530095604166211E-3</v>
      </c>
      <c r="BE10" s="38">
        <f t="shared" si="24"/>
        <v>0.10786108856641011</v>
      </c>
      <c r="BF10" s="38">
        <f t="shared" si="25"/>
        <v>3.8889467779458491E-3</v>
      </c>
      <c r="BG10" s="38">
        <f t="shared" si="26"/>
        <v>9.2215521599556282E-4</v>
      </c>
      <c r="BH10" s="38">
        <f t="shared" si="27"/>
        <v>2.2353685440375175E-4</v>
      </c>
      <c r="BI10" s="38">
        <f t="shared" si="28"/>
        <v>0</v>
      </c>
      <c r="BJ10" s="38">
        <f t="shared" si="29"/>
        <v>0</v>
      </c>
      <c r="BK10" s="38">
        <f t="shared" si="30"/>
        <v>0</v>
      </c>
      <c r="BL10" s="41">
        <f t="shared" si="31"/>
        <v>1.9999999999999998</v>
      </c>
      <c r="BM10" s="42">
        <f t="shared" si="54"/>
        <v>2.9999999999999996</v>
      </c>
      <c r="BN10" s="38">
        <f t="shared" si="32"/>
        <v>3.7085409458638705E-3</v>
      </c>
      <c r="BO10" s="38">
        <f t="shared" si="33"/>
        <v>5.0346388483451633E-3</v>
      </c>
      <c r="BQ10" s="38">
        <f t="shared" si="34"/>
        <v>5.8255659121171774E-4</v>
      </c>
      <c r="BR10" s="38">
        <f t="shared" si="35"/>
        <v>0.62343515272909367</v>
      </c>
      <c r="BS10" s="38">
        <f t="shared" si="36"/>
        <v>1.8830914083954493E-3</v>
      </c>
      <c r="BT10" s="38">
        <f t="shared" si="37"/>
        <v>0</v>
      </c>
      <c r="BU10" s="38">
        <f t="shared" si="38"/>
        <v>0.62226861517049414</v>
      </c>
      <c r="BV10" s="38">
        <f t="shared" si="39"/>
        <v>6.484352974344517E-3</v>
      </c>
      <c r="BW10" s="38">
        <f t="shared" si="40"/>
        <v>7.1712158808933016E-2</v>
      </c>
      <c r="BX10" s="38">
        <f t="shared" si="41"/>
        <v>2.5855920114122681E-3</v>
      </c>
      <c r="BY10" s="38">
        <f t="shared" si="42"/>
        <v>6.1310100032268471E-4</v>
      </c>
      <c r="BZ10" s="38">
        <f t="shared" si="43"/>
        <v>1.4861995753715499E-4</v>
      </c>
      <c r="CA10" s="38">
        <f t="shared" si="44"/>
        <v>0</v>
      </c>
      <c r="CB10" s="38">
        <f t="shared" si="45"/>
        <v>0</v>
      </c>
      <c r="CC10" s="38">
        <f t="shared" si="46"/>
        <v>0</v>
      </c>
      <c r="CD10" s="38">
        <f t="shared" si="47"/>
        <v>1.3297132406517447</v>
      </c>
      <c r="CE10" s="38">
        <f t="shared" si="48"/>
        <v>1.9542916351973179</v>
      </c>
      <c r="CF10" s="38">
        <f t="shared" si="49"/>
        <v>1.5040836917738154</v>
      </c>
      <c r="CG10" s="38">
        <f t="shared" si="50"/>
        <v>2.9394181774702681</v>
      </c>
    </row>
    <row r="11" spans="1:167" ht="15" customHeight="1" x14ac:dyDescent="0.25">
      <c r="A11" s="35" t="s">
        <v>90</v>
      </c>
      <c r="B11" s="15">
        <v>314</v>
      </c>
      <c r="C11" s="102" t="s">
        <v>95</v>
      </c>
      <c r="D11" s="103" t="s">
        <v>105</v>
      </c>
      <c r="E11" s="15">
        <v>146</v>
      </c>
      <c r="F11" s="15" t="s">
        <v>279</v>
      </c>
      <c r="G11" s="16">
        <v>1.7999999999999999E-2</v>
      </c>
      <c r="H11" s="16">
        <v>49.8</v>
      </c>
      <c r="I11" s="16">
        <v>5.8999999999999997E-2</v>
      </c>
      <c r="J11" s="16">
        <v>0</v>
      </c>
      <c r="K11" s="16">
        <v>44.5</v>
      </c>
      <c r="L11" s="16">
        <v>0.41399999999999998</v>
      </c>
      <c r="M11" s="16">
        <v>3.19</v>
      </c>
      <c r="N11" s="16">
        <v>0.159</v>
      </c>
      <c r="O11" s="16">
        <v>2.5999999999999999E-2</v>
      </c>
      <c r="P11" s="16">
        <v>0</v>
      </c>
      <c r="Q11" s="16">
        <v>0</v>
      </c>
      <c r="T11" s="16">
        <f t="shared" si="0"/>
        <v>98.165999999999997</v>
      </c>
      <c r="U11" s="16"/>
      <c r="V11" s="16">
        <f t="shared" si="51"/>
        <v>38.384376069419439</v>
      </c>
      <c r="W11" s="16">
        <f t="shared" si="52"/>
        <v>6.7962928740541715</v>
      </c>
      <c r="X11" s="16">
        <f t="shared" si="53"/>
        <v>98.846668943473617</v>
      </c>
      <c r="AD11" s="15">
        <v>3</v>
      </c>
      <c r="AE11" s="15">
        <v>2</v>
      </c>
      <c r="AG11" s="38">
        <f t="shared" si="1"/>
        <v>4.5932255385786275E-4</v>
      </c>
      <c r="AH11" s="38">
        <f t="shared" si="2"/>
        <v>0.95579878983883015</v>
      </c>
      <c r="AI11" s="38">
        <f t="shared" si="3"/>
        <v>1.7743012980156088E-3</v>
      </c>
      <c r="AJ11" s="38">
        <f t="shared" si="4"/>
        <v>0</v>
      </c>
      <c r="AK11" s="38">
        <f t="shared" si="5"/>
        <v>0.94952942634518489</v>
      </c>
      <c r="AL11" s="38">
        <f t="shared" si="6"/>
        <v>8.9471423431484211E-3</v>
      </c>
      <c r="AM11" s="38">
        <f t="shared" si="7"/>
        <v>0.12135588078872271</v>
      </c>
      <c r="AN11" s="38">
        <f t="shared" si="8"/>
        <v>4.3467464601056847E-3</v>
      </c>
      <c r="AO11" s="38">
        <f t="shared" si="9"/>
        <v>1.2862546608767885E-3</v>
      </c>
      <c r="AP11" s="38">
        <f t="shared" si="10"/>
        <v>0</v>
      </c>
      <c r="AQ11" s="38">
        <f t="shared" si="11"/>
        <v>0</v>
      </c>
      <c r="AR11" s="38">
        <f t="shared" si="12"/>
        <v>0</v>
      </c>
      <c r="AS11" s="38">
        <f t="shared" si="13"/>
        <v>0</v>
      </c>
      <c r="AT11" s="39">
        <f t="shared" si="14"/>
        <v>2.0434978642887418</v>
      </c>
      <c r="AU11" s="38">
        <f t="shared" si="15"/>
        <v>2.2336238518734716E-3</v>
      </c>
      <c r="AV11" s="38">
        <f t="shared" si="16"/>
        <v>5.6330011209824735E-3</v>
      </c>
      <c r="AW11" s="40"/>
      <c r="AX11" s="38">
        <f t="shared" si="17"/>
        <v>4.4954542100070563E-4</v>
      </c>
      <c r="AY11" s="38">
        <f t="shared" si="18"/>
        <v>0.93545367141502211</v>
      </c>
      <c r="AZ11" s="38">
        <f t="shared" si="19"/>
        <v>1.7365335477198263E-3</v>
      </c>
      <c r="BA11" s="38">
        <f t="shared" si="20"/>
        <v>0</v>
      </c>
      <c r="BB11" s="38">
        <f t="shared" si="21"/>
        <v>0.80160184925275868</v>
      </c>
      <c r="BC11" s="38">
        <f t="shared" si="22"/>
        <v>0.12771590824406864</v>
      </c>
      <c r="BD11" s="38">
        <f t="shared" si="23"/>
        <v>8.7566936080577269E-3</v>
      </c>
      <c r="BE11" s="38">
        <f t="shared" si="24"/>
        <v>0.11877270136610758</v>
      </c>
      <c r="BF11" s="38">
        <f t="shared" si="25"/>
        <v>4.2542216814291699E-3</v>
      </c>
      <c r="BG11" s="38">
        <f t="shared" si="26"/>
        <v>1.258875463835614E-3</v>
      </c>
      <c r="BH11" s="38">
        <f t="shared" si="27"/>
        <v>0</v>
      </c>
      <c r="BI11" s="38">
        <f t="shared" si="28"/>
        <v>0</v>
      </c>
      <c r="BJ11" s="38">
        <f t="shared" si="29"/>
        <v>0</v>
      </c>
      <c r="BK11" s="38">
        <f t="shared" si="30"/>
        <v>0</v>
      </c>
      <c r="BL11" s="41">
        <f t="shared" si="31"/>
        <v>2</v>
      </c>
      <c r="BM11" s="42">
        <f t="shared" si="54"/>
        <v>2.9999999999999996</v>
      </c>
      <c r="BN11" s="38">
        <f t="shared" si="32"/>
        <v>2.1860789687205319E-3</v>
      </c>
      <c r="BO11" s="38">
        <f t="shared" si="33"/>
        <v>5.5130971452647844E-3</v>
      </c>
      <c r="BQ11" s="38">
        <f t="shared" si="34"/>
        <v>2.9960053262316911E-4</v>
      </c>
      <c r="BR11" s="38">
        <f t="shared" si="35"/>
        <v>0.62343515272909367</v>
      </c>
      <c r="BS11" s="38">
        <f t="shared" si="36"/>
        <v>1.1573165947430365E-3</v>
      </c>
      <c r="BT11" s="38">
        <f t="shared" si="37"/>
        <v>0</v>
      </c>
      <c r="BU11" s="38">
        <f t="shared" si="38"/>
        <v>0.61934585942936682</v>
      </c>
      <c r="BV11" s="38">
        <f t="shared" si="39"/>
        <v>5.8359176769100648E-3</v>
      </c>
      <c r="BW11" s="38">
        <f t="shared" si="40"/>
        <v>7.9156327543424318E-2</v>
      </c>
      <c r="BX11" s="38">
        <f t="shared" si="41"/>
        <v>2.8352353780313837E-3</v>
      </c>
      <c r="BY11" s="38">
        <f t="shared" si="42"/>
        <v>8.3898031623104224E-4</v>
      </c>
      <c r="BZ11" s="38">
        <f t="shared" si="43"/>
        <v>0</v>
      </c>
      <c r="CA11" s="38">
        <f t="shared" si="44"/>
        <v>0</v>
      </c>
      <c r="CB11" s="38">
        <f t="shared" si="45"/>
        <v>0</v>
      </c>
      <c r="CC11" s="38">
        <f t="shared" si="46"/>
        <v>0</v>
      </c>
      <c r="CD11" s="38">
        <f t="shared" si="47"/>
        <v>1.3329043902004234</v>
      </c>
      <c r="CE11" s="38">
        <f t="shared" si="48"/>
        <v>1.9567983116013965</v>
      </c>
      <c r="CF11" s="38">
        <f t="shared" si="49"/>
        <v>1.5004827163179109</v>
      </c>
      <c r="CG11" s="38">
        <f t="shared" si="50"/>
        <v>2.9361420458779652</v>
      </c>
    </row>
    <row r="12" spans="1:167" ht="15" customHeight="1" x14ac:dyDescent="0.25">
      <c r="A12" s="35" t="s">
        <v>90</v>
      </c>
      <c r="B12" s="15">
        <v>315</v>
      </c>
      <c r="C12" s="102" t="s">
        <v>95</v>
      </c>
      <c r="D12" s="103" t="s">
        <v>105</v>
      </c>
      <c r="E12" s="15">
        <v>147</v>
      </c>
      <c r="F12" s="15" t="s">
        <v>279</v>
      </c>
      <c r="G12" s="16">
        <v>0</v>
      </c>
      <c r="H12" s="16">
        <v>50.12</v>
      </c>
      <c r="I12" s="16">
        <v>6.9000000000000006E-2</v>
      </c>
      <c r="J12" s="16">
        <v>1.4999999999999999E-2</v>
      </c>
      <c r="K12" s="16">
        <v>44.66</v>
      </c>
      <c r="L12" s="16">
        <v>0.45300000000000001</v>
      </c>
      <c r="M12" s="16">
        <v>2.88</v>
      </c>
      <c r="N12" s="16">
        <v>0.182</v>
      </c>
      <c r="O12" s="16">
        <v>2.7E-2</v>
      </c>
      <c r="P12" s="16">
        <v>0</v>
      </c>
      <c r="Q12" s="16">
        <v>0</v>
      </c>
      <c r="T12" s="16">
        <f t="shared" si="0"/>
        <v>98.406000000000006</v>
      </c>
      <c r="U12" s="16"/>
      <c r="V12" s="16">
        <f t="shared" si="51"/>
        <v>39.129768840185918</v>
      </c>
      <c r="W12" s="16">
        <f t="shared" si="52"/>
        <v>6.1457458879013895</v>
      </c>
      <c r="X12" s="16">
        <f t="shared" si="53"/>
        <v>99.021514728087311</v>
      </c>
      <c r="AD12" s="15">
        <v>3</v>
      </c>
      <c r="AE12" s="15">
        <v>2</v>
      </c>
      <c r="AG12" s="38">
        <f t="shared" si="1"/>
        <v>0</v>
      </c>
      <c r="AH12" s="38">
        <f t="shared" si="2"/>
        <v>0.96021626921121706</v>
      </c>
      <c r="AI12" s="38">
        <f t="shared" si="3"/>
        <v>2.0713110094568057E-3</v>
      </c>
      <c r="AJ12" s="38">
        <f t="shared" si="4"/>
        <v>3.0206631232062729E-4</v>
      </c>
      <c r="AK12" s="38">
        <f t="shared" si="5"/>
        <v>0.95123539152738501</v>
      </c>
      <c r="AL12" s="38">
        <f t="shared" si="6"/>
        <v>9.7724413310564355E-3</v>
      </c>
      <c r="AM12" s="38">
        <f t="shared" si="7"/>
        <v>0.10936629393853017</v>
      </c>
      <c r="AN12" s="38">
        <f t="shared" si="8"/>
        <v>4.9666028907212377E-3</v>
      </c>
      <c r="AO12" s="38">
        <f t="shared" si="9"/>
        <v>1.3333318144127437E-3</v>
      </c>
      <c r="AP12" s="38">
        <f t="shared" si="10"/>
        <v>0</v>
      </c>
      <c r="AQ12" s="38">
        <f t="shared" si="11"/>
        <v>0</v>
      </c>
      <c r="AR12" s="38">
        <f t="shared" si="12"/>
        <v>0</v>
      </c>
      <c r="AS12" s="38">
        <f t="shared" si="13"/>
        <v>0</v>
      </c>
      <c r="AT12" s="39">
        <f t="shared" si="14"/>
        <v>2.0392637080350999</v>
      </c>
      <c r="AU12" s="38">
        <f t="shared" si="15"/>
        <v>2.0713110094568057E-3</v>
      </c>
      <c r="AV12" s="38">
        <f t="shared" si="16"/>
        <v>6.2999347051339817E-3</v>
      </c>
      <c r="AW12" s="40"/>
      <c r="AX12" s="38">
        <f t="shared" si="17"/>
        <v>0</v>
      </c>
      <c r="AY12" s="38">
        <f t="shared" si="18"/>
        <v>0.94172839483954518</v>
      </c>
      <c r="AZ12" s="38">
        <f t="shared" si="19"/>
        <v>2.03143026700807E-3</v>
      </c>
      <c r="BA12" s="38">
        <f t="shared" si="20"/>
        <v>2.9625036833679386E-4</v>
      </c>
      <c r="BB12" s="38">
        <f t="shared" si="21"/>
        <v>0.81739724405249858</v>
      </c>
      <c r="BC12" s="38">
        <f t="shared" si="22"/>
        <v>0.11552318970928543</v>
      </c>
      <c r="BD12" s="38">
        <f t="shared" si="23"/>
        <v>9.5842840654213508E-3</v>
      </c>
      <c r="BE12" s="38">
        <f t="shared" si="24"/>
        <v>0.10726057008478643</v>
      </c>
      <c r="BF12" s="38">
        <f t="shared" si="25"/>
        <v>4.8709765893953242E-3</v>
      </c>
      <c r="BG12" s="38">
        <f t="shared" si="26"/>
        <v>1.3076600237224387E-3</v>
      </c>
      <c r="BH12" s="38">
        <f t="shared" si="27"/>
        <v>0</v>
      </c>
      <c r="BI12" s="38">
        <f t="shared" si="28"/>
        <v>0</v>
      </c>
      <c r="BJ12" s="38">
        <f t="shared" si="29"/>
        <v>0</v>
      </c>
      <c r="BK12" s="38">
        <f t="shared" si="30"/>
        <v>0</v>
      </c>
      <c r="BL12" s="41">
        <f t="shared" si="31"/>
        <v>1.9999999999999996</v>
      </c>
      <c r="BM12" s="42">
        <f t="shared" si="54"/>
        <v>2.9999999999999987</v>
      </c>
      <c r="BN12" s="38">
        <f t="shared" si="32"/>
        <v>2.03143026700807E-3</v>
      </c>
      <c r="BO12" s="38">
        <f t="shared" si="33"/>
        <v>6.1786366131177627E-3</v>
      </c>
      <c r="BQ12" s="38">
        <f t="shared" si="34"/>
        <v>0</v>
      </c>
      <c r="BR12" s="38">
        <f t="shared" si="35"/>
        <v>0.62744116174261388</v>
      </c>
      <c r="BS12" s="38">
        <f t="shared" si="36"/>
        <v>1.3534719497842293E-3</v>
      </c>
      <c r="BT12" s="38">
        <f t="shared" si="37"/>
        <v>1.9738140667149154E-4</v>
      </c>
      <c r="BU12" s="38">
        <f t="shared" si="38"/>
        <v>0.62157272094641614</v>
      </c>
      <c r="BV12" s="38">
        <f t="shared" si="39"/>
        <v>6.3856780377784051E-3</v>
      </c>
      <c r="BW12" s="38">
        <f t="shared" si="40"/>
        <v>7.1464019851116625E-2</v>
      </c>
      <c r="BX12" s="38">
        <f t="shared" si="41"/>
        <v>3.2453637660485022E-3</v>
      </c>
      <c r="BY12" s="38">
        <f t="shared" si="42"/>
        <v>8.7124878993223619E-4</v>
      </c>
      <c r="BZ12" s="38">
        <f t="shared" si="43"/>
        <v>0</v>
      </c>
      <c r="CA12" s="38">
        <f t="shared" si="44"/>
        <v>0</v>
      </c>
      <c r="CB12" s="38">
        <f t="shared" si="45"/>
        <v>0</v>
      </c>
      <c r="CC12" s="38">
        <f t="shared" si="46"/>
        <v>0</v>
      </c>
      <c r="CD12" s="38">
        <f t="shared" si="47"/>
        <v>1.3325310464903617</v>
      </c>
      <c r="CE12" s="38">
        <f t="shared" si="48"/>
        <v>1.9603120105162373</v>
      </c>
      <c r="CF12" s="38">
        <f t="shared" si="49"/>
        <v>1.5009031161169768</v>
      </c>
      <c r="CG12" s="38">
        <f t="shared" si="50"/>
        <v>2.9422384051453565</v>
      </c>
    </row>
    <row r="13" spans="1:167" ht="15" customHeight="1" x14ac:dyDescent="0.25">
      <c r="A13" s="35" t="s">
        <v>90</v>
      </c>
      <c r="B13" s="15">
        <v>322</v>
      </c>
      <c r="C13" s="102" t="s">
        <v>95</v>
      </c>
      <c r="D13" s="103" t="s">
        <v>105</v>
      </c>
      <c r="E13" s="15">
        <v>154</v>
      </c>
      <c r="F13" s="15" t="s">
        <v>274</v>
      </c>
      <c r="G13" s="16">
        <v>29.82</v>
      </c>
      <c r="H13" s="16">
        <v>36.76</v>
      </c>
      <c r="I13" s="16">
        <v>0.89700000000000002</v>
      </c>
      <c r="J13" s="16">
        <v>7.1999999999999995E-2</v>
      </c>
      <c r="K13" s="16">
        <v>1.51</v>
      </c>
      <c r="L13" s="16">
        <v>9.4E-2</v>
      </c>
      <c r="M13" s="16">
        <v>5.5E-2</v>
      </c>
      <c r="N13" s="16">
        <v>27.89</v>
      </c>
      <c r="O13" s="16">
        <v>3.6999999999999998E-2</v>
      </c>
      <c r="P13" s="16">
        <v>0</v>
      </c>
      <c r="Q13" s="16">
        <v>0</v>
      </c>
      <c r="T13" s="16">
        <f t="shared" si="0"/>
        <v>97.135000000000019</v>
      </c>
      <c r="U13" s="16"/>
      <c r="V13" s="16">
        <f t="shared" si="51"/>
        <v>0</v>
      </c>
      <c r="W13" s="16">
        <f t="shared" si="52"/>
        <v>1.6780629999999996</v>
      </c>
      <c r="X13" s="16">
        <f t="shared" si="53"/>
        <v>97.303062999999995</v>
      </c>
      <c r="AB13" s="15" t="s">
        <v>185</v>
      </c>
      <c r="AD13" s="15">
        <v>5</v>
      </c>
      <c r="AE13" s="15">
        <v>3</v>
      </c>
      <c r="AG13" s="38">
        <f t="shared" si="1"/>
        <v>1.0077937811251612</v>
      </c>
      <c r="AH13" s="38">
        <f t="shared" si="2"/>
        <v>0.93439693561183002</v>
      </c>
      <c r="AI13" s="38">
        <f t="shared" si="3"/>
        <v>3.5726179084372665E-2</v>
      </c>
      <c r="AJ13" s="38">
        <f t="shared" si="4"/>
        <v>1.9237181214532305E-3</v>
      </c>
      <c r="AK13" s="38">
        <f t="shared" si="5"/>
        <v>4.2672111564632298E-2</v>
      </c>
      <c r="AL13" s="38">
        <f t="shared" si="6"/>
        <v>2.6904853303544459E-3</v>
      </c>
      <c r="AM13" s="38">
        <f t="shared" si="7"/>
        <v>2.7710961969916958E-3</v>
      </c>
      <c r="AN13" s="38">
        <f t="shared" si="8"/>
        <v>1.0097979118286102</v>
      </c>
      <c r="AO13" s="38">
        <f t="shared" si="9"/>
        <v>2.4242315933786954E-3</v>
      </c>
      <c r="AP13" s="38">
        <f t="shared" si="10"/>
        <v>0</v>
      </c>
      <c r="AQ13" s="38">
        <f t="shared" si="11"/>
        <v>0</v>
      </c>
      <c r="AR13" s="38">
        <f t="shared" si="12"/>
        <v>0</v>
      </c>
      <c r="AS13" s="38">
        <f t="shared" si="13"/>
        <v>0</v>
      </c>
      <c r="AT13" s="39">
        <f t="shared" si="14"/>
        <v>3.0401964504567847</v>
      </c>
      <c r="AU13" s="38">
        <f t="shared" si="15"/>
        <v>1.0435199602095337</v>
      </c>
      <c r="AV13" s="38">
        <f t="shared" si="16"/>
        <v>1.0122221434219889</v>
      </c>
      <c r="AW13" s="40"/>
      <c r="AX13" s="38">
        <f t="shared" si="17"/>
        <v>0.99446907219473435</v>
      </c>
      <c r="AY13" s="38">
        <f t="shared" si="18"/>
        <v>0.92204265497853433</v>
      </c>
      <c r="AZ13" s="38">
        <f t="shared" si="19"/>
        <v>3.5253819613207747E-2</v>
      </c>
      <c r="BA13" s="38">
        <f t="shared" si="20"/>
        <v>1.8982833703041079E-3</v>
      </c>
      <c r="BB13" s="38">
        <f t="shared" si="21"/>
        <v>0</v>
      </c>
      <c r="BC13" s="38">
        <f t="shared" si="22"/>
        <v>4.2107915320624301E-2</v>
      </c>
      <c r="BD13" s="38">
        <f t="shared" si="23"/>
        <v>2.6549126421914655E-3</v>
      </c>
      <c r="BE13" s="38">
        <f t="shared" si="24"/>
        <v>2.7344576991812581E-3</v>
      </c>
      <c r="BF13" s="38">
        <f t="shared" si="25"/>
        <v>0.99644670495903942</v>
      </c>
      <c r="BG13" s="38">
        <f t="shared" si="26"/>
        <v>2.3921792221826238E-3</v>
      </c>
      <c r="BH13" s="38">
        <f t="shared" si="27"/>
        <v>0</v>
      </c>
      <c r="BI13" s="38">
        <f t="shared" si="28"/>
        <v>0</v>
      </c>
      <c r="BJ13" s="38">
        <f t="shared" si="29"/>
        <v>0</v>
      </c>
      <c r="BK13" s="38">
        <f t="shared" si="30"/>
        <v>0</v>
      </c>
      <c r="BL13" s="41">
        <f t="shared" si="31"/>
        <v>2.9999999999999996</v>
      </c>
      <c r="BM13" s="42">
        <f t="shared" si="54"/>
        <v>4.9549456467142452</v>
      </c>
      <c r="BN13" s="38">
        <f t="shared" si="32"/>
        <v>1.0297228918079422</v>
      </c>
      <c r="BO13" s="38">
        <f t="shared" si="33"/>
        <v>0.99883888418122202</v>
      </c>
      <c r="BQ13" s="38">
        <f t="shared" si="34"/>
        <v>0.49633821571238351</v>
      </c>
      <c r="BR13" s="38">
        <f t="shared" si="35"/>
        <v>0.46019028542814222</v>
      </c>
      <c r="BS13" s="38">
        <f t="shared" si="36"/>
        <v>1.7595135347194979E-2</v>
      </c>
      <c r="BT13" s="38">
        <f t="shared" si="37"/>
        <v>9.4743075202315932E-4</v>
      </c>
      <c r="BU13" s="38">
        <f t="shared" si="38"/>
        <v>2.1016005567153793E-2</v>
      </c>
      <c r="BV13" s="38">
        <f t="shared" si="39"/>
        <v>1.3250634338877925E-3</v>
      </c>
      <c r="BW13" s="38">
        <f t="shared" si="40"/>
        <v>1.3647642679900744E-3</v>
      </c>
      <c r="BX13" s="38">
        <f t="shared" si="41"/>
        <v>0.49732524964336666</v>
      </c>
      <c r="BY13" s="38">
        <f t="shared" si="42"/>
        <v>1.1939335269441755E-3</v>
      </c>
      <c r="BZ13" s="38">
        <f t="shared" si="43"/>
        <v>0</v>
      </c>
      <c r="CA13" s="38">
        <f t="shared" si="44"/>
        <v>0</v>
      </c>
      <c r="CB13" s="38">
        <f t="shared" si="45"/>
        <v>0</v>
      </c>
      <c r="CC13" s="38">
        <f t="shared" si="46"/>
        <v>0</v>
      </c>
      <c r="CD13" s="38">
        <f t="shared" si="47"/>
        <v>1.4972960836790865</v>
      </c>
      <c r="CE13" s="38">
        <f t="shared" si="48"/>
        <v>2.4624989011057492</v>
      </c>
      <c r="CF13" s="38">
        <f t="shared" si="49"/>
        <v>2.0036117323091762</v>
      </c>
      <c r="CG13" s="38">
        <f t="shared" si="50"/>
        <v>4.933891689053933</v>
      </c>
    </row>
    <row r="14" spans="1:167" ht="15" customHeight="1" x14ac:dyDescent="0.25">
      <c r="A14" s="35" t="s">
        <v>90</v>
      </c>
      <c r="B14" s="15">
        <v>323</v>
      </c>
      <c r="C14" s="102" t="s">
        <v>95</v>
      </c>
      <c r="D14" s="103" t="s">
        <v>105</v>
      </c>
      <c r="E14" s="15">
        <v>155</v>
      </c>
      <c r="F14" s="15" t="s">
        <v>279</v>
      </c>
      <c r="G14" s="16">
        <v>2.3E-2</v>
      </c>
      <c r="H14" s="16">
        <v>49.14</v>
      </c>
      <c r="I14" s="16">
        <v>4.4999999999999998E-2</v>
      </c>
      <c r="J14" s="16">
        <v>3.1E-2</v>
      </c>
      <c r="K14" s="16">
        <v>45.31</v>
      </c>
      <c r="L14" s="16">
        <v>0.40600000000000003</v>
      </c>
      <c r="M14" s="16">
        <v>2.91</v>
      </c>
      <c r="N14" s="16">
        <v>0.222</v>
      </c>
      <c r="O14" s="16">
        <v>3.5999999999999997E-2</v>
      </c>
      <c r="P14" s="16">
        <v>0</v>
      </c>
      <c r="Q14" s="16">
        <v>0</v>
      </c>
      <c r="T14" s="16">
        <f t="shared" si="0"/>
        <v>98.123000000000005</v>
      </c>
      <c r="U14" s="16"/>
      <c r="V14" s="16">
        <f t="shared" si="51"/>
        <v>38.176925456295344</v>
      </c>
      <c r="W14" s="16">
        <f t="shared" si="52"/>
        <v>7.9269857404189841</v>
      </c>
      <c r="X14" s="16">
        <f t="shared" si="53"/>
        <v>98.916911196714324</v>
      </c>
      <c r="AD14" s="15">
        <v>3</v>
      </c>
      <c r="AE14" s="15">
        <v>2</v>
      </c>
      <c r="AG14" s="38">
        <f t="shared" si="1"/>
        <v>5.9012722175656414E-4</v>
      </c>
      <c r="AH14" s="38">
        <f t="shared" si="2"/>
        <v>0.94829799523264413</v>
      </c>
      <c r="AI14" s="38">
        <f t="shared" si="3"/>
        <v>1.3606938413538532E-3</v>
      </c>
      <c r="AJ14" s="38">
        <f t="shared" si="4"/>
        <v>6.2881719791471721E-4</v>
      </c>
      <c r="AK14" s="38">
        <f t="shared" si="5"/>
        <v>0.97210913934272414</v>
      </c>
      <c r="AL14" s="38">
        <f t="shared" si="6"/>
        <v>8.8223155233158185E-3</v>
      </c>
      <c r="AM14" s="38">
        <f t="shared" si="7"/>
        <v>0.11131038357527354</v>
      </c>
      <c r="AN14" s="38">
        <f t="shared" si="8"/>
        <v>6.1022880770140722E-3</v>
      </c>
      <c r="AO14" s="38">
        <f t="shared" si="9"/>
        <v>1.7907240279372552E-3</v>
      </c>
      <c r="AP14" s="38">
        <f t="shared" si="10"/>
        <v>0</v>
      </c>
      <c r="AQ14" s="38">
        <f t="shared" si="11"/>
        <v>0</v>
      </c>
      <c r="AR14" s="38">
        <f t="shared" si="12"/>
        <v>0</v>
      </c>
      <c r="AS14" s="38">
        <f t="shared" si="13"/>
        <v>0</v>
      </c>
      <c r="AT14" s="39">
        <f t="shared" si="14"/>
        <v>2.051012484039934</v>
      </c>
      <c r="AU14" s="38">
        <f t="shared" si="15"/>
        <v>1.9508210631104172E-3</v>
      </c>
      <c r="AV14" s="38">
        <f t="shared" si="16"/>
        <v>7.8930121049513267E-3</v>
      </c>
      <c r="AW14" s="40"/>
      <c r="AX14" s="38">
        <f t="shared" si="17"/>
        <v>5.7544966337228225E-4</v>
      </c>
      <c r="AY14" s="38">
        <f t="shared" si="18"/>
        <v>0.92471206549143614</v>
      </c>
      <c r="AZ14" s="38">
        <f t="shared" si="19"/>
        <v>1.3268508621397158E-3</v>
      </c>
      <c r="BA14" s="38">
        <f t="shared" si="20"/>
        <v>6.131773480735908E-4</v>
      </c>
      <c r="BB14" s="38">
        <f t="shared" si="21"/>
        <v>0.79869985540953403</v>
      </c>
      <c r="BC14" s="38">
        <f t="shared" si="22"/>
        <v>0.14923112688067119</v>
      </c>
      <c r="BD14" s="38">
        <f t="shared" si="23"/>
        <v>8.6028881754422765E-3</v>
      </c>
      <c r="BE14" s="38">
        <f t="shared" si="24"/>
        <v>0.10854188791286391</v>
      </c>
      <c r="BF14" s="38">
        <f t="shared" si="25"/>
        <v>5.9505128559668571E-3</v>
      </c>
      <c r="BG14" s="38">
        <f t="shared" si="26"/>
        <v>1.7461854005003602E-3</v>
      </c>
      <c r="BH14" s="38">
        <f t="shared" si="27"/>
        <v>0</v>
      </c>
      <c r="BI14" s="38">
        <f t="shared" si="28"/>
        <v>0</v>
      </c>
      <c r="BJ14" s="38">
        <f t="shared" si="29"/>
        <v>0</v>
      </c>
      <c r="BK14" s="38">
        <f t="shared" si="30"/>
        <v>0</v>
      </c>
      <c r="BL14" s="41">
        <f t="shared" si="31"/>
        <v>2.0000000000000004</v>
      </c>
      <c r="BM14" s="42">
        <f t="shared" si="54"/>
        <v>3.0000000000000009</v>
      </c>
      <c r="BN14" s="38">
        <f t="shared" si="32"/>
        <v>1.9023005255119981E-3</v>
      </c>
      <c r="BO14" s="38">
        <f t="shared" si="33"/>
        <v>7.6966982564672173E-3</v>
      </c>
      <c r="BQ14" s="38">
        <f t="shared" si="34"/>
        <v>3.8282290279627166E-4</v>
      </c>
      <c r="BR14" s="38">
        <f t="shared" si="35"/>
        <v>0.61517275913870806</v>
      </c>
      <c r="BS14" s="38">
        <f t="shared" si="36"/>
        <v>8.8269909768536688E-4</v>
      </c>
      <c r="BT14" s="38">
        <f t="shared" si="37"/>
        <v>4.0792157378774919E-4</v>
      </c>
      <c r="BU14" s="38">
        <f t="shared" si="38"/>
        <v>0.63061934585942947</v>
      </c>
      <c r="BV14" s="38">
        <f t="shared" si="39"/>
        <v>5.7231463208345084E-3</v>
      </c>
      <c r="BW14" s="38">
        <f t="shared" si="40"/>
        <v>7.2208436724565769E-2</v>
      </c>
      <c r="BX14" s="38">
        <f t="shared" si="41"/>
        <v>3.9586305278174038E-3</v>
      </c>
      <c r="BY14" s="38">
        <f t="shared" si="42"/>
        <v>1.1616650532429815E-3</v>
      </c>
      <c r="BZ14" s="38">
        <f t="shared" si="43"/>
        <v>0</v>
      </c>
      <c r="CA14" s="38">
        <f t="shared" si="44"/>
        <v>0</v>
      </c>
      <c r="CB14" s="38">
        <f t="shared" si="45"/>
        <v>0</v>
      </c>
      <c r="CC14" s="38">
        <f t="shared" si="46"/>
        <v>0</v>
      </c>
      <c r="CD14" s="38">
        <f t="shared" si="47"/>
        <v>1.3305174271988673</v>
      </c>
      <c r="CE14" s="38">
        <f t="shared" si="48"/>
        <v>1.9461374870494867</v>
      </c>
      <c r="CF14" s="38">
        <f t="shared" si="49"/>
        <v>1.5031745989307268</v>
      </c>
      <c r="CG14" s="38">
        <f t="shared" si="50"/>
        <v>2.9253844365596646</v>
      </c>
    </row>
    <row r="15" spans="1:167" ht="15" customHeight="1" x14ac:dyDescent="0.25">
      <c r="A15" s="35" t="s">
        <v>90</v>
      </c>
      <c r="B15" s="15">
        <v>324</v>
      </c>
      <c r="C15" s="102" t="s">
        <v>95</v>
      </c>
      <c r="D15" s="103" t="s">
        <v>105</v>
      </c>
      <c r="E15" s="15">
        <v>156</v>
      </c>
      <c r="F15" s="15" t="s">
        <v>274</v>
      </c>
      <c r="G15" s="16">
        <v>25.29</v>
      </c>
      <c r="H15" s="16">
        <v>39.26</v>
      </c>
      <c r="I15" s="16">
        <v>0.67700000000000005</v>
      </c>
      <c r="J15" s="16">
        <v>0</v>
      </c>
      <c r="K15" s="16">
        <v>7.69</v>
      </c>
      <c r="L15" s="16">
        <v>8.2000000000000003E-2</v>
      </c>
      <c r="M15" s="16">
        <v>0.45200000000000001</v>
      </c>
      <c r="N15" s="16">
        <v>22.59</v>
      </c>
      <c r="O15" s="16">
        <v>0.14399999999999999</v>
      </c>
      <c r="P15" s="16">
        <v>0</v>
      </c>
      <c r="Q15" s="16">
        <v>0</v>
      </c>
      <c r="T15" s="16">
        <f t="shared" si="0"/>
        <v>96.185000000000002</v>
      </c>
      <c r="U15" s="16"/>
      <c r="V15" s="16" t="e">
        <f t="shared" si="51"/>
        <v>#VALUE!</v>
      </c>
      <c r="W15" s="16" t="e">
        <f t="shared" si="52"/>
        <v>#VALUE!</v>
      </c>
      <c r="X15" s="16" t="e">
        <f t="shared" si="53"/>
        <v>#VALUE!</v>
      </c>
      <c r="AB15" s="15" t="s">
        <v>185</v>
      </c>
      <c r="AG15" s="38">
        <f t="shared" si="1"/>
        <v>0</v>
      </c>
      <c r="AH15" s="38">
        <f t="shared" si="2"/>
        <v>0</v>
      </c>
      <c r="AI15" s="38">
        <f t="shared" si="3"/>
        <v>0</v>
      </c>
      <c r="AJ15" s="38">
        <f t="shared" si="4"/>
        <v>0</v>
      </c>
      <c r="AK15" s="38">
        <f t="shared" si="5"/>
        <v>0</v>
      </c>
      <c r="AL15" s="38">
        <f t="shared" si="6"/>
        <v>0</v>
      </c>
      <c r="AM15" s="38">
        <f t="shared" si="7"/>
        <v>0</v>
      </c>
      <c r="AN15" s="38">
        <f t="shared" si="8"/>
        <v>0</v>
      </c>
      <c r="AO15" s="38">
        <f t="shared" si="9"/>
        <v>0</v>
      </c>
      <c r="AP15" s="38">
        <f t="shared" si="10"/>
        <v>0</v>
      </c>
      <c r="AQ15" s="38">
        <f t="shared" si="11"/>
        <v>0</v>
      </c>
      <c r="AR15" s="38">
        <f t="shared" si="12"/>
        <v>0</v>
      </c>
      <c r="AS15" s="38">
        <f t="shared" si="13"/>
        <v>0</v>
      </c>
      <c r="AT15" s="39">
        <f t="shared" si="14"/>
        <v>0</v>
      </c>
      <c r="AU15" s="38">
        <f t="shared" si="15"/>
        <v>0</v>
      </c>
      <c r="AV15" s="38">
        <f t="shared" si="16"/>
        <v>0</v>
      </c>
      <c r="AW15" s="40"/>
      <c r="AX15" s="38" t="str">
        <f t="shared" si="17"/>
        <v/>
      </c>
      <c r="AY15" s="38" t="str">
        <f t="shared" si="18"/>
        <v/>
      </c>
      <c r="AZ15" s="38" t="str">
        <f t="shared" si="19"/>
        <v/>
      </c>
      <c r="BA15" s="38" t="str">
        <f t="shared" si="20"/>
        <v/>
      </c>
      <c r="BB15" s="38" t="str">
        <f t="shared" si="21"/>
        <v/>
      </c>
      <c r="BC15" s="38" t="str">
        <f t="shared" si="22"/>
        <v/>
      </c>
      <c r="BD15" s="38" t="str">
        <f t="shared" si="23"/>
        <v/>
      </c>
      <c r="BE15" s="38" t="str">
        <f t="shared" si="24"/>
        <v/>
      </c>
      <c r="BF15" s="38" t="str">
        <f t="shared" si="25"/>
        <v/>
      </c>
      <c r="BG15" s="38" t="str">
        <f t="shared" si="26"/>
        <v/>
      </c>
      <c r="BH15" s="38" t="str">
        <f t="shared" si="27"/>
        <v/>
      </c>
      <c r="BI15" s="38" t="str">
        <f t="shared" si="28"/>
        <v/>
      </c>
      <c r="BJ15" s="38" t="str">
        <f t="shared" si="29"/>
        <v/>
      </c>
      <c r="BK15" s="38" t="str">
        <f t="shared" si="30"/>
        <v/>
      </c>
      <c r="BL15" s="41" t="str">
        <f t="shared" si="31"/>
        <v/>
      </c>
      <c r="BN15" s="38" t="str">
        <f t="shared" si="32"/>
        <v/>
      </c>
      <c r="BO15" s="38" t="str">
        <f t="shared" si="33"/>
        <v/>
      </c>
      <c r="BQ15" s="38">
        <f t="shared" si="34"/>
        <v>0.42093874833555261</v>
      </c>
      <c r="BR15" s="38">
        <f t="shared" si="35"/>
        <v>0.49148723084626939</v>
      </c>
      <c r="BS15" s="38">
        <f t="shared" si="36"/>
        <v>1.3279717536288742E-2</v>
      </c>
      <c r="BT15" s="38">
        <f t="shared" si="37"/>
        <v>0</v>
      </c>
      <c r="BU15" s="38">
        <f t="shared" si="38"/>
        <v>0.10702853166318721</v>
      </c>
      <c r="BV15" s="38">
        <f t="shared" si="39"/>
        <v>1.1559063997744574E-3</v>
      </c>
      <c r="BW15" s="38">
        <f t="shared" si="40"/>
        <v>1.1215880893300249E-2</v>
      </c>
      <c r="BX15" s="38">
        <f t="shared" si="41"/>
        <v>0.40281740370898717</v>
      </c>
      <c r="BY15" s="38">
        <f t="shared" si="42"/>
        <v>4.6466602129719261E-3</v>
      </c>
      <c r="BZ15" s="38">
        <f t="shared" si="43"/>
        <v>0</v>
      </c>
      <c r="CA15" s="38">
        <f t="shared" si="44"/>
        <v>0</v>
      </c>
      <c r="CB15" s="38">
        <f t="shared" si="45"/>
        <v>0</v>
      </c>
      <c r="CC15" s="38">
        <f t="shared" si="46"/>
        <v>0</v>
      </c>
      <c r="CD15" s="38">
        <f t="shared" si="47"/>
        <v>1.4525700795963317</v>
      </c>
      <c r="CE15" s="38">
        <f t="shared" si="48"/>
        <v>2.3693125874398118</v>
      </c>
      <c r="CF15" s="38">
        <f t="shared" si="49"/>
        <v>0</v>
      </c>
      <c r="CG15" s="38">
        <f t="shared" si="50"/>
        <v>0</v>
      </c>
    </row>
    <row r="16" spans="1:167" ht="15" customHeight="1" x14ac:dyDescent="0.25">
      <c r="A16" s="35" t="s">
        <v>90</v>
      </c>
      <c r="B16" s="15">
        <v>325</v>
      </c>
      <c r="C16" s="102" t="s">
        <v>95</v>
      </c>
      <c r="D16" s="103" t="s">
        <v>105</v>
      </c>
      <c r="E16" s="15">
        <v>157</v>
      </c>
      <c r="F16" s="15" t="s">
        <v>279</v>
      </c>
      <c r="G16" s="16">
        <v>5.8999999999999997E-2</v>
      </c>
      <c r="H16" s="16">
        <v>48.96</v>
      </c>
      <c r="I16" s="16">
        <v>0.10100000000000001</v>
      </c>
      <c r="J16" s="16">
        <v>8.6999999999999994E-2</v>
      </c>
      <c r="K16" s="16">
        <v>44.08</v>
      </c>
      <c r="L16" s="16">
        <v>0.40699999999999997</v>
      </c>
      <c r="M16" s="16">
        <v>2.78</v>
      </c>
      <c r="N16" s="16">
        <v>0.27400000000000002</v>
      </c>
      <c r="O16" s="16">
        <v>2.1999999999999999E-2</v>
      </c>
      <c r="P16" s="16">
        <v>0</v>
      </c>
      <c r="Q16" s="16">
        <v>0</v>
      </c>
      <c r="T16" s="16">
        <f t="shared" si="0"/>
        <v>96.77000000000001</v>
      </c>
      <c r="U16" s="16"/>
      <c r="V16" s="16">
        <f t="shared" si="51"/>
        <v>38.28712909411194</v>
      </c>
      <c r="W16" s="16">
        <f t="shared" si="52"/>
        <v>6.437617437713401</v>
      </c>
      <c r="X16" s="16">
        <f t="shared" si="53"/>
        <v>97.41474653182533</v>
      </c>
      <c r="AD16" s="15">
        <v>3</v>
      </c>
      <c r="AE16" s="15">
        <v>2</v>
      </c>
      <c r="AG16" s="38">
        <f t="shared" si="1"/>
        <v>1.5296698128378298E-3</v>
      </c>
      <c r="AH16" s="38">
        <f t="shared" si="2"/>
        <v>0.95472646531562855</v>
      </c>
      <c r="AI16" s="38">
        <f t="shared" si="3"/>
        <v>3.0860087365217927E-3</v>
      </c>
      <c r="AJ16" s="38">
        <f t="shared" si="4"/>
        <v>1.7832401830430015E-3</v>
      </c>
      <c r="AK16" s="38">
        <f t="shared" si="5"/>
        <v>0.95563142342721619</v>
      </c>
      <c r="AL16" s="38">
        <f t="shared" si="6"/>
        <v>8.9367340456260012E-3</v>
      </c>
      <c r="AM16" s="38">
        <f t="shared" si="7"/>
        <v>0.10745221152699043</v>
      </c>
      <c r="AN16" s="38">
        <f t="shared" si="8"/>
        <v>7.6105872015012847E-3</v>
      </c>
      <c r="AO16" s="38">
        <f t="shared" si="9"/>
        <v>1.1058003247720861E-3</v>
      </c>
      <c r="AP16" s="38">
        <f t="shared" si="10"/>
        <v>0</v>
      </c>
      <c r="AQ16" s="38">
        <f t="shared" si="11"/>
        <v>0</v>
      </c>
      <c r="AR16" s="38">
        <f t="shared" si="12"/>
        <v>0</v>
      </c>
      <c r="AS16" s="38">
        <f t="shared" si="13"/>
        <v>0</v>
      </c>
      <c r="AT16" s="39">
        <f t="shared" si="14"/>
        <v>2.0418621405741373</v>
      </c>
      <c r="AU16" s="38">
        <f t="shared" si="15"/>
        <v>4.6156785493596227E-3</v>
      </c>
      <c r="AV16" s="38">
        <f t="shared" si="16"/>
        <v>8.7163875262733712E-3</v>
      </c>
      <c r="AW16" s="40"/>
      <c r="AX16" s="38">
        <f t="shared" si="17"/>
        <v>1.4983086100099907E-3</v>
      </c>
      <c r="AY16" s="38">
        <f t="shared" si="18"/>
        <v>0.93515271804508371</v>
      </c>
      <c r="AZ16" s="38">
        <f t="shared" si="19"/>
        <v>3.0227395622841212E-3</v>
      </c>
      <c r="BA16" s="38">
        <f t="shared" si="20"/>
        <v>1.7466802950189229E-3</v>
      </c>
      <c r="BB16" s="38">
        <f t="shared" si="21"/>
        <v>0.81302746665493264</v>
      </c>
      <c r="BC16" s="38">
        <f t="shared" si="22"/>
        <v>0.12301165610240372</v>
      </c>
      <c r="BD16" s="38">
        <f t="shared" si="23"/>
        <v>8.7535136364428039E-3</v>
      </c>
      <c r="BE16" s="38">
        <f t="shared" si="24"/>
        <v>0.10524923244502363</v>
      </c>
      <c r="BF16" s="38">
        <f t="shared" si="25"/>
        <v>7.4545553789065466E-3</v>
      </c>
      <c r="BG16" s="38">
        <f t="shared" si="26"/>
        <v>1.0831292698939546E-3</v>
      </c>
      <c r="BH16" s="38">
        <f t="shared" si="27"/>
        <v>0</v>
      </c>
      <c r="BI16" s="38">
        <f t="shared" si="28"/>
        <v>0</v>
      </c>
      <c r="BJ16" s="38">
        <f t="shared" si="29"/>
        <v>0</v>
      </c>
      <c r="BK16" s="38">
        <f t="shared" si="30"/>
        <v>0</v>
      </c>
      <c r="BL16" s="41">
        <f t="shared" si="31"/>
        <v>1.9999999999999998</v>
      </c>
      <c r="BM16" s="42">
        <f t="shared" ref="BM16:BM47" si="55">(AX16+AY16)*2+(AZ16+BA16+BC16)*1.5+BB16+BD16+BE16+BF16+(BG16+BH16)*0.5+BI16*2.5+BJ16*3  -(0.5*(BK16))</f>
        <v>3.0000000000000004</v>
      </c>
      <c r="BN16" s="38">
        <f t="shared" si="32"/>
        <v>4.5210481722941119E-3</v>
      </c>
      <c r="BO16" s="38">
        <f t="shared" si="33"/>
        <v>8.5376846488005014E-3</v>
      </c>
      <c r="BQ16" s="38">
        <f t="shared" si="34"/>
        <v>9.8202396804260988E-4</v>
      </c>
      <c r="BR16" s="38">
        <f t="shared" si="35"/>
        <v>0.61291937906860294</v>
      </c>
      <c r="BS16" s="38">
        <f t="shared" si="36"/>
        <v>1.9811690859160456E-3</v>
      </c>
      <c r="BT16" s="38">
        <f t="shared" si="37"/>
        <v>1.1448121586946508E-3</v>
      </c>
      <c r="BU16" s="38">
        <f t="shared" si="38"/>
        <v>0.61350034794711206</v>
      </c>
      <c r="BV16" s="38">
        <f t="shared" si="39"/>
        <v>5.7372427403439528E-3</v>
      </c>
      <c r="BW16" s="38">
        <f t="shared" si="40"/>
        <v>6.8982630272952858E-2</v>
      </c>
      <c r="BX16" s="38">
        <f t="shared" si="41"/>
        <v>4.8858773181169766E-3</v>
      </c>
      <c r="BY16" s="38">
        <f t="shared" si="42"/>
        <v>7.0990642142626655E-4</v>
      </c>
      <c r="BZ16" s="38">
        <f t="shared" si="43"/>
        <v>0</v>
      </c>
      <c r="CA16" s="38">
        <f t="shared" si="44"/>
        <v>0</v>
      </c>
      <c r="CB16" s="38">
        <f t="shared" si="45"/>
        <v>0</v>
      </c>
      <c r="CC16" s="38">
        <f t="shared" si="46"/>
        <v>0</v>
      </c>
      <c r="CD16" s="38">
        <f t="shared" si="47"/>
        <v>1.3108433889812083</v>
      </c>
      <c r="CE16" s="38">
        <f t="shared" si="48"/>
        <v>1.9259528294294461</v>
      </c>
      <c r="CF16" s="38">
        <f t="shared" si="49"/>
        <v>1.5257352760915295</v>
      </c>
      <c r="CG16" s="38">
        <f t="shared" si="50"/>
        <v>2.9384941719487983</v>
      </c>
    </row>
    <row r="17" spans="1:85" ht="15" customHeight="1" x14ac:dyDescent="0.25">
      <c r="A17" s="35" t="s">
        <v>90</v>
      </c>
      <c r="B17" s="15">
        <v>341</v>
      </c>
      <c r="C17" s="102" t="s">
        <v>95</v>
      </c>
      <c r="D17" s="103" t="s">
        <v>105</v>
      </c>
      <c r="E17" s="15">
        <v>173</v>
      </c>
      <c r="F17" s="15" t="s">
        <v>276</v>
      </c>
      <c r="G17" s="16">
        <v>98.72</v>
      </c>
      <c r="H17" s="16">
        <v>0</v>
      </c>
      <c r="I17" s="16">
        <v>0.34399999999999997</v>
      </c>
      <c r="J17" s="16">
        <v>0</v>
      </c>
      <c r="K17" s="16">
        <v>0</v>
      </c>
      <c r="L17" s="16">
        <v>0</v>
      </c>
      <c r="M17" s="16">
        <v>0</v>
      </c>
      <c r="N17" s="16">
        <v>2.5000000000000001E-2</v>
      </c>
      <c r="O17" s="16">
        <v>4.1000000000000002E-2</v>
      </c>
      <c r="P17" s="16">
        <v>8.3000000000000004E-2</v>
      </c>
      <c r="Q17" s="16">
        <v>0</v>
      </c>
      <c r="T17" s="16">
        <f t="shared" si="0"/>
        <v>99.212999999999994</v>
      </c>
      <c r="U17" s="16"/>
      <c r="V17" s="16" t="e">
        <f t="shared" si="51"/>
        <v>#DIV/0!</v>
      </c>
      <c r="W17" s="16" t="e">
        <f t="shared" si="52"/>
        <v>#DIV/0!</v>
      </c>
      <c r="X17" s="16" t="e">
        <f t="shared" si="53"/>
        <v>#DIV/0!</v>
      </c>
      <c r="Y17" s="15">
        <v>1</v>
      </c>
      <c r="Z17" s="15">
        <v>16</v>
      </c>
      <c r="AA17" s="15">
        <v>345</v>
      </c>
      <c r="AB17" s="15" t="s">
        <v>186</v>
      </c>
      <c r="AD17" s="15">
        <v>2</v>
      </c>
      <c r="AE17" s="15">
        <v>1</v>
      </c>
      <c r="AG17" s="38">
        <f t="shared" si="1"/>
        <v>0.99632851253285082</v>
      </c>
      <c r="AH17" s="38">
        <f t="shared" si="2"/>
        <v>0</v>
      </c>
      <c r="AI17" s="38">
        <f t="shared" si="3"/>
        <v>4.0915319580912147E-3</v>
      </c>
      <c r="AJ17" s="38">
        <f t="shared" si="4"/>
        <v>0</v>
      </c>
      <c r="AK17" s="38">
        <f t="shared" si="5"/>
        <v>0</v>
      </c>
      <c r="AL17" s="38">
        <f t="shared" si="6"/>
        <v>0</v>
      </c>
      <c r="AM17" s="38">
        <f t="shared" si="7"/>
        <v>0</v>
      </c>
      <c r="AN17" s="38">
        <f t="shared" si="8"/>
        <v>2.7030827433956753E-4</v>
      </c>
      <c r="AO17" s="38">
        <f t="shared" si="9"/>
        <v>8.022128544994913E-4</v>
      </c>
      <c r="AP17" s="38">
        <f t="shared" si="10"/>
        <v>1.0685245911438849E-3</v>
      </c>
      <c r="AQ17" s="38">
        <f t="shared" si="11"/>
        <v>0</v>
      </c>
      <c r="AR17" s="38">
        <f t="shared" si="12"/>
        <v>0</v>
      </c>
      <c r="AS17" s="38">
        <f t="shared" si="13"/>
        <v>0</v>
      </c>
      <c r="AT17" s="39">
        <f t="shared" si="14"/>
        <v>1.0025610902109252</v>
      </c>
      <c r="AU17" s="38">
        <f t="shared" si="15"/>
        <v>1.0004200444909421</v>
      </c>
      <c r="AV17" s="38">
        <f t="shared" si="16"/>
        <v>2.1410457199829438E-3</v>
      </c>
      <c r="AW17" s="40"/>
      <c r="AX17" s="38">
        <f t="shared" si="17"/>
        <v>0.99378334373941957</v>
      </c>
      <c r="AY17" s="38">
        <f t="shared" si="18"/>
        <v>0</v>
      </c>
      <c r="AZ17" s="38">
        <f t="shared" si="19"/>
        <v>4.0810799441961315E-3</v>
      </c>
      <c r="BA17" s="38">
        <f t="shared" si="20"/>
        <v>0</v>
      </c>
      <c r="BB17" s="38">
        <f t="shared" si="21"/>
        <v>0</v>
      </c>
      <c r="BC17" s="38">
        <f t="shared" si="22"/>
        <v>0</v>
      </c>
      <c r="BD17" s="38">
        <f t="shared" si="23"/>
        <v>0</v>
      </c>
      <c r="BE17" s="38">
        <f t="shared" si="24"/>
        <v>0</v>
      </c>
      <c r="BF17" s="38">
        <f t="shared" si="25"/>
        <v>2.6961775893646379E-4</v>
      </c>
      <c r="BG17" s="38">
        <f t="shared" si="26"/>
        <v>8.0016356343005175E-4</v>
      </c>
      <c r="BH17" s="38">
        <f t="shared" si="27"/>
        <v>1.065794994017853E-3</v>
      </c>
      <c r="BI17" s="38">
        <f t="shared" si="28"/>
        <v>0</v>
      </c>
      <c r="BJ17" s="38">
        <f t="shared" si="29"/>
        <v>0</v>
      </c>
      <c r="BK17" s="38">
        <f t="shared" si="30"/>
        <v>0</v>
      </c>
      <c r="BL17" s="41">
        <f t="shared" si="31"/>
        <v>1</v>
      </c>
      <c r="BM17" s="42">
        <f t="shared" si="55"/>
        <v>1.9948909044327938</v>
      </c>
      <c r="BN17" s="38">
        <f t="shared" si="32"/>
        <v>0.99786442368361572</v>
      </c>
      <c r="BO17" s="38">
        <f t="shared" si="33"/>
        <v>2.1355763163843685E-3</v>
      </c>
      <c r="BQ17" s="38">
        <f t="shared" si="34"/>
        <v>1.6431424766977363</v>
      </c>
      <c r="BR17" s="38">
        <f t="shared" si="35"/>
        <v>0</v>
      </c>
      <c r="BS17" s="38">
        <f t="shared" si="36"/>
        <v>6.7477442134170262E-3</v>
      </c>
      <c r="BT17" s="38">
        <f t="shared" si="37"/>
        <v>0</v>
      </c>
      <c r="BU17" s="38">
        <f t="shared" si="38"/>
        <v>0</v>
      </c>
      <c r="BV17" s="38">
        <f t="shared" si="39"/>
        <v>0</v>
      </c>
      <c r="BW17" s="38">
        <f t="shared" si="40"/>
        <v>0</v>
      </c>
      <c r="BX17" s="38">
        <f t="shared" si="41"/>
        <v>4.4579172610556349E-4</v>
      </c>
      <c r="BY17" s="38">
        <f t="shared" si="42"/>
        <v>1.3230074217489515E-3</v>
      </c>
      <c r="BZ17" s="38">
        <f t="shared" si="43"/>
        <v>1.762208067940552E-3</v>
      </c>
      <c r="CA17" s="38">
        <f t="shared" si="44"/>
        <v>0</v>
      </c>
      <c r="CB17" s="38">
        <f t="shared" si="45"/>
        <v>0</v>
      </c>
      <c r="CC17" s="38">
        <f t="shared" si="46"/>
        <v>0</v>
      </c>
      <c r="CD17" s="38">
        <f t="shared" si="47"/>
        <v>1.6534212281269483</v>
      </c>
      <c r="CE17" s="38">
        <f t="shared" si="48"/>
        <v>3.2983949691865484</v>
      </c>
      <c r="CF17" s="38">
        <f t="shared" si="49"/>
        <v>0.6048065568462756</v>
      </c>
      <c r="CG17" s="38">
        <f t="shared" si="50"/>
        <v>1.9948909044327936</v>
      </c>
    </row>
    <row r="18" spans="1:85" ht="15" customHeight="1" x14ac:dyDescent="0.25">
      <c r="A18" s="35" t="s">
        <v>90</v>
      </c>
      <c r="B18" s="15">
        <v>342</v>
      </c>
      <c r="C18" s="102" t="s">
        <v>95</v>
      </c>
      <c r="D18" s="103" t="s">
        <v>105</v>
      </c>
      <c r="E18" s="15">
        <v>174</v>
      </c>
      <c r="F18" s="15" t="s">
        <v>276</v>
      </c>
      <c r="G18" s="16">
        <v>99.37</v>
      </c>
      <c r="H18" s="16">
        <v>0</v>
      </c>
      <c r="I18" s="16">
        <v>4.7E-2</v>
      </c>
      <c r="J18" s="16">
        <v>0</v>
      </c>
      <c r="K18" s="16">
        <v>0</v>
      </c>
      <c r="L18" s="16">
        <v>0</v>
      </c>
      <c r="M18" s="16">
        <v>0</v>
      </c>
      <c r="N18" s="16">
        <v>0</v>
      </c>
      <c r="O18" s="16">
        <v>2.1000000000000001E-2</v>
      </c>
      <c r="P18" s="16">
        <v>0.01</v>
      </c>
      <c r="Q18" s="16">
        <v>0</v>
      </c>
      <c r="T18" s="16">
        <f t="shared" si="0"/>
        <v>99.448000000000008</v>
      </c>
      <c r="U18" s="16"/>
      <c r="V18" s="16" t="e">
        <f t="shared" si="51"/>
        <v>#DIV/0!</v>
      </c>
      <c r="W18" s="16" t="e">
        <f t="shared" si="52"/>
        <v>#DIV/0!</v>
      </c>
      <c r="X18" s="16" t="e">
        <f t="shared" si="53"/>
        <v>#DIV/0!</v>
      </c>
      <c r="Y18" s="15">
        <v>1</v>
      </c>
      <c r="Z18" s="15">
        <v>17</v>
      </c>
      <c r="AA18" s="15">
        <v>368</v>
      </c>
      <c r="AB18" s="15" t="s">
        <v>186</v>
      </c>
      <c r="AD18" s="15">
        <v>2</v>
      </c>
      <c r="AE18" s="15">
        <v>1</v>
      </c>
      <c r="AG18" s="38">
        <f t="shared" si="1"/>
        <v>0.99944773140405274</v>
      </c>
      <c r="AH18" s="38">
        <f t="shared" si="2"/>
        <v>0</v>
      </c>
      <c r="AI18" s="38">
        <f t="shared" si="3"/>
        <v>5.5709947285977523E-4</v>
      </c>
      <c r="AJ18" s="38">
        <f t="shared" si="4"/>
        <v>0</v>
      </c>
      <c r="AK18" s="38">
        <f t="shared" si="5"/>
        <v>0</v>
      </c>
      <c r="AL18" s="38">
        <f t="shared" si="6"/>
        <v>0</v>
      </c>
      <c r="AM18" s="38">
        <f t="shared" si="7"/>
        <v>0</v>
      </c>
      <c r="AN18" s="38">
        <f t="shared" si="8"/>
        <v>0</v>
      </c>
      <c r="AO18" s="38">
        <f t="shared" si="9"/>
        <v>4.0947975919082905E-4</v>
      </c>
      <c r="AP18" s="38">
        <f t="shared" si="10"/>
        <v>1.2829620601884331E-4</v>
      </c>
      <c r="AQ18" s="38">
        <f t="shared" si="11"/>
        <v>0</v>
      </c>
      <c r="AR18" s="38">
        <f t="shared" si="12"/>
        <v>0</v>
      </c>
      <c r="AS18" s="38">
        <f t="shared" si="13"/>
        <v>0</v>
      </c>
      <c r="AT18" s="39">
        <f t="shared" si="14"/>
        <v>1.0005426068421224</v>
      </c>
      <c r="AU18" s="38">
        <f t="shared" si="15"/>
        <v>1.0000048308769125</v>
      </c>
      <c r="AV18" s="38">
        <f t="shared" si="16"/>
        <v>5.3777596520967238E-4</v>
      </c>
      <c r="AW18" s="40"/>
      <c r="AX18" s="38">
        <f t="shared" si="17"/>
        <v>0.99890571832665354</v>
      </c>
      <c r="AY18" s="38">
        <f t="shared" si="18"/>
        <v>0</v>
      </c>
      <c r="AZ18" s="38">
        <f t="shared" si="19"/>
        <v>5.5679735080755145E-4</v>
      </c>
      <c r="BA18" s="38">
        <f t="shared" si="20"/>
        <v>0</v>
      </c>
      <c r="BB18" s="38">
        <f t="shared" si="21"/>
        <v>0</v>
      </c>
      <c r="BC18" s="38">
        <f t="shared" si="22"/>
        <v>0</v>
      </c>
      <c r="BD18" s="38">
        <f t="shared" si="23"/>
        <v>0</v>
      </c>
      <c r="BE18" s="38">
        <f t="shared" si="24"/>
        <v>0</v>
      </c>
      <c r="BF18" s="38">
        <f t="shared" si="25"/>
        <v>0</v>
      </c>
      <c r="BG18" s="38">
        <f t="shared" si="26"/>
        <v>4.0925769316632583E-4</v>
      </c>
      <c r="BH18" s="38">
        <f t="shared" si="27"/>
        <v>1.2822662937240356E-4</v>
      </c>
      <c r="BI18" s="38">
        <f t="shared" si="28"/>
        <v>0</v>
      </c>
      <c r="BJ18" s="38">
        <f t="shared" si="29"/>
        <v>0</v>
      </c>
      <c r="BK18" s="38">
        <f t="shared" si="30"/>
        <v>0</v>
      </c>
      <c r="BL18" s="41">
        <f t="shared" si="31"/>
        <v>0.99999999999999989</v>
      </c>
      <c r="BM18" s="42">
        <f t="shared" si="55"/>
        <v>1.9989153748407877</v>
      </c>
      <c r="BN18" s="38">
        <f t="shared" si="32"/>
        <v>0.99946251567746114</v>
      </c>
      <c r="BO18" s="38">
        <f t="shared" si="33"/>
        <v>5.3748432253872941E-4</v>
      </c>
      <c r="BQ18" s="38">
        <f t="shared" si="34"/>
        <v>1.6539613848202399</v>
      </c>
      <c r="BR18" s="38">
        <f t="shared" si="35"/>
        <v>0</v>
      </c>
      <c r="BS18" s="38">
        <f t="shared" si="36"/>
        <v>9.2193016869360537E-4</v>
      </c>
      <c r="BT18" s="38">
        <f t="shared" si="37"/>
        <v>0</v>
      </c>
      <c r="BU18" s="38">
        <f t="shared" si="38"/>
        <v>0</v>
      </c>
      <c r="BV18" s="38">
        <f t="shared" si="39"/>
        <v>0</v>
      </c>
      <c r="BW18" s="38">
        <f t="shared" si="40"/>
        <v>0</v>
      </c>
      <c r="BX18" s="38">
        <f t="shared" si="41"/>
        <v>0</v>
      </c>
      <c r="BY18" s="38">
        <f t="shared" si="42"/>
        <v>6.7763794772507271E-4</v>
      </c>
      <c r="BZ18" s="38">
        <f t="shared" si="43"/>
        <v>2.1231422505307856E-4</v>
      </c>
      <c r="CA18" s="38">
        <f t="shared" si="44"/>
        <v>0</v>
      </c>
      <c r="CB18" s="38">
        <f t="shared" si="45"/>
        <v>0</v>
      </c>
      <c r="CC18" s="38">
        <f t="shared" si="46"/>
        <v>0</v>
      </c>
      <c r="CD18" s="38">
        <f t="shared" si="47"/>
        <v>1.6557732671617118</v>
      </c>
      <c r="CE18" s="38">
        <f t="shared" si="48"/>
        <v>3.3097506409799093</v>
      </c>
      <c r="CF18" s="38">
        <f t="shared" si="49"/>
        <v>0.60394742434402071</v>
      </c>
      <c r="CG18" s="38">
        <f t="shared" si="50"/>
        <v>1.998915374840788</v>
      </c>
    </row>
    <row r="19" spans="1:85" ht="15" customHeight="1" x14ac:dyDescent="0.25">
      <c r="A19" s="35" t="s">
        <v>257</v>
      </c>
      <c r="B19" s="15">
        <v>1237</v>
      </c>
      <c r="C19" s="102" t="s">
        <v>101</v>
      </c>
      <c r="D19" s="103" t="s">
        <v>104</v>
      </c>
      <c r="E19" s="15">
        <v>70</v>
      </c>
      <c r="F19" s="15" t="s">
        <v>280</v>
      </c>
      <c r="G19" s="16">
        <v>37.24</v>
      </c>
      <c r="H19" s="16">
        <v>5.89</v>
      </c>
      <c r="I19" s="16">
        <v>13.79</v>
      </c>
      <c r="J19" s="16">
        <v>8.5000000000000006E-2</v>
      </c>
      <c r="K19" s="16">
        <v>12.01</v>
      </c>
      <c r="L19" s="16">
        <v>8.8999999999999996E-2</v>
      </c>
      <c r="M19" s="16">
        <v>15.67</v>
      </c>
      <c r="N19" s="16">
        <v>0</v>
      </c>
      <c r="O19" s="16">
        <v>0.63400000000000001</v>
      </c>
      <c r="P19" s="16">
        <v>9.52</v>
      </c>
      <c r="Q19" s="16">
        <v>0</v>
      </c>
      <c r="R19" s="16">
        <v>0</v>
      </c>
      <c r="S19" s="16">
        <v>0</v>
      </c>
      <c r="T19" s="16">
        <f t="shared" si="0"/>
        <v>94.927999999999997</v>
      </c>
      <c r="U19" s="16"/>
      <c r="V19" s="16">
        <f t="shared" si="51"/>
        <v>0</v>
      </c>
      <c r="W19" s="16">
        <f t="shared" si="52"/>
        <v>13.346712999999999</v>
      </c>
      <c r="X19" s="16">
        <f t="shared" si="53"/>
        <v>96.264713</v>
      </c>
      <c r="AB19" s="15" t="s">
        <v>185</v>
      </c>
      <c r="AD19" s="15">
        <v>11</v>
      </c>
      <c r="AE19" s="15">
        <v>7</v>
      </c>
      <c r="AG19" s="38">
        <f t="shared" si="1"/>
        <v>2.7681441992627986</v>
      </c>
      <c r="AH19" s="38">
        <f t="shared" si="2"/>
        <v>0.32929580648031848</v>
      </c>
      <c r="AI19" s="38">
        <f t="shared" si="3"/>
        <v>1.2080179750523814</v>
      </c>
      <c r="AJ19" s="38">
        <f t="shared" si="4"/>
        <v>4.9950848272903008E-3</v>
      </c>
      <c r="AK19" s="38">
        <f t="shared" si="5"/>
        <v>0.7464920663332294</v>
      </c>
      <c r="AL19" s="38">
        <f t="shared" si="6"/>
        <v>5.6028343685705301E-3</v>
      </c>
      <c r="AM19" s="38">
        <f t="shared" si="7"/>
        <v>1.7364924996702222</v>
      </c>
      <c r="AN19" s="38">
        <f t="shared" si="8"/>
        <v>0</v>
      </c>
      <c r="AO19" s="38">
        <f t="shared" si="9"/>
        <v>9.1364323557600491E-2</v>
      </c>
      <c r="AP19" s="38">
        <f t="shared" si="10"/>
        <v>0.90266167308687362</v>
      </c>
      <c r="AQ19" s="38">
        <f t="shared" si="11"/>
        <v>0</v>
      </c>
      <c r="AR19" s="38">
        <f t="shared" si="12"/>
        <v>0</v>
      </c>
      <c r="AS19" s="38">
        <f t="shared" si="13"/>
        <v>0</v>
      </c>
      <c r="AT19" s="39">
        <f t="shared" si="14"/>
        <v>7.7930664626392847</v>
      </c>
      <c r="AU19" s="38">
        <f t="shared" si="15"/>
        <v>3.97616217431518</v>
      </c>
      <c r="AV19" s="38">
        <f t="shared" si="16"/>
        <v>0.99402599664447411</v>
      </c>
      <c r="AW19" s="40"/>
      <c r="AX19" s="38">
        <f t="shared" si="17"/>
        <v>2.4864422095891072</v>
      </c>
      <c r="AY19" s="38">
        <f t="shared" si="18"/>
        <v>0.29578480517431249</v>
      </c>
      <c r="AZ19" s="38">
        <f t="shared" si="19"/>
        <v>1.0850832423804102</v>
      </c>
      <c r="BA19" s="38">
        <f t="shared" si="20"/>
        <v>4.4867567803586108E-3</v>
      </c>
      <c r="BB19" s="38">
        <f t="shared" si="21"/>
        <v>0</v>
      </c>
      <c r="BC19" s="38">
        <f t="shared" si="22"/>
        <v>0.67052481707732037</v>
      </c>
      <c r="BD19" s="38">
        <f t="shared" si="23"/>
        <v>5.0326582954241987E-3</v>
      </c>
      <c r="BE19" s="38">
        <f t="shared" si="24"/>
        <v>1.5597772142668036</v>
      </c>
      <c r="BF19" s="38">
        <f t="shared" si="25"/>
        <v>0</v>
      </c>
      <c r="BG19" s="38">
        <f t="shared" si="26"/>
        <v>8.2066573917888339E-2</v>
      </c>
      <c r="BH19" s="38">
        <f t="shared" si="27"/>
        <v>0.81080172251837557</v>
      </c>
      <c r="BI19" s="38">
        <f t="shared" si="28"/>
        <v>0</v>
      </c>
      <c r="BJ19" s="38">
        <f t="shared" si="29"/>
        <v>0</v>
      </c>
      <c r="BK19" s="38">
        <f t="shared" si="30"/>
        <v>0</v>
      </c>
      <c r="BL19" s="41">
        <f t="shared" si="31"/>
        <v>7.0000000000000009</v>
      </c>
      <c r="BM19" s="42">
        <f t="shared" si="55"/>
        <v>10.215840274664332</v>
      </c>
      <c r="BN19" s="38">
        <f t="shared" si="32"/>
        <v>3.5715254519695172</v>
      </c>
      <c r="BO19" s="38">
        <f t="shared" si="33"/>
        <v>0.89286829643626386</v>
      </c>
      <c r="BQ19" s="38">
        <f t="shared" si="34"/>
        <v>0.61984021304926773</v>
      </c>
      <c r="BR19" s="38">
        <f t="shared" si="35"/>
        <v>7.3735603405107666E-2</v>
      </c>
      <c r="BS19" s="38">
        <f t="shared" si="36"/>
        <v>0.27049823460180461</v>
      </c>
      <c r="BT19" s="38">
        <f t="shared" si="37"/>
        <v>1.1184946378051189E-3</v>
      </c>
      <c r="BU19" s="38">
        <f t="shared" si="38"/>
        <v>0.16715379262352123</v>
      </c>
      <c r="BV19" s="38">
        <f t="shared" si="39"/>
        <v>1.2545813363405694E-3</v>
      </c>
      <c r="BW19" s="38">
        <f t="shared" si="40"/>
        <v>0.38883374689826306</v>
      </c>
      <c r="BX19" s="38">
        <f t="shared" si="41"/>
        <v>0</v>
      </c>
      <c r="BY19" s="38">
        <f t="shared" si="42"/>
        <v>2.0458212326556955E-2</v>
      </c>
      <c r="BZ19" s="38">
        <f t="shared" si="43"/>
        <v>0.20212314225053077</v>
      </c>
      <c r="CA19" s="38">
        <f t="shared" si="44"/>
        <v>0</v>
      </c>
      <c r="CB19" s="38">
        <f t="shared" si="45"/>
        <v>0</v>
      </c>
      <c r="CC19" s="38">
        <f t="shared" si="46"/>
        <v>0</v>
      </c>
      <c r="CD19" s="38">
        <f t="shared" si="47"/>
        <v>1.7450160211291974</v>
      </c>
      <c r="CE19" s="38">
        <f t="shared" si="48"/>
        <v>2.463109524914834</v>
      </c>
      <c r="CF19" s="38">
        <f t="shared" si="49"/>
        <v>4.0114244885100305</v>
      </c>
      <c r="CG19" s="38">
        <f t="shared" si="50"/>
        <v>9.8805778661256731</v>
      </c>
    </row>
    <row r="20" spans="1:85" ht="15" customHeight="1" x14ac:dyDescent="0.25">
      <c r="A20" s="35" t="s">
        <v>257</v>
      </c>
      <c r="B20" s="15">
        <v>1238</v>
      </c>
      <c r="C20" s="102" t="s">
        <v>101</v>
      </c>
      <c r="D20" s="103" t="s">
        <v>104</v>
      </c>
      <c r="E20" s="15">
        <v>71</v>
      </c>
      <c r="F20" s="15" t="s">
        <v>280</v>
      </c>
      <c r="G20" s="16">
        <v>37.31</v>
      </c>
      <c r="H20" s="16">
        <v>6.16</v>
      </c>
      <c r="I20" s="16">
        <v>13.71</v>
      </c>
      <c r="J20" s="16">
        <v>0.10100000000000001</v>
      </c>
      <c r="K20" s="16">
        <v>11.89</v>
      </c>
      <c r="L20" s="16">
        <v>0.06</v>
      </c>
      <c r="M20" s="16">
        <v>15.93</v>
      </c>
      <c r="N20" s="16">
        <v>4.3999999999999997E-2</v>
      </c>
      <c r="O20" s="16">
        <v>0.88800000000000001</v>
      </c>
      <c r="P20" s="16">
        <v>9.19</v>
      </c>
      <c r="Q20" s="16">
        <v>0</v>
      </c>
      <c r="R20" s="16">
        <v>0</v>
      </c>
      <c r="S20" s="16">
        <v>0</v>
      </c>
      <c r="T20" s="16">
        <f t="shared" si="0"/>
        <v>95.283000000000001</v>
      </c>
      <c r="U20" s="16"/>
      <c r="V20" s="16">
        <f t="shared" si="51"/>
        <v>0</v>
      </c>
      <c r="W20" s="16">
        <f t="shared" si="52"/>
        <v>13.213357</v>
      </c>
      <c r="X20" s="16">
        <f t="shared" si="53"/>
        <v>96.606357000000003</v>
      </c>
      <c r="AB20" s="15" t="s">
        <v>185</v>
      </c>
      <c r="AD20" s="15">
        <v>11</v>
      </c>
      <c r="AE20" s="15">
        <v>7</v>
      </c>
      <c r="AG20" s="38">
        <f t="shared" si="1"/>
        <v>2.7590047767327897</v>
      </c>
      <c r="AH20" s="38">
        <f t="shared" si="2"/>
        <v>0.34260980154042814</v>
      </c>
      <c r="AI20" s="38">
        <f t="shared" si="3"/>
        <v>1.1947987264041897</v>
      </c>
      <c r="AJ20" s="38">
        <f t="shared" si="4"/>
        <v>5.9046407821857494E-3</v>
      </c>
      <c r="AK20" s="38">
        <f t="shared" si="5"/>
        <v>0.73521136106159424</v>
      </c>
      <c r="AL20" s="38">
        <f t="shared" si="6"/>
        <v>3.7576575064874737E-3</v>
      </c>
      <c r="AM20" s="38">
        <f t="shared" si="7"/>
        <v>1.7561752690313595</v>
      </c>
      <c r="AN20" s="38">
        <f t="shared" si="8"/>
        <v>3.4857946488497803E-3</v>
      </c>
      <c r="AO20" s="38">
        <f t="shared" si="9"/>
        <v>0.12730589570672077</v>
      </c>
      <c r="AP20" s="38">
        <f t="shared" si="10"/>
        <v>0.86686552514470427</v>
      </c>
      <c r="AQ20" s="38">
        <f t="shared" si="11"/>
        <v>0</v>
      </c>
      <c r="AR20" s="38">
        <f t="shared" si="12"/>
        <v>0</v>
      </c>
      <c r="AS20" s="38">
        <f t="shared" si="13"/>
        <v>0</v>
      </c>
      <c r="AT20" s="39">
        <f t="shared" si="14"/>
        <v>7.7951194485593103</v>
      </c>
      <c r="AU20" s="38">
        <f t="shared" si="15"/>
        <v>3.9538035031369794</v>
      </c>
      <c r="AV20" s="38">
        <f t="shared" si="16"/>
        <v>0.99765721550027486</v>
      </c>
      <c r="AW20" s="40"/>
      <c r="AX20" s="38">
        <f t="shared" si="17"/>
        <v>2.4775801788000762</v>
      </c>
      <c r="AY20" s="38">
        <f t="shared" si="18"/>
        <v>0.30766284296339341</v>
      </c>
      <c r="AZ20" s="38">
        <f t="shared" si="19"/>
        <v>1.0729266100438117</v>
      </c>
      <c r="BA20" s="38">
        <f t="shared" si="20"/>
        <v>5.302354344671305E-3</v>
      </c>
      <c r="BB20" s="38">
        <f t="shared" si="21"/>
        <v>0</v>
      </c>
      <c r="BC20" s="38">
        <f t="shared" si="22"/>
        <v>0.6602181738706171</v>
      </c>
      <c r="BD20" s="38">
        <f t="shared" si="23"/>
        <v>3.3743681182812064E-3</v>
      </c>
      <c r="BE20" s="38">
        <f t="shared" si="24"/>
        <v>1.5770415019735899</v>
      </c>
      <c r="BF20" s="38">
        <f t="shared" si="25"/>
        <v>3.1302358742505429E-3</v>
      </c>
      <c r="BG20" s="38">
        <f t="shared" si="26"/>
        <v>0.1143204123846679</v>
      </c>
      <c r="BH20" s="38">
        <f t="shared" si="27"/>
        <v>0.77844332162663976</v>
      </c>
      <c r="BI20" s="38">
        <f t="shared" si="28"/>
        <v>0</v>
      </c>
      <c r="BJ20" s="38">
        <f t="shared" si="29"/>
        <v>0</v>
      </c>
      <c r="BK20" s="38">
        <f t="shared" si="30"/>
        <v>0</v>
      </c>
      <c r="BL20" s="41">
        <f t="shared" si="31"/>
        <v>7</v>
      </c>
      <c r="BM20" s="42">
        <f t="shared" si="55"/>
        <v>10.208084723887364</v>
      </c>
      <c r="BN20" s="38">
        <f t="shared" si="32"/>
        <v>3.5505067888438879</v>
      </c>
      <c r="BO20" s="38">
        <f t="shared" si="33"/>
        <v>0.89589396988555825</v>
      </c>
      <c r="BQ20" s="38">
        <f t="shared" si="34"/>
        <v>0.62100532623169113</v>
      </c>
      <c r="BR20" s="38">
        <f t="shared" si="35"/>
        <v>7.7115673510265409E-2</v>
      </c>
      <c r="BS20" s="38">
        <f t="shared" si="36"/>
        <v>0.26892899176147511</v>
      </c>
      <c r="BT20" s="38">
        <f t="shared" si="37"/>
        <v>1.3290348049213765E-3</v>
      </c>
      <c r="BU20" s="38">
        <f t="shared" si="38"/>
        <v>0.16548364648573419</v>
      </c>
      <c r="BV20" s="38">
        <f t="shared" si="39"/>
        <v>8.4578517056667607E-4</v>
      </c>
      <c r="BW20" s="38">
        <f t="shared" si="40"/>
        <v>0.39528535980148888</v>
      </c>
      <c r="BX20" s="38">
        <f t="shared" si="41"/>
        <v>7.8459343794579171E-4</v>
      </c>
      <c r="BY20" s="38">
        <f t="shared" si="42"/>
        <v>2.8654404646660216E-2</v>
      </c>
      <c r="BZ20" s="38">
        <f t="shared" si="43"/>
        <v>0.19511677282377918</v>
      </c>
      <c r="CA20" s="38">
        <f t="shared" si="44"/>
        <v>0</v>
      </c>
      <c r="CB20" s="38">
        <f t="shared" si="45"/>
        <v>0</v>
      </c>
      <c r="CC20" s="38">
        <f t="shared" si="46"/>
        <v>0</v>
      </c>
      <c r="CD20" s="38">
        <f t="shared" si="47"/>
        <v>1.7545495886745281</v>
      </c>
      <c r="CE20" s="38">
        <f t="shared" si="48"/>
        <v>2.4759140129644628</v>
      </c>
      <c r="CF20" s="38">
        <f t="shared" si="49"/>
        <v>3.9896279051811465</v>
      </c>
      <c r="CG20" s="38">
        <f t="shared" si="50"/>
        <v>9.8779756369520548</v>
      </c>
    </row>
    <row r="21" spans="1:85" ht="15" customHeight="1" x14ac:dyDescent="0.25">
      <c r="A21" s="35" t="s">
        <v>257</v>
      </c>
      <c r="B21" s="15">
        <v>1239</v>
      </c>
      <c r="C21" s="102" t="s">
        <v>101</v>
      </c>
      <c r="D21" s="103" t="s">
        <v>104</v>
      </c>
      <c r="E21" s="15">
        <v>72</v>
      </c>
      <c r="F21" s="15" t="s">
        <v>280</v>
      </c>
      <c r="G21" s="16">
        <v>37.43</v>
      </c>
      <c r="H21" s="16">
        <v>5.58</v>
      </c>
      <c r="I21" s="16">
        <v>13.77</v>
      </c>
      <c r="J21" s="16">
        <v>5.5E-2</v>
      </c>
      <c r="K21" s="16">
        <v>11.94</v>
      </c>
      <c r="L21" s="16">
        <v>0.112</v>
      </c>
      <c r="M21" s="16">
        <v>15.91</v>
      </c>
      <c r="N21" s="16">
        <v>0</v>
      </c>
      <c r="O21" s="16">
        <v>0.82699999999999996</v>
      </c>
      <c r="P21" s="16">
        <v>9.2799999999999994</v>
      </c>
      <c r="Q21" s="16">
        <v>0</v>
      </c>
      <c r="R21" s="16">
        <v>0</v>
      </c>
      <c r="S21" s="16">
        <v>0</v>
      </c>
      <c r="T21" s="16">
        <f t="shared" si="0"/>
        <v>94.903999999999996</v>
      </c>
      <c r="U21" s="16"/>
      <c r="V21" s="16">
        <f t="shared" si="51"/>
        <v>0</v>
      </c>
      <c r="W21" s="16">
        <f t="shared" si="52"/>
        <v>13.268921999999998</v>
      </c>
      <c r="X21" s="16">
        <f t="shared" si="53"/>
        <v>96.232922000000002</v>
      </c>
      <c r="AB21" s="15" t="s">
        <v>185</v>
      </c>
      <c r="AD21" s="15">
        <v>11</v>
      </c>
      <c r="AE21" s="15">
        <v>7</v>
      </c>
      <c r="AG21" s="38">
        <f t="shared" si="1"/>
        <v>2.7785964998817891</v>
      </c>
      <c r="AH21" s="38">
        <f t="shared" si="2"/>
        <v>0.31155284678218581</v>
      </c>
      <c r="AI21" s="38">
        <f t="shared" si="3"/>
        <v>1.2046744246152929</v>
      </c>
      <c r="AJ21" s="38">
        <f t="shared" si="4"/>
        <v>3.2278493068489816E-3</v>
      </c>
      <c r="AK21" s="38">
        <f t="shared" si="5"/>
        <v>0.74116198453936133</v>
      </c>
      <c r="AL21" s="38">
        <f t="shared" si="6"/>
        <v>7.0414551872995616E-3</v>
      </c>
      <c r="AM21" s="38">
        <f t="shared" si="7"/>
        <v>1.7607622343591947</v>
      </c>
      <c r="AN21" s="38">
        <f t="shared" si="8"/>
        <v>0</v>
      </c>
      <c r="AO21" s="38">
        <f t="shared" si="9"/>
        <v>0.11901988176666278</v>
      </c>
      <c r="AP21" s="38">
        <f t="shared" si="10"/>
        <v>0.87874456163930204</v>
      </c>
      <c r="AQ21" s="38">
        <f t="shared" si="11"/>
        <v>0</v>
      </c>
      <c r="AR21" s="38">
        <f t="shared" si="12"/>
        <v>0</v>
      </c>
      <c r="AS21" s="38">
        <f t="shared" si="13"/>
        <v>0</v>
      </c>
      <c r="AT21" s="39">
        <f t="shared" si="14"/>
        <v>7.8047817380779376</v>
      </c>
      <c r="AU21" s="38">
        <f t="shared" si="15"/>
        <v>3.9832709244970821</v>
      </c>
      <c r="AV21" s="38">
        <f t="shared" si="16"/>
        <v>0.99776444340596482</v>
      </c>
      <c r="AW21" s="40"/>
      <c r="AX21" s="38">
        <f t="shared" si="17"/>
        <v>2.4920844876774821</v>
      </c>
      <c r="AY21" s="38">
        <f t="shared" si="18"/>
        <v>0.27942740753854545</v>
      </c>
      <c r="AZ21" s="38">
        <f t="shared" si="19"/>
        <v>1.080455707193646</v>
      </c>
      <c r="BA21" s="38">
        <f t="shared" si="20"/>
        <v>2.8950130709878468E-3</v>
      </c>
      <c r="BB21" s="38">
        <f t="shared" si="21"/>
        <v>0</v>
      </c>
      <c r="BC21" s="38">
        <f t="shared" si="22"/>
        <v>0.66473785762178117</v>
      </c>
      <c r="BD21" s="38">
        <f t="shared" si="23"/>
        <v>6.3153830517284262E-3</v>
      </c>
      <c r="BE21" s="38">
        <f t="shared" si="24"/>
        <v>1.5792031160053543</v>
      </c>
      <c r="BF21" s="38">
        <f t="shared" si="25"/>
        <v>0</v>
      </c>
      <c r="BG21" s="38">
        <f t="shared" si="26"/>
        <v>0.10674727370041927</v>
      </c>
      <c r="BH21" s="38">
        <f t="shared" si="27"/>
        <v>0.78813375414005582</v>
      </c>
      <c r="BI21" s="38">
        <f t="shared" si="28"/>
        <v>0</v>
      </c>
      <c r="BJ21" s="38">
        <f t="shared" si="29"/>
        <v>0</v>
      </c>
      <c r="BK21" s="38">
        <f t="shared" si="30"/>
        <v>0</v>
      </c>
      <c r="BL21" s="41">
        <f t="shared" si="31"/>
        <v>7.0000000000000009</v>
      </c>
      <c r="BM21" s="42">
        <f t="shared" si="55"/>
        <v>10.198115670239</v>
      </c>
      <c r="BN21" s="38">
        <f t="shared" si="32"/>
        <v>3.5725401948711282</v>
      </c>
      <c r="BO21" s="38">
        <f t="shared" si="33"/>
        <v>0.89488102784047507</v>
      </c>
      <c r="BQ21" s="38">
        <f t="shared" si="34"/>
        <v>0.62300266311584551</v>
      </c>
      <c r="BR21" s="38">
        <f t="shared" si="35"/>
        <v>6.9854782173259897E-2</v>
      </c>
      <c r="BS21" s="38">
        <f t="shared" si="36"/>
        <v>0.27010592389172228</v>
      </c>
      <c r="BT21" s="38">
        <f t="shared" si="37"/>
        <v>7.2373182446213563E-4</v>
      </c>
      <c r="BU21" s="38">
        <f t="shared" si="38"/>
        <v>0.16617954070981211</v>
      </c>
      <c r="BV21" s="38">
        <f t="shared" si="39"/>
        <v>1.5787989850577955E-3</v>
      </c>
      <c r="BW21" s="38">
        <f t="shared" si="40"/>
        <v>0.3947890818858561</v>
      </c>
      <c r="BX21" s="38">
        <f t="shared" si="41"/>
        <v>0</v>
      </c>
      <c r="BY21" s="38">
        <f t="shared" si="42"/>
        <v>2.6686027750887385E-2</v>
      </c>
      <c r="BZ21" s="38">
        <f t="shared" si="43"/>
        <v>0.19702760084925688</v>
      </c>
      <c r="CA21" s="38">
        <f t="shared" si="44"/>
        <v>0</v>
      </c>
      <c r="CB21" s="38">
        <f t="shared" si="45"/>
        <v>0</v>
      </c>
      <c r="CC21" s="38">
        <f t="shared" si="46"/>
        <v>0</v>
      </c>
      <c r="CD21" s="38">
        <f t="shared" si="47"/>
        <v>1.7499481511861601</v>
      </c>
      <c r="CE21" s="38">
        <f t="shared" si="48"/>
        <v>2.4663636100332855</v>
      </c>
      <c r="CF21" s="38">
        <f t="shared" si="49"/>
        <v>4.0001185150858438</v>
      </c>
      <c r="CG21" s="38">
        <f t="shared" si="50"/>
        <v>9.8657467414281079</v>
      </c>
    </row>
    <row r="22" spans="1:85" ht="15" customHeight="1" x14ac:dyDescent="0.25">
      <c r="A22" s="35" t="s">
        <v>257</v>
      </c>
      <c r="B22" s="15">
        <v>1240</v>
      </c>
      <c r="C22" s="102" t="s">
        <v>101</v>
      </c>
      <c r="D22" s="103" t="s">
        <v>104</v>
      </c>
      <c r="E22" s="15">
        <v>73</v>
      </c>
      <c r="F22" s="15" t="s">
        <v>280</v>
      </c>
      <c r="G22" s="16">
        <v>36.950000000000003</v>
      </c>
      <c r="H22" s="16">
        <v>5.55</v>
      </c>
      <c r="I22" s="16">
        <v>13.34</v>
      </c>
      <c r="J22" s="16">
        <v>4.2000000000000003E-2</v>
      </c>
      <c r="K22" s="16">
        <v>12.44</v>
      </c>
      <c r="L22" s="16">
        <v>0.125</v>
      </c>
      <c r="M22" s="16">
        <v>15.88</v>
      </c>
      <c r="N22" s="16">
        <v>3.5999999999999997E-2</v>
      </c>
      <c r="O22" s="16">
        <v>0.83499999999999996</v>
      </c>
      <c r="P22" s="16">
        <v>9.15</v>
      </c>
      <c r="Q22" s="16">
        <v>0</v>
      </c>
      <c r="R22" s="16">
        <v>0</v>
      </c>
      <c r="S22" s="16">
        <v>0</v>
      </c>
      <c r="T22" s="16">
        <f t="shared" si="0"/>
        <v>94.347999999999999</v>
      </c>
      <c r="U22" s="16"/>
      <c r="V22" s="16">
        <f t="shared" si="51"/>
        <v>0</v>
      </c>
      <c r="W22" s="16">
        <f t="shared" si="52"/>
        <v>13.824571999999998</v>
      </c>
      <c r="X22" s="16">
        <f t="shared" si="53"/>
        <v>95.732572000000019</v>
      </c>
      <c r="AB22" s="15" t="s">
        <v>185</v>
      </c>
      <c r="AD22" s="15">
        <v>11</v>
      </c>
      <c r="AE22" s="15">
        <v>7</v>
      </c>
      <c r="AG22" s="38">
        <f t="shared" si="1"/>
        <v>2.7697473530797181</v>
      </c>
      <c r="AH22" s="38">
        <f t="shared" si="2"/>
        <v>0.31290360317211718</v>
      </c>
      <c r="AI22" s="38">
        <f t="shared" si="3"/>
        <v>1.1784512888549319</v>
      </c>
      <c r="AJ22" s="38">
        <f t="shared" si="4"/>
        <v>2.4889714116998604E-3</v>
      </c>
      <c r="AK22" s="38">
        <f t="shared" si="5"/>
        <v>0.77973897917477153</v>
      </c>
      <c r="AL22" s="38">
        <f t="shared" si="6"/>
        <v>7.9355031092728807E-3</v>
      </c>
      <c r="AM22" s="38">
        <f t="shared" si="7"/>
        <v>1.7746025008993493</v>
      </c>
      <c r="AN22" s="38">
        <f t="shared" si="8"/>
        <v>2.8910135892418619E-3</v>
      </c>
      <c r="AO22" s="38">
        <f t="shared" si="9"/>
        <v>0.12134462294352195</v>
      </c>
      <c r="AP22" s="38">
        <f t="shared" si="10"/>
        <v>0.87489477770397217</v>
      </c>
      <c r="AQ22" s="38">
        <f t="shared" si="11"/>
        <v>0</v>
      </c>
      <c r="AR22" s="38">
        <f t="shared" si="12"/>
        <v>0</v>
      </c>
      <c r="AS22" s="38">
        <f t="shared" si="13"/>
        <v>0</v>
      </c>
      <c r="AT22" s="39">
        <f t="shared" si="14"/>
        <v>7.8249986139385967</v>
      </c>
      <c r="AU22" s="38">
        <f t="shared" si="15"/>
        <v>3.94819864193465</v>
      </c>
      <c r="AV22" s="38">
        <f t="shared" si="16"/>
        <v>0.99913041423673599</v>
      </c>
      <c r="AW22" s="40"/>
      <c r="AX22" s="38">
        <f t="shared" si="17"/>
        <v>2.4777297004272882</v>
      </c>
      <c r="AY22" s="38">
        <f t="shared" si="18"/>
        <v>0.27991381599777088</v>
      </c>
      <c r="AZ22" s="38">
        <f t="shared" si="19"/>
        <v>1.0542058125467746</v>
      </c>
      <c r="BA22" s="38">
        <f t="shared" si="20"/>
        <v>2.2265562898457197E-3</v>
      </c>
      <c r="BB22" s="38">
        <f t="shared" si="21"/>
        <v>0</v>
      </c>
      <c r="BC22" s="38">
        <f t="shared" si="22"/>
        <v>0.6975302007722799</v>
      </c>
      <c r="BD22" s="38">
        <f t="shared" si="23"/>
        <v>7.0988538791511221E-3</v>
      </c>
      <c r="BE22" s="38">
        <f t="shared" si="24"/>
        <v>1.5875041158688343</v>
      </c>
      <c r="BF22" s="38">
        <f t="shared" si="25"/>
        <v>2.5862106976792154E-3</v>
      </c>
      <c r="BG22" s="38">
        <f t="shared" si="26"/>
        <v>0.10855111962468637</v>
      </c>
      <c r="BH22" s="38">
        <f t="shared" si="27"/>
        <v>0.78265361389568966</v>
      </c>
      <c r="BI22" s="38">
        <f t="shared" si="28"/>
        <v>0</v>
      </c>
      <c r="BJ22" s="38">
        <f t="shared" si="29"/>
        <v>0</v>
      </c>
      <c r="BK22" s="38">
        <f t="shared" si="30"/>
        <v>0</v>
      </c>
      <c r="BL22" s="41">
        <f t="shared" si="31"/>
        <v>7</v>
      </c>
      <c r="BM22" s="42">
        <f t="shared" si="55"/>
        <v>10.189022434469321</v>
      </c>
      <c r="BN22" s="38">
        <f t="shared" si="32"/>
        <v>3.5319355129740631</v>
      </c>
      <c r="BO22" s="38">
        <f t="shared" si="33"/>
        <v>0.89379094421805527</v>
      </c>
      <c r="BQ22" s="38">
        <f t="shared" si="34"/>
        <v>0.61501331557922778</v>
      </c>
      <c r="BR22" s="38">
        <f t="shared" si="35"/>
        <v>6.9479218828242359E-2</v>
      </c>
      <c r="BS22" s="38">
        <f t="shared" si="36"/>
        <v>0.26167124362495098</v>
      </c>
      <c r="BT22" s="38">
        <f t="shared" si="37"/>
        <v>5.526679386801763E-4</v>
      </c>
      <c r="BU22" s="38">
        <f t="shared" si="38"/>
        <v>0.1731384829505915</v>
      </c>
      <c r="BV22" s="38">
        <f t="shared" si="39"/>
        <v>1.7620524386805752E-3</v>
      </c>
      <c r="BW22" s="38">
        <f t="shared" si="40"/>
        <v>0.39404466501240698</v>
      </c>
      <c r="BX22" s="38">
        <f t="shared" si="41"/>
        <v>6.4194008559201137E-4</v>
      </c>
      <c r="BY22" s="38">
        <f t="shared" si="42"/>
        <v>2.6944175540496936E-2</v>
      </c>
      <c r="BZ22" s="38">
        <f t="shared" si="43"/>
        <v>0.19426751592356689</v>
      </c>
      <c r="CA22" s="38">
        <f t="shared" si="44"/>
        <v>0</v>
      </c>
      <c r="CB22" s="38">
        <f t="shared" si="45"/>
        <v>0</v>
      </c>
      <c r="CC22" s="38">
        <f t="shared" si="46"/>
        <v>0</v>
      </c>
      <c r="CD22" s="38">
        <f t="shared" si="47"/>
        <v>1.7375152779224361</v>
      </c>
      <c r="CE22" s="38">
        <f t="shared" si="48"/>
        <v>2.4425139223796899</v>
      </c>
      <c r="CF22" s="38">
        <f t="shared" si="49"/>
        <v>4.0287415534958448</v>
      </c>
      <c r="CG22" s="38">
        <f t="shared" si="50"/>
        <v>9.8402573340831818</v>
      </c>
    </row>
    <row r="23" spans="1:85" ht="15" customHeight="1" x14ac:dyDescent="0.25">
      <c r="A23" s="35" t="s">
        <v>257</v>
      </c>
      <c r="B23" s="15">
        <v>1242</v>
      </c>
      <c r="C23" s="102" t="s">
        <v>101</v>
      </c>
      <c r="D23" s="103" t="s">
        <v>104</v>
      </c>
      <c r="E23" s="15">
        <v>75</v>
      </c>
      <c r="F23" s="15" t="s">
        <v>270</v>
      </c>
      <c r="G23" s="16">
        <v>44.03</v>
      </c>
      <c r="H23" s="16">
        <v>2.59</v>
      </c>
      <c r="I23" s="16">
        <v>8.81</v>
      </c>
      <c r="J23" s="16">
        <v>9.7000000000000003E-2</v>
      </c>
      <c r="K23" s="16">
        <v>11.04</v>
      </c>
      <c r="L23" s="16">
        <v>0.161</v>
      </c>
      <c r="M23" s="16">
        <v>14.05</v>
      </c>
      <c r="N23" s="16">
        <v>11.38</v>
      </c>
      <c r="O23" s="16">
        <v>2.04</v>
      </c>
      <c r="P23" s="16">
        <v>1.1679999999999999</v>
      </c>
      <c r="Q23" s="16">
        <v>0</v>
      </c>
      <c r="R23" s="16">
        <v>0</v>
      </c>
      <c r="S23" s="16">
        <v>0</v>
      </c>
      <c r="T23" s="16">
        <f t="shared" si="0"/>
        <v>95.366000000000014</v>
      </c>
      <c r="U23" s="16"/>
      <c r="V23" s="16">
        <f t="shared" si="51"/>
        <v>2.169776489234466</v>
      </c>
      <c r="W23" s="16">
        <f t="shared" si="52"/>
        <v>9.8574793875137363</v>
      </c>
      <c r="X23" s="16">
        <f t="shared" si="53"/>
        <v>96.353255876748207</v>
      </c>
      <c r="AD23" s="15">
        <v>6</v>
      </c>
      <c r="AE23" s="15">
        <v>4</v>
      </c>
      <c r="AG23" s="38">
        <f t="shared" si="1"/>
        <v>1.7281021438434243</v>
      </c>
      <c r="AH23" s="38">
        <f t="shared" si="2"/>
        <v>7.6456137737571747E-2</v>
      </c>
      <c r="AI23" s="38">
        <f t="shared" si="3"/>
        <v>0.40749916651866214</v>
      </c>
      <c r="AJ23" s="38">
        <f t="shared" si="4"/>
        <v>3.0097980912699319E-3</v>
      </c>
      <c r="AK23" s="38">
        <f t="shared" si="5"/>
        <v>0.36232053456793367</v>
      </c>
      <c r="AL23" s="38">
        <f t="shared" si="6"/>
        <v>5.3516208785870179E-3</v>
      </c>
      <c r="AM23" s="38">
        <f t="shared" si="7"/>
        <v>0.82209484626694673</v>
      </c>
      <c r="AN23" s="38">
        <f t="shared" si="8"/>
        <v>0.4785032640532203</v>
      </c>
      <c r="AO23" s="38">
        <f t="shared" si="9"/>
        <v>0.15522413153892653</v>
      </c>
      <c r="AP23" s="38">
        <f t="shared" si="10"/>
        <v>5.847531677391736E-2</v>
      </c>
      <c r="AQ23" s="38">
        <f t="shared" si="11"/>
        <v>0</v>
      </c>
      <c r="AR23" s="38">
        <f t="shared" si="12"/>
        <v>0</v>
      </c>
      <c r="AS23" s="38">
        <f t="shared" si="13"/>
        <v>0</v>
      </c>
      <c r="AT23" s="39">
        <f t="shared" si="14"/>
        <v>4.0970369602704597</v>
      </c>
      <c r="AU23" s="38">
        <f t="shared" si="15"/>
        <v>2.1356013103620866</v>
      </c>
      <c r="AV23" s="38">
        <f t="shared" si="16"/>
        <v>0.69220271236606423</v>
      </c>
      <c r="AW23" s="40"/>
      <c r="AX23" s="38">
        <f t="shared" si="17"/>
        <v>1.6871726182615119</v>
      </c>
      <c r="AY23" s="38">
        <f t="shared" si="18"/>
        <v>7.4645299497151332E-2</v>
      </c>
      <c r="AZ23" s="38">
        <f t="shared" si="19"/>
        <v>0.39784768404116294</v>
      </c>
      <c r="BA23" s="38">
        <f t="shared" si="20"/>
        <v>2.9385120226703976E-3</v>
      </c>
      <c r="BB23" s="38">
        <f t="shared" si="21"/>
        <v>6.9523076747498136E-2</v>
      </c>
      <c r="BC23" s="38">
        <f t="shared" si="22"/>
        <v>0.28421601624229575</v>
      </c>
      <c r="BD23" s="38">
        <f t="shared" si="23"/>
        <v>5.2248695147077591E-3</v>
      </c>
      <c r="BE23" s="38">
        <f t="shared" si="24"/>
        <v>0.80262380275200385</v>
      </c>
      <c r="BF23" s="38">
        <f t="shared" si="25"/>
        <v>0.46717007309754177</v>
      </c>
      <c r="BG23" s="38">
        <f t="shared" si="26"/>
        <v>0.15154769951470454</v>
      </c>
      <c r="BH23" s="38">
        <f t="shared" si="27"/>
        <v>5.70903483087516E-2</v>
      </c>
      <c r="BI23" s="38">
        <f t="shared" si="28"/>
        <v>0</v>
      </c>
      <c r="BJ23" s="38">
        <f t="shared" si="29"/>
        <v>0</v>
      </c>
      <c r="BK23" s="38">
        <f t="shared" si="30"/>
        <v>0</v>
      </c>
      <c r="BL23" s="41">
        <f t="shared" si="31"/>
        <v>4</v>
      </c>
      <c r="BM23" s="42">
        <f t="shared" si="55"/>
        <v>6</v>
      </c>
      <c r="BN23" s="38">
        <f t="shared" si="32"/>
        <v>2.085020302302675</v>
      </c>
      <c r="BO23" s="38">
        <f t="shared" si="33"/>
        <v>0.67580812092099796</v>
      </c>
      <c r="BQ23" s="38">
        <f t="shared" si="34"/>
        <v>0.73285619174434091</v>
      </c>
      <c r="BR23" s="38">
        <f t="shared" si="35"/>
        <v>3.2423635453179771E-2</v>
      </c>
      <c r="BS23" s="38">
        <f t="shared" si="36"/>
        <v>0.17281286779129074</v>
      </c>
      <c r="BT23" s="38">
        <f t="shared" si="37"/>
        <v>1.276399763142312E-3</v>
      </c>
      <c r="BU23" s="38">
        <f t="shared" si="38"/>
        <v>0.15365344467640918</v>
      </c>
      <c r="BV23" s="38">
        <f t="shared" si="39"/>
        <v>2.2695235410205811E-3</v>
      </c>
      <c r="BW23" s="38">
        <f t="shared" si="40"/>
        <v>0.34863523573200994</v>
      </c>
      <c r="BX23" s="38">
        <f t="shared" si="41"/>
        <v>0.20292439372325252</v>
      </c>
      <c r="BY23" s="38">
        <f t="shared" si="42"/>
        <v>6.5827686350435635E-2</v>
      </c>
      <c r="BZ23" s="38">
        <f t="shared" si="43"/>
        <v>2.4798301486199572E-2</v>
      </c>
      <c r="CA23" s="38">
        <f t="shared" si="44"/>
        <v>0</v>
      </c>
      <c r="CB23" s="38">
        <f t="shared" si="45"/>
        <v>0</v>
      </c>
      <c r="CC23" s="38">
        <f t="shared" si="46"/>
        <v>0</v>
      </c>
      <c r="CD23" s="38">
        <f t="shared" si="47"/>
        <v>1.7374776802612812</v>
      </c>
      <c r="CE23" s="38">
        <f t="shared" si="48"/>
        <v>2.5444891473177007</v>
      </c>
      <c r="CF23" s="38">
        <f t="shared" si="49"/>
        <v>2.3021878470395554</v>
      </c>
      <c r="CG23" s="38">
        <f t="shared" si="50"/>
        <v>5.8578919918788515</v>
      </c>
    </row>
    <row r="24" spans="1:85" ht="15" customHeight="1" x14ac:dyDescent="0.25">
      <c r="A24" s="35" t="s">
        <v>257</v>
      </c>
      <c r="B24" s="15">
        <v>1243</v>
      </c>
      <c r="C24" s="102" t="s">
        <v>101</v>
      </c>
      <c r="D24" s="103" t="s">
        <v>104</v>
      </c>
      <c r="E24" s="15">
        <v>76</v>
      </c>
      <c r="F24" s="15" t="s">
        <v>270</v>
      </c>
      <c r="G24" s="16">
        <v>47.76</v>
      </c>
      <c r="H24" s="16">
        <v>1.8</v>
      </c>
      <c r="I24" s="16">
        <v>6.05</v>
      </c>
      <c r="J24" s="16">
        <v>0.1</v>
      </c>
      <c r="K24" s="16">
        <v>14.53</v>
      </c>
      <c r="L24" s="16">
        <v>0.35599999999999998</v>
      </c>
      <c r="M24" s="16">
        <v>19.09</v>
      </c>
      <c r="N24" s="16">
        <v>6.73</v>
      </c>
      <c r="O24" s="16">
        <v>1.3360000000000001</v>
      </c>
      <c r="P24" s="16">
        <v>0.81</v>
      </c>
      <c r="Q24" s="16">
        <v>0</v>
      </c>
      <c r="R24" s="16">
        <v>0</v>
      </c>
      <c r="S24" s="16">
        <v>0</v>
      </c>
      <c r="T24" s="16">
        <f t="shared" si="0"/>
        <v>98.561999999999998</v>
      </c>
      <c r="U24" s="16"/>
      <c r="V24" s="16">
        <f t="shared" si="51"/>
        <v>7.050991553488057</v>
      </c>
      <c r="W24" s="16">
        <f t="shared" si="52"/>
        <v>8.3114220866087205</v>
      </c>
      <c r="X24" s="16">
        <f t="shared" si="53"/>
        <v>99.394413640096772</v>
      </c>
      <c r="AD24" s="15">
        <v>6</v>
      </c>
      <c r="AE24" s="15">
        <v>4</v>
      </c>
      <c r="AG24" s="38">
        <f t="shared" si="1"/>
        <v>1.802560543053435</v>
      </c>
      <c r="AH24" s="38">
        <f t="shared" si="2"/>
        <v>5.1096354374518926E-2</v>
      </c>
      <c r="AI24" s="38">
        <f t="shared" si="3"/>
        <v>0.26909833446658016</v>
      </c>
      <c r="AJ24" s="38">
        <f t="shared" si="4"/>
        <v>2.9838050657108811E-3</v>
      </c>
      <c r="AK24" s="38">
        <f t="shared" si="5"/>
        <v>0.45855803542452167</v>
      </c>
      <c r="AL24" s="38">
        <f t="shared" si="6"/>
        <v>1.1379266800797382E-2</v>
      </c>
      <c r="AM24" s="38">
        <f t="shared" si="7"/>
        <v>1.0741287685713283</v>
      </c>
      <c r="AN24" s="38">
        <f t="shared" si="8"/>
        <v>0.27212129279053859</v>
      </c>
      <c r="AO24" s="38">
        <f t="shared" si="9"/>
        <v>9.7755307949074263E-2</v>
      </c>
      <c r="AP24" s="38">
        <f t="shared" si="10"/>
        <v>3.8995956567865336E-2</v>
      </c>
      <c r="AQ24" s="38">
        <f t="shared" si="11"/>
        <v>0</v>
      </c>
      <c r="AR24" s="38">
        <f t="shared" si="12"/>
        <v>0</v>
      </c>
      <c r="AS24" s="38">
        <f t="shared" si="13"/>
        <v>0</v>
      </c>
      <c r="AT24" s="39">
        <f t="shared" si="14"/>
        <v>4.0786776650643706</v>
      </c>
      <c r="AU24" s="38">
        <f t="shared" si="15"/>
        <v>2.0716588775200151</v>
      </c>
      <c r="AV24" s="38">
        <f t="shared" si="16"/>
        <v>0.40887255730747818</v>
      </c>
      <c r="AW24" s="40"/>
      <c r="AX24" s="38">
        <f t="shared" si="17"/>
        <v>1.7677891621523729</v>
      </c>
      <c r="AY24" s="38">
        <f t="shared" si="18"/>
        <v>5.0110706038068359E-2</v>
      </c>
      <c r="AZ24" s="38">
        <f t="shared" si="19"/>
        <v>0.26390742938234435</v>
      </c>
      <c r="BA24" s="38">
        <f t="shared" si="20"/>
        <v>2.9262474858147832E-3</v>
      </c>
      <c r="BB24" s="38">
        <f t="shared" si="21"/>
        <v>0.21823253368358303</v>
      </c>
      <c r="BC24" s="38">
        <f t="shared" si="22"/>
        <v>0.23147992028380804</v>
      </c>
      <c r="BD24" s="38">
        <f t="shared" si="23"/>
        <v>1.1159760819802654E-2</v>
      </c>
      <c r="BE24" s="38">
        <f t="shared" si="24"/>
        <v>1.0534088317610422</v>
      </c>
      <c r="BF24" s="38">
        <f t="shared" si="25"/>
        <v>0.26687207486031528</v>
      </c>
      <c r="BG24" s="38">
        <f t="shared" si="26"/>
        <v>9.5869608708126705E-2</v>
      </c>
      <c r="BH24" s="38">
        <f t="shared" si="27"/>
        <v>3.8243724824721978E-2</v>
      </c>
      <c r="BI24" s="38">
        <f t="shared" si="28"/>
        <v>0</v>
      </c>
      <c r="BJ24" s="38">
        <f t="shared" si="29"/>
        <v>0</v>
      </c>
      <c r="BK24" s="38">
        <f t="shared" si="30"/>
        <v>0</v>
      </c>
      <c r="BL24" s="41">
        <f t="shared" si="31"/>
        <v>4.0000000000000009</v>
      </c>
      <c r="BM24" s="42">
        <f t="shared" si="55"/>
        <v>6.0000000000000018</v>
      </c>
      <c r="BN24" s="38">
        <f t="shared" si="32"/>
        <v>2.0316965915347174</v>
      </c>
      <c r="BO24" s="38">
        <f t="shared" si="33"/>
        <v>0.40098540839316399</v>
      </c>
      <c r="BQ24" s="38">
        <f t="shared" si="34"/>
        <v>0.79494007989347537</v>
      </c>
      <c r="BR24" s="38">
        <f t="shared" si="35"/>
        <v>2.2533800701051578E-2</v>
      </c>
      <c r="BS24" s="38">
        <f t="shared" si="36"/>
        <v>0.11867398979992154</v>
      </c>
      <c r="BT24" s="38">
        <f t="shared" si="37"/>
        <v>1.3158760444766102E-3</v>
      </c>
      <c r="BU24" s="38">
        <f t="shared" si="38"/>
        <v>0.20222686151704941</v>
      </c>
      <c r="BV24" s="38">
        <f t="shared" si="39"/>
        <v>5.0183253453622775E-3</v>
      </c>
      <c r="BW24" s="38">
        <f t="shared" si="40"/>
        <v>0.47369727047146404</v>
      </c>
      <c r="BX24" s="38">
        <f t="shared" si="41"/>
        <v>0.1200071326676177</v>
      </c>
      <c r="BY24" s="38">
        <f t="shared" si="42"/>
        <v>4.3110680864795102E-2</v>
      </c>
      <c r="BZ24" s="38">
        <f t="shared" si="43"/>
        <v>1.7197452229299363E-2</v>
      </c>
      <c r="CA24" s="38">
        <f t="shared" si="44"/>
        <v>0</v>
      </c>
      <c r="CB24" s="38">
        <f t="shared" si="45"/>
        <v>0</v>
      </c>
      <c r="CC24" s="38">
        <f t="shared" si="46"/>
        <v>0</v>
      </c>
      <c r="CD24" s="38">
        <f t="shared" si="47"/>
        <v>1.7987214695345131</v>
      </c>
      <c r="CE24" s="38">
        <f t="shared" si="48"/>
        <v>2.646036216504192</v>
      </c>
      <c r="CF24" s="38">
        <f t="shared" si="49"/>
        <v>2.2238017768449447</v>
      </c>
      <c r="CG24" s="38">
        <f t="shared" si="50"/>
        <v>5.8842600398580966</v>
      </c>
    </row>
    <row r="25" spans="1:85" ht="15" customHeight="1" x14ac:dyDescent="0.25">
      <c r="A25" s="35" t="s">
        <v>257</v>
      </c>
      <c r="B25" s="15">
        <v>1246</v>
      </c>
      <c r="C25" s="102" t="s">
        <v>101</v>
      </c>
      <c r="D25" s="103" t="s">
        <v>104</v>
      </c>
      <c r="E25" s="15">
        <v>79</v>
      </c>
      <c r="F25" s="15" t="s">
        <v>270</v>
      </c>
      <c r="G25" s="16">
        <v>44.69</v>
      </c>
      <c r="H25" s="16">
        <v>2.4700000000000002</v>
      </c>
      <c r="I25" s="16">
        <v>8.44</v>
      </c>
      <c r="J25" s="16">
        <v>0.20100000000000001</v>
      </c>
      <c r="K25" s="16">
        <v>10.87</v>
      </c>
      <c r="L25" s="16">
        <v>0.193</v>
      </c>
      <c r="M25" s="16">
        <v>15</v>
      </c>
      <c r="N25" s="16">
        <v>11.76</v>
      </c>
      <c r="O25" s="16">
        <v>2.15</v>
      </c>
      <c r="P25" s="16">
        <v>1.25</v>
      </c>
      <c r="Q25" s="16">
        <v>0</v>
      </c>
      <c r="R25" s="16">
        <v>0</v>
      </c>
      <c r="S25" s="16">
        <v>0</v>
      </c>
      <c r="T25" s="16">
        <f t="shared" si="0"/>
        <v>97.024000000000001</v>
      </c>
      <c r="U25" s="16"/>
      <c r="V25" s="16">
        <f t="shared" si="51"/>
        <v>0</v>
      </c>
      <c r="W25" s="16">
        <f t="shared" si="52"/>
        <v>12.079830999999997</v>
      </c>
      <c r="X25" s="16">
        <f t="shared" si="53"/>
        <v>98.233830999999995</v>
      </c>
      <c r="AD25" s="15">
        <v>6</v>
      </c>
      <c r="AE25" s="15">
        <v>4</v>
      </c>
      <c r="AG25" s="38">
        <f t="shared" si="1"/>
        <v>1.7260500049475964</v>
      </c>
      <c r="AH25" s="38">
        <f t="shared" si="2"/>
        <v>7.1751641283308784E-2</v>
      </c>
      <c r="AI25" s="38">
        <f t="shared" si="3"/>
        <v>0.38416302123876755</v>
      </c>
      <c r="AJ25" s="38">
        <f t="shared" si="4"/>
        <v>6.1373936664161095E-3</v>
      </c>
      <c r="AK25" s="38">
        <f t="shared" si="5"/>
        <v>0.35105544569109265</v>
      </c>
      <c r="AL25" s="38">
        <f t="shared" si="6"/>
        <v>6.3130476539001775E-3</v>
      </c>
      <c r="AM25" s="38">
        <f t="shared" si="7"/>
        <v>0.86369251449815232</v>
      </c>
      <c r="AN25" s="38">
        <f t="shared" si="8"/>
        <v>0.48660017357475072</v>
      </c>
      <c r="AO25" s="38">
        <f t="shared" si="9"/>
        <v>0.1609866363745131</v>
      </c>
      <c r="AP25" s="38">
        <f t="shared" si="10"/>
        <v>6.1583171150522885E-2</v>
      </c>
      <c r="AQ25" s="38">
        <f t="shared" si="11"/>
        <v>0</v>
      </c>
      <c r="AR25" s="38">
        <f t="shared" si="12"/>
        <v>0</v>
      </c>
      <c r="AS25" s="38">
        <f t="shared" si="13"/>
        <v>0</v>
      </c>
      <c r="AT25" s="39">
        <f t="shared" si="14"/>
        <v>4.1183330500790207</v>
      </c>
      <c r="AU25" s="38">
        <f t="shared" si="15"/>
        <v>2.1102130261863641</v>
      </c>
      <c r="AV25" s="38">
        <f t="shared" si="16"/>
        <v>0.70916998109978679</v>
      </c>
      <c r="AW25" s="40"/>
      <c r="AX25" s="38">
        <f t="shared" si="17"/>
        <v>1.6764549966783067</v>
      </c>
      <c r="AY25" s="38">
        <f t="shared" si="18"/>
        <v>6.9689984186132828E-2</v>
      </c>
      <c r="AZ25" s="38">
        <f t="shared" si="19"/>
        <v>0.37312477312285014</v>
      </c>
      <c r="BA25" s="38">
        <f t="shared" si="20"/>
        <v>5.9610464639797377E-3</v>
      </c>
      <c r="BB25" s="38">
        <f t="shared" si="21"/>
        <v>0</v>
      </c>
      <c r="BC25" s="38">
        <f t="shared" si="22"/>
        <v>0.34096848547434183</v>
      </c>
      <c r="BD25" s="38">
        <f t="shared" si="23"/>
        <v>6.1316533433633255E-3</v>
      </c>
      <c r="BE25" s="38">
        <f t="shared" si="24"/>
        <v>0.83887583058060844</v>
      </c>
      <c r="BF25" s="38">
        <f t="shared" si="25"/>
        <v>0.47261857422183379</v>
      </c>
      <c r="BG25" s="38">
        <f t="shared" si="26"/>
        <v>0.15636096878704275</v>
      </c>
      <c r="BH25" s="38">
        <f t="shared" si="27"/>
        <v>5.9813687141540194E-2</v>
      </c>
      <c r="BI25" s="38">
        <f t="shared" si="28"/>
        <v>0</v>
      </c>
      <c r="BJ25" s="38">
        <f t="shared" si="29"/>
        <v>0</v>
      </c>
      <c r="BK25" s="38">
        <f t="shared" si="30"/>
        <v>0</v>
      </c>
      <c r="BL25" s="41">
        <f t="shared" si="31"/>
        <v>4</v>
      </c>
      <c r="BM25" s="42">
        <f t="shared" si="55"/>
        <v>5.9980848054307332</v>
      </c>
      <c r="BN25" s="38">
        <f t="shared" si="32"/>
        <v>2.0495797698011566</v>
      </c>
      <c r="BO25" s="38">
        <f t="shared" si="33"/>
        <v>0.68879323015041671</v>
      </c>
      <c r="BQ25" s="38">
        <f t="shared" si="34"/>
        <v>0.74384154460719043</v>
      </c>
      <c r="BR25" s="38">
        <f t="shared" si="35"/>
        <v>3.0921382073109668E-2</v>
      </c>
      <c r="BS25" s="38">
        <f t="shared" si="36"/>
        <v>0.16555511965476657</v>
      </c>
      <c r="BT25" s="38">
        <f t="shared" si="37"/>
        <v>2.6449108493979867E-3</v>
      </c>
      <c r="BU25" s="38">
        <f t="shared" si="38"/>
        <v>0.15128740431454418</v>
      </c>
      <c r="BV25" s="38">
        <f t="shared" si="39"/>
        <v>2.720608965322808E-3</v>
      </c>
      <c r="BW25" s="38">
        <f t="shared" si="40"/>
        <v>0.37220843672456577</v>
      </c>
      <c r="BX25" s="38">
        <f t="shared" si="41"/>
        <v>0.20970042796005706</v>
      </c>
      <c r="BY25" s="38">
        <f t="shared" si="42"/>
        <v>6.9377218457566961E-2</v>
      </c>
      <c r="BZ25" s="38">
        <f t="shared" si="43"/>
        <v>2.6539278131634817E-2</v>
      </c>
      <c r="CA25" s="38">
        <f t="shared" si="44"/>
        <v>0</v>
      </c>
      <c r="CB25" s="38">
        <f t="shared" si="45"/>
        <v>0</v>
      </c>
      <c r="CC25" s="38">
        <f t="shared" si="46"/>
        <v>0</v>
      </c>
      <c r="CD25" s="38">
        <f t="shared" si="47"/>
        <v>1.7747963317381565</v>
      </c>
      <c r="CE25" s="38">
        <f t="shared" si="48"/>
        <v>2.585701025375938</v>
      </c>
      <c r="CF25" s="38">
        <f t="shared" si="49"/>
        <v>2.2537797314932346</v>
      </c>
      <c r="CG25" s="38">
        <f t="shared" si="50"/>
        <v>5.8276005626935632</v>
      </c>
    </row>
    <row r="26" spans="1:85" ht="15" customHeight="1" x14ac:dyDescent="0.25">
      <c r="A26" s="35" t="s">
        <v>257</v>
      </c>
      <c r="B26" s="15">
        <v>1248</v>
      </c>
      <c r="C26" s="102" t="s">
        <v>101</v>
      </c>
      <c r="D26" s="103" t="s">
        <v>104</v>
      </c>
      <c r="E26" s="15">
        <v>81</v>
      </c>
      <c r="F26" s="15" t="s">
        <v>270</v>
      </c>
      <c r="G26" s="16">
        <v>45.34</v>
      </c>
      <c r="H26" s="16">
        <v>2.5</v>
      </c>
      <c r="I26" s="16">
        <v>8.5</v>
      </c>
      <c r="J26" s="16">
        <v>0.113</v>
      </c>
      <c r="K26" s="16">
        <v>11.19</v>
      </c>
      <c r="L26" s="16">
        <v>0.20100000000000001</v>
      </c>
      <c r="M26" s="16">
        <v>14.48</v>
      </c>
      <c r="N26" s="16">
        <v>11.43</v>
      </c>
      <c r="O26" s="16">
        <v>2.0699999999999998</v>
      </c>
      <c r="P26" s="16">
        <v>1.1719999999999999</v>
      </c>
      <c r="Q26" s="16">
        <v>0</v>
      </c>
      <c r="R26" s="16">
        <v>0</v>
      </c>
      <c r="S26" s="16">
        <v>0</v>
      </c>
      <c r="T26" s="16">
        <f t="shared" si="0"/>
        <v>96.995999999999981</v>
      </c>
      <c r="U26" s="16"/>
      <c r="V26" s="16">
        <f t="shared" si="51"/>
        <v>2.6329356523987451</v>
      </c>
      <c r="W26" s="16">
        <f t="shared" si="52"/>
        <v>9.509465609489272</v>
      </c>
      <c r="X26" s="16">
        <f t="shared" si="53"/>
        <v>97.948401261888023</v>
      </c>
      <c r="AD26" s="15">
        <v>6</v>
      </c>
      <c r="AE26" s="15">
        <v>4</v>
      </c>
      <c r="AG26" s="38">
        <f t="shared" si="1"/>
        <v>1.7470485151966721</v>
      </c>
      <c r="AH26" s="38">
        <f t="shared" si="2"/>
        <v>7.2452825406653237E-2</v>
      </c>
      <c r="AI26" s="38">
        <f t="shared" si="3"/>
        <v>0.38598681361011705</v>
      </c>
      <c r="AJ26" s="38">
        <f t="shared" si="4"/>
        <v>3.4422847890710237E-3</v>
      </c>
      <c r="AK26" s="38">
        <f t="shared" si="5"/>
        <v>0.3605426842036461</v>
      </c>
      <c r="AL26" s="38">
        <f t="shared" si="6"/>
        <v>6.5593113639141566E-3</v>
      </c>
      <c r="AM26" s="38">
        <f t="shared" si="7"/>
        <v>0.83179611832893818</v>
      </c>
      <c r="AN26" s="38">
        <f t="shared" si="8"/>
        <v>0.47183657101651894</v>
      </c>
      <c r="AO26" s="38">
        <f t="shared" si="9"/>
        <v>0.15463298619568588</v>
      </c>
      <c r="AP26" s="38">
        <f t="shared" si="10"/>
        <v>5.7604986367410752E-2</v>
      </c>
      <c r="AQ26" s="38">
        <f t="shared" si="11"/>
        <v>0</v>
      </c>
      <c r="AR26" s="38">
        <f t="shared" si="12"/>
        <v>0</v>
      </c>
      <c r="AS26" s="38">
        <f t="shared" si="13"/>
        <v>0</v>
      </c>
      <c r="AT26" s="39">
        <f t="shared" si="14"/>
        <v>4.0919030964786263</v>
      </c>
      <c r="AU26" s="38">
        <f t="shared" si="15"/>
        <v>2.1330353288067894</v>
      </c>
      <c r="AV26" s="38">
        <f t="shared" si="16"/>
        <v>0.6840745435796155</v>
      </c>
      <c r="AW26" s="40"/>
      <c r="AX26" s="38">
        <f t="shared" si="17"/>
        <v>1.7078102525938417</v>
      </c>
      <c r="AY26" s="38">
        <f t="shared" si="18"/>
        <v>7.0825553487817466E-2</v>
      </c>
      <c r="AZ26" s="38">
        <f t="shared" si="19"/>
        <v>0.37731764854576938</v>
      </c>
      <c r="BA26" s="38">
        <f t="shared" si="20"/>
        <v>3.3649719535473392E-3</v>
      </c>
      <c r="BB26" s="38">
        <f t="shared" si="21"/>
        <v>8.2928058429118656E-2</v>
      </c>
      <c r="BC26" s="38">
        <f t="shared" si="22"/>
        <v>0.26951692934580551</v>
      </c>
      <c r="BD26" s="38">
        <f t="shared" si="23"/>
        <v>6.4119909091287213E-3</v>
      </c>
      <c r="BE26" s="38">
        <f t="shared" si="24"/>
        <v>0.81311419035778987</v>
      </c>
      <c r="BF26" s="38">
        <f t="shared" si="25"/>
        <v>0.46123924236873326</v>
      </c>
      <c r="BG26" s="38">
        <f t="shared" si="26"/>
        <v>0.15115996889443303</v>
      </c>
      <c r="BH26" s="38">
        <f t="shared" si="27"/>
        <v>5.6311193114014765E-2</v>
      </c>
      <c r="BI26" s="38">
        <f t="shared" si="28"/>
        <v>0</v>
      </c>
      <c r="BJ26" s="38">
        <f t="shared" si="29"/>
        <v>0</v>
      </c>
      <c r="BK26" s="38">
        <f t="shared" si="30"/>
        <v>0</v>
      </c>
      <c r="BL26" s="41">
        <f t="shared" si="31"/>
        <v>3.9999999999999991</v>
      </c>
      <c r="BM26" s="42">
        <f t="shared" si="55"/>
        <v>5.9999999999999956</v>
      </c>
      <c r="BN26" s="38">
        <f t="shared" si="32"/>
        <v>2.0851279011396109</v>
      </c>
      <c r="BO26" s="38">
        <f t="shared" si="33"/>
        <v>0.6687104043771811</v>
      </c>
      <c r="BQ26" s="38">
        <f t="shared" si="34"/>
        <v>0.75466045272969384</v>
      </c>
      <c r="BR26" s="38">
        <f t="shared" si="35"/>
        <v>3.1296945418127192E-2</v>
      </c>
      <c r="BS26" s="38">
        <f t="shared" si="36"/>
        <v>0.16673205178501374</v>
      </c>
      <c r="BT26" s="38">
        <f t="shared" si="37"/>
        <v>1.4869399302585697E-3</v>
      </c>
      <c r="BU26" s="38">
        <f t="shared" si="38"/>
        <v>0.15574112734864301</v>
      </c>
      <c r="BV26" s="38">
        <f t="shared" si="39"/>
        <v>2.8333803213983649E-3</v>
      </c>
      <c r="BW26" s="38">
        <f t="shared" si="40"/>
        <v>0.35930521091811418</v>
      </c>
      <c r="BX26" s="38">
        <f t="shared" si="41"/>
        <v>0.20381597717546363</v>
      </c>
      <c r="BY26" s="38">
        <f t="shared" si="42"/>
        <v>6.6795740561471445E-2</v>
      </c>
      <c r="BZ26" s="38">
        <f t="shared" si="43"/>
        <v>2.4883227176220806E-2</v>
      </c>
      <c r="CA26" s="38">
        <f t="shared" si="44"/>
        <v>0</v>
      </c>
      <c r="CB26" s="38">
        <f t="shared" si="45"/>
        <v>0</v>
      </c>
      <c r="CC26" s="38">
        <f t="shared" si="46"/>
        <v>0</v>
      </c>
      <c r="CD26" s="38">
        <f t="shared" si="47"/>
        <v>1.767551053364405</v>
      </c>
      <c r="CE26" s="38">
        <f t="shared" si="48"/>
        <v>2.5917784635010164</v>
      </c>
      <c r="CF26" s="38">
        <f t="shared" si="49"/>
        <v>2.2630180850427437</v>
      </c>
      <c r="CG26" s="38">
        <f t="shared" si="50"/>
        <v>5.8652415353270948</v>
      </c>
    </row>
    <row r="27" spans="1:85" ht="15" customHeight="1" x14ac:dyDescent="0.25">
      <c r="A27" s="35" t="s">
        <v>257</v>
      </c>
      <c r="B27" s="15">
        <v>1251</v>
      </c>
      <c r="C27" s="102" t="s">
        <v>101</v>
      </c>
      <c r="D27" s="103" t="s">
        <v>104</v>
      </c>
      <c r="E27" s="15">
        <v>84</v>
      </c>
      <c r="F27" s="15" t="s">
        <v>272</v>
      </c>
      <c r="G27" s="16">
        <v>0.51800000000000002</v>
      </c>
      <c r="H27" s="16">
        <v>5.6000000000000001E-2</v>
      </c>
      <c r="I27" s="16">
        <v>0.155</v>
      </c>
      <c r="J27" s="16">
        <v>0</v>
      </c>
      <c r="K27" s="16">
        <v>83.8</v>
      </c>
      <c r="L27" s="16">
        <v>5.6000000000000001E-2</v>
      </c>
      <c r="M27" s="16">
        <v>7.6999999999999999E-2</v>
      </c>
      <c r="N27" s="16">
        <v>0.374</v>
      </c>
      <c r="O27" s="16">
        <v>5.6000000000000001E-2</v>
      </c>
      <c r="P27" s="16">
        <v>0</v>
      </c>
      <c r="Q27" s="16">
        <v>0</v>
      </c>
      <c r="T27" s="16">
        <f t="shared" si="0"/>
        <v>85.091999999999985</v>
      </c>
      <c r="U27" s="16"/>
      <c r="V27" s="16">
        <f t="shared" si="51"/>
        <v>28.234110953000403</v>
      </c>
      <c r="W27" s="16">
        <f t="shared" si="52"/>
        <v>61.750372497930648</v>
      </c>
      <c r="X27" s="16">
        <f t="shared" si="53"/>
        <v>91.276483450931053</v>
      </c>
      <c r="AD27" s="15">
        <v>4</v>
      </c>
      <c r="AE27" s="15">
        <v>3</v>
      </c>
      <c r="AG27" s="38">
        <f t="shared" si="1"/>
        <v>2.8744303333712876E-2</v>
      </c>
      <c r="AH27" s="38">
        <f t="shared" si="2"/>
        <v>2.3372325302676578E-3</v>
      </c>
      <c r="AI27" s="38">
        <f t="shared" si="3"/>
        <v>1.0136401827837239E-2</v>
      </c>
      <c r="AJ27" s="38">
        <f t="shared" si="4"/>
        <v>0</v>
      </c>
      <c r="AK27" s="38">
        <f t="shared" si="5"/>
        <v>3.8883844498931324</v>
      </c>
      <c r="AL27" s="38">
        <f t="shared" si="6"/>
        <v>2.6317752257933539E-3</v>
      </c>
      <c r="AM27" s="38">
        <f t="shared" si="7"/>
        <v>6.3699735722567794E-3</v>
      </c>
      <c r="AN27" s="38">
        <f t="shared" si="8"/>
        <v>2.2233894917226001E-2</v>
      </c>
      <c r="AO27" s="38">
        <f t="shared" si="9"/>
        <v>6.0244638437489681E-3</v>
      </c>
      <c r="AP27" s="38">
        <f t="shared" si="10"/>
        <v>0</v>
      </c>
      <c r="AQ27" s="38">
        <f t="shared" si="11"/>
        <v>0</v>
      </c>
      <c r="AR27" s="38">
        <f t="shared" si="12"/>
        <v>0</v>
      </c>
      <c r="AS27" s="38">
        <f t="shared" si="13"/>
        <v>0</v>
      </c>
      <c r="AT27" s="39">
        <f t="shared" si="14"/>
        <v>3.966862495143975</v>
      </c>
      <c r="AU27" s="38">
        <f t="shared" si="15"/>
        <v>3.8880705161550115E-2</v>
      </c>
      <c r="AV27" s="38">
        <f t="shared" si="16"/>
        <v>2.8258358760974968E-2</v>
      </c>
      <c r="AW27" s="40"/>
      <c r="AX27" s="38">
        <f t="shared" si="17"/>
        <v>2.1738315887354406E-2</v>
      </c>
      <c r="AY27" s="38">
        <f t="shared" si="18"/>
        <v>1.7675675926217068E-3</v>
      </c>
      <c r="AZ27" s="38">
        <f t="shared" si="19"/>
        <v>7.6658078067331718E-3</v>
      </c>
      <c r="BA27" s="38">
        <f t="shared" si="20"/>
        <v>0</v>
      </c>
      <c r="BB27" s="38">
        <f t="shared" si="21"/>
        <v>0.99077126906687685</v>
      </c>
      <c r="BC27" s="38">
        <f t="shared" si="22"/>
        <v>1.9498785174985169</v>
      </c>
      <c r="BD27" s="38">
        <f t="shared" si="23"/>
        <v>1.990319978835945E-3</v>
      </c>
      <c r="BE27" s="38">
        <f t="shared" si="24"/>
        <v>4.8173892440596814E-3</v>
      </c>
      <c r="BF27" s="38">
        <f t="shared" si="25"/>
        <v>1.6814720659798693E-2</v>
      </c>
      <c r="BG27" s="38">
        <f t="shared" si="26"/>
        <v>4.5560922652023855E-3</v>
      </c>
      <c r="BH27" s="38">
        <f t="shared" si="27"/>
        <v>0</v>
      </c>
      <c r="BI27" s="38">
        <f t="shared" si="28"/>
        <v>0</v>
      </c>
      <c r="BJ27" s="38">
        <f t="shared" si="29"/>
        <v>0</v>
      </c>
      <c r="BK27" s="38">
        <f t="shared" si="30"/>
        <v>0</v>
      </c>
      <c r="BL27" s="41">
        <f t="shared" si="31"/>
        <v>3</v>
      </c>
      <c r="BM27" s="42">
        <f t="shared" si="55"/>
        <v>4</v>
      </c>
      <c r="BN27" s="38">
        <f t="shared" si="32"/>
        <v>2.9404123694087576E-2</v>
      </c>
      <c r="BO27" s="38">
        <f t="shared" si="33"/>
        <v>2.1370812925001079E-2</v>
      </c>
      <c r="BQ27" s="38">
        <f t="shared" si="34"/>
        <v>8.621837549933422E-3</v>
      </c>
      <c r="BR27" s="38">
        <f t="shared" si="35"/>
        <v>7.0105157736604913E-4</v>
      </c>
      <c r="BS27" s="38">
        <f t="shared" si="36"/>
        <v>3.0404080031384857E-3</v>
      </c>
      <c r="BT27" s="38">
        <f t="shared" si="37"/>
        <v>0</v>
      </c>
      <c r="BU27" s="38">
        <f t="shared" si="38"/>
        <v>1.1663187195546278</v>
      </c>
      <c r="BV27" s="38">
        <f t="shared" si="39"/>
        <v>7.8939949252889775E-4</v>
      </c>
      <c r="BW27" s="38">
        <f t="shared" si="40"/>
        <v>1.9106699751861044E-3</v>
      </c>
      <c r="BX27" s="38">
        <f t="shared" si="41"/>
        <v>6.6690442225392299E-3</v>
      </c>
      <c r="BY27" s="38">
        <f t="shared" si="42"/>
        <v>1.8070345272668605E-3</v>
      </c>
      <c r="BZ27" s="38">
        <f t="shared" si="43"/>
        <v>0</v>
      </c>
      <c r="CA27" s="38">
        <f t="shared" si="44"/>
        <v>0</v>
      </c>
      <c r="CB27" s="38">
        <f t="shared" si="45"/>
        <v>0</v>
      </c>
      <c r="CC27" s="38">
        <f t="shared" si="46"/>
        <v>0</v>
      </c>
      <c r="CD27" s="38">
        <f t="shared" si="47"/>
        <v>1.189858164902587</v>
      </c>
      <c r="CE27" s="38">
        <f t="shared" si="48"/>
        <v>1.1997977407678222</v>
      </c>
      <c r="CF27" s="38">
        <f t="shared" si="49"/>
        <v>2.5213089160468201</v>
      </c>
      <c r="CG27" s="38">
        <f t="shared" si="50"/>
        <v>3.0250607412507415</v>
      </c>
    </row>
    <row r="28" spans="1:85" ht="15" customHeight="1" x14ac:dyDescent="0.25">
      <c r="A28" s="35" t="s">
        <v>257</v>
      </c>
      <c r="B28" s="15">
        <v>1252</v>
      </c>
      <c r="C28" s="102" t="s">
        <v>101</v>
      </c>
      <c r="D28" s="103" t="s">
        <v>104</v>
      </c>
      <c r="E28" s="15">
        <v>85</v>
      </c>
      <c r="F28" s="15" t="s">
        <v>272</v>
      </c>
      <c r="G28" s="16">
        <v>0.51500000000000001</v>
      </c>
      <c r="H28" s="16">
        <v>5.0999999999999997E-2</v>
      </c>
      <c r="I28" s="16">
        <v>0.08</v>
      </c>
      <c r="J28" s="16">
        <v>0.01</v>
      </c>
      <c r="K28" s="16">
        <v>82.63</v>
      </c>
      <c r="L28" s="16">
        <v>1.9E-2</v>
      </c>
      <c r="M28" s="16">
        <v>5.8000000000000003E-2</v>
      </c>
      <c r="N28" s="16">
        <v>0.26200000000000001</v>
      </c>
      <c r="O28" s="16">
        <v>7.0999999999999994E-2</v>
      </c>
      <c r="P28" s="16">
        <v>0</v>
      </c>
      <c r="Q28" s="16">
        <v>0</v>
      </c>
      <c r="T28" s="16">
        <f t="shared" si="0"/>
        <v>83.696000000000012</v>
      </c>
      <c r="U28" s="16"/>
      <c r="V28" s="16">
        <f t="shared" si="51"/>
        <v>27.88651525694814</v>
      </c>
      <c r="W28" s="16">
        <f t="shared" si="52"/>
        <v>60.836434594953523</v>
      </c>
      <c r="X28" s="16">
        <f t="shared" si="53"/>
        <v>89.788949851901663</v>
      </c>
      <c r="AD28" s="15">
        <v>4</v>
      </c>
      <c r="AE28" s="15">
        <v>3</v>
      </c>
      <c r="AG28" s="38">
        <f t="shared" si="1"/>
        <v>2.9093515417645082E-2</v>
      </c>
      <c r="AH28" s="38">
        <f t="shared" si="2"/>
        <v>2.1669606040346425E-3</v>
      </c>
      <c r="AI28" s="38">
        <f t="shared" si="3"/>
        <v>5.3260967561377329E-3</v>
      </c>
      <c r="AJ28" s="38">
        <f t="shared" si="4"/>
        <v>4.4661558758454762E-4</v>
      </c>
      <c r="AK28" s="38">
        <f t="shared" si="5"/>
        <v>3.9032815266951131</v>
      </c>
      <c r="AL28" s="38">
        <f t="shared" si="6"/>
        <v>9.0903648152137898E-4</v>
      </c>
      <c r="AM28" s="38">
        <f t="shared" si="7"/>
        <v>4.8847443959113817E-3</v>
      </c>
      <c r="AN28" s="38">
        <f t="shared" si="8"/>
        <v>1.5856677092660091E-2</v>
      </c>
      <c r="AO28" s="38">
        <f t="shared" si="9"/>
        <v>7.7759895517025696E-3</v>
      </c>
      <c r="AP28" s="38">
        <f t="shared" si="10"/>
        <v>0</v>
      </c>
      <c r="AQ28" s="38">
        <f t="shared" si="11"/>
        <v>0</v>
      </c>
      <c r="AR28" s="38">
        <f t="shared" si="12"/>
        <v>0</v>
      </c>
      <c r="AS28" s="38">
        <f t="shared" si="13"/>
        <v>0</v>
      </c>
      <c r="AT28" s="39">
        <f t="shared" si="14"/>
        <v>3.9697411625823102</v>
      </c>
      <c r="AU28" s="38">
        <f t="shared" si="15"/>
        <v>3.4419612173782817E-2</v>
      </c>
      <c r="AV28" s="38">
        <f t="shared" si="16"/>
        <v>2.3632666644362661E-2</v>
      </c>
      <c r="AW28" s="40"/>
      <c r="AX28" s="38">
        <f t="shared" si="17"/>
        <v>2.198645772566174E-2</v>
      </c>
      <c r="AY28" s="38">
        <f t="shared" si="18"/>
        <v>1.637608485253259E-3</v>
      </c>
      <c r="AZ28" s="38">
        <f t="shared" si="19"/>
        <v>4.0250206786830774E-3</v>
      </c>
      <c r="BA28" s="38">
        <f t="shared" si="20"/>
        <v>3.3751489275489054E-4</v>
      </c>
      <c r="BB28" s="38">
        <f t="shared" si="21"/>
        <v>0.99550956034023752</v>
      </c>
      <c r="BC28" s="38">
        <f t="shared" si="22"/>
        <v>1.9542657777747809</v>
      </c>
      <c r="BD28" s="38">
        <f t="shared" si="23"/>
        <v>6.8697412069812557E-4</v>
      </c>
      <c r="BE28" s="38">
        <f t="shared" si="24"/>
        <v>3.6914832951480373E-3</v>
      </c>
      <c r="BF28" s="38">
        <f t="shared" si="25"/>
        <v>1.1983156918733725E-2</v>
      </c>
      <c r="BG28" s="38">
        <f t="shared" si="26"/>
        <v>5.8764457680492458E-3</v>
      </c>
      <c r="BH28" s="38">
        <f t="shared" si="27"/>
        <v>0</v>
      </c>
      <c r="BI28" s="38">
        <f t="shared" si="28"/>
        <v>0</v>
      </c>
      <c r="BJ28" s="38">
        <f t="shared" si="29"/>
        <v>0</v>
      </c>
      <c r="BK28" s="38">
        <f t="shared" si="30"/>
        <v>0</v>
      </c>
      <c r="BL28" s="41">
        <f t="shared" si="31"/>
        <v>3.0000000000000013</v>
      </c>
      <c r="BM28" s="42">
        <f t="shared" si="55"/>
        <v>4.0000000000000009</v>
      </c>
      <c r="BN28" s="38">
        <f t="shared" si="32"/>
        <v>2.6011478404344819E-2</v>
      </c>
      <c r="BO28" s="38">
        <f t="shared" si="33"/>
        <v>1.7859602686782969E-2</v>
      </c>
      <c r="BQ28" s="38">
        <f t="shared" si="34"/>
        <v>8.5719041278295612E-3</v>
      </c>
      <c r="BR28" s="38">
        <f t="shared" si="35"/>
        <v>6.3845768652979465E-4</v>
      </c>
      <c r="BS28" s="38">
        <f t="shared" si="36"/>
        <v>1.5692428403295412E-3</v>
      </c>
      <c r="BT28" s="38">
        <f t="shared" si="37"/>
        <v>1.3158760444766102E-4</v>
      </c>
      <c r="BU28" s="38">
        <f t="shared" si="38"/>
        <v>1.150034794711204</v>
      </c>
      <c r="BV28" s="38">
        <f t="shared" si="39"/>
        <v>2.6783197067944742E-4</v>
      </c>
      <c r="BW28" s="38">
        <f t="shared" si="40"/>
        <v>1.4392059553349878E-3</v>
      </c>
      <c r="BX28" s="38">
        <f t="shared" si="41"/>
        <v>4.6718972895863058E-3</v>
      </c>
      <c r="BY28" s="38">
        <f t="shared" si="42"/>
        <v>2.2910616327847691E-3</v>
      </c>
      <c r="BZ28" s="38">
        <f t="shared" si="43"/>
        <v>0</v>
      </c>
      <c r="CA28" s="38">
        <f t="shared" si="44"/>
        <v>0</v>
      </c>
      <c r="CB28" s="38">
        <f t="shared" si="45"/>
        <v>0</v>
      </c>
      <c r="CC28" s="38">
        <f t="shared" si="46"/>
        <v>0</v>
      </c>
      <c r="CD28" s="38">
        <f t="shared" si="47"/>
        <v>1.1696159838187259</v>
      </c>
      <c r="CE28" s="38">
        <f t="shared" si="48"/>
        <v>1.1785312300390816</v>
      </c>
      <c r="CF28" s="38">
        <f t="shared" si="49"/>
        <v>2.5649444274907909</v>
      </c>
      <c r="CG28" s="38">
        <f t="shared" si="50"/>
        <v>3.0228671111126095</v>
      </c>
    </row>
    <row r="29" spans="1:85" ht="15" customHeight="1" x14ac:dyDescent="0.25">
      <c r="A29" s="35" t="s">
        <v>257</v>
      </c>
      <c r="B29" s="15">
        <v>1253</v>
      </c>
      <c r="C29" s="102" t="s">
        <v>101</v>
      </c>
      <c r="D29" s="103" t="s">
        <v>104</v>
      </c>
      <c r="E29" s="15">
        <v>86</v>
      </c>
      <c r="F29" s="15" t="s">
        <v>279</v>
      </c>
      <c r="G29" s="16">
        <v>1.9E-2</v>
      </c>
      <c r="H29" s="16">
        <v>44.65</v>
      </c>
      <c r="I29" s="16">
        <v>0.57699999999999996</v>
      </c>
      <c r="J29" s="16">
        <v>0.19600000000000001</v>
      </c>
      <c r="K29" s="16">
        <v>44.05</v>
      </c>
      <c r="L29" s="16">
        <v>0.52300000000000002</v>
      </c>
      <c r="M29" s="16">
        <v>6.43</v>
      </c>
      <c r="N29" s="16">
        <v>9.4E-2</v>
      </c>
      <c r="O29" s="16">
        <v>0</v>
      </c>
      <c r="P29" s="16">
        <v>1.4E-2</v>
      </c>
      <c r="Q29" s="16">
        <v>0</v>
      </c>
      <c r="T29" s="16">
        <f t="shared" si="0"/>
        <v>96.552999999999983</v>
      </c>
      <c r="U29" s="16"/>
      <c r="V29" s="16">
        <f t="shared" si="51"/>
        <v>28.02748195615456</v>
      </c>
      <c r="W29" s="16">
        <f t="shared" si="52"/>
        <v>17.80582430212543</v>
      </c>
      <c r="X29" s="16">
        <f t="shared" si="53"/>
        <v>98.33630625827999</v>
      </c>
      <c r="AD29" s="15">
        <v>3</v>
      </c>
      <c r="AE29" s="15">
        <v>2</v>
      </c>
      <c r="AG29" s="38">
        <f t="shared" si="1"/>
        <v>4.9381423879115165E-4</v>
      </c>
      <c r="AH29" s="38">
        <f t="shared" si="2"/>
        <v>0.8728172852584517</v>
      </c>
      <c r="AI29" s="38">
        <f t="shared" si="3"/>
        <v>1.7673229349189849E-2</v>
      </c>
      <c r="AJ29" s="38">
        <f t="shared" si="4"/>
        <v>4.0272721927330319E-3</v>
      </c>
      <c r="AK29" s="38">
        <f t="shared" si="5"/>
        <v>0.95732427535619813</v>
      </c>
      <c r="AL29" s="38">
        <f t="shared" si="6"/>
        <v>1.151199086033962E-2</v>
      </c>
      <c r="AM29" s="38">
        <f t="shared" si="7"/>
        <v>0.24914137569552108</v>
      </c>
      <c r="AN29" s="38">
        <f t="shared" si="8"/>
        <v>2.6173378161440473E-3</v>
      </c>
      <c r="AO29" s="38">
        <f t="shared" si="9"/>
        <v>0</v>
      </c>
      <c r="AP29" s="38">
        <f t="shared" si="10"/>
        <v>4.6413792885463572E-4</v>
      </c>
      <c r="AQ29" s="38">
        <f t="shared" si="11"/>
        <v>0</v>
      </c>
      <c r="AR29" s="38">
        <f t="shared" si="12"/>
        <v>0</v>
      </c>
      <c r="AS29" s="38">
        <f t="shared" si="13"/>
        <v>0</v>
      </c>
      <c r="AT29" s="39">
        <f t="shared" si="14"/>
        <v>2.1160707186962235</v>
      </c>
      <c r="AU29" s="38">
        <f t="shared" si="15"/>
        <v>1.8167043587981001E-2</v>
      </c>
      <c r="AV29" s="38">
        <f t="shared" si="16"/>
        <v>3.0814757449986832E-3</v>
      </c>
      <c r="AW29" s="40"/>
      <c r="AX29" s="38">
        <f t="shared" si="17"/>
        <v>4.6672753838341083E-4</v>
      </c>
      <c r="AY29" s="38">
        <f t="shared" si="18"/>
        <v>0.82494150837853042</v>
      </c>
      <c r="AZ29" s="38">
        <f t="shared" si="19"/>
        <v>1.6703817309167129E-2</v>
      </c>
      <c r="BA29" s="38">
        <f t="shared" si="20"/>
        <v>3.8063682438877651E-3</v>
      </c>
      <c r="BB29" s="38">
        <f t="shared" si="21"/>
        <v>0.57570109910392819</v>
      </c>
      <c r="BC29" s="38">
        <f t="shared" si="22"/>
        <v>0.32911202164662523</v>
      </c>
      <c r="BD29" s="38">
        <f t="shared" si="23"/>
        <v>1.0880535096135648E-2</v>
      </c>
      <c r="BE29" s="38">
        <f t="shared" si="24"/>
        <v>0.2354754720570254</v>
      </c>
      <c r="BF29" s="38">
        <f t="shared" si="25"/>
        <v>2.4737715928101591E-3</v>
      </c>
      <c r="BG29" s="38">
        <f t="shared" si="26"/>
        <v>0</v>
      </c>
      <c r="BH29" s="38">
        <f t="shared" si="27"/>
        <v>4.3867903350659797E-4</v>
      </c>
      <c r="BI29" s="38">
        <f t="shared" si="28"/>
        <v>0</v>
      </c>
      <c r="BJ29" s="38">
        <f t="shared" si="29"/>
        <v>0</v>
      </c>
      <c r="BK29" s="38">
        <f t="shared" si="30"/>
        <v>0</v>
      </c>
      <c r="BL29" s="41">
        <f t="shared" si="31"/>
        <v>2</v>
      </c>
      <c r="BM29" s="42">
        <f t="shared" si="55"/>
        <v>3.0000000000000009</v>
      </c>
      <c r="BN29" s="38">
        <f t="shared" si="32"/>
        <v>1.717054484755054E-2</v>
      </c>
      <c r="BO29" s="38">
        <f t="shared" si="33"/>
        <v>2.9124506263167572E-3</v>
      </c>
      <c r="BQ29" s="38">
        <f t="shared" si="34"/>
        <v>3.162450066577896E-4</v>
      </c>
      <c r="BR29" s="38">
        <f t="shared" si="35"/>
        <v>0.55896344516775165</v>
      </c>
      <c r="BS29" s="38">
        <f t="shared" si="36"/>
        <v>1.1318163985876815E-2</v>
      </c>
      <c r="BT29" s="38">
        <f t="shared" si="37"/>
        <v>2.5791170471741562E-3</v>
      </c>
      <c r="BU29" s="38">
        <f t="shared" si="38"/>
        <v>0.6130828114126653</v>
      </c>
      <c r="BV29" s="38">
        <f t="shared" si="39"/>
        <v>7.3724274034395266E-3</v>
      </c>
      <c r="BW29" s="38">
        <f t="shared" si="40"/>
        <v>0.15955334987593053</v>
      </c>
      <c r="BX29" s="38">
        <f t="shared" si="41"/>
        <v>1.6761768901569188E-3</v>
      </c>
      <c r="BY29" s="38">
        <f t="shared" si="42"/>
        <v>0</v>
      </c>
      <c r="BZ29" s="38">
        <f t="shared" si="43"/>
        <v>2.9723991507430998E-4</v>
      </c>
      <c r="CA29" s="38">
        <f t="shared" si="44"/>
        <v>0</v>
      </c>
      <c r="CB29" s="38">
        <f t="shared" si="45"/>
        <v>0</v>
      </c>
      <c r="CC29" s="38">
        <f t="shared" si="46"/>
        <v>0</v>
      </c>
      <c r="CD29" s="38">
        <f t="shared" si="47"/>
        <v>1.355158976704727</v>
      </c>
      <c r="CE29" s="38">
        <f t="shared" si="48"/>
        <v>1.9212386874381246</v>
      </c>
      <c r="CF29" s="38">
        <f t="shared" si="49"/>
        <v>1.4758416055829118</v>
      </c>
      <c r="CG29" s="38">
        <f t="shared" si="50"/>
        <v>2.8354439891766878</v>
      </c>
    </row>
    <row r="30" spans="1:85" ht="15" customHeight="1" x14ac:dyDescent="0.25">
      <c r="A30" s="35" t="s">
        <v>257</v>
      </c>
      <c r="B30" s="15">
        <v>1254</v>
      </c>
      <c r="C30" s="102" t="s">
        <v>101</v>
      </c>
      <c r="D30" s="103" t="s">
        <v>104</v>
      </c>
      <c r="E30" s="15">
        <v>87</v>
      </c>
      <c r="F30" s="15" t="s">
        <v>279</v>
      </c>
      <c r="G30" s="16">
        <v>0.14099999999999999</v>
      </c>
      <c r="H30" s="16">
        <v>42.66</v>
      </c>
      <c r="I30" s="16">
        <v>0.53</v>
      </c>
      <c r="J30" s="16">
        <v>8.4000000000000005E-2</v>
      </c>
      <c r="K30" s="16">
        <v>46.7</v>
      </c>
      <c r="L30" s="16">
        <v>0.39800000000000002</v>
      </c>
      <c r="M30" s="16">
        <v>5.29</v>
      </c>
      <c r="N30" s="16">
        <v>0.188</v>
      </c>
      <c r="O30" s="16">
        <v>2.5000000000000001E-2</v>
      </c>
      <c r="P30" s="16">
        <v>0</v>
      </c>
      <c r="Q30" s="16">
        <v>0</v>
      </c>
      <c r="T30" s="16">
        <f t="shared" si="0"/>
        <v>96.01600000000002</v>
      </c>
      <c r="U30" s="16"/>
      <c r="V30" s="16">
        <f t="shared" si="51"/>
        <v>28.348869173443383</v>
      </c>
      <c r="W30" s="16">
        <f t="shared" si="52"/>
        <v>20.393611687552369</v>
      </c>
      <c r="X30" s="16">
        <f t="shared" si="53"/>
        <v>98.058480860995758</v>
      </c>
      <c r="AD30" s="15">
        <v>3</v>
      </c>
      <c r="AE30" s="15">
        <v>2</v>
      </c>
      <c r="AG30" s="38">
        <f t="shared" si="1"/>
        <v>3.7437221467161775E-3</v>
      </c>
      <c r="AH30" s="38">
        <f t="shared" si="2"/>
        <v>0.85191686303187419</v>
      </c>
      <c r="AI30" s="38">
        <f t="shared" si="3"/>
        <v>1.6584044651719244E-2</v>
      </c>
      <c r="AJ30" s="38">
        <f t="shared" si="4"/>
        <v>1.7632288641867039E-3</v>
      </c>
      <c r="AK30" s="38">
        <f t="shared" si="5"/>
        <v>1.036822774104726</v>
      </c>
      <c r="AL30" s="38">
        <f t="shared" si="6"/>
        <v>8.94965528523093E-3</v>
      </c>
      <c r="AM30" s="38">
        <f t="shared" si="7"/>
        <v>0.20939439180969066</v>
      </c>
      <c r="AN30" s="38">
        <f t="shared" si="8"/>
        <v>5.3476658719616736E-3</v>
      </c>
      <c r="AO30" s="38">
        <f t="shared" si="9"/>
        <v>1.2868645947028668E-3</v>
      </c>
      <c r="AP30" s="38">
        <f t="shared" si="10"/>
        <v>0</v>
      </c>
      <c r="AQ30" s="38">
        <f t="shared" si="11"/>
        <v>0</v>
      </c>
      <c r="AR30" s="38">
        <f t="shared" si="12"/>
        <v>0</v>
      </c>
      <c r="AS30" s="38">
        <f t="shared" si="13"/>
        <v>0</v>
      </c>
      <c r="AT30" s="39">
        <f t="shared" si="14"/>
        <v>2.135809210360808</v>
      </c>
      <c r="AU30" s="38">
        <f t="shared" si="15"/>
        <v>2.0327766798435423E-2</v>
      </c>
      <c r="AV30" s="38">
        <f t="shared" si="16"/>
        <v>6.6345304666645399E-3</v>
      </c>
      <c r="AW30" s="40"/>
      <c r="AX30" s="38">
        <f t="shared" si="17"/>
        <v>3.5056709452842374E-3</v>
      </c>
      <c r="AY30" s="38">
        <f t="shared" si="18"/>
        <v>0.7977462208695667</v>
      </c>
      <c r="AZ30" s="38">
        <f t="shared" si="19"/>
        <v>1.5529518808393613E-2</v>
      </c>
      <c r="BA30" s="38">
        <f t="shared" si="20"/>
        <v>1.6511108348379456E-3</v>
      </c>
      <c r="BB30" s="38">
        <f t="shared" si="21"/>
        <v>0.58937393842961916</v>
      </c>
      <c r="BC30" s="38">
        <f t="shared" si="22"/>
        <v>0.38152062375795803</v>
      </c>
      <c r="BD30" s="38">
        <f t="shared" si="23"/>
        <v>8.3805756074242597E-3</v>
      </c>
      <c r="BE30" s="38">
        <f t="shared" si="24"/>
        <v>0.19607967864724871</v>
      </c>
      <c r="BF30" s="38">
        <f t="shared" si="25"/>
        <v>5.0076250687750117E-3</v>
      </c>
      <c r="BG30" s="38">
        <f t="shared" si="26"/>
        <v>1.2050370308923548E-3</v>
      </c>
      <c r="BH30" s="38">
        <f t="shared" si="27"/>
        <v>0</v>
      </c>
      <c r="BI30" s="38">
        <f t="shared" si="28"/>
        <v>0</v>
      </c>
      <c r="BJ30" s="38">
        <f t="shared" si="29"/>
        <v>0</v>
      </c>
      <c r="BK30" s="38">
        <f t="shared" si="30"/>
        <v>0</v>
      </c>
      <c r="BL30" s="41">
        <f t="shared" si="31"/>
        <v>1.9999999999999998</v>
      </c>
      <c r="BM30" s="42">
        <f t="shared" si="55"/>
        <v>2.9999999999999996</v>
      </c>
      <c r="BN30" s="38">
        <f t="shared" si="32"/>
        <v>1.903518975367785E-2</v>
      </c>
      <c r="BO30" s="38">
        <f t="shared" si="33"/>
        <v>6.2126620996673662E-3</v>
      </c>
      <c r="BQ30" s="38">
        <f t="shared" si="34"/>
        <v>2.3468708388814912E-3</v>
      </c>
      <c r="BR30" s="38">
        <f t="shared" si="35"/>
        <v>0.53405107661492235</v>
      </c>
      <c r="BS30" s="38">
        <f t="shared" si="36"/>
        <v>1.039623381718321E-2</v>
      </c>
      <c r="BT30" s="38">
        <f t="shared" si="37"/>
        <v>1.1053358773603526E-3</v>
      </c>
      <c r="BU30" s="38">
        <f t="shared" si="38"/>
        <v>0.6499652052887962</v>
      </c>
      <c r="BV30" s="38">
        <f t="shared" si="39"/>
        <v>5.610374964758952E-3</v>
      </c>
      <c r="BW30" s="38">
        <f t="shared" si="40"/>
        <v>0.13126550868486353</v>
      </c>
      <c r="BX30" s="38">
        <f t="shared" si="41"/>
        <v>3.3523537803138376E-3</v>
      </c>
      <c r="BY30" s="38">
        <f t="shared" si="42"/>
        <v>8.067118425298484E-4</v>
      </c>
      <c r="BZ30" s="38">
        <f t="shared" si="43"/>
        <v>0</v>
      </c>
      <c r="CA30" s="38">
        <f t="shared" si="44"/>
        <v>0</v>
      </c>
      <c r="CB30" s="38">
        <f t="shared" si="45"/>
        <v>0</v>
      </c>
      <c r="CC30" s="38">
        <f t="shared" si="46"/>
        <v>0</v>
      </c>
      <c r="CD30" s="38">
        <f t="shared" si="47"/>
        <v>1.3388996717096098</v>
      </c>
      <c r="CE30" s="38">
        <f t="shared" si="48"/>
        <v>1.8806450480894203</v>
      </c>
      <c r="CF30" s="38">
        <f t="shared" si="49"/>
        <v>1.493763903494163</v>
      </c>
      <c r="CG30" s="38">
        <f t="shared" si="50"/>
        <v>2.8092396881210204</v>
      </c>
    </row>
    <row r="31" spans="1:85" ht="15" customHeight="1" x14ac:dyDescent="0.25">
      <c r="A31" s="35" t="s">
        <v>257</v>
      </c>
      <c r="B31" s="15">
        <v>1255</v>
      </c>
      <c r="C31" s="102" t="s">
        <v>101</v>
      </c>
      <c r="D31" s="103" t="s">
        <v>104</v>
      </c>
      <c r="E31" s="15">
        <v>88</v>
      </c>
      <c r="F31" s="15" t="s">
        <v>279</v>
      </c>
      <c r="G31" s="16">
        <v>2.5000000000000001E-2</v>
      </c>
      <c r="H31" s="16">
        <v>40.57</v>
      </c>
      <c r="I31" s="16">
        <v>0.55000000000000004</v>
      </c>
      <c r="J31" s="16">
        <v>4.9000000000000002E-2</v>
      </c>
      <c r="K31" s="16">
        <v>49.37</v>
      </c>
      <c r="L31" s="16">
        <v>0.46400000000000002</v>
      </c>
      <c r="M31" s="16">
        <v>3.98</v>
      </c>
      <c r="N31" s="16">
        <v>0.14399999999999999</v>
      </c>
      <c r="O31" s="16">
        <v>2.9000000000000001E-2</v>
      </c>
      <c r="P31" s="16">
        <v>8.0000000000000002E-3</v>
      </c>
      <c r="Q31" s="16">
        <v>0</v>
      </c>
      <c r="T31" s="16">
        <f t="shared" si="0"/>
        <v>95.188999999999993</v>
      </c>
      <c r="U31" s="16"/>
      <c r="V31" s="16">
        <f t="shared" si="51"/>
        <v>28.612384603669923</v>
      </c>
      <c r="W31" s="16">
        <f t="shared" si="52"/>
        <v>23.067937989941608</v>
      </c>
      <c r="X31" s="16">
        <f t="shared" si="53"/>
        <v>97.499322593611538</v>
      </c>
      <c r="AD31" s="15">
        <v>3</v>
      </c>
      <c r="AE31" s="15">
        <v>2</v>
      </c>
      <c r="AG31" s="38">
        <f t="shared" si="1"/>
        <v>6.8241069318043899E-4</v>
      </c>
      <c r="AH31" s="38">
        <f t="shared" si="2"/>
        <v>0.83291884901632995</v>
      </c>
      <c r="AI31" s="38">
        <f t="shared" si="3"/>
        <v>1.7692882656300059E-2</v>
      </c>
      <c r="AJ31" s="38">
        <f t="shared" si="4"/>
        <v>1.057418244814926E-3</v>
      </c>
      <c r="AK31" s="38">
        <f t="shared" si="5"/>
        <v>1.1268655279682014</v>
      </c>
      <c r="AL31" s="38">
        <f t="shared" si="6"/>
        <v>1.0726611098434891E-2</v>
      </c>
      <c r="AM31" s="38">
        <f t="shared" si="7"/>
        <v>0.16196223632376922</v>
      </c>
      <c r="AN31" s="38">
        <f t="shared" si="8"/>
        <v>4.2110483311443864E-3</v>
      </c>
      <c r="AO31" s="38">
        <f t="shared" si="9"/>
        <v>1.5346599534587189E-3</v>
      </c>
      <c r="AP31" s="38">
        <f t="shared" si="10"/>
        <v>2.7855106205541076E-4</v>
      </c>
      <c r="AQ31" s="38">
        <f t="shared" si="11"/>
        <v>0</v>
      </c>
      <c r="AR31" s="38">
        <f t="shared" si="12"/>
        <v>0</v>
      </c>
      <c r="AS31" s="38">
        <f t="shared" si="13"/>
        <v>0</v>
      </c>
      <c r="AT31" s="39">
        <f t="shared" si="14"/>
        <v>2.1579301953476899</v>
      </c>
      <c r="AU31" s="38">
        <f t="shared" si="15"/>
        <v>1.8375293349480498E-2</v>
      </c>
      <c r="AV31" s="38">
        <f t="shared" si="16"/>
        <v>6.0242593466585158E-3</v>
      </c>
      <c r="AW31" s="40"/>
      <c r="AX31" s="38">
        <f t="shared" si="17"/>
        <v>6.3246781073053918E-4</v>
      </c>
      <c r="AY31" s="38">
        <f t="shared" si="18"/>
        <v>0.77196088252718342</v>
      </c>
      <c r="AZ31" s="38">
        <f t="shared" si="19"/>
        <v>1.6398012034350679E-2</v>
      </c>
      <c r="BA31" s="38">
        <f t="shared" si="20"/>
        <v>9.8003007427638583E-4</v>
      </c>
      <c r="BB31" s="38">
        <f t="shared" si="21"/>
        <v>0.60527902462563854</v>
      </c>
      <c r="BC31" s="38">
        <f t="shared" si="22"/>
        <v>0.43911576664020102</v>
      </c>
      <c r="BD31" s="38">
        <f t="shared" si="23"/>
        <v>9.9415737557781384E-3</v>
      </c>
      <c r="BE31" s="38">
        <f t="shared" si="24"/>
        <v>0.15010887439542367</v>
      </c>
      <c r="BF31" s="38">
        <f t="shared" si="25"/>
        <v>3.9028587117628196E-3</v>
      </c>
      <c r="BG31" s="38">
        <f t="shared" si="26"/>
        <v>1.422344389792879E-3</v>
      </c>
      <c r="BH31" s="38">
        <f t="shared" si="27"/>
        <v>2.5816503486159352E-4</v>
      </c>
      <c r="BI31" s="38">
        <f t="shared" si="28"/>
        <v>0</v>
      </c>
      <c r="BJ31" s="38">
        <f t="shared" si="29"/>
        <v>0</v>
      </c>
      <c r="BK31" s="38">
        <f t="shared" si="30"/>
        <v>0</v>
      </c>
      <c r="BL31" s="41">
        <f t="shared" si="31"/>
        <v>2</v>
      </c>
      <c r="BM31" s="42">
        <f t="shared" si="55"/>
        <v>3</v>
      </c>
      <c r="BN31" s="38">
        <f t="shared" si="32"/>
        <v>1.7030479845081218E-2</v>
      </c>
      <c r="BO31" s="38">
        <f t="shared" si="33"/>
        <v>5.5833681364172924E-3</v>
      </c>
      <c r="BQ31" s="38">
        <f t="shared" si="34"/>
        <v>4.1611185086551269E-4</v>
      </c>
      <c r="BR31" s="38">
        <f t="shared" si="35"/>
        <v>0.50788683024536807</v>
      </c>
      <c r="BS31" s="38">
        <f t="shared" si="36"/>
        <v>1.0788544527265596E-2</v>
      </c>
      <c r="BT31" s="38">
        <f t="shared" si="37"/>
        <v>6.4477926179353905E-4</v>
      </c>
      <c r="BU31" s="38">
        <f t="shared" si="38"/>
        <v>0.68712595685455813</v>
      </c>
      <c r="BV31" s="38">
        <f t="shared" si="39"/>
        <v>6.5407386523822957E-3</v>
      </c>
      <c r="BW31" s="38">
        <f t="shared" si="40"/>
        <v>9.8759305210918122E-2</v>
      </c>
      <c r="BX31" s="38">
        <f t="shared" si="41"/>
        <v>2.5677603423680455E-3</v>
      </c>
      <c r="BY31" s="38">
        <f t="shared" si="42"/>
        <v>9.357857373346242E-4</v>
      </c>
      <c r="BZ31" s="38">
        <f t="shared" si="43"/>
        <v>1.6985138004246286E-4</v>
      </c>
      <c r="CA31" s="38">
        <f t="shared" si="44"/>
        <v>0</v>
      </c>
      <c r="CB31" s="38">
        <f t="shared" si="45"/>
        <v>0</v>
      </c>
      <c r="CC31" s="38">
        <f t="shared" si="46"/>
        <v>0</v>
      </c>
      <c r="CD31" s="38">
        <f t="shared" si="47"/>
        <v>1.3158356640628965</v>
      </c>
      <c r="CE31" s="38">
        <f t="shared" si="48"/>
        <v>1.829302449494971</v>
      </c>
      <c r="CF31" s="38">
        <f t="shared" si="49"/>
        <v>1.5199466427476316</v>
      </c>
      <c r="CG31" s="38">
        <f t="shared" si="50"/>
        <v>2.7804421166799003</v>
      </c>
    </row>
    <row r="32" spans="1:85" ht="15" customHeight="1" x14ac:dyDescent="0.25">
      <c r="A32" s="35" t="s">
        <v>87</v>
      </c>
      <c r="B32" s="15">
        <v>401</v>
      </c>
      <c r="C32" s="102" t="s">
        <v>99</v>
      </c>
      <c r="D32" s="103" t="s">
        <v>106</v>
      </c>
      <c r="E32" s="15">
        <v>83</v>
      </c>
      <c r="F32" s="15" t="s">
        <v>280</v>
      </c>
      <c r="G32" s="16">
        <v>37.43</v>
      </c>
      <c r="H32" s="16">
        <v>3.75</v>
      </c>
      <c r="I32" s="16">
        <v>11.55</v>
      </c>
      <c r="J32" s="16">
        <v>0</v>
      </c>
      <c r="K32" s="16">
        <v>20.399999999999999</v>
      </c>
      <c r="L32" s="16">
        <v>0</v>
      </c>
      <c r="M32" s="16">
        <v>11.17</v>
      </c>
      <c r="N32" s="16">
        <v>0.19600000000000001</v>
      </c>
      <c r="O32" s="16">
        <v>0.35799999999999998</v>
      </c>
      <c r="P32" s="16">
        <v>8.27</v>
      </c>
      <c r="Q32" s="16">
        <v>0</v>
      </c>
      <c r="R32" s="16">
        <v>0</v>
      </c>
      <c r="S32" s="16">
        <v>0</v>
      </c>
      <c r="T32" s="16">
        <f t="shared" si="0"/>
        <v>93.123999999999995</v>
      </c>
      <c r="U32" s="16"/>
      <c r="V32" s="16">
        <f t="shared" si="51"/>
        <v>0</v>
      </c>
      <c r="W32" s="16">
        <f t="shared" si="52"/>
        <v>22.670519999999996</v>
      </c>
      <c r="X32" s="16">
        <f t="shared" si="53"/>
        <v>95.39452</v>
      </c>
      <c r="AB32" s="15" t="s">
        <v>185</v>
      </c>
      <c r="AD32" s="15">
        <v>11</v>
      </c>
      <c r="AE32" s="15">
        <v>7</v>
      </c>
      <c r="AG32" s="38">
        <f t="shared" si="1"/>
        <v>2.9312826879975424</v>
      </c>
      <c r="AH32" s="38">
        <f t="shared" si="2"/>
        <v>0.22088234863845541</v>
      </c>
      <c r="AI32" s="38">
        <f t="shared" si="3"/>
        <v>1.0659822006366937</v>
      </c>
      <c r="AJ32" s="38">
        <f t="shared" si="4"/>
        <v>0</v>
      </c>
      <c r="AK32" s="38">
        <f t="shared" si="5"/>
        <v>1.3358915258213586</v>
      </c>
      <c r="AL32" s="38">
        <f t="shared" si="6"/>
        <v>0</v>
      </c>
      <c r="AM32" s="38">
        <f t="shared" si="7"/>
        <v>1.3041151102941855</v>
      </c>
      <c r="AN32" s="38">
        <f t="shared" si="8"/>
        <v>1.6444317992444148E-2</v>
      </c>
      <c r="AO32" s="38">
        <f t="shared" si="9"/>
        <v>5.4353717193140624E-2</v>
      </c>
      <c r="AP32" s="38">
        <f t="shared" si="10"/>
        <v>0.82613762613680553</v>
      </c>
      <c r="AQ32" s="38">
        <f t="shared" si="11"/>
        <v>0</v>
      </c>
      <c r="AR32" s="38">
        <f t="shared" si="12"/>
        <v>0</v>
      </c>
      <c r="AS32" s="38">
        <f t="shared" si="13"/>
        <v>0</v>
      </c>
      <c r="AT32" s="39">
        <f t="shared" si="14"/>
        <v>7.7550895347106259</v>
      </c>
      <c r="AU32" s="38">
        <f t="shared" si="15"/>
        <v>3.9972648886342359</v>
      </c>
      <c r="AV32" s="38">
        <f t="shared" si="16"/>
        <v>0.89693566132239033</v>
      </c>
      <c r="AW32" s="40"/>
      <c r="AX32" s="38">
        <f t="shared" si="17"/>
        <v>2.6458725878202829</v>
      </c>
      <c r="AY32" s="38">
        <f t="shared" si="18"/>
        <v>0.1993757046322589</v>
      </c>
      <c r="AZ32" s="38">
        <f t="shared" si="19"/>
        <v>0.96219074854759734</v>
      </c>
      <c r="BA32" s="38">
        <f t="shared" si="20"/>
        <v>0</v>
      </c>
      <c r="BB32" s="38">
        <f t="shared" si="21"/>
        <v>0</v>
      </c>
      <c r="BC32" s="38">
        <f t="shared" si="22"/>
        <v>1.2058198217950609</v>
      </c>
      <c r="BD32" s="38">
        <f t="shared" si="23"/>
        <v>0</v>
      </c>
      <c r="BE32" s="38">
        <f t="shared" si="24"/>
        <v>1.1771373794203306</v>
      </c>
      <c r="BF32" s="38">
        <f t="shared" si="25"/>
        <v>1.4843184650788724E-2</v>
      </c>
      <c r="BG32" s="38">
        <f t="shared" si="26"/>
        <v>4.906146068965811E-2</v>
      </c>
      <c r="BH32" s="38">
        <f t="shared" si="27"/>
        <v>0.74569911244402221</v>
      </c>
      <c r="BI32" s="38">
        <f t="shared" si="28"/>
        <v>0</v>
      </c>
      <c r="BJ32" s="38">
        <f t="shared" si="29"/>
        <v>0</v>
      </c>
      <c r="BK32" s="38">
        <f t="shared" si="30"/>
        <v>0</v>
      </c>
      <c r="BL32" s="41">
        <f t="shared" si="31"/>
        <v>7</v>
      </c>
      <c r="BM32" s="42">
        <f t="shared" si="55"/>
        <v>10.531873291057028</v>
      </c>
      <c r="BN32" s="38">
        <f t="shared" si="32"/>
        <v>3.6080633363678802</v>
      </c>
      <c r="BO32" s="38">
        <f t="shared" si="33"/>
        <v>0.80960375778446902</v>
      </c>
      <c r="BQ32" s="38">
        <f t="shared" si="34"/>
        <v>0.62300266311584551</v>
      </c>
      <c r="BR32" s="38">
        <f t="shared" si="35"/>
        <v>4.6945418127190788E-2</v>
      </c>
      <c r="BS32" s="38">
        <f t="shared" si="36"/>
        <v>0.2265594350725775</v>
      </c>
      <c r="BT32" s="38">
        <f t="shared" si="37"/>
        <v>0</v>
      </c>
      <c r="BU32" s="38">
        <f t="shared" si="38"/>
        <v>0.28392484342379959</v>
      </c>
      <c r="BV32" s="38">
        <f t="shared" si="39"/>
        <v>0</v>
      </c>
      <c r="BW32" s="38">
        <f t="shared" si="40"/>
        <v>0.27717121588089333</v>
      </c>
      <c r="BX32" s="38">
        <f t="shared" si="41"/>
        <v>3.4950071326676178E-3</v>
      </c>
      <c r="BY32" s="38">
        <f t="shared" si="42"/>
        <v>1.1552113585027429E-2</v>
      </c>
      <c r="BZ32" s="38">
        <f t="shared" si="43"/>
        <v>0.17558386411889595</v>
      </c>
      <c r="CA32" s="38">
        <f t="shared" si="44"/>
        <v>0</v>
      </c>
      <c r="CB32" s="38">
        <f t="shared" si="45"/>
        <v>0</v>
      </c>
      <c r="CC32" s="38">
        <f t="shared" si="46"/>
        <v>0</v>
      </c>
      <c r="CD32" s="38">
        <f t="shared" si="47"/>
        <v>1.6482345604568978</v>
      </c>
      <c r="CE32" s="38">
        <f t="shared" si="48"/>
        <v>2.3378943703842614</v>
      </c>
      <c r="CF32" s="38">
        <f t="shared" si="49"/>
        <v>4.2469683429399572</v>
      </c>
      <c r="CG32" s="38">
        <f t="shared" si="50"/>
        <v>9.9289633801595016</v>
      </c>
    </row>
    <row r="33" spans="1:85" ht="15" customHeight="1" x14ac:dyDescent="0.25">
      <c r="A33" s="35" t="s">
        <v>87</v>
      </c>
      <c r="B33" s="15">
        <v>402</v>
      </c>
      <c r="C33" s="102" t="s">
        <v>99</v>
      </c>
      <c r="D33" s="103" t="s">
        <v>106</v>
      </c>
      <c r="E33" s="15">
        <v>84</v>
      </c>
      <c r="F33" s="15" t="s">
        <v>279</v>
      </c>
      <c r="G33" s="16">
        <v>1.4999999999999999E-2</v>
      </c>
      <c r="H33" s="16">
        <v>48.47</v>
      </c>
      <c r="I33" s="16">
        <v>4.3999999999999997E-2</v>
      </c>
      <c r="J33" s="16">
        <v>0</v>
      </c>
      <c r="K33" s="16">
        <v>46.94</v>
      </c>
      <c r="L33" s="16">
        <v>0.501</v>
      </c>
      <c r="M33" s="16">
        <v>0.71199999999999997</v>
      </c>
      <c r="N33" s="16">
        <v>0</v>
      </c>
      <c r="O33" s="16">
        <v>0</v>
      </c>
      <c r="P33" s="16">
        <v>0</v>
      </c>
      <c r="Q33" s="16">
        <v>0</v>
      </c>
      <c r="T33" s="16">
        <f t="shared" si="0"/>
        <v>96.682000000000002</v>
      </c>
      <c r="U33" s="16"/>
      <c r="V33" s="16">
        <f t="shared" si="51"/>
        <v>41.838617476525627</v>
      </c>
      <c r="W33" s="16">
        <f t="shared" si="52"/>
        <v>5.6691663983370679</v>
      </c>
      <c r="X33" s="16">
        <f t="shared" si="53"/>
        <v>97.249783874862686</v>
      </c>
      <c r="AD33" s="15">
        <v>3</v>
      </c>
      <c r="AE33" s="15">
        <v>2</v>
      </c>
      <c r="AG33" s="38">
        <f t="shared" si="1"/>
        <v>3.9558544670686274E-4</v>
      </c>
      <c r="AH33" s="38">
        <f t="shared" si="2"/>
        <v>0.96142173113090368</v>
      </c>
      <c r="AI33" s="38">
        <f t="shared" si="3"/>
        <v>1.3675141102112277E-3</v>
      </c>
      <c r="AJ33" s="38">
        <f t="shared" si="4"/>
        <v>0</v>
      </c>
      <c r="AK33" s="38">
        <f t="shared" si="5"/>
        <v>1.035130925144683</v>
      </c>
      <c r="AL33" s="38">
        <f t="shared" si="6"/>
        <v>1.1189882147084208E-2</v>
      </c>
      <c r="AM33" s="38">
        <f t="shared" si="7"/>
        <v>2.7993288387694958E-2</v>
      </c>
      <c r="AN33" s="38">
        <f t="shared" si="8"/>
        <v>0</v>
      </c>
      <c r="AO33" s="38">
        <f t="shared" si="9"/>
        <v>0</v>
      </c>
      <c r="AP33" s="38">
        <f t="shared" si="10"/>
        <v>0</v>
      </c>
      <c r="AQ33" s="38">
        <f t="shared" si="11"/>
        <v>0</v>
      </c>
      <c r="AR33" s="38">
        <f t="shared" si="12"/>
        <v>0</v>
      </c>
      <c r="AS33" s="38">
        <f t="shared" si="13"/>
        <v>0</v>
      </c>
      <c r="AT33" s="39">
        <f t="shared" si="14"/>
        <v>2.037498926367284</v>
      </c>
      <c r="AU33" s="38">
        <f t="shared" si="15"/>
        <v>1.7630995569180904E-3</v>
      </c>
      <c r="AV33" s="38">
        <f t="shared" si="16"/>
        <v>0</v>
      </c>
      <c r="AW33" s="40"/>
      <c r="AX33" s="38">
        <f t="shared" si="17"/>
        <v>3.8830493757575972E-4</v>
      </c>
      <c r="AY33" s="38">
        <f t="shared" si="18"/>
        <v>0.9437273499280322</v>
      </c>
      <c r="AZ33" s="38">
        <f t="shared" si="19"/>
        <v>1.3423458461884038E-3</v>
      </c>
      <c r="BA33" s="38">
        <f t="shared" si="20"/>
        <v>0</v>
      </c>
      <c r="BB33" s="38">
        <f t="shared" si="21"/>
        <v>0.9056536267116686</v>
      </c>
      <c r="BC33" s="38">
        <f t="shared" si="22"/>
        <v>0.11042634442259658</v>
      </c>
      <c r="BD33" s="38">
        <f t="shared" si="23"/>
        <v>1.0983939183747181E-2</v>
      </c>
      <c r="BE33" s="38">
        <f t="shared" si="24"/>
        <v>2.7478088970191519E-2</v>
      </c>
      <c r="BF33" s="38">
        <f t="shared" si="25"/>
        <v>0</v>
      </c>
      <c r="BG33" s="38">
        <f t="shared" si="26"/>
        <v>0</v>
      </c>
      <c r="BH33" s="38">
        <f t="shared" si="27"/>
        <v>0</v>
      </c>
      <c r="BI33" s="38">
        <f t="shared" si="28"/>
        <v>0</v>
      </c>
      <c r="BJ33" s="38">
        <f t="shared" si="29"/>
        <v>0</v>
      </c>
      <c r="BK33" s="38">
        <f t="shared" si="30"/>
        <v>0</v>
      </c>
      <c r="BL33" s="41">
        <f t="shared" si="31"/>
        <v>2.0000000000000004</v>
      </c>
      <c r="BM33" s="42">
        <f t="shared" si="55"/>
        <v>3.0000000000000009</v>
      </c>
      <c r="BN33" s="38">
        <f t="shared" si="32"/>
        <v>1.7306507837641636E-3</v>
      </c>
      <c r="BO33" s="38">
        <f t="shared" si="33"/>
        <v>0</v>
      </c>
      <c r="BQ33" s="38">
        <f t="shared" si="34"/>
        <v>2.4966711051930759E-4</v>
      </c>
      <c r="BR33" s="38">
        <f t="shared" si="35"/>
        <v>0.60678517776664997</v>
      </c>
      <c r="BS33" s="38">
        <f t="shared" si="36"/>
        <v>8.6308356218124758E-4</v>
      </c>
      <c r="BT33" s="38">
        <f t="shared" si="37"/>
        <v>0</v>
      </c>
      <c r="BU33" s="38">
        <f t="shared" si="38"/>
        <v>0.65330549756437029</v>
      </c>
      <c r="BV33" s="38">
        <f t="shared" si="39"/>
        <v>7.0623061742317453E-3</v>
      </c>
      <c r="BW33" s="38">
        <f t="shared" si="40"/>
        <v>1.7667493796526056E-2</v>
      </c>
      <c r="BX33" s="38">
        <f t="shared" si="41"/>
        <v>0</v>
      </c>
      <c r="BY33" s="38">
        <f t="shared" si="42"/>
        <v>0</v>
      </c>
      <c r="BZ33" s="38">
        <f t="shared" si="43"/>
        <v>0</v>
      </c>
      <c r="CA33" s="38">
        <f t="shared" si="44"/>
        <v>0</v>
      </c>
      <c r="CB33" s="38">
        <f t="shared" si="45"/>
        <v>0</v>
      </c>
      <c r="CC33" s="38">
        <f t="shared" si="46"/>
        <v>0</v>
      </c>
      <c r="CD33" s="38">
        <f t="shared" si="47"/>
        <v>1.2859332259744785</v>
      </c>
      <c r="CE33" s="38">
        <f t="shared" si="48"/>
        <v>1.8933996126327386</v>
      </c>
      <c r="CF33" s="38">
        <f t="shared" si="49"/>
        <v>1.5552907099701097</v>
      </c>
      <c r="CG33" s="38">
        <f t="shared" si="50"/>
        <v>2.9447868277887026</v>
      </c>
    </row>
    <row r="34" spans="1:85" ht="15" customHeight="1" x14ac:dyDescent="0.25">
      <c r="A34" s="35" t="s">
        <v>87</v>
      </c>
      <c r="B34" s="15">
        <v>403</v>
      </c>
      <c r="C34" s="102" t="s">
        <v>99</v>
      </c>
      <c r="D34" s="103" t="s">
        <v>106</v>
      </c>
      <c r="E34" s="15">
        <v>85</v>
      </c>
      <c r="F34" s="15" t="s">
        <v>279</v>
      </c>
      <c r="G34" s="16">
        <v>0</v>
      </c>
      <c r="H34" s="16">
        <v>48.25</v>
      </c>
      <c r="I34" s="16">
        <v>2.7E-2</v>
      </c>
      <c r="J34" s="16">
        <v>0</v>
      </c>
      <c r="K34" s="16">
        <v>47.36</v>
      </c>
      <c r="L34" s="16">
        <v>1.016</v>
      </c>
      <c r="M34" s="16">
        <v>0.79700000000000004</v>
      </c>
      <c r="N34" s="16">
        <v>1.6E-2</v>
      </c>
      <c r="O34" s="16">
        <v>2.1999999999999999E-2</v>
      </c>
      <c r="P34" s="16">
        <v>0</v>
      </c>
      <c r="Q34" s="16">
        <v>0</v>
      </c>
      <c r="T34" s="16">
        <f t="shared" si="0"/>
        <v>97.488000000000014</v>
      </c>
      <c r="U34" s="16"/>
      <c r="V34" s="16">
        <f t="shared" si="51"/>
        <v>40.827130776637418</v>
      </c>
      <c r="W34" s="16">
        <f t="shared" si="52"/>
        <v>7.2599775679228404</v>
      </c>
      <c r="X34" s="16">
        <f t="shared" si="53"/>
        <v>98.215108344560264</v>
      </c>
      <c r="AD34" s="15">
        <v>3</v>
      </c>
      <c r="AE34" s="15">
        <v>2</v>
      </c>
      <c r="AG34" s="38">
        <f t="shared" si="1"/>
        <v>0</v>
      </c>
      <c r="AH34" s="38">
        <f t="shared" si="2"/>
        <v>0.95235661074736466</v>
      </c>
      <c r="AI34" s="38">
        <f t="shared" si="3"/>
        <v>8.3503421794810771E-4</v>
      </c>
      <c r="AJ34" s="38">
        <f t="shared" si="4"/>
        <v>0</v>
      </c>
      <c r="AK34" s="38">
        <f t="shared" si="5"/>
        <v>1.0392625089573964</v>
      </c>
      <c r="AL34" s="38">
        <f t="shared" si="6"/>
        <v>2.2580984004161284E-2</v>
      </c>
      <c r="AM34" s="38">
        <f t="shared" si="7"/>
        <v>3.1181256696537672E-2</v>
      </c>
      <c r="AN34" s="38">
        <f t="shared" si="8"/>
        <v>4.4983404058746262E-4</v>
      </c>
      <c r="AO34" s="38">
        <f t="shared" si="9"/>
        <v>1.1192869593320183E-3</v>
      </c>
      <c r="AP34" s="38">
        <f t="shared" si="10"/>
        <v>0</v>
      </c>
      <c r="AQ34" s="38">
        <f t="shared" si="11"/>
        <v>0</v>
      </c>
      <c r="AR34" s="38">
        <f t="shared" si="12"/>
        <v>0</v>
      </c>
      <c r="AS34" s="38">
        <f t="shared" si="13"/>
        <v>0</v>
      </c>
      <c r="AT34" s="39">
        <f t="shared" si="14"/>
        <v>2.0477855156233273</v>
      </c>
      <c r="AU34" s="38">
        <f t="shared" si="15"/>
        <v>8.3503421794810771E-4</v>
      </c>
      <c r="AV34" s="38">
        <f t="shared" si="16"/>
        <v>1.5691209999194808E-3</v>
      </c>
      <c r="AW34" s="40"/>
      <c r="AX34" s="38">
        <f t="shared" si="17"/>
        <v>0</v>
      </c>
      <c r="AY34" s="38">
        <f t="shared" si="18"/>
        <v>0.9301331643196783</v>
      </c>
      <c r="AZ34" s="38">
        <f t="shared" si="19"/>
        <v>8.1554851480032165E-4</v>
      </c>
      <c r="BA34" s="38">
        <f t="shared" si="20"/>
        <v>0</v>
      </c>
      <c r="BB34" s="38">
        <f t="shared" si="21"/>
        <v>0.87499980369253505</v>
      </c>
      <c r="BC34" s="38">
        <f t="shared" si="22"/>
        <v>0.14001129100314569</v>
      </c>
      <c r="BD34" s="38">
        <f t="shared" si="23"/>
        <v>2.2054051883737286E-2</v>
      </c>
      <c r="BE34" s="38">
        <f t="shared" si="24"/>
        <v>3.0453635362340553E-2</v>
      </c>
      <c r="BF34" s="38">
        <f t="shared" si="25"/>
        <v>4.3933706646082733E-4</v>
      </c>
      <c r="BG34" s="38">
        <f t="shared" si="26"/>
        <v>1.0931681573021748E-3</v>
      </c>
      <c r="BH34" s="38">
        <f t="shared" si="27"/>
        <v>0</v>
      </c>
      <c r="BI34" s="38">
        <f t="shared" si="28"/>
        <v>0</v>
      </c>
      <c r="BJ34" s="38">
        <f t="shared" si="29"/>
        <v>0</v>
      </c>
      <c r="BK34" s="38">
        <f t="shared" si="30"/>
        <v>0</v>
      </c>
      <c r="BL34" s="41">
        <f t="shared" si="31"/>
        <v>2.0000000000000004</v>
      </c>
      <c r="BM34" s="42">
        <f t="shared" si="55"/>
        <v>3.0000000000000004</v>
      </c>
      <c r="BN34" s="38">
        <f t="shared" si="32"/>
        <v>8.1554851480032165E-4</v>
      </c>
      <c r="BO34" s="38">
        <f t="shared" si="33"/>
        <v>1.532505223763002E-3</v>
      </c>
      <c r="BQ34" s="38">
        <f t="shared" si="34"/>
        <v>0</v>
      </c>
      <c r="BR34" s="38">
        <f t="shared" si="35"/>
        <v>0.60403104656985485</v>
      </c>
      <c r="BS34" s="38">
        <f t="shared" si="36"/>
        <v>5.2961945861122013E-4</v>
      </c>
      <c r="BT34" s="38">
        <f t="shared" si="37"/>
        <v>0</v>
      </c>
      <c r="BU34" s="38">
        <f t="shared" si="38"/>
        <v>0.65915100904662494</v>
      </c>
      <c r="BV34" s="38">
        <f t="shared" si="39"/>
        <v>1.4321962221595715E-2</v>
      </c>
      <c r="BW34" s="38">
        <f t="shared" si="40"/>
        <v>1.9776674937965262E-2</v>
      </c>
      <c r="BX34" s="38">
        <f t="shared" si="41"/>
        <v>2.8530670470756063E-4</v>
      </c>
      <c r="BY34" s="38">
        <f t="shared" si="42"/>
        <v>7.0990642142626655E-4</v>
      </c>
      <c r="BZ34" s="38">
        <f t="shared" si="43"/>
        <v>0</v>
      </c>
      <c r="CA34" s="38">
        <f t="shared" si="44"/>
        <v>0</v>
      </c>
      <c r="CB34" s="38">
        <f t="shared" si="45"/>
        <v>0</v>
      </c>
      <c r="CC34" s="38">
        <f t="shared" si="46"/>
        <v>0</v>
      </c>
      <c r="CD34" s="38">
        <f t="shared" si="47"/>
        <v>1.2988055253607858</v>
      </c>
      <c r="CE34" s="38">
        <f t="shared" si="48"/>
        <v>1.902746428449233</v>
      </c>
      <c r="CF34" s="38">
        <f t="shared" si="49"/>
        <v>1.5398764179451998</v>
      </c>
      <c r="CG34" s="38">
        <f t="shared" si="50"/>
        <v>2.9299943544984273</v>
      </c>
    </row>
    <row r="35" spans="1:85" ht="15" customHeight="1" x14ac:dyDescent="0.25">
      <c r="A35" s="35" t="s">
        <v>87</v>
      </c>
      <c r="B35" s="15">
        <v>404</v>
      </c>
      <c r="C35" s="102" t="s">
        <v>99</v>
      </c>
      <c r="D35" s="103" t="s">
        <v>106</v>
      </c>
      <c r="E35" s="15">
        <v>86</v>
      </c>
      <c r="F35" s="15" t="s">
        <v>279</v>
      </c>
      <c r="G35" s="16">
        <v>2.1000000000000001E-2</v>
      </c>
      <c r="H35" s="16">
        <v>48.05</v>
      </c>
      <c r="I35" s="16">
        <v>0.05</v>
      </c>
      <c r="J35" s="16">
        <v>0</v>
      </c>
      <c r="K35" s="16">
        <v>47.46</v>
      </c>
      <c r="L35" s="16">
        <v>1.111</v>
      </c>
      <c r="M35" s="16">
        <v>0.72399999999999998</v>
      </c>
      <c r="N35" s="16">
        <v>0</v>
      </c>
      <c r="O35" s="16">
        <v>0</v>
      </c>
      <c r="P35" s="16">
        <v>0.02</v>
      </c>
      <c r="Q35" s="16">
        <v>0</v>
      </c>
      <c r="T35" s="16">
        <f t="shared" si="0"/>
        <v>97.435999999999993</v>
      </c>
      <c r="U35" s="16"/>
      <c r="V35" s="16">
        <f t="shared" si="51"/>
        <v>40.767775168836039</v>
      </c>
      <c r="W35" s="16">
        <f t="shared" si="52"/>
        <v>7.4370694548725131</v>
      </c>
      <c r="X35" s="16">
        <f t="shared" si="53"/>
        <v>98.180844623708538</v>
      </c>
      <c r="Y35" s="15">
        <v>87</v>
      </c>
      <c r="AD35" s="15">
        <v>3</v>
      </c>
      <c r="AE35" s="15">
        <v>2</v>
      </c>
      <c r="AG35" s="38">
        <f t="shared" si="1"/>
        <v>5.5201009759508265E-4</v>
      </c>
      <c r="AH35" s="38">
        <f t="shared" si="2"/>
        <v>0.94997677360193777</v>
      </c>
      <c r="AI35" s="38">
        <f t="shared" si="3"/>
        <v>1.5489158523189564E-3</v>
      </c>
      <c r="AJ35" s="38">
        <f t="shared" si="4"/>
        <v>0</v>
      </c>
      <c r="AK35" s="38">
        <f t="shared" si="5"/>
        <v>1.0431784642942019</v>
      </c>
      <c r="AL35" s="38">
        <f t="shared" si="6"/>
        <v>2.4733212347901285E-2</v>
      </c>
      <c r="AM35" s="38">
        <f t="shared" si="7"/>
        <v>2.8372079716865291E-2</v>
      </c>
      <c r="AN35" s="38">
        <f t="shared" si="8"/>
        <v>0</v>
      </c>
      <c r="AO35" s="38">
        <f t="shared" si="9"/>
        <v>0</v>
      </c>
      <c r="AP35" s="38">
        <f t="shared" si="10"/>
        <v>6.7060492697427088E-4</v>
      </c>
      <c r="AQ35" s="38">
        <f t="shared" si="11"/>
        <v>0</v>
      </c>
      <c r="AR35" s="38">
        <f t="shared" si="12"/>
        <v>0</v>
      </c>
      <c r="AS35" s="38">
        <f t="shared" si="13"/>
        <v>0</v>
      </c>
      <c r="AT35" s="39">
        <f t="shared" si="14"/>
        <v>2.0490320608377943</v>
      </c>
      <c r="AU35" s="38">
        <f t="shared" si="15"/>
        <v>2.1009259499140389E-3</v>
      </c>
      <c r="AV35" s="38">
        <f t="shared" si="16"/>
        <v>6.7060492697427088E-4</v>
      </c>
      <c r="AW35" s="40"/>
      <c r="AX35" s="38">
        <f t="shared" si="17"/>
        <v>5.3880083981641604E-4</v>
      </c>
      <c r="AY35" s="38">
        <f t="shared" si="18"/>
        <v>0.92724442116685846</v>
      </c>
      <c r="AZ35" s="38">
        <f t="shared" si="19"/>
        <v>1.5118512608198493E-3</v>
      </c>
      <c r="BA35" s="38">
        <f t="shared" si="20"/>
        <v>0</v>
      </c>
      <c r="BB35" s="38">
        <f t="shared" si="21"/>
        <v>0.87463959096319366</v>
      </c>
      <c r="BC35" s="38">
        <f t="shared" si="22"/>
        <v>0.14357626249463284</v>
      </c>
      <c r="BD35" s="38">
        <f t="shared" si="23"/>
        <v>2.4141361983168325E-2</v>
      </c>
      <c r="BE35" s="38">
        <f t="shared" si="24"/>
        <v>2.769315352270741E-2</v>
      </c>
      <c r="BF35" s="38">
        <f t="shared" si="25"/>
        <v>0</v>
      </c>
      <c r="BG35" s="38">
        <f t="shared" si="26"/>
        <v>0</v>
      </c>
      <c r="BH35" s="38">
        <f t="shared" si="27"/>
        <v>6.5455776880336228E-4</v>
      </c>
      <c r="BI35" s="38">
        <f t="shared" si="28"/>
        <v>0</v>
      </c>
      <c r="BJ35" s="38">
        <f t="shared" si="29"/>
        <v>0</v>
      </c>
      <c r="BK35" s="38">
        <f t="shared" si="30"/>
        <v>0</v>
      </c>
      <c r="BL35" s="41">
        <f t="shared" si="31"/>
        <v>2.0000000000000004</v>
      </c>
      <c r="BM35" s="42">
        <f t="shared" si="55"/>
        <v>3.0000000000000004</v>
      </c>
      <c r="BN35" s="38">
        <f t="shared" si="32"/>
        <v>2.0506521006362654E-3</v>
      </c>
      <c r="BO35" s="38">
        <f t="shared" si="33"/>
        <v>6.5455776880336228E-4</v>
      </c>
      <c r="BQ35" s="38">
        <f t="shared" si="34"/>
        <v>3.4953395472703063E-4</v>
      </c>
      <c r="BR35" s="38">
        <f t="shared" si="35"/>
        <v>0.60152729093640456</v>
      </c>
      <c r="BS35" s="38">
        <f t="shared" si="36"/>
        <v>9.8077677520596327E-4</v>
      </c>
      <c r="BT35" s="38">
        <f t="shared" si="37"/>
        <v>0</v>
      </c>
      <c r="BU35" s="38">
        <f t="shared" si="38"/>
        <v>0.66054279749478084</v>
      </c>
      <c r="BV35" s="38">
        <f t="shared" si="39"/>
        <v>1.5661122074992952E-2</v>
      </c>
      <c r="BW35" s="38">
        <f t="shared" si="40"/>
        <v>1.7965260545905706E-2</v>
      </c>
      <c r="BX35" s="38">
        <f t="shared" si="41"/>
        <v>0</v>
      </c>
      <c r="BY35" s="38">
        <f t="shared" si="42"/>
        <v>0</v>
      </c>
      <c r="BZ35" s="38">
        <f t="shared" si="43"/>
        <v>4.2462845010615713E-4</v>
      </c>
      <c r="CA35" s="38">
        <f t="shared" si="44"/>
        <v>0</v>
      </c>
      <c r="CB35" s="38">
        <f t="shared" si="45"/>
        <v>0</v>
      </c>
      <c r="CC35" s="38">
        <f t="shared" si="46"/>
        <v>0</v>
      </c>
      <c r="CD35" s="38">
        <f t="shared" si="47"/>
        <v>1.2974514102321231</v>
      </c>
      <c r="CE35" s="38">
        <f t="shared" si="48"/>
        <v>1.8996063092858049</v>
      </c>
      <c r="CF35" s="38">
        <f t="shared" si="49"/>
        <v>1.541483545531918</v>
      </c>
      <c r="CG35" s="38">
        <f t="shared" si="50"/>
        <v>2.9282118687526837</v>
      </c>
    </row>
    <row r="36" spans="1:85" ht="15" customHeight="1" x14ac:dyDescent="0.25">
      <c r="A36" s="35" t="s">
        <v>87</v>
      </c>
      <c r="B36" s="15">
        <v>405</v>
      </c>
      <c r="C36" s="102" t="s">
        <v>99</v>
      </c>
      <c r="D36" s="103" t="s">
        <v>106</v>
      </c>
      <c r="E36" s="15">
        <v>87</v>
      </c>
      <c r="F36" s="15" t="s">
        <v>272</v>
      </c>
      <c r="G36" s="16">
        <v>9.5000000000000001E-2</v>
      </c>
      <c r="H36" s="16">
        <v>6.69</v>
      </c>
      <c r="I36" s="16">
        <v>1.589</v>
      </c>
      <c r="J36" s="16">
        <v>4.2000000000000003E-2</v>
      </c>
      <c r="K36" s="16">
        <v>84.79</v>
      </c>
      <c r="L36" s="16">
        <v>0.41799999999999998</v>
      </c>
      <c r="M36" s="16">
        <v>0.24199999999999999</v>
      </c>
      <c r="N36" s="16">
        <v>1.0999999999999999E-2</v>
      </c>
      <c r="O36" s="16">
        <v>3.4000000000000002E-2</v>
      </c>
      <c r="P36" s="16">
        <v>0</v>
      </c>
      <c r="Q36" s="16">
        <v>0</v>
      </c>
      <c r="T36" s="16">
        <f t="shared" si="0"/>
        <v>93.911000000000016</v>
      </c>
      <c r="U36" s="16"/>
      <c r="V36" s="16">
        <f t="shared" si="51"/>
        <v>36.487205016373167</v>
      </c>
      <c r="W36" s="16">
        <f t="shared" si="52"/>
        <v>53.678896065304514</v>
      </c>
      <c r="X36" s="16">
        <f t="shared" si="53"/>
        <v>99.287101081677676</v>
      </c>
      <c r="Y36" s="15">
        <v>86</v>
      </c>
      <c r="AD36" s="15">
        <v>4</v>
      </c>
      <c r="AE36" s="15">
        <v>3</v>
      </c>
      <c r="AG36" s="38">
        <f t="shared" si="1"/>
        <v>4.4826109645903769E-3</v>
      </c>
      <c r="AH36" s="38">
        <f t="shared" si="2"/>
        <v>0.23742444384666819</v>
      </c>
      <c r="AI36" s="38">
        <f t="shared" si="3"/>
        <v>8.8361165135938807E-2</v>
      </c>
      <c r="AJ36" s="38">
        <f t="shared" si="4"/>
        <v>1.5667569824342699E-3</v>
      </c>
      <c r="AK36" s="38">
        <f t="shared" si="5"/>
        <v>3.3454552932574582</v>
      </c>
      <c r="AL36" s="38">
        <f t="shared" si="6"/>
        <v>1.6704076313946929E-2</v>
      </c>
      <c r="AM36" s="38">
        <f t="shared" si="7"/>
        <v>1.7023454239030102E-2</v>
      </c>
      <c r="AN36" s="38">
        <f t="shared" si="8"/>
        <v>5.5606050271763796E-4</v>
      </c>
      <c r="AO36" s="38">
        <f t="shared" si="9"/>
        <v>3.1102457735391908E-3</v>
      </c>
      <c r="AP36" s="38">
        <f t="shared" si="10"/>
        <v>0</v>
      </c>
      <c r="AQ36" s="38">
        <f t="shared" si="11"/>
        <v>0</v>
      </c>
      <c r="AR36" s="38">
        <f t="shared" si="12"/>
        <v>0</v>
      </c>
      <c r="AS36" s="38">
        <f t="shared" si="13"/>
        <v>0</v>
      </c>
      <c r="AT36" s="39">
        <f t="shared" si="14"/>
        <v>3.7146841070163235</v>
      </c>
      <c r="AU36" s="38">
        <f t="shared" si="15"/>
        <v>9.2843776100529185E-2</v>
      </c>
      <c r="AV36" s="38">
        <f t="shared" si="16"/>
        <v>3.6663062762568289E-3</v>
      </c>
      <c r="AW36" s="40"/>
      <c r="AX36" s="38">
        <f t="shared" si="17"/>
        <v>3.6201820952610105E-3</v>
      </c>
      <c r="AY36" s="38">
        <f t="shared" si="18"/>
        <v>0.19174533042921665</v>
      </c>
      <c r="AZ36" s="38">
        <f t="shared" si="19"/>
        <v>7.136097923027282E-2</v>
      </c>
      <c r="BA36" s="38">
        <f t="shared" si="20"/>
        <v>1.2653218448440615E-3</v>
      </c>
      <c r="BB36" s="38">
        <f t="shared" si="21"/>
        <v>1.162654185179361</v>
      </c>
      <c r="BC36" s="38">
        <f t="shared" si="22"/>
        <v>1.5391545260420347</v>
      </c>
      <c r="BD36" s="38">
        <f t="shared" si="23"/>
        <v>1.349030698120156E-2</v>
      </c>
      <c r="BE36" s="38">
        <f t="shared" si="24"/>
        <v>1.374823840892102E-2</v>
      </c>
      <c r="BF36" s="38">
        <f t="shared" si="25"/>
        <v>4.4907762277875525E-4</v>
      </c>
      <c r="BG36" s="38">
        <f t="shared" si="26"/>
        <v>2.5118521661084462E-3</v>
      </c>
      <c r="BH36" s="38">
        <f t="shared" si="27"/>
        <v>0</v>
      </c>
      <c r="BI36" s="38">
        <f t="shared" si="28"/>
        <v>0</v>
      </c>
      <c r="BJ36" s="38">
        <f t="shared" si="29"/>
        <v>0</v>
      </c>
      <c r="BK36" s="38">
        <f t="shared" si="30"/>
        <v>0</v>
      </c>
      <c r="BL36" s="41">
        <f t="shared" si="31"/>
        <v>3</v>
      </c>
      <c r="BM36" s="42">
        <f t="shared" si="55"/>
        <v>3.9999999999999996</v>
      </c>
      <c r="BN36" s="38">
        <f t="shared" si="32"/>
        <v>7.4981161325533827E-2</v>
      </c>
      <c r="BO36" s="38">
        <f t="shared" si="33"/>
        <v>2.9609297888872014E-3</v>
      </c>
      <c r="BQ36" s="38">
        <f t="shared" si="34"/>
        <v>1.5812250332889481E-3</v>
      </c>
      <c r="BR36" s="38">
        <f t="shared" si="35"/>
        <v>8.3750625938908377E-2</v>
      </c>
      <c r="BS36" s="38">
        <f t="shared" si="36"/>
        <v>3.1169085916045509E-2</v>
      </c>
      <c r="BT36" s="38">
        <f t="shared" si="37"/>
        <v>5.526679386801763E-4</v>
      </c>
      <c r="BU36" s="38">
        <f t="shared" si="38"/>
        <v>1.1800974251913712</v>
      </c>
      <c r="BV36" s="38">
        <f t="shared" si="39"/>
        <v>5.8923033549478435E-3</v>
      </c>
      <c r="BW36" s="38">
        <f t="shared" si="40"/>
        <v>6.004962779156328E-3</v>
      </c>
      <c r="BX36" s="38">
        <f t="shared" si="41"/>
        <v>1.9614835948644793E-4</v>
      </c>
      <c r="BY36" s="38">
        <f t="shared" si="42"/>
        <v>1.0971281058405938E-3</v>
      </c>
      <c r="BZ36" s="38">
        <f t="shared" si="43"/>
        <v>0</v>
      </c>
      <c r="CA36" s="38">
        <f t="shared" si="44"/>
        <v>0</v>
      </c>
      <c r="CB36" s="38">
        <f t="shared" si="45"/>
        <v>0</v>
      </c>
      <c r="CC36" s="38">
        <f t="shared" si="46"/>
        <v>0</v>
      </c>
      <c r="CD36" s="38">
        <f t="shared" si="47"/>
        <v>1.3103415726177254</v>
      </c>
      <c r="CE36" s="38">
        <f t="shared" si="48"/>
        <v>1.4109857364643654</v>
      </c>
      <c r="CF36" s="38">
        <f t="shared" si="49"/>
        <v>2.2894793714029631</v>
      </c>
      <c r="CG36" s="38">
        <f t="shared" si="50"/>
        <v>3.2304227369789822</v>
      </c>
    </row>
    <row r="37" spans="1:85" ht="15" customHeight="1" x14ac:dyDescent="0.25">
      <c r="A37" s="35" t="s">
        <v>87</v>
      </c>
      <c r="B37" s="15">
        <v>406</v>
      </c>
      <c r="C37" s="102" t="s">
        <v>99</v>
      </c>
      <c r="D37" s="103" t="s">
        <v>106</v>
      </c>
      <c r="E37" s="15">
        <v>88</v>
      </c>
      <c r="F37" s="15" t="s">
        <v>272</v>
      </c>
      <c r="G37" s="16">
        <v>9.0999999999999998E-2</v>
      </c>
      <c r="H37" s="16">
        <v>9.74</v>
      </c>
      <c r="I37" s="16">
        <v>1.077</v>
      </c>
      <c r="J37" s="16">
        <v>7.2999999999999995E-2</v>
      </c>
      <c r="K37" s="16">
        <v>82.11</v>
      </c>
      <c r="L37" s="16">
        <v>0.47</v>
      </c>
      <c r="M37" s="16">
        <v>0.24099999999999999</v>
      </c>
      <c r="N37" s="16">
        <v>1.7999999999999999E-2</v>
      </c>
      <c r="O37" s="16">
        <v>0</v>
      </c>
      <c r="P37" s="16">
        <v>0</v>
      </c>
      <c r="Q37" s="16">
        <v>0</v>
      </c>
      <c r="T37" s="16">
        <f t="shared" si="0"/>
        <v>93.82</v>
      </c>
      <c r="U37" s="16"/>
      <c r="V37" s="16">
        <f t="shared" si="51"/>
        <v>39.106070848342924</v>
      </c>
      <c r="W37" s="16">
        <f t="shared" si="52"/>
        <v>47.790266466236503</v>
      </c>
      <c r="X37" s="16">
        <f t="shared" si="53"/>
        <v>98.60633731457942</v>
      </c>
      <c r="Y37" s="15">
        <v>89</v>
      </c>
      <c r="AD37" s="15">
        <v>4</v>
      </c>
      <c r="AE37" s="15">
        <v>3</v>
      </c>
      <c r="AG37" s="38">
        <f t="shared" si="1"/>
        <v>4.2198109616711195E-3</v>
      </c>
      <c r="AH37" s="38">
        <f t="shared" si="2"/>
        <v>0.33970538262090072</v>
      </c>
      <c r="AI37" s="38">
        <f t="shared" si="3"/>
        <v>5.885690213693915E-2</v>
      </c>
      <c r="AJ37" s="38">
        <f t="shared" si="4"/>
        <v>2.6762049423632792E-3</v>
      </c>
      <c r="AK37" s="38">
        <f t="shared" si="5"/>
        <v>3.1838368667957466</v>
      </c>
      <c r="AL37" s="38">
        <f t="shared" si="6"/>
        <v>1.8458151295055784E-2</v>
      </c>
      <c r="AM37" s="38">
        <f t="shared" si="7"/>
        <v>1.6660710730266252E-2</v>
      </c>
      <c r="AN37" s="38">
        <f t="shared" si="8"/>
        <v>8.9422339483422736E-4</v>
      </c>
      <c r="AO37" s="38">
        <f t="shared" si="9"/>
        <v>0</v>
      </c>
      <c r="AP37" s="38">
        <f t="shared" si="10"/>
        <v>0</v>
      </c>
      <c r="AQ37" s="38">
        <f t="shared" si="11"/>
        <v>0</v>
      </c>
      <c r="AR37" s="38">
        <f t="shared" si="12"/>
        <v>0</v>
      </c>
      <c r="AS37" s="38">
        <f t="shared" si="13"/>
        <v>0</v>
      </c>
      <c r="AT37" s="39">
        <f t="shared" si="14"/>
        <v>3.6253082528777774</v>
      </c>
      <c r="AU37" s="38">
        <f t="shared" si="15"/>
        <v>6.3076713098610265E-2</v>
      </c>
      <c r="AV37" s="38">
        <f t="shared" si="16"/>
        <v>8.9422339483422736E-4</v>
      </c>
      <c r="AW37" s="40"/>
      <c r="AX37" s="38">
        <f t="shared" si="17"/>
        <v>3.4919604077706429E-3</v>
      </c>
      <c r="AY37" s="38">
        <f t="shared" si="18"/>
        <v>0.28111158466420771</v>
      </c>
      <c r="AZ37" s="38">
        <f t="shared" si="19"/>
        <v>4.8705018744448908E-2</v>
      </c>
      <c r="BA37" s="38">
        <f t="shared" si="20"/>
        <v>2.2146019778364243E-3</v>
      </c>
      <c r="BB37" s="38">
        <f t="shared" si="21"/>
        <v>1.254802146480642</v>
      </c>
      <c r="BC37" s="38">
        <f t="shared" si="22"/>
        <v>1.3798732891337586</v>
      </c>
      <c r="BD37" s="38">
        <f t="shared" si="23"/>
        <v>1.5274412552701139E-2</v>
      </c>
      <c r="BE37" s="38">
        <f t="shared" si="24"/>
        <v>1.3787002015931428E-2</v>
      </c>
      <c r="BF37" s="38">
        <f t="shared" si="25"/>
        <v>7.3998402270294484E-4</v>
      </c>
      <c r="BG37" s="38">
        <f t="shared" si="26"/>
        <v>0</v>
      </c>
      <c r="BH37" s="38">
        <f t="shared" si="27"/>
        <v>0</v>
      </c>
      <c r="BI37" s="38">
        <f t="shared" si="28"/>
        <v>0</v>
      </c>
      <c r="BJ37" s="38">
        <f t="shared" si="29"/>
        <v>0</v>
      </c>
      <c r="BK37" s="38">
        <f t="shared" si="30"/>
        <v>0</v>
      </c>
      <c r="BL37" s="41">
        <f t="shared" si="31"/>
        <v>3</v>
      </c>
      <c r="BM37" s="42">
        <f t="shared" si="55"/>
        <v>4</v>
      </c>
      <c r="BN37" s="38">
        <f t="shared" si="32"/>
        <v>5.2196979152219554E-2</v>
      </c>
      <c r="BO37" s="38">
        <f t="shared" si="33"/>
        <v>7.3998402270294484E-4</v>
      </c>
      <c r="BQ37" s="38">
        <f t="shared" si="34"/>
        <v>1.5146471371504659E-3</v>
      </c>
      <c r="BR37" s="38">
        <f t="shared" si="35"/>
        <v>0.12193289934902354</v>
      </c>
      <c r="BS37" s="38">
        <f t="shared" si="36"/>
        <v>2.1125931737936445E-2</v>
      </c>
      <c r="BT37" s="38">
        <f t="shared" si="37"/>
        <v>9.6058951246792538E-4</v>
      </c>
      <c r="BU37" s="38">
        <f t="shared" si="38"/>
        <v>1.1427974947807935</v>
      </c>
      <c r="BV37" s="38">
        <f t="shared" si="39"/>
        <v>6.6253171694389624E-3</v>
      </c>
      <c r="BW37" s="38">
        <f t="shared" si="40"/>
        <v>5.9801488833746905E-3</v>
      </c>
      <c r="BX37" s="38">
        <f t="shared" si="41"/>
        <v>3.2097004279600568E-4</v>
      </c>
      <c r="BY37" s="38">
        <f t="shared" si="42"/>
        <v>0</v>
      </c>
      <c r="BZ37" s="38">
        <f t="shared" si="43"/>
        <v>0</v>
      </c>
      <c r="CA37" s="38">
        <f t="shared" si="44"/>
        <v>0</v>
      </c>
      <c r="CB37" s="38">
        <f t="shared" si="45"/>
        <v>0</v>
      </c>
      <c r="CC37" s="38">
        <f t="shared" si="46"/>
        <v>0</v>
      </c>
      <c r="CD37" s="38">
        <f t="shared" si="47"/>
        <v>1.3012579986129815</v>
      </c>
      <c r="CE37" s="38">
        <f t="shared" si="48"/>
        <v>1.4357488057243577</v>
      </c>
      <c r="CF37" s="38">
        <f t="shared" si="49"/>
        <v>2.3054613329545082</v>
      </c>
      <c r="CG37" s="38">
        <f t="shared" si="50"/>
        <v>3.3100633554331207</v>
      </c>
    </row>
    <row r="38" spans="1:85" ht="15" customHeight="1" x14ac:dyDescent="0.25">
      <c r="A38" s="35" t="s">
        <v>87</v>
      </c>
      <c r="B38" s="15">
        <v>407</v>
      </c>
      <c r="C38" s="102" t="s">
        <v>99</v>
      </c>
      <c r="D38" s="103" t="s">
        <v>106</v>
      </c>
      <c r="E38" s="15">
        <v>89</v>
      </c>
      <c r="F38" s="15" t="s">
        <v>279</v>
      </c>
      <c r="G38" s="16">
        <v>0.436</v>
      </c>
      <c r="H38" s="16">
        <v>47.46</v>
      </c>
      <c r="I38" s="16">
        <v>0.13800000000000001</v>
      </c>
      <c r="J38" s="16">
        <v>0</v>
      </c>
      <c r="K38" s="16">
        <v>46.21</v>
      </c>
      <c r="L38" s="16">
        <v>1.72</v>
      </c>
      <c r="M38" s="16">
        <v>0.81699999999999995</v>
      </c>
      <c r="N38" s="16">
        <v>1.0999999999999999E-2</v>
      </c>
      <c r="O38" s="16">
        <v>1.4E-2</v>
      </c>
      <c r="P38" s="16">
        <v>1.0999999999999999E-2</v>
      </c>
      <c r="Q38" s="16">
        <v>0</v>
      </c>
      <c r="T38" s="16">
        <f t="shared" si="0"/>
        <v>96.816999999999979</v>
      </c>
      <c r="U38" s="16"/>
      <c r="V38" s="16">
        <f t="shared" si="51"/>
        <v>39.899213986474152</v>
      </c>
      <c r="W38" s="16">
        <f t="shared" si="52"/>
        <v>7.0131764968312691</v>
      </c>
      <c r="X38" s="16">
        <f t="shared" si="53"/>
        <v>97.519390483305415</v>
      </c>
      <c r="Y38" s="15">
        <v>88</v>
      </c>
      <c r="AD38" s="15">
        <v>3</v>
      </c>
      <c r="AE38" s="15">
        <v>2</v>
      </c>
      <c r="AG38" s="38">
        <f t="shared" si="1"/>
        <v>1.1488276715617996E-2</v>
      </c>
      <c r="AH38" s="38">
        <f t="shared" si="2"/>
        <v>0.94056323775880746</v>
      </c>
      <c r="AI38" s="38">
        <f t="shared" si="3"/>
        <v>4.2852639540356466E-3</v>
      </c>
      <c r="AJ38" s="38">
        <f t="shared" si="4"/>
        <v>0</v>
      </c>
      <c r="AK38" s="38">
        <f t="shared" si="5"/>
        <v>1.0181400433843684</v>
      </c>
      <c r="AL38" s="38">
        <f t="shared" si="6"/>
        <v>3.8382705630803336E-2</v>
      </c>
      <c r="AM38" s="38">
        <f t="shared" si="7"/>
        <v>3.2093370726758427E-2</v>
      </c>
      <c r="AN38" s="38">
        <f t="shared" si="8"/>
        <v>3.1051529907380107E-4</v>
      </c>
      <c r="AO38" s="38">
        <f t="shared" si="9"/>
        <v>7.1516257915697941E-4</v>
      </c>
      <c r="AP38" s="38">
        <f t="shared" si="10"/>
        <v>3.6971757902460218E-4</v>
      </c>
      <c r="AQ38" s="38">
        <f t="shared" si="11"/>
        <v>0</v>
      </c>
      <c r="AR38" s="38">
        <f t="shared" si="12"/>
        <v>0</v>
      </c>
      <c r="AS38" s="38">
        <f t="shared" si="13"/>
        <v>0</v>
      </c>
      <c r="AT38" s="39">
        <f t="shared" si="14"/>
        <v>2.0463482936276467</v>
      </c>
      <c r="AU38" s="38">
        <f t="shared" si="15"/>
        <v>1.5773540669653641E-2</v>
      </c>
      <c r="AV38" s="38">
        <f t="shared" si="16"/>
        <v>1.3953954572553827E-3</v>
      </c>
      <c r="AW38" s="40"/>
      <c r="AX38" s="38">
        <f t="shared" si="17"/>
        <v>1.1228075642247828E-2</v>
      </c>
      <c r="AY38" s="38">
        <f t="shared" si="18"/>
        <v>0.91926016767305219</v>
      </c>
      <c r="AZ38" s="38">
        <f t="shared" si="19"/>
        <v>4.1882058566276416E-3</v>
      </c>
      <c r="BA38" s="38">
        <f t="shared" si="20"/>
        <v>0</v>
      </c>
      <c r="BB38" s="38">
        <f t="shared" si="21"/>
        <v>0.85918429940684204</v>
      </c>
      <c r="BC38" s="38">
        <f t="shared" si="22"/>
        <v>0.1358956159280682</v>
      </c>
      <c r="BD38" s="38">
        <f t="shared" si="23"/>
        <v>3.7513365393689373E-2</v>
      </c>
      <c r="BE38" s="38">
        <f t="shared" si="24"/>
        <v>3.1366479329738309E-2</v>
      </c>
      <c r="BF38" s="38">
        <f t="shared" si="25"/>
        <v>3.0348235443668063E-4</v>
      </c>
      <c r="BG38" s="38">
        <f t="shared" si="26"/>
        <v>6.9896466929310547E-4</v>
      </c>
      <c r="BH38" s="38">
        <f t="shared" si="27"/>
        <v>3.6134374600443837E-4</v>
      </c>
      <c r="BI38" s="38">
        <f t="shared" si="28"/>
        <v>0</v>
      </c>
      <c r="BJ38" s="38">
        <f t="shared" si="29"/>
        <v>0</v>
      </c>
      <c r="BK38" s="38">
        <f t="shared" si="30"/>
        <v>0</v>
      </c>
      <c r="BL38" s="41">
        <f t="shared" si="31"/>
        <v>2</v>
      </c>
      <c r="BM38" s="42">
        <f t="shared" si="55"/>
        <v>2.9999999999999987</v>
      </c>
      <c r="BN38" s="38">
        <f t="shared" si="32"/>
        <v>1.5416281498875469E-2</v>
      </c>
      <c r="BO38" s="38">
        <f t="shared" si="33"/>
        <v>1.3637907697342244E-3</v>
      </c>
      <c r="BQ38" s="38">
        <f t="shared" si="34"/>
        <v>7.2569906790945406E-3</v>
      </c>
      <c r="BR38" s="38">
        <f t="shared" si="35"/>
        <v>0.59414121181772661</v>
      </c>
      <c r="BS38" s="38">
        <f t="shared" si="36"/>
        <v>2.7069438995684586E-3</v>
      </c>
      <c r="BT38" s="38">
        <f t="shared" si="37"/>
        <v>0</v>
      </c>
      <c r="BU38" s="38">
        <f t="shared" si="38"/>
        <v>0.6431454418928324</v>
      </c>
      <c r="BV38" s="38">
        <f t="shared" si="39"/>
        <v>2.4245841556244714E-2</v>
      </c>
      <c r="BW38" s="38">
        <f t="shared" si="40"/>
        <v>2.0272952853598016E-2</v>
      </c>
      <c r="BX38" s="38">
        <f t="shared" si="41"/>
        <v>1.9614835948644793E-4</v>
      </c>
      <c r="BY38" s="38">
        <f t="shared" si="42"/>
        <v>4.5175863181671512E-4</v>
      </c>
      <c r="BZ38" s="38">
        <f t="shared" si="43"/>
        <v>2.335456475583864E-4</v>
      </c>
      <c r="CA38" s="38">
        <f t="shared" si="44"/>
        <v>0</v>
      </c>
      <c r="CB38" s="38">
        <f t="shared" si="45"/>
        <v>0</v>
      </c>
      <c r="CC38" s="38">
        <f t="shared" si="46"/>
        <v>0</v>
      </c>
      <c r="CD38" s="38">
        <f t="shared" si="47"/>
        <v>1.2926508353379265</v>
      </c>
      <c r="CE38" s="38">
        <f t="shared" si="48"/>
        <v>1.8950598576448445</v>
      </c>
      <c r="CF38" s="38">
        <f t="shared" si="49"/>
        <v>1.5472082215280953</v>
      </c>
      <c r="CG38" s="38">
        <f t="shared" si="50"/>
        <v>2.9320521920359655</v>
      </c>
    </row>
    <row r="39" spans="1:85" ht="15" customHeight="1" x14ac:dyDescent="0.25">
      <c r="A39" s="35" t="s">
        <v>87</v>
      </c>
      <c r="B39" s="15">
        <v>408</v>
      </c>
      <c r="C39" s="102" t="s">
        <v>99</v>
      </c>
      <c r="D39" s="103" t="s">
        <v>106</v>
      </c>
      <c r="E39" s="15">
        <v>90</v>
      </c>
      <c r="F39" s="15" t="s">
        <v>279</v>
      </c>
      <c r="G39" s="16">
        <v>1.2E-2</v>
      </c>
      <c r="H39" s="16">
        <v>48.41</v>
      </c>
      <c r="I39" s="16">
        <v>7.0999999999999994E-2</v>
      </c>
      <c r="J39" s="16">
        <v>0.02</v>
      </c>
      <c r="K39" s="16">
        <v>47.53</v>
      </c>
      <c r="L39" s="16">
        <v>1.1100000000000001</v>
      </c>
      <c r="M39" s="16">
        <v>0.64</v>
      </c>
      <c r="N39" s="16">
        <v>2.9000000000000001E-2</v>
      </c>
      <c r="O39" s="16">
        <v>3.5999999999999997E-2</v>
      </c>
      <c r="P39" s="16">
        <v>0</v>
      </c>
      <c r="Q39" s="16">
        <v>0</v>
      </c>
      <c r="T39" s="16">
        <f t="shared" si="0"/>
        <v>97.858000000000004</v>
      </c>
      <c r="U39" s="16"/>
      <c r="V39" s="16">
        <f t="shared" si="51"/>
        <v>41.088530233043052</v>
      </c>
      <c r="W39" s="16">
        <f t="shared" si="52"/>
        <v>7.1584053520192592</v>
      </c>
      <c r="X39" s="16">
        <f t="shared" si="53"/>
        <v>98.574935585062306</v>
      </c>
      <c r="Y39" s="15">
        <v>91</v>
      </c>
      <c r="AD39" s="15">
        <v>3</v>
      </c>
      <c r="AE39" s="15">
        <v>2</v>
      </c>
      <c r="AG39" s="38">
        <f t="shared" si="1"/>
        <v>3.1386666615184868E-4</v>
      </c>
      <c r="AH39" s="38">
        <f t="shared" si="2"/>
        <v>0.95233752851082087</v>
      </c>
      <c r="AI39" s="38">
        <f t="shared" si="3"/>
        <v>2.1885294240725412E-3</v>
      </c>
      <c r="AJ39" s="38">
        <f t="shared" si="4"/>
        <v>4.1356030665182063E-4</v>
      </c>
      <c r="AK39" s="38">
        <f t="shared" si="5"/>
        <v>1.0395249421749222</v>
      </c>
      <c r="AL39" s="38">
        <f t="shared" si="6"/>
        <v>2.4588139420246461E-2</v>
      </c>
      <c r="AM39" s="38">
        <f t="shared" si="7"/>
        <v>2.4955645065214978E-2</v>
      </c>
      <c r="AN39" s="38">
        <f t="shared" si="8"/>
        <v>8.1261318617702237E-4</v>
      </c>
      <c r="AO39" s="38">
        <f t="shared" si="9"/>
        <v>1.8254704068153985E-3</v>
      </c>
      <c r="AP39" s="38">
        <f t="shared" si="10"/>
        <v>0</v>
      </c>
      <c r="AQ39" s="38">
        <f t="shared" si="11"/>
        <v>0</v>
      </c>
      <c r="AR39" s="38">
        <f t="shared" si="12"/>
        <v>0</v>
      </c>
      <c r="AS39" s="38">
        <f t="shared" si="13"/>
        <v>0</v>
      </c>
      <c r="AT39" s="39">
        <f t="shared" si="14"/>
        <v>2.0469602951610733</v>
      </c>
      <c r="AU39" s="38">
        <f t="shared" si="15"/>
        <v>2.5023960902243901E-3</v>
      </c>
      <c r="AV39" s="38">
        <f t="shared" si="16"/>
        <v>2.6380835929924211E-3</v>
      </c>
      <c r="AW39" s="40"/>
      <c r="AX39" s="38">
        <f t="shared" si="17"/>
        <v>3.0666610084603604E-4</v>
      </c>
      <c r="AY39" s="38">
        <f t="shared" si="18"/>
        <v>0.93048949778078871</v>
      </c>
      <c r="AZ39" s="38">
        <f t="shared" si="19"/>
        <v>2.1383213238147626E-3</v>
      </c>
      <c r="BA39" s="38">
        <f t="shared" si="20"/>
        <v>4.040726218573556E-4</v>
      </c>
      <c r="BB39" s="38">
        <f t="shared" si="21"/>
        <v>0.87802783357943848</v>
      </c>
      <c r="BC39" s="38">
        <f t="shared" si="22"/>
        <v>0.13764886970817769</v>
      </c>
      <c r="BD39" s="38">
        <f t="shared" si="23"/>
        <v>2.4024051153675795E-2</v>
      </c>
      <c r="BE39" s="38">
        <f t="shared" si="24"/>
        <v>2.4383125675870764E-2</v>
      </c>
      <c r="BF39" s="38">
        <f t="shared" si="25"/>
        <v>7.9397063841248451E-4</v>
      </c>
      <c r="BG39" s="38">
        <f t="shared" si="26"/>
        <v>1.7835914171180876E-3</v>
      </c>
      <c r="BH39" s="38">
        <f t="shared" si="27"/>
        <v>0</v>
      </c>
      <c r="BI39" s="38">
        <f t="shared" si="28"/>
        <v>0</v>
      </c>
      <c r="BJ39" s="38">
        <f t="shared" si="29"/>
        <v>0</v>
      </c>
      <c r="BK39" s="38">
        <f t="shared" si="30"/>
        <v>0</v>
      </c>
      <c r="BL39" s="41">
        <f t="shared" si="31"/>
        <v>2.0000000000000004</v>
      </c>
      <c r="BM39" s="42">
        <f t="shared" si="55"/>
        <v>3.0000000000000009</v>
      </c>
      <c r="BN39" s="38">
        <f t="shared" si="32"/>
        <v>2.4449874246607987E-3</v>
      </c>
      <c r="BO39" s="38">
        <f t="shared" si="33"/>
        <v>2.5775620555305721E-3</v>
      </c>
      <c r="BQ39" s="38">
        <f t="shared" si="34"/>
        <v>1.9973368841544607E-4</v>
      </c>
      <c r="BR39" s="38">
        <f t="shared" si="35"/>
        <v>0.6060340510766149</v>
      </c>
      <c r="BS39" s="38">
        <f t="shared" si="36"/>
        <v>1.3927030207924677E-3</v>
      </c>
      <c r="BT39" s="38">
        <f t="shared" si="37"/>
        <v>2.6317520889532203E-4</v>
      </c>
      <c r="BU39" s="38">
        <f t="shared" si="38"/>
        <v>0.66151704940848999</v>
      </c>
      <c r="BV39" s="38">
        <f t="shared" si="39"/>
        <v>1.564702565548351E-2</v>
      </c>
      <c r="BW39" s="38">
        <f t="shared" si="40"/>
        <v>1.5880893300248139E-2</v>
      </c>
      <c r="BX39" s="38">
        <f t="shared" si="41"/>
        <v>5.1711840228245366E-4</v>
      </c>
      <c r="BY39" s="38">
        <f t="shared" si="42"/>
        <v>1.1616650532429815E-3</v>
      </c>
      <c r="BZ39" s="38">
        <f t="shared" si="43"/>
        <v>0</v>
      </c>
      <c r="CA39" s="38">
        <f t="shared" si="44"/>
        <v>0</v>
      </c>
      <c r="CB39" s="38">
        <f t="shared" si="45"/>
        <v>0</v>
      </c>
      <c r="CC39" s="38">
        <f t="shared" si="46"/>
        <v>0</v>
      </c>
      <c r="CD39" s="38">
        <f t="shared" si="47"/>
        <v>1.302613414814465</v>
      </c>
      <c r="CE39" s="38">
        <f t="shared" si="48"/>
        <v>1.9090943061677177</v>
      </c>
      <c r="CF39" s="38">
        <f t="shared" si="49"/>
        <v>1.5353749449024872</v>
      </c>
      <c r="CG39" s="38">
        <f t="shared" si="50"/>
        <v>2.9311755651459115</v>
      </c>
    </row>
    <row r="40" spans="1:85" ht="15" customHeight="1" x14ac:dyDescent="0.25">
      <c r="A40" s="35" t="s">
        <v>87</v>
      </c>
      <c r="B40" s="15">
        <v>409</v>
      </c>
      <c r="C40" s="102" t="s">
        <v>99</v>
      </c>
      <c r="D40" s="103" t="s">
        <v>106</v>
      </c>
      <c r="E40" s="15">
        <v>91</v>
      </c>
      <c r="F40" s="15" t="s">
        <v>272</v>
      </c>
      <c r="G40" s="16">
        <v>7.9000000000000001E-2</v>
      </c>
      <c r="H40" s="16">
        <v>6.74</v>
      </c>
      <c r="I40" s="16">
        <v>1.462</v>
      </c>
      <c r="J40" s="16">
        <v>5.3999999999999999E-2</v>
      </c>
      <c r="K40" s="16">
        <v>83.77</v>
      </c>
      <c r="L40" s="16">
        <v>0.41399999999999998</v>
      </c>
      <c r="M40" s="16">
        <v>0.23400000000000001</v>
      </c>
      <c r="N40" s="16">
        <v>0</v>
      </c>
      <c r="O40" s="16">
        <v>3.9E-2</v>
      </c>
      <c r="P40" s="16">
        <v>0</v>
      </c>
      <c r="Q40" s="16">
        <v>0</v>
      </c>
      <c r="T40" s="16">
        <f t="shared" si="0"/>
        <v>92.791999999999987</v>
      </c>
      <c r="U40" s="16"/>
      <c r="V40" s="16">
        <f t="shared" si="51"/>
        <v>36.128059864812052</v>
      </c>
      <c r="W40" s="16">
        <f t="shared" si="52"/>
        <v>52.944488072234357</v>
      </c>
      <c r="X40" s="16">
        <f t="shared" si="53"/>
        <v>98.094547937046414</v>
      </c>
      <c r="Y40" s="15">
        <v>90</v>
      </c>
      <c r="AD40" s="15">
        <v>4</v>
      </c>
      <c r="AE40" s="15">
        <v>3</v>
      </c>
      <c r="AG40" s="38">
        <f t="shared" si="1"/>
        <v>3.7740446295635218E-3</v>
      </c>
      <c r="AH40" s="38">
        <f t="shared" si="2"/>
        <v>0.24217633619095555</v>
      </c>
      <c r="AI40" s="38">
        <f t="shared" si="3"/>
        <v>8.23109104998202E-2</v>
      </c>
      <c r="AJ40" s="38">
        <f t="shared" si="4"/>
        <v>2.0394760269180803E-3</v>
      </c>
      <c r="AK40" s="38">
        <f t="shared" si="5"/>
        <v>3.346351885450817</v>
      </c>
      <c r="AL40" s="38">
        <f t="shared" si="6"/>
        <v>1.6750162368713982E-2</v>
      </c>
      <c r="AM40" s="38">
        <f t="shared" si="7"/>
        <v>1.6665589318885975E-2</v>
      </c>
      <c r="AN40" s="38">
        <f t="shared" si="8"/>
        <v>0</v>
      </c>
      <c r="AO40" s="38">
        <f t="shared" si="9"/>
        <v>3.6120428608750386E-3</v>
      </c>
      <c r="AP40" s="38">
        <f t="shared" si="10"/>
        <v>0</v>
      </c>
      <c r="AQ40" s="38">
        <f t="shared" si="11"/>
        <v>0</v>
      </c>
      <c r="AR40" s="38">
        <f t="shared" si="12"/>
        <v>0</v>
      </c>
      <c r="AS40" s="38">
        <f t="shared" si="13"/>
        <v>0</v>
      </c>
      <c r="AT40" s="39">
        <f t="shared" si="14"/>
        <v>3.7136804473465492</v>
      </c>
      <c r="AU40" s="38">
        <f t="shared" si="15"/>
        <v>8.6084955129383717E-2</v>
      </c>
      <c r="AV40" s="38">
        <f t="shared" si="16"/>
        <v>3.6120428608750386E-3</v>
      </c>
      <c r="AW40" s="40"/>
      <c r="AX40" s="38">
        <f t="shared" si="17"/>
        <v>3.0487636319867827E-3</v>
      </c>
      <c r="AY40" s="38">
        <f t="shared" si="18"/>
        <v>0.1956358439757456</v>
      </c>
      <c r="AZ40" s="38">
        <f t="shared" si="19"/>
        <v>6.6492724670453474E-2</v>
      </c>
      <c r="BA40" s="38">
        <f t="shared" si="20"/>
        <v>1.6475375755945563E-3</v>
      </c>
      <c r="BB40" s="38">
        <f t="shared" si="21"/>
        <v>1.165854773712045</v>
      </c>
      <c r="BC40" s="38">
        <f t="shared" si="22"/>
        <v>1.5374084172621343</v>
      </c>
      <c r="BD40" s="38">
        <f t="shared" si="23"/>
        <v>1.353118229169294E-2</v>
      </c>
      <c r="BE40" s="38">
        <f t="shared" si="24"/>
        <v>1.3462862156699821E-2</v>
      </c>
      <c r="BF40" s="38">
        <f t="shared" si="25"/>
        <v>0</v>
      </c>
      <c r="BG40" s="38">
        <f t="shared" si="26"/>
        <v>2.9178947236474279E-3</v>
      </c>
      <c r="BH40" s="38">
        <f t="shared" si="27"/>
        <v>0</v>
      </c>
      <c r="BI40" s="38">
        <f t="shared" si="28"/>
        <v>0</v>
      </c>
      <c r="BJ40" s="38">
        <f t="shared" si="29"/>
        <v>0</v>
      </c>
      <c r="BK40" s="38">
        <f t="shared" si="30"/>
        <v>0</v>
      </c>
      <c r="BL40" s="41">
        <f t="shared" si="31"/>
        <v>2.9999999999999996</v>
      </c>
      <c r="BM40" s="42">
        <f t="shared" si="55"/>
        <v>4</v>
      </c>
      <c r="BN40" s="38">
        <f t="shared" si="32"/>
        <v>6.9541488302440252E-2</v>
      </c>
      <c r="BO40" s="38">
        <f t="shared" si="33"/>
        <v>2.9178947236474279E-3</v>
      </c>
      <c r="BQ40" s="38">
        <f t="shared" si="34"/>
        <v>1.3149134487350201E-3</v>
      </c>
      <c r="BR40" s="38">
        <f t="shared" si="35"/>
        <v>8.4376564847270907E-2</v>
      </c>
      <c r="BS40" s="38">
        <f t="shared" si="36"/>
        <v>2.8677912907022363E-2</v>
      </c>
      <c r="BT40" s="38">
        <f t="shared" si="37"/>
        <v>7.1057306401736946E-4</v>
      </c>
      <c r="BU40" s="38">
        <f t="shared" si="38"/>
        <v>1.1659011830201809</v>
      </c>
      <c r="BV40" s="38">
        <f t="shared" si="39"/>
        <v>5.8359176769100648E-3</v>
      </c>
      <c r="BW40" s="38">
        <f t="shared" si="40"/>
        <v>5.8064516129032262E-3</v>
      </c>
      <c r="BX40" s="38">
        <f t="shared" si="41"/>
        <v>0</v>
      </c>
      <c r="BY40" s="38">
        <f t="shared" si="42"/>
        <v>1.2584704743465634E-3</v>
      </c>
      <c r="BZ40" s="38">
        <f t="shared" si="43"/>
        <v>0</v>
      </c>
      <c r="CA40" s="38">
        <f t="shared" si="44"/>
        <v>0</v>
      </c>
      <c r="CB40" s="38">
        <f t="shared" si="45"/>
        <v>0</v>
      </c>
      <c r="CC40" s="38">
        <f t="shared" si="46"/>
        <v>0</v>
      </c>
      <c r="CD40" s="38">
        <f t="shared" si="47"/>
        <v>1.2938819870513865</v>
      </c>
      <c r="CE40" s="38">
        <f t="shared" si="48"/>
        <v>1.393638473095739</v>
      </c>
      <c r="CF40" s="38">
        <f t="shared" si="49"/>
        <v>2.3186040380983024</v>
      </c>
      <c r="CG40" s="38">
        <f t="shared" si="50"/>
        <v>3.2312957913689329</v>
      </c>
    </row>
    <row r="41" spans="1:85" ht="15" customHeight="1" x14ac:dyDescent="0.25">
      <c r="A41" s="35" t="s">
        <v>87</v>
      </c>
      <c r="B41" s="15">
        <v>410</v>
      </c>
      <c r="C41" s="102" t="s">
        <v>99</v>
      </c>
      <c r="D41" s="103" t="s">
        <v>106</v>
      </c>
      <c r="E41" s="15">
        <v>92</v>
      </c>
      <c r="F41" s="15" t="s">
        <v>279</v>
      </c>
      <c r="G41" s="16">
        <v>2.5000000000000001E-2</v>
      </c>
      <c r="H41" s="16">
        <v>47.39</v>
      </c>
      <c r="I41" s="16">
        <v>2.1999999999999999E-2</v>
      </c>
      <c r="J41" s="16">
        <v>1.0999999999999999E-2</v>
      </c>
      <c r="K41" s="16">
        <v>47.92</v>
      </c>
      <c r="L41" s="16">
        <v>0.99099999999999999</v>
      </c>
      <c r="M41" s="16">
        <v>0.66500000000000004</v>
      </c>
      <c r="N41" s="16">
        <v>1.4999999999999999E-2</v>
      </c>
      <c r="O41" s="16">
        <v>5.5E-2</v>
      </c>
      <c r="P41" s="16">
        <v>0.01</v>
      </c>
      <c r="Q41" s="16">
        <v>0</v>
      </c>
      <c r="T41" s="16">
        <f t="shared" si="0"/>
        <v>97.104000000000013</v>
      </c>
      <c r="U41" s="16"/>
      <c r="V41" s="16">
        <f t="shared" si="51"/>
        <v>40.161892557447864</v>
      </c>
      <c r="W41" s="16">
        <f t="shared" si="52"/>
        <v>8.6215848009081899</v>
      </c>
      <c r="X41" s="16">
        <f t="shared" si="53"/>
        <v>97.967477358356049</v>
      </c>
      <c r="AD41" s="15">
        <v>3</v>
      </c>
      <c r="AE41" s="15">
        <v>2</v>
      </c>
      <c r="AG41" s="38">
        <f t="shared" si="1"/>
        <v>6.6157898188322524E-4</v>
      </c>
      <c r="AH41" s="38">
        <f t="shared" si="2"/>
        <v>0.94323578133343922</v>
      </c>
      <c r="AI41" s="38">
        <f t="shared" si="3"/>
        <v>6.8611112992857722E-4</v>
      </c>
      <c r="AJ41" s="38">
        <f t="shared" si="4"/>
        <v>2.3013320220908521E-4</v>
      </c>
      <c r="AK41" s="38">
        <f t="shared" si="5"/>
        <v>1.060380302238328</v>
      </c>
      <c r="AL41" s="38">
        <f t="shared" si="6"/>
        <v>2.2210282630087549E-2</v>
      </c>
      <c r="AM41" s="38">
        <f t="shared" si="7"/>
        <v>2.6235431641664392E-2</v>
      </c>
      <c r="AN41" s="38">
        <f t="shared" si="8"/>
        <v>4.2526032701366799E-4</v>
      </c>
      <c r="AO41" s="38">
        <f t="shared" si="9"/>
        <v>2.8217122784574759E-3</v>
      </c>
      <c r="AP41" s="38">
        <f t="shared" si="10"/>
        <v>3.3755978965217977E-4</v>
      </c>
      <c r="AQ41" s="38">
        <f t="shared" si="11"/>
        <v>0</v>
      </c>
      <c r="AR41" s="38">
        <f t="shared" si="12"/>
        <v>0</v>
      </c>
      <c r="AS41" s="38">
        <f t="shared" si="13"/>
        <v>0</v>
      </c>
      <c r="AT41" s="39">
        <f t="shared" si="14"/>
        <v>2.0572241535526632</v>
      </c>
      <c r="AU41" s="38">
        <f t="shared" si="15"/>
        <v>1.3476901118118024E-3</v>
      </c>
      <c r="AV41" s="38">
        <f t="shared" si="16"/>
        <v>3.5845323951233239E-3</v>
      </c>
      <c r="AW41" s="40"/>
      <c r="AX41" s="38">
        <f t="shared" si="17"/>
        <v>6.4317637019838678E-4</v>
      </c>
      <c r="AY41" s="38">
        <f t="shared" si="18"/>
        <v>0.91699854846108619</v>
      </c>
      <c r="AZ41" s="38">
        <f t="shared" si="19"/>
        <v>6.6702612716627667E-4</v>
      </c>
      <c r="BA41" s="38">
        <f t="shared" si="20"/>
        <v>2.2373177158324087E-4</v>
      </c>
      <c r="BB41" s="38">
        <f t="shared" si="21"/>
        <v>0.86398736865461201</v>
      </c>
      <c r="BC41" s="38">
        <f t="shared" si="22"/>
        <v>0.16689718557068733</v>
      </c>
      <c r="BD41" s="38">
        <f t="shared" si="23"/>
        <v>2.1592477019805698E-2</v>
      </c>
      <c r="BE41" s="38">
        <f t="shared" si="24"/>
        <v>2.5505661691126738E-2</v>
      </c>
      <c r="BF41" s="38">
        <f t="shared" si="25"/>
        <v>4.134312017280928E-4</v>
      </c>
      <c r="BG41" s="38">
        <f t="shared" si="26"/>
        <v>2.743222972163342E-3</v>
      </c>
      <c r="BH41" s="38">
        <f t="shared" si="27"/>
        <v>3.2817015984304947E-4</v>
      </c>
      <c r="BI41" s="38">
        <f t="shared" si="28"/>
        <v>0</v>
      </c>
      <c r="BJ41" s="38">
        <f t="shared" si="29"/>
        <v>0</v>
      </c>
      <c r="BK41" s="38">
        <f t="shared" si="30"/>
        <v>0</v>
      </c>
      <c r="BL41" s="41">
        <f t="shared" si="31"/>
        <v>2.0000000000000004</v>
      </c>
      <c r="BM41" s="42">
        <f t="shared" si="55"/>
        <v>3</v>
      </c>
      <c r="BN41" s="38">
        <f t="shared" si="32"/>
        <v>1.3102024973646635E-3</v>
      </c>
      <c r="BO41" s="38">
        <f t="shared" si="33"/>
        <v>3.4848243337344841E-3</v>
      </c>
      <c r="BQ41" s="38">
        <f t="shared" si="34"/>
        <v>4.1611185086551269E-4</v>
      </c>
      <c r="BR41" s="38">
        <f t="shared" si="35"/>
        <v>0.59326489734601906</v>
      </c>
      <c r="BS41" s="38">
        <f t="shared" si="36"/>
        <v>4.3154178109062379E-4</v>
      </c>
      <c r="BT41" s="38">
        <f t="shared" si="37"/>
        <v>1.4474636489242711E-4</v>
      </c>
      <c r="BU41" s="38">
        <f t="shared" si="38"/>
        <v>0.66694502435629788</v>
      </c>
      <c r="BV41" s="38">
        <f t="shared" si="39"/>
        <v>1.39695517338596E-2</v>
      </c>
      <c r="BW41" s="38">
        <f t="shared" si="40"/>
        <v>1.6501240694789084E-2</v>
      </c>
      <c r="BX41" s="38">
        <f t="shared" si="41"/>
        <v>2.674750356633381E-4</v>
      </c>
      <c r="BY41" s="38">
        <f t="shared" si="42"/>
        <v>1.7747660535656665E-3</v>
      </c>
      <c r="BZ41" s="38">
        <f t="shared" si="43"/>
        <v>2.1231422505307856E-4</v>
      </c>
      <c r="CA41" s="38">
        <f t="shared" si="44"/>
        <v>0</v>
      </c>
      <c r="CB41" s="38">
        <f t="shared" si="45"/>
        <v>0</v>
      </c>
      <c r="CC41" s="38">
        <f t="shared" si="46"/>
        <v>0</v>
      </c>
      <c r="CD41" s="38">
        <f t="shared" si="47"/>
        <v>1.293927669442096</v>
      </c>
      <c r="CE41" s="38">
        <f t="shared" si="48"/>
        <v>1.886903282572663</v>
      </c>
      <c r="CF41" s="38">
        <f t="shared" si="49"/>
        <v>1.545681452860763</v>
      </c>
      <c r="CG41" s="38">
        <f t="shared" si="50"/>
        <v>2.9165514072146568</v>
      </c>
    </row>
    <row r="42" spans="1:85" ht="15" customHeight="1" x14ac:dyDescent="0.25">
      <c r="A42" s="35" t="s">
        <v>87</v>
      </c>
      <c r="B42" s="15">
        <v>425</v>
      </c>
      <c r="C42" s="102" t="s">
        <v>99</v>
      </c>
      <c r="D42" s="103" t="s">
        <v>106</v>
      </c>
      <c r="E42" s="15">
        <v>107</v>
      </c>
      <c r="F42" s="15" t="s">
        <v>278</v>
      </c>
      <c r="G42" s="16">
        <v>0.28100000000000003</v>
      </c>
      <c r="H42" s="16">
        <v>0</v>
      </c>
      <c r="I42" s="16">
        <v>4.1000000000000002E-2</v>
      </c>
      <c r="J42" s="16">
        <v>0.04</v>
      </c>
      <c r="K42" s="16">
        <v>0.16300000000000001</v>
      </c>
      <c r="L42" s="16">
        <v>0.121</v>
      </c>
      <c r="M42" s="16">
        <v>6.4000000000000001E-2</v>
      </c>
      <c r="N42" s="16">
        <v>53.54</v>
      </c>
      <c r="O42" s="16">
        <v>0</v>
      </c>
      <c r="P42" s="16">
        <v>0</v>
      </c>
      <c r="Q42" s="16">
        <v>0</v>
      </c>
      <c r="R42" s="16">
        <v>0</v>
      </c>
      <c r="S42" s="16">
        <v>0</v>
      </c>
      <c r="T42" s="16">
        <f t="shared" si="0"/>
        <v>54.25</v>
      </c>
      <c r="U42" s="16"/>
      <c r="V42" s="16">
        <f t="shared" si="51"/>
        <v>0</v>
      </c>
      <c r="W42" s="16">
        <f t="shared" si="52"/>
        <v>0.18114189999999999</v>
      </c>
      <c r="X42" s="16">
        <f t="shared" si="53"/>
        <v>54.268141900000003</v>
      </c>
      <c r="AB42" s="15" t="s">
        <v>185</v>
      </c>
      <c r="AD42" s="15">
        <v>6</v>
      </c>
      <c r="AE42" s="15">
        <v>4</v>
      </c>
      <c r="AG42" s="38">
        <f t="shared" si="1"/>
        <v>2.8882261593934179E-2</v>
      </c>
      <c r="AH42" s="38">
        <f t="shared" si="2"/>
        <v>0</v>
      </c>
      <c r="AI42" s="38">
        <f t="shared" si="3"/>
        <v>4.9663671985738728E-3</v>
      </c>
      <c r="AJ42" s="38">
        <f t="shared" si="4"/>
        <v>3.2503473403519287E-3</v>
      </c>
      <c r="AK42" s="38">
        <f t="shared" si="5"/>
        <v>1.4009274119414515E-2</v>
      </c>
      <c r="AL42" s="38">
        <f t="shared" si="6"/>
        <v>1.0532924894888437E-2</v>
      </c>
      <c r="AM42" s="38">
        <f t="shared" si="7"/>
        <v>9.8068544369248594E-3</v>
      </c>
      <c r="AN42" s="38">
        <f t="shared" si="8"/>
        <v>5.8955613515525149</v>
      </c>
      <c r="AO42" s="38">
        <f t="shared" si="9"/>
        <v>0</v>
      </c>
      <c r="AP42" s="38">
        <f t="shared" si="10"/>
        <v>0</v>
      </c>
      <c r="AQ42" s="38">
        <f t="shared" si="11"/>
        <v>0</v>
      </c>
      <c r="AR42" s="38">
        <f t="shared" si="12"/>
        <v>0</v>
      </c>
      <c r="AS42" s="38">
        <f t="shared" si="13"/>
        <v>0</v>
      </c>
      <c r="AT42" s="39">
        <f t="shared" si="14"/>
        <v>5.9670093811366023</v>
      </c>
      <c r="AU42" s="38">
        <f t="shared" si="15"/>
        <v>3.3848628792508051E-2</v>
      </c>
      <c r="AV42" s="38">
        <f t="shared" si="16"/>
        <v>5.8955613515525149</v>
      </c>
      <c r="AW42" s="40"/>
      <c r="AX42" s="38">
        <f t="shared" si="17"/>
        <v>1.9361297929404397E-2</v>
      </c>
      <c r="AY42" s="38">
        <f t="shared" si="18"/>
        <v>0</v>
      </c>
      <c r="AZ42" s="38">
        <f t="shared" si="19"/>
        <v>3.3292169536545111E-3</v>
      </c>
      <c r="BA42" s="38">
        <f t="shared" si="20"/>
        <v>2.1788786527651136E-3</v>
      </c>
      <c r="BB42" s="38">
        <f t="shared" si="21"/>
        <v>0</v>
      </c>
      <c r="BC42" s="38">
        <f t="shared" si="22"/>
        <v>9.3911527363786471E-3</v>
      </c>
      <c r="BD42" s="38">
        <f t="shared" si="23"/>
        <v>7.0607731425299776E-3</v>
      </c>
      <c r="BE42" s="38">
        <f t="shared" si="24"/>
        <v>6.5740499540202424E-3</v>
      </c>
      <c r="BF42" s="38">
        <f t="shared" si="25"/>
        <v>3.9521046306312475</v>
      </c>
      <c r="BG42" s="38">
        <f t="shared" si="26"/>
        <v>0</v>
      </c>
      <c r="BH42" s="38">
        <f t="shared" si="27"/>
        <v>0</v>
      </c>
      <c r="BI42" s="38">
        <f t="shared" si="28"/>
        <v>0</v>
      </c>
      <c r="BJ42" s="38">
        <f t="shared" si="29"/>
        <v>0</v>
      </c>
      <c r="BK42" s="38">
        <f t="shared" si="30"/>
        <v>0</v>
      </c>
      <c r="BL42" s="41">
        <f t="shared" si="31"/>
        <v>4</v>
      </c>
      <c r="BM42" s="42">
        <f t="shared" si="55"/>
        <v>4.0268109221008039</v>
      </c>
      <c r="BN42" s="38">
        <f t="shared" si="32"/>
        <v>2.2690514883058909E-2</v>
      </c>
      <c r="BO42" s="38">
        <f t="shared" si="33"/>
        <v>3.9521046306312475</v>
      </c>
      <c r="BQ42" s="38">
        <f t="shared" si="34"/>
        <v>4.677097203728363E-3</v>
      </c>
      <c r="BR42" s="38">
        <f t="shared" si="35"/>
        <v>0</v>
      </c>
      <c r="BS42" s="38">
        <f t="shared" si="36"/>
        <v>8.0423695566888989E-4</v>
      </c>
      <c r="BT42" s="38">
        <f t="shared" si="37"/>
        <v>5.2635041779064407E-4</v>
      </c>
      <c r="BU42" s="38">
        <f t="shared" si="38"/>
        <v>2.2686151704940853E-3</v>
      </c>
      <c r="BV42" s="38">
        <f t="shared" si="39"/>
        <v>1.7056667606427968E-3</v>
      </c>
      <c r="BW42" s="38">
        <f t="shared" si="40"/>
        <v>1.5880893300248141E-3</v>
      </c>
      <c r="BX42" s="38">
        <f t="shared" si="41"/>
        <v>0.95470756062767481</v>
      </c>
      <c r="BY42" s="38">
        <f t="shared" si="42"/>
        <v>0</v>
      </c>
      <c r="BZ42" s="38">
        <f t="shared" si="43"/>
        <v>0</v>
      </c>
      <c r="CA42" s="38">
        <f t="shared" si="44"/>
        <v>0</v>
      </c>
      <c r="CB42" s="38">
        <f t="shared" si="45"/>
        <v>0</v>
      </c>
      <c r="CC42" s="38">
        <f t="shared" si="46"/>
        <v>0</v>
      </c>
      <c r="CD42" s="38">
        <f t="shared" si="47"/>
        <v>0.96627761646602439</v>
      </c>
      <c r="CE42" s="38">
        <f t="shared" si="48"/>
        <v>0.97162000735648257</v>
      </c>
      <c r="CF42" s="38">
        <f t="shared" si="49"/>
        <v>4.1395970804221207</v>
      </c>
      <c r="CG42" s="38">
        <f t="shared" si="50"/>
        <v>4.0221153457326144</v>
      </c>
    </row>
    <row r="43" spans="1:85" ht="15" customHeight="1" x14ac:dyDescent="0.25">
      <c r="A43" s="35" t="s">
        <v>87</v>
      </c>
      <c r="B43" s="15">
        <v>426</v>
      </c>
      <c r="C43" s="102" t="s">
        <v>99</v>
      </c>
      <c r="D43" s="103" t="s">
        <v>106</v>
      </c>
      <c r="E43" s="15">
        <v>108</v>
      </c>
      <c r="F43" s="15" t="s">
        <v>272</v>
      </c>
      <c r="G43" s="16">
        <v>8.3000000000000004E-2</v>
      </c>
      <c r="H43" s="16">
        <v>5.44</v>
      </c>
      <c r="I43" s="16">
        <v>1.355</v>
      </c>
      <c r="J43" s="16">
        <v>4.9000000000000002E-2</v>
      </c>
      <c r="K43" s="16">
        <v>85.9</v>
      </c>
      <c r="L43" s="16">
        <v>0.39500000000000002</v>
      </c>
      <c r="M43" s="16">
        <v>0.19900000000000001</v>
      </c>
      <c r="N43" s="16">
        <v>2.5999999999999999E-2</v>
      </c>
      <c r="O43" s="16">
        <v>5.3999999999999999E-2</v>
      </c>
      <c r="P43" s="16">
        <v>0</v>
      </c>
      <c r="Q43" s="16">
        <v>0</v>
      </c>
      <c r="T43" s="16">
        <f t="shared" si="0"/>
        <v>93.501000000000005</v>
      </c>
      <c r="U43" s="16"/>
      <c r="V43" s="16">
        <f t="shared" si="51"/>
        <v>35.207765721849846</v>
      </c>
      <c r="W43" s="16">
        <f t="shared" si="52"/>
        <v>56.334279953308275</v>
      </c>
      <c r="X43" s="16">
        <f t="shared" si="53"/>
        <v>99.14304567515812</v>
      </c>
      <c r="Y43" s="15">
        <v>109</v>
      </c>
      <c r="AD43" s="15">
        <v>4</v>
      </c>
      <c r="AE43" s="15">
        <v>3</v>
      </c>
      <c r="AG43" s="38">
        <f t="shared" si="1"/>
        <v>3.9835671011559E-3</v>
      </c>
      <c r="AH43" s="38">
        <f t="shared" si="2"/>
        <v>0.19637437334008678</v>
      </c>
      <c r="AI43" s="38">
        <f t="shared" si="3"/>
        <v>7.6641400595967232E-2</v>
      </c>
      <c r="AJ43" s="38">
        <f t="shared" si="4"/>
        <v>1.859238180767263E-3</v>
      </c>
      <c r="AK43" s="38">
        <f t="shared" si="5"/>
        <v>3.447389543556548</v>
      </c>
      <c r="AL43" s="38">
        <f t="shared" si="6"/>
        <v>1.6055723489015215E-2</v>
      </c>
      <c r="AM43" s="38">
        <f t="shared" si="7"/>
        <v>1.423875439506468E-2</v>
      </c>
      <c r="AN43" s="38">
        <f t="shared" si="8"/>
        <v>1.3368704126148548E-3</v>
      </c>
      <c r="AO43" s="38">
        <f t="shared" si="9"/>
        <v>5.0245381983391874E-3</v>
      </c>
      <c r="AP43" s="38">
        <f t="shared" si="10"/>
        <v>0</v>
      </c>
      <c r="AQ43" s="38">
        <f t="shared" si="11"/>
        <v>0</v>
      </c>
      <c r="AR43" s="38">
        <f t="shared" si="12"/>
        <v>0</v>
      </c>
      <c r="AS43" s="38">
        <f t="shared" si="13"/>
        <v>0</v>
      </c>
      <c r="AT43" s="39">
        <f t="shared" si="14"/>
        <v>3.7629040092695591</v>
      </c>
      <c r="AU43" s="38">
        <f t="shared" si="15"/>
        <v>8.0624967697123129E-2</v>
      </c>
      <c r="AV43" s="38">
        <f t="shared" si="16"/>
        <v>6.3614086109540424E-3</v>
      </c>
      <c r="AW43" s="40"/>
      <c r="AX43" s="38">
        <f t="shared" si="17"/>
        <v>3.1759251030662144E-3</v>
      </c>
      <c r="AY43" s="38">
        <f t="shared" si="18"/>
        <v>0.15656076226473251</v>
      </c>
      <c r="AZ43" s="38">
        <f t="shared" si="19"/>
        <v>6.1102861306455078E-2</v>
      </c>
      <c r="BA43" s="38">
        <f t="shared" si="20"/>
        <v>1.4822898826442592E-3</v>
      </c>
      <c r="BB43" s="38">
        <f t="shared" si="21"/>
        <v>1.1265066943166633</v>
      </c>
      <c r="BC43" s="38">
        <f t="shared" si="22"/>
        <v>1.6219473202403609</v>
      </c>
      <c r="BD43" s="38">
        <f t="shared" si="23"/>
        <v>1.2800531278074154E-2</v>
      </c>
      <c r="BE43" s="38">
        <f t="shared" si="24"/>
        <v>1.1351940703235199E-2</v>
      </c>
      <c r="BF43" s="38">
        <f t="shared" si="25"/>
        <v>1.0658287397086934E-3</v>
      </c>
      <c r="BG43" s="38">
        <f t="shared" si="26"/>
        <v>4.0058461650589895E-3</v>
      </c>
      <c r="BH43" s="38">
        <f t="shared" si="27"/>
        <v>0</v>
      </c>
      <c r="BI43" s="38">
        <f t="shared" si="28"/>
        <v>0</v>
      </c>
      <c r="BJ43" s="38">
        <f t="shared" si="29"/>
        <v>0</v>
      </c>
      <c r="BK43" s="38">
        <f t="shared" si="30"/>
        <v>0</v>
      </c>
      <c r="BL43" s="41">
        <f t="shared" si="31"/>
        <v>2.9999999999999996</v>
      </c>
      <c r="BM43" s="42">
        <f t="shared" si="55"/>
        <v>3.9999999999999991</v>
      </c>
      <c r="BN43" s="38">
        <f t="shared" si="32"/>
        <v>6.4278786409521296E-2</v>
      </c>
      <c r="BO43" s="38">
        <f t="shared" si="33"/>
        <v>5.0716749047676826E-3</v>
      </c>
      <c r="BQ43" s="38">
        <f t="shared" si="34"/>
        <v>1.381491344873502E-3</v>
      </c>
      <c r="BR43" s="38">
        <f t="shared" si="35"/>
        <v>6.8102153229844781E-2</v>
      </c>
      <c r="BS43" s="38">
        <f t="shared" si="36"/>
        <v>2.6579050608081602E-2</v>
      </c>
      <c r="BT43" s="38">
        <f t="shared" si="37"/>
        <v>6.4477926179353905E-4</v>
      </c>
      <c r="BU43" s="38">
        <f t="shared" si="38"/>
        <v>1.1955462769659013</v>
      </c>
      <c r="BV43" s="38">
        <f t="shared" si="39"/>
        <v>5.5680857062306178E-3</v>
      </c>
      <c r="BW43" s="38">
        <f t="shared" si="40"/>
        <v>4.9379652605459059E-3</v>
      </c>
      <c r="BX43" s="38">
        <f t="shared" si="41"/>
        <v>4.6362339514978602E-4</v>
      </c>
      <c r="BY43" s="38">
        <f t="shared" si="42"/>
        <v>1.7424975798644724E-3</v>
      </c>
      <c r="BZ43" s="38">
        <f t="shared" si="43"/>
        <v>0</v>
      </c>
      <c r="CA43" s="38">
        <f t="shared" si="44"/>
        <v>0</v>
      </c>
      <c r="CB43" s="38">
        <f t="shared" si="45"/>
        <v>0</v>
      </c>
      <c r="CC43" s="38">
        <f t="shared" si="46"/>
        <v>0</v>
      </c>
      <c r="CD43" s="38">
        <f t="shared" si="47"/>
        <v>1.3049659233522857</v>
      </c>
      <c r="CE43" s="38">
        <f t="shared" si="48"/>
        <v>1.3871902340720093</v>
      </c>
      <c r="CF43" s="38">
        <f t="shared" si="49"/>
        <v>2.2989106047255201</v>
      </c>
      <c r="CG43" s="38">
        <f t="shared" si="50"/>
        <v>3.1890263398798187</v>
      </c>
    </row>
    <row r="44" spans="1:85" ht="15" customHeight="1" x14ac:dyDescent="0.25">
      <c r="A44" s="35" t="s">
        <v>87</v>
      </c>
      <c r="B44" s="15">
        <v>427</v>
      </c>
      <c r="C44" s="102" t="s">
        <v>99</v>
      </c>
      <c r="D44" s="103" t="s">
        <v>106</v>
      </c>
      <c r="E44" s="15">
        <v>109</v>
      </c>
      <c r="F44" s="15" t="s">
        <v>279</v>
      </c>
      <c r="G44" s="16">
        <v>1.4E-2</v>
      </c>
      <c r="H44" s="16">
        <v>48.01</v>
      </c>
      <c r="I44" s="16">
        <v>5.2999999999999999E-2</v>
      </c>
      <c r="J44" s="16">
        <v>0.04</v>
      </c>
      <c r="K44" s="16">
        <v>47.18</v>
      </c>
      <c r="L44" s="16">
        <v>1.135</v>
      </c>
      <c r="M44" s="16">
        <v>0.68700000000000006</v>
      </c>
      <c r="N44" s="16">
        <v>2.7E-2</v>
      </c>
      <c r="O44" s="16">
        <v>0</v>
      </c>
      <c r="P44" s="16">
        <v>0</v>
      </c>
      <c r="Q44" s="16">
        <v>0</v>
      </c>
      <c r="T44" s="16">
        <f t="shared" si="0"/>
        <v>97.146000000000001</v>
      </c>
      <c r="U44" s="16"/>
      <c r="V44" s="16">
        <f t="shared" si="51"/>
        <v>40.791510059524079</v>
      </c>
      <c r="W44" s="16">
        <f t="shared" si="52"/>
        <v>7.0995288708508903</v>
      </c>
      <c r="X44" s="16">
        <f t="shared" si="53"/>
        <v>97.857038930374955</v>
      </c>
      <c r="Y44" s="15">
        <v>108</v>
      </c>
      <c r="AD44" s="15">
        <v>3</v>
      </c>
      <c r="AE44" s="15">
        <v>2</v>
      </c>
      <c r="AG44" s="38">
        <f t="shared" si="1"/>
        <v>3.6889311241261971E-4</v>
      </c>
      <c r="AH44" s="38">
        <f t="shared" si="2"/>
        <v>0.9514721584894722</v>
      </c>
      <c r="AI44" s="38">
        <f t="shared" si="3"/>
        <v>1.6458053638244131E-3</v>
      </c>
      <c r="AJ44" s="38">
        <f t="shared" si="4"/>
        <v>8.3325399955824862E-4</v>
      </c>
      <c r="AK44" s="38">
        <f t="shared" si="5"/>
        <v>1.0395217941953812</v>
      </c>
      <c r="AL44" s="38">
        <f t="shared" si="6"/>
        <v>2.5328362449058024E-2</v>
      </c>
      <c r="AM44" s="38">
        <f t="shared" si="7"/>
        <v>2.6986969973602237E-2</v>
      </c>
      <c r="AN44" s="38">
        <f t="shared" si="8"/>
        <v>7.6218113311500807E-4</v>
      </c>
      <c r="AO44" s="38">
        <f t="shared" si="9"/>
        <v>0</v>
      </c>
      <c r="AP44" s="38">
        <f t="shared" si="10"/>
        <v>0</v>
      </c>
      <c r="AQ44" s="38">
        <f t="shared" si="11"/>
        <v>0</v>
      </c>
      <c r="AR44" s="38">
        <f t="shared" si="12"/>
        <v>0</v>
      </c>
      <c r="AS44" s="38">
        <f t="shared" si="13"/>
        <v>0</v>
      </c>
      <c r="AT44" s="39">
        <f t="shared" si="14"/>
        <v>2.0469194187164241</v>
      </c>
      <c r="AU44" s="38">
        <f t="shared" si="15"/>
        <v>2.014698476237033E-3</v>
      </c>
      <c r="AV44" s="38">
        <f t="shared" si="16"/>
        <v>7.6218113311500807E-4</v>
      </c>
      <c r="AW44" s="40"/>
      <c r="AX44" s="38">
        <f t="shared" si="17"/>
        <v>3.6043735678070222E-4</v>
      </c>
      <c r="AY44" s="38">
        <f t="shared" si="18"/>
        <v>0.92966254537378745</v>
      </c>
      <c r="AZ44" s="38">
        <f t="shared" si="19"/>
        <v>1.6080802681098794E-3</v>
      </c>
      <c r="BA44" s="38">
        <f t="shared" si="20"/>
        <v>8.1415417914278512E-4</v>
      </c>
      <c r="BB44" s="38">
        <f t="shared" si="21"/>
        <v>0.87816211017207757</v>
      </c>
      <c r="BC44" s="38">
        <f t="shared" si="22"/>
        <v>0.13753180009161148</v>
      </c>
      <c r="BD44" s="38">
        <f t="shared" si="23"/>
        <v>2.4747786568892732E-2</v>
      </c>
      <c r="BE44" s="38">
        <f t="shared" si="24"/>
        <v>2.6368375547020938E-2</v>
      </c>
      <c r="BF44" s="38">
        <f t="shared" si="25"/>
        <v>7.4471044257614608E-4</v>
      </c>
      <c r="BG44" s="38">
        <f t="shared" si="26"/>
        <v>0</v>
      </c>
      <c r="BH44" s="38">
        <f t="shared" si="27"/>
        <v>0</v>
      </c>
      <c r="BI44" s="38">
        <f t="shared" si="28"/>
        <v>0</v>
      </c>
      <c r="BJ44" s="38">
        <f t="shared" si="29"/>
        <v>0</v>
      </c>
      <c r="BK44" s="38">
        <f t="shared" si="30"/>
        <v>0</v>
      </c>
      <c r="BL44" s="41">
        <f t="shared" si="31"/>
        <v>1.9999999999999998</v>
      </c>
      <c r="BM44" s="42">
        <f t="shared" si="55"/>
        <v>2.9999999999999996</v>
      </c>
      <c r="BN44" s="38">
        <f t="shared" si="32"/>
        <v>1.9685176248905815E-3</v>
      </c>
      <c r="BO44" s="38">
        <f t="shared" si="33"/>
        <v>7.4471044257614608E-4</v>
      </c>
      <c r="BQ44" s="38">
        <f t="shared" si="34"/>
        <v>2.3302263648468711E-4</v>
      </c>
      <c r="BR44" s="38">
        <f t="shared" si="35"/>
        <v>0.60102653980971454</v>
      </c>
      <c r="BS44" s="38">
        <f t="shared" si="36"/>
        <v>1.039623381718321E-3</v>
      </c>
      <c r="BT44" s="38">
        <f t="shared" si="37"/>
        <v>5.2635041779064407E-4</v>
      </c>
      <c r="BU44" s="38">
        <f t="shared" si="38"/>
        <v>0.65664578983994437</v>
      </c>
      <c r="BV44" s="38">
        <f t="shared" si="39"/>
        <v>1.5999436143219622E-2</v>
      </c>
      <c r="BW44" s="38">
        <f t="shared" si="40"/>
        <v>1.7047146401985114E-2</v>
      </c>
      <c r="BX44" s="38">
        <f t="shared" si="41"/>
        <v>4.8145506419400855E-4</v>
      </c>
      <c r="BY44" s="38">
        <f t="shared" si="42"/>
        <v>0</v>
      </c>
      <c r="BZ44" s="38">
        <f t="shared" si="43"/>
        <v>0</v>
      </c>
      <c r="CA44" s="38">
        <f t="shared" si="44"/>
        <v>0</v>
      </c>
      <c r="CB44" s="38">
        <f t="shared" si="45"/>
        <v>0</v>
      </c>
      <c r="CC44" s="38">
        <f t="shared" si="46"/>
        <v>0</v>
      </c>
      <c r="CD44" s="38">
        <f t="shared" si="47"/>
        <v>1.2929993636950514</v>
      </c>
      <c r="CE44" s="38">
        <f t="shared" si="48"/>
        <v>1.895041913041005</v>
      </c>
      <c r="CF44" s="38">
        <f t="shared" si="49"/>
        <v>1.5467911710988991</v>
      </c>
      <c r="CG44" s="38">
        <f t="shared" si="50"/>
        <v>2.9312340999541941</v>
      </c>
    </row>
    <row r="45" spans="1:85" ht="15" customHeight="1" x14ac:dyDescent="0.25">
      <c r="A45" s="35" t="s">
        <v>87</v>
      </c>
      <c r="B45" s="15">
        <v>440</v>
      </c>
      <c r="C45" s="102" t="s">
        <v>99</v>
      </c>
      <c r="D45" s="103" t="s">
        <v>106</v>
      </c>
      <c r="E45" s="15">
        <v>122</v>
      </c>
      <c r="F45" s="15" t="s">
        <v>270</v>
      </c>
      <c r="G45" s="16">
        <v>51.69</v>
      </c>
      <c r="H45" s="16">
        <v>0.10299999999999999</v>
      </c>
      <c r="I45" s="16">
        <v>1.421</v>
      </c>
      <c r="J45" s="16">
        <v>0</v>
      </c>
      <c r="K45" s="16">
        <v>17.329999999999998</v>
      </c>
      <c r="L45" s="16">
        <v>0.33</v>
      </c>
      <c r="M45" s="16">
        <v>13.26</v>
      </c>
      <c r="N45" s="16">
        <v>10.72</v>
      </c>
      <c r="O45" s="16">
        <v>0.46600000000000003</v>
      </c>
      <c r="P45" s="16">
        <v>0.11899999999999999</v>
      </c>
      <c r="Q45" s="16">
        <v>0</v>
      </c>
      <c r="R45" s="16">
        <v>0</v>
      </c>
      <c r="S45" s="16">
        <v>0.13600000000000001</v>
      </c>
      <c r="T45" s="16">
        <f t="shared" si="0"/>
        <v>95.574999999999989</v>
      </c>
      <c r="U45" s="16"/>
      <c r="V45" s="16">
        <f t="shared" si="51"/>
        <v>17.329999999999998</v>
      </c>
      <c r="W45" s="16">
        <f t="shared" si="52"/>
        <v>0</v>
      </c>
      <c r="X45" s="16">
        <f t="shared" si="53"/>
        <v>95.575000000000003</v>
      </c>
      <c r="AD45" s="15">
        <v>6</v>
      </c>
      <c r="AE45" s="15">
        <v>4</v>
      </c>
      <c r="AG45" s="38">
        <f t="shared" si="1"/>
        <v>2.0339349292543139</v>
      </c>
      <c r="AH45" s="38">
        <f t="shared" si="2"/>
        <v>3.0483133983739961E-3</v>
      </c>
      <c r="AI45" s="38">
        <f t="shared" si="3"/>
        <v>6.5895338496814893E-2</v>
      </c>
      <c r="AJ45" s="38">
        <f t="shared" si="4"/>
        <v>0</v>
      </c>
      <c r="AK45" s="38">
        <f t="shared" si="5"/>
        <v>0.5702065958560445</v>
      </c>
      <c r="AL45" s="38">
        <f t="shared" si="6"/>
        <v>1.099722731728685E-2</v>
      </c>
      <c r="AM45" s="38">
        <f t="shared" si="7"/>
        <v>0.77785549560713163</v>
      </c>
      <c r="AN45" s="38">
        <f t="shared" si="8"/>
        <v>0.45190508359934334</v>
      </c>
      <c r="AO45" s="38">
        <f t="shared" si="9"/>
        <v>3.5548787051928911E-2</v>
      </c>
      <c r="AP45" s="38">
        <f t="shared" si="10"/>
        <v>5.9729172875706837E-3</v>
      </c>
      <c r="AQ45" s="38">
        <f t="shared" si="11"/>
        <v>0</v>
      </c>
      <c r="AR45" s="38">
        <f t="shared" si="12"/>
        <v>0</v>
      </c>
      <c r="AS45" s="38">
        <f t="shared" si="13"/>
        <v>9.0694952003088219E-3</v>
      </c>
      <c r="AT45" s="39">
        <f t="shared" si="14"/>
        <v>3.9553646878688089</v>
      </c>
      <c r="AU45" s="38">
        <f t="shared" si="15"/>
        <v>2.0998302677511287</v>
      </c>
      <c r="AV45" s="38">
        <f t="shared" si="16"/>
        <v>0.49342678793884298</v>
      </c>
      <c r="AW45" s="40"/>
      <c r="AX45" s="38">
        <f t="shared" si="17"/>
        <v>2.0568873818309976</v>
      </c>
      <c r="AY45" s="38">
        <f t="shared" si="18"/>
        <v>3.0827128610651155E-3</v>
      </c>
      <c r="AZ45" s="38">
        <f t="shared" si="19"/>
        <v>6.6638951092340346E-2</v>
      </c>
      <c r="BA45" s="38">
        <f t="shared" si="20"/>
        <v>0</v>
      </c>
      <c r="BB45" s="38">
        <f t="shared" si="21"/>
        <v>0.57664123624795527</v>
      </c>
      <c r="BC45" s="38">
        <f t="shared" si="22"/>
        <v>0</v>
      </c>
      <c r="BD45" s="38">
        <f t="shared" si="23"/>
        <v>1.112132830736502E-2</v>
      </c>
      <c r="BE45" s="38">
        <f t="shared" si="24"/>
        <v>0.78663340247015057</v>
      </c>
      <c r="BF45" s="38">
        <f t="shared" si="25"/>
        <v>0.45700472068767384</v>
      </c>
      <c r="BG45" s="38">
        <f t="shared" si="26"/>
        <v>3.5949946320710024E-2</v>
      </c>
      <c r="BH45" s="38">
        <f t="shared" si="27"/>
        <v>6.0403201817417779E-3</v>
      </c>
      <c r="BI45" s="38">
        <f t="shared" si="28"/>
        <v>0</v>
      </c>
      <c r="BJ45" s="38">
        <f t="shared" si="29"/>
        <v>0</v>
      </c>
      <c r="BK45" s="38">
        <f t="shared" si="30"/>
        <v>9.1718422102772604E-3</v>
      </c>
      <c r="BL45" s="41">
        <f t="shared" si="31"/>
        <v>3.9999999999999996</v>
      </c>
      <c r="BM45" s="42">
        <f t="shared" si="55"/>
        <v>6.0677085158818684</v>
      </c>
      <c r="BN45" s="38">
        <f t="shared" si="32"/>
        <v>2.1235263329233378</v>
      </c>
      <c r="BO45" s="38">
        <f t="shared" si="33"/>
        <v>0.49899498719012564</v>
      </c>
      <c r="BQ45" s="38">
        <f t="shared" si="34"/>
        <v>0.86035286284953394</v>
      </c>
      <c r="BR45" s="38">
        <f t="shared" si="35"/>
        <v>1.2894341512268402E-3</v>
      </c>
      <c r="BS45" s="38">
        <f t="shared" si="36"/>
        <v>2.7873675951353476E-2</v>
      </c>
      <c r="BT45" s="38">
        <f t="shared" si="37"/>
        <v>0</v>
      </c>
      <c r="BU45" s="38">
        <f t="shared" si="38"/>
        <v>0.24119693806541406</v>
      </c>
      <c r="BV45" s="38">
        <f t="shared" si="39"/>
        <v>4.6518184381167185E-3</v>
      </c>
      <c r="BW45" s="38">
        <f t="shared" si="40"/>
        <v>0.32903225806451614</v>
      </c>
      <c r="BX45" s="38">
        <f t="shared" si="41"/>
        <v>0.19115549215406563</v>
      </c>
      <c r="BY45" s="38">
        <f t="shared" si="42"/>
        <v>1.5037108744756375E-2</v>
      </c>
      <c r="BZ45" s="38">
        <f t="shared" si="43"/>
        <v>2.5265392781316344E-3</v>
      </c>
      <c r="CA45" s="38">
        <f t="shared" si="44"/>
        <v>0</v>
      </c>
      <c r="CB45" s="38">
        <f t="shared" si="45"/>
        <v>0</v>
      </c>
      <c r="CC45" s="38">
        <f t="shared" si="46"/>
        <v>3.8363892806770098E-3</v>
      </c>
      <c r="CD45" s="38">
        <f t="shared" si="47"/>
        <v>1.6731161276971149</v>
      </c>
      <c r="CE45" s="38">
        <f t="shared" si="48"/>
        <v>2.5379952440217699</v>
      </c>
      <c r="CF45" s="38">
        <f t="shared" si="49"/>
        <v>2.3907485761347713</v>
      </c>
      <c r="CG45" s="38">
        <f t="shared" si="50"/>
        <v>6.0677085158818675</v>
      </c>
    </row>
    <row r="46" spans="1:85" ht="15" customHeight="1" x14ac:dyDescent="0.25">
      <c r="A46" s="35" t="s">
        <v>87</v>
      </c>
      <c r="B46" s="15">
        <v>441</v>
      </c>
      <c r="C46" s="102" t="s">
        <v>99</v>
      </c>
      <c r="D46" s="103" t="s">
        <v>106</v>
      </c>
      <c r="E46" s="15">
        <v>123</v>
      </c>
      <c r="F46" s="15" t="s">
        <v>270</v>
      </c>
      <c r="G46" s="16">
        <v>52.13</v>
      </c>
      <c r="H46" s="16">
        <v>0.26100000000000001</v>
      </c>
      <c r="I46" s="16">
        <v>0.94699999999999995</v>
      </c>
      <c r="J46" s="16">
        <v>3.5999999999999997E-2</v>
      </c>
      <c r="K46" s="16">
        <v>18.350000000000001</v>
      </c>
      <c r="L46" s="16">
        <v>0.34200000000000003</v>
      </c>
      <c r="M46" s="16">
        <v>13.17</v>
      </c>
      <c r="N46" s="16">
        <v>9.26</v>
      </c>
      <c r="O46" s="16">
        <v>0.34399999999999997</v>
      </c>
      <c r="P46" s="16">
        <v>8.5999999999999993E-2</v>
      </c>
      <c r="Q46" s="16">
        <v>0</v>
      </c>
      <c r="R46" s="16">
        <v>0</v>
      </c>
      <c r="S46" s="16">
        <v>0.125</v>
      </c>
      <c r="T46" s="16">
        <f t="shared" si="0"/>
        <v>95.051000000000016</v>
      </c>
      <c r="U46" s="16"/>
      <c r="V46" s="16">
        <f t="shared" si="51"/>
        <v>18.350000000000001</v>
      </c>
      <c r="W46" s="16">
        <f t="shared" si="52"/>
        <v>0</v>
      </c>
      <c r="X46" s="16">
        <f t="shared" si="53"/>
        <v>95.051000000000016</v>
      </c>
      <c r="AD46" s="15">
        <v>6</v>
      </c>
      <c r="AE46" s="15">
        <v>4</v>
      </c>
      <c r="AG46" s="38">
        <f t="shared" si="1"/>
        <v>2.0599317762423173</v>
      </c>
      <c r="AH46" s="38">
        <f t="shared" si="2"/>
        <v>7.7570660113137841E-3</v>
      </c>
      <c r="AI46" s="38">
        <f t="shared" si="3"/>
        <v>4.4100669636474264E-2</v>
      </c>
      <c r="AJ46" s="38">
        <f t="shared" si="4"/>
        <v>1.1246373885464244E-3</v>
      </c>
      <c r="AK46" s="38">
        <f t="shared" si="5"/>
        <v>0.60632340392269557</v>
      </c>
      <c r="AL46" s="38">
        <f t="shared" si="6"/>
        <v>1.1445373192198514E-2</v>
      </c>
      <c r="AM46" s="38">
        <f t="shared" si="7"/>
        <v>0.77584642788244507</v>
      </c>
      <c r="AN46" s="38">
        <f t="shared" si="8"/>
        <v>0.39201078709598486</v>
      </c>
      <c r="AO46" s="38">
        <f t="shared" si="9"/>
        <v>2.6353111675674428E-2</v>
      </c>
      <c r="AP46" s="38">
        <f t="shared" si="10"/>
        <v>4.334835089326701E-3</v>
      </c>
      <c r="AQ46" s="38">
        <f t="shared" si="11"/>
        <v>0</v>
      </c>
      <c r="AR46" s="38">
        <f t="shared" si="12"/>
        <v>0</v>
      </c>
      <c r="AS46" s="38">
        <f t="shared" si="13"/>
        <v>8.3712210412342815E-3</v>
      </c>
      <c r="AT46" s="39">
        <f t="shared" si="14"/>
        <v>3.9292280881369765</v>
      </c>
      <c r="AU46" s="38">
        <f t="shared" si="15"/>
        <v>2.1040324458787913</v>
      </c>
      <c r="AV46" s="38">
        <f t="shared" si="16"/>
        <v>0.422698733860986</v>
      </c>
      <c r="AW46" s="40"/>
      <c r="AX46" s="38">
        <f t="shared" si="17"/>
        <v>2.0970345625509594</v>
      </c>
      <c r="AY46" s="38">
        <f t="shared" si="18"/>
        <v>7.8967836300811497E-3</v>
      </c>
      <c r="AZ46" s="38">
        <f t="shared" si="19"/>
        <v>4.4894995808079305E-2</v>
      </c>
      <c r="BA46" s="38">
        <f t="shared" si="20"/>
        <v>1.1448939723727417E-3</v>
      </c>
      <c r="BB46" s="38">
        <f t="shared" si="21"/>
        <v>0.61724429360900823</v>
      </c>
      <c r="BC46" s="38">
        <f t="shared" si="22"/>
        <v>0</v>
      </c>
      <c r="BD46" s="38">
        <f t="shared" si="23"/>
        <v>1.165152333788317E-2</v>
      </c>
      <c r="BE46" s="38">
        <f t="shared" si="24"/>
        <v>0.78982070827077744</v>
      </c>
      <c r="BF46" s="38">
        <f t="shared" si="25"/>
        <v>0.39907155125917332</v>
      </c>
      <c r="BG46" s="38">
        <f t="shared" si="26"/>
        <v>2.6827774905955757E-2</v>
      </c>
      <c r="BH46" s="38">
        <f t="shared" si="27"/>
        <v>4.4129126557089643E-3</v>
      </c>
      <c r="BI46" s="38">
        <f t="shared" si="28"/>
        <v>0</v>
      </c>
      <c r="BJ46" s="38">
        <f t="shared" si="29"/>
        <v>0</v>
      </c>
      <c r="BK46" s="38">
        <f t="shared" si="30"/>
        <v>8.5220006102556915E-3</v>
      </c>
      <c r="BL46" s="41">
        <f t="shared" si="31"/>
        <v>3.9999999999999991</v>
      </c>
      <c r="BM46" s="42">
        <f t="shared" si="55"/>
        <v>6.1080699469853057</v>
      </c>
      <c r="BN46" s="38">
        <f t="shared" si="32"/>
        <v>2.1419295583590388</v>
      </c>
      <c r="BO46" s="38">
        <f t="shared" si="33"/>
        <v>0.43031223882083808</v>
      </c>
      <c r="BQ46" s="38">
        <f t="shared" si="34"/>
        <v>0.86767643142476703</v>
      </c>
      <c r="BR46" s="38">
        <f t="shared" si="35"/>
        <v>3.267401101652479E-3</v>
      </c>
      <c r="BS46" s="38">
        <f t="shared" si="36"/>
        <v>1.857591212240094E-2</v>
      </c>
      <c r="BT46" s="38">
        <f t="shared" si="37"/>
        <v>4.7371537601157966E-4</v>
      </c>
      <c r="BU46" s="38">
        <f t="shared" si="38"/>
        <v>0.25539318023660407</v>
      </c>
      <c r="BV46" s="38">
        <f t="shared" si="39"/>
        <v>4.8209754722300545E-3</v>
      </c>
      <c r="BW46" s="38">
        <f t="shared" si="40"/>
        <v>0.32679900744416873</v>
      </c>
      <c r="BX46" s="38">
        <f t="shared" si="41"/>
        <v>0.1651212553495007</v>
      </c>
      <c r="BY46" s="38">
        <f t="shared" si="42"/>
        <v>1.1100354953210713E-2</v>
      </c>
      <c r="BZ46" s="38">
        <f t="shared" si="43"/>
        <v>1.8259023354564754E-3</v>
      </c>
      <c r="CA46" s="38">
        <f t="shared" si="44"/>
        <v>0</v>
      </c>
      <c r="CB46" s="38">
        <f t="shared" si="45"/>
        <v>0</v>
      </c>
      <c r="CC46" s="38">
        <f t="shared" si="46"/>
        <v>3.5260930888575456E-3</v>
      </c>
      <c r="CD46" s="38">
        <f t="shared" si="47"/>
        <v>1.6550541358160029</v>
      </c>
      <c r="CE46" s="38">
        <f t="shared" si="48"/>
        <v>2.5272966069028659</v>
      </c>
      <c r="CF46" s="38">
        <f t="shared" si="49"/>
        <v>2.4168393730685143</v>
      </c>
      <c r="CG46" s="38">
        <f t="shared" si="50"/>
        <v>6.1080699469853057</v>
      </c>
    </row>
    <row r="47" spans="1:85" ht="15" customHeight="1" x14ac:dyDescent="0.25">
      <c r="A47" s="35" t="s">
        <v>87</v>
      </c>
      <c r="B47" s="15">
        <v>444</v>
      </c>
      <c r="C47" s="102" t="s">
        <v>99</v>
      </c>
      <c r="D47" s="103" t="s">
        <v>106</v>
      </c>
      <c r="E47" s="15">
        <v>126</v>
      </c>
      <c r="F47" s="15" t="s">
        <v>279</v>
      </c>
      <c r="G47" s="16">
        <v>0.01</v>
      </c>
      <c r="H47" s="16">
        <v>49.34</v>
      </c>
      <c r="I47" s="16">
        <v>3.3000000000000002E-2</v>
      </c>
      <c r="J47" s="16">
        <v>2.1999999999999999E-2</v>
      </c>
      <c r="K47" s="16">
        <v>46.99</v>
      </c>
      <c r="L47" s="16">
        <v>1.278</v>
      </c>
      <c r="M47" s="16">
        <v>0.68300000000000005</v>
      </c>
      <c r="N47" s="16">
        <v>0</v>
      </c>
      <c r="O47" s="16">
        <v>3.9E-2</v>
      </c>
      <c r="P47" s="16">
        <v>0</v>
      </c>
      <c r="Q47" s="16">
        <v>0</v>
      </c>
      <c r="T47" s="16">
        <f t="shared" si="0"/>
        <v>98.395000000000024</v>
      </c>
      <c r="U47" s="16"/>
      <c r="V47" s="16">
        <f t="shared" si="51"/>
        <v>41.699074624513806</v>
      </c>
      <c r="W47" s="16">
        <f t="shared" si="52"/>
        <v>5.8798053697778077</v>
      </c>
      <c r="X47" s="16">
        <f t="shared" si="53"/>
        <v>98.983879994291613</v>
      </c>
      <c r="AD47" s="15">
        <v>3</v>
      </c>
      <c r="AE47" s="15">
        <v>2</v>
      </c>
      <c r="AG47" s="38">
        <f t="shared" si="1"/>
        <v>2.5916756239989074E-4</v>
      </c>
      <c r="AH47" s="38">
        <f t="shared" si="2"/>
        <v>0.96177095384444355</v>
      </c>
      <c r="AI47" s="38">
        <f t="shared" si="3"/>
        <v>1.0079167828884255E-3</v>
      </c>
      <c r="AJ47" s="38">
        <f t="shared" si="4"/>
        <v>4.5076296766587208E-4</v>
      </c>
      <c r="AK47" s="38">
        <f t="shared" si="5"/>
        <v>1.0183316466678156</v>
      </c>
      <c r="AL47" s="38">
        <f t="shared" si="6"/>
        <v>2.8051122041730173E-2</v>
      </c>
      <c r="AM47" s="38">
        <f t="shared" si="7"/>
        <v>2.6389200056469116E-2</v>
      </c>
      <c r="AN47" s="38">
        <f t="shared" si="8"/>
        <v>0</v>
      </c>
      <c r="AO47" s="38">
        <f t="shared" si="9"/>
        <v>1.9595375889333074E-3</v>
      </c>
      <c r="AP47" s="38">
        <f t="shared" si="10"/>
        <v>0</v>
      </c>
      <c r="AQ47" s="38">
        <f t="shared" si="11"/>
        <v>0</v>
      </c>
      <c r="AR47" s="38">
        <f t="shared" si="12"/>
        <v>0</v>
      </c>
      <c r="AS47" s="38">
        <f t="shared" si="13"/>
        <v>0</v>
      </c>
      <c r="AT47" s="39">
        <f t="shared" si="14"/>
        <v>2.0382203075123457</v>
      </c>
      <c r="AU47" s="38">
        <f t="shared" si="15"/>
        <v>1.2670843452883163E-3</v>
      </c>
      <c r="AV47" s="38">
        <f t="shared" si="16"/>
        <v>1.9595375889333074E-3</v>
      </c>
      <c r="AW47" s="40"/>
      <c r="AX47" s="38">
        <f t="shared" si="17"/>
        <v>2.5430770309241551E-4</v>
      </c>
      <c r="AY47" s="38">
        <f t="shared" si="18"/>
        <v>0.94373601352082281</v>
      </c>
      <c r="AZ47" s="38">
        <f t="shared" si="19"/>
        <v>9.8901652502774947E-4</v>
      </c>
      <c r="BA47" s="38">
        <f t="shared" si="20"/>
        <v>4.4231034889062571E-4</v>
      </c>
      <c r="BB47" s="38">
        <f t="shared" si="21"/>
        <v>0.88672526792131823</v>
      </c>
      <c r="BC47" s="38">
        <f t="shared" si="22"/>
        <v>0.11251082340258045</v>
      </c>
      <c r="BD47" s="38">
        <f t="shared" si="23"/>
        <v>2.7525112902016615E-2</v>
      </c>
      <c r="BE47" s="38">
        <f t="shared" si="24"/>
        <v>2.5894354951920988E-2</v>
      </c>
      <c r="BF47" s="38">
        <f t="shared" si="25"/>
        <v>0</v>
      </c>
      <c r="BG47" s="38">
        <f t="shared" si="26"/>
        <v>1.9227927243301083E-3</v>
      </c>
      <c r="BH47" s="38">
        <f t="shared" si="27"/>
        <v>0</v>
      </c>
      <c r="BI47" s="38">
        <f t="shared" si="28"/>
        <v>0</v>
      </c>
      <c r="BJ47" s="38">
        <f t="shared" si="29"/>
        <v>0</v>
      </c>
      <c r="BK47" s="38">
        <f t="shared" si="30"/>
        <v>0</v>
      </c>
      <c r="BL47" s="41">
        <f t="shared" si="31"/>
        <v>2</v>
      </c>
      <c r="BM47" s="42">
        <f t="shared" si="55"/>
        <v>2.9999999999999991</v>
      </c>
      <c r="BN47" s="38">
        <f t="shared" si="32"/>
        <v>1.243324228120165E-3</v>
      </c>
      <c r="BO47" s="38">
        <f t="shared" si="33"/>
        <v>1.9227927243301083E-3</v>
      </c>
      <c r="BQ47" s="38">
        <f t="shared" si="34"/>
        <v>1.6644474034620507E-4</v>
      </c>
      <c r="BR47" s="38">
        <f t="shared" si="35"/>
        <v>0.61767651477215835</v>
      </c>
      <c r="BS47" s="38">
        <f t="shared" si="36"/>
        <v>6.4731267163593571E-4</v>
      </c>
      <c r="BT47" s="38">
        <f t="shared" si="37"/>
        <v>2.8949272978485421E-4</v>
      </c>
      <c r="BU47" s="38">
        <f t="shared" si="38"/>
        <v>0.65400139178844818</v>
      </c>
      <c r="BV47" s="38">
        <f t="shared" si="39"/>
        <v>1.8015224133070201E-2</v>
      </c>
      <c r="BW47" s="38">
        <f t="shared" si="40"/>
        <v>1.6947890818858564E-2</v>
      </c>
      <c r="BX47" s="38">
        <f t="shared" si="41"/>
        <v>0</v>
      </c>
      <c r="BY47" s="38">
        <f t="shared" si="42"/>
        <v>1.2584704743465634E-3</v>
      </c>
      <c r="BZ47" s="38">
        <f t="shared" si="43"/>
        <v>0</v>
      </c>
      <c r="CA47" s="38">
        <f t="shared" si="44"/>
        <v>0</v>
      </c>
      <c r="CB47" s="38">
        <f t="shared" si="45"/>
        <v>0</v>
      </c>
      <c r="CC47" s="38">
        <f t="shared" si="46"/>
        <v>0</v>
      </c>
      <c r="CD47" s="38">
        <f t="shared" si="47"/>
        <v>1.3090027421286488</v>
      </c>
      <c r="CE47" s="38">
        <f t="shared" si="48"/>
        <v>1.9266848691046905</v>
      </c>
      <c r="CF47" s="38">
        <f t="shared" si="49"/>
        <v>1.5278806801792322</v>
      </c>
      <c r="CG47" s="38">
        <f t="shared" si="50"/>
        <v>2.9437445882987094</v>
      </c>
    </row>
    <row r="48" spans="1:85" ht="15" customHeight="1" x14ac:dyDescent="0.25">
      <c r="A48" s="35" t="s">
        <v>87</v>
      </c>
      <c r="B48" s="15">
        <v>445</v>
      </c>
      <c r="C48" s="102" t="s">
        <v>99</v>
      </c>
      <c r="D48" s="103" t="s">
        <v>106</v>
      </c>
      <c r="E48" s="15">
        <v>127</v>
      </c>
      <c r="F48" s="15" t="s">
        <v>279</v>
      </c>
      <c r="G48" s="16">
        <v>0.01</v>
      </c>
      <c r="H48" s="16">
        <v>48.02</v>
      </c>
      <c r="I48" s="16">
        <v>6.9000000000000006E-2</v>
      </c>
      <c r="J48" s="16">
        <v>7.4999999999999997E-2</v>
      </c>
      <c r="K48" s="16">
        <v>47</v>
      </c>
      <c r="L48" s="16">
        <v>1.286</v>
      </c>
      <c r="M48" s="16">
        <v>0.71099999999999997</v>
      </c>
      <c r="N48" s="16">
        <v>0</v>
      </c>
      <c r="O48" s="16">
        <v>3.5000000000000003E-2</v>
      </c>
      <c r="P48" s="16">
        <v>3.5999999999999997E-2</v>
      </c>
      <c r="Q48" s="16">
        <v>0</v>
      </c>
      <c r="T48" s="16">
        <f t="shared" si="0"/>
        <v>97.242000000000004</v>
      </c>
      <c r="U48" s="16"/>
      <c r="V48" s="16">
        <f t="shared" si="51"/>
        <v>40.362458971886774</v>
      </c>
      <c r="W48" s="16">
        <f t="shared" si="52"/>
        <v>7.3762993445422325</v>
      </c>
      <c r="X48" s="16">
        <f t="shared" si="53"/>
        <v>97.980758316429018</v>
      </c>
      <c r="Y48" s="15">
        <v>128</v>
      </c>
      <c r="AD48" s="15">
        <v>3</v>
      </c>
      <c r="AE48" s="15">
        <v>2</v>
      </c>
      <c r="AG48" s="38">
        <f t="shared" si="1"/>
        <v>2.6322240319330049E-4</v>
      </c>
      <c r="AH48" s="38">
        <f t="shared" si="2"/>
        <v>0.95068550734181867</v>
      </c>
      <c r="AI48" s="38">
        <f t="shared" si="3"/>
        <v>2.1404349487757772E-3</v>
      </c>
      <c r="AJ48" s="38">
        <f t="shared" si="4"/>
        <v>1.5607344546207142E-3</v>
      </c>
      <c r="AK48" s="38">
        <f t="shared" si="5"/>
        <v>1.0344841937941742</v>
      </c>
      <c r="AL48" s="38">
        <f t="shared" si="6"/>
        <v>2.8668340782683387E-2</v>
      </c>
      <c r="AM48" s="38">
        <f t="shared" si="7"/>
        <v>2.7900843202282467E-2</v>
      </c>
      <c r="AN48" s="38">
        <f t="shared" si="8"/>
        <v>0</v>
      </c>
      <c r="AO48" s="38">
        <f t="shared" si="9"/>
        <v>1.7860731508062997E-3</v>
      </c>
      <c r="AP48" s="38">
        <f t="shared" si="10"/>
        <v>1.2087441006766999E-3</v>
      </c>
      <c r="AQ48" s="38">
        <f t="shared" si="11"/>
        <v>0</v>
      </c>
      <c r="AR48" s="38">
        <f t="shared" si="12"/>
        <v>0</v>
      </c>
      <c r="AS48" s="38">
        <f t="shared" si="13"/>
        <v>0</v>
      </c>
      <c r="AT48" s="39">
        <f t="shared" si="14"/>
        <v>2.0486980941790316</v>
      </c>
      <c r="AU48" s="38">
        <f t="shared" si="15"/>
        <v>2.4036573519690776E-3</v>
      </c>
      <c r="AV48" s="38">
        <f t="shared" si="16"/>
        <v>2.9948172514829997E-3</v>
      </c>
      <c r="AW48" s="40"/>
      <c r="AX48" s="38">
        <f t="shared" si="17"/>
        <v>2.5696553722697808E-4</v>
      </c>
      <c r="AY48" s="38">
        <f t="shared" si="18"/>
        <v>0.9280874620257642</v>
      </c>
      <c r="AZ48" s="38">
        <f t="shared" si="19"/>
        <v>2.0895562453612832E-3</v>
      </c>
      <c r="BA48" s="38">
        <f t="shared" si="20"/>
        <v>1.5236353848868517E-3</v>
      </c>
      <c r="BB48" s="38">
        <f t="shared" si="21"/>
        <v>0.86727264869456611</v>
      </c>
      <c r="BC48" s="38">
        <f t="shared" si="22"/>
        <v>0.14262158289910354</v>
      </c>
      <c r="BD48" s="38">
        <f t="shared" si="23"/>
        <v>2.7986886759097183E-2</v>
      </c>
      <c r="BE48" s="38">
        <f t="shared" si="24"/>
        <v>2.723763279866093E-2</v>
      </c>
      <c r="BF48" s="38">
        <f t="shared" si="25"/>
        <v>0</v>
      </c>
      <c r="BG48" s="38">
        <f t="shared" si="26"/>
        <v>1.7436177208160358E-3</v>
      </c>
      <c r="BH48" s="38">
        <f t="shared" si="27"/>
        <v>1.1800119345169559E-3</v>
      </c>
      <c r="BI48" s="38">
        <f t="shared" si="28"/>
        <v>0</v>
      </c>
      <c r="BJ48" s="38">
        <f t="shared" si="29"/>
        <v>0</v>
      </c>
      <c r="BK48" s="38">
        <f t="shared" si="30"/>
        <v>0</v>
      </c>
      <c r="BL48" s="41">
        <f t="shared" si="31"/>
        <v>2</v>
      </c>
      <c r="BM48" s="42">
        <f t="shared" ref="BM48:BM79" si="56">(AX48+AY48)*2+(AZ48+BA48+BC48)*1.5+BB48+BD48+BE48+BF48+(BG48+BH48)*0.5+BI48*2.5+BJ48*3  -(0.5*(BK48))</f>
        <v>3.0000000000000004</v>
      </c>
      <c r="BN48" s="38">
        <f t="shared" si="32"/>
        <v>2.3465217825882614E-3</v>
      </c>
      <c r="BO48" s="38">
        <f t="shared" si="33"/>
        <v>2.9236296553329915E-3</v>
      </c>
      <c r="BQ48" s="38">
        <f t="shared" si="34"/>
        <v>1.6644474034620507E-4</v>
      </c>
      <c r="BR48" s="38">
        <f t="shared" si="35"/>
        <v>0.60115172759138713</v>
      </c>
      <c r="BS48" s="38">
        <f t="shared" si="36"/>
        <v>1.3534719497842293E-3</v>
      </c>
      <c r="BT48" s="38">
        <f t="shared" si="37"/>
        <v>9.8690703335745761E-4</v>
      </c>
      <c r="BU48" s="38">
        <f t="shared" si="38"/>
        <v>0.65414057063326381</v>
      </c>
      <c r="BV48" s="38">
        <f t="shared" si="39"/>
        <v>1.812799548914576E-2</v>
      </c>
      <c r="BW48" s="38">
        <f t="shared" si="40"/>
        <v>1.7642679900744418E-2</v>
      </c>
      <c r="BX48" s="38">
        <f t="shared" si="41"/>
        <v>0</v>
      </c>
      <c r="BY48" s="38">
        <f t="shared" si="42"/>
        <v>1.1293965795417878E-3</v>
      </c>
      <c r="BZ48" s="38">
        <f t="shared" si="43"/>
        <v>7.6433121019108268E-4</v>
      </c>
      <c r="CA48" s="38">
        <f t="shared" si="44"/>
        <v>0</v>
      </c>
      <c r="CB48" s="38">
        <f t="shared" si="45"/>
        <v>0</v>
      </c>
      <c r="CC48" s="38">
        <f t="shared" si="46"/>
        <v>0</v>
      </c>
      <c r="CD48" s="38">
        <f t="shared" si="47"/>
        <v>1.295463525127762</v>
      </c>
      <c r="CE48" s="38">
        <f t="shared" si="48"/>
        <v>1.8970050230561994</v>
      </c>
      <c r="CF48" s="38">
        <f t="shared" si="49"/>
        <v>1.5438489476596842</v>
      </c>
      <c r="CG48" s="38">
        <f t="shared" si="50"/>
        <v>2.9286892085504483</v>
      </c>
    </row>
    <row r="49" spans="1:85" ht="15" customHeight="1" x14ac:dyDescent="0.25">
      <c r="A49" s="35" t="s">
        <v>87</v>
      </c>
      <c r="B49" s="15">
        <v>446</v>
      </c>
      <c r="C49" s="102" t="s">
        <v>99</v>
      </c>
      <c r="D49" s="103" t="s">
        <v>106</v>
      </c>
      <c r="E49" s="15">
        <v>128</v>
      </c>
      <c r="F49" s="15" t="s">
        <v>272</v>
      </c>
      <c r="G49" s="16">
        <v>0.17299999999999999</v>
      </c>
      <c r="H49" s="16">
        <v>10.81</v>
      </c>
      <c r="I49" s="16">
        <v>0.63300000000000001</v>
      </c>
      <c r="J49" s="16">
        <v>3.5999999999999997E-2</v>
      </c>
      <c r="K49" s="16">
        <v>79.150000000000006</v>
      </c>
      <c r="L49" s="16">
        <v>0.59399999999999997</v>
      </c>
      <c r="M49" s="16">
        <v>0.27500000000000002</v>
      </c>
      <c r="N49" s="16">
        <v>0</v>
      </c>
      <c r="O49" s="16">
        <v>5.2999999999999999E-2</v>
      </c>
      <c r="P49" s="16">
        <v>0</v>
      </c>
      <c r="Q49" s="16">
        <v>0</v>
      </c>
      <c r="T49" s="16">
        <f t="shared" si="0"/>
        <v>91.724000000000004</v>
      </c>
      <c r="U49" s="16"/>
      <c r="V49" s="16">
        <f t="shared" si="51"/>
        <v>38.99959359530169</v>
      </c>
      <c r="W49" s="16">
        <f t="shared" si="52"/>
        <v>44.619146637541242</v>
      </c>
      <c r="X49" s="16">
        <f t="shared" si="53"/>
        <v>96.192740232842922</v>
      </c>
      <c r="Y49" s="15">
        <v>127</v>
      </c>
      <c r="AD49" s="15">
        <v>4</v>
      </c>
      <c r="AE49" s="15">
        <v>3</v>
      </c>
      <c r="AG49" s="38">
        <f t="shared" si="1"/>
        <v>8.1491081442487557E-3</v>
      </c>
      <c r="AH49" s="38">
        <f t="shared" si="2"/>
        <v>0.38298480170276294</v>
      </c>
      <c r="AI49" s="38">
        <f t="shared" si="3"/>
        <v>3.5139678277437657E-2</v>
      </c>
      <c r="AJ49" s="38">
        <f t="shared" si="4"/>
        <v>1.3406375627110201E-3</v>
      </c>
      <c r="AK49" s="38">
        <f t="shared" si="5"/>
        <v>3.1175831738252651</v>
      </c>
      <c r="AL49" s="38">
        <f t="shared" si="6"/>
        <v>2.369677052496047E-2</v>
      </c>
      <c r="AM49" s="38">
        <f t="shared" si="7"/>
        <v>1.9311746404750207E-2</v>
      </c>
      <c r="AN49" s="38">
        <f t="shared" si="8"/>
        <v>0</v>
      </c>
      <c r="AO49" s="38">
        <f t="shared" si="9"/>
        <v>4.8400315815548666E-3</v>
      </c>
      <c r="AP49" s="38">
        <f t="shared" si="10"/>
        <v>0</v>
      </c>
      <c r="AQ49" s="38">
        <f t="shared" si="11"/>
        <v>0</v>
      </c>
      <c r="AR49" s="38">
        <f t="shared" si="12"/>
        <v>0</v>
      </c>
      <c r="AS49" s="38">
        <f t="shared" si="13"/>
        <v>0</v>
      </c>
      <c r="AT49" s="39">
        <f t="shared" si="14"/>
        <v>3.5930459480236907</v>
      </c>
      <c r="AU49" s="38">
        <f t="shared" si="15"/>
        <v>4.3288786421686411E-2</v>
      </c>
      <c r="AV49" s="38">
        <f t="shared" si="16"/>
        <v>4.8400315815548666E-3</v>
      </c>
      <c r="AW49" s="40"/>
      <c r="AX49" s="38">
        <f t="shared" si="17"/>
        <v>6.8040667406975988E-3</v>
      </c>
      <c r="AY49" s="38">
        <f t="shared" si="18"/>
        <v>0.31977169836646724</v>
      </c>
      <c r="AZ49" s="38">
        <f t="shared" si="19"/>
        <v>2.9339740253056707E-2</v>
      </c>
      <c r="BA49" s="38">
        <f t="shared" si="20"/>
        <v>1.119360215904075E-3</v>
      </c>
      <c r="BB49" s="38">
        <f t="shared" si="21"/>
        <v>1.2825836362657852</v>
      </c>
      <c r="BC49" s="38">
        <f t="shared" si="22"/>
        <v>1.3204305352118038</v>
      </c>
      <c r="BD49" s="38">
        <f t="shared" si="23"/>
        <v>1.9785528101577365E-2</v>
      </c>
      <c r="BE49" s="38">
        <f t="shared" si="24"/>
        <v>1.612426894961284E-2</v>
      </c>
      <c r="BF49" s="38">
        <f t="shared" si="25"/>
        <v>0</v>
      </c>
      <c r="BG49" s="38">
        <f t="shared" si="26"/>
        <v>4.0411658950955508E-3</v>
      </c>
      <c r="BH49" s="38">
        <f t="shared" si="27"/>
        <v>0</v>
      </c>
      <c r="BI49" s="38">
        <f t="shared" si="28"/>
        <v>0</v>
      </c>
      <c r="BJ49" s="38">
        <f t="shared" si="29"/>
        <v>0</v>
      </c>
      <c r="BK49" s="38">
        <f t="shared" si="30"/>
        <v>0</v>
      </c>
      <c r="BL49" s="41">
        <f t="shared" si="31"/>
        <v>3</v>
      </c>
      <c r="BM49" s="42">
        <f t="shared" si="56"/>
        <v>3.9999999999999996</v>
      </c>
      <c r="BN49" s="38">
        <f t="shared" si="32"/>
        <v>3.6143806993754309E-2</v>
      </c>
      <c r="BO49" s="38">
        <f t="shared" si="33"/>
        <v>4.0411658950955508E-3</v>
      </c>
      <c r="BQ49" s="38">
        <f t="shared" si="34"/>
        <v>2.8794940079893473E-3</v>
      </c>
      <c r="BR49" s="38">
        <f t="shared" si="35"/>
        <v>0.13532799198798198</v>
      </c>
      <c r="BS49" s="38">
        <f t="shared" si="36"/>
        <v>1.2416633974107494E-2</v>
      </c>
      <c r="BT49" s="38">
        <f t="shared" si="37"/>
        <v>4.7371537601157966E-4</v>
      </c>
      <c r="BU49" s="38">
        <f t="shared" si="38"/>
        <v>1.1016005567153795</v>
      </c>
      <c r="BV49" s="38">
        <f t="shared" si="39"/>
        <v>8.3732731886100933E-3</v>
      </c>
      <c r="BW49" s="38">
        <f t="shared" si="40"/>
        <v>6.8238213399503733E-3</v>
      </c>
      <c r="BX49" s="38">
        <f t="shared" si="41"/>
        <v>0</v>
      </c>
      <c r="BY49" s="38">
        <f t="shared" si="42"/>
        <v>1.7102291061632784E-3</v>
      </c>
      <c r="BZ49" s="38">
        <f t="shared" si="43"/>
        <v>0</v>
      </c>
      <c r="CA49" s="38">
        <f t="shared" si="44"/>
        <v>0</v>
      </c>
      <c r="CB49" s="38">
        <f t="shared" si="45"/>
        <v>0</v>
      </c>
      <c r="CC49" s="38">
        <f t="shared" si="46"/>
        <v>0</v>
      </c>
      <c r="CD49" s="38">
        <f t="shared" si="47"/>
        <v>1.2696057156961935</v>
      </c>
      <c r="CE49" s="38">
        <f t="shared" si="48"/>
        <v>1.413403261814143</v>
      </c>
      <c r="CF49" s="38">
        <f t="shared" si="49"/>
        <v>2.362938322434172</v>
      </c>
      <c r="CG49" s="38">
        <f t="shared" si="50"/>
        <v>3.3397847323940977</v>
      </c>
    </row>
    <row r="50" spans="1:85" ht="15" customHeight="1" x14ac:dyDescent="0.25">
      <c r="A50" s="35" t="s">
        <v>87</v>
      </c>
      <c r="B50" s="15">
        <v>447</v>
      </c>
      <c r="C50" s="102" t="s">
        <v>99</v>
      </c>
      <c r="D50" s="103" t="s">
        <v>106</v>
      </c>
      <c r="E50" s="15">
        <v>129</v>
      </c>
      <c r="F50" s="15" t="s">
        <v>279</v>
      </c>
      <c r="G50" s="16">
        <v>3.9E-2</v>
      </c>
      <c r="H50" s="16">
        <v>49.32</v>
      </c>
      <c r="I50" s="16">
        <v>3.6999999999999998E-2</v>
      </c>
      <c r="J50" s="16">
        <v>1.2999999999999999E-2</v>
      </c>
      <c r="K50" s="16">
        <v>46.45</v>
      </c>
      <c r="L50" s="16">
        <v>1.32</v>
      </c>
      <c r="M50" s="16">
        <v>0.68799999999999994</v>
      </c>
      <c r="N50" s="16">
        <v>1.4999999999999999E-2</v>
      </c>
      <c r="O50" s="16">
        <v>0.01</v>
      </c>
      <c r="P50" s="16">
        <v>0</v>
      </c>
      <c r="Q50" s="16">
        <v>0</v>
      </c>
      <c r="T50" s="16">
        <f t="shared" si="0"/>
        <v>97.89200000000001</v>
      </c>
      <c r="U50" s="16"/>
      <c r="V50" s="16">
        <f t="shared" si="51"/>
        <v>41.779567570538958</v>
      </c>
      <c r="W50" s="16">
        <f t="shared" si="52"/>
        <v>5.1902515588600604</v>
      </c>
      <c r="X50" s="16">
        <f t="shared" si="53"/>
        <v>98.411819129399021</v>
      </c>
      <c r="Y50" s="15">
        <v>130</v>
      </c>
      <c r="AD50" s="15">
        <v>3</v>
      </c>
      <c r="AE50" s="15">
        <v>2</v>
      </c>
      <c r="AG50" s="38">
        <f t="shared" si="1"/>
        <v>1.0142253106904097E-3</v>
      </c>
      <c r="AH50" s="38">
        <f t="shared" si="2"/>
        <v>0.96468332844809546</v>
      </c>
      <c r="AI50" s="38">
        <f t="shared" si="3"/>
        <v>1.133970232998538E-3</v>
      </c>
      <c r="AJ50" s="38">
        <f t="shared" si="4"/>
        <v>2.6727484995188195E-4</v>
      </c>
      <c r="AK50" s="38">
        <f t="shared" si="5"/>
        <v>1.0100868269538381</v>
      </c>
      <c r="AL50" s="38">
        <f t="shared" si="6"/>
        <v>2.9072508656462794E-2</v>
      </c>
      <c r="AM50" s="38">
        <f t="shared" si="7"/>
        <v>2.6673693317045562E-2</v>
      </c>
      <c r="AN50" s="38">
        <f t="shared" si="8"/>
        <v>4.1791024269093475E-4</v>
      </c>
      <c r="AO50" s="38">
        <f t="shared" si="9"/>
        <v>5.0417137593003383E-4</v>
      </c>
      <c r="AP50" s="38">
        <f t="shared" si="10"/>
        <v>0</v>
      </c>
      <c r="AQ50" s="38">
        <f t="shared" si="11"/>
        <v>0</v>
      </c>
      <c r="AR50" s="38">
        <f t="shared" si="12"/>
        <v>0</v>
      </c>
      <c r="AS50" s="38">
        <f t="shared" si="13"/>
        <v>0</v>
      </c>
      <c r="AT50" s="39">
        <f t="shared" si="14"/>
        <v>2.0338539093877044</v>
      </c>
      <c r="AU50" s="38">
        <f t="shared" si="15"/>
        <v>2.1481955436889475E-3</v>
      </c>
      <c r="AV50" s="38">
        <f t="shared" si="16"/>
        <v>9.2208161862096863E-4</v>
      </c>
      <c r="AW50" s="40"/>
      <c r="AX50" s="38">
        <f t="shared" si="17"/>
        <v>9.9734332540702937E-4</v>
      </c>
      <c r="AY50" s="38">
        <f t="shared" si="18"/>
        <v>0.94862597947215943</v>
      </c>
      <c r="AZ50" s="38">
        <f t="shared" si="19"/>
        <v>1.1150950692814729E-3</v>
      </c>
      <c r="BA50" s="38">
        <f t="shared" si="20"/>
        <v>2.6282600605502255E-4</v>
      </c>
      <c r="BB50" s="38">
        <f t="shared" si="21"/>
        <v>0.89340251489767863</v>
      </c>
      <c r="BC50" s="38">
        <f t="shared" si="22"/>
        <v>9.9871212671011067E-2</v>
      </c>
      <c r="BD50" s="38">
        <f t="shared" si="23"/>
        <v>2.8588590873977904E-2</v>
      </c>
      <c r="BE50" s="38">
        <f t="shared" si="24"/>
        <v>2.6229704300714241E-2</v>
      </c>
      <c r="BF50" s="38">
        <f t="shared" si="25"/>
        <v>4.1095404223673825E-4</v>
      </c>
      <c r="BG50" s="38">
        <f t="shared" si="26"/>
        <v>4.9577934147867662E-4</v>
      </c>
      <c r="BH50" s="38">
        <f t="shared" si="27"/>
        <v>0</v>
      </c>
      <c r="BI50" s="38">
        <f t="shared" si="28"/>
        <v>0</v>
      </c>
      <c r="BJ50" s="38">
        <f t="shared" si="29"/>
        <v>0</v>
      </c>
      <c r="BK50" s="38">
        <f t="shared" si="30"/>
        <v>0</v>
      </c>
      <c r="BL50" s="41">
        <f t="shared" si="31"/>
        <v>2</v>
      </c>
      <c r="BM50" s="42">
        <f t="shared" si="56"/>
        <v>3.0000000000000009</v>
      </c>
      <c r="BN50" s="38">
        <f t="shared" si="32"/>
        <v>2.1124383946885023E-3</v>
      </c>
      <c r="BO50" s="38">
        <f t="shared" si="33"/>
        <v>9.0673338371541486E-4</v>
      </c>
      <c r="BQ50" s="38">
        <f t="shared" si="34"/>
        <v>6.491344873501998E-4</v>
      </c>
      <c r="BR50" s="38">
        <f t="shared" si="35"/>
        <v>0.61742613920881328</v>
      </c>
      <c r="BS50" s="38">
        <f t="shared" si="36"/>
        <v>7.2577481365241269E-4</v>
      </c>
      <c r="BT50" s="38">
        <f t="shared" si="37"/>
        <v>1.7106388578195931E-4</v>
      </c>
      <c r="BU50" s="38">
        <f t="shared" si="38"/>
        <v>0.64648573416840649</v>
      </c>
      <c r="BV50" s="38">
        <f t="shared" si="39"/>
        <v>1.8607273752466874E-2</v>
      </c>
      <c r="BW50" s="38">
        <f t="shared" si="40"/>
        <v>1.7071960297766749E-2</v>
      </c>
      <c r="BX50" s="38">
        <f t="shared" si="41"/>
        <v>2.674750356633381E-4</v>
      </c>
      <c r="BY50" s="38">
        <f t="shared" si="42"/>
        <v>3.2268473701193938E-4</v>
      </c>
      <c r="BZ50" s="38">
        <f t="shared" si="43"/>
        <v>0</v>
      </c>
      <c r="CA50" s="38">
        <f t="shared" si="44"/>
        <v>0</v>
      </c>
      <c r="CB50" s="38">
        <f t="shared" si="45"/>
        <v>0</v>
      </c>
      <c r="CC50" s="38">
        <f t="shared" si="46"/>
        <v>0</v>
      </c>
      <c r="CD50" s="38">
        <f t="shared" si="47"/>
        <v>1.3017272403869131</v>
      </c>
      <c r="CE50" s="38">
        <f t="shared" si="48"/>
        <v>1.9200895910642879</v>
      </c>
      <c r="CF50" s="38">
        <f t="shared" si="49"/>
        <v>1.5364201792424186</v>
      </c>
      <c r="CG50" s="38">
        <f t="shared" si="50"/>
        <v>2.9500643936644955</v>
      </c>
    </row>
    <row r="51" spans="1:85" ht="15" customHeight="1" x14ac:dyDescent="0.25">
      <c r="A51" s="35" t="s">
        <v>87</v>
      </c>
      <c r="B51" s="15">
        <v>448</v>
      </c>
      <c r="C51" s="102" t="s">
        <v>99</v>
      </c>
      <c r="D51" s="103" t="s">
        <v>106</v>
      </c>
      <c r="E51" s="15">
        <v>130</v>
      </c>
      <c r="F51" s="15" t="s">
        <v>272</v>
      </c>
      <c r="G51" s="16">
        <v>0.82699999999999996</v>
      </c>
      <c r="H51" s="16">
        <v>5.62</v>
      </c>
      <c r="I51" s="16">
        <v>0.59399999999999997</v>
      </c>
      <c r="J51" s="16">
        <v>4.7E-2</v>
      </c>
      <c r="K51" s="16">
        <v>82.53</v>
      </c>
      <c r="L51" s="16">
        <v>0.441</v>
      </c>
      <c r="M51" s="16">
        <v>0.23499999999999999</v>
      </c>
      <c r="N51" s="16">
        <v>2.3E-2</v>
      </c>
      <c r="O51" s="16">
        <v>0.01</v>
      </c>
      <c r="P51" s="16">
        <v>7.0000000000000001E-3</v>
      </c>
      <c r="Q51" s="16">
        <v>0</v>
      </c>
      <c r="T51" s="16">
        <f t="shared" si="0"/>
        <v>90.334000000000003</v>
      </c>
      <c r="U51" s="16"/>
      <c r="V51" s="16">
        <f t="shared" si="51"/>
        <v>35.209440967223578</v>
      </c>
      <c r="W51" s="16">
        <f t="shared" si="52"/>
        <v>52.587337253124446</v>
      </c>
      <c r="X51" s="16">
        <f t="shared" si="53"/>
        <v>95.600778220348019</v>
      </c>
      <c r="Y51" s="15">
        <v>129</v>
      </c>
      <c r="AD51" s="15">
        <v>4</v>
      </c>
      <c r="AE51" s="15">
        <v>3</v>
      </c>
      <c r="AG51" s="38">
        <f t="shared" si="1"/>
        <v>4.084616121602342E-2</v>
      </c>
      <c r="AH51" s="38">
        <f t="shared" si="2"/>
        <v>0.20877280243408977</v>
      </c>
      <c r="AI51" s="38">
        <f t="shared" si="3"/>
        <v>3.4575006897933754E-2</v>
      </c>
      <c r="AJ51" s="38">
        <f t="shared" si="4"/>
        <v>1.8352215496160178E-3</v>
      </c>
      <c r="AK51" s="38">
        <f t="shared" si="5"/>
        <v>3.4084798759392672</v>
      </c>
      <c r="AL51" s="38">
        <f t="shared" si="6"/>
        <v>1.8446886128947314E-2</v>
      </c>
      <c r="AM51" s="38">
        <f t="shared" si="7"/>
        <v>1.7303680107080555E-2</v>
      </c>
      <c r="AN51" s="38">
        <f t="shared" si="8"/>
        <v>1.2170137714551375E-3</v>
      </c>
      <c r="AO51" s="38">
        <f t="shared" si="9"/>
        <v>9.575337388386734E-4</v>
      </c>
      <c r="AP51" s="38">
        <f t="shared" si="10"/>
        <v>4.4101442455684372E-4</v>
      </c>
      <c r="AQ51" s="38">
        <f t="shared" si="11"/>
        <v>0</v>
      </c>
      <c r="AR51" s="38">
        <f t="shared" si="12"/>
        <v>0</v>
      </c>
      <c r="AS51" s="38">
        <f t="shared" si="13"/>
        <v>0</v>
      </c>
      <c r="AT51" s="39">
        <f t="shared" si="14"/>
        <v>3.7328751962078086</v>
      </c>
      <c r="AU51" s="38">
        <f t="shared" si="15"/>
        <v>7.5421168113957174E-2</v>
      </c>
      <c r="AV51" s="38">
        <f t="shared" si="16"/>
        <v>2.6155619348506545E-3</v>
      </c>
      <c r="AW51" s="40"/>
      <c r="AX51" s="38">
        <f t="shared" si="17"/>
        <v>3.2826836475153498E-2</v>
      </c>
      <c r="AY51" s="38">
        <f t="shared" si="18"/>
        <v>0.16778444881804247</v>
      </c>
      <c r="AZ51" s="38">
        <f t="shared" si="19"/>
        <v>2.7786897563351298E-2</v>
      </c>
      <c r="BA51" s="38">
        <f t="shared" si="20"/>
        <v>1.4749125967139765E-3</v>
      </c>
      <c r="BB51" s="38">
        <f t="shared" si="21"/>
        <v>1.1686536058283141</v>
      </c>
      <c r="BC51" s="38">
        <f t="shared" si="22"/>
        <v>1.5706395905276009</v>
      </c>
      <c r="BD51" s="38">
        <f t="shared" si="23"/>
        <v>1.4825209919437428E-2</v>
      </c>
      <c r="BE51" s="38">
        <f t="shared" si="24"/>
        <v>1.3906449477329857E-2</v>
      </c>
      <c r="BF51" s="38">
        <f t="shared" si="25"/>
        <v>9.7807751999704406E-4</v>
      </c>
      <c r="BG51" s="38">
        <f t="shared" si="26"/>
        <v>7.6954118890293138E-4</v>
      </c>
      <c r="BH51" s="38">
        <f t="shared" si="27"/>
        <v>3.5443008515650292E-4</v>
      </c>
      <c r="BI51" s="38">
        <f t="shared" si="28"/>
        <v>0</v>
      </c>
      <c r="BJ51" s="38">
        <f t="shared" si="29"/>
        <v>0</v>
      </c>
      <c r="BK51" s="38">
        <f t="shared" si="30"/>
        <v>0</v>
      </c>
      <c r="BL51" s="41">
        <f t="shared" si="31"/>
        <v>3.0000000000000004</v>
      </c>
      <c r="BM51" s="42">
        <f t="shared" si="56"/>
        <v>3.9999999999999996</v>
      </c>
      <c r="BN51" s="38">
        <f t="shared" si="32"/>
        <v>6.0613734038504799E-2</v>
      </c>
      <c r="BO51" s="38">
        <f t="shared" si="33"/>
        <v>2.1020487940564781E-3</v>
      </c>
      <c r="BQ51" s="38">
        <f t="shared" si="34"/>
        <v>1.3764980026631159E-2</v>
      </c>
      <c r="BR51" s="38">
        <f t="shared" si="35"/>
        <v>7.0355533299949924E-2</v>
      </c>
      <c r="BS51" s="38">
        <f t="shared" si="36"/>
        <v>1.1651628089446841E-2</v>
      </c>
      <c r="BT51" s="38">
        <f t="shared" si="37"/>
        <v>6.1846174090400682E-4</v>
      </c>
      <c r="BU51" s="38">
        <f t="shared" si="38"/>
        <v>1.1486430062630482</v>
      </c>
      <c r="BV51" s="38">
        <f t="shared" si="39"/>
        <v>6.2165210036650691E-3</v>
      </c>
      <c r="BW51" s="38">
        <f t="shared" si="40"/>
        <v>5.8312655086848637E-3</v>
      </c>
      <c r="BX51" s="38">
        <f t="shared" si="41"/>
        <v>4.1012838801711838E-4</v>
      </c>
      <c r="BY51" s="38">
        <f t="shared" si="42"/>
        <v>3.2268473701193938E-4</v>
      </c>
      <c r="BZ51" s="38">
        <f t="shared" si="43"/>
        <v>1.4861995753715499E-4</v>
      </c>
      <c r="CA51" s="38">
        <f t="shared" si="44"/>
        <v>0</v>
      </c>
      <c r="CB51" s="38">
        <f t="shared" si="45"/>
        <v>0</v>
      </c>
      <c r="CC51" s="38">
        <f t="shared" si="46"/>
        <v>0</v>
      </c>
      <c r="CD51" s="38">
        <f t="shared" si="47"/>
        <v>1.2579628290148963</v>
      </c>
      <c r="CE51" s="38">
        <f t="shared" si="48"/>
        <v>1.3479827349093785</v>
      </c>
      <c r="CF51" s="38">
        <f t="shared" si="49"/>
        <v>2.3848081444101838</v>
      </c>
      <c r="CG51" s="38">
        <f t="shared" si="50"/>
        <v>3.2146802047361995</v>
      </c>
    </row>
    <row r="52" spans="1:85" ht="15" customHeight="1" x14ac:dyDescent="0.25">
      <c r="A52" s="35" t="s">
        <v>85</v>
      </c>
      <c r="B52" s="15">
        <v>1314</v>
      </c>
      <c r="C52" s="102" t="s">
        <v>98</v>
      </c>
      <c r="D52" s="103" t="s">
        <v>105</v>
      </c>
      <c r="E52" s="15">
        <v>321</v>
      </c>
      <c r="F52" s="15" t="s">
        <v>272</v>
      </c>
      <c r="G52" s="16">
        <v>8.4000000000000005E-2</v>
      </c>
      <c r="H52" s="16">
        <v>16.11</v>
      </c>
      <c r="I52" s="16">
        <v>0.61</v>
      </c>
      <c r="J52" s="16">
        <v>0</v>
      </c>
      <c r="K52" s="16">
        <v>76.13</v>
      </c>
      <c r="L52" s="16">
        <v>0.874</v>
      </c>
      <c r="M52" s="16">
        <v>0.46800000000000003</v>
      </c>
      <c r="N52" s="16">
        <v>0.01</v>
      </c>
      <c r="O52" s="16">
        <v>2.4E-2</v>
      </c>
      <c r="P52" s="16">
        <v>0</v>
      </c>
      <c r="Q52" s="16">
        <v>0</v>
      </c>
      <c r="T52" s="16">
        <f t="shared" si="0"/>
        <v>94.31</v>
      </c>
      <c r="U52" s="16"/>
      <c r="V52" s="16">
        <f t="shared" si="51"/>
        <v>43.870207311553528</v>
      </c>
      <c r="W52" s="16">
        <f t="shared" si="52"/>
        <v>35.850307614670555</v>
      </c>
      <c r="X52" s="16">
        <f t="shared" si="53"/>
        <v>97.900514926224076</v>
      </c>
      <c r="AD52" s="15">
        <v>4</v>
      </c>
      <c r="AE52" s="15">
        <v>3</v>
      </c>
      <c r="AG52" s="38">
        <f t="shared" si="1"/>
        <v>3.708172969262151E-3</v>
      </c>
      <c r="AH52" s="38">
        <f t="shared" si="2"/>
        <v>0.53489446750655456</v>
      </c>
      <c r="AI52" s="38">
        <f t="shared" si="3"/>
        <v>3.1735155129904984E-2</v>
      </c>
      <c r="AJ52" s="38">
        <f t="shared" si="4"/>
        <v>0</v>
      </c>
      <c r="AK52" s="38">
        <f t="shared" si="5"/>
        <v>2.8102158507551525</v>
      </c>
      <c r="AL52" s="38">
        <f t="shared" si="6"/>
        <v>3.2676149187461909E-2</v>
      </c>
      <c r="AM52" s="38">
        <f t="shared" si="7"/>
        <v>3.0800050505982033E-2</v>
      </c>
      <c r="AN52" s="38">
        <f t="shared" si="8"/>
        <v>4.7293626450578687E-4</v>
      </c>
      <c r="AO52" s="38">
        <f t="shared" si="9"/>
        <v>2.0539992808119674E-3</v>
      </c>
      <c r="AP52" s="38">
        <f t="shared" si="10"/>
        <v>0</v>
      </c>
      <c r="AQ52" s="38">
        <f t="shared" si="11"/>
        <v>0</v>
      </c>
      <c r="AR52" s="38">
        <f t="shared" si="12"/>
        <v>0</v>
      </c>
      <c r="AS52" s="38">
        <f t="shared" si="13"/>
        <v>0</v>
      </c>
      <c r="AT52" s="39">
        <f t="shared" si="14"/>
        <v>3.4465567815996359</v>
      </c>
      <c r="AU52" s="38">
        <f t="shared" si="15"/>
        <v>3.5443328099167136E-2</v>
      </c>
      <c r="AV52" s="38">
        <f t="shared" si="16"/>
        <v>2.5269355453177542E-3</v>
      </c>
      <c r="AW52" s="40"/>
      <c r="AX52" s="38">
        <f t="shared" si="17"/>
        <v>3.2277196090828002E-3</v>
      </c>
      <c r="AY52" s="38">
        <f t="shared" si="18"/>
        <v>0.46559029901572913</v>
      </c>
      <c r="AZ52" s="38">
        <f t="shared" si="19"/>
        <v>2.762335612690171E-2</v>
      </c>
      <c r="BA52" s="38">
        <f t="shared" si="20"/>
        <v>0</v>
      </c>
      <c r="BB52" s="38">
        <f t="shared" si="21"/>
        <v>1.4095787788569543</v>
      </c>
      <c r="BC52" s="38">
        <f t="shared" si="22"/>
        <v>1.0365284773109176</v>
      </c>
      <c r="BD52" s="38">
        <f t="shared" si="23"/>
        <v>2.8442429292253869E-2</v>
      </c>
      <c r="BE52" s="38">
        <f t="shared" si="24"/>
        <v>2.6809409324473916E-2</v>
      </c>
      <c r="BF52" s="38">
        <f t="shared" si="25"/>
        <v>4.1165977624162473E-4</v>
      </c>
      <c r="BG52" s="38">
        <f t="shared" si="26"/>
        <v>1.7878706874447487E-3</v>
      </c>
      <c r="BH52" s="38">
        <f t="shared" si="27"/>
        <v>0</v>
      </c>
      <c r="BI52" s="38">
        <f t="shared" si="28"/>
        <v>0</v>
      </c>
      <c r="BJ52" s="38">
        <f t="shared" si="29"/>
        <v>0</v>
      </c>
      <c r="BK52" s="38">
        <f t="shared" si="30"/>
        <v>0</v>
      </c>
      <c r="BL52" s="41">
        <f t="shared" si="31"/>
        <v>2.9999999999999996</v>
      </c>
      <c r="BM52" s="42">
        <f t="shared" si="56"/>
        <v>3.9999999999999991</v>
      </c>
      <c r="BN52" s="38">
        <f t="shared" si="32"/>
        <v>3.0851075735984508E-2</v>
      </c>
      <c r="BO52" s="38">
        <f t="shared" si="33"/>
        <v>2.1995304636863735E-3</v>
      </c>
      <c r="BQ52" s="38">
        <f t="shared" si="34"/>
        <v>1.3981358189081225E-3</v>
      </c>
      <c r="BR52" s="38">
        <f t="shared" si="35"/>
        <v>0.20167751627441163</v>
      </c>
      <c r="BS52" s="38">
        <f t="shared" si="36"/>
        <v>1.196547665751275E-2</v>
      </c>
      <c r="BT52" s="38">
        <f t="shared" si="37"/>
        <v>0</v>
      </c>
      <c r="BU52" s="38">
        <f t="shared" si="38"/>
        <v>1.0595685455810717</v>
      </c>
      <c r="BV52" s="38">
        <f t="shared" si="39"/>
        <v>1.2320270651254581E-2</v>
      </c>
      <c r="BW52" s="38">
        <f t="shared" si="40"/>
        <v>1.1612903225806452E-2</v>
      </c>
      <c r="BX52" s="38">
        <f t="shared" si="41"/>
        <v>1.783166904422254E-4</v>
      </c>
      <c r="BY52" s="38">
        <f t="shared" si="42"/>
        <v>7.7444336882865445E-4</v>
      </c>
      <c r="BZ52" s="38">
        <f t="shared" si="43"/>
        <v>0</v>
      </c>
      <c r="CA52" s="38">
        <f t="shared" si="44"/>
        <v>0</v>
      </c>
      <c r="CB52" s="38">
        <f t="shared" si="45"/>
        <v>0</v>
      </c>
      <c r="CC52" s="38">
        <f t="shared" si="46"/>
        <v>0</v>
      </c>
      <c r="CD52" s="38">
        <f t="shared" si="47"/>
        <v>1.2994956082682363</v>
      </c>
      <c r="CE52" s="38">
        <f t="shared" si="48"/>
        <v>1.5081667770058982</v>
      </c>
      <c r="CF52" s="38">
        <f t="shared" si="49"/>
        <v>2.3085880251630315</v>
      </c>
      <c r="CG52" s="38">
        <f t="shared" si="50"/>
        <v>3.4817357613445408</v>
      </c>
    </row>
    <row r="53" spans="1:85" ht="15" customHeight="1" x14ac:dyDescent="0.25">
      <c r="A53" s="35" t="s">
        <v>85</v>
      </c>
      <c r="B53" s="15">
        <v>1315</v>
      </c>
      <c r="C53" s="102" t="s">
        <v>98</v>
      </c>
      <c r="D53" s="103" t="s">
        <v>105</v>
      </c>
      <c r="E53" s="15">
        <v>322</v>
      </c>
      <c r="F53" s="15" t="s">
        <v>272</v>
      </c>
      <c r="G53" s="16">
        <v>0.115</v>
      </c>
      <c r="H53" s="16">
        <v>14.69</v>
      </c>
      <c r="I53" s="16">
        <v>0.59299999999999997</v>
      </c>
      <c r="J53" s="16">
        <v>1.4E-2</v>
      </c>
      <c r="K53" s="16">
        <v>75.16</v>
      </c>
      <c r="L53" s="16">
        <v>0.82499999999999996</v>
      </c>
      <c r="M53" s="16">
        <v>0.45300000000000001</v>
      </c>
      <c r="N53" s="16">
        <v>0</v>
      </c>
      <c r="O53" s="16">
        <v>0.01</v>
      </c>
      <c r="P53" s="16">
        <v>0</v>
      </c>
      <c r="Q53" s="16">
        <v>0</v>
      </c>
      <c r="T53" s="16">
        <f t="shared" si="0"/>
        <v>91.860000000000014</v>
      </c>
      <c r="U53" s="16"/>
      <c r="V53" s="16">
        <f t="shared" si="51"/>
        <v>42.003279853526664</v>
      </c>
      <c r="W53" s="16">
        <f t="shared" si="52"/>
        <v>36.84706309877582</v>
      </c>
      <c r="X53" s="16">
        <f t="shared" si="53"/>
        <v>95.550342952302486</v>
      </c>
      <c r="AD53" s="15">
        <v>4</v>
      </c>
      <c r="AE53" s="15">
        <v>3</v>
      </c>
      <c r="AG53" s="38">
        <f t="shared" si="1"/>
        <v>5.24970805612164E-3</v>
      </c>
      <c r="AH53" s="38">
        <f t="shared" si="2"/>
        <v>0.50437200774783564</v>
      </c>
      <c r="AI53" s="38">
        <f t="shared" si="3"/>
        <v>3.1902307603491623E-2</v>
      </c>
      <c r="AJ53" s="38">
        <f t="shared" si="4"/>
        <v>5.0525457225904832E-4</v>
      </c>
      <c r="AK53" s="38">
        <f t="shared" si="5"/>
        <v>2.8689781119465065</v>
      </c>
      <c r="AL53" s="38">
        <f t="shared" si="6"/>
        <v>3.1895543019787108E-2</v>
      </c>
      <c r="AM53" s="38">
        <f t="shared" si="7"/>
        <v>3.0829067727983609E-2</v>
      </c>
      <c r="AN53" s="38">
        <f t="shared" si="8"/>
        <v>0</v>
      </c>
      <c r="AO53" s="38">
        <f t="shared" si="9"/>
        <v>8.8500486836367459E-4</v>
      </c>
      <c r="AP53" s="38">
        <f t="shared" si="10"/>
        <v>0</v>
      </c>
      <c r="AQ53" s="38">
        <f t="shared" si="11"/>
        <v>0</v>
      </c>
      <c r="AR53" s="38">
        <f t="shared" si="12"/>
        <v>0</v>
      </c>
      <c r="AS53" s="38">
        <f t="shared" si="13"/>
        <v>0</v>
      </c>
      <c r="AT53" s="39">
        <f t="shared" si="14"/>
        <v>3.4746170055423486</v>
      </c>
      <c r="AU53" s="38">
        <f t="shared" si="15"/>
        <v>3.7152015659613263E-2</v>
      </c>
      <c r="AV53" s="38">
        <f t="shared" si="16"/>
        <v>8.8500486836367459E-4</v>
      </c>
      <c r="AW53" s="40"/>
      <c r="AX53" s="38">
        <f t="shared" si="17"/>
        <v>4.5326216222517628E-3</v>
      </c>
      <c r="AY53" s="38">
        <f t="shared" si="18"/>
        <v>0.4354770672076782</v>
      </c>
      <c r="AZ53" s="38">
        <f t="shared" si="19"/>
        <v>2.754459632754146E-2</v>
      </c>
      <c r="BA53" s="38">
        <f t="shared" si="20"/>
        <v>4.3623907738877578E-4</v>
      </c>
      <c r="BB53" s="38">
        <f t="shared" si="21"/>
        <v>1.3843247425049499</v>
      </c>
      <c r="BC53" s="38">
        <f t="shared" si="22"/>
        <v>1.0927639041316812</v>
      </c>
      <c r="BD53" s="38">
        <f t="shared" si="23"/>
        <v>2.7538755755449288E-2</v>
      </c>
      <c r="BE53" s="38">
        <f t="shared" si="24"/>
        <v>2.6617956176587187E-2</v>
      </c>
      <c r="BF53" s="38">
        <f t="shared" si="25"/>
        <v>0</v>
      </c>
      <c r="BG53" s="38">
        <f t="shared" si="26"/>
        <v>7.6411719647259538E-4</v>
      </c>
      <c r="BH53" s="38">
        <f t="shared" si="27"/>
        <v>0</v>
      </c>
      <c r="BI53" s="38">
        <f t="shared" si="28"/>
        <v>0</v>
      </c>
      <c r="BJ53" s="38">
        <f t="shared" si="29"/>
        <v>0</v>
      </c>
      <c r="BK53" s="38">
        <f t="shared" si="30"/>
        <v>0</v>
      </c>
      <c r="BL53" s="41">
        <f t="shared" si="31"/>
        <v>3.0000000000000004</v>
      </c>
      <c r="BM53" s="42">
        <f t="shared" si="56"/>
        <v>3.9999999999999996</v>
      </c>
      <c r="BN53" s="38">
        <f t="shared" si="32"/>
        <v>3.2077217949793221E-2</v>
      </c>
      <c r="BO53" s="38">
        <f t="shared" si="33"/>
        <v>7.6411719647259538E-4</v>
      </c>
      <c r="BQ53" s="38">
        <f t="shared" si="34"/>
        <v>1.9141145139813583E-3</v>
      </c>
      <c r="BR53" s="38">
        <f t="shared" si="35"/>
        <v>0.18390085127691538</v>
      </c>
      <c r="BS53" s="38">
        <f t="shared" si="36"/>
        <v>1.1632012553942722E-2</v>
      </c>
      <c r="BT53" s="38">
        <f t="shared" si="37"/>
        <v>1.8422264622672542E-4</v>
      </c>
      <c r="BU53" s="38">
        <f t="shared" si="38"/>
        <v>1.0460681976339596</v>
      </c>
      <c r="BV53" s="38">
        <f t="shared" si="39"/>
        <v>1.1629546095291796E-2</v>
      </c>
      <c r="BW53" s="38">
        <f t="shared" si="40"/>
        <v>1.1240694789081887E-2</v>
      </c>
      <c r="BX53" s="38">
        <f t="shared" si="41"/>
        <v>0</v>
      </c>
      <c r="BY53" s="38">
        <f t="shared" si="42"/>
        <v>3.2268473701193938E-4</v>
      </c>
      <c r="BZ53" s="38">
        <f t="shared" si="43"/>
        <v>0</v>
      </c>
      <c r="CA53" s="38">
        <f t="shared" si="44"/>
        <v>0</v>
      </c>
      <c r="CB53" s="38">
        <f t="shared" si="45"/>
        <v>0</v>
      </c>
      <c r="CC53" s="38">
        <f t="shared" si="46"/>
        <v>0</v>
      </c>
      <c r="CD53" s="38">
        <f t="shared" si="47"/>
        <v>1.2668923242464114</v>
      </c>
      <c r="CE53" s="38">
        <f t="shared" si="48"/>
        <v>1.4584540652688871</v>
      </c>
      <c r="CF53" s="38">
        <f t="shared" si="49"/>
        <v>2.3679991918685728</v>
      </c>
      <c r="CG53" s="38">
        <f t="shared" si="50"/>
        <v>3.4536180479341594</v>
      </c>
    </row>
    <row r="54" spans="1:85" ht="15" customHeight="1" x14ac:dyDescent="0.25">
      <c r="A54" s="35" t="s">
        <v>85</v>
      </c>
      <c r="B54" s="15">
        <v>1316</v>
      </c>
      <c r="C54" s="102" t="s">
        <v>98</v>
      </c>
      <c r="D54" s="103" t="s">
        <v>105</v>
      </c>
      <c r="E54" s="15">
        <v>323</v>
      </c>
      <c r="F54" s="15" t="s">
        <v>272</v>
      </c>
      <c r="G54" s="16">
        <v>9.1999999999999998E-2</v>
      </c>
      <c r="H54" s="16">
        <v>17.27</v>
      </c>
      <c r="I54" s="16">
        <v>0.64100000000000001</v>
      </c>
      <c r="J54" s="16">
        <v>3.5000000000000003E-2</v>
      </c>
      <c r="K54" s="16">
        <v>72.319999999999993</v>
      </c>
      <c r="L54" s="16">
        <v>1.0369999999999999</v>
      </c>
      <c r="M54" s="16">
        <v>0.53300000000000003</v>
      </c>
      <c r="N54" s="16">
        <v>0</v>
      </c>
      <c r="O54" s="16">
        <v>1.2999999999999999E-2</v>
      </c>
      <c r="P54" s="16">
        <v>0</v>
      </c>
      <c r="Q54" s="16">
        <v>0</v>
      </c>
      <c r="T54" s="16">
        <f t="shared" si="0"/>
        <v>91.941000000000003</v>
      </c>
      <c r="U54" s="16"/>
      <c r="V54" s="16">
        <f t="shared" si="51"/>
        <v>43.893472639236805</v>
      </c>
      <c r="W54" s="16">
        <f t="shared" si="52"/>
        <v>31.590399856016127</v>
      </c>
      <c r="X54" s="16">
        <f t="shared" si="53"/>
        <v>95.104872495252934</v>
      </c>
      <c r="AD54" s="15">
        <v>4</v>
      </c>
      <c r="AE54" s="15">
        <v>3</v>
      </c>
      <c r="AG54" s="38">
        <f t="shared" si="1"/>
        <v>4.1119336983684992E-3</v>
      </c>
      <c r="AH54" s="38">
        <f t="shared" si="2"/>
        <v>0.58055381249144167</v>
      </c>
      <c r="AI54" s="38">
        <f t="shared" si="3"/>
        <v>3.3763417452561284E-2</v>
      </c>
      <c r="AJ54" s="38">
        <f t="shared" si="4"/>
        <v>1.2367195468994355E-3</v>
      </c>
      <c r="AK54" s="38">
        <f t="shared" si="5"/>
        <v>2.7028369349741115</v>
      </c>
      <c r="AL54" s="38">
        <f t="shared" si="6"/>
        <v>3.9253263739734846E-2</v>
      </c>
      <c r="AM54" s="38">
        <f t="shared" si="7"/>
        <v>3.5514880927479515E-2</v>
      </c>
      <c r="AN54" s="38">
        <f t="shared" si="8"/>
        <v>0</v>
      </c>
      <c r="AO54" s="38">
        <f t="shared" si="9"/>
        <v>1.1264449597253436E-3</v>
      </c>
      <c r="AP54" s="38">
        <f t="shared" si="10"/>
        <v>0</v>
      </c>
      <c r="AQ54" s="38">
        <f t="shared" si="11"/>
        <v>0</v>
      </c>
      <c r="AR54" s="38">
        <f t="shared" si="12"/>
        <v>0</v>
      </c>
      <c r="AS54" s="38">
        <f t="shared" si="13"/>
        <v>0</v>
      </c>
      <c r="AT54" s="39">
        <f t="shared" si="14"/>
        <v>3.3983974077903221</v>
      </c>
      <c r="AU54" s="38">
        <f t="shared" si="15"/>
        <v>3.7875351150929784E-2</v>
      </c>
      <c r="AV54" s="38">
        <f t="shared" si="16"/>
        <v>1.1264449597253436E-3</v>
      </c>
      <c r="AW54" s="40"/>
      <c r="AX54" s="38">
        <f t="shared" si="17"/>
        <v>3.6298877426246563E-3</v>
      </c>
      <c r="AY54" s="38">
        <f t="shared" si="18"/>
        <v>0.51249492878079062</v>
      </c>
      <c r="AZ54" s="38">
        <f t="shared" si="19"/>
        <v>2.9805299440698416E-2</v>
      </c>
      <c r="BA54" s="38">
        <f t="shared" si="20"/>
        <v>1.0917377209014219E-3</v>
      </c>
      <c r="BB54" s="38">
        <f t="shared" si="21"/>
        <v>1.4481330321516652</v>
      </c>
      <c r="BC54" s="38">
        <f t="shared" si="22"/>
        <v>0.93784772052157273</v>
      </c>
      <c r="BD54" s="38">
        <f t="shared" si="23"/>
        <v>3.4651565749567036E-2</v>
      </c>
      <c r="BE54" s="38">
        <f t="shared" si="24"/>
        <v>3.135143716217554E-2</v>
      </c>
      <c r="BF54" s="38">
        <f t="shared" si="25"/>
        <v>0</v>
      </c>
      <c r="BG54" s="38">
        <f t="shared" si="26"/>
        <v>9.943907300039149E-4</v>
      </c>
      <c r="BH54" s="38">
        <f t="shared" si="27"/>
        <v>0</v>
      </c>
      <c r="BI54" s="38">
        <f t="shared" si="28"/>
        <v>0</v>
      </c>
      <c r="BJ54" s="38">
        <f t="shared" si="29"/>
        <v>0</v>
      </c>
      <c r="BK54" s="38">
        <f t="shared" si="30"/>
        <v>0</v>
      </c>
      <c r="BL54" s="41">
        <f t="shared" si="31"/>
        <v>2.9999999999999996</v>
      </c>
      <c r="BM54" s="42">
        <f t="shared" si="56"/>
        <v>3.9999999999999996</v>
      </c>
      <c r="BN54" s="38">
        <f t="shared" si="32"/>
        <v>3.343518718332307E-2</v>
      </c>
      <c r="BO54" s="38">
        <f t="shared" si="33"/>
        <v>9.943907300039149E-4</v>
      </c>
      <c r="BQ54" s="38">
        <f t="shared" si="34"/>
        <v>1.5312916111850866E-3</v>
      </c>
      <c r="BR54" s="38">
        <f t="shared" si="35"/>
        <v>0.21619929894842263</v>
      </c>
      <c r="BS54" s="38">
        <f t="shared" si="36"/>
        <v>1.2573558258140449E-2</v>
      </c>
      <c r="BT54" s="38">
        <f t="shared" si="37"/>
        <v>4.605566155668136E-4</v>
      </c>
      <c r="BU54" s="38">
        <f t="shared" si="38"/>
        <v>1.0065414057063327</v>
      </c>
      <c r="BV54" s="38">
        <f t="shared" si="39"/>
        <v>1.4617987031294051E-2</v>
      </c>
      <c r="BW54" s="38">
        <f t="shared" si="40"/>
        <v>1.3225806451612905E-2</v>
      </c>
      <c r="BX54" s="38">
        <f t="shared" si="41"/>
        <v>0</v>
      </c>
      <c r="BY54" s="38">
        <f t="shared" si="42"/>
        <v>4.1949015811552112E-4</v>
      </c>
      <c r="BZ54" s="38">
        <f t="shared" si="43"/>
        <v>0</v>
      </c>
      <c r="CA54" s="38">
        <f t="shared" si="44"/>
        <v>0</v>
      </c>
      <c r="CB54" s="38">
        <f t="shared" si="45"/>
        <v>0</v>
      </c>
      <c r="CC54" s="38">
        <f t="shared" si="46"/>
        <v>0</v>
      </c>
      <c r="CD54" s="38">
        <f t="shared" si="47"/>
        <v>1.2655693947806703</v>
      </c>
      <c r="CE54" s="38">
        <f t="shared" si="48"/>
        <v>1.4896072976980737</v>
      </c>
      <c r="CF54" s="38">
        <f t="shared" si="49"/>
        <v>2.3704745171401016</v>
      </c>
      <c r="CG54" s="38">
        <f t="shared" si="50"/>
        <v>3.5310761397392127</v>
      </c>
    </row>
    <row r="55" spans="1:85" ht="15" customHeight="1" x14ac:dyDescent="0.25">
      <c r="A55" s="35" t="s">
        <v>85</v>
      </c>
      <c r="B55" s="15">
        <v>1317</v>
      </c>
      <c r="C55" s="102" t="s">
        <v>98</v>
      </c>
      <c r="D55" s="103" t="s">
        <v>105</v>
      </c>
      <c r="E55" s="15">
        <v>324</v>
      </c>
      <c r="F55" s="15" t="s">
        <v>272</v>
      </c>
      <c r="G55" s="16">
        <v>6.8000000000000005E-2</v>
      </c>
      <c r="H55" s="16">
        <v>16.45</v>
      </c>
      <c r="I55" s="16">
        <v>0.81599999999999995</v>
      </c>
      <c r="J55" s="16">
        <v>0</v>
      </c>
      <c r="K55" s="16">
        <v>75.430000000000007</v>
      </c>
      <c r="L55" s="16">
        <v>1.038</v>
      </c>
      <c r="M55" s="16">
        <v>0.54700000000000004</v>
      </c>
      <c r="N55" s="16">
        <v>0.02</v>
      </c>
      <c r="O55" s="16">
        <v>0</v>
      </c>
      <c r="P55" s="16">
        <v>0</v>
      </c>
      <c r="Q55" s="16">
        <v>0</v>
      </c>
      <c r="T55" s="16">
        <f t="shared" si="0"/>
        <v>94.369</v>
      </c>
      <c r="U55" s="16"/>
      <c r="V55" s="16">
        <f t="shared" si="51"/>
        <v>43.995464266219614</v>
      </c>
      <c r="W55" s="16">
        <f t="shared" si="52"/>
        <v>34.933199560950158</v>
      </c>
      <c r="X55" s="16">
        <f t="shared" si="53"/>
        <v>97.867663827169764</v>
      </c>
      <c r="AD55" s="15">
        <v>4</v>
      </c>
      <c r="AE55" s="15">
        <v>3</v>
      </c>
      <c r="AG55" s="38">
        <f t="shared" si="1"/>
        <v>2.9853022955268955E-3</v>
      </c>
      <c r="AH55" s="38">
        <f t="shared" si="2"/>
        <v>0.54317174723591988</v>
      </c>
      <c r="AI55" s="38">
        <f t="shared" si="3"/>
        <v>4.2218194252316009E-2</v>
      </c>
      <c r="AJ55" s="38">
        <f t="shared" si="4"/>
        <v>0</v>
      </c>
      <c r="AK55" s="38">
        <f t="shared" si="5"/>
        <v>2.7690236270964328</v>
      </c>
      <c r="AL55" s="38">
        <f t="shared" si="6"/>
        <v>3.85936181503913E-2</v>
      </c>
      <c r="AM55" s="38">
        <f t="shared" si="7"/>
        <v>3.580070725720514E-2</v>
      </c>
      <c r="AN55" s="38">
        <f t="shared" si="8"/>
        <v>9.4065705460296138E-4</v>
      </c>
      <c r="AO55" s="38">
        <f t="shared" si="9"/>
        <v>0</v>
      </c>
      <c r="AP55" s="38">
        <f t="shared" si="10"/>
        <v>0</v>
      </c>
      <c r="AQ55" s="38">
        <f t="shared" si="11"/>
        <v>0</v>
      </c>
      <c r="AR55" s="38">
        <f t="shared" si="12"/>
        <v>0</v>
      </c>
      <c r="AS55" s="38">
        <f t="shared" si="13"/>
        <v>0</v>
      </c>
      <c r="AT55" s="39">
        <f t="shared" si="14"/>
        <v>3.4327338533423952</v>
      </c>
      <c r="AU55" s="38">
        <f t="shared" si="15"/>
        <v>4.5203496547842906E-2</v>
      </c>
      <c r="AV55" s="38">
        <f t="shared" si="16"/>
        <v>9.4065705460296138E-4</v>
      </c>
      <c r="AW55" s="40"/>
      <c r="AX55" s="38">
        <f t="shared" si="17"/>
        <v>2.6089721106285213E-3</v>
      </c>
      <c r="AY55" s="38">
        <f t="shared" si="18"/>
        <v>0.47469897502281683</v>
      </c>
      <c r="AZ55" s="38">
        <f t="shared" si="19"/>
        <v>3.6896126576672003E-2</v>
      </c>
      <c r="BA55" s="38">
        <f t="shared" si="20"/>
        <v>0</v>
      </c>
      <c r="BB55" s="38">
        <f t="shared" si="21"/>
        <v>1.4114697676991317</v>
      </c>
      <c r="BC55" s="38">
        <f t="shared" si="22"/>
        <v>1.0084879791564374</v>
      </c>
      <c r="BD55" s="38">
        <f t="shared" si="23"/>
        <v>3.3728468153288386E-2</v>
      </c>
      <c r="BE55" s="38">
        <f t="shared" si="24"/>
        <v>3.128763439293139E-2</v>
      </c>
      <c r="BF55" s="38">
        <f t="shared" si="25"/>
        <v>8.2207688809348811E-4</v>
      </c>
      <c r="BG55" s="38">
        <f t="shared" si="26"/>
        <v>0</v>
      </c>
      <c r="BH55" s="38">
        <f t="shared" si="27"/>
        <v>0</v>
      </c>
      <c r="BI55" s="38">
        <f t="shared" si="28"/>
        <v>0</v>
      </c>
      <c r="BJ55" s="38">
        <f t="shared" si="29"/>
        <v>0</v>
      </c>
      <c r="BK55" s="38">
        <f t="shared" si="30"/>
        <v>0</v>
      </c>
      <c r="BL55" s="41">
        <f t="shared" si="31"/>
        <v>3</v>
      </c>
      <c r="BM55" s="42">
        <f t="shared" si="56"/>
        <v>4</v>
      </c>
      <c r="BN55" s="38">
        <f t="shared" si="32"/>
        <v>3.9505098687300524E-2</v>
      </c>
      <c r="BO55" s="38">
        <f t="shared" si="33"/>
        <v>8.2207688809348811E-4</v>
      </c>
      <c r="BQ55" s="38">
        <f t="shared" si="34"/>
        <v>1.1318242343541945E-3</v>
      </c>
      <c r="BR55" s="38">
        <f t="shared" si="35"/>
        <v>0.20593390085127691</v>
      </c>
      <c r="BS55" s="38">
        <f t="shared" si="36"/>
        <v>1.6006276971361318E-2</v>
      </c>
      <c r="BT55" s="38">
        <f t="shared" si="37"/>
        <v>0</v>
      </c>
      <c r="BU55" s="38">
        <f t="shared" si="38"/>
        <v>1.0498260264439807</v>
      </c>
      <c r="BV55" s="38">
        <f t="shared" si="39"/>
        <v>1.4632083450803498E-2</v>
      </c>
      <c r="BW55" s="38">
        <f t="shared" si="40"/>
        <v>1.3573200992555833E-2</v>
      </c>
      <c r="BX55" s="38">
        <f t="shared" si="41"/>
        <v>3.566333808844508E-4</v>
      </c>
      <c r="BY55" s="38">
        <f t="shared" si="42"/>
        <v>0</v>
      </c>
      <c r="BZ55" s="38">
        <f t="shared" si="43"/>
        <v>0</v>
      </c>
      <c r="CA55" s="38">
        <f t="shared" si="44"/>
        <v>0</v>
      </c>
      <c r="CB55" s="38">
        <f t="shared" si="45"/>
        <v>0</v>
      </c>
      <c r="CC55" s="38">
        <f t="shared" si="46"/>
        <v>0</v>
      </c>
      <c r="CD55" s="38">
        <f t="shared" si="47"/>
        <v>1.301459946325217</v>
      </c>
      <c r="CE55" s="38">
        <f t="shared" si="48"/>
        <v>1.5165288098965288</v>
      </c>
      <c r="CF55" s="38">
        <f t="shared" si="49"/>
        <v>2.3051035942141405</v>
      </c>
      <c r="CG55" s="38">
        <f t="shared" si="50"/>
        <v>3.4957560104217817</v>
      </c>
    </row>
    <row r="56" spans="1:85" ht="15" customHeight="1" x14ac:dyDescent="0.25">
      <c r="A56" s="35" t="s">
        <v>85</v>
      </c>
      <c r="B56" s="15">
        <v>1318</v>
      </c>
      <c r="C56" s="102" t="s">
        <v>98</v>
      </c>
      <c r="D56" s="103" t="s">
        <v>105</v>
      </c>
      <c r="E56" s="15">
        <v>325</v>
      </c>
      <c r="F56" s="15" t="s">
        <v>272</v>
      </c>
      <c r="G56" s="16">
        <v>0.1</v>
      </c>
      <c r="H56" s="16">
        <v>15.52</v>
      </c>
      <c r="I56" s="16">
        <v>0.59399999999999997</v>
      </c>
      <c r="J56" s="16">
        <v>0</v>
      </c>
      <c r="K56" s="16">
        <v>76.430000000000007</v>
      </c>
      <c r="L56" s="16">
        <v>0.97699999999999998</v>
      </c>
      <c r="M56" s="16">
        <v>0.45200000000000001</v>
      </c>
      <c r="N56" s="16">
        <v>1.0999999999999999E-2</v>
      </c>
      <c r="O56" s="16">
        <v>4.8000000000000001E-2</v>
      </c>
      <c r="P56" s="16">
        <v>0</v>
      </c>
      <c r="Q56" s="16">
        <v>0</v>
      </c>
      <c r="T56" s="16">
        <f t="shared" si="0"/>
        <v>94.132000000000005</v>
      </c>
      <c r="U56" s="16"/>
      <c r="V56" s="16">
        <f t="shared" si="51"/>
        <v>43.136493043008109</v>
      </c>
      <c r="W56" s="16">
        <f t="shared" si="52"/>
        <v>36.999074281305099</v>
      </c>
      <c r="X56" s="16">
        <f t="shared" si="53"/>
        <v>97.837567324313198</v>
      </c>
      <c r="AD56" s="15">
        <v>4</v>
      </c>
      <c r="AE56" s="15">
        <v>3</v>
      </c>
      <c r="AG56" s="38">
        <f t="shared" si="1"/>
        <v>4.4412154270204738E-3</v>
      </c>
      <c r="AH56" s="38">
        <f t="shared" si="2"/>
        <v>0.51842438892284093</v>
      </c>
      <c r="AI56" s="38">
        <f t="shared" si="3"/>
        <v>3.108983216479044E-2</v>
      </c>
      <c r="AJ56" s="38">
        <f t="shared" si="4"/>
        <v>0</v>
      </c>
      <c r="AK56" s="38">
        <f t="shared" si="5"/>
        <v>2.8383689732550401</v>
      </c>
      <c r="AL56" s="38">
        <f t="shared" si="6"/>
        <v>3.6748121473035814E-2</v>
      </c>
      <c r="AM56" s="38">
        <f t="shared" si="7"/>
        <v>2.9927135665170298E-2</v>
      </c>
      <c r="AN56" s="38">
        <f t="shared" si="8"/>
        <v>5.233791817776908E-4</v>
      </c>
      <c r="AO56" s="38">
        <f t="shared" si="9"/>
        <v>4.1328669561338247E-3</v>
      </c>
      <c r="AP56" s="38">
        <f t="shared" si="10"/>
        <v>0</v>
      </c>
      <c r="AQ56" s="38">
        <f t="shared" si="11"/>
        <v>0</v>
      </c>
      <c r="AR56" s="38">
        <f t="shared" si="12"/>
        <v>0</v>
      </c>
      <c r="AS56" s="38">
        <f t="shared" si="13"/>
        <v>0</v>
      </c>
      <c r="AT56" s="39">
        <f t="shared" si="14"/>
        <v>3.4636559130458098</v>
      </c>
      <c r="AU56" s="38">
        <f t="shared" si="15"/>
        <v>3.5531047591810916E-2</v>
      </c>
      <c r="AV56" s="38">
        <f t="shared" si="16"/>
        <v>4.6562461379115157E-3</v>
      </c>
      <c r="AW56" s="40"/>
      <c r="AX56" s="38">
        <f t="shared" si="17"/>
        <v>3.8467003119097647E-3</v>
      </c>
      <c r="AY56" s="38">
        <f t="shared" si="18"/>
        <v>0.44902646389054079</v>
      </c>
      <c r="AZ56" s="38">
        <f t="shared" si="19"/>
        <v>2.6928049100683787E-2</v>
      </c>
      <c r="BA56" s="38">
        <f t="shared" si="20"/>
        <v>0</v>
      </c>
      <c r="BB56" s="38">
        <f t="shared" si="21"/>
        <v>1.3875106927617842</v>
      </c>
      <c r="BC56" s="38">
        <f t="shared" si="22"/>
        <v>1.0709052508350068</v>
      </c>
      <c r="BD56" s="38">
        <f t="shared" si="23"/>
        <v>3.1828901942561216E-2</v>
      </c>
      <c r="BE56" s="38">
        <f t="shared" si="24"/>
        <v>2.5920994824384983E-2</v>
      </c>
      <c r="BF56" s="38">
        <f t="shared" si="25"/>
        <v>4.5331799253475839E-4</v>
      </c>
      <c r="BG56" s="38">
        <f t="shared" si="26"/>
        <v>3.5796283405930482E-3</v>
      </c>
      <c r="BH56" s="38">
        <f t="shared" si="27"/>
        <v>0</v>
      </c>
      <c r="BI56" s="38">
        <f t="shared" si="28"/>
        <v>0</v>
      </c>
      <c r="BJ56" s="38">
        <f t="shared" si="29"/>
        <v>0</v>
      </c>
      <c r="BK56" s="38">
        <f t="shared" si="30"/>
        <v>0</v>
      </c>
      <c r="BL56" s="41">
        <f t="shared" si="31"/>
        <v>2.9999999999999991</v>
      </c>
      <c r="BM56" s="42">
        <f t="shared" si="56"/>
        <v>3.9999999999999982</v>
      </c>
      <c r="BN56" s="38">
        <f t="shared" si="32"/>
        <v>3.077474941259355E-2</v>
      </c>
      <c r="BO56" s="38">
        <f t="shared" si="33"/>
        <v>4.0329463331278065E-3</v>
      </c>
      <c r="BQ56" s="38">
        <f t="shared" si="34"/>
        <v>1.6644474034620508E-3</v>
      </c>
      <c r="BR56" s="38">
        <f t="shared" si="35"/>
        <v>0.1942914371557336</v>
      </c>
      <c r="BS56" s="38">
        <f t="shared" si="36"/>
        <v>1.1651628089446841E-2</v>
      </c>
      <c r="BT56" s="38">
        <f t="shared" si="37"/>
        <v>0</v>
      </c>
      <c r="BU56" s="38">
        <f t="shared" si="38"/>
        <v>1.0637439109255395</v>
      </c>
      <c r="BV56" s="38">
        <f t="shared" si="39"/>
        <v>1.3772201860727376E-2</v>
      </c>
      <c r="BW56" s="38">
        <f t="shared" si="40"/>
        <v>1.1215880893300249E-2</v>
      </c>
      <c r="BX56" s="38">
        <f t="shared" si="41"/>
        <v>1.9614835948644793E-4</v>
      </c>
      <c r="BY56" s="38">
        <f t="shared" si="42"/>
        <v>1.5488867376573089E-3</v>
      </c>
      <c r="BZ56" s="38">
        <f t="shared" si="43"/>
        <v>0</v>
      </c>
      <c r="CA56" s="38">
        <f t="shared" si="44"/>
        <v>0</v>
      </c>
      <c r="CB56" s="38">
        <f t="shared" si="45"/>
        <v>0</v>
      </c>
      <c r="CC56" s="38">
        <f t="shared" si="46"/>
        <v>0</v>
      </c>
      <c r="CD56" s="38">
        <f t="shared" si="47"/>
        <v>1.2980845414253537</v>
      </c>
      <c r="CE56" s="38">
        <f t="shared" si="48"/>
        <v>1.499091796660444</v>
      </c>
      <c r="CF56" s="38">
        <f t="shared" si="49"/>
        <v>2.3110975473953865</v>
      </c>
      <c r="CG56" s="38">
        <f t="shared" si="50"/>
        <v>3.4645473745824957</v>
      </c>
    </row>
    <row r="57" spans="1:85" ht="15" customHeight="1" x14ac:dyDescent="0.25">
      <c r="A57" s="35" t="s">
        <v>85</v>
      </c>
      <c r="B57" s="15">
        <v>1319</v>
      </c>
      <c r="C57" s="102" t="s">
        <v>98</v>
      </c>
      <c r="D57" s="103" t="s">
        <v>105</v>
      </c>
      <c r="E57" s="15">
        <v>326</v>
      </c>
      <c r="F57" s="15" t="s">
        <v>272</v>
      </c>
      <c r="G57" s="16">
        <v>8.4000000000000005E-2</v>
      </c>
      <c r="H57" s="16">
        <v>14.79</v>
      </c>
      <c r="I57" s="16">
        <v>0.59399999999999997</v>
      </c>
      <c r="J57" s="16">
        <v>2.1999999999999999E-2</v>
      </c>
      <c r="K57" s="16">
        <v>76.790000000000006</v>
      </c>
      <c r="L57" s="16">
        <v>1.026</v>
      </c>
      <c r="M57" s="16">
        <v>0.47899999999999998</v>
      </c>
      <c r="N57" s="16">
        <v>0</v>
      </c>
      <c r="O57" s="16">
        <v>0</v>
      </c>
      <c r="P57" s="16">
        <v>0</v>
      </c>
      <c r="Q57" s="16">
        <v>0</v>
      </c>
      <c r="T57" s="16">
        <f t="shared" si="0"/>
        <v>93.784999999999997</v>
      </c>
      <c r="U57" s="16"/>
      <c r="V57" s="16">
        <f t="shared" si="51"/>
        <v>42.492122687346473</v>
      </c>
      <c r="W57" s="16">
        <f t="shared" si="52"/>
        <v>38.115231057551874</v>
      </c>
      <c r="X57" s="16">
        <f t="shared" si="53"/>
        <v>97.602353744898352</v>
      </c>
      <c r="AD57" s="15">
        <v>4</v>
      </c>
      <c r="AE57" s="15">
        <v>3</v>
      </c>
      <c r="AG57" s="38">
        <f t="shared" si="1"/>
        <v>3.7631929355694082E-3</v>
      </c>
      <c r="AH57" s="38">
        <f t="shared" si="2"/>
        <v>0.49835318765434738</v>
      </c>
      <c r="AI57" s="38">
        <f t="shared" si="3"/>
        <v>3.1361276866743247E-2</v>
      </c>
      <c r="AJ57" s="38">
        <f t="shared" si="4"/>
        <v>7.7919253687088125E-4</v>
      </c>
      <c r="AK57" s="38">
        <f t="shared" si="5"/>
        <v>2.8766367064625848</v>
      </c>
      <c r="AL57" s="38">
        <f t="shared" si="6"/>
        <v>3.8928108258790846E-2</v>
      </c>
      <c r="AM57" s="38">
        <f t="shared" si="7"/>
        <v>3.1991719993369909E-2</v>
      </c>
      <c r="AN57" s="38">
        <f t="shared" si="8"/>
        <v>0</v>
      </c>
      <c r="AO57" s="38">
        <f t="shared" si="9"/>
        <v>0</v>
      </c>
      <c r="AP57" s="38">
        <f t="shared" si="10"/>
        <v>0</v>
      </c>
      <c r="AQ57" s="38">
        <f t="shared" si="11"/>
        <v>0</v>
      </c>
      <c r="AR57" s="38">
        <f t="shared" si="12"/>
        <v>0</v>
      </c>
      <c r="AS57" s="38">
        <f t="shared" si="13"/>
        <v>0</v>
      </c>
      <c r="AT57" s="39">
        <f t="shared" si="14"/>
        <v>3.4818133847082762</v>
      </c>
      <c r="AU57" s="38">
        <f t="shared" si="15"/>
        <v>3.5124469802312652E-2</v>
      </c>
      <c r="AV57" s="38">
        <f t="shared" si="16"/>
        <v>0</v>
      </c>
      <c r="AW57" s="40"/>
      <c r="AX57" s="38">
        <f t="shared" si="17"/>
        <v>3.2424422446908712E-3</v>
      </c>
      <c r="AY57" s="38">
        <f t="shared" si="18"/>
        <v>0.42939106660028692</v>
      </c>
      <c r="AZ57" s="38">
        <f t="shared" si="19"/>
        <v>2.7021502936784347E-2</v>
      </c>
      <c r="BA57" s="38">
        <f t="shared" si="20"/>
        <v>6.7136786275766964E-4</v>
      </c>
      <c r="BB57" s="38">
        <f t="shared" si="21"/>
        <v>1.3715275674148888</v>
      </c>
      <c r="BC57" s="38">
        <f t="shared" si="22"/>
        <v>1.1070401115105026</v>
      </c>
      <c r="BD57" s="38">
        <f t="shared" si="23"/>
        <v>3.3541236095327748E-2</v>
      </c>
      <c r="BE57" s="38">
        <f t="shared" si="24"/>
        <v>2.756470533476078E-2</v>
      </c>
      <c r="BF57" s="38">
        <f t="shared" si="25"/>
        <v>0</v>
      </c>
      <c r="BG57" s="38">
        <f t="shared" si="26"/>
        <v>0</v>
      </c>
      <c r="BH57" s="38">
        <f t="shared" si="27"/>
        <v>0</v>
      </c>
      <c r="BI57" s="38">
        <f t="shared" si="28"/>
        <v>0</v>
      </c>
      <c r="BJ57" s="38">
        <f t="shared" si="29"/>
        <v>0</v>
      </c>
      <c r="BK57" s="38">
        <f t="shared" si="30"/>
        <v>0</v>
      </c>
      <c r="BL57" s="41">
        <f t="shared" si="31"/>
        <v>2.9999999999999996</v>
      </c>
      <c r="BM57" s="42">
        <f t="shared" si="56"/>
        <v>4</v>
      </c>
      <c r="BN57" s="38">
        <f t="shared" si="32"/>
        <v>3.0263945181475217E-2</v>
      </c>
      <c r="BO57" s="38">
        <f t="shared" si="33"/>
        <v>0</v>
      </c>
      <c r="BQ57" s="38">
        <f t="shared" si="34"/>
        <v>1.3981358189081225E-3</v>
      </c>
      <c r="BR57" s="38">
        <f t="shared" si="35"/>
        <v>0.18515272909364047</v>
      </c>
      <c r="BS57" s="38">
        <f t="shared" si="36"/>
        <v>1.1651628089446841E-2</v>
      </c>
      <c r="BT57" s="38">
        <f t="shared" si="37"/>
        <v>2.8949272978485421E-4</v>
      </c>
      <c r="BU57" s="38">
        <f t="shared" si="38"/>
        <v>1.0687543493389007</v>
      </c>
      <c r="BV57" s="38">
        <f t="shared" si="39"/>
        <v>1.4462926416690161E-2</v>
      </c>
      <c r="BW57" s="38">
        <f t="shared" si="40"/>
        <v>1.1885856079404468E-2</v>
      </c>
      <c r="BX57" s="38">
        <f t="shared" si="41"/>
        <v>0</v>
      </c>
      <c r="BY57" s="38">
        <f t="shared" si="42"/>
        <v>0</v>
      </c>
      <c r="BZ57" s="38">
        <f t="shared" si="43"/>
        <v>0</v>
      </c>
      <c r="CA57" s="38">
        <f t="shared" si="44"/>
        <v>0</v>
      </c>
      <c r="CB57" s="38">
        <f t="shared" si="45"/>
        <v>0</v>
      </c>
      <c r="CC57" s="38">
        <f t="shared" si="46"/>
        <v>0</v>
      </c>
      <c r="CD57" s="38">
        <f t="shared" si="47"/>
        <v>1.2935951175667757</v>
      </c>
      <c r="CE57" s="38">
        <f t="shared" si="48"/>
        <v>1.48611654288894</v>
      </c>
      <c r="CF57" s="38">
        <f t="shared" si="49"/>
        <v>2.3191182150122325</v>
      </c>
      <c r="CG57" s="38">
        <f t="shared" si="50"/>
        <v>3.4464799442447482</v>
      </c>
    </row>
    <row r="58" spans="1:85" ht="15" customHeight="1" x14ac:dyDescent="0.25">
      <c r="A58" s="35" t="s">
        <v>85</v>
      </c>
      <c r="B58" s="15">
        <v>1320</v>
      </c>
      <c r="C58" s="102" t="s">
        <v>98</v>
      </c>
      <c r="D58" s="103" t="s">
        <v>105</v>
      </c>
      <c r="E58" s="15">
        <v>327</v>
      </c>
      <c r="F58" s="15" t="s">
        <v>272</v>
      </c>
      <c r="G58" s="16">
        <v>9.4E-2</v>
      </c>
      <c r="H58" s="16">
        <v>16.010000000000002</v>
      </c>
      <c r="I58" s="16">
        <v>0.65</v>
      </c>
      <c r="J58" s="16">
        <v>8.0000000000000002E-3</v>
      </c>
      <c r="K58" s="16">
        <v>75.680000000000007</v>
      </c>
      <c r="L58" s="16">
        <v>0.92</v>
      </c>
      <c r="M58" s="16">
        <v>0.433</v>
      </c>
      <c r="N58" s="16">
        <v>0.01</v>
      </c>
      <c r="O58" s="16">
        <v>0</v>
      </c>
      <c r="P58" s="16">
        <v>7.0000000000000001E-3</v>
      </c>
      <c r="Q58" s="16">
        <v>0</v>
      </c>
      <c r="T58" s="16">
        <f t="shared" si="0"/>
        <v>93.812000000000026</v>
      </c>
      <c r="U58" s="16"/>
      <c r="V58" s="16">
        <f t="shared" si="51"/>
        <v>43.723018523383566</v>
      </c>
      <c r="W58" s="16">
        <f t="shared" si="52"/>
        <v>35.513793514963851</v>
      </c>
      <c r="X58" s="16">
        <f t="shared" si="53"/>
        <v>97.368812038347414</v>
      </c>
      <c r="AD58" s="15">
        <v>4</v>
      </c>
      <c r="AE58" s="15">
        <v>3</v>
      </c>
      <c r="AG58" s="38">
        <f t="shared" si="1"/>
        <v>4.1707279953725612E-3</v>
      </c>
      <c r="AH58" s="38">
        <f t="shared" si="2"/>
        <v>0.5342779036601919</v>
      </c>
      <c r="AI58" s="38">
        <f t="shared" si="3"/>
        <v>3.3988145053815276E-2</v>
      </c>
      <c r="AJ58" s="38">
        <f t="shared" si="4"/>
        <v>2.8062018409607961E-4</v>
      </c>
      <c r="AK58" s="38">
        <f t="shared" si="5"/>
        <v>2.8078136983021529</v>
      </c>
      <c r="AL58" s="38">
        <f t="shared" si="6"/>
        <v>3.4570891632279124E-2</v>
      </c>
      <c r="AM58" s="38">
        <f t="shared" si="7"/>
        <v>2.8641567852156394E-2</v>
      </c>
      <c r="AN58" s="38">
        <f t="shared" si="8"/>
        <v>4.7534171920429681E-4</v>
      </c>
      <c r="AO58" s="38">
        <f t="shared" si="9"/>
        <v>0</v>
      </c>
      <c r="AP58" s="38">
        <f t="shared" si="10"/>
        <v>3.9617865242216297E-4</v>
      </c>
      <c r="AQ58" s="38">
        <f t="shared" si="11"/>
        <v>0</v>
      </c>
      <c r="AR58" s="38">
        <f t="shared" si="12"/>
        <v>0</v>
      </c>
      <c r="AS58" s="38">
        <f t="shared" si="13"/>
        <v>0</v>
      </c>
      <c r="AT58" s="39">
        <f t="shared" si="14"/>
        <v>3.4446150750516904</v>
      </c>
      <c r="AU58" s="38">
        <f t="shared" si="15"/>
        <v>3.8158873049187837E-2</v>
      </c>
      <c r="AV58" s="38">
        <f t="shared" si="16"/>
        <v>8.7152037162645983E-4</v>
      </c>
      <c r="AW58" s="40"/>
      <c r="AX58" s="38">
        <f t="shared" si="17"/>
        <v>3.6323896033375871E-3</v>
      </c>
      <c r="AY58" s="38">
        <f t="shared" si="18"/>
        <v>0.46531576854244688</v>
      </c>
      <c r="AZ58" s="38">
        <f t="shared" si="19"/>
        <v>2.9601111572652494E-2</v>
      </c>
      <c r="BA58" s="38">
        <f t="shared" si="20"/>
        <v>2.4439902106496056E-4</v>
      </c>
      <c r="BB58" s="38">
        <f t="shared" si="21"/>
        <v>1.4127908020085256</v>
      </c>
      <c r="BC58" s="38">
        <f t="shared" si="22"/>
        <v>1.0326032148483666</v>
      </c>
      <c r="BD58" s="38">
        <f t="shared" si="23"/>
        <v>3.0108639902320881E-2</v>
      </c>
      <c r="BE58" s="38">
        <f t="shared" si="24"/>
        <v>2.4944645971852104E-2</v>
      </c>
      <c r="BF58" s="38">
        <f t="shared" si="25"/>
        <v>4.1398679577905851E-4</v>
      </c>
      <c r="BG58" s="38">
        <f t="shared" si="26"/>
        <v>0</v>
      </c>
      <c r="BH58" s="38">
        <f t="shared" si="27"/>
        <v>3.4504173365398558E-4</v>
      </c>
      <c r="BI58" s="38">
        <f t="shared" si="28"/>
        <v>0</v>
      </c>
      <c r="BJ58" s="38">
        <f t="shared" si="29"/>
        <v>0</v>
      </c>
      <c r="BK58" s="38">
        <f t="shared" si="30"/>
        <v>0</v>
      </c>
      <c r="BL58" s="41">
        <f t="shared" si="31"/>
        <v>3</v>
      </c>
      <c r="BM58" s="42">
        <f t="shared" si="56"/>
        <v>3.9999999999999991</v>
      </c>
      <c r="BN58" s="38">
        <f t="shared" si="32"/>
        <v>3.3233501175990082E-2</v>
      </c>
      <c r="BO58" s="38">
        <f t="shared" si="33"/>
        <v>7.5902852943304409E-4</v>
      </c>
      <c r="BQ58" s="38">
        <f t="shared" si="34"/>
        <v>1.5645805592543276E-3</v>
      </c>
      <c r="BR58" s="38">
        <f t="shared" si="35"/>
        <v>0.20042563845768657</v>
      </c>
      <c r="BS58" s="38">
        <f t="shared" si="36"/>
        <v>1.2750098077677522E-2</v>
      </c>
      <c r="BT58" s="38">
        <f t="shared" si="37"/>
        <v>1.0527008355812881E-4</v>
      </c>
      <c r="BU58" s="38">
        <f t="shared" si="38"/>
        <v>1.0533054975643703</v>
      </c>
      <c r="BV58" s="38">
        <f t="shared" si="39"/>
        <v>1.2968705948689034E-2</v>
      </c>
      <c r="BW58" s="38">
        <f t="shared" si="40"/>
        <v>1.0744416873449132E-2</v>
      </c>
      <c r="BX58" s="38">
        <f t="shared" si="41"/>
        <v>1.783166904422254E-4</v>
      </c>
      <c r="BY58" s="38">
        <f t="shared" si="42"/>
        <v>0</v>
      </c>
      <c r="BZ58" s="38">
        <f t="shared" si="43"/>
        <v>1.4861995753715499E-4</v>
      </c>
      <c r="CA58" s="38">
        <f t="shared" si="44"/>
        <v>0</v>
      </c>
      <c r="CB58" s="38">
        <f t="shared" si="45"/>
        <v>0</v>
      </c>
      <c r="CC58" s="38">
        <f t="shared" si="46"/>
        <v>0</v>
      </c>
      <c r="CD58" s="38">
        <f t="shared" si="47"/>
        <v>1.2921911442126643</v>
      </c>
      <c r="CE58" s="38">
        <f t="shared" si="48"/>
        <v>1.5005347373314546</v>
      </c>
      <c r="CF58" s="38">
        <f t="shared" si="49"/>
        <v>2.32163795072896</v>
      </c>
      <c r="CG58" s="38">
        <f t="shared" si="50"/>
        <v>3.4836983925758163</v>
      </c>
    </row>
    <row r="59" spans="1:85" ht="15" customHeight="1" x14ac:dyDescent="0.25">
      <c r="A59" s="35" t="s">
        <v>85</v>
      </c>
      <c r="B59" s="15">
        <v>1327</v>
      </c>
      <c r="C59" s="102" t="s">
        <v>98</v>
      </c>
      <c r="D59" s="103" t="s">
        <v>105</v>
      </c>
      <c r="E59" s="15">
        <v>334</v>
      </c>
      <c r="F59" s="15" t="s">
        <v>279</v>
      </c>
      <c r="G59" s="16">
        <v>8.3000000000000004E-2</v>
      </c>
      <c r="H59" s="16">
        <v>45.98</v>
      </c>
      <c r="I59" s="16">
        <v>7.0999999999999994E-2</v>
      </c>
      <c r="J59" s="16">
        <v>8.0000000000000002E-3</v>
      </c>
      <c r="K59" s="16">
        <v>46.35</v>
      </c>
      <c r="L59" s="16">
        <v>1.43</v>
      </c>
      <c r="M59" s="16">
        <v>0.92</v>
      </c>
      <c r="N59" s="16">
        <v>2.5999999999999999E-2</v>
      </c>
      <c r="O59" s="16">
        <v>2.8000000000000001E-2</v>
      </c>
      <c r="P59" s="16">
        <v>2.9000000000000001E-2</v>
      </c>
      <c r="Q59" s="16">
        <v>0</v>
      </c>
      <c r="T59" s="16">
        <f t="shared" si="0"/>
        <v>94.924999999999997</v>
      </c>
      <c r="U59" s="16"/>
      <c r="V59" s="16">
        <f t="shared" si="51"/>
        <v>38.116868101086162</v>
      </c>
      <c r="W59" s="16">
        <f t="shared" si="52"/>
        <v>9.1494794792629488</v>
      </c>
      <c r="X59" s="16">
        <f t="shared" si="53"/>
        <v>95.841347580349108</v>
      </c>
      <c r="AC59" s="15" t="s">
        <v>281</v>
      </c>
      <c r="AD59" s="15">
        <v>3</v>
      </c>
      <c r="AE59" s="15">
        <v>2</v>
      </c>
      <c r="AG59" s="38">
        <f t="shared" si="1"/>
        <v>2.2456693541476791E-3</v>
      </c>
      <c r="AH59" s="38">
        <f t="shared" si="2"/>
        <v>0.93568260287644034</v>
      </c>
      <c r="AI59" s="38">
        <f t="shared" si="3"/>
        <v>2.2638943811181971E-3</v>
      </c>
      <c r="AJ59" s="38">
        <f t="shared" si="4"/>
        <v>1.7112072502828584E-4</v>
      </c>
      <c r="AK59" s="38">
        <f t="shared" si="5"/>
        <v>1.0486259720887519</v>
      </c>
      <c r="AL59" s="38">
        <f t="shared" si="6"/>
        <v>3.2767438826631932E-2</v>
      </c>
      <c r="AM59" s="38">
        <f t="shared" si="7"/>
        <v>3.7109100305963455E-2</v>
      </c>
      <c r="AN59" s="38">
        <f t="shared" si="8"/>
        <v>7.5363834468981635E-4</v>
      </c>
      <c r="AO59" s="38">
        <f t="shared" si="9"/>
        <v>1.4687033960902242E-3</v>
      </c>
      <c r="AP59" s="38">
        <f t="shared" si="10"/>
        <v>1.0008632310435589E-3</v>
      </c>
      <c r="AQ59" s="38">
        <f t="shared" si="11"/>
        <v>0</v>
      </c>
      <c r="AR59" s="38">
        <f t="shared" si="12"/>
        <v>0</v>
      </c>
      <c r="AS59" s="38">
        <f t="shared" si="13"/>
        <v>0</v>
      </c>
      <c r="AT59" s="39">
        <f t="shared" si="14"/>
        <v>2.062089003529906</v>
      </c>
      <c r="AU59" s="38">
        <f t="shared" si="15"/>
        <v>4.5095637352658762E-3</v>
      </c>
      <c r="AV59" s="38">
        <f t="shared" si="16"/>
        <v>3.2232049718235994E-3</v>
      </c>
      <c r="AW59" s="40"/>
      <c r="AX59" s="38">
        <f t="shared" si="17"/>
        <v>2.1780527904503824E-3</v>
      </c>
      <c r="AY59" s="38">
        <f t="shared" si="18"/>
        <v>0.90750942493241493</v>
      </c>
      <c r="AZ59" s="38">
        <f t="shared" si="19"/>
        <v>2.1957290662457728E-3</v>
      </c>
      <c r="BA59" s="38">
        <f t="shared" si="20"/>
        <v>1.6596832118823156E-4</v>
      </c>
      <c r="BB59" s="38">
        <f t="shared" si="21"/>
        <v>0.83639354074711503</v>
      </c>
      <c r="BC59" s="38">
        <f t="shared" si="22"/>
        <v>0.1806585557372784</v>
      </c>
      <c r="BD59" s="38">
        <f t="shared" si="23"/>
        <v>3.1780819131027128E-2</v>
      </c>
      <c r="BE59" s="38">
        <f t="shared" si="24"/>
        <v>3.5991754228299283E-2</v>
      </c>
      <c r="BF59" s="38">
        <f t="shared" si="25"/>
        <v>7.3094647553983408E-4</v>
      </c>
      <c r="BG59" s="38">
        <f t="shared" si="26"/>
        <v>1.4244810903662089E-3</v>
      </c>
      <c r="BH59" s="38">
        <f t="shared" si="27"/>
        <v>9.7072748007508006E-4</v>
      </c>
      <c r="BI59" s="38">
        <f t="shared" si="28"/>
        <v>0</v>
      </c>
      <c r="BJ59" s="38">
        <f t="shared" si="29"/>
        <v>0</v>
      </c>
      <c r="BK59" s="38">
        <f t="shared" si="30"/>
        <v>0</v>
      </c>
      <c r="BL59" s="41">
        <f t="shared" si="31"/>
        <v>2.0000000000000004</v>
      </c>
      <c r="BM59" s="42">
        <f t="shared" si="56"/>
        <v>3.0000000000000009</v>
      </c>
      <c r="BN59" s="38">
        <f t="shared" si="32"/>
        <v>4.3737818566961552E-3</v>
      </c>
      <c r="BO59" s="38">
        <f t="shared" si="33"/>
        <v>3.1261550459811232E-3</v>
      </c>
      <c r="BQ59" s="38">
        <f t="shared" si="34"/>
        <v>1.381491344873502E-3</v>
      </c>
      <c r="BR59" s="38">
        <f t="shared" si="35"/>
        <v>0.57561342013019534</v>
      </c>
      <c r="BS59" s="38">
        <f t="shared" si="36"/>
        <v>1.3927030207924677E-3</v>
      </c>
      <c r="BT59" s="38">
        <f t="shared" si="37"/>
        <v>1.0527008355812881E-4</v>
      </c>
      <c r="BU59" s="38">
        <f t="shared" si="38"/>
        <v>0.64509394572025058</v>
      </c>
      <c r="BV59" s="38">
        <f t="shared" si="39"/>
        <v>2.015787989850578E-2</v>
      </c>
      <c r="BW59" s="38">
        <f t="shared" si="40"/>
        <v>2.2828784119106701E-2</v>
      </c>
      <c r="BX59" s="38">
        <f t="shared" si="41"/>
        <v>4.6362339514978602E-4</v>
      </c>
      <c r="BY59" s="38">
        <f t="shared" si="42"/>
        <v>9.0351726363343025E-4</v>
      </c>
      <c r="BZ59" s="38">
        <f t="shared" si="43"/>
        <v>6.1571125265392785E-4</v>
      </c>
      <c r="CA59" s="38">
        <f t="shared" si="44"/>
        <v>0</v>
      </c>
      <c r="CB59" s="38">
        <f t="shared" si="45"/>
        <v>0</v>
      </c>
      <c r="CC59" s="38">
        <f t="shared" si="46"/>
        <v>0</v>
      </c>
      <c r="CD59" s="38">
        <f t="shared" si="47"/>
        <v>1.2685563462287195</v>
      </c>
      <c r="CE59" s="38">
        <f t="shared" si="48"/>
        <v>1.8455406299978203</v>
      </c>
      <c r="CF59" s="38">
        <f t="shared" si="49"/>
        <v>1.5765953210874575</v>
      </c>
      <c r="CG59" s="38">
        <f t="shared" si="50"/>
        <v>2.909670722131362</v>
      </c>
    </row>
    <row r="60" spans="1:85" ht="15" customHeight="1" x14ac:dyDescent="0.25">
      <c r="A60" s="35" t="s">
        <v>85</v>
      </c>
      <c r="B60" s="15">
        <v>1328</v>
      </c>
      <c r="C60" s="102" t="s">
        <v>98</v>
      </c>
      <c r="D60" s="103" t="s">
        <v>105</v>
      </c>
      <c r="E60" s="15">
        <v>335</v>
      </c>
      <c r="F60" s="15" t="s">
        <v>272</v>
      </c>
      <c r="G60" s="16">
        <v>6.8000000000000005E-2</v>
      </c>
      <c r="H60" s="16">
        <v>16.5</v>
      </c>
      <c r="I60" s="16">
        <v>0.56699999999999995</v>
      </c>
      <c r="J60" s="16">
        <v>0</v>
      </c>
      <c r="K60" s="16">
        <v>75.41</v>
      </c>
      <c r="L60" s="16">
        <v>1</v>
      </c>
      <c r="M60" s="16">
        <v>0.51600000000000001</v>
      </c>
      <c r="N60" s="16">
        <v>3.5999999999999997E-2</v>
      </c>
      <c r="O60" s="16">
        <v>7.0000000000000001E-3</v>
      </c>
      <c r="P60" s="16">
        <v>8.0000000000000002E-3</v>
      </c>
      <c r="Q60" s="16">
        <v>0</v>
      </c>
      <c r="T60" s="16">
        <f t="shared" si="0"/>
        <v>94.112000000000009</v>
      </c>
      <c r="U60" s="16"/>
      <c r="V60" s="16">
        <f t="shared" si="51"/>
        <v>43.933233834860133</v>
      </c>
      <c r="W60" s="16">
        <f t="shared" si="52"/>
        <v>34.980130239319934</v>
      </c>
      <c r="X60" s="16">
        <f t="shared" si="53"/>
        <v>97.615364074180064</v>
      </c>
      <c r="AD60" s="15">
        <v>4</v>
      </c>
      <c r="AE60" s="15">
        <v>3</v>
      </c>
      <c r="AG60" s="38">
        <f t="shared" si="1"/>
        <v>2.999492712084717E-3</v>
      </c>
      <c r="AH60" s="38">
        <f t="shared" si="2"/>
        <v>0.54741250024739707</v>
      </c>
      <c r="AI60" s="38">
        <f t="shared" si="3"/>
        <v>2.9474880303274126E-2</v>
      </c>
      <c r="AJ60" s="38">
        <f t="shared" si="4"/>
        <v>0</v>
      </c>
      <c r="AK60" s="38">
        <f t="shared" si="5"/>
        <v>2.7814482919341716</v>
      </c>
      <c r="AL60" s="38">
        <f t="shared" si="6"/>
        <v>3.7357485642807053E-2</v>
      </c>
      <c r="AM60" s="38">
        <f t="shared" si="7"/>
        <v>3.3932314050977117E-2</v>
      </c>
      <c r="AN60" s="38">
        <f t="shared" si="8"/>
        <v>1.7012311186523957E-3</v>
      </c>
      <c r="AO60" s="38">
        <f t="shared" si="9"/>
        <v>5.9861181737673854E-4</v>
      </c>
      <c r="AP60" s="38">
        <f t="shared" si="10"/>
        <v>4.5012994165617536E-4</v>
      </c>
      <c r="AQ60" s="38">
        <f t="shared" si="11"/>
        <v>0</v>
      </c>
      <c r="AR60" s="38">
        <f t="shared" si="12"/>
        <v>0</v>
      </c>
      <c r="AS60" s="38">
        <f t="shared" si="13"/>
        <v>0</v>
      </c>
      <c r="AT60" s="39">
        <f t="shared" si="14"/>
        <v>3.4353749377683975</v>
      </c>
      <c r="AU60" s="38">
        <f t="shared" si="15"/>
        <v>3.247437301535884E-2</v>
      </c>
      <c r="AV60" s="38">
        <f t="shared" si="16"/>
        <v>2.7499728776853097E-3</v>
      </c>
      <c r="AW60" s="40"/>
      <c r="AX60" s="38">
        <f t="shared" si="17"/>
        <v>2.6193583813298462E-3</v>
      </c>
      <c r="AY60" s="38">
        <f t="shared" si="18"/>
        <v>0.47803734104463735</v>
      </c>
      <c r="AZ60" s="38">
        <f t="shared" si="19"/>
        <v>2.5739444023324738E-2</v>
      </c>
      <c r="BA60" s="38">
        <f t="shared" si="20"/>
        <v>0</v>
      </c>
      <c r="BB60" s="38">
        <f t="shared" si="21"/>
        <v>1.4150843682911773</v>
      </c>
      <c r="BC60" s="38">
        <f t="shared" si="22"/>
        <v>1.0138629888269834</v>
      </c>
      <c r="BD60" s="38">
        <f t="shared" si="23"/>
        <v>3.2623064136697369E-2</v>
      </c>
      <c r="BE60" s="38">
        <f t="shared" si="24"/>
        <v>2.963197438328468E-2</v>
      </c>
      <c r="BF60" s="38">
        <f t="shared" si="25"/>
        <v>1.4856292103220968E-3</v>
      </c>
      <c r="BG60" s="38">
        <f t="shared" si="26"/>
        <v>5.22748021587647E-4</v>
      </c>
      <c r="BH60" s="38">
        <f t="shared" si="27"/>
        <v>3.9308368065516961E-4</v>
      </c>
      <c r="BI60" s="38">
        <f t="shared" si="28"/>
        <v>0</v>
      </c>
      <c r="BJ60" s="38">
        <f t="shared" si="29"/>
        <v>0</v>
      </c>
      <c r="BK60" s="38">
        <f t="shared" si="30"/>
        <v>0</v>
      </c>
      <c r="BL60" s="41">
        <f t="shared" si="31"/>
        <v>2.9999999999999996</v>
      </c>
      <c r="BM60" s="42">
        <f t="shared" si="56"/>
        <v>3.9999999999999996</v>
      </c>
      <c r="BN60" s="38">
        <f t="shared" si="32"/>
        <v>2.8358802404654583E-2</v>
      </c>
      <c r="BO60" s="38">
        <f t="shared" si="33"/>
        <v>2.4014609125649132E-3</v>
      </c>
      <c r="BQ60" s="38">
        <f t="shared" si="34"/>
        <v>1.1318242343541945E-3</v>
      </c>
      <c r="BR60" s="38">
        <f t="shared" si="35"/>
        <v>0.20655983975963946</v>
      </c>
      <c r="BS60" s="38">
        <f t="shared" si="36"/>
        <v>1.1122008630835621E-2</v>
      </c>
      <c r="BT60" s="38">
        <f t="shared" si="37"/>
        <v>0</v>
      </c>
      <c r="BU60" s="38">
        <f t="shared" si="38"/>
        <v>1.0495476687543495</v>
      </c>
      <c r="BV60" s="38">
        <f t="shared" si="39"/>
        <v>1.4096419509444602E-2</v>
      </c>
      <c r="BW60" s="38">
        <f t="shared" si="40"/>
        <v>1.2803970223325063E-2</v>
      </c>
      <c r="BX60" s="38">
        <f t="shared" si="41"/>
        <v>6.4194008559201137E-4</v>
      </c>
      <c r="BY60" s="38">
        <f t="shared" si="42"/>
        <v>2.2587931590835756E-4</v>
      </c>
      <c r="BZ60" s="38">
        <f t="shared" si="43"/>
        <v>1.6985138004246286E-4</v>
      </c>
      <c r="CA60" s="38">
        <f t="shared" si="44"/>
        <v>0</v>
      </c>
      <c r="CB60" s="38">
        <f t="shared" si="45"/>
        <v>0</v>
      </c>
      <c r="CC60" s="38">
        <f t="shared" si="46"/>
        <v>0</v>
      </c>
      <c r="CD60" s="38">
        <f t="shared" si="47"/>
        <v>1.2962994018934915</v>
      </c>
      <c r="CE60" s="38">
        <f t="shared" si="48"/>
        <v>1.5093542048549273</v>
      </c>
      <c r="CF60" s="38">
        <f t="shared" si="49"/>
        <v>2.314280169857311</v>
      </c>
      <c r="CG60" s="38">
        <f t="shared" si="50"/>
        <v>3.4930685055865078</v>
      </c>
    </row>
    <row r="61" spans="1:85" ht="15" customHeight="1" x14ac:dyDescent="0.25">
      <c r="A61" s="35" t="s">
        <v>85</v>
      </c>
      <c r="B61" s="15">
        <v>1329</v>
      </c>
      <c r="C61" s="102" t="s">
        <v>98</v>
      </c>
      <c r="D61" s="103" t="s">
        <v>105</v>
      </c>
      <c r="E61" s="15">
        <v>336</v>
      </c>
      <c r="F61" s="15" t="s">
        <v>272</v>
      </c>
      <c r="G61" s="16">
        <v>7.6999999999999999E-2</v>
      </c>
      <c r="H61" s="16">
        <v>15.94</v>
      </c>
      <c r="I61" s="16">
        <v>0.54800000000000004</v>
      </c>
      <c r="J61" s="16">
        <v>6.2E-2</v>
      </c>
      <c r="K61" s="16">
        <v>76.67</v>
      </c>
      <c r="L61" s="16">
        <v>1.0149999999999999</v>
      </c>
      <c r="M61" s="16">
        <v>0.48399999999999999</v>
      </c>
      <c r="N61" s="16">
        <v>0</v>
      </c>
      <c r="O61" s="16">
        <v>0</v>
      </c>
      <c r="P61" s="16">
        <v>0</v>
      </c>
      <c r="Q61" s="16">
        <v>0</v>
      </c>
      <c r="T61" s="16">
        <f t="shared" si="0"/>
        <v>94.795999999999992</v>
      </c>
      <c r="U61" s="16"/>
      <c r="V61" s="16">
        <f t="shared" si="51"/>
        <v>43.812634826185949</v>
      </c>
      <c r="W61" s="16">
        <f t="shared" si="52"/>
        <v>36.514389917659564</v>
      </c>
      <c r="X61" s="16">
        <f t="shared" si="53"/>
        <v>98.453024743845504</v>
      </c>
      <c r="AD61" s="15">
        <v>4</v>
      </c>
      <c r="AE61" s="15">
        <v>3</v>
      </c>
      <c r="AG61" s="38">
        <f t="shared" si="1"/>
        <v>3.3896182183737159E-3</v>
      </c>
      <c r="AH61" s="38">
        <f t="shared" si="2"/>
        <v>0.52776458603565934</v>
      </c>
      <c r="AI61" s="38">
        <f t="shared" si="3"/>
        <v>2.8429597520499839E-2</v>
      </c>
      <c r="AJ61" s="38">
        <f t="shared" si="4"/>
        <v>2.1577277860408378E-3</v>
      </c>
      <c r="AK61" s="38">
        <f t="shared" si="5"/>
        <v>2.8222057660651227</v>
      </c>
      <c r="AL61" s="38">
        <f t="shared" si="6"/>
        <v>3.7841194954999699E-2</v>
      </c>
      <c r="AM61" s="38">
        <f t="shared" si="7"/>
        <v>3.1763642512000312E-2</v>
      </c>
      <c r="AN61" s="38">
        <f t="shared" si="8"/>
        <v>0</v>
      </c>
      <c r="AO61" s="38">
        <f t="shared" si="9"/>
        <v>0</v>
      </c>
      <c r="AP61" s="38">
        <f t="shared" si="10"/>
        <v>0</v>
      </c>
      <c r="AQ61" s="38">
        <f t="shared" si="11"/>
        <v>0</v>
      </c>
      <c r="AR61" s="38">
        <f t="shared" si="12"/>
        <v>0</v>
      </c>
      <c r="AS61" s="38">
        <f t="shared" si="13"/>
        <v>0</v>
      </c>
      <c r="AT61" s="39">
        <f t="shared" si="14"/>
        <v>3.4535521330926962</v>
      </c>
      <c r="AU61" s="38">
        <f t="shared" si="15"/>
        <v>3.1819215738873557E-2</v>
      </c>
      <c r="AV61" s="38">
        <f t="shared" si="16"/>
        <v>0</v>
      </c>
      <c r="AW61" s="40"/>
      <c r="AX61" s="38">
        <f t="shared" si="17"/>
        <v>2.9444624731970724E-3</v>
      </c>
      <c r="AY61" s="38">
        <f t="shared" si="18"/>
        <v>0.45845370131682933</v>
      </c>
      <c r="AZ61" s="38">
        <f t="shared" si="19"/>
        <v>2.4695962091970041E-2</v>
      </c>
      <c r="BA61" s="38">
        <f t="shared" si="20"/>
        <v>1.8743551881250165E-3</v>
      </c>
      <c r="BB61" s="38">
        <f t="shared" si="21"/>
        <v>1.400934471813267</v>
      </c>
      <c r="BC61" s="38">
        <f t="shared" si="22"/>
        <v>1.0506333551398512</v>
      </c>
      <c r="BD61" s="38">
        <f t="shared" si="23"/>
        <v>3.2871542252740617E-2</v>
      </c>
      <c r="BE61" s="38">
        <f t="shared" si="24"/>
        <v>2.7592149724019591E-2</v>
      </c>
      <c r="BF61" s="38">
        <f t="shared" si="25"/>
        <v>0</v>
      </c>
      <c r="BG61" s="38">
        <f t="shared" si="26"/>
        <v>0</v>
      </c>
      <c r="BH61" s="38">
        <f t="shared" si="27"/>
        <v>0</v>
      </c>
      <c r="BI61" s="38">
        <f t="shared" si="28"/>
        <v>0</v>
      </c>
      <c r="BJ61" s="38">
        <f t="shared" si="29"/>
        <v>0</v>
      </c>
      <c r="BK61" s="38">
        <f t="shared" si="30"/>
        <v>0</v>
      </c>
      <c r="BL61" s="41">
        <f t="shared" si="31"/>
        <v>3</v>
      </c>
      <c r="BM61" s="42">
        <f t="shared" si="56"/>
        <v>3.9999999999999996</v>
      </c>
      <c r="BN61" s="38">
        <f t="shared" si="32"/>
        <v>2.7640424565167115E-2</v>
      </c>
      <c r="BO61" s="38">
        <f t="shared" si="33"/>
        <v>0</v>
      </c>
      <c r="BQ61" s="38">
        <f t="shared" si="34"/>
        <v>1.2816245006657789E-3</v>
      </c>
      <c r="BR61" s="38">
        <f t="shared" si="35"/>
        <v>0.19954932398597897</v>
      </c>
      <c r="BS61" s="38">
        <f t="shared" si="36"/>
        <v>1.0749313456257356E-2</v>
      </c>
      <c r="BT61" s="38">
        <f t="shared" si="37"/>
        <v>8.1584314757549839E-4</v>
      </c>
      <c r="BU61" s="38">
        <f t="shared" si="38"/>
        <v>1.0670842032011136</v>
      </c>
      <c r="BV61" s="38">
        <f t="shared" si="39"/>
        <v>1.4307865802086268E-2</v>
      </c>
      <c r="BW61" s="38">
        <f t="shared" si="40"/>
        <v>1.2009925558312656E-2</v>
      </c>
      <c r="BX61" s="38">
        <f t="shared" si="41"/>
        <v>0</v>
      </c>
      <c r="BY61" s="38">
        <f t="shared" si="42"/>
        <v>0</v>
      </c>
      <c r="BZ61" s="38">
        <f t="shared" si="43"/>
        <v>0</v>
      </c>
      <c r="CA61" s="38">
        <f t="shared" si="44"/>
        <v>0</v>
      </c>
      <c r="CB61" s="38">
        <f t="shared" si="45"/>
        <v>0</v>
      </c>
      <c r="CC61" s="38">
        <f t="shared" si="46"/>
        <v>0</v>
      </c>
      <c r="CD61" s="38">
        <f t="shared" si="47"/>
        <v>1.3057980996519902</v>
      </c>
      <c r="CE61" s="38">
        <f t="shared" si="48"/>
        <v>1.5124116264405514</v>
      </c>
      <c r="CF61" s="38">
        <f t="shared" si="49"/>
        <v>2.2974455245413004</v>
      </c>
      <c r="CG61" s="38">
        <f t="shared" si="50"/>
        <v>3.4746833224300739</v>
      </c>
    </row>
    <row r="62" spans="1:85" ht="15" customHeight="1" x14ac:dyDescent="0.25">
      <c r="A62" s="35" t="s">
        <v>85</v>
      </c>
      <c r="B62" s="15">
        <v>1330</v>
      </c>
      <c r="C62" s="102" t="s">
        <v>98</v>
      </c>
      <c r="D62" s="103" t="s">
        <v>105</v>
      </c>
      <c r="E62" s="15">
        <v>337</v>
      </c>
      <c r="F62" s="15" t="s">
        <v>272</v>
      </c>
      <c r="G62" s="16">
        <v>0.11</v>
      </c>
      <c r="H62" s="16">
        <v>15.34</v>
      </c>
      <c r="I62" s="16">
        <v>0.54400000000000004</v>
      </c>
      <c r="J62" s="16">
        <v>0.05</v>
      </c>
      <c r="K62" s="16">
        <v>77.78</v>
      </c>
      <c r="L62" s="16">
        <v>0.94599999999999995</v>
      </c>
      <c r="M62" s="16">
        <v>0.46100000000000002</v>
      </c>
      <c r="N62" s="16">
        <v>0.04</v>
      </c>
      <c r="O62" s="16">
        <v>0</v>
      </c>
      <c r="P62" s="16">
        <v>1.7999999999999999E-2</v>
      </c>
      <c r="Q62" s="16">
        <v>0</v>
      </c>
      <c r="T62" s="16">
        <f t="shared" si="0"/>
        <v>95.289000000000001</v>
      </c>
      <c r="U62" s="16"/>
      <c r="V62" s="16">
        <f t="shared" si="51"/>
        <v>43.504012037296619</v>
      </c>
      <c r="W62" s="16">
        <f t="shared" si="52"/>
        <v>38.090905422952261</v>
      </c>
      <c r="X62" s="16">
        <f t="shared" si="53"/>
        <v>99.10391746024888</v>
      </c>
      <c r="AD62" s="15">
        <v>4</v>
      </c>
      <c r="AE62" s="15">
        <v>3</v>
      </c>
      <c r="AG62" s="38">
        <f t="shared" si="1"/>
        <v>4.8406113324473308E-3</v>
      </c>
      <c r="AH62" s="38">
        <f t="shared" si="2"/>
        <v>0.50772056591838932</v>
      </c>
      <c r="AI62" s="38">
        <f t="shared" si="3"/>
        <v>2.8212171849257998E-2</v>
      </c>
      <c r="AJ62" s="38">
        <f t="shared" si="4"/>
        <v>1.739492005176391E-3</v>
      </c>
      <c r="AK62" s="38">
        <f t="shared" si="5"/>
        <v>2.8620592378338996</v>
      </c>
      <c r="AL62" s="38">
        <f t="shared" si="6"/>
        <v>3.5256354498724933E-2</v>
      </c>
      <c r="AM62" s="38">
        <f t="shared" si="7"/>
        <v>3.0243589262674002E-2</v>
      </c>
      <c r="AN62" s="38">
        <f t="shared" si="8"/>
        <v>1.8857731088927224E-3</v>
      </c>
      <c r="AO62" s="38">
        <f t="shared" si="9"/>
        <v>0</v>
      </c>
      <c r="AP62" s="38">
        <f t="shared" si="10"/>
        <v>1.0103900249685081E-3</v>
      </c>
      <c r="AQ62" s="38">
        <f t="shared" si="11"/>
        <v>0</v>
      </c>
      <c r="AR62" s="38">
        <f t="shared" si="12"/>
        <v>0</v>
      </c>
      <c r="AS62" s="38">
        <f t="shared" si="13"/>
        <v>0</v>
      </c>
      <c r="AT62" s="39">
        <f t="shared" si="14"/>
        <v>3.4729681858344308</v>
      </c>
      <c r="AU62" s="38">
        <f t="shared" si="15"/>
        <v>3.3052783181705327E-2</v>
      </c>
      <c r="AV62" s="38">
        <f t="shared" si="16"/>
        <v>2.8961631338612305E-3</v>
      </c>
      <c r="AW62" s="40"/>
      <c r="AX62" s="38">
        <f t="shared" si="17"/>
        <v>4.1813898718029621E-3</v>
      </c>
      <c r="AY62" s="38">
        <f t="shared" si="18"/>
        <v>0.43857634629878034</v>
      </c>
      <c r="AZ62" s="38">
        <f t="shared" si="19"/>
        <v>2.4370080870014899E-2</v>
      </c>
      <c r="BA62" s="38">
        <f t="shared" si="20"/>
        <v>1.5025982779843287E-3</v>
      </c>
      <c r="BB62" s="38">
        <f t="shared" si="21"/>
        <v>1.3828034032717174</v>
      </c>
      <c r="BC62" s="38">
        <f t="shared" si="22"/>
        <v>1.0894846379844818</v>
      </c>
      <c r="BD62" s="38">
        <f t="shared" si="23"/>
        <v>3.0454947421512953E-2</v>
      </c>
      <c r="BE62" s="38">
        <f t="shared" si="24"/>
        <v>2.6124848525274538E-2</v>
      </c>
      <c r="BF62" s="38">
        <f t="shared" si="25"/>
        <v>1.6289580047848654E-3</v>
      </c>
      <c r="BG62" s="38">
        <f t="shared" si="26"/>
        <v>0</v>
      </c>
      <c r="BH62" s="38">
        <f t="shared" si="27"/>
        <v>8.7278947364651503E-4</v>
      </c>
      <c r="BI62" s="38">
        <f t="shared" si="28"/>
        <v>0</v>
      </c>
      <c r="BJ62" s="38">
        <f t="shared" si="29"/>
        <v>0</v>
      </c>
      <c r="BK62" s="38">
        <f t="shared" si="30"/>
        <v>0</v>
      </c>
      <c r="BL62" s="41">
        <f t="shared" si="31"/>
        <v>3.0000000000000009</v>
      </c>
      <c r="BM62" s="42">
        <f t="shared" si="56"/>
        <v>4.0000000000000018</v>
      </c>
      <c r="BN62" s="38">
        <f t="shared" si="32"/>
        <v>2.855147074181786E-2</v>
      </c>
      <c r="BO62" s="38">
        <f t="shared" si="33"/>
        <v>2.5017474784313804E-3</v>
      </c>
      <c r="BQ62" s="38">
        <f t="shared" si="34"/>
        <v>1.8308921438082556E-3</v>
      </c>
      <c r="BR62" s="38">
        <f t="shared" si="35"/>
        <v>0.19203805708562846</v>
      </c>
      <c r="BS62" s="38">
        <f t="shared" si="36"/>
        <v>1.067085131424088E-2</v>
      </c>
      <c r="BT62" s="38">
        <f t="shared" si="37"/>
        <v>6.5793802223830511E-4</v>
      </c>
      <c r="BU62" s="38">
        <f t="shared" si="38"/>
        <v>1.0825330549756438</v>
      </c>
      <c r="BV62" s="38">
        <f t="shared" si="39"/>
        <v>1.3335212855934593E-2</v>
      </c>
      <c r="BW62" s="38">
        <f t="shared" si="40"/>
        <v>1.1439205955334989E-2</v>
      </c>
      <c r="BX62" s="38">
        <f t="shared" si="41"/>
        <v>7.1326676176890159E-4</v>
      </c>
      <c r="BY62" s="38">
        <f t="shared" si="42"/>
        <v>0</v>
      </c>
      <c r="BZ62" s="38">
        <f t="shared" si="43"/>
        <v>3.8216560509554134E-4</v>
      </c>
      <c r="CA62" s="38">
        <f t="shared" si="44"/>
        <v>0</v>
      </c>
      <c r="CB62" s="38">
        <f t="shared" si="45"/>
        <v>0</v>
      </c>
      <c r="CC62" s="38">
        <f t="shared" si="46"/>
        <v>0</v>
      </c>
      <c r="CD62" s="38">
        <f t="shared" si="47"/>
        <v>1.3136006447196935</v>
      </c>
      <c r="CE62" s="38">
        <f t="shared" si="48"/>
        <v>1.512942905814822</v>
      </c>
      <c r="CF62" s="38">
        <f t="shared" si="49"/>
        <v>2.2837991227083814</v>
      </c>
      <c r="CG62" s="38">
        <f t="shared" si="50"/>
        <v>3.45525768100776</v>
      </c>
    </row>
    <row r="63" spans="1:85" ht="15" customHeight="1" x14ac:dyDescent="0.25">
      <c r="A63" s="35" t="s">
        <v>85</v>
      </c>
      <c r="B63" s="15">
        <v>1331</v>
      </c>
      <c r="C63" s="102" t="s">
        <v>98</v>
      </c>
      <c r="D63" s="103" t="s">
        <v>105</v>
      </c>
      <c r="E63" s="15">
        <v>338</v>
      </c>
      <c r="F63" s="15" t="s">
        <v>272</v>
      </c>
      <c r="G63" s="16">
        <v>7.8E-2</v>
      </c>
      <c r="H63" s="16">
        <v>16.7</v>
      </c>
      <c r="I63" s="16">
        <v>0.63500000000000001</v>
      </c>
      <c r="J63" s="16">
        <v>0</v>
      </c>
      <c r="K63" s="16">
        <v>75.94</v>
      </c>
      <c r="L63" s="16">
        <v>1.016</v>
      </c>
      <c r="M63" s="16">
        <v>0.51300000000000001</v>
      </c>
      <c r="N63" s="16">
        <v>0.04</v>
      </c>
      <c r="O63" s="16">
        <v>4.8000000000000001E-2</v>
      </c>
      <c r="P63" s="16">
        <v>0.01</v>
      </c>
      <c r="Q63" s="16">
        <v>0</v>
      </c>
      <c r="T63" s="16">
        <f t="shared" si="0"/>
        <v>94.980000000000018</v>
      </c>
      <c r="U63" s="16"/>
      <c r="V63" s="16">
        <f t="shared" si="51"/>
        <v>44.223482207136954</v>
      </c>
      <c r="W63" s="16">
        <f t="shared" si="52"/>
        <v>35.246566223208696</v>
      </c>
      <c r="X63" s="16">
        <f t="shared" si="53"/>
        <v>98.510048430345648</v>
      </c>
      <c r="AD63" s="15">
        <v>4</v>
      </c>
      <c r="AE63" s="15">
        <v>3</v>
      </c>
      <c r="AG63" s="38">
        <f t="shared" si="1"/>
        <v>3.405346959591775E-3</v>
      </c>
      <c r="AH63" s="38">
        <f t="shared" si="2"/>
        <v>0.54837178797827713</v>
      </c>
      <c r="AI63" s="38">
        <f t="shared" si="3"/>
        <v>3.2671613500013554E-2</v>
      </c>
      <c r="AJ63" s="38">
        <f t="shared" si="4"/>
        <v>0</v>
      </c>
      <c r="AK63" s="38">
        <f t="shared" si="5"/>
        <v>2.7723018129887542</v>
      </c>
      <c r="AL63" s="38">
        <f t="shared" si="6"/>
        <v>3.7566368339006277E-2</v>
      </c>
      <c r="AM63" s="38">
        <f t="shared" si="7"/>
        <v>3.338943018879445E-2</v>
      </c>
      <c r="AN63" s="38">
        <f t="shared" si="8"/>
        <v>1.8708918151018126E-3</v>
      </c>
      <c r="AO63" s="38">
        <f t="shared" si="9"/>
        <v>4.0627149270439367E-3</v>
      </c>
      <c r="AP63" s="38">
        <f t="shared" si="10"/>
        <v>5.5689815812584738E-4</v>
      </c>
      <c r="AQ63" s="38">
        <f t="shared" si="11"/>
        <v>0</v>
      </c>
      <c r="AR63" s="38">
        <f t="shared" si="12"/>
        <v>0</v>
      </c>
      <c r="AS63" s="38">
        <f t="shared" si="13"/>
        <v>0</v>
      </c>
      <c r="AT63" s="39">
        <f t="shared" si="14"/>
        <v>3.4341968648547092</v>
      </c>
      <c r="AU63" s="38">
        <f t="shared" si="15"/>
        <v>3.6076960459605331E-2</v>
      </c>
      <c r="AV63" s="38">
        <f t="shared" si="16"/>
        <v>6.4905049002715971E-3</v>
      </c>
      <c r="AW63" s="40"/>
      <c r="AX63" s="38">
        <f t="shared" si="17"/>
        <v>2.9747976836521682E-3</v>
      </c>
      <c r="AY63" s="38">
        <f t="shared" si="18"/>
        <v>0.47903932962341456</v>
      </c>
      <c r="AZ63" s="38">
        <f t="shared" si="19"/>
        <v>2.8540833375953652E-2</v>
      </c>
      <c r="BA63" s="38">
        <f t="shared" si="20"/>
        <v>0</v>
      </c>
      <c r="BB63" s="38">
        <f t="shared" si="21"/>
        <v>1.4103240759709617</v>
      </c>
      <c r="BC63" s="38">
        <f t="shared" si="22"/>
        <v>1.0114664521378947</v>
      </c>
      <c r="BD63" s="38">
        <f t="shared" si="23"/>
        <v>3.281672817606128E-2</v>
      </c>
      <c r="BE63" s="38">
        <f t="shared" si="24"/>
        <v>2.9167894127298727E-2</v>
      </c>
      <c r="BF63" s="38">
        <f t="shared" si="25"/>
        <v>1.6343487767824559E-3</v>
      </c>
      <c r="BG63" s="38">
        <f t="shared" si="26"/>
        <v>3.5490524453808377E-3</v>
      </c>
      <c r="BH63" s="38">
        <f t="shared" si="27"/>
        <v>4.8648768260063765E-4</v>
      </c>
      <c r="BI63" s="38">
        <f t="shared" si="28"/>
        <v>0</v>
      </c>
      <c r="BJ63" s="38">
        <f t="shared" si="29"/>
        <v>0</v>
      </c>
      <c r="BK63" s="38">
        <f t="shared" si="30"/>
        <v>0</v>
      </c>
      <c r="BL63" s="41">
        <f t="shared" si="31"/>
        <v>3.0000000000000004</v>
      </c>
      <c r="BM63" s="42">
        <f t="shared" si="56"/>
        <v>4</v>
      </c>
      <c r="BN63" s="38">
        <f t="shared" si="32"/>
        <v>3.1515631059605823E-2</v>
      </c>
      <c r="BO63" s="38">
        <f t="shared" si="33"/>
        <v>5.669888904763931E-3</v>
      </c>
      <c r="BQ63" s="38">
        <f t="shared" si="34"/>
        <v>1.2982689747003996E-3</v>
      </c>
      <c r="BR63" s="38">
        <f t="shared" si="35"/>
        <v>0.20906359539308964</v>
      </c>
      <c r="BS63" s="38">
        <f t="shared" si="36"/>
        <v>1.2455865045115732E-2</v>
      </c>
      <c r="BT63" s="38">
        <f t="shared" si="37"/>
        <v>0</v>
      </c>
      <c r="BU63" s="38">
        <f t="shared" si="38"/>
        <v>1.0569241475295756</v>
      </c>
      <c r="BV63" s="38">
        <f t="shared" si="39"/>
        <v>1.4321962221595715E-2</v>
      </c>
      <c r="BW63" s="38">
        <f t="shared" si="40"/>
        <v>1.272952853598015E-2</v>
      </c>
      <c r="BX63" s="38">
        <f t="shared" si="41"/>
        <v>7.1326676176890159E-4</v>
      </c>
      <c r="BY63" s="38">
        <f t="shared" si="42"/>
        <v>1.5488867376573089E-3</v>
      </c>
      <c r="BZ63" s="38">
        <f t="shared" si="43"/>
        <v>2.1231422505307856E-4</v>
      </c>
      <c r="CA63" s="38">
        <f t="shared" si="44"/>
        <v>0</v>
      </c>
      <c r="CB63" s="38">
        <f t="shared" si="45"/>
        <v>0</v>
      </c>
      <c r="CC63" s="38">
        <f t="shared" si="46"/>
        <v>0</v>
      </c>
      <c r="CD63" s="38">
        <f t="shared" si="47"/>
        <v>1.3092678354245364</v>
      </c>
      <c r="CE63" s="38">
        <f t="shared" si="48"/>
        <v>1.5249770318335292</v>
      </c>
      <c r="CF63" s="38">
        <f t="shared" si="49"/>
        <v>2.2913569850490032</v>
      </c>
      <c r="CG63" s="38">
        <f t="shared" si="50"/>
        <v>3.4942667739310531</v>
      </c>
    </row>
    <row r="64" spans="1:85" ht="15" customHeight="1" x14ac:dyDescent="0.25">
      <c r="A64" s="35" t="s">
        <v>85</v>
      </c>
      <c r="B64" s="15">
        <v>1332</v>
      </c>
      <c r="C64" s="102" t="s">
        <v>98</v>
      </c>
      <c r="D64" s="103" t="s">
        <v>105</v>
      </c>
      <c r="E64" s="15">
        <v>339</v>
      </c>
      <c r="F64" s="15" t="s">
        <v>279</v>
      </c>
      <c r="G64" s="16">
        <v>2.7E-2</v>
      </c>
      <c r="H64" s="16">
        <v>45.54</v>
      </c>
      <c r="I64" s="16">
        <v>5.0999999999999997E-2</v>
      </c>
      <c r="J64" s="16">
        <v>0</v>
      </c>
      <c r="K64" s="16">
        <v>47.3</v>
      </c>
      <c r="L64" s="16">
        <v>1.2749999999999999</v>
      </c>
      <c r="M64" s="16">
        <v>0.81899999999999995</v>
      </c>
      <c r="N64" s="16">
        <v>6.9000000000000006E-2</v>
      </c>
      <c r="O64" s="16">
        <v>0</v>
      </c>
      <c r="P64" s="16">
        <v>1.4999999999999999E-2</v>
      </c>
      <c r="Q64" s="16">
        <v>0</v>
      </c>
      <c r="T64" s="16">
        <f t="shared" si="0"/>
        <v>95.096000000000018</v>
      </c>
      <c r="U64" s="16"/>
      <c r="V64" s="16">
        <f t="shared" si="51"/>
        <v>38.108644735440599</v>
      </c>
      <c r="W64" s="16">
        <f t="shared" si="52"/>
        <v>10.214353105504863</v>
      </c>
      <c r="X64" s="16">
        <f t="shared" si="53"/>
        <v>96.118997840945468</v>
      </c>
      <c r="AD64" s="15">
        <v>3</v>
      </c>
      <c r="AE64" s="15">
        <v>2</v>
      </c>
      <c r="AG64" s="38">
        <f t="shared" si="1"/>
        <v>7.3247555268926741E-4</v>
      </c>
      <c r="AH64" s="38">
        <f t="shared" si="2"/>
        <v>0.92921083249954195</v>
      </c>
      <c r="AI64" s="38">
        <f t="shared" si="3"/>
        <v>1.6305331731282641E-3</v>
      </c>
      <c r="AJ64" s="38">
        <f t="shared" si="4"/>
        <v>0</v>
      </c>
      <c r="AK64" s="38">
        <f t="shared" si="5"/>
        <v>1.072985028492238</v>
      </c>
      <c r="AL64" s="38">
        <f t="shared" si="6"/>
        <v>2.9293974191598147E-2</v>
      </c>
      <c r="AM64" s="38">
        <f t="shared" si="7"/>
        <v>3.3123647143978314E-2</v>
      </c>
      <c r="AN64" s="38">
        <f t="shared" si="8"/>
        <v>2.0053970869554154E-3</v>
      </c>
      <c r="AO64" s="38">
        <f t="shared" si="9"/>
        <v>0</v>
      </c>
      <c r="AP64" s="38">
        <f t="shared" si="10"/>
        <v>5.1907444215111098E-4</v>
      </c>
      <c r="AQ64" s="38">
        <f t="shared" si="11"/>
        <v>0</v>
      </c>
      <c r="AR64" s="38">
        <f t="shared" si="12"/>
        <v>0</v>
      </c>
      <c r="AS64" s="38">
        <f t="shared" si="13"/>
        <v>0</v>
      </c>
      <c r="AT64" s="39">
        <f t="shared" si="14"/>
        <v>2.0695009625822802</v>
      </c>
      <c r="AU64" s="38">
        <f t="shared" si="15"/>
        <v>2.3630087258175317E-3</v>
      </c>
      <c r="AV64" s="38">
        <f t="shared" si="16"/>
        <v>2.5244715291065263E-3</v>
      </c>
      <c r="AW64" s="40"/>
      <c r="AX64" s="38">
        <f t="shared" si="17"/>
        <v>7.0787650349802167E-4</v>
      </c>
      <c r="AY64" s="38">
        <f t="shared" si="18"/>
        <v>0.89800473573116091</v>
      </c>
      <c r="AZ64" s="38">
        <f t="shared" si="19"/>
        <v>1.5757742592143746E-3</v>
      </c>
      <c r="BA64" s="38">
        <f t="shared" si="20"/>
        <v>0</v>
      </c>
      <c r="BB64" s="38">
        <f t="shared" si="21"/>
        <v>0.83544985614958556</v>
      </c>
      <c r="BC64" s="38">
        <f t="shared" si="22"/>
        <v>0.20150064340794005</v>
      </c>
      <c r="BD64" s="38">
        <f t="shared" si="23"/>
        <v>2.8310181750334371E-2</v>
      </c>
      <c r="BE64" s="38">
        <f t="shared" si="24"/>
        <v>3.2011241108723443E-2</v>
      </c>
      <c r="BF64" s="38">
        <f t="shared" si="25"/>
        <v>1.9380489530704276E-3</v>
      </c>
      <c r="BG64" s="38">
        <f t="shared" si="26"/>
        <v>0</v>
      </c>
      <c r="BH64" s="38">
        <f t="shared" si="27"/>
        <v>5.0164213647276642E-4</v>
      </c>
      <c r="BI64" s="38">
        <f t="shared" si="28"/>
        <v>0</v>
      </c>
      <c r="BJ64" s="38">
        <f t="shared" si="29"/>
        <v>0</v>
      </c>
      <c r="BK64" s="38">
        <f t="shared" si="30"/>
        <v>0</v>
      </c>
      <c r="BL64" s="41">
        <f t="shared" si="31"/>
        <v>2</v>
      </c>
      <c r="BM64" s="42">
        <f t="shared" si="56"/>
        <v>2.9999999999999996</v>
      </c>
      <c r="BN64" s="38">
        <f t="shared" si="32"/>
        <v>2.2836507627123962E-3</v>
      </c>
      <c r="BO64" s="38">
        <f t="shared" si="33"/>
        <v>2.4396910895431939E-3</v>
      </c>
      <c r="BQ64" s="38">
        <f t="shared" si="34"/>
        <v>4.4940079893475367E-4</v>
      </c>
      <c r="BR64" s="38">
        <f t="shared" si="35"/>
        <v>0.57010515773660497</v>
      </c>
      <c r="BS64" s="38">
        <f t="shared" si="36"/>
        <v>1.0003923107100824E-3</v>
      </c>
      <c r="BT64" s="38">
        <f t="shared" si="37"/>
        <v>0</v>
      </c>
      <c r="BU64" s="38">
        <f t="shared" si="38"/>
        <v>0.65831593597773141</v>
      </c>
      <c r="BV64" s="38">
        <f t="shared" si="39"/>
        <v>1.7972934874541865E-2</v>
      </c>
      <c r="BW64" s="38">
        <f t="shared" si="40"/>
        <v>2.0322580645161292E-2</v>
      </c>
      <c r="BX64" s="38">
        <f t="shared" si="41"/>
        <v>1.2303851640513553E-3</v>
      </c>
      <c r="BY64" s="38">
        <f t="shared" si="42"/>
        <v>0</v>
      </c>
      <c r="BZ64" s="38">
        <f t="shared" si="43"/>
        <v>3.1847133757961782E-4</v>
      </c>
      <c r="CA64" s="38">
        <f t="shared" si="44"/>
        <v>0</v>
      </c>
      <c r="CB64" s="38">
        <f t="shared" si="45"/>
        <v>0</v>
      </c>
      <c r="CC64" s="38">
        <f t="shared" si="46"/>
        <v>0</v>
      </c>
      <c r="CD64" s="38">
        <f t="shared" si="47"/>
        <v>1.2697152588453153</v>
      </c>
      <c r="CE64" s="38">
        <f t="shared" si="48"/>
        <v>1.8406107778674201</v>
      </c>
      <c r="CF64" s="38">
        <f t="shared" si="49"/>
        <v>1.5751563085244866</v>
      </c>
      <c r="CG64" s="38">
        <f t="shared" si="50"/>
        <v>2.8992496782960293</v>
      </c>
    </row>
    <row r="65" spans="1:85" ht="15" customHeight="1" x14ac:dyDescent="0.25">
      <c r="A65" s="35" t="s">
        <v>85</v>
      </c>
      <c r="B65" s="15">
        <v>1333</v>
      </c>
      <c r="C65" s="102" t="s">
        <v>98</v>
      </c>
      <c r="D65" s="103" t="s">
        <v>105</v>
      </c>
      <c r="E65" s="15">
        <v>340</v>
      </c>
      <c r="F65" s="15" t="s">
        <v>272</v>
      </c>
      <c r="G65" s="16">
        <v>8.6999999999999994E-2</v>
      </c>
      <c r="H65" s="16">
        <v>15.85</v>
      </c>
      <c r="I65" s="16">
        <v>0.67</v>
      </c>
      <c r="J65" s="16">
        <v>1.9E-2</v>
      </c>
      <c r="K65" s="16">
        <v>75.92</v>
      </c>
      <c r="L65" s="16">
        <v>1.016</v>
      </c>
      <c r="M65" s="16">
        <v>0.45400000000000001</v>
      </c>
      <c r="N65" s="16">
        <v>0</v>
      </c>
      <c r="O65" s="16">
        <v>0</v>
      </c>
      <c r="P65" s="16">
        <v>0.01</v>
      </c>
      <c r="Q65" s="16">
        <v>0</v>
      </c>
      <c r="T65" s="16">
        <f t="shared" si="0"/>
        <v>94.025999999999996</v>
      </c>
      <c r="U65" s="16"/>
      <c r="V65" s="16">
        <f t="shared" si="51"/>
        <v>43.52396413199213</v>
      </c>
      <c r="W65" s="16">
        <f t="shared" si="52"/>
        <v>36.001714660117145</v>
      </c>
      <c r="X65" s="16">
        <f t="shared" si="53"/>
        <v>97.63167879210927</v>
      </c>
      <c r="AD65" s="15">
        <v>4</v>
      </c>
      <c r="AE65" s="15">
        <v>3</v>
      </c>
      <c r="AG65" s="38">
        <f t="shared" si="1"/>
        <v>3.8559410973256999E-3</v>
      </c>
      <c r="AH65" s="38">
        <f t="shared" si="2"/>
        <v>0.52836284842035319</v>
      </c>
      <c r="AI65" s="38">
        <f t="shared" si="3"/>
        <v>3.4995808713651468E-2</v>
      </c>
      <c r="AJ65" s="38">
        <f t="shared" si="4"/>
        <v>6.6574765300185849E-4</v>
      </c>
      <c r="AK65" s="38">
        <f t="shared" si="5"/>
        <v>2.8136526976518366</v>
      </c>
      <c r="AL65" s="38">
        <f t="shared" si="6"/>
        <v>3.8136741780388367E-2</v>
      </c>
      <c r="AM65" s="38">
        <f t="shared" si="7"/>
        <v>2.9997970186762198E-2</v>
      </c>
      <c r="AN65" s="38">
        <f t="shared" si="8"/>
        <v>0</v>
      </c>
      <c r="AO65" s="38">
        <f t="shared" si="9"/>
        <v>0</v>
      </c>
      <c r="AP65" s="38">
        <f t="shared" si="10"/>
        <v>5.6535359134960599E-4</v>
      </c>
      <c r="AQ65" s="38">
        <f t="shared" si="11"/>
        <v>0</v>
      </c>
      <c r="AR65" s="38">
        <f t="shared" si="12"/>
        <v>0</v>
      </c>
      <c r="AS65" s="38">
        <f t="shared" si="13"/>
        <v>0</v>
      </c>
      <c r="AT65" s="39">
        <f t="shared" si="14"/>
        <v>3.4502331090946687</v>
      </c>
      <c r="AU65" s="38">
        <f t="shared" si="15"/>
        <v>3.8851749810977165E-2</v>
      </c>
      <c r="AV65" s="38">
        <f t="shared" si="16"/>
        <v>5.6535359134960599E-4</v>
      </c>
      <c r="AW65" s="40"/>
      <c r="AX65" s="38">
        <f t="shared" si="17"/>
        <v>3.3527657193610501E-3</v>
      </c>
      <c r="AY65" s="38">
        <f t="shared" si="18"/>
        <v>0.45941491346855179</v>
      </c>
      <c r="AZ65" s="38">
        <f t="shared" si="19"/>
        <v>3.0429081984116372E-2</v>
      </c>
      <c r="BA65" s="38">
        <f t="shared" si="20"/>
        <v>5.7887188947927236E-4</v>
      </c>
      <c r="BB65" s="38">
        <f t="shared" si="21"/>
        <v>1.4025409493180372</v>
      </c>
      <c r="BC65" s="38">
        <f t="shared" si="22"/>
        <v>1.0439482663542314</v>
      </c>
      <c r="BD65" s="38">
        <f t="shared" si="23"/>
        <v>3.3160143597133936E-2</v>
      </c>
      <c r="BE65" s="38">
        <f t="shared" si="24"/>
        <v>2.6083429065435156E-2</v>
      </c>
      <c r="BF65" s="38">
        <f t="shared" si="25"/>
        <v>0</v>
      </c>
      <c r="BG65" s="38">
        <f t="shared" si="26"/>
        <v>0</v>
      </c>
      <c r="BH65" s="38">
        <f t="shared" si="27"/>
        <v>4.9157860365378603E-4</v>
      </c>
      <c r="BI65" s="38">
        <f t="shared" si="28"/>
        <v>0</v>
      </c>
      <c r="BJ65" s="38">
        <f t="shared" si="29"/>
        <v>0</v>
      </c>
      <c r="BK65" s="38">
        <f t="shared" si="30"/>
        <v>0</v>
      </c>
      <c r="BL65" s="41">
        <f t="shared" si="31"/>
        <v>2.9999999999999996</v>
      </c>
      <c r="BM65" s="42">
        <f t="shared" si="56"/>
        <v>3.9999999999999991</v>
      </c>
      <c r="BN65" s="38">
        <f t="shared" si="32"/>
        <v>3.3781847703477419E-2</v>
      </c>
      <c r="BO65" s="38">
        <f t="shared" si="33"/>
        <v>4.9157860365378603E-4</v>
      </c>
      <c r="BQ65" s="38">
        <f t="shared" si="34"/>
        <v>1.448069241011984E-3</v>
      </c>
      <c r="BR65" s="38">
        <f t="shared" si="35"/>
        <v>0.19842263395092641</v>
      </c>
      <c r="BS65" s="38">
        <f t="shared" si="36"/>
        <v>1.3142408787759907E-2</v>
      </c>
      <c r="BT65" s="38">
        <f t="shared" si="37"/>
        <v>2.5001644845055592E-4</v>
      </c>
      <c r="BU65" s="38">
        <f t="shared" si="38"/>
        <v>1.0566457898399444</v>
      </c>
      <c r="BV65" s="38">
        <f t="shared" si="39"/>
        <v>1.4321962221595715E-2</v>
      </c>
      <c r="BW65" s="38">
        <f t="shared" si="40"/>
        <v>1.1265508684863524E-2</v>
      </c>
      <c r="BX65" s="38">
        <f t="shared" si="41"/>
        <v>0</v>
      </c>
      <c r="BY65" s="38">
        <f t="shared" si="42"/>
        <v>0</v>
      </c>
      <c r="BZ65" s="38">
        <f t="shared" si="43"/>
        <v>2.1231422505307856E-4</v>
      </c>
      <c r="CA65" s="38">
        <f t="shared" si="44"/>
        <v>0</v>
      </c>
      <c r="CB65" s="38">
        <f t="shared" si="45"/>
        <v>0</v>
      </c>
      <c r="CC65" s="38">
        <f t="shared" si="46"/>
        <v>0</v>
      </c>
      <c r="CD65" s="38">
        <f t="shared" si="47"/>
        <v>1.2957087033996055</v>
      </c>
      <c r="CE65" s="38">
        <f t="shared" si="48"/>
        <v>1.5021694620971227</v>
      </c>
      <c r="CF65" s="38">
        <f t="shared" si="49"/>
        <v>2.315335223209332</v>
      </c>
      <c r="CG65" s="38">
        <f t="shared" si="50"/>
        <v>3.4780258668228838</v>
      </c>
    </row>
    <row r="66" spans="1:85" ht="15" customHeight="1" x14ac:dyDescent="0.25">
      <c r="A66" s="35" t="s">
        <v>85</v>
      </c>
      <c r="B66" s="15">
        <v>1334</v>
      </c>
      <c r="C66" s="102" t="s">
        <v>98</v>
      </c>
      <c r="D66" s="103" t="s">
        <v>105</v>
      </c>
      <c r="E66" s="15">
        <v>341</v>
      </c>
      <c r="F66" s="15" t="s">
        <v>272</v>
      </c>
      <c r="G66" s="16">
        <v>9.6000000000000002E-2</v>
      </c>
      <c r="H66" s="16">
        <v>15.93</v>
      </c>
      <c r="I66" s="16">
        <v>0.56499999999999995</v>
      </c>
      <c r="J66" s="16">
        <v>1.4E-2</v>
      </c>
      <c r="K66" s="16">
        <v>75.39</v>
      </c>
      <c r="L66" s="16">
        <v>1.028</v>
      </c>
      <c r="M66" s="16">
        <v>0.56699999999999995</v>
      </c>
      <c r="N66" s="16">
        <v>7.5999999999999998E-2</v>
      </c>
      <c r="O66" s="16">
        <v>2.3E-2</v>
      </c>
      <c r="P66" s="16">
        <v>2.1999999999999999E-2</v>
      </c>
      <c r="Q66" s="16">
        <v>0</v>
      </c>
      <c r="T66" s="16">
        <f t="shared" ref="T66:T129" si="57">SUM(G66:S66)</f>
        <v>93.710999999999999</v>
      </c>
      <c r="U66" s="16"/>
      <c r="V66" s="16">
        <f t="shared" si="51"/>
        <v>43.079976115788121</v>
      </c>
      <c r="W66" s="16">
        <f t="shared" si="52"/>
        <v>35.906129542524653</v>
      </c>
      <c r="X66" s="16">
        <f t="shared" si="53"/>
        <v>97.307105658312764</v>
      </c>
      <c r="AD66" s="15">
        <v>4</v>
      </c>
      <c r="AE66" s="15">
        <v>3</v>
      </c>
      <c r="AG66" s="38">
        <f t="shared" ref="AG66:AG129" si="58">BQ66*($AD66/$CE66)</f>
        <v>4.2645839199281915E-3</v>
      </c>
      <c r="AH66" s="38">
        <f t="shared" ref="AH66:AH129" si="59">BR66*($AD66/$CE66)</f>
        <v>0.53224682028445303</v>
      </c>
      <c r="AI66" s="38">
        <f t="shared" ref="AI66:AI129" si="60">BS66*($AD66/$CE66)</f>
        <v>2.9579033051921187E-2</v>
      </c>
      <c r="AJ66" s="38">
        <f t="shared" ref="AJ66:AJ129" si="61">BT66*($AD66/$CE66)</f>
        <v>4.9167527835301665E-4</v>
      </c>
      <c r="AK66" s="38">
        <f t="shared" ref="AK66:AK129" si="62">BU66*($AD66/$CE66)</f>
        <v>2.8004145589684897</v>
      </c>
      <c r="AL66" s="38">
        <f t="shared" ref="AL66:AL129" si="63">BV66*($AD66/$CE66)</f>
        <v>3.867562017825301E-2</v>
      </c>
      <c r="AM66" s="38">
        <f t="shared" ref="AM66:AM129" si="64">BW66*($AD66/$CE66)</f>
        <v>3.7550296340613368E-2</v>
      </c>
      <c r="AN66" s="38">
        <f t="shared" ref="AN66:AN129" si="65">BX66*($AD66/$CE66)</f>
        <v>3.6169369920028157E-3</v>
      </c>
      <c r="AO66" s="38">
        <f t="shared" ref="AO66:AO129" si="66">BY66*($AD66/$CE66)</f>
        <v>1.9808045081456289E-3</v>
      </c>
      <c r="AP66" s="38">
        <f t="shared" ref="AP66:AP129" si="67">BZ66*($AD66/$CE66)</f>
        <v>1.2466287247886337E-3</v>
      </c>
      <c r="AQ66" s="38">
        <f t="shared" ref="AQ66:AQ129" si="68">CA66*($AD66/$CE66)</f>
        <v>0</v>
      </c>
      <c r="AR66" s="38">
        <f t="shared" ref="AR66:AR129" si="69">CB66*($AD66/$CE66)</f>
        <v>0</v>
      </c>
      <c r="AS66" s="38">
        <f t="shared" ref="AS66:AS129" si="70">CC66*($AD66/$CE66)</f>
        <v>0</v>
      </c>
      <c r="AT66" s="39">
        <f t="shared" ref="AT66:AT129" si="71">SUM(AG66:AR66)</f>
        <v>3.4500669582469485</v>
      </c>
      <c r="AU66" s="38">
        <f t="shared" ref="AU66:AU129" si="72">AG66+AI66</f>
        <v>3.3843616971849379E-2</v>
      </c>
      <c r="AV66" s="38">
        <f t="shared" ref="AV66:AV129" si="73">SUM(AN66:AP66)</f>
        <v>6.8443702249370783E-3</v>
      </c>
      <c r="AW66" s="40"/>
      <c r="AX66" s="38">
        <f t="shared" ref="AX66:AX129" si="74">IF($AE66&gt;0,BQ66*$CF66,"")</f>
        <v>3.7082618727740141E-3</v>
      </c>
      <c r="AY66" s="38">
        <f t="shared" ref="AY66:AY129" si="75">IF($AE66&gt;0,BR66*$CF66,"")</f>
        <v>0.46281433959899038</v>
      </c>
      <c r="AZ66" s="38">
        <f t="shared" ref="AZ66:AZ129" si="76">IF($AE66&gt;0,BS66*$CF66,"")</f>
        <v>2.5720399119689187E-2</v>
      </c>
      <c r="BA66" s="38">
        <f t="shared" ref="BA66:BA129" si="77">IF($AE66&gt;0,BT66*$CF66,"")</f>
        <v>4.2753542261931681E-4</v>
      </c>
      <c r="BB66" s="38">
        <f t="shared" ref="BB66:BB129" si="78">IF($AE66&gt;0 +N("so a blank cell if no ideal cations set"),                         BU66*CF66-BC66,"")</f>
        <v>1.3914825622309719</v>
      </c>
      <c r="BC66" s="38">
        <f t="shared" ref="BC66:BC129" si="79">IF($AE66&gt;0 +N("so a blank cell if no ideal cations set"),                                                                     IF(AT66&gt;AE66,                          IF(  2*AD66*(1-(AE66/AT66))   &lt;   BU66*CF66,    2*AD66*(1-(AE66/AT66)),    BU66*CF66),0),"")</f>
        <v>1.0436132717276587</v>
      </c>
      <c r="BD66" s="38">
        <f t="shared" ref="BD66:BD129" si="80">IF($AE66&gt;0,BV66*$CF66,"")</f>
        <v>3.3630321364462652E-2</v>
      </c>
      <c r="BE66" s="38">
        <f t="shared" ref="BE66:BE129" si="81">IF($AE66&gt;0,BW66*$CF66,"")</f>
        <v>3.2651797888317041E-2</v>
      </c>
      <c r="BF66" s="38">
        <f t="shared" ref="BF66:BF129" si="82">IF($AE66&gt;0,BX66*$CF66,"")</f>
        <v>3.145101561020709E-3</v>
      </c>
      <c r="BG66" s="38">
        <f t="shared" ref="BG66:BG129" si="83">IF($AE66&gt;0,BY66*$CF66,"")</f>
        <v>1.7224052739707848E-3</v>
      </c>
      <c r="BH66" s="38">
        <f t="shared" ref="BH66:BH129" si="84">IF($AE66&gt;0,BZ66*$CF66,"")</f>
        <v>1.0840039395253406E-3</v>
      </c>
      <c r="BI66" s="38">
        <f t="shared" ref="BI66:BI129" si="85">IF($AE66&gt;0,CA66*$CF66,"")</f>
        <v>0</v>
      </c>
      <c r="BJ66" s="38">
        <f t="shared" ref="BJ66:BJ129" si="86">IF($AE66&gt;0,CB66*$CF66,"")</f>
        <v>0</v>
      </c>
      <c r="BK66" s="38">
        <f t="shared" ref="BK66:BK129" si="87">IF($AE66&gt;0,CC66*$CF66,"")</f>
        <v>0</v>
      </c>
      <c r="BL66" s="41">
        <f t="shared" ref="BL66:BL129" si="88">IF(AE66&gt;0,SUM(AX66:BJ66),"")</f>
        <v>3</v>
      </c>
      <c r="BM66" s="42">
        <f t="shared" si="56"/>
        <v>4</v>
      </c>
      <c r="BN66" s="38">
        <f t="shared" ref="BN66:BN129" si="89">IF(AE66&gt;0,AX66+AZ66,"")</f>
        <v>2.9428660992463201E-2</v>
      </c>
      <c r="BO66" s="38">
        <f t="shared" ref="BO66:BO129" si="90">IF(AE66&gt;0,SUM(BF66:BH66),"")</f>
        <v>5.9515107745168345E-3</v>
      </c>
      <c r="BQ66" s="38">
        <f t="shared" ref="BQ66:BQ129" si="91">G66/60.08</f>
        <v>1.5978695073235686E-3</v>
      </c>
      <c r="BR66" s="38">
        <f t="shared" ref="BR66:BR129" si="92">H66/79.88</f>
        <v>0.19942413620430646</v>
      </c>
      <c r="BS66" s="38">
        <f t="shared" ref="BS66:BS129" si="93">I66/101.96*2</f>
        <v>1.1082777559827383E-2</v>
      </c>
      <c r="BT66" s="38">
        <f t="shared" ref="BT66:BT129" si="94">J66/151.99*2</f>
        <v>1.8422264622672542E-4</v>
      </c>
      <c r="BU66" s="38">
        <f t="shared" ref="BU66:BU129" si="95">K66/71.85</f>
        <v>1.0492693110647182</v>
      </c>
      <c r="BV66" s="38">
        <f t="shared" ref="BV66:BV129" si="96">L66/70.94</f>
        <v>1.4491119255709051E-2</v>
      </c>
      <c r="BW66" s="38">
        <f t="shared" ref="BW66:BW129" si="97">M66/40.3</f>
        <v>1.4069478908188585E-2</v>
      </c>
      <c r="BX66" s="38">
        <f t="shared" ref="BX66:BX129" si="98">N66/56.08</f>
        <v>1.3552068473609131E-3</v>
      </c>
      <c r="BY66" s="38">
        <f t="shared" ref="BY66:BY129" si="99">O66/61.98*2</f>
        <v>7.421748951274605E-4</v>
      </c>
      <c r="BZ66" s="38">
        <f t="shared" ref="BZ66:BZ129" si="100">P66/94.2*2</f>
        <v>4.6709129511677281E-4</v>
      </c>
      <c r="CA66" s="38">
        <f t="shared" ref="CA66:CA129" si="101">Q66/141.94*2</f>
        <v>0</v>
      </c>
      <c r="CB66" s="38">
        <f t="shared" ref="CB66:CB129" si="102">R66/80.06</f>
        <v>0</v>
      </c>
      <c r="CC66" s="38">
        <f t="shared" ref="CC66:CC129" si="103">S66/35.45</f>
        <v>0</v>
      </c>
      <c r="CD66" s="38">
        <f t="shared" ref="CD66:CD129" si="104">SUM(BQ66:CB66)</f>
        <v>1.2926833881839053</v>
      </c>
      <c r="CE66" s="38">
        <f t="shared" ref="CE66:CE129" si="105">(BQ66+BR66)*2+(BS66+BT66)*1.5+BU66+BV66+BW66+BX66+(BY66+BZ66)*0.5+CA66*2.5+CB66*3+     -(0.5*(CC66))</f>
        <v>1.4987342609034402</v>
      </c>
      <c r="CF66" s="38">
        <f t="shared" ref="CF66:CF129" si="106">AE66/CD66</f>
        <v>2.3207538887110704</v>
      </c>
      <c r="CG66" s="38">
        <f t="shared" ref="CG66:CG129" si="107">CE66*CF66</f>
        <v>3.4781933641361706</v>
      </c>
    </row>
    <row r="67" spans="1:85" ht="15" customHeight="1" x14ac:dyDescent="0.25">
      <c r="A67" s="35" t="s">
        <v>85</v>
      </c>
      <c r="B67" s="15">
        <v>1345</v>
      </c>
      <c r="C67" s="102" t="s">
        <v>98</v>
      </c>
      <c r="D67" s="103" t="s">
        <v>105</v>
      </c>
      <c r="E67" s="15">
        <v>352</v>
      </c>
      <c r="F67" s="15" t="s">
        <v>272</v>
      </c>
      <c r="G67" s="16">
        <v>0.113</v>
      </c>
      <c r="H67" s="16">
        <v>14.92</v>
      </c>
      <c r="I67" s="16">
        <v>0.56799999999999995</v>
      </c>
      <c r="J67" s="16">
        <v>0</v>
      </c>
      <c r="K67" s="16">
        <v>76.5</v>
      </c>
      <c r="L67" s="16">
        <v>0.94599999999999995</v>
      </c>
      <c r="M67" s="16">
        <v>0.49199999999999999</v>
      </c>
      <c r="N67" s="16">
        <v>1.9E-2</v>
      </c>
      <c r="O67" s="16">
        <v>3.7999999999999999E-2</v>
      </c>
      <c r="P67" s="16">
        <v>0</v>
      </c>
      <c r="Q67" s="16">
        <v>0</v>
      </c>
      <c r="T67" s="16">
        <f t="shared" si="57"/>
        <v>93.596000000000004</v>
      </c>
      <c r="U67" s="16"/>
      <c r="V67" s="16">
        <f t="shared" si="51"/>
        <v>42.453958191983531</v>
      </c>
      <c r="W67" s="16">
        <f t="shared" si="52"/>
        <v>37.835366261248701</v>
      </c>
      <c r="X67" s="16">
        <f t="shared" si="53"/>
        <v>97.385324453232244</v>
      </c>
      <c r="Y67" s="43"/>
      <c r="AD67" s="15">
        <v>4</v>
      </c>
      <c r="AE67" s="15">
        <v>3</v>
      </c>
      <c r="AG67" s="38">
        <f t="shared" si="58"/>
        <v>5.065350392110768E-3</v>
      </c>
      <c r="AH67" s="38">
        <f t="shared" si="59"/>
        <v>0.50302751397512002</v>
      </c>
      <c r="AI67" s="38">
        <f t="shared" si="60"/>
        <v>3.0006094856728907E-2</v>
      </c>
      <c r="AJ67" s="38">
        <f t="shared" si="61"/>
        <v>0</v>
      </c>
      <c r="AK67" s="38">
        <f t="shared" si="62"/>
        <v>2.8674485616159706</v>
      </c>
      <c r="AL67" s="38">
        <f t="shared" si="63"/>
        <v>3.5913764090042703E-2</v>
      </c>
      <c r="AM67" s="38">
        <f t="shared" si="64"/>
        <v>3.2879183944869966E-2</v>
      </c>
      <c r="AN67" s="38">
        <f t="shared" si="65"/>
        <v>9.124447343873928E-4</v>
      </c>
      <c r="AO67" s="38">
        <f t="shared" si="66"/>
        <v>3.302349190348176E-3</v>
      </c>
      <c r="AP67" s="38">
        <f t="shared" si="67"/>
        <v>0</v>
      </c>
      <c r="AQ67" s="38">
        <f t="shared" si="68"/>
        <v>0</v>
      </c>
      <c r="AR67" s="38">
        <f t="shared" si="69"/>
        <v>0</v>
      </c>
      <c r="AS67" s="38">
        <f t="shared" si="70"/>
        <v>0</v>
      </c>
      <c r="AT67" s="39">
        <f t="shared" si="71"/>
        <v>3.4785552627995786</v>
      </c>
      <c r="AU67" s="38">
        <f t="shared" si="72"/>
        <v>3.5071445248839678E-2</v>
      </c>
      <c r="AV67" s="38">
        <f t="shared" si="73"/>
        <v>4.214793924735569E-3</v>
      </c>
      <c r="AW67" s="40"/>
      <c r="AX67" s="38">
        <f t="shared" si="74"/>
        <v>4.3684949722783365E-3</v>
      </c>
      <c r="AY67" s="38">
        <f t="shared" si="75"/>
        <v>0.43382451274062395</v>
      </c>
      <c r="AZ67" s="38">
        <f t="shared" si="76"/>
        <v>2.5878066544712315E-2</v>
      </c>
      <c r="BA67" s="38">
        <f t="shared" si="77"/>
        <v>0</v>
      </c>
      <c r="BB67" s="38">
        <f t="shared" si="78"/>
        <v>1.3723811242858321</v>
      </c>
      <c r="BC67" s="38">
        <f t="shared" si="79"/>
        <v>1.1005839531540049</v>
      </c>
      <c r="BD67" s="38">
        <f t="shared" si="80"/>
        <v>3.0973000033185268E-2</v>
      </c>
      <c r="BE67" s="38">
        <f t="shared" si="81"/>
        <v>2.8355896164554639E-2</v>
      </c>
      <c r="BF67" s="38">
        <f t="shared" si="82"/>
        <v>7.8691698028656386E-4</v>
      </c>
      <c r="BG67" s="38">
        <f t="shared" si="83"/>
        <v>2.8480351245221357E-3</v>
      </c>
      <c r="BH67" s="38">
        <f t="shared" si="84"/>
        <v>0</v>
      </c>
      <c r="BI67" s="38">
        <f t="shared" si="85"/>
        <v>0</v>
      </c>
      <c r="BJ67" s="38">
        <f t="shared" si="86"/>
        <v>0</v>
      </c>
      <c r="BK67" s="38">
        <f t="shared" si="87"/>
        <v>0</v>
      </c>
      <c r="BL67" s="41">
        <f t="shared" si="88"/>
        <v>3.0000000000000004</v>
      </c>
      <c r="BM67" s="42">
        <f t="shared" si="56"/>
        <v>3.9999999999999996</v>
      </c>
      <c r="BN67" s="38">
        <f t="shared" si="89"/>
        <v>3.024656151699065E-2</v>
      </c>
      <c r="BO67" s="38">
        <f t="shared" si="90"/>
        <v>3.6349521048086994E-3</v>
      </c>
      <c r="BQ67" s="38">
        <f t="shared" si="91"/>
        <v>1.8808255659121173E-3</v>
      </c>
      <c r="BR67" s="38">
        <f t="shared" si="92"/>
        <v>0.18678017025538307</v>
      </c>
      <c r="BS67" s="38">
        <f t="shared" si="93"/>
        <v>1.1141624166339742E-2</v>
      </c>
      <c r="BT67" s="38">
        <f t="shared" si="94"/>
        <v>0</v>
      </c>
      <c r="BU67" s="38">
        <f t="shared" si="95"/>
        <v>1.0647181628392486</v>
      </c>
      <c r="BV67" s="38">
        <f t="shared" si="96"/>
        <v>1.3335212855934593E-2</v>
      </c>
      <c r="BW67" s="38">
        <f t="shared" si="97"/>
        <v>1.2208436724565758E-2</v>
      </c>
      <c r="BX67" s="38">
        <f t="shared" si="98"/>
        <v>3.3880171184022827E-4</v>
      </c>
      <c r="BY67" s="38">
        <f t="shared" si="99"/>
        <v>1.2262020006453694E-3</v>
      </c>
      <c r="BZ67" s="38">
        <f t="shared" si="100"/>
        <v>0</v>
      </c>
      <c r="CA67" s="38">
        <f t="shared" si="101"/>
        <v>0</v>
      </c>
      <c r="CB67" s="38">
        <f t="shared" si="102"/>
        <v>0</v>
      </c>
      <c r="CC67" s="38">
        <f t="shared" si="103"/>
        <v>0</v>
      </c>
      <c r="CD67" s="38">
        <f t="shared" si="104"/>
        <v>1.2916294361198692</v>
      </c>
      <c r="CE67" s="38">
        <f t="shared" si="105"/>
        <v>1.4852481430240119</v>
      </c>
      <c r="CF67" s="38">
        <f t="shared" si="106"/>
        <v>2.3226475923405525</v>
      </c>
      <c r="CG67" s="38">
        <f t="shared" si="107"/>
        <v>3.4497080234229975</v>
      </c>
    </row>
    <row r="68" spans="1:85" ht="15" customHeight="1" x14ac:dyDescent="0.25">
      <c r="A68" s="35" t="s">
        <v>85</v>
      </c>
      <c r="B68" s="15">
        <v>1346</v>
      </c>
      <c r="C68" s="102" t="s">
        <v>98</v>
      </c>
      <c r="D68" s="103" t="s">
        <v>105</v>
      </c>
      <c r="E68" s="15">
        <v>353</v>
      </c>
      <c r="F68" s="15" t="s">
        <v>279</v>
      </c>
      <c r="G68" s="16">
        <v>5.8000000000000003E-2</v>
      </c>
      <c r="H68" s="16">
        <v>46.58</v>
      </c>
      <c r="I68" s="16">
        <v>6.8000000000000005E-2</v>
      </c>
      <c r="J68" s="16">
        <v>2.1999999999999999E-2</v>
      </c>
      <c r="K68" s="16">
        <v>47.28</v>
      </c>
      <c r="L68" s="16">
        <v>1.276</v>
      </c>
      <c r="M68" s="16">
        <v>0.93799999999999994</v>
      </c>
      <c r="N68" s="16">
        <v>7.6999999999999999E-2</v>
      </c>
      <c r="O68" s="16">
        <v>0</v>
      </c>
      <c r="P68" s="16">
        <v>0</v>
      </c>
      <c r="Q68" s="16">
        <v>0</v>
      </c>
      <c r="T68" s="16">
        <f t="shared" si="57"/>
        <v>96.298999999999992</v>
      </c>
      <c r="U68" s="16"/>
      <c r="V68" s="16">
        <f t="shared" si="51"/>
        <v>38.903510313535747</v>
      </c>
      <c r="W68" s="16">
        <f t="shared" si="52"/>
        <v>9.3087929885677241</v>
      </c>
      <c r="X68" s="16">
        <f t="shared" si="53"/>
        <v>97.23130330210347</v>
      </c>
      <c r="Y68" s="43"/>
      <c r="AD68" s="15">
        <v>3</v>
      </c>
      <c r="AE68" s="15">
        <v>2</v>
      </c>
      <c r="AG68" s="38">
        <f t="shared" si="58"/>
        <v>1.5476709688541268E-3</v>
      </c>
      <c r="AH68" s="38">
        <f t="shared" si="59"/>
        <v>0.93485013400528638</v>
      </c>
      <c r="AI68" s="38">
        <f t="shared" si="60"/>
        <v>2.1384034587584731E-3</v>
      </c>
      <c r="AJ68" s="38">
        <f t="shared" si="61"/>
        <v>4.641071168004769E-4</v>
      </c>
      <c r="AK68" s="38">
        <f t="shared" si="62"/>
        <v>1.0549485074551823</v>
      </c>
      <c r="AL68" s="38">
        <f t="shared" si="63"/>
        <v>2.883633464607599E-2</v>
      </c>
      <c r="AM68" s="38">
        <f t="shared" si="64"/>
        <v>3.7314562914611563E-2</v>
      </c>
      <c r="AN68" s="38">
        <f t="shared" si="65"/>
        <v>2.2012191725103935E-3</v>
      </c>
      <c r="AO68" s="38">
        <f t="shared" si="66"/>
        <v>0</v>
      </c>
      <c r="AP68" s="38">
        <f t="shared" si="67"/>
        <v>0</v>
      </c>
      <c r="AQ68" s="38">
        <f t="shared" si="68"/>
        <v>0</v>
      </c>
      <c r="AR68" s="38">
        <f t="shared" si="69"/>
        <v>0</v>
      </c>
      <c r="AS68" s="38">
        <f t="shared" si="70"/>
        <v>0</v>
      </c>
      <c r="AT68" s="39">
        <f t="shared" si="71"/>
        <v>2.0623009397380794</v>
      </c>
      <c r="AU68" s="38">
        <f t="shared" si="72"/>
        <v>3.6860744276126E-3</v>
      </c>
      <c r="AV68" s="38">
        <f t="shared" si="73"/>
        <v>2.2012191725103935E-3</v>
      </c>
      <c r="AW68" s="40"/>
      <c r="AX68" s="38">
        <f t="shared" si="74"/>
        <v>1.5009167081606305E-3</v>
      </c>
      <c r="AY68" s="38">
        <f t="shared" si="75"/>
        <v>0.9066088425717499</v>
      </c>
      <c r="AZ68" s="38">
        <f t="shared" si="76"/>
        <v>2.0738035051567779E-3</v>
      </c>
      <c r="BA68" s="38">
        <f t="shared" si="77"/>
        <v>4.5008670447429491E-4</v>
      </c>
      <c r="BB68" s="38">
        <f t="shared" si="78"/>
        <v>0.84182252116045597</v>
      </c>
      <c r="BC68" s="38">
        <f t="shared" si="79"/>
        <v>0.18125659123054638</v>
      </c>
      <c r="BD68" s="38">
        <f t="shared" si="80"/>
        <v>2.7965205359154144E-2</v>
      </c>
      <c r="BE68" s="38">
        <f t="shared" si="81"/>
        <v>3.6187311168418182E-2</v>
      </c>
      <c r="BF68" s="38">
        <f t="shared" si="82"/>
        <v>2.1347215918836337E-3</v>
      </c>
      <c r="BG68" s="38">
        <f t="shared" si="83"/>
        <v>0</v>
      </c>
      <c r="BH68" s="38">
        <f t="shared" si="84"/>
        <v>0</v>
      </c>
      <c r="BI68" s="38">
        <f t="shared" si="85"/>
        <v>0</v>
      </c>
      <c r="BJ68" s="38">
        <f t="shared" si="86"/>
        <v>0</v>
      </c>
      <c r="BK68" s="38">
        <f t="shared" si="87"/>
        <v>0</v>
      </c>
      <c r="BL68" s="41">
        <f t="shared" si="88"/>
        <v>2</v>
      </c>
      <c r="BM68" s="42">
        <f t="shared" si="56"/>
        <v>2.9999999999999991</v>
      </c>
      <c r="BN68" s="38">
        <f t="shared" si="89"/>
        <v>3.5747202133174084E-3</v>
      </c>
      <c r="BO68" s="38">
        <f t="shared" si="90"/>
        <v>2.1347215918836337E-3</v>
      </c>
      <c r="BQ68" s="38">
        <f t="shared" si="91"/>
        <v>9.653794940079894E-4</v>
      </c>
      <c r="BR68" s="38">
        <f t="shared" si="92"/>
        <v>0.58312468703054587</v>
      </c>
      <c r="BS68" s="38">
        <f t="shared" si="93"/>
        <v>1.33385641428011E-3</v>
      </c>
      <c r="BT68" s="38">
        <f t="shared" si="94"/>
        <v>2.8949272978485421E-4</v>
      </c>
      <c r="BU68" s="38">
        <f t="shared" si="95"/>
        <v>0.65803757828810028</v>
      </c>
      <c r="BV68" s="38">
        <f t="shared" si="96"/>
        <v>1.7987031294051312E-2</v>
      </c>
      <c r="BW68" s="38">
        <f t="shared" si="97"/>
        <v>2.3275434243176178E-2</v>
      </c>
      <c r="BX68" s="38">
        <f t="shared" si="98"/>
        <v>1.3730385164051355E-3</v>
      </c>
      <c r="BY68" s="38">
        <f t="shared" si="99"/>
        <v>0</v>
      </c>
      <c r="BZ68" s="38">
        <f t="shared" si="100"/>
        <v>0</v>
      </c>
      <c r="CA68" s="38">
        <f t="shared" si="101"/>
        <v>0</v>
      </c>
      <c r="CB68" s="38">
        <f t="shared" si="102"/>
        <v>0</v>
      </c>
      <c r="CC68" s="38">
        <f t="shared" si="103"/>
        <v>0</v>
      </c>
      <c r="CD68" s="38">
        <f t="shared" si="104"/>
        <v>1.2863864980103519</v>
      </c>
      <c r="CE68" s="38">
        <f t="shared" si="105"/>
        <v>1.8712882391069383</v>
      </c>
      <c r="CF68" s="38">
        <f t="shared" si="106"/>
        <v>1.5547426866601841</v>
      </c>
      <c r="CG68" s="38">
        <f t="shared" si="107"/>
        <v>2.9093717043847263</v>
      </c>
    </row>
    <row r="69" spans="1:85" ht="15" customHeight="1" x14ac:dyDescent="0.25">
      <c r="A69" s="35" t="s">
        <v>85</v>
      </c>
      <c r="B69" s="15">
        <v>1347</v>
      </c>
      <c r="C69" s="102" t="s">
        <v>98</v>
      </c>
      <c r="D69" s="103" t="s">
        <v>105</v>
      </c>
      <c r="E69" s="15">
        <v>354</v>
      </c>
      <c r="F69" s="15" t="s">
        <v>279</v>
      </c>
      <c r="G69" s="16">
        <v>5.7000000000000002E-2</v>
      </c>
      <c r="H69" s="16">
        <v>45.49</v>
      </c>
      <c r="I69" s="16">
        <v>6.8000000000000005E-2</v>
      </c>
      <c r="J69" s="16">
        <v>2.4E-2</v>
      </c>
      <c r="K69" s="16">
        <v>47.35</v>
      </c>
      <c r="L69" s="16">
        <v>1.24</v>
      </c>
      <c r="M69" s="16">
        <v>0.97299999999999998</v>
      </c>
      <c r="N69" s="16">
        <v>7.8E-2</v>
      </c>
      <c r="O69" s="16">
        <v>0</v>
      </c>
      <c r="P69" s="16">
        <v>0</v>
      </c>
      <c r="Q69" s="16">
        <v>0</v>
      </c>
      <c r="T69" s="16">
        <f t="shared" si="57"/>
        <v>95.28</v>
      </c>
      <c r="U69" s="16"/>
      <c r="V69" s="16">
        <f t="shared" si="51"/>
        <v>37.894667366606221</v>
      </c>
      <c r="W69" s="16">
        <f t="shared" si="52"/>
        <v>10.50771115549051</v>
      </c>
      <c r="X69" s="16">
        <f t="shared" si="53"/>
        <v>96.332378522096732</v>
      </c>
      <c r="Y69" s="43"/>
      <c r="AD69" s="15">
        <v>3</v>
      </c>
      <c r="AE69" s="15">
        <v>2</v>
      </c>
      <c r="AG69" s="38">
        <f t="shared" si="58"/>
        <v>1.5423604722735419E-3</v>
      </c>
      <c r="AH69" s="38">
        <f t="shared" si="59"/>
        <v>0.92580353672045412</v>
      </c>
      <c r="AI69" s="38">
        <f t="shared" si="60"/>
        <v>2.1684531146872938E-3</v>
      </c>
      <c r="AJ69" s="38">
        <f t="shared" si="61"/>
        <v>5.1341337372857294E-4</v>
      </c>
      <c r="AK69" s="38">
        <f t="shared" si="62"/>
        <v>1.0713568870815431</v>
      </c>
      <c r="AL69" s="38">
        <f t="shared" si="63"/>
        <v>2.8416556936180573E-2</v>
      </c>
      <c r="AM69" s="38">
        <f t="shared" si="64"/>
        <v>3.9250821344517503E-2</v>
      </c>
      <c r="AN69" s="38">
        <f t="shared" si="65"/>
        <v>2.261140519679644E-3</v>
      </c>
      <c r="AO69" s="38">
        <f t="shared" si="66"/>
        <v>0</v>
      </c>
      <c r="AP69" s="38">
        <f t="shared" si="67"/>
        <v>0</v>
      </c>
      <c r="AQ69" s="38">
        <f t="shared" si="68"/>
        <v>0</v>
      </c>
      <c r="AR69" s="38">
        <f t="shared" si="69"/>
        <v>0</v>
      </c>
      <c r="AS69" s="38">
        <f t="shared" si="70"/>
        <v>0</v>
      </c>
      <c r="AT69" s="39">
        <f t="shared" si="71"/>
        <v>2.0713131695630644</v>
      </c>
      <c r="AU69" s="38">
        <f t="shared" si="72"/>
        <v>3.7108135869608357E-3</v>
      </c>
      <c r="AV69" s="38">
        <f t="shared" si="73"/>
        <v>2.261140519679644E-3</v>
      </c>
      <c r="AW69" s="40"/>
      <c r="AX69" s="38">
        <f t="shared" si="74"/>
        <v>1.4892585968532197E-3</v>
      </c>
      <c r="AY69" s="38">
        <f t="shared" si="75"/>
        <v>0.89392907873583305</v>
      </c>
      <c r="AZ69" s="38">
        <f t="shared" si="76"/>
        <v>2.0937955173091676E-3</v>
      </c>
      <c r="BA69" s="38">
        <f t="shared" si="77"/>
        <v>4.9573708241991779E-4</v>
      </c>
      <c r="BB69" s="38">
        <f t="shared" si="78"/>
        <v>0.82789738509046318</v>
      </c>
      <c r="BC69" s="38">
        <f t="shared" si="79"/>
        <v>0.20657379273489851</v>
      </c>
      <c r="BD69" s="38">
        <f t="shared" si="80"/>
        <v>2.7438204279051574E-2</v>
      </c>
      <c r="BE69" s="38">
        <f t="shared" si="81"/>
        <v>3.7899456172334686E-2</v>
      </c>
      <c r="BF69" s="38">
        <f t="shared" si="82"/>
        <v>2.1832917908368469E-3</v>
      </c>
      <c r="BG69" s="38">
        <f t="shared" si="83"/>
        <v>0</v>
      </c>
      <c r="BH69" s="38">
        <f t="shared" si="84"/>
        <v>0</v>
      </c>
      <c r="BI69" s="38">
        <f t="shared" si="85"/>
        <v>0</v>
      </c>
      <c r="BJ69" s="38">
        <f t="shared" si="86"/>
        <v>0</v>
      </c>
      <c r="BK69" s="38">
        <f t="shared" si="87"/>
        <v>0</v>
      </c>
      <c r="BL69" s="41">
        <f t="shared" si="88"/>
        <v>2</v>
      </c>
      <c r="BM69" s="42">
        <f t="shared" si="56"/>
        <v>3</v>
      </c>
      <c r="BN69" s="38">
        <f t="shared" si="89"/>
        <v>3.5830541141623875E-3</v>
      </c>
      <c r="BO69" s="38">
        <f t="shared" si="90"/>
        <v>2.1832917908368469E-3</v>
      </c>
      <c r="BQ69" s="38">
        <f t="shared" si="91"/>
        <v>9.4873501997336891E-4</v>
      </c>
      <c r="BR69" s="38">
        <f t="shared" si="92"/>
        <v>0.56947921882824237</v>
      </c>
      <c r="BS69" s="38">
        <f t="shared" si="93"/>
        <v>1.33385641428011E-3</v>
      </c>
      <c r="BT69" s="38">
        <f t="shared" si="94"/>
        <v>3.1581025067438644E-4</v>
      </c>
      <c r="BU69" s="38">
        <f t="shared" si="95"/>
        <v>0.65901183020180942</v>
      </c>
      <c r="BV69" s="38">
        <f t="shared" si="96"/>
        <v>1.7479560191711305E-2</v>
      </c>
      <c r="BW69" s="38">
        <f t="shared" si="97"/>
        <v>2.41439205955335E-2</v>
      </c>
      <c r="BX69" s="38">
        <f t="shared" si="98"/>
        <v>1.3908701854493581E-3</v>
      </c>
      <c r="BY69" s="38">
        <f t="shared" si="99"/>
        <v>0</v>
      </c>
      <c r="BZ69" s="38">
        <f t="shared" si="100"/>
        <v>0</v>
      </c>
      <c r="CA69" s="38">
        <f t="shared" si="101"/>
        <v>0</v>
      </c>
      <c r="CB69" s="38">
        <f t="shared" si="102"/>
        <v>0</v>
      </c>
      <c r="CC69" s="38">
        <f t="shared" si="103"/>
        <v>0</v>
      </c>
      <c r="CD69" s="38">
        <f t="shared" si="104"/>
        <v>1.2741038016876738</v>
      </c>
      <c r="CE69" s="38">
        <f t="shared" si="105"/>
        <v>1.845356588868367</v>
      </c>
      <c r="CF69" s="38">
        <f t="shared" si="106"/>
        <v>1.5697308157709022</v>
      </c>
      <c r="CG69" s="38">
        <f t="shared" si="107"/>
        <v>2.8967131036325511</v>
      </c>
    </row>
    <row r="70" spans="1:85" ht="15" customHeight="1" x14ac:dyDescent="0.25">
      <c r="A70" s="35" t="s">
        <v>85</v>
      </c>
      <c r="B70" s="15">
        <v>1348</v>
      </c>
      <c r="C70" s="102" t="s">
        <v>98</v>
      </c>
      <c r="D70" s="103" t="s">
        <v>105</v>
      </c>
      <c r="E70" s="15">
        <v>355</v>
      </c>
      <c r="F70" s="15" t="s">
        <v>279</v>
      </c>
      <c r="G70" s="16">
        <v>3.5999999999999997E-2</v>
      </c>
      <c r="H70" s="16">
        <v>46.11</v>
      </c>
      <c r="I70" s="16">
        <v>4.8000000000000001E-2</v>
      </c>
      <c r="J70" s="16">
        <v>1.7999999999999999E-2</v>
      </c>
      <c r="K70" s="16">
        <v>46.87</v>
      </c>
      <c r="L70" s="16">
        <v>1.2849999999999999</v>
      </c>
      <c r="M70" s="16">
        <v>1.0189999999999999</v>
      </c>
      <c r="N70" s="16">
        <v>6.9000000000000006E-2</v>
      </c>
      <c r="O70" s="16">
        <v>2.3E-2</v>
      </c>
      <c r="P70" s="16">
        <v>0</v>
      </c>
      <c r="Q70" s="16">
        <v>0</v>
      </c>
      <c r="T70" s="16">
        <f t="shared" si="57"/>
        <v>95.477999999999994</v>
      </c>
      <c r="U70" s="16"/>
      <c r="V70" s="16">
        <f t="shared" si="51"/>
        <v>38.204518024006418</v>
      </c>
      <c r="W70" s="16">
        <f t="shared" si="52"/>
        <v>9.6299501199216628</v>
      </c>
      <c r="X70" s="16">
        <f t="shared" si="53"/>
        <v>96.442468143928082</v>
      </c>
      <c r="AD70" s="15">
        <v>3</v>
      </c>
      <c r="AE70" s="15">
        <v>2</v>
      </c>
      <c r="AG70" s="38">
        <f t="shared" si="58"/>
        <v>9.6917342206018036E-4</v>
      </c>
      <c r="AH70" s="38">
        <f t="shared" si="59"/>
        <v>0.933654049265214</v>
      </c>
      <c r="AI70" s="38">
        <f t="shared" si="60"/>
        <v>1.522896278210426E-3</v>
      </c>
      <c r="AJ70" s="38">
        <f t="shared" si="61"/>
        <v>3.8310375154533604E-4</v>
      </c>
      <c r="AK70" s="38">
        <f t="shared" si="62"/>
        <v>1.0551084474526391</v>
      </c>
      <c r="AL70" s="38">
        <f t="shared" si="63"/>
        <v>2.9298194823727287E-2</v>
      </c>
      <c r="AM70" s="38">
        <f t="shared" si="64"/>
        <v>4.0897622030690493E-2</v>
      </c>
      <c r="AN70" s="38">
        <f t="shared" si="65"/>
        <v>1.9900775700482042E-3</v>
      </c>
      <c r="AO70" s="38">
        <f t="shared" si="66"/>
        <v>1.2004254074250112E-3</v>
      </c>
      <c r="AP70" s="38">
        <f t="shared" si="67"/>
        <v>0</v>
      </c>
      <c r="AQ70" s="38">
        <f t="shared" si="68"/>
        <v>0</v>
      </c>
      <c r="AR70" s="38">
        <f t="shared" si="69"/>
        <v>0</v>
      </c>
      <c r="AS70" s="38">
        <f t="shared" si="70"/>
        <v>0</v>
      </c>
      <c r="AT70" s="39">
        <f t="shared" si="71"/>
        <v>2.0650239900015603</v>
      </c>
      <c r="AU70" s="38">
        <f t="shared" si="72"/>
        <v>2.4920697002706062E-3</v>
      </c>
      <c r="AV70" s="38">
        <f t="shared" si="73"/>
        <v>3.1905029774732157E-3</v>
      </c>
      <c r="AW70" s="40"/>
      <c r="AX70" s="38">
        <f t="shared" si="74"/>
        <v>9.386558478281389E-4</v>
      </c>
      <c r="AY70" s="38">
        <f t="shared" si="75"/>
        <v>0.90425491789517543</v>
      </c>
      <c r="AZ70" s="38">
        <f t="shared" si="76"/>
        <v>1.4749429406960793E-3</v>
      </c>
      <c r="BA70" s="38">
        <f t="shared" si="77"/>
        <v>3.7104048514714511E-4</v>
      </c>
      <c r="BB70" s="38">
        <f t="shared" si="78"/>
        <v>0.83295543452481446</v>
      </c>
      <c r="BC70" s="38">
        <f t="shared" si="79"/>
        <v>0.18892949520119995</v>
      </c>
      <c r="BD70" s="38">
        <f t="shared" si="80"/>
        <v>2.8375645964001758E-2</v>
      </c>
      <c r="BE70" s="38">
        <f t="shared" si="81"/>
        <v>3.960982751649253E-2</v>
      </c>
      <c r="BF70" s="38">
        <f t="shared" si="82"/>
        <v>1.9274135115947984E-3</v>
      </c>
      <c r="BG70" s="38">
        <f t="shared" si="83"/>
        <v>1.1626261130497611E-3</v>
      </c>
      <c r="BH70" s="38">
        <f t="shared" si="84"/>
        <v>0</v>
      </c>
      <c r="BI70" s="38">
        <f t="shared" si="85"/>
        <v>0</v>
      </c>
      <c r="BJ70" s="38">
        <f t="shared" si="86"/>
        <v>0</v>
      </c>
      <c r="BK70" s="38">
        <f t="shared" si="87"/>
        <v>0</v>
      </c>
      <c r="BL70" s="41">
        <f t="shared" si="88"/>
        <v>1.9999999999999998</v>
      </c>
      <c r="BM70" s="42">
        <f t="shared" si="56"/>
        <v>3.0000000000000009</v>
      </c>
      <c r="BN70" s="38">
        <f t="shared" si="89"/>
        <v>2.4135987885242184E-3</v>
      </c>
      <c r="BO70" s="38">
        <f t="shared" si="90"/>
        <v>3.0900396246445593E-3</v>
      </c>
      <c r="BQ70" s="38">
        <f t="shared" si="91"/>
        <v>5.9920106524633822E-4</v>
      </c>
      <c r="BR70" s="38">
        <f t="shared" si="92"/>
        <v>0.57724086129193797</v>
      </c>
      <c r="BS70" s="38">
        <f t="shared" si="93"/>
        <v>9.4154570419772467E-4</v>
      </c>
      <c r="BT70" s="38">
        <f t="shared" si="94"/>
        <v>2.3685768800578983E-4</v>
      </c>
      <c r="BU70" s="38">
        <f t="shared" si="95"/>
        <v>0.65233124565066114</v>
      </c>
      <c r="BV70" s="38">
        <f t="shared" si="96"/>
        <v>1.8113899069636313E-2</v>
      </c>
      <c r="BW70" s="38">
        <f t="shared" si="97"/>
        <v>2.5285359801488834E-2</v>
      </c>
      <c r="BX70" s="38">
        <f t="shared" si="98"/>
        <v>1.2303851640513553E-3</v>
      </c>
      <c r="BY70" s="38">
        <f t="shared" si="99"/>
        <v>7.421748951274605E-4</v>
      </c>
      <c r="BZ70" s="38">
        <f t="shared" si="100"/>
        <v>0</v>
      </c>
      <c r="CA70" s="38">
        <f t="shared" si="101"/>
        <v>0</v>
      </c>
      <c r="CB70" s="38">
        <f t="shared" si="102"/>
        <v>0</v>
      </c>
      <c r="CC70" s="38">
        <f t="shared" si="103"/>
        <v>0</v>
      </c>
      <c r="CD70" s="38">
        <f t="shared" si="104"/>
        <v>1.276721530330353</v>
      </c>
      <c r="CE70" s="38">
        <f t="shared" si="105"/>
        <v>1.8547797069360754</v>
      </c>
      <c r="CF70" s="38">
        <f t="shared" si="106"/>
        <v>1.5665123149309608</v>
      </c>
      <c r="CG70" s="38">
        <f t="shared" si="107"/>
        <v>2.9055352523994005</v>
      </c>
    </row>
    <row r="71" spans="1:85" ht="15" customHeight="1" x14ac:dyDescent="0.25">
      <c r="A71" s="35" t="s">
        <v>85</v>
      </c>
      <c r="B71" s="15">
        <v>1349</v>
      </c>
      <c r="C71" s="102" t="s">
        <v>98</v>
      </c>
      <c r="D71" s="103" t="s">
        <v>105</v>
      </c>
      <c r="E71" s="15">
        <v>356</v>
      </c>
      <c r="F71" s="15" t="s">
        <v>279</v>
      </c>
      <c r="G71" s="16">
        <v>1.4999999999999999E-2</v>
      </c>
      <c r="H71" s="16">
        <v>45.8</v>
      </c>
      <c r="I71" s="16">
        <v>6.2E-2</v>
      </c>
      <c r="J71" s="16">
        <v>0</v>
      </c>
      <c r="K71" s="16">
        <v>46.09</v>
      </c>
      <c r="L71" s="16">
        <v>1.2869999999999999</v>
      </c>
      <c r="M71" s="16">
        <v>0.93899999999999995</v>
      </c>
      <c r="N71" s="16">
        <v>2.1999999999999999E-2</v>
      </c>
      <c r="O71" s="16">
        <v>0</v>
      </c>
      <c r="P71" s="16">
        <v>0.01</v>
      </c>
      <c r="Q71" s="16">
        <v>0</v>
      </c>
      <c r="T71" s="16">
        <f t="shared" si="57"/>
        <v>94.225000000000009</v>
      </c>
      <c r="U71" s="16"/>
      <c r="V71" s="16">
        <f t="shared" si="51"/>
        <v>38.177529254388965</v>
      </c>
      <c r="W71" s="16">
        <f t="shared" si="52"/>
        <v>8.793128739597547</v>
      </c>
      <c r="X71" s="16">
        <f t="shared" si="53"/>
        <v>95.105657993986512</v>
      </c>
      <c r="AD71" s="15">
        <v>3</v>
      </c>
      <c r="AE71" s="15">
        <v>2</v>
      </c>
      <c r="AG71" s="38">
        <f t="shared" si="58"/>
        <v>4.0874094618324178E-4</v>
      </c>
      <c r="AH71" s="38">
        <f t="shared" si="59"/>
        <v>0.93867279831277228</v>
      </c>
      <c r="AI71" s="38">
        <f t="shared" si="60"/>
        <v>1.9910339674313175E-3</v>
      </c>
      <c r="AJ71" s="38">
        <f t="shared" si="61"/>
        <v>0</v>
      </c>
      <c r="AK71" s="38">
        <f t="shared" si="62"/>
        <v>1.0501872625301822</v>
      </c>
      <c r="AL71" s="38">
        <f t="shared" si="63"/>
        <v>2.9701212134281514E-2</v>
      </c>
      <c r="AM71" s="38">
        <f t="shared" si="64"/>
        <v>3.8145855298331061E-2</v>
      </c>
      <c r="AN71" s="38">
        <f t="shared" si="65"/>
        <v>6.422461162947713E-4</v>
      </c>
      <c r="AO71" s="38">
        <f t="shared" si="66"/>
        <v>0</v>
      </c>
      <c r="AP71" s="38">
        <f t="shared" si="67"/>
        <v>3.4758890370402217E-4</v>
      </c>
      <c r="AQ71" s="38">
        <f t="shared" si="68"/>
        <v>0</v>
      </c>
      <c r="AR71" s="38">
        <f t="shared" si="69"/>
        <v>0</v>
      </c>
      <c r="AS71" s="38">
        <f t="shared" si="70"/>
        <v>0</v>
      </c>
      <c r="AT71" s="39">
        <f t="shared" si="71"/>
        <v>2.0600967382091806</v>
      </c>
      <c r="AU71" s="38">
        <f t="shared" si="72"/>
        <v>2.3997749136145594E-3</v>
      </c>
      <c r="AV71" s="38">
        <f t="shared" si="73"/>
        <v>9.8983501999879353E-4</v>
      </c>
      <c r="AW71" s="40"/>
      <c r="AX71" s="38">
        <f t="shared" si="74"/>
        <v>3.9681723542609533E-4</v>
      </c>
      <c r="AY71" s="38">
        <f t="shared" si="75"/>
        <v>0.91129001944709653</v>
      </c>
      <c r="AZ71" s="38">
        <f t="shared" si="76"/>
        <v>1.9329519148329911E-3</v>
      </c>
      <c r="BA71" s="38">
        <f t="shared" si="77"/>
        <v>0</v>
      </c>
      <c r="BB71" s="38">
        <f t="shared" si="78"/>
        <v>0.8445205817459156</v>
      </c>
      <c r="BC71" s="38">
        <f t="shared" si="79"/>
        <v>0.17503082382846369</v>
      </c>
      <c r="BD71" s="38">
        <f t="shared" si="80"/>
        <v>2.883477419618697E-2</v>
      </c>
      <c r="BE71" s="38">
        <f t="shared" si="81"/>
        <v>3.7033071885246349E-2</v>
      </c>
      <c r="BF71" s="38">
        <f t="shared" si="82"/>
        <v>6.2351063848882038E-4</v>
      </c>
      <c r="BG71" s="38">
        <f t="shared" si="83"/>
        <v>0</v>
      </c>
      <c r="BH71" s="38">
        <f t="shared" si="84"/>
        <v>3.3744910834253088E-4</v>
      </c>
      <c r="BI71" s="38">
        <f t="shared" si="85"/>
        <v>0</v>
      </c>
      <c r="BJ71" s="38">
        <f t="shared" si="86"/>
        <v>0</v>
      </c>
      <c r="BK71" s="38">
        <f t="shared" si="87"/>
        <v>0</v>
      </c>
      <c r="BL71" s="41">
        <f t="shared" si="88"/>
        <v>1.9999999999999996</v>
      </c>
      <c r="BM71" s="42">
        <f t="shared" si="56"/>
        <v>2.9999999999999991</v>
      </c>
      <c r="BN71" s="38">
        <f t="shared" si="89"/>
        <v>2.3297691502590862E-3</v>
      </c>
      <c r="BO71" s="38">
        <f t="shared" si="90"/>
        <v>9.6095974683135126E-4</v>
      </c>
      <c r="BQ71" s="38">
        <f t="shared" si="91"/>
        <v>2.4966711051930759E-4</v>
      </c>
      <c r="BR71" s="38">
        <f t="shared" si="92"/>
        <v>0.57336004006009011</v>
      </c>
      <c r="BS71" s="38">
        <f t="shared" si="93"/>
        <v>1.2161632012553944E-3</v>
      </c>
      <c r="BT71" s="38">
        <f t="shared" si="94"/>
        <v>0</v>
      </c>
      <c r="BU71" s="38">
        <f t="shared" si="95"/>
        <v>0.64147529575504536</v>
      </c>
      <c r="BV71" s="38">
        <f t="shared" si="96"/>
        <v>1.8142091908655202E-2</v>
      </c>
      <c r="BW71" s="38">
        <f t="shared" si="97"/>
        <v>2.3300248138957817E-2</v>
      </c>
      <c r="BX71" s="38">
        <f t="shared" si="98"/>
        <v>3.9229671897289585E-4</v>
      </c>
      <c r="BY71" s="38">
        <f t="shared" si="99"/>
        <v>0</v>
      </c>
      <c r="BZ71" s="38">
        <f t="shared" si="100"/>
        <v>2.1231422505307856E-4</v>
      </c>
      <c r="CA71" s="38">
        <f t="shared" si="101"/>
        <v>0</v>
      </c>
      <c r="CB71" s="38">
        <f t="shared" si="102"/>
        <v>0</v>
      </c>
      <c r="CC71" s="38">
        <f t="shared" si="103"/>
        <v>0</v>
      </c>
      <c r="CD71" s="38">
        <f t="shared" si="104"/>
        <v>1.2583481171185493</v>
      </c>
      <c r="CE71" s="38">
        <f t="shared" si="105"/>
        <v>1.8324597487772598</v>
      </c>
      <c r="CF71" s="38">
        <f t="shared" si="106"/>
        <v>1.5893853002933205</v>
      </c>
      <c r="CG71" s="38">
        <f t="shared" si="107"/>
        <v>2.9124845880857677</v>
      </c>
    </row>
    <row r="72" spans="1:85" ht="15" customHeight="1" x14ac:dyDescent="0.25">
      <c r="A72" s="35" t="s">
        <v>85</v>
      </c>
      <c r="B72" s="15">
        <v>1350</v>
      </c>
      <c r="C72" s="102" t="s">
        <v>98</v>
      </c>
      <c r="D72" s="103" t="s">
        <v>105</v>
      </c>
      <c r="E72" s="15">
        <v>357</v>
      </c>
      <c r="F72" s="15" t="s">
        <v>272</v>
      </c>
      <c r="G72" s="16">
        <v>0.13300000000000001</v>
      </c>
      <c r="H72" s="16">
        <v>15.09</v>
      </c>
      <c r="I72" s="16">
        <v>0.58299999999999996</v>
      </c>
      <c r="J72" s="16">
        <v>0</v>
      </c>
      <c r="K72" s="16">
        <v>76.61</v>
      </c>
      <c r="L72" s="16">
        <v>0.91500000000000004</v>
      </c>
      <c r="M72" s="16">
        <v>0.46</v>
      </c>
      <c r="N72" s="16">
        <v>1.4999999999999999E-2</v>
      </c>
      <c r="O72" s="16">
        <v>0</v>
      </c>
      <c r="P72" s="16">
        <v>0</v>
      </c>
      <c r="Q72" s="16">
        <v>0</v>
      </c>
      <c r="T72" s="16">
        <f t="shared" si="57"/>
        <v>93.805999999999997</v>
      </c>
      <c r="U72" s="16"/>
      <c r="V72" s="16">
        <f t="shared" si="51"/>
        <v>42.942664123412015</v>
      </c>
      <c r="W72" s="16">
        <f t="shared" si="52"/>
        <v>37.414510359652226</v>
      </c>
      <c r="X72" s="16">
        <f t="shared" si="53"/>
        <v>97.55317448306424</v>
      </c>
      <c r="AD72" s="15">
        <v>4</v>
      </c>
      <c r="AE72" s="15">
        <v>3</v>
      </c>
      <c r="AG72" s="38">
        <f t="shared" si="58"/>
        <v>5.9419532886455578E-3</v>
      </c>
      <c r="AH72" s="38">
        <f t="shared" si="59"/>
        <v>0.50705923862765401</v>
      </c>
      <c r="AI72" s="38">
        <f t="shared" si="60"/>
        <v>3.0695607998744021E-2</v>
      </c>
      <c r="AJ72" s="38">
        <f t="shared" si="61"/>
        <v>0</v>
      </c>
      <c r="AK72" s="38">
        <f t="shared" si="62"/>
        <v>2.861977441506022</v>
      </c>
      <c r="AL72" s="38">
        <f t="shared" si="63"/>
        <v>3.4620826084880582E-2</v>
      </c>
      <c r="AM72" s="38">
        <f t="shared" si="64"/>
        <v>3.0637992247549314E-2</v>
      </c>
      <c r="AN72" s="38">
        <f t="shared" si="65"/>
        <v>7.1794433083341956E-4</v>
      </c>
      <c r="AO72" s="38">
        <f t="shared" si="66"/>
        <v>0</v>
      </c>
      <c r="AP72" s="38">
        <f t="shared" si="67"/>
        <v>0</v>
      </c>
      <c r="AQ72" s="38">
        <f t="shared" si="68"/>
        <v>0</v>
      </c>
      <c r="AR72" s="38">
        <f t="shared" si="69"/>
        <v>0</v>
      </c>
      <c r="AS72" s="38">
        <f t="shared" si="70"/>
        <v>0</v>
      </c>
      <c r="AT72" s="39">
        <f t="shared" si="71"/>
        <v>3.4716510040843289</v>
      </c>
      <c r="AU72" s="38">
        <f t="shared" si="72"/>
        <v>3.6637561287389576E-2</v>
      </c>
      <c r="AV72" s="38">
        <f t="shared" si="73"/>
        <v>7.1794433083341956E-4</v>
      </c>
      <c r="AW72" s="40"/>
      <c r="AX72" s="38">
        <f t="shared" si="74"/>
        <v>5.1346923538584093E-3</v>
      </c>
      <c r="AY72" s="38">
        <f t="shared" si="75"/>
        <v>0.43817126609020507</v>
      </c>
      <c r="AZ72" s="38">
        <f t="shared" si="76"/>
        <v>2.6525369021221813E-2</v>
      </c>
      <c r="BA72" s="38">
        <f t="shared" si="77"/>
        <v>0</v>
      </c>
      <c r="BB72" s="38">
        <f t="shared" si="78"/>
        <v>1.3862926561976878</v>
      </c>
      <c r="BC72" s="38">
        <f t="shared" si="79"/>
        <v>1.0868627140906524</v>
      </c>
      <c r="BD72" s="38">
        <f t="shared" si="80"/>
        <v>2.9917315459546363E-2</v>
      </c>
      <c r="BE72" s="38">
        <f t="shared" si="81"/>
        <v>2.6475580821491838E-2</v>
      </c>
      <c r="BF72" s="38">
        <f t="shared" si="82"/>
        <v>6.2040596533646862E-4</v>
      </c>
      <c r="BG72" s="38">
        <f t="shared" si="83"/>
        <v>0</v>
      </c>
      <c r="BH72" s="38">
        <f t="shared" si="84"/>
        <v>0</v>
      </c>
      <c r="BI72" s="38">
        <f t="shared" si="85"/>
        <v>0</v>
      </c>
      <c r="BJ72" s="38">
        <f t="shared" si="86"/>
        <v>0</v>
      </c>
      <c r="BK72" s="38">
        <f t="shared" si="87"/>
        <v>0</v>
      </c>
      <c r="BL72" s="41">
        <f t="shared" si="88"/>
        <v>3</v>
      </c>
      <c r="BM72" s="42">
        <f t="shared" si="56"/>
        <v>4</v>
      </c>
      <c r="BN72" s="38">
        <f t="shared" si="89"/>
        <v>3.166006137508022E-2</v>
      </c>
      <c r="BO72" s="38">
        <f t="shared" si="90"/>
        <v>6.2040596533646862E-4</v>
      </c>
      <c r="BQ72" s="38">
        <f t="shared" si="91"/>
        <v>2.2137150466045273E-3</v>
      </c>
      <c r="BR72" s="38">
        <f t="shared" si="92"/>
        <v>0.18890836254381574</v>
      </c>
      <c r="BS72" s="38">
        <f t="shared" si="93"/>
        <v>1.143585719890153E-2</v>
      </c>
      <c r="BT72" s="38">
        <f t="shared" si="94"/>
        <v>0</v>
      </c>
      <c r="BU72" s="38">
        <f t="shared" si="95"/>
        <v>1.0662491301322199</v>
      </c>
      <c r="BV72" s="38">
        <f t="shared" si="96"/>
        <v>1.289822385114181E-2</v>
      </c>
      <c r="BW72" s="38">
        <f t="shared" si="97"/>
        <v>1.1414392059553351E-2</v>
      </c>
      <c r="BX72" s="38">
        <f t="shared" si="98"/>
        <v>2.674750356633381E-4</v>
      </c>
      <c r="BY72" s="38">
        <f t="shared" si="99"/>
        <v>0</v>
      </c>
      <c r="BZ72" s="38">
        <f t="shared" si="100"/>
        <v>0</v>
      </c>
      <c r="CA72" s="38">
        <f t="shared" si="101"/>
        <v>0</v>
      </c>
      <c r="CB72" s="38">
        <f t="shared" si="102"/>
        <v>0</v>
      </c>
      <c r="CC72" s="38">
        <f t="shared" si="103"/>
        <v>0</v>
      </c>
      <c r="CD72" s="38">
        <f t="shared" si="104"/>
        <v>1.2933871558679002</v>
      </c>
      <c r="CE72" s="38">
        <f t="shared" si="105"/>
        <v>1.4902271620577709</v>
      </c>
      <c r="CF72" s="38">
        <f t="shared" si="106"/>
        <v>2.3194911024046108</v>
      </c>
      <c r="CG72" s="38">
        <f t="shared" si="107"/>
        <v>3.4565686429546738</v>
      </c>
    </row>
    <row r="73" spans="1:85" ht="15" customHeight="1" x14ac:dyDescent="0.25">
      <c r="A73" s="35" t="s">
        <v>85</v>
      </c>
      <c r="B73" s="15">
        <v>1351</v>
      </c>
      <c r="C73" s="102" t="s">
        <v>98</v>
      </c>
      <c r="D73" s="103" t="s">
        <v>105</v>
      </c>
      <c r="E73" s="15">
        <v>358</v>
      </c>
      <c r="F73" s="15" t="s">
        <v>272</v>
      </c>
      <c r="G73" s="16">
        <v>0.113</v>
      </c>
      <c r="H73" s="16">
        <v>15.31</v>
      </c>
      <c r="I73" s="16">
        <v>0.61699999999999999</v>
      </c>
      <c r="J73" s="16">
        <v>0</v>
      </c>
      <c r="K73" s="16">
        <v>77.209999999999994</v>
      </c>
      <c r="L73" s="16">
        <v>0.879</v>
      </c>
      <c r="M73" s="16">
        <v>0.52300000000000002</v>
      </c>
      <c r="N73" s="16">
        <v>0</v>
      </c>
      <c r="O73" s="16">
        <v>0</v>
      </c>
      <c r="P73" s="16">
        <v>0</v>
      </c>
      <c r="Q73" s="16">
        <v>0</v>
      </c>
      <c r="T73" s="16">
        <f t="shared" si="57"/>
        <v>94.652000000000001</v>
      </c>
      <c r="U73" s="16"/>
      <c r="V73" s="16">
        <f t="shared" ref="V73:V136" si="108">K73*BB73/(BB73+BC73)</f>
        <v>43.352831037085799</v>
      </c>
      <c r="W73" s="16">
        <f t="shared" ref="W73:W136" si="109">1.1113*K73*BC73/(BB73+BC73)</f>
        <v>37.625471868486542</v>
      </c>
      <c r="X73" s="16">
        <f t="shared" ref="X73:X136" si="110">SUM(G73:J73)+SUM(L73:S73)+SUM(V73:W73)</f>
        <v>98.420302905572356</v>
      </c>
      <c r="AD73" s="15">
        <v>4</v>
      </c>
      <c r="AE73" s="15">
        <v>3</v>
      </c>
      <c r="AG73" s="38">
        <f t="shared" si="58"/>
        <v>4.9981775121576959E-3</v>
      </c>
      <c r="AH73" s="38">
        <f t="shared" si="59"/>
        <v>0.5093312125804802</v>
      </c>
      <c r="AI73" s="38">
        <f t="shared" si="60"/>
        <v>3.2162403014556813E-2</v>
      </c>
      <c r="AJ73" s="38">
        <f t="shared" si="61"/>
        <v>0</v>
      </c>
      <c r="AK73" s="38">
        <f t="shared" si="62"/>
        <v>2.8556826088863643</v>
      </c>
      <c r="AL73" s="38">
        <f t="shared" si="63"/>
        <v>3.2927658401821783E-2</v>
      </c>
      <c r="AM73" s="38">
        <f t="shared" si="64"/>
        <v>3.4487348004703045E-2</v>
      </c>
      <c r="AN73" s="38">
        <f t="shared" si="65"/>
        <v>0</v>
      </c>
      <c r="AO73" s="38">
        <f t="shared" si="66"/>
        <v>0</v>
      </c>
      <c r="AP73" s="38">
        <f t="shared" si="67"/>
        <v>0</v>
      </c>
      <c r="AQ73" s="38">
        <f t="shared" si="68"/>
        <v>0</v>
      </c>
      <c r="AR73" s="38">
        <f t="shared" si="69"/>
        <v>0</v>
      </c>
      <c r="AS73" s="38">
        <f t="shared" si="70"/>
        <v>0</v>
      </c>
      <c r="AT73" s="39">
        <f t="shared" si="71"/>
        <v>3.469589408400084</v>
      </c>
      <c r="AU73" s="38">
        <f t="shared" si="72"/>
        <v>3.7160580526714511E-2</v>
      </c>
      <c r="AV73" s="38">
        <f t="shared" si="73"/>
        <v>0</v>
      </c>
      <c r="AW73" s="40"/>
      <c r="AX73" s="38">
        <f t="shared" si="74"/>
        <v>4.32170230292104E-3</v>
      </c>
      <c r="AY73" s="38">
        <f t="shared" si="75"/>
        <v>0.44039609817867115</v>
      </c>
      <c r="AZ73" s="38">
        <f t="shared" si="76"/>
        <v>2.7809402694759539E-2</v>
      </c>
      <c r="BA73" s="38">
        <f t="shared" si="77"/>
        <v>0</v>
      </c>
      <c r="BB73" s="38">
        <f t="shared" si="78"/>
        <v>1.3864270359519542</v>
      </c>
      <c r="BC73" s="38">
        <f t="shared" si="79"/>
        <v>1.0827549963420564</v>
      </c>
      <c r="BD73" s="38">
        <f t="shared" si="80"/>
        <v>2.8471085070269658E-2</v>
      </c>
      <c r="BE73" s="38">
        <f t="shared" si="81"/>
        <v>2.9819679459368115E-2</v>
      </c>
      <c r="BF73" s="38">
        <f t="shared" si="82"/>
        <v>0</v>
      </c>
      <c r="BG73" s="38">
        <f t="shared" si="83"/>
        <v>0</v>
      </c>
      <c r="BH73" s="38">
        <f t="shared" si="84"/>
        <v>0</v>
      </c>
      <c r="BI73" s="38">
        <f t="shared" si="85"/>
        <v>0</v>
      </c>
      <c r="BJ73" s="38">
        <f t="shared" si="86"/>
        <v>0</v>
      </c>
      <c r="BK73" s="38">
        <f t="shared" si="87"/>
        <v>0</v>
      </c>
      <c r="BL73" s="41">
        <f t="shared" si="88"/>
        <v>3</v>
      </c>
      <c r="BM73" s="42">
        <f t="shared" si="56"/>
        <v>4</v>
      </c>
      <c r="BN73" s="38">
        <f t="shared" si="89"/>
        <v>3.2131104997680578E-2</v>
      </c>
      <c r="BO73" s="38">
        <f t="shared" si="90"/>
        <v>0</v>
      </c>
      <c r="BQ73" s="38">
        <f t="shared" si="91"/>
        <v>1.8808255659121173E-3</v>
      </c>
      <c r="BR73" s="38">
        <f t="shared" si="92"/>
        <v>0.19166249374061092</v>
      </c>
      <c r="BS73" s="38">
        <f t="shared" si="93"/>
        <v>1.2102785406041585E-2</v>
      </c>
      <c r="BT73" s="38">
        <f t="shared" si="94"/>
        <v>0</v>
      </c>
      <c r="BU73" s="38">
        <f t="shared" si="95"/>
        <v>1.0745998608211551</v>
      </c>
      <c r="BV73" s="38">
        <f t="shared" si="96"/>
        <v>1.2390752748801805E-2</v>
      </c>
      <c r="BW73" s="38">
        <f t="shared" si="97"/>
        <v>1.2977667493796528E-2</v>
      </c>
      <c r="BX73" s="38">
        <f t="shared" si="98"/>
        <v>0</v>
      </c>
      <c r="BY73" s="38">
        <f t="shared" si="99"/>
        <v>0</v>
      </c>
      <c r="BZ73" s="38">
        <f t="shared" si="100"/>
        <v>0</v>
      </c>
      <c r="CA73" s="38">
        <f t="shared" si="101"/>
        <v>0</v>
      </c>
      <c r="CB73" s="38">
        <f t="shared" si="102"/>
        <v>0</v>
      </c>
      <c r="CC73" s="38">
        <f t="shared" si="103"/>
        <v>0</v>
      </c>
      <c r="CD73" s="38">
        <f t="shared" si="104"/>
        <v>1.3056143857763181</v>
      </c>
      <c r="CE73" s="38">
        <f t="shared" si="105"/>
        <v>1.5052090977858619</v>
      </c>
      <c r="CF73" s="38">
        <f t="shared" si="106"/>
        <v>2.2977687996415579</v>
      </c>
      <c r="CG73" s="38">
        <f t="shared" si="107"/>
        <v>3.4586225018289722</v>
      </c>
    </row>
    <row r="74" spans="1:85" ht="15" customHeight="1" x14ac:dyDescent="0.25">
      <c r="A74" s="35" t="s">
        <v>92</v>
      </c>
      <c r="B74" s="15">
        <v>969</v>
      </c>
      <c r="C74" s="102" t="s">
        <v>255</v>
      </c>
      <c r="D74" s="103" t="s">
        <v>106</v>
      </c>
      <c r="E74" s="15">
        <v>127</v>
      </c>
      <c r="F74" s="15" t="s">
        <v>272</v>
      </c>
      <c r="G74" s="16">
        <v>4.9000000000000002E-2</v>
      </c>
      <c r="H74" s="16">
        <v>7.08</v>
      </c>
      <c r="I74" s="16">
        <v>1.075</v>
      </c>
      <c r="J74" s="16">
        <v>1.6E-2</v>
      </c>
      <c r="K74" s="16">
        <v>83.73</v>
      </c>
      <c r="L74" s="16">
        <v>0.52200000000000002</v>
      </c>
      <c r="M74" s="16">
        <v>0.97799999999999998</v>
      </c>
      <c r="N74" s="16">
        <v>0</v>
      </c>
      <c r="O74" s="16">
        <v>1.0999999999999999E-2</v>
      </c>
      <c r="P74" s="16">
        <v>0</v>
      </c>
      <c r="Q74" s="16">
        <v>0</v>
      </c>
      <c r="T74" s="16">
        <f t="shared" si="57"/>
        <v>93.460999999999999</v>
      </c>
      <c r="U74" s="16"/>
      <c r="V74" s="16">
        <f t="shared" si="108"/>
        <v>35.431831537142031</v>
      </c>
      <c r="W74" s="16">
        <f t="shared" si="109"/>
        <v>53.673754612774061</v>
      </c>
      <c r="X74" s="16">
        <f t="shared" si="110"/>
        <v>98.836586149916087</v>
      </c>
      <c r="Y74" s="15">
        <v>127</v>
      </c>
      <c r="AD74" s="15">
        <v>4</v>
      </c>
      <c r="AE74" s="15">
        <v>3</v>
      </c>
      <c r="AG74" s="38">
        <f t="shared" si="58"/>
        <v>2.3170009501362319E-3</v>
      </c>
      <c r="AH74" s="38">
        <f t="shared" si="59"/>
        <v>0.25179972840792531</v>
      </c>
      <c r="AI74" s="38">
        <f t="shared" si="60"/>
        <v>5.9905774719777531E-2</v>
      </c>
      <c r="AJ74" s="38">
        <f t="shared" si="61"/>
        <v>5.9812921992637982E-4</v>
      </c>
      <c r="AK74" s="38">
        <f t="shared" si="62"/>
        <v>3.3106584217286001</v>
      </c>
      <c r="AL74" s="38">
        <f t="shared" si="63"/>
        <v>2.0904480278805451E-2</v>
      </c>
      <c r="AM74" s="38">
        <f t="shared" si="64"/>
        <v>6.8943585308316582E-2</v>
      </c>
      <c r="AN74" s="38">
        <f t="shared" si="65"/>
        <v>0</v>
      </c>
      <c r="AO74" s="38">
        <f t="shared" si="66"/>
        <v>1.0083961171978011E-3</v>
      </c>
      <c r="AP74" s="38">
        <f t="shared" si="67"/>
        <v>0</v>
      </c>
      <c r="AQ74" s="38">
        <f t="shared" si="68"/>
        <v>0</v>
      </c>
      <c r="AR74" s="38">
        <f t="shared" si="69"/>
        <v>0</v>
      </c>
      <c r="AS74" s="38">
        <f t="shared" si="70"/>
        <v>0</v>
      </c>
      <c r="AT74" s="39">
        <f t="shared" si="71"/>
        <v>3.7161355167306853</v>
      </c>
      <c r="AU74" s="38">
        <f t="shared" si="72"/>
        <v>6.2222775669913764E-2</v>
      </c>
      <c r="AV74" s="38">
        <f t="shared" si="73"/>
        <v>1.0083961171978011E-3</v>
      </c>
      <c r="AW74" s="40"/>
      <c r="AX74" s="38">
        <f t="shared" si="74"/>
        <v>1.870492294781522E-3</v>
      </c>
      <c r="AY74" s="38">
        <f t="shared" si="75"/>
        <v>0.20327546770639501</v>
      </c>
      <c r="AZ74" s="38">
        <f t="shared" si="76"/>
        <v>4.8361348328179662E-2</v>
      </c>
      <c r="BA74" s="38">
        <f t="shared" si="77"/>
        <v>4.8286389226132791E-4</v>
      </c>
      <c r="BB74" s="38">
        <f t="shared" si="78"/>
        <v>1.1309843552309045</v>
      </c>
      <c r="BC74" s="38">
        <f t="shared" si="79"/>
        <v>1.5416779361388073</v>
      </c>
      <c r="BD74" s="38">
        <f t="shared" si="80"/>
        <v>1.6875983277270055E-2</v>
      </c>
      <c r="BE74" s="38">
        <f t="shared" si="81"/>
        <v>5.5657484769799669E-2</v>
      </c>
      <c r="BF74" s="38">
        <f t="shared" si="82"/>
        <v>0</v>
      </c>
      <c r="BG74" s="38">
        <f t="shared" si="83"/>
        <v>8.1406836160131458E-4</v>
      </c>
      <c r="BH74" s="38">
        <f t="shared" si="84"/>
        <v>0</v>
      </c>
      <c r="BI74" s="38">
        <f t="shared" si="85"/>
        <v>0</v>
      </c>
      <c r="BJ74" s="38">
        <f t="shared" si="86"/>
        <v>0</v>
      </c>
      <c r="BK74" s="38">
        <f t="shared" si="87"/>
        <v>0</v>
      </c>
      <c r="BL74" s="41">
        <f t="shared" si="88"/>
        <v>3.0000000000000004</v>
      </c>
      <c r="BM74" s="42">
        <f t="shared" si="56"/>
        <v>3.9999999999999996</v>
      </c>
      <c r="BN74" s="38">
        <f t="shared" si="89"/>
        <v>5.0231840622961182E-2</v>
      </c>
      <c r="BO74" s="38">
        <f t="shared" si="90"/>
        <v>8.1406836160131458E-4</v>
      </c>
      <c r="BQ74" s="38">
        <f t="shared" si="91"/>
        <v>8.155792276964049E-4</v>
      </c>
      <c r="BR74" s="38">
        <f t="shared" si="92"/>
        <v>8.8632949424136215E-2</v>
      </c>
      <c r="BS74" s="38">
        <f t="shared" si="93"/>
        <v>2.1086700666928207E-2</v>
      </c>
      <c r="BT74" s="38">
        <f t="shared" si="94"/>
        <v>2.1054016711625763E-4</v>
      </c>
      <c r="BU74" s="38">
        <f t="shared" si="95"/>
        <v>1.1653444676409188</v>
      </c>
      <c r="BV74" s="38">
        <f t="shared" si="96"/>
        <v>7.3583309839300821E-3</v>
      </c>
      <c r="BW74" s="38">
        <f t="shared" si="97"/>
        <v>2.4267990074441689E-2</v>
      </c>
      <c r="BX74" s="38">
        <f t="shared" si="98"/>
        <v>0</v>
      </c>
      <c r="BY74" s="38">
        <f t="shared" si="99"/>
        <v>3.5495321071313328E-4</v>
      </c>
      <c r="BZ74" s="38">
        <f t="shared" si="100"/>
        <v>0</v>
      </c>
      <c r="CA74" s="38">
        <f t="shared" si="101"/>
        <v>0</v>
      </c>
      <c r="CB74" s="38">
        <f t="shared" si="102"/>
        <v>0</v>
      </c>
      <c r="CC74" s="38">
        <f t="shared" si="103"/>
        <v>0</v>
      </c>
      <c r="CD74" s="38">
        <f t="shared" si="104"/>
        <v>1.3080715113958807</v>
      </c>
      <c r="CE74" s="38">
        <f t="shared" si="105"/>
        <v>1.407991183859379</v>
      </c>
      <c r="CF74" s="38">
        <f t="shared" si="106"/>
        <v>2.2934525932749761</v>
      </c>
      <c r="CG74" s="38">
        <f t="shared" si="107"/>
        <v>3.2291610319305963</v>
      </c>
    </row>
    <row r="75" spans="1:85" ht="15" customHeight="1" x14ac:dyDescent="0.25">
      <c r="A75" s="35" t="s">
        <v>92</v>
      </c>
      <c r="B75" s="15">
        <v>970</v>
      </c>
      <c r="C75" s="102" t="s">
        <v>255</v>
      </c>
      <c r="D75" s="103" t="s">
        <v>106</v>
      </c>
      <c r="E75" s="15">
        <v>128</v>
      </c>
      <c r="F75" s="15" t="s">
        <v>279</v>
      </c>
      <c r="G75" s="16">
        <v>3.6999999999999998E-2</v>
      </c>
      <c r="H75" s="16">
        <v>42.31</v>
      </c>
      <c r="I75" s="16">
        <v>0.151</v>
      </c>
      <c r="J75" s="16">
        <v>0</v>
      </c>
      <c r="K75" s="16">
        <v>50.39</v>
      </c>
      <c r="L75" s="16">
        <v>0.878</v>
      </c>
      <c r="M75" s="16">
        <v>2.04</v>
      </c>
      <c r="N75" s="16">
        <v>0</v>
      </c>
      <c r="O75" s="16">
        <v>0</v>
      </c>
      <c r="P75" s="16">
        <v>1.4E-2</v>
      </c>
      <c r="Q75" s="16">
        <v>0</v>
      </c>
      <c r="T75" s="16">
        <f t="shared" si="57"/>
        <v>95.820000000000007</v>
      </c>
      <c r="U75" s="16"/>
      <c r="V75" s="16">
        <f t="shared" si="108"/>
        <v>33.531954289464963</v>
      </c>
      <c r="W75" s="16">
        <f t="shared" si="109"/>
        <v>18.734346198117589</v>
      </c>
      <c r="X75" s="16">
        <f t="shared" si="110"/>
        <v>97.696300487582562</v>
      </c>
      <c r="AD75" s="15">
        <v>3</v>
      </c>
      <c r="AE75" s="15">
        <v>2</v>
      </c>
      <c r="AG75" s="38">
        <f t="shared" si="58"/>
        <v>1.0098690133429201E-3</v>
      </c>
      <c r="AH75" s="38">
        <f t="shared" si="59"/>
        <v>0.86855678176342233</v>
      </c>
      <c r="AI75" s="38">
        <f t="shared" si="60"/>
        <v>4.8570252661711746E-3</v>
      </c>
      <c r="AJ75" s="38">
        <f t="shared" si="61"/>
        <v>0</v>
      </c>
      <c r="AK75" s="38">
        <f t="shared" si="62"/>
        <v>1.1500344030948759</v>
      </c>
      <c r="AL75" s="38">
        <f t="shared" si="63"/>
        <v>2.0295351542758727E-2</v>
      </c>
      <c r="AM75" s="38">
        <f t="shared" si="64"/>
        <v>8.3007697576387235E-2</v>
      </c>
      <c r="AN75" s="38">
        <f t="shared" si="65"/>
        <v>0</v>
      </c>
      <c r="AO75" s="38">
        <f t="shared" si="66"/>
        <v>0</v>
      </c>
      <c r="AP75" s="38">
        <f t="shared" si="67"/>
        <v>4.8741666638147529E-4</v>
      </c>
      <c r="AQ75" s="38">
        <f t="shared" si="68"/>
        <v>0</v>
      </c>
      <c r="AR75" s="38">
        <f t="shared" si="69"/>
        <v>0</v>
      </c>
      <c r="AS75" s="38">
        <f t="shared" si="70"/>
        <v>0</v>
      </c>
      <c r="AT75" s="39">
        <f t="shared" si="71"/>
        <v>2.1282485449233399</v>
      </c>
      <c r="AU75" s="38">
        <f t="shared" si="72"/>
        <v>5.8668942795140951E-3</v>
      </c>
      <c r="AV75" s="38">
        <f t="shared" si="73"/>
        <v>4.8741666638147529E-4</v>
      </c>
      <c r="AW75" s="40"/>
      <c r="AX75" s="38">
        <f t="shared" si="74"/>
        <v>9.4901417012766801E-4</v>
      </c>
      <c r="AY75" s="38">
        <f t="shared" si="75"/>
        <v>0.81621743271973712</v>
      </c>
      <c r="AZ75" s="38">
        <f t="shared" si="76"/>
        <v>4.5643402672652846E-3</v>
      </c>
      <c r="BA75" s="38">
        <f t="shared" si="77"/>
        <v>0</v>
      </c>
      <c r="BB75" s="38">
        <f t="shared" si="78"/>
        <v>0.71917236372636362</v>
      </c>
      <c r="BC75" s="38">
        <f t="shared" si="79"/>
        <v>0.36156081082520219</v>
      </c>
      <c r="BD75" s="38">
        <f t="shared" si="80"/>
        <v>1.9072350916128331E-2</v>
      </c>
      <c r="BE75" s="38">
        <f t="shared" si="81"/>
        <v>7.8005642502978603E-2</v>
      </c>
      <c r="BF75" s="38">
        <f t="shared" si="82"/>
        <v>0</v>
      </c>
      <c r="BG75" s="38">
        <f t="shared" si="83"/>
        <v>0</v>
      </c>
      <c r="BH75" s="38">
        <f t="shared" si="84"/>
        <v>4.5804487219704143E-4</v>
      </c>
      <c r="BI75" s="38">
        <f t="shared" si="85"/>
        <v>0</v>
      </c>
      <c r="BJ75" s="38">
        <f t="shared" si="86"/>
        <v>0</v>
      </c>
      <c r="BK75" s="38">
        <f t="shared" si="87"/>
        <v>0</v>
      </c>
      <c r="BL75" s="41">
        <f t="shared" si="88"/>
        <v>2</v>
      </c>
      <c r="BM75" s="42">
        <f t="shared" si="56"/>
        <v>2.9999999999999996</v>
      </c>
      <c r="BN75" s="38">
        <f t="shared" si="89"/>
        <v>5.5133544373929524E-3</v>
      </c>
      <c r="BO75" s="38">
        <f t="shared" si="90"/>
        <v>4.5804487219704143E-4</v>
      </c>
      <c r="BQ75" s="38">
        <f t="shared" si="91"/>
        <v>6.1584553928095871E-4</v>
      </c>
      <c r="BR75" s="38">
        <f t="shared" si="92"/>
        <v>0.52966950425638459</v>
      </c>
      <c r="BS75" s="38">
        <f t="shared" si="93"/>
        <v>2.9619458611220089E-3</v>
      </c>
      <c r="BT75" s="38">
        <f t="shared" si="94"/>
        <v>0</v>
      </c>
      <c r="BU75" s="38">
        <f t="shared" si="95"/>
        <v>0.70132219902574811</v>
      </c>
      <c r="BV75" s="38">
        <f t="shared" si="96"/>
        <v>1.2376656329292361E-2</v>
      </c>
      <c r="BW75" s="38">
        <f t="shared" si="97"/>
        <v>5.0620347394540945E-2</v>
      </c>
      <c r="BX75" s="38">
        <f t="shared" si="98"/>
        <v>0</v>
      </c>
      <c r="BY75" s="38">
        <f t="shared" si="99"/>
        <v>0</v>
      </c>
      <c r="BZ75" s="38">
        <f t="shared" si="100"/>
        <v>2.9723991507430998E-4</v>
      </c>
      <c r="CA75" s="38">
        <f t="shared" si="101"/>
        <v>0</v>
      </c>
      <c r="CB75" s="38">
        <f t="shared" si="102"/>
        <v>0</v>
      </c>
      <c r="CC75" s="38">
        <f t="shared" si="103"/>
        <v>0</v>
      </c>
      <c r="CD75" s="38">
        <f t="shared" si="104"/>
        <v>1.2978637383214433</v>
      </c>
      <c r="CE75" s="38">
        <f t="shared" si="105"/>
        <v>1.8294814410901328</v>
      </c>
      <c r="CF75" s="38">
        <f t="shared" si="106"/>
        <v>1.5409938200343323</v>
      </c>
      <c r="CG75" s="38">
        <f t="shared" si="107"/>
        <v>2.8192195945873988</v>
      </c>
    </row>
    <row r="76" spans="1:85" ht="15" customHeight="1" x14ac:dyDescent="0.25">
      <c r="A76" s="35" t="s">
        <v>92</v>
      </c>
      <c r="B76" s="15">
        <v>971</v>
      </c>
      <c r="C76" s="102" t="s">
        <v>255</v>
      </c>
      <c r="D76" s="103" t="s">
        <v>106</v>
      </c>
      <c r="E76" s="15">
        <v>129</v>
      </c>
      <c r="F76" s="15" t="s">
        <v>272</v>
      </c>
      <c r="G76" s="16">
        <v>6.8000000000000005E-2</v>
      </c>
      <c r="H76" s="16">
        <v>7.06</v>
      </c>
      <c r="I76" s="16">
        <v>1.097</v>
      </c>
      <c r="J76" s="16">
        <v>0.04</v>
      </c>
      <c r="K76" s="16">
        <v>82.85</v>
      </c>
      <c r="L76" s="16">
        <v>0.501</v>
      </c>
      <c r="M76" s="16">
        <v>0.95099999999999996</v>
      </c>
      <c r="N76" s="16">
        <v>1.9E-2</v>
      </c>
      <c r="O76" s="16">
        <v>3.7999999999999999E-2</v>
      </c>
      <c r="P76" s="16">
        <v>0</v>
      </c>
      <c r="Q76" s="16">
        <v>0</v>
      </c>
      <c r="T76" s="16">
        <f t="shared" si="57"/>
        <v>92.623999999999995</v>
      </c>
      <c r="U76" s="16"/>
      <c r="V76" s="16">
        <f t="shared" si="108"/>
        <v>35.088418332846246</v>
      </c>
      <c r="W76" s="16">
        <f t="shared" si="109"/>
        <v>53.077445706707955</v>
      </c>
      <c r="X76" s="16">
        <f t="shared" si="110"/>
        <v>97.939864039554209</v>
      </c>
      <c r="Y76" s="15">
        <v>130</v>
      </c>
      <c r="AD76" s="15">
        <v>4</v>
      </c>
      <c r="AE76" s="15">
        <v>3</v>
      </c>
      <c r="AG76" s="38">
        <f t="shared" si="58"/>
        <v>3.2411812020335315E-3</v>
      </c>
      <c r="AH76" s="38">
        <f t="shared" si="59"/>
        <v>0.25309931373610273</v>
      </c>
      <c r="AI76" s="38">
        <f t="shared" si="60"/>
        <v>6.1621337312249752E-2</v>
      </c>
      <c r="AJ76" s="38">
        <f t="shared" si="61"/>
        <v>1.5072985964105575E-3</v>
      </c>
      <c r="AK76" s="38">
        <f t="shared" si="62"/>
        <v>3.302098797395669</v>
      </c>
      <c r="AL76" s="38">
        <f t="shared" si="63"/>
        <v>2.0224177323775155E-2</v>
      </c>
      <c r="AM76" s="38">
        <f t="shared" si="64"/>
        <v>6.7577137809766458E-2</v>
      </c>
      <c r="AN76" s="38">
        <f t="shared" si="65"/>
        <v>9.7021932054662367E-4</v>
      </c>
      <c r="AO76" s="38">
        <f t="shared" si="66"/>
        <v>3.5114488219589964E-3</v>
      </c>
      <c r="AP76" s="38">
        <f t="shared" si="67"/>
        <v>0</v>
      </c>
      <c r="AQ76" s="38">
        <f t="shared" si="68"/>
        <v>0</v>
      </c>
      <c r="AR76" s="38">
        <f t="shared" si="69"/>
        <v>0</v>
      </c>
      <c r="AS76" s="38">
        <f t="shared" si="70"/>
        <v>0</v>
      </c>
      <c r="AT76" s="39">
        <f t="shared" si="71"/>
        <v>3.713850911518513</v>
      </c>
      <c r="AU76" s="38">
        <f t="shared" si="72"/>
        <v>6.4862518514283291E-2</v>
      </c>
      <c r="AV76" s="38">
        <f t="shared" si="73"/>
        <v>4.4816681425056204E-3</v>
      </c>
      <c r="AW76" s="40"/>
      <c r="AX76" s="38">
        <f t="shared" si="74"/>
        <v>2.6181836152719576E-3</v>
      </c>
      <c r="AY76" s="38">
        <f t="shared" si="75"/>
        <v>0.20445030220608607</v>
      </c>
      <c r="AZ76" s="38">
        <f t="shared" si="76"/>
        <v>4.9776907135230794E-2</v>
      </c>
      <c r="BA76" s="38">
        <f t="shared" si="77"/>
        <v>1.217576013944719E-3</v>
      </c>
      <c r="BB76" s="38">
        <f t="shared" si="78"/>
        <v>1.1296870014427856</v>
      </c>
      <c r="BC76" s="38">
        <f t="shared" si="79"/>
        <v>1.5377050474578899</v>
      </c>
      <c r="BD76" s="38">
        <f t="shared" si="80"/>
        <v>1.6336824879843601E-2</v>
      </c>
      <c r="BE76" s="38">
        <f t="shared" si="81"/>
        <v>5.4587924571912048E-2</v>
      </c>
      <c r="BF76" s="38">
        <f t="shared" si="82"/>
        <v>7.8373042725341023E-4</v>
      </c>
      <c r="BG76" s="38">
        <f t="shared" si="83"/>
        <v>2.8365022497819454E-3</v>
      </c>
      <c r="BH76" s="38">
        <f t="shared" si="84"/>
        <v>0</v>
      </c>
      <c r="BI76" s="38">
        <f t="shared" si="85"/>
        <v>0</v>
      </c>
      <c r="BJ76" s="38">
        <f t="shared" si="86"/>
        <v>0</v>
      </c>
      <c r="BK76" s="38">
        <f t="shared" si="87"/>
        <v>0</v>
      </c>
      <c r="BL76" s="41">
        <f t="shared" si="88"/>
        <v>3</v>
      </c>
      <c r="BM76" s="42">
        <f t="shared" si="56"/>
        <v>3.9999999999999996</v>
      </c>
      <c r="BN76" s="38">
        <f t="shared" si="89"/>
        <v>5.2395090750502749E-2</v>
      </c>
      <c r="BO76" s="38">
        <f t="shared" si="90"/>
        <v>3.6202326770353559E-3</v>
      </c>
      <c r="BQ76" s="38">
        <f t="shared" si="91"/>
        <v>1.1318242343541945E-3</v>
      </c>
      <c r="BR76" s="38">
        <f t="shared" si="92"/>
        <v>8.838257386079118E-2</v>
      </c>
      <c r="BS76" s="38">
        <f t="shared" si="93"/>
        <v>2.151824244801883E-2</v>
      </c>
      <c r="BT76" s="38">
        <f t="shared" si="94"/>
        <v>5.2635041779064407E-4</v>
      </c>
      <c r="BU76" s="38">
        <f t="shared" si="95"/>
        <v>1.1530967292971468</v>
      </c>
      <c r="BV76" s="38">
        <f t="shared" si="96"/>
        <v>7.0623061742317453E-3</v>
      </c>
      <c r="BW76" s="38">
        <f t="shared" si="97"/>
        <v>2.359801488833747E-2</v>
      </c>
      <c r="BX76" s="38">
        <f t="shared" si="98"/>
        <v>3.3880171184022827E-4</v>
      </c>
      <c r="BY76" s="38">
        <f t="shared" si="99"/>
        <v>1.2262020006453694E-3</v>
      </c>
      <c r="BZ76" s="38">
        <f t="shared" si="100"/>
        <v>0</v>
      </c>
      <c r="CA76" s="38">
        <f t="shared" si="101"/>
        <v>0</v>
      </c>
      <c r="CB76" s="38">
        <f t="shared" si="102"/>
        <v>0</v>
      </c>
      <c r="CC76" s="38">
        <f t="shared" si="103"/>
        <v>0</v>
      </c>
      <c r="CD76" s="38">
        <f t="shared" si="104"/>
        <v>1.2968810450331563</v>
      </c>
      <c r="CE76" s="38">
        <f t="shared" si="105"/>
        <v>1.3968046385608839</v>
      </c>
      <c r="CF76" s="38">
        <f t="shared" si="106"/>
        <v>2.3132422294932233</v>
      </c>
      <c r="CG76" s="38">
        <f t="shared" si="107"/>
        <v>3.231147476271055</v>
      </c>
    </row>
    <row r="77" spans="1:85" ht="15" customHeight="1" x14ac:dyDescent="0.25">
      <c r="A77" s="35" t="s">
        <v>92</v>
      </c>
      <c r="B77" s="15">
        <v>972</v>
      </c>
      <c r="C77" s="102" t="s">
        <v>255</v>
      </c>
      <c r="D77" s="103" t="s">
        <v>106</v>
      </c>
      <c r="E77" s="15">
        <v>130</v>
      </c>
      <c r="F77" s="15" t="s">
        <v>279</v>
      </c>
      <c r="G77" s="16">
        <v>2.5000000000000001E-2</v>
      </c>
      <c r="H77" s="16">
        <v>43.43</v>
      </c>
      <c r="I77" s="16">
        <v>0.104</v>
      </c>
      <c r="J77" s="16">
        <v>0</v>
      </c>
      <c r="K77" s="16">
        <v>50.35</v>
      </c>
      <c r="L77" s="16">
        <v>0.86399999999999999</v>
      </c>
      <c r="M77" s="16">
        <v>2.0299999999999998</v>
      </c>
      <c r="N77" s="16">
        <v>1.2999999999999999E-2</v>
      </c>
      <c r="O77" s="16">
        <v>0</v>
      </c>
      <c r="P77" s="16">
        <v>0</v>
      </c>
      <c r="Q77" s="16">
        <v>0</v>
      </c>
      <c r="T77" s="16">
        <f t="shared" si="57"/>
        <v>96.816000000000003</v>
      </c>
      <c r="U77" s="16"/>
      <c r="V77" s="16">
        <f t="shared" si="108"/>
        <v>34.583080618456393</v>
      </c>
      <c r="W77" s="16">
        <f t="shared" si="109"/>
        <v>17.521777508709413</v>
      </c>
      <c r="X77" s="16">
        <f t="shared" si="110"/>
        <v>98.570858127165792</v>
      </c>
      <c r="Y77" s="15">
        <v>129</v>
      </c>
      <c r="AD77" s="15">
        <v>3</v>
      </c>
      <c r="AE77" s="15">
        <v>2</v>
      </c>
      <c r="AG77" s="38">
        <f t="shared" si="58"/>
        <v>6.7302170543573055E-4</v>
      </c>
      <c r="AH77" s="38">
        <f t="shared" si="59"/>
        <v>0.87936820562733731</v>
      </c>
      <c r="AI77" s="38">
        <f t="shared" si="60"/>
        <v>3.299533136530548E-3</v>
      </c>
      <c r="AJ77" s="38">
        <f t="shared" si="61"/>
        <v>0</v>
      </c>
      <c r="AK77" s="38">
        <f t="shared" si="62"/>
        <v>1.1334221314131314</v>
      </c>
      <c r="AL77" s="38">
        <f t="shared" si="63"/>
        <v>1.9698880445485189E-2</v>
      </c>
      <c r="AM77" s="38">
        <f t="shared" si="64"/>
        <v>8.1472300195567976E-2</v>
      </c>
      <c r="AN77" s="38">
        <f t="shared" si="65"/>
        <v>3.7493357547326885E-4</v>
      </c>
      <c r="AO77" s="38">
        <f t="shared" si="66"/>
        <v>0</v>
      </c>
      <c r="AP77" s="38">
        <f t="shared" si="67"/>
        <v>0</v>
      </c>
      <c r="AQ77" s="38">
        <f t="shared" si="68"/>
        <v>0</v>
      </c>
      <c r="AR77" s="38">
        <f t="shared" si="69"/>
        <v>0</v>
      </c>
      <c r="AS77" s="38">
        <f t="shared" si="70"/>
        <v>0</v>
      </c>
      <c r="AT77" s="39">
        <f t="shared" si="71"/>
        <v>2.1183090060989618</v>
      </c>
      <c r="AU77" s="38">
        <f t="shared" si="72"/>
        <v>3.9725548419662785E-3</v>
      </c>
      <c r="AV77" s="38">
        <f t="shared" si="73"/>
        <v>3.7493357547326885E-4</v>
      </c>
      <c r="AW77" s="40"/>
      <c r="AX77" s="38">
        <f t="shared" si="74"/>
        <v>6.3543298309924558E-4</v>
      </c>
      <c r="AY77" s="38">
        <f t="shared" si="75"/>
        <v>0.83025489019353749</v>
      </c>
      <c r="AZ77" s="38">
        <f t="shared" si="76"/>
        <v>3.1152519552441571E-3</v>
      </c>
      <c r="BA77" s="38">
        <f t="shared" si="77"/>
        <v>0</v>
      </c>
      <c r="BB77" s="38">
        <f t="shared" si="78"/>
        <v>0.73501562885757488</v>
      </c>
      <c r="BC77" s="38">
        <f t="shared" si="79"/>
        <v>0.33510410169148286</v>
      </c>
      <c r="BD77" s="38">
        <f t="shared" si="80"/>
        <v>1.8598684506149821E-2</v>
      </c>
      <c r="BE77" s="38">
        <f t="shared" si="81"/>
        <v>7.6922016533938889E-2</v>
      </c>
      <c r="BF77" s="38">
        <f t="shared" si="82"/>
        <v>3.5399327897277802E-4</v>
      </c>
      <c r="BG77" s="38">
        <f t="shared" si="83"/>
        <v>0</v>
      </c>
      <c r="BH77" s="38">
        <f t="shared" si="84"/>
        <v>0</v>
      </c>
      <c r="BI77" s="38">
        <f t="shared" si="85"/>
        <v>0</v>
      </c>
      <c r="BJ77" s="38">
        <f t="shared" si="86"/>
        <v>0</v>
      </c>
      <c r="BK77" s="38">
        <f t="shared" si="87"/>
        <v>0</v>
      </c>
      <c r="BL77" s="41">
        <f t="shared" si="88"/>
        <v>2</v>
      </c>
      <c r="BM77" s="42">
        <f t="shared" si="56"/>
        <v>3.0000000000000004</v>
      </c>
      <c r="BN77" s="38">
        <f t="shared" si="89"/>
        <v>3.7506849383434028E-3</v>
      </c>
      <c r="BO77" s="38">
        <f t="shared" si="90"/>
        <v>3.5399327897277802E-4</v>
      </c>
      <c r="BQ77" s="38">
        <f t="shared" si="91"/>
        <v>4.1611185086551269E-4</v>
      </c>
      <c r="BR77" s="38">
        <f t="shared" si="92"/>
        <v>0.54369053580370563</v>
      </c>
      <c r="BS77" s="38">
        <f t="shared" si="93"/>
        <v>2.0400156924284033E-3</v>
      </c>
      <c r="BT77" s="38">
        <f t="shared" si="94"/>
        <v>0</v>
      </c>
      <c r="BU77" s="38">
        <f t="shared" si="95"/>
        <v>0.70076548364648583</v>
      </c>
      <c r="BV77" s="38">
        <f t="shared" si="96"/>
        <v>1.2179306456160135E-2</v>
      </c>
      <c r="BW77" s="38">
        <f t="shared" si="97"/>
        <v>5.0372208436724568E-2</v>
      </c>
      <c r="BX77" s="38">
        <f t="shared" si="98"/>
        <v>2.3181169757489301E-4</v>
      </c>
      <c r="BY77" s="38">
        <f t="shared" si="99"/>
        <v>0</v>
      </c>
      <c r="BZ77" s="38">
        <f t="shared" si="100"/>
        <v>0</v>
      </c>
      <c r="CA77" s="38">
        <f t="shared" si="101"/>
        <v>0</v>
      </c>
      <c r="CB77" s="38">
        <f t="shared" si="102"/>
        <v>0</v>
      </c>
      <c r="CC77" s="38">
        <f t="shared" si="103"/>
        <v>0</v>
      </c>
      <c r="CD77" s="38">
        <f t="shared" si="104"/>
        <v>1.309695473583945</v>
      </c>
      <c r="CE77" s="38">
        <f t="shared" si="105"/>
        <v>1.8548221290847304</v>
      </c>
      <c r="CF77" s="38">
        <f t="shared" si="106"/>
        <v>1.5270725449841069</v>
      </c>
      <c r="CG77" s="38">
        <f t="shared" si="107"/>
        <v>2.8324479491542589</v>
      </c>
    </row>
    <row r="78" spans="1:85" ht="15" customHeight="1" x14ac:dyDescent="0.25">
      <c r="A78" s="35" t="s">
        <v>92</v>
      </c>
      <c r="B78" s="15">
        <v>973</v>
      </c>
      <c r="C78" s="102" t="s">
        <v>255</v>
      </c>
      <c r="D78" s="103" t="s">
        <v>106</v>
      </c>
      <c r="E78" s="15">
        <v>131</v>
      </c>
      <c r="F78" s="15" t="s">
        <v>279</v>
      </c>
      <c r="G78" s="16">
        <v>1.2E-2</v>
      </c>
      <c r="H78" s="16">
        <v>42.58</v>
      </c>
      <c r="I78" s="16">
        <v>9.1999999999999998E-2</v>
      </c>
      <c r="J78" s="16">
        <v>0</v>
      </c>
      <c r="K78" s="16">
        <v>49.63</v>
      </c>
      <c r="L78" s="16">
        <v>0.85399999999999998</v>
      </c>
      <c r="M78" s="16">
        <v>2.06</v>
      </c>
      <c r="N78" s="16">
        <v>8.9999999999999993E-3</v>
      </c>
      <c r="O78" s="16">
        <v>0</v>
      </c>
      <c r="P78" s="16">
        <v>1.9E-2</v>
      </c>
      <c r="Q78" s="16">
        <v>0</v>
      </c>
      <c r="T78" s="16">
        <f t="shared" si="57"/>
        <v>95.256</v>
      </c>
      <c r="U78" s="16"/>
      <c r="V78" s="16">
        <f t="shared" si="108"/>
        <v>33.706779361742164</v>
      </c>
      <c r="W78" s="16">
        <f t="shared" si="109"/>
        <v>17.695475095295933</v>
      </c>
      <c r="X78" s="16">
        <f t="shared" si="110"/>
        <v>97.028254457038088</v>
      </c>
      <c r="AD78" s="15">
        <v>3</v>
      </c>
      <c r="AE78" s="15">
        <v>2</v>
      </c>
      <c r="AG78" s="38">
        <f t="shared" si="58"/>
        <v>3.2860532204545849E-4</v>
      </c>
      <c r="AH78" s="38">
        <f t="shared" si="59"/>
        <v>0.87698238809334106</v>
      </c>
      <c r="AI78" s="38">
        <f t="shared" si="60"/>
        <v>2.9690073114639489E-3</v>
      </c>
      <c r="AJ78" s="38">
        <f t="shared" si="61"/>
        <v>0</v>
      </c>
      <c r="AK78" s="38">
        <f t="shared" si="62"/>
        <v>1.1364249855690276</v>
      </c>
      <c r="AL78" s="38">
        <f t="shared" si="63"/>
        <v>1.9805689100191991E-2</v>
      </c>
      <c r="AM78" s="38">
        <f t="shared" si="64"/>
        <v>8.4097956910446164E-2</v>
      </c>
      <c r="AN78" s="38">
        <f t="shared" si="65"/>
        <v>2.640327355807482E-4</v>
      </c>
      <c r="AO78" s="38">
        <f t="shared" si="66"/>
        <v>0</v>
      </c>
      <c r="AP78" s="38">
        <f t="shared" si="67"/>
        <v>6.6367577356923522E-4</v>
      </c>
      <c r="AQ78" s="38">
        <f t="shared" si="68"/>
        <v>0</v>
      </c>
      <c r="AR78" s="38">
        <f t="shared" si="69"/>
        <v>0</v>
      </c>
      <c r="AS78" s="38">
        <f t="shared" si="70"/>
        <v>0</v>
      </c>
      <c r="AT78" s="39">
        <f t="shared" si="71"/>
        <v>2.1215363408156667</v>
      </c>
      <c r="AU78" s="38">
        <f t="shared" si="72"/>
        <v>3.2976126335094074E-3</v>
      </c>
      <c r="AV78" s="38">
        <f t="shared" si="73"/>
        <v>9.2770850914998342E-4</v>
      </c>
      <c r="AW78" s="40"/>
      <c r="AX78" s="38">
        <f t="shared" si="74"/>
        <v>3.0978052623799942E-4</v>
      </c>
      <c r="AY78" s="38">
        <f t="shared" si="75"/>
        <v>0.82674274413434534</v>
      </c>
      <c r="AZ78" s="38">
        <f t="shared" si="76"/>
        <v>2.7989219457088869E-3</v>
      </c>
      <c r="BA78" s="38">
        <f t="shared" si="77"/>
        <v>0</v>
      </c>
      <c r="BB78" s="38">
        <f t="shared" si="78"/>
        <v>0.72760098262119599</v>
      </c>
      <c r="BC78" s="38">
        <f t="shared" si="79"/>
        <v>0.34372168454754704</v>
      </c>
      <c r="BD78" s="38">
        <f t="shared" si="80"/>
        <v>1.8671081630001491E-2</v>
      </c>
      <c r="BE78" s="38">
        <f t="shared" si="81"/>
        <v>7.9280241674401897E-2</v>
      </c>
      <c r="BF78" s="38">
        <f t="shared" si="82"/>
        <v>2.4890710613916287E-4</v>
      </c>
      <c r="BG78" s="38">
        <f t="shared" si="83"/>
        <v>0</v>
      </c>
      <c r="BH78" s="38">
        <f t="shared" si="84"/>
        <v>6.2565581442179956E-4</v>
      </c>
      <c r="BI78" s="38">
        <f t="shared" si="85"/>
        <v>0</v>
      </c>
      <c r="BJ78" s="38">
        <f t="shared" si="86"/>
        <v>0</v>
      </c>
      <c r="BK78" s="38">
        <f t="shared" si="87"/>
        <v>0</v>
      </c>
      <c r="BL78" s="41">
        <f t="shared" si="88"/>
        <v>1.9999999999999996</v>
      </c>
      <c r="BM78" s="42">
        <f t="shared" si="56"/>
        <v>2.9999999999999996</v>
      </c>
      <c r="BN78" s="38">
        <f t="shared" si="89"/>
        <v>3.1087024719468862E-3</v>
      </c>
      <c r="BO78" s="38">
        <f t="shared" si="90"/>
        <v>8.7456292056096248E-4</v>
      </c>
      <c r="BQ78" s="38">
        <f t="shared" si="91"/>
        <v>1.9973368841544607E-4</v>
      </c>
      <c r="BR78" s="38">
        <f t="shared" si="92"/>
        <v>0.53304957436154232</v>
      </c>
      <c r="BS78" s="38">
        <f t="shared" si="93"/>
        <v>1.8046292663789721E-3</v>
      </c>
      <c r="BT78" s="38">
        <f t="shared" si="94"/>
        <v>0</v>
      </c>
      <c r="BU78" s="38">
        <f t="shared" si="95"/>
        <v>0.69074460681976346</v>
      </c>
      <c r="BV78" s="38">
        <f t="shared" si="96"/>
        <v>1.2038342261065689E-2</v>
      </c>
      <c r="BW78" s="38">
        <f t="shared" si="97"/>
        <v>5.1116625310173705E-2</v>
      </c>
      <c r="BX78" s="38">
        <f t="shared" si="98"/>
        <v>1.6048502139800284E-4</v>
      </c>
      <c r="BY78" s="38">
        <f t="shared" si="99"/>
        <v>0</v>
      </c>
      <c r="BZ78" s="38">
        <f t="shared" si="100"/>
        <v>4.0339702760084923E-4</v>
      </c>
      <c r="CA78" s="38">
        <f t="shared" si="101"/>
        <v>0</v>
      </c>
      <c r="CB78" s="38">
        <f t="shared" si="102"/>
        <v>0</v>
      </c>
      <c r="CC78" s="38">
        <f t="shared" si="103"/>
        <v>0</v>
      </c>
      <c r="CD78" s="38">
        <f t="shared" si="104"/>
        <v>1.2895173937563387</v>
      </c>
      <c r="CE78" s="38">
        <f t="shared" si="105"/>
        <v>1.8234673179256853</v>
      </c>
      <c r="CF78" s="38">
        <f t="shared" si="106"/>
        <v>1.5509678346982505</v>
      </c>
      <c r="CG78" s="38">
        <f t="shared" si="107"/>
        <v>2.8281391577262265</v>
      </c>
    </row>
    <row r="79" spans="1:85" ht="15" customHeight="1" x14ac:dyDescent="0.25">
      <c r="A79" s="35" t="s">
        <v>92</v>
      </c>
      <c r="B79" s="15">
        <v>974</v>
      </c>
      <c r="C79" s="102" t="s">
        <v>255</v>
      </c>
      <c r="D79" s="103" t="s">
        <v>106</v>
      </c>
      <c r="E79" s="15">
        <v>132</v>
      </c>
      <c r="F79" s="15" t="s">
        <v>279</v>
      </c>
      <c r="G79" s="16">
        <v>5.2999999999999999E-2</v>
      </c>
      <c r="H79" s="16">
        <v>42.61</v>
      </c>
      <c r="I79" s="16">
        <v>0.10100000000000001</v>
      </c>
      <c r="J79" s="16">
        <v>3.5999999999999997E-2</v>
      </c>
      <c r="K79" s="16">
        <v>49.81</v>
      </c>
      <c r="L79" s="16">
        <v>0.82399999999999995</v>
      </c>
      <c r="M79" s="16">
        <v>2.36</v>
      </c>
      <c r="N79" s="16">
        <v>2.1000000000000001E-2</v>
      </c>
      <c r="O79" s="16">
        <v>0</v>
      </c>
      <c r="P79" s="16">
        <v>0</v>
      </c>
      <c r="Q79" s="16">
        <v>0</v>
      </c>
      <c r="T79" s="16">
        <f t="shared" si="57"/>
        <v>95.814999999999998</v>
      </c>
      <c r="U79" s="16"/>
      <c r="V79" s="16">
        <f t="shared" si="108"/>
        <v>33.320910708412271</v>
      </c>
      <c r="W79" s="16">
        <f t="shared" si="109"/>
        <v>18.324324929741451</v>
      </c>
      <c r="X79" s="16">
        <f t="shared" si="110"/>
        <v>97.650235638153717</v>
      </c>
      <c r="AD79" s="15">
        <v>3</v>
      </c>
      <c r="AE79" s="15">
        <v>2</v>
      </c>
      <c r="AG79" s="38">
        <f t="shared" si="58"/>
        <v>1.4413567045945073E-3</v>
      </c>
      <c r="AH79" s="38">
        <f t="shared" si="59"/>
        <v>0.87156344131785868</v>
      </c>
      <c r="AI79" s="38">
        <f t="shared" si="60"/>
        <v>3.2370325736381408E-3</v>
      </c>
      <c r="AJ79" s="38">
        <f t="shared" si="61"/>
        <v>7.740036495035963E-4</v>
      </c>
      <c r="AK79" s="38">
        <f t="shared" si="62"/>
        <v>1.1327010321680684</v>
      </c>
      <c r="AL79" s="38">
        <f t="shared" si="63"/>
        <v>1.8978485594820845E-2</v>
      </c>
      <c r="AM79" s="38">
        <f t="shared" si="64"/>
        <v>9.5682493336022134E-2</v>
      </c>
      <c r="AN79" s="38">
        <f t="shared" si="65"/>
        <v>6.1183852146959805E-4</v>
      </c>
      <c r="AO79" s="38">
        <f t="shared" si="66"/>
        <v>0</v>
      </c>
      <c r="AP79" s="38">
        <f t="shared" si="67"/>
        <v>0</v>
      </c>
      <c r="AQ79" s="38">
        <f t="shared" si="68"/>
        <v>0</v>
      </c>
      <c r="AR79" s="38">
        <f t="shared" si="69"/>
        <v>0</v>
      </c>
      <c r="AS79" s="38">
        <f t="shared" si="70"/>
        <v>0</v>
      </c>
      <c r="AT79" s="39">
        <f t="shared" si="71"/>
        <v>2.1249896838659765</v>
      </c>
      <c r="AU79" s="38">
        <f t="shared" si="72"/>
        <v>4.6783892782326485E-3</v>
      </c>
      <c r="AV79" s="38">
        <f t="shared" si="73"/>
        <v>6.1183852146959805E-4</v>
      </c>
      <c r="AW79" s="40"/>
      <c r="AX79" s="38">
        <f t="shared" si="74"/>
        <v>1.3565776018001736E-3</v>
      </c>
      <c r="AY79" s="38">
        <f t="shared" si="75"/>
        <v>0.82029898585882133</v>
      </c>
      <c r="AZ79" s="38">
        <f t="shared" si="76"/>
        <v>3.0466336831800845E-3</v>
      </c>
      <c r="BA79" s="38">
        <f t="shared" si="77"/>
        <v>7.284775595667439E-4</v>
      </c>
      <c r="BB79" s="38">
        <f t="shared" si="78"/>
        <v>0.71316297328239586</v>
      </c>
      <c r="BC79" s="38">
        <f t="shared" si="79"/>
        <v>0.35291376183601186</v>
      </c>
      <c r="BD79" s="38">
        <f t="shared" si="80"/>
        <v>1.7862190803951055E-2</v>
      </c>
      <c r="BE79" s="38">
        <f t="shared" si="81"/>
        <v>9.0054548558511374E-2</v>
      </c>
      <c r="BF79" s="38">
        <f t="shared" si="82"/>
        <v>5.7585081576159503E-4</v>
      </c>
      <c r="BG79" s="38">
        <f t="shared" si="83"/>
        <v>0</v>
      </c>
      <c r="BH79" s="38">
        <f t="shared" si="84"/>
        <v>0</v>
      </c>
      <c r="BI79" s="38">
        <f t="shared" si="85"/>
        <v>0</v>
      </c>
      <c r="BJ79" s="38">
        <f t="shared" si="86"/>
        <v>0</v>
      </c>
      <c r="BK79" s="38">
        <f t="shared" si="87"/>
        <v>0</v>
      </c>
      <c r="BL79" s="41">
        <f t="shared" si="88"/>
        <v>2</v>
      </c>
      <c r="BM79" s="42">
        <f t="shared" si="56"/>
        <v>3.0000000000000009</v>
      </c>
      <c r="BN79" s="38">
        <f t="shared" si="89"/>
        <v>4.4032112849802579E-3</v>
      </c>
      <c r="BO79" s="38">
        <f t="shared" si="90"/>
        <v>5.7585081576159503E-4</v>
      </c>
      <c r="BQ79" s="38">
        <f t="shared" si="91"/>
        <v>8.8215712383488685E-4</v>
      </c>
      <c r="BR79" s="38">
        <f t="shared" si="92"/>
        <v>0.53342513770655986</v>
      </c>
      <c r="BS79" s="38">
        <f t="shared" si="93"/>
        <v>1.9811690859160456E-3</v>
      </c>
      <c r="BT79" s="38">
        <f t="shared" si="94"/>
        <v>4.7371537601157966E-4</v>
      </c>
      <c r="BU79" s="38">
        <f t="shared" si="95"/>
        <v>0.69324982602644403</v>
      </c>
      <c r="BV79" s="38">
        <f t="shared" si="96"/>
        <v>1.1615449675782352E-2</v>
      </c>
      <c r="BW79" s="38">
        <f t="shared" si="97"/>
        <v>5.8560794044665014E-2</v>
      </c>
      <c r="BX79" s="38">
        <f t="shared" si="98"/>
        <v>3.7446504992867338E-4</v>
      </c>
      <c r="BY79" s="38">
        <f t="shared" si="99"/>
        <v>0</v>
      </c>
      <c r="BZ79" s="38">
        <f t="shared" si="100"/>
        <v>0</v>
      </c>
      <c r="CA79" s="38">
        <f t="shared" si="101"/>
        <v>0</v>
      </c>
      <c r="CB79" s="38">
        <f t="shared" si="102"/>
        <v>0</v>
      </c>
      <c r="CC79" s="38">
        <f t="shared" si="103"/>
        <v>0</v>
      </c>
      <c r="CD79" s="38">
        <f t="shared" si="104"/>
        <v>1.3005627140891425</v>
      </c>
      <c r="CE79" s="38">
        <f t="shared" si="105"/>
        <v>1.836097451150501</v>
      </c>
      <c r="CF79" s="38">
        <f t="shared" si="106"/>
        <v>1.5377958927576307</v>
      </c>
      <c r="CG79" s="38">
        <f t="shared" si="107"/>
        <v>2.8235431190819948</v>
      </c>
    </row>
    <row r="80" spans="1:85" ht="15" customHeight="1" x14ac:dyDescent="0.25">
      <c r="A80" s="35" t="s">
        <v>92</v>
      </c>
      <c r="B80" s="15">
        <v>975</v>
      </c>
      <c r="C80" s="102" t="s">
        <v>255</v>
      </c>
      <c r="D80" s="103" t="s">
        <v>106</v>
      </c>
      <c r="E80" s="15">
        <v>133</v>
      </c>
      <c r="F80" s="15" t="s">
        <v>279</v>
      </c>
      <c r="G80" s="16">
        <v>1.7999999999999999E-2</v>
      </c>
      <c r="H80" s="16">
        <v>43.22</v>
      </c>
      <c r="I80" s="16">
        <v>0.10299999999999999</v>
      </c>
      <c r="J80" s="16">
        <v>1.7999999999999999E-2</v>
      </c>
      <c r="K80" s="16">
        <v>50.33</v>
      </c>
      <c r="L80" s="16">
        <v>0.86</v>
      </c>
      <c r="M80" s="16">
        <v>2.0499999999999998</v>
      </c>
      <c r="N80" s="16">
        <v>1.4999999999999999E-2</v>
      </c>
      <c r="O80" s="16">
        <v>0</v>
      </c>
      <c r="P80" s="16">
        <v>0</v>
      </c>
      <c r="Q80" s="16">
        <v>0</v>
      </c>
      <c r="T80" s="16">
        <f t="shared" si="57"/>
        <v>96.61399999999999</v>
      </c>
      <c r="U80" s="16"/>
      <c r="V80" s="16">
        <f t="shared" si="108"/>
        <v>34.351651027751274</v>
      </c>
      <c r="W80" s="16">
        <f t="shared" si="109"/>
        <v>17.756739212860008</v>
      </c>
      <c r="X80" s="16">
        <f t="shared" si="110"/>
        <v>98.392390240611292</v>
      </c>
      <c r="Y80" s="15">
        <v>127</v>
      </c>
      <c r="AD80" s="15">
        <v>3</v>
      </c>
      <c r="AE80" s="15">
        <v>2</v>
      </c>
      <c r="AG80" s="38">
        <f t="shared" si="58"/>
        <v>4.8587697270590117E-4</v>
      </c>
      <c r="AH80" s="38">
        <f t="shared" si="59"/>
        <v>0.87746629238425056</v>
      </c>
      <c r="AI80" s="38">
        <f t="shared" si="60"/>
        <v>3.2765826659447782E-3</v>
      </c>
      <c r="AJ80" s="38">
        <f t="shared" si="61"/>
        <v>3.8412380446306387E-4</v>
      </c>
      <c r="AK80" s="38">
        <f t="shared" si="62"/>
        <v>1.1360145497720431</v>
      </c>
      <c r="AL80" s="38">
        <f t="shared" si="63"/>
        <v>1.9660339040305317E-2</v>
      </c>
      <c r="AM80" s="38">
        <f t="shared" si="64"/>
        <v>8.249593529962726E-2</v>
      </c>
      <c r="AN80" s="38">
        <f t="shared" si="65"/>
        <v>4.3377746849991892E-4</v>
      </c>
      <c r="AO80" s="38">
        <f t="shared" si="66"/>
        <v>0</v>
      </c>
      <c r="AP80" s="38">
        <f t="shared" si="67"/>
        <v>0</v>
      </c>
      <c r="AQ80" s="38">
        <f t="shared" si="68"/>
        <v>0</v>
      </c>
      <c r="AR80" s="38">
        <f t="shared" si="69"/>
        <v>0</v>
      </c>
      <c r="AS80" s="38">
        <f t="shared" si="70"/>
        <v>0</v>
      </c>
      <c r="AT80" s="39">
        <f t="shared" si="71"/>
        <v>2.1202174774078397</v>
      </c>
      <c r="AU80" s="38">
        <f t="shared" si="72"/>
        <v>3.7624596386506793E-3</v>
      </c>
      <c r="AV80" s="38">
        <f t="shared" si="73"/>
        <v>4.3377746849991892E-4</v>
      </c>
      <c r="AW80" s="40"/>
      <c r="AX80" s="38">
        <f t="shared" si="74"/>
        <v>4.5832748563126683E-4</v>
      </c>
      <c r="AY80" s="38">
        <f t="shared" si="75"/>
        <v>0.82771347914463345</v>
      </c>
      <c r="AZ80" s="38">
        <f t="shared" si="76"/>
        <v>3.0907986570799339E-3</v>
      </c>
      <c r="BA80" s="38">
        <f t="shared" si="77"/>
        <v>3.6234377704752295E-4</v>
      </c>
      <c r="BB80" s="38">
        <f t="shared" si="78"/>
        <v>0.73139866623161254</v>
      </c>
      <c r="BC80" s="38">
        <f t="shared" si="79"/>
        <v>0.34020324430534354</v>
      </c>
      <c r="BD80" s="38">
        <f t="shared" si="80"/>
        <v>1.8545587186029507E-2</v>
      </c>
      <c r="BE80" s="38">
        <f t="shared" si="81"/>
        <v>7.7818371161137781E-2</v>
      </c>
      <c r="BF80" s="38">
        <f t="shared" si="82"/>
        <v>4.0918205148488039E-4</v>
      </c>
      <c r="BG80" s="38">
        <f t="shared" si="83"/>
        <v>0</v>
      </c>
      <c r="BH80" s="38">
        <f t="shared" si="84"/>
        <v>0</v>
      </c>
      <c r="BI80" s="38">
        <f t="shared" si="85"/>
        <v>0</v>
      </c>
      <c r="BJ80" s="38">
        <f t="shared" si="86"/>
        <v>0</v>
      </c>
      <c r="BK80" s="38">
        <f t="shared" si="87"/>
        <v>0</v>
      </c>
      <c r="BL80" s="41">
        <f t="shared" si="88"/>
        <v>2.0000000000000004</v>
      </c>
      <c r="BM80" s="42">
        <f t="shared" ref="BM80:BM111" si="111">(AX80+AY80)*2+(AZ80+BA80+BC80)*1.5+BB80+BD80+BE80+BF80+(BG80+BH80)*0.5+BI80*2.5+BJ80*3  -(0.5*(BK80))</f>
        <v>3.0000000000000009</v>
      </c>
      <c r="BN80" s="38">
        <f t="shared" si="89"/>
        <v>3.5491261427112006E-3</v>
      </c>
      <c r="BO80" s="38">
        <f t="shared" si="90"/>
        <v>4.0918205148488039E-4</v>
      </c>
      <c r="BQ80" s="38">
        <f t="shared" si="91"/>
        <v>2.9960053262316911E-4</v>
      </c>
      <c r="BR80" s="38">
        <f t="shared" si="92"/>
        <v>0.54106159238858287</v>
      </c>
      <c r="BS80" s="38">
        <f t="shared" si="93"/>
        <v>2.0204001569242842E-3</v>
      </c>
      <c r="BT80" s="38">
        <f t="shared" si="94"/>
        <v>2.3685768800578983E-4</v>
      </c>
      <c r="BU80" s="38">
        <f t="shared" si="95"/>
        <v>0.70048712595685458</v>
      </c>
      <c r="BV80" s="38">
        <f t="shared" si="96"/>
        <v>1.2122920778122357E-2</v>
      </c>
      <c r="BW80" s="38">
        <f t="shared" si="97"/>
        <v>5.0868486352357321E-2</v>
      </c>
      <c r="BX80" s="38">
        <f t="shared" si="98"/>
        <v>2.674750356633381E-4</v>
      </c>
      <c r="BY80" s="38">
        <f t="shared" si="99"/>
        <v>0</v>
      </c>
      <c r="BZ80" s="38">
        <f t="shared" si="100"/>
        <v>0</v>
      </c>
      <c r="CA80" s="38">
        <f t="shared" si="101"/>
        <v>0</v>
      </c>
      <c r="CB80" s="38">
        <f t="shared" si="102"/>
        <v>0</v>
      </c>
      <c r="CC80" s="38">
        <f t="shared" si="103"/>
        <v>0</v>
      </c>
      <c r="CD80" s="38">
        <f t="shared" si="104"/>
        <v>1.3073644588891336</v>
      </c>
      <c r="CE80" s="38">
        <f t="shared" si="105"/>
        <v>1.8498542807328047</v>
      </c>
      <c r="CF80" s="38">
        <f t="shared" si="106"/>
        <v>1.5297952964848061</v>
      </c>
      <c r="CG80" s="38">
        <f t="shared" si="107"/>
        <v>2.8298983778473286</v>
      </c>
    </row>
    <row r="81" spans="1:85" ht="15" customHeight="1" x14ac:dyDescent="0.25">
      <c r="A81" s="35" t="s">
        <v>92</v>
      </c>
      <c r="B81" s="15">
        <v>976</v>
      </c>
      <c r="C81" s="102" t="s">
        <v>255</v>
      </c>
      <c r="D81" s="103" t="s">
        <v>106</v>
      </c>
      <c r="E81" s="15">
        <v>134</v>
      </c>
      <c r="F81" s="15" t="s">
        <v>272</v>
      </c>
      <c r="G81" s="16">
        <v>6.0999999999999999E-2</v>
      </c>
      <c r="H81" s="16">
        <v>7.03</v>
      </c>
      <c r="I81" s="16">
        <v>1.034</v>
      </c>
      <c r="J81" s="16">
        <v>9.4E-2</v>
      </c>
      <c r="K81" s="16">
        <v>82.87</v>
      </c>
      <c r="L81" s="16">
        <v>0.48799999999999999</v>
      </c>
      <c r="M81" s="16">
        <v>0.97699999999999998</v>
      </c>
      <c r="N81" s="16">
        <v>0</v>
      </c>
      <c r="O81" s="16">
        <v>8.1000000000000003E-2</v>
      </c>
      <c r="P81" s="16">
        <v>1.7999999999999999E-2</v>
      </c>
      <c r="Q81" s="16">
        <v>0</v>
      </c>
      <c r="T81" s="16">
        <f t="shared" si="57"/>
        <v>92.653000000000006</v>
      </c>
      <c r="U81" s="16"/>
      <c r="V81" s="16">
        <f t="shared" si="108"/>
        <v>34.817546018113603</v>
      </c>
      <c r="W81" s="16">
        <f t="shared" si="109"/>
        <v>53.400692110070352</v>
      </c>
      <c r="X81" s="16">
        <f t="shared" si="110"/>
        <v>98.001238128183957</v>
      </c>
      <c r="Y81" s="15">
        <v>135</v>
      </c>
      <c r="AD81" s="15">
        <v>4</v>
      </c>
      <c r="AE81" s="15">
        <v>3</v>
      </c>
      <c r="AG81" s="38">
        <f t="shared" si="58"/>
        <v>2.9085414334572074E-3</v>
      </c>
      <c r="AH81" s="38">
        <f t="shared" si="59"/>
        <v>0.25211147465756556</v>
      </c>
      <c r="AI81" s="38">
        <f t="shared" si="60"/>
        <v>5.8102664844156417E-2</v>
      </c>
      <c r="AJ81" s="38">
        <f t="shared" si="61"/>
        <v>3.5433836601153111E-3</v>
      </c>
      <c r="AK81" s="38">
        <f t="shared" si="62"/>
        <v>3.3040446699574884</v>
      </c>
      <c r="AL81" s="38">
        <f t="shared" si="63"/>
        <v>1.9706249712107025E-2</v>
      </c>
      <c r="AM81" s="38">
        <f t="shared" si="64"/>
        <v>6.9448818463043779E-2</v>
      </c>
      <c r="AN81" s="38">
        <f t="shared" si="65"/>
        <v>0</v>
      </c>
      <c r="AO81" s="38">
        <f t="shared" si="66"/>
        <v>7.4875336386094051E-3</v>
      </c>
      <c r="AP81" s="38">
        <f t="shared" si="67"/>
        <v>1.0947802192050266E-3</v>
      </c>
      <c r="AQ81" s="38">
        <f t="shared" si="68"/>
        <v>0</v>
      </c>
      <c r="AR81" s="38">
        <f t="shared" si="69"/>
        <v>0</v>
      </c>
      <c r="AS81" s="38">
        <f t="shared" si="70"/>
        <v>0</v>
      </c>
      <c r="AT81" s="39">
        <f t="shared" si="71"/>
        <v>3.7184481165857486</v>
      </c>
      <c r="AU81" s="38">
        <f t="shared" si="72"/>
        <v>6.1011206277613625E-2</v>
      </c>
      <c r="AV81" s="38">
        <f t="shared" si="73"/>
        <v>8.5823138578144317E-3</v>
      </c>
      <c r="AW81" s="40"/>
      <c r="AX81" s="38">
        <f t="shared" si="74"/>
        <v>2.3465768586233299E-3</v>
      </c>
      <c r="AY81" s="38">
        <f t="shared" si="75"/>
        <v>0.20340055858226078</v>
      </c>
      <c r="AZ81" s="38">
        <f t="shared" si="76"/>
        <v>4.6876543403950352E-2</v>
      </c>
      <c r="BA81" s="38">
        <f t="shared" si="77"/>
        <v>2.8587600652356178E-3</v>
      </c>
      <c r="BB81" s="38">
        <f t="shared" si="78"/>
        <v>1.1199696611634686</v>
      </c>
      <c r="BC81" s="38">
        <f t="shared" si="79"/>
        <v>1.5456945350533431</v>
      </c>
      <c r="BD81" s="38">
        <f t="shared" si="80"/>
        <v>1.5898769401306981E-2</v>
      </c>
      <c r="BE81" s="38">
        <f t="shared" si="81"/>
        <v>5.6030486067513971E-2</v>
      </c>
      <c r="BF81" s="38">
        <f t="shared" si="82"/>
        <v>0</v>
      </c>
      <c r="BG81" s="38">
        <f t="shared" si="83"/>
        <v>6.0408536603310768E-3</v>
      </c>
      <c r="BH81" s="38">
        <f t="shared" si="84"/>
        <v>8.8325574396631282E-4</v>
      </c>
      <c r="BI81" s="38">
        <f t="shared" si="85"/>
        <v>0</v>
      </c>
      <c r="BJ81" s="38">
        <f t="shared" si="86"/>
        <v>0</v>
      </c>
      <c r="BK81" s="38">
        <f t="shared" si="87"/>
        <v>0</v>
      </c>
      <c r="BL81" s="41">
        <f t="shared" si="88"/>
        <v>3.0000000000000004</v>
      </c>
      <c r="BM81" s="42">
        <f t="shared" si="111"/>
        <v>4</v>
      </c>
      <c r="BN81" s="38">
        <f t="shared" si="89"/>
        <v>4.922312026257368E-2</v>
      </c>
      <c r="BO81" s="38">
        <f t="shared" si="90"/>
        <v>6.9241094042973893E-3</v>
      </c>
      <c r="BQ81" s="38">
        <f t="shared" si="91"/>
        <v>1.0153129161118509E-3</v>
      </c>
      <c r="BR81" s="38">
        <f t="shared" si="92"/>
        <v>8.800701051577367E-2</v>
      </c>
      <c r="BS81" s="38">
        <f t="shared" si="93"/>
        <v>2.0282463711259319E-2</v>
      </c>
      <c r="BT81" s="38">
        <f t="shared" si="94"/>
        <v>1.2369234818080136E-3</v>
      </c>
      <c r="BU81" s="38">
        <f t="shared" si="95"/>
        <v>1.1533750869867783</v>
      </c>
      <c r="BV81" s="38">
        <f t="shared" si="96"/>
        <v>6.8790527206089658E-3</v>
      </c>
      <c r="BW81" s="38">
        <f t="shared" si="97"/>
        <v>2.424317617866005E-2</v>
      </c>
      <c r="BX81" s="38">
        <f t="shared" si="98"/>
        <v>0</v>
      </c>
      <c r="BY81" s="38">
        <f t="shared" si="99"/>
        <v>2.613746369796709E-3</v>
      </c>
      <c r="BZ81" s="38">
        <f t="shared" si="100"/>
        <v>3.8216560509554134E-4</v>
      </c>
      <c r="CA81" s="38">
        <f t="shared" si="101"/>
        <v>0</v>
      </c>
      <c r="CB81" s="38">
        <f t="shared" si="102"/>
        <v>0</v>
      </c>
      <c r="CC81" s="38">
        <f t="shared" si="103"/>
        <v>0</v>
      </c>
      <c r="CD81" s="38">
        <f t="shared" si="104"/>
        <v>1.2980349384858925</v>
      </c>
      <c r="CE81" s="38">
        <f t="shared" si="105"/>
        <v>1.3963189995268657</v>
      </c>
      <c r="CF81" s="38">
        <f t="shared" si="106"/>
        <v>2.3111858633785189</v>
      </c>
      <c r="CG81" s="38">
        <f t="shared" si="107"/>
        <v>3.2271527324733289</v>
      </c>
    </row>
    <row r="82" spans="1:85" ht="15" customHeight="1" x14ac:dyDescent="0.25">
      <c r="A82" s="35" t="s">
        <v>92</v>
      </c>
      <c r="B82" s="15">
        <v>977</v>
      </c>
      <c r="C82" s="102" t="s">
        <v>255</v>
      </c>
      <c r="D82" s="103" t="s">
        <v>106</v>
      </c>
      <c r="E82" s="15">
        <v>135</v>
      </c>
      <c r="F82" s="15" t="s">
        <v>279</v>
      </c>
      <c r="G82" s="16">
        <v>3.6999999999999998E-2</v>
      </c>
      <c r="H82" s="16">
        <v>41.92</v>
      </c>
      <c r="I82" s="16">
        <v>0.10100000000000001</v>
      </c>
      <c r="J82" s="16">
        <v>3.9E-2</v>
      </c>
      <c r="K82" s="16">
        <v>49.81</v>
      </c>
      <c r="L82" s="16">
        <v>0.873</v>
      </c>
      <c r="M82" s="16">
        <v>2.04</v>
      </c>
      <c r="N82" s="16">
        <v>0</v>
      </c>
      <c r="O82" s="16">
        <v>0</v>
      </c>
      <c r="P82" s="16">
        <v>2.1000000000000001E-2</v>
      </c>
      <c r="Q82" s="16">
        <v>0</v>
      </c>
      <c r="T82" s="16">
        <f t="shared" si="57"/>
        <v>94.841000000000022</v>
      </c>
      <c r="U82" s="16"/>
      <c r="V82" s="16">
        <f t="shared" si="108"/>
        <v>33.164866797862054</v>
      </c>
      <c r="W82" s="16">
        <f t="shared" si="109"/>
        <v>18.497736527535903</v>
      </c>
      <c r="X82" s="16">
        <f t="shared" si="110"/>
        <v>96.693603325397959</v>
      </c>
      <c r="Y82" s="15">
        <v>134</v>
      </c>
      <c r="AD82" s="15">
        <v>3</v>
      </c>
      <c r="AE82" s="15">
        <v>2</v>
      </c>
      <c r="AG82" s="38">
        <f t="shared" si="58"/>
        <v>1.0202047597847553E-3</v>
      </c>
      <c r="AH82" s="38">
        <f t="shared" si="59"/>
        <v>0.86935821654543677</v>
      </c>
      <c r="AI82" s="38">
        <f t="shared" si="60"/>
        <v>3.2819887495651066E-3</v>
      </c>
      <c r="AJ82" s="38">
        <f t="shared" si="61"/>
        <v>8.5014916584016226E-4</v>
      </c>
      <c r="AK82" s="38">
        <f t="shared" si="62"/>
        <v>1.1484320777217967</v>
      </c>
      <c r="AL82" s="38">
        <f t="shared" si="63"/>
        <v>2.0386309107029484E-2</v>
      </c>
      <c r="AM82" s="38">
        <f t="shared" si="64"/>
        <v>8.3857259750822158E-2</v>
      </c>
      <c r="AN82" s="38">
        <f t="shared" si="65"/>
        <v>0</v>
      </c>
      <c r="AO82" s="38">
        <f t="shared" si="66"/>
        <v>0</v>
      </c>
      <c r="AP82" s="38">
        <f t="shared" si="67"/>
        <v>7.3860787360144028E-4</v>
      </c>
      <c r="AQ82" s="38">
        <f t="shared" si="68"/>
        <v>0</v>
      </c>
      <c r="AR82" s="38">
        <f t="shared" si="69"/>
        <v>0</v>
      </c>
      <c r="AS82" s="38">
        <f t="shared" si="70"/>
        <v>0</v>
      </c>
      <c r="AT82" s="39">
        <f t="shared" si="71"/>
        <v>2.1279248136738764</v>
      </c>
      <c r="AU82" s="38">
        <f t="shared" si="72"/>
        <v>4.3021935093498619E-3</v>
      </c>
      <c r="AV82" s="38">
        <f t="shared" si="73"/>
        <v>7.3860787360144028E-4</v>
      </c>
      <c r="AW82" s="40"/>
      <c r="AX82" s="38">
        <f t="shared" si="74"/>
        <v>9.5887293877020485E-4</v>
      </c>
      <c r="AY82" s="38">
        <f t="shared" si="75"/>
        <v>0.8170948625242862</v>
      </c>
      <c r="AZ82" s="38">
        <f t="shared" si="76"/>
        <v>3.0846848802883512E-3</v>
      </c>
      <c r="BA82" s="38">
        <f t="shared" si="77"/>
        <v>7.990406055488154E-4</v>
      </c>
      <c r="BB82" s="38">
        <f t="shared" si="78"/>
        <v>0.7186885850350897</v>
      </c>
      <c r="BC82" s="38">
        <f t="shared" si="79"/>
        <v>0.36070300844797232</v>
      </c>
      <c r="BD82" s="38">
        <f t="shared" si="80"/>
        <v>1.9160741936020177E-2</v>
      </c>
      <c r="BE82" s="38">
        <f t="shared" si="81"/>
        <v>7.8815998772101381E-2</v>
      </c>
      <c r="BF82" s="38">
        <f t="shared" si="82"/>
        <v>0</v>
      </c>
      <c r="BG82" s="38">
        <f t="shared" si="83"/>
        <v>0</v>
      </c>
      <c r="BH82" s="38">
        <f t="shared" si="84"/>
        <v>6.9420485992287371E-4</v>
      </c>
      <c r="BI82" s="38">
        <f t="shared" si="85"/>
        <v>0</v>
      </c>
      <c r="BJ82" s="38">
        <f t="shared" si="86"/>
        <v>0</v>
      </c>
      <c r="BK82" s="38">
        <f t="shared" si="87"/>
        <v>0</v>
      </c>
      <c r="BL82" s="41">
        <f t="shared" si="88"/>
        <v>2</v>
      </c>
      <c r="BM82" s="42">
        <f t="shared" si="111"/>
        <v>2.9999999999999996</v>
      </c>
      <c r="BN82" s="38">
        <f t="shared" si="89"/>
        <v>4.0435578190585559E-3</v>
      </c>
      <c r="BO82" s="38">
        <f t="shared" si="90"/>
        <v>6.9420485992287371E-4</v>
      </c>
      <c r="BQ82" s="38">
        <f t="shared" si="91"/>
        <v>6.1584553928095871E-4</v>
      </c>
      <c r="BR82" s="38">
        <f t="shared" si="92"/>
        <v>0.52478718077115682</v>
      </c>
      <c r="BS82" s="38">
        <f t="shared" si="93"/>
        <v>1.9811690859160456E-3</v>
      </c>
      <c r="BT82" s="38">
        <f t="shared" si="94"/>
        <v>5.1319165734587801E-4</v>
      </c>
      <c r="BU82" s="38">
        <f t="shared" si="95"/>
        <v>0.69324982602644403</v>
      </c>
      <c r="BV82" s="38">
        <f t="shared" si="96"/>
        <v>1.2306174231745137E-2</v>
      </c>
      <c r="BW82" s="38">
        <f t="shared" si="97"/>
        <v>5.0620347394540945E-2</v>
      </c>
      <c r="BX82" s="38">
        <f t="shared" si="98"/>
        <v>0</v>
      </c>
      <c r="BY82" s="38">
        <f t="shared" si="99"/>
        <v>0</v>
      </c>
      <c r="BZ82" s="38">
        <f t="shared" si="100"/>
        <v>4.4585987261146497E-4</v>
      </c>
      <c r="CA82" s="38">
        <f t="shared" si="101"/>
        <v>0</v>
      </c>
      <c r="CB82" s="38">
        <f t="shared" si="102"/>
        <v>0</v>
      </c>
      <c r="CC82" s="38">
        <f t="shared" si="103"/>
        <v>0</v>
      </c>
      <c r="CD82" s="38">
        <f t="shared" si="104"/>
        <v>1.2845195945790413</v>
      </c>
      <c r="CE82" s="38">
        <f t="shared" si="105"/>
        <v>1.8109468713248043</v>
      </c>
      <c r="CF82" s="38">
        <f t="shared" si="106"/>
        <v>1.5570023286841597</v>
      </c>
      <c r="CG82" s="38">
        <f t="shared" si="107"/>
        <v>2.8196484957760135</v>
      </c>
    </row>
    <row r="83" spans="1:85" ht="15" customHeight="1" x14ac:dyDescent="0.25">
      <c r="A83" s="35" t="s">
        <v>92</v>
      </c>
      <c r="B83" s="15">
        <v>978</v>
      </c>
      <c r="C83" s="102" t="s">
        <v>255</v>
      </c>
      <c r="D83" s="103" t="s">
        <v>106</v>
      </c>
      <c r="E83" s="15">
        <v>136</v>
      </c>
      <c r="F83" s="15" t="s">
        <v>272</v>
      </c>
      <c r="G83" s="16">
        <v>7.5999999999999998E-2</v>
      </c>
      <c r="H83" s="16">
        <v>7.22</v>
      </c>
      <c r="I83" s="16">
        <v>1.1539999999999999</v>
      </c>
      <c r="J83" s="16">
        <v>5.2999999999999999E-2</v>
      </c>
      <c r="K83" s="16">
        <v>82.96</v>
      </c>
      <c r="L83" s="16">
        <v>0.56699999999999995</v>
      </c>
      <c r="M83" s="16">
        <v>0.97899999999999998</v>
      </c>
      <c r="N83" s="16">
        <v>0</v>
      </c>
      <c r="O83" s="16">
        <v>0.01</v>
      </c>
      <c r="P83" s="16">
        <v>2.1999999999999999E-2</v>
      </c>
      <c r="Q83" s="16">
        <v>0</v>
      </c>
      <c r="T83" s="16">
        <f t="shared" si="57"/>
        <v>93.040999999999997</v>
      </c>
      <c r="U83" s="16"/>
      <c r="V83" s="16">
        <f t="shared" si="108"/>
        <v>35.351250078586062</v>
      </c>
      <c r="W83" s="16">
        <f t="shared" si="109"/>
        <v>52.907603787667306</v>
      </c>
      <c r="X83" s="16">
        <f t="shared" si="110"/>
        <v>98.339853866253364</v>
      </c>
      <c r="AD83" s="15">
        <v>4</v>
      </c>
      <c r="AE83" s="15">
        <v>3</v>
      </c>
      <c r="AG83" s="38">
        <f t="shared" si="58"/>
        <v>3.5998042610543798E-3</v>
      </c>
      <c r="AH83" s="38">
        <f t="shared" si="59"/>
        <v>0.25721385578860767</v>
      </c>
      <c r="AI83" s="38">
        <f t="shared" si="60"/>
        <v>6.4417103963573391E-2</v>
      </c>
      <c r="AJ83" s="38">
        <f t="shared" si="61"/>
        <v>1.9846597802867568E-3</v>
      </c>
      <c r="AK83" s="38">
        <f t="shared" si="62"/>
        <v>3.2857702213573687</v>
      </c>
      <c r="AL83" s="38">
        <f t="shared" si="63"/>
        <v>2.274506033311164E-2</v>
      </c>
      <c r="AM83" s="38">
        <f t="shared" si="64"/>
        <v>6.9131003971548935E-2</v>
      </c>
      <c r="AN83" s="38">
        <f t="shared" si="65"/>
        <v>0</v>
      </c>
      <c r="AO83" s="38">
        <f t="shared" si="66"/>
        <v>9.1827686352196453E-4</v>
      </c>
      <c r="AP83" s="38">
        <f t="shared" si="67"/>
        <v>1.3292203821910931E-3</v>
      </c>
      <c r="AQ83" s="38">
        <f t="shared" si="68"/>
        <v>0</v>
      </c>
      <c r="AR83" s="38">
        <f t="shared" si="69"/>
        <v>0</v>
      </c>
      <c r="AS83" s="38">
        <f t="shared" si="70"/>
        <v>0</v>
      </c>
      <c r="AT83" s="39">
        <f t="shared" si="71"/>
        <v>3.707109206701265</v>
      </c>
      <c r="AU83" s="38">
        <f t="shared" si="72"/>
        <v>6.8016908224627776E-2</v>
      </c>
      <c r="AV83" s="38">
        <f t="shared" si="73"/>
        <v>2.2474972457130577E-3</v>
      </c>
      <c r="AW83" s="40"/>
      <c r="AX83" s="38">
        <f t="shared" si="74"/>
        <v>2.9131628395627687E-3</v>
      </c>
      <c r="AY83" s="38">
        <f t="shared" si="75"/>
        <v>0.20815183053440736</v>
      </c>
      <c r="AZ83" s="38">
        <f t="shared" si="76"/>
        <v>5.212992148744465E-2</v>
      </c>
      <c r="BA83" s="38">
        <f t="shared" si="77"/>
        <v>1.6060976380456731E-3</v>
      </c>
      <c r="BB83" s="38">
        <f t="shared" si="78"/>
        <v>1.1330761453881482</v>
      </c>
      <c r="BC83" s="38">
        <f t="shared" si="79"/>
        <v>1.5259527945344331</v>
      </c>
      <c r="BD83" s="38">
        <f t="shared" si="80"/>
        <v>1.8406574285965892E-2</v>
      </c>
      <c r="BE83" s="38">
        <f t="shared" si="81"/>
        <v>5.5944672884129423E-2</v>
      </c>
      <c r="BF83" s="38">
        <f t="shared" si="82"/>
        <v>0</v>
      </c>
      <c r="BG83" s="38">
        <f t="shared" si="83"/>
        <v>7.4312097026600762E-4</v>
      </c>
      <c r="BH83" s="38">
        <f t="shared" si="84"/>
        <v>1.075679437596515E-3</v>
      </c>
      <c r="BI83" s="38">
        <f t="shared" si="85"/>
        <v>0</v>
      </c>
      <c r="BJ83" s="38">
        <f t="shared" si="86"/>
        <v>0</v>
      </c>
      <c r="BK83" s="38">
        <f t="shared" si="87"/>
        <v>0</v>
      </c>
      <c r="BL83" s="41">
        <f t="shared" si="88"/>
        <v>3</v>
      </c>
      <c r="BM83" s="42">
        <f t="shared" si="111"/>
        <v>4</v>
      </c>
      <c r="BN83" s="38">
        <f t="shared" si="89"/>
        <v>5.504308432700742E-2</v>
      </c>
      <c r="BO83" s="38">
        <f t="shared" si="90"/>
        <v>1.8188004078625226E-3</v>
      </c>
      <c r="BQ83" s="38">
        <f t="shared" si="91"/>
        <v>1.2649800266311584E-3</v>
      </c>
      <c r="BR83" s="38">
        <f t="shared" si="92"/>
        <v>9.0385578367551331E-2</v>
      </c>
      <c r="BS83" s="38">
        <f t="shared" si="93"/>
        <v>2.263632797175363E-2</v>
      </c>
      <c r="BT83" s="38">
        <f t="shared" si="94"/>
        <v>6.974143035726034E-4</v>
      </c>
      <c r="BU83" s="38">
        <f t="shared" si="95"/>
        <v>1.1546276965901183</v>
      </c>
      <c r="BV83" s="38">
        <f t="shared" si="96"/>
        <v>7.9926698618550882E-3</v>
      </c>
      <c r="BW83" s="38">
        <f t="shared" si="97"/>
        <v>2.4292803970223327E-2</v>
      </c>
      <c r="BX83" s="38">
        <f t="shared" si="98"/>
        <v>0</v>
      </c>
      <c r="BY83" s="38">
        <f t="shared" si="99"/>
        <v>3.2268473701193938E-4</v>
      </c>
      <c r="BZ83" s="38">
        <f t="shared" si="100"/>
        <v>4.6709129511677281E-4</v>
      </c>
      <c r="CA83" s="38">
        <f t="shared" si="101"/>
        <v>0</v>
      </c>
      <c r="CB83" s="38">
        <f t="shared" si="102"/>
        <v>0</v>
      </c>
      <c r="CC83" s="38">
        <f t="shared" si="103"/>
        <v>0</v>
      </c>
      <c r="CD83" s="38">
        <f t="shared" si="104"/>
        <v>1.3026872471238342</v>
      </c>
      <c r="CE83" s="38">
        <f t="shared" si="105"/>
        <v>1.4056097886396155</v>
      </c>
      <c r="CF83" s="38">
        <f t="shared" si="106"/>
        <v>2.3029318868543571</v>
      </c>
      <c r="CG83" s="38">
        <f t="shared" si="107"/>
        <v>3.2370236027327839</v>
      </c>
    </row>
    <row r="84" spans="1:85" ht="15" customHeight="1" x14ac:dyDescent="0.25">
      <c r="A84" s="35" t="s">
        <v>92</v>
      </c>
      <c r="B84" s="15">
        <v>998</v>
      </c>
      <c r="C84" s="102" t="s">
        <v>255</v>
      </c>
      <c r="D84" s="103" t="s">
        <v>106</v>
      </c>
      <c r="E84" s="15">
        <v>156</v>
      </c>
      <c r="F84" s="15" t="s">
        <v>280</v>
      </c>
      <c r="G84" s="16">
        <v>40.69</v>
      </c>
      <c r="H84" s="16">
        <v>3.08</v>
      </c>
      <c r="I84" s="16">
        <v>11.37</v>
      </c>
      <c r="J84" s="16">
        <v>6.2E-2</v>
      </c>
      <c r="K84" s="16">
        <v>13.1</v>
      </c>
      <c r="L84" s="16">
        <v>7.1999999999999995E-2</v>
      </c>
      <c r="M84" s="16">
        <v>17.329999999999998</v>
      </c>
      <c r="N84" s="16">
        <v>0.114</v>
      </c>
      <c r="O84" s="16">
        <v>0.47099999999999997</v>
      </c>
      <c r="P84" s="16">
        <v>8.3000000000000007</v>
      </c>
      <c r="Q84" s="16">
        <v>0</v>
      </c>
      <c r="R84" s="16">
        <v>0</v>
      </c>
      <c r="S84" s="16">
        <v>0</v>
      </c>
      <c r="T84" s="16">
        <f t="shared" si="57"/>
        <v>94.588999999999999</v>
      </c>
      <c r="U84" s="16"/>
      <c r="V84" s="16">
        <f t="shared" si="108"/>
        <v>0</v>
      </c>
      <c r="W84" s="16">
        <f t="shared" si="109"/>
        <v>14.558029999999999</v>
      </c>
      <c r="X84" s="16">
        <f t="shared" si="110"/>
        <v>96.047029999999992</v>
      </c>
      <c r="AB84" s="15" t="s">
        <v>185</v>
      </c>
      <c r="AD84" s="15">
        <v>11</v>
      </c>
      <c r="AE84" s="15">
        <v>7</v>
      </c>
      <c r="AG84" s="38">
        <f t="shared" si="58"/>
        <v>3.005790402993171</v>
      </c>
      <c r="AH84" s="38">
        <f t="shared" si="59"/>
        <v>0.17112504995771971</v>
      </c>
      <c r="AI84" s="38">
        <f t="shared" si="60"/>
        <v>0.98983216249420136</v>
      </c>
      <c r="AJ84" s="38">
        <f t="shared" si="61"/>
        <v>3.620825521751705E-3</v>
      </c>
      <c r="AK84" s="38">
        <f t="shared" si="62"/>
        <v>0.80918057902537166</v>
      </c>
      <c r="AL84" s="38">
        <f t="shared" si="63"/>
        <v>4.5044548682297396E-3</v>
      </c>
      <c r="AM84" s="38">
        <f t="shared" si="64"/>
        <v>1.9085100190735915</v>
      </c>
      <c r="AN84" s="38">
        <f t="shared" si="65"/>
        <v>9.0218951181231244E-3</v>
      </c>
      <c r="AO84" s="38">
        <f t="shared" si="66"/>
        <v>6.7452842921504497E-2</v>
      </c>
      <c r="AP84" s="38">
        <f t="shared" si="67"/>
        <v>0.78209248505644235</v>
      </c>
      <c r="AQ84" s="38">
        <f t="shared" si="68"/>
        <v>0</v>
      </c>
      <c r="AR84" s="38">
        <f t="shared" si="69"/>
        <v>0</v>
      </c>
      <c r="AS84" s="38">
        <f t="shared" si="70"/>
        <v>0</v>
      </c>
      <c r="AT84" s="39">
        <f t="shared" si="71"/>
        <v>7.751130717030108</v>
      </c>
      <c r="AU84" s="38">
        <f t="shared" si="72"/>
        <v>3.9956225654873725</v>
      </c>
      <c r="AV84" s="38">
        <f t="shared" si="73"/>
        <v>0.85856722309606992</v>
      </c>
      <c r="AW84" s="40"/>
      <c r="AX84" s="38">
        <f t="shared" si="74"/>
        <v>2.7145114163439121</v>
      </c>
      <c r="AY84" s="38">
        <f t="shared" si="75"/>
        <v>0.15454201373125742</v>
      </c>
      <c r="AZ84" s="38">
        <f t="shared" si="76"/>
        <v>0.89391153244725963</v>
      </c>
      <c r="BA84" s="38">
        <f t="shared" si="77"/>
        <v>3.2699459701504463E-3</v>
      </c>
      <c r="BB84" s="38">
        <f t="shared" si="78"/>
        <v>0</v>
      </c>
      <c r="BC84" s="38">
        <f t="shared" si="79"/>
        <v>0.73076616302348973</v>
      </c>
      <c r="BD84" s="38">
        <f t="shared" si="80"/>
        <v>4.0679463717894241E-3</v>
      </c>
      <c r="BE84" s="38">
        <f t="shared" si="81"/>
        <v>1.7235640348785064</v>
      </c>
      <c r="BF84" s="38">
        <f t="shared" si="82"/>
        <v>8.1476197644437913E-3</v>
      </c>
      <c r="BG84" s="38">
        <f t="shared" si="83"/>
        <v>6.09162608254201E-2</v>
      </c>
      <c r="BH84" s="38">
        <f t="shared" si="84"/>
        <v>0.70630306664377118</v>
      </c>
      <c r="BI84" s="38">
        <f t="shared" si="85"/>
        <v>0</v>
      </c>
      <c r="BJ84" s="38">
        <f t="shared" si="86"/>
        <v>0</v>
      </c>
      <c r="BK84" s="38">
        <f t="shared" si="87"/>
        <v>0</v>
      </c>
      <c r="BL84" s="41">
        <f t="shared" si="88"/>
        <v>7.0000000000000009</v>
      </c>
      <c r="BM84" s="42">
        <f t="shared" si="111"/>
        <v>10.299417587061024</v>
      </c>
      <c r="BN84" s="38">
        <f t="shared" si="89"/>
        <v>3.6084229487911719</v>
      </c>
      <c r="BO84" s="38">
        <f t="shared" si="90"/>
        <v>0.77536694723363508</v>
      </c>
      <c r="BQ84" s="38">
        <f t="shared" si="91"/>
        <v>0.67726364846870835</v>
      </c>
      <c r="BR84" s="38">
        <f t="shared" si="92"/>
        <v>3.8557836755132704E-2</v>
      </c>
      <c r="BS84" s="38">
        <f t="shared" si="93"/>
        <v>0.22302863868183601</v>
      </c>
      <c r="BT84" s="38">
        <f t="shared" si="94"/>
        <v>8.1584314757549839E-4</v>
      </c>
      <c r="BU84" s="38">
        <f t="shared" si="95"/>
        <v>0.18232428670842032</v>
      </c>
      <c r="BV84" s="38">
        <f t="shared" si="96"/>
        <v>1.0149422046800112E-3</v>
      </c>
      <c r="BW84" s="38">
        <f t="shared" si="97"/>
        <v>0.43002481389578162</v>
      </c>
      <c r="BX84" s="38">
        <f t="shared" si="98"/>
        <v>2.0328102710413698E-3</v>
      </c>
      <c r="BY84" s="38">
        <f t="shared" si="99"/>
        <v>1.5198451113262342E-2</v>
      </c>
      <c r="BZ84" s="38">
        <f t="shared" si="100"/>
        <v>0.17622080679405522</v>
      </c>
      <c r="CA84" s="38">
        <f t="shared" si="101"/>
        <v>0</v>
      </c>
      <c r="CB84" s="38">
        <f t="shared" si="102"/>
        <v>0</v>
      </c>
      <c r="CC84" s="38">
        <f t="shared" si="103"/>
        <v>0</v>
      </c>
      <c r="CD84" s="38">
        <f t="shared" si="104"/>
        <v>1.7464820780404933</v>
      </c>
      <c r="CE84" s="38">
        <f t="shared" si="105"/>
        <v>2.4785161752253813</v>
      </c>
      <c r="CF84" s="38">
        <f t="shared" si="106"/>
        <v>4.0080571613158575</v>
      </c>
      <c r="CG84" s="38">
        <f t="shared" si="107"/>
        <v>9.9340345055492776</v>
      </c>
    </row>
    <row r="85" spans="1:85" ht="15" customHeight="1" x14ac:dyDescent="0.25">
      <c r="A85" s="35" t="s">
        <v>92</v>
      </c>
      <c r="B85" s="15">
        <v>1007</v>
      </c>
      <c r="C85" s="102" t="s">
        <v>255</v>
      </c>
      <c r="D85" s="103" t="s">
        <v>106</v>
      </c>
      <c r="E85" s="15">
        <v>165</v>
      </c>
      <c r="F85" s="15" t="s">
        <v>278</v>
      </c>
      <c r="G85" s="16">
        <v>0.19400000000000001</v>
      </c>
      <c r="H85" s="16">
        <v>0</v>
      </c>
      <c r="I85" s="16">
        <v>0.01</v>
      </c>
      <c r="J85" s="16">
        <v>0</v>
      </c>
      <c r="K85" s="16">
        <v>0.23699999999999999</v>
      </c>
      <c r="L85" s="16">
        <v>0.157</v>
      </c>
      <c r="M85" s="16">
        <v>0.161</v>
      </c>
      <c r="N85" s="16">
        <v>55.59</v>
      </c>
      <c r="O85" s="16">
        <v>0</v>
      </c>
      <c r="P85" s="16">
        <v>0</v>
      </c>
      <c r="Q85" s="16">
        <v>0</v>
      </c>
      <c r="R85" s="16">
        <v>0</v>
      </c>
      <c r="S85" s="16">
        <v>0</v>
      </c>
      <c r="T85" s="16">
        <f t="shared" si="57"/>
        <v>56.349000000000004</v>
      </c>
      <c r="U85" s="16"/>
      <c r="V85" s="16">
        <f t="shared" si="108"/>
        <v>0</v>
      </c>
      <c r="W85" s="16">
        <f t="shared" si="109"/>
        <v>0.2633781</v>
      </c>
      <c r="X85" s="16">
        <f t="shared" si="110"/>
        <v>56.375378099999999</v>
      </c>
      <c r="AB85" s="15" t="s">
        <v>185</v>
      </c>
      <c r="AD85" s="15">
        <v>4</v>
      </c>
      <c r="AE85" s="15">
        <v>3</v>
      </c>
      <c r="AG85" s="38">
        <f t="shared" si="58"/>
        <v>1.2819688756330204E-2</v>
      </c>
      <c r="AH85" s="38">
        <f t="shared" si="59"/>
        <v>0</v>
      </c>
      <c r="AI85" s="38">
        <f t="shared" si="60"/>
        <v>7.7876395886027549E-4</v>
      </c>
      <c r="AJ85" s="38">
        <f t="shared" si="61"/>
        <v>0</v>
      </c>
      <c r="AK85" s="38">
        <f t="shared" si="62"/>
        <v>1.3095655712705847E-2</v>
      </c>
      <c r="AL85" s="38">
        <f t="shared" si="63"/>
        <v>8.7864641947609304E-3</v>
      </c>
      <c r="AM85" s="38">
        <f t="shared" si="64"/>
        <v>1.5860851727677896E-2</v>
      </c>
      <c r="AN85" s="38">
        <f t="shared" si="65"/>
        <v>3.9354495049139042</v>
      </c>
      <c r="AO85" s="38">
        <f t="shared" si="66"/>
        <v>0</v>
      </c>
      <c r="AP85" s="38">
        <f t="shared" si="67"/>
        <v>0</v>
      </c>
      <c r="AQ85" s="38">
        <f t="shared" si="68"/>
        <v>0</v>
      </c>
      <c r="AR85" s="38">
        <f t="shared" si="69"/>
        <v>0</v>
      </c>
      <c r="AS85" s="38">
        <f t="shared" si="70"/>
        <v>0</v>
      </c>
      <c r="AT85" s="39">
        <f t="shared" si="71"/>
        <v>3.9867909292642394</v>
      </c>
      <c r="AU85" s="38">
        <f t="shared" si="72"/>
        <v>1.359845271519048E-2</v>
      </c>
      <c r="AV85" s="38">
        <f t="shared" si="73"/>
        <v>3.9354495049139042</v>
      </c>
      <c r="AW85" s="40"/>
      <c r="AX85" s="38">
        <f t="shared" si="74"/>
        <v>9.6466222963159549E-3</v>
      </c>
      <c r="AY85" s="38">
        <f t="shared" si="75"/>
        <v>0</v>
      </c>
      <c r="AZ85" s="38">
        <f t="shared" si="76"/>
        <v>5.8600812483838687E-4</v>
      </c>
      <c r="BA85" s="38">
        <f t="shared" si="77"/>
        <v>0</v>
      </c>
      <c r="BB85" s="38">
        <f t="shared" si="78"/>
        <v>0</v>
      </c>
      <c r="BC85" s="38">
        <f t="shared" si="79"/>
        <v>9.8542832657061187E-3</v>
      </c>
      <c r="BD85" s="38">
        <f t="shared" si="80"/>
        <v>6.6116816888482808E-3</v>
      </c>
      <c r="BE85" s="38">
        <f t="shared" si="81"/>
        <v>1.1935051530734528E-2</v>
      </c>
      <c r="BF85" s="38">
        <f t="shared" si="82"/>
        <v>2.961366353093557</v>
      </c>
      <c r="BG85" s="38">
        <f t="shared" si="83"/>
        <v>0</v>
      </c>
      <c r="BH85" s="38">
        <f t="shared" si="84"/>
        <v>0</v>
      </c>
      <c r="BI85" s="38">
        <f t="shared" si="85"/>
        <v>0</v>
      </c>
      <c r="BJ85" s="38">
        <f t="shared" si="86"/>
        <v>0</v>
      </c>
      <c r="BK85" s="38">
        <f t="shared" si="87"/>
        <v>0</v>
      </c>
      <c r="BL85" s="41">
        <f t="shared" si="88"/>
        <v>3.0000000000000004</v>
      </c>
      <c r="BM85" s="42">
        <f t="shared" si="111"/>
        <v>3.0148667679915886</v>
      </c>
      <c r="BN85" s="38">
        <f t="shared" si="89"/>
        <v>1.0232630421154342E-2</v>
      </c>
      <c r="BO85" s="38">
        <f t="shared" si="90"/>
        <v>2.961366353093557</v>
      </c>
      <c r="BQ85" s="38">
        <f t="shared" si="91"/>
        <v>3.2290279627163782E-3</v>
      </c>
      <c r="BR85" s="38">
        <f t="shared" si="92"/>
        <v>0</v>
      </c>
      <c r="BS85" s="38">
        <f t="shared" si="93"/>
        <v>1.9615535504119265E-4</v>
      </c>
      <c r="BT85" s="38">
        <f t="shared" si="94"/>
        <v>0</v>
      </c>
      <c r="BU85" s="38">
        <f t="shared" si="95"/>
        <v>3.2985386221294362E-3</v>
      </c>
      <c r="BV85" s="38">
        <f t="shared" si="96"/>
        <v>2.2131378629828024E-3</v>
      </c>
      <c r="BW85" s="38">
        <f t="shared" si="97"/>
        <v>3.9950372208436731E-3</v>
      </c>
      <c r="BX85" s="38">
        <f t="shared" si="98"/>
        <v>0.99126248216833102</v>
      </c>
      <c r="BY85" s="38">
        <f t="shared" si="99"/>
        <v>0</v>
      </c>
      <c r="BZ85" s="38">
        <f t="shared" si="100"/>
        <v>0</v>
      </c>
      <c r="CA85" s="38">
        <f t="shared" si="101"/>
        <v>0</v>
      </c>
      <c r="CB85" s="38">
        <f t="shared" si="102"/>
        <v>0</v>
      </c>
      <c r="CC85" s="38">
        <f t="shared" si="103"/>
        <v>0</v>
      </c>
      <c r="CD85" s="38">
        <f t="shared" si="104"/>
        <v>1.0041943791920445</v>
      </c>
      <c r="CE85" s="38">
        <f t="shared" si="105"/>
        <v>1.0075214848322815</v>
      </c>
      <c r="CF85" s="38">
        <f t="shared" si="106"/>
        <v>2.9874694204260956</v>
      </c>
      <c r="CG85" s="38">
        <f t="shared" si="107"/>
        <v>3.0099396263587352</v>
      </c>
    </row>
    <row r="86" spans="1:85" ht="15" customHeight="1" x14ac:dyDescent="0.25">
      <c r="A86" s="35" t="s">
        <v>92</v>
      </c>
      <c r="B86" s="15">
        <v>1020</v>
      </c>
      <c r="C86" s="102" t="s">
        <v>255</v>
      </c>
      <c r="D86" s="103" t="s">
        <v>106</v>
      </c>
      <c r="E86" s="15">
        <v>178</v>
      </c>
      <c r="F86" s="15" t="s">
        <v>280</v>
      </c>
      <c r="G86" s="16">
        <v>39.909999999999997</v>
      </c>
      <c r="H86" s="16">
        <v>3.04</v>
      </c>
      <c r="I86" s="16">
        <v>11.02</v>
      </c>
      <c r="J86" s="16">
        <v>2.5999999999999999E-2</v>
      </c>
      <c r="K86" s="16">
        <v>13.62</v>
      </c>
      <c r="L86" s="16">
        <v>0.157</v>
      </c>
      <c r="M86" s="16">
        <v>16.53</v>
      </c>
      <c r="N86" s="16">
        <v>0.39900000000000002</v>
      </c>
      <c r="O86" s="16">
        <v>0.50900000000000001</v>
      </c>
      <c r="P86" s="16">
        <v>7.76</v>
      </c>
      <c r="Q86" s="16">
        <v>0</v>
      </c>
      <c r="R86" s="16">
        <v>0</v>
      </c>
      <c r="S86" s="16">
        <v>0</v>
      </c>
      <c r="T86" s="16">
        <f t="shared" si="57"/>
        <v>92.971000000000004</v>
      </c>
      <c r="U86" s="16"/>
      <c r="V86" s="16">
        <f t="shared" si="108"/>
        <v>0</v>
      </c>
      <c r="W86" s="16">
        <f t="shared" si="109"/>
        <v>15.135905999999999</v>
      </c>
      <c r="X86" s="16">
        <f t="shared" si="110"/>
        <v>94.486906000000005</v>
      </c>
      <c r="AB86" s="15" t="s">
        <v>185</v>
      </c>
      <c r="AD86" s="15">
        <v>11</v>
      </c>
      <c r="AE86" s="15">
        <v>7</v>
      </c>
      <c r="AG86" s="38">
        <f t="shared" si="58"/>
        <v>3.008162648616175</v>
      </c>
      <c r="AH86" s="38">
        <f t="shared" si="59"/>
        <v>0.17233958312303516</v>
      </c>
      <c r="AI86" s="38">
        <f t="shared" si="60"/>
        <v>0.97888409939234367</v>
      </c>
      <c r="AJ86" s="38">
        <f t="shared" si="61"/>
        <v>1.5493082707855139E-3</v>
      </c>
      <c r="AK86" s="38">
        <f t="shared" si="62"/>
        <v>0.85842003605923722</v>
      </c>
      <c r="AL86" s="38">
        <f t="shared" si="63"/>
        <v>1.0022082626716071E-2</v>
      </c>
      <c r="AM86" s="38">
        <f t="shared" si="64"/>
        <v>1.8574507960429909</v>
      </c>
      <c r="AN86" s="38">
        <f t="shared" si="65"/>
        <v>3.221917393647792E-2</v>
      </c>
      <c r="AO86" s="38">
        <f t="shared" si="66"/>
        <v>7.4378209046985E-2</v>
      </c>
      <c r="AP86" s="38">
        <f t="shared" si="67"/>
        <v>0.74608846367594184</v>
      </c>
      <c r="AQ86" s="38">
        <f t="shared" si="68"/>
        <v>0</v>
      </c>
      <c r="AR86" s="38">
        <f t="shared" si="69"/>
        <v>0</v>
      </c>
      <c r="AS86" s="38">
        <f t="shared" si="70"/>
        <v>0</v>
      </c>
      <c r="AT86" s="39">
        <f t="shared" si="71"/>
        <v>7.7395144007906884</v>
      </c>
      <c r="AU86" s="38">
        <f t="shared" si="72"/>
        <v>3.9870467480085185</v>
      </c>
      <c r="AV86" s="38">
        <f t="shared" si="73"/>
        <v>0.85268584665940472</v>
      </c>
      <c r="AW86" s="40"/>
      <c r="AX86" s="38">
        <f t="shared" si="74"/>
        <v>2.7207312306521425</v>
      </c>
      <c r="AY86" s="38">
        <f t="shared" si="75"/>
        <v>0.15587245134371736</v>
      </c>
      <c r="AZ86" s="38">
        <f t="shared" si="76"/>
        <v>0.88535124310206992</v>
      </c>
      <c r="BA86" s="38">
        <f t="shared" si="77"/>
        <v>1.4012711048629397E-3</v>
      </c>
      <c r="BB86" s="38">
        <f t="shared" si="78"/>
        <v>0</v>
      </c>
      <c r="BC86" s="38">
        <f t="shared" si="79"/>
        <v>0.77639758016352722</v>
      </c>
      <c r="BD86" s="38">
        <f t="shared" si="80"/>
        <v>9.0644677112875893E-3</v>
      </c>
      <c r="BE86" s="38">
        <f t="shared" si="81"/>
        <v>1.6799704605462851</v>
      </c>
      <c r="BF86" s="38">
        <f t="shared" si="82"/>
        <v>2.9140616048508719E-2</v>
      </c>
      <c r="BG86" s="38">
        <f t="shared" si="83"/>
        <v>6.7271334655789827E-2</v>
      </c>
      <c r="BH86" s="38">
        <f t="shared" si="84"/>
        <v>0.67479934467181013</v>
      </c>
      <c r="BI86" s="38">
        <f t="shared" si="85"/>
        <v>0</v>
      </c>
      <c r="BJ86" s="38">
        <f t="shared" si="86"/>
        <v>0</v>
      </c>
      <c r="BK86" s="38">
        <f t="shared" si="87"/>
        <v>0</v>
      </c>
      <c r="BL86" s="41">
        <f t="shared" si="88"/>
        <v>7.0000000000000027</v>
      </c>
      <c r="BM86" s="42">
        <f t="shared" si="111"/>
        <v>10.337143389517291</v>
      </c>
      <c r="BN86" s="38">
        <f t="shared" si="89"/>
        <v>3.6060824737542125</v>
      </c>
      <c r="BO86" s="38">
        <f t="shared" si="90"/>
        <v>0.77121129537610866</v>
      </c>
      <c r="BQ86" s="38">
        <f t="shared" si="91"/>
        <v>0.66428095872170434</v>
      </c>
      <c r="BR86" s="38">
        <f t="shared" si="92"/>
        <v>3.8057085628442663E-2</v>
      </c>
      <c r="BS86" s="38">
        <f t="shared" si="93"/>
        <v>0.21616320125539429</v>
      </c>
      <c r="BT86" s="38">
        <f t="shared" si="94"/>
        <v>3.4212777156391862E-4</v>
      </c>
      <c r="BU86" s="38">
        <f t="shared" si="95"/>
        <v>0.18956158663883091</v>
      </c>
      <c r="BV86" s="38">
        <f t="shared" si="96"/>
        <v>2.2131378629828024E-3</v>
      </c>
      <c r="BW86" s="38">
        <f t="shared" si="97"/>
        <v>0.41017369727047154</v>
      </c>
      <c r="BX86" s="38">
        <f t="shared" si="98"/>
        <v>7.1148359486447937E-3</v>
      </c>
      <c r="BY86" s="38">
        <f t="shared" si="99"/>
        <v>1.6424653113907714E-2</v>
      </c>
      <c r="BZ86" s="38">
        <f t="shared" si="100"/>
        <v>0.16475583864118895</v>
      </c>
      <c r="CA86" s="38">
        <f t="shared" si="101"/>
        <v>0</v>
      </c>
      <c r="CB86" s="38">
        <f t="shared" si="102"/>
        <v>0</v>
      </c>
      <c r="CC86" s="38">
        <f t="shared" si="103"/>
        <v>0</v>
      </c>
      <c r="CD86" s="38">
        <f t="shared" si="104"/>
        <v>1.7090871228531317</v>
      </c>
      <c r="CE86" s="38">
        <f t="shared" si="105"/>
        <v>2.4290875858392096</v>
      </c>
      <c r="CF86" s="38">
        <f t="shared" si="106"/>
        <v>4.0957537543868892</v>
      </c>
      <c r="CG86" s="38">
        <f t="shared" si="107"/>
        <v>9.9489445994355279</v>
      </c>
    </row>
    <row r="87" spans="1:85" ht="15" customHeight="1" x14ac:dyDescent="0.25">
      <c r="A87" s="35" t="s">
        <v>92</v>
      </c>
      <c r="B87" s="15">
        <v>1021</v>
      </c>
      <c r="C87" s="102" t="s">
        <v>255</v>
      </c>
      <c r="D87" s="103" t="s">
        <v>106</v>
      </c>
      <c r="E87" s="15">
        <v>179</v>
      </c>
      <c r="F87" s="15" t="s">
        <v>280</v>
      </c>
      <c r="G87" s="16">
        <v>39.67</v>
      </c>
      <c r="H87" s="16">
        <v>4.33</v>
      </c>
      <c r="I87" s="16">
        <v>11.76</v>
      </c>
      <c r="J87" s="16">
        <v>8.9999999999999993E-3</v>
      </c>
      <c r="K87" s="16">
        <v>13.9</v>
      </c>
      <c r="L87" s="16">
        <v>0.14599999999999999</v>
      </c>
      <c r="M87" s="16">
        <v>16.38</v>
      </c>
      <c r="N87" s="16">
        <v>1.4E-2</v>
      </c>
      <c r="O87" s="16">
        <v>0.56299999999999994</v>
      </c>
      <c r="P87" s="16">
        <v>9.11</v>
      </c>
      <c r="Q87" s="16">
        <v>0</v>
      </c>
      <c r="R87" s="16">
        <v>0</v>
      </c>
      <c r="S87" s="16">
        <v>0</v>
      </c>
      <c r="T87" s="16">
        <f t="shared" si="57"/>
        <v>95.881999999999991</v>
      </c>
      <c r="U87" s="16"/>
      <c r="V87" s="16">
        <f t="shared" si="108"/>
        <v>0</v>
      </c>
      <c r="W87" s="16">
        <f t="shared" si="109"/>
        <v>15.447069999999998</v>
      </c>
      <c r="X87" s="16">
        <f t="shared" si="110"/>
        <v>97.429069999999996</v>
      </c>
      <c r="AB87" s="15" t="s">
        <v>185</v>
      </c>
      <c r="AD87" s="15">
        <v>11</v>
      </c>
      <c r="AE87" s="15">
        <v>7</v>
      </c>
      <c r="AG87" s="38">
        <f t="shared" si="58"/>
        <v>2.9249250821473431</v>
      </c>
      <c r="AH87" s="38">
        <f t="shared" si="59"/>
        <v>0.24012219816690489</v>
      </c>
      <c r="AI87" s="38">
        <f t="shared" si="60"/>
        <v>1.0218566153704753</v>
      </c>
      <c r="AJ87" s="38">
        <f t="shared" si="61"/>
        <v>5.2461410174259738E-4</v>
      </c>
      <c r="AK87" s="38">
        <f t="shared" si="62"/>
        <v>0.85697962792980575</v>
      </c>
      <c r="AL87" s="38">
        <f t="shared" si="63"/>
        <v>9.116835987597641E-3</v>
      </c>
      <c r="AM87" s="38">
        <f t="shared" si="64"/>
        <v>1.8004925202161346</v>
      </c>
      <c r="AN87" s="38">
        <f t="shared" si="65"/>
        <v>1.1058659876109561E-3</v>
      </c>
      <c r="AO87" s="38">
        <f t="shared" si="66"/>
        <v>8.047653865643345E-2</v>
      </c>
      <c r="AP87" s="38">
        <f t="shared" si="67"/>
        <v>0.85680095142762536</v>
      </c>
      <c r="AQ87" s="38">
        <f t="shared" si="68"/>
        <v>0</v>
      </c>
      <c r="AR87" s="38">
        <f t="shared" si="69"/>
        <v>0</v>
      </c>
      <c r="AS87" s="38">
        <f t="shared" si="70"/>
        <v>0</v>
      </c>
      <c r="AT87" s="39">
        <f t="shared" si="71"/>
        <v>7.7924008499916741</v>
      </c>
      <c r="AU87" s="38">
        <f t="shared" si="72"/>
        <v>3.9467816975178183</v>
      </c>
      <c r="AV87" s="38">
        <f t="shared" si="73"/>
        <v>0.93838335607166978</v>
      </c>
      <c r="AW87" s="40"/>
      <c r="AX87" s="38">
        <f t="shared" si="74"/>
        <v>2.6274926006987025</v>
      </c>
      <c r="AY87" s="38">
        <f t="shared" si="75"/>
        <v>0.21570443044779072</v>
      </c>
      <c r="AZ87" s="38">
        <f t="shared" si="76"/>
        <v>0.91794511669673273</v>
      </c>
      <c r="BA87" s="38">
        <f t="shared" si="77"/>
        <v>4.7126665874768311E-4</v>
      </c>
      <c r="BB87" s="38">
        <f t="shared" si="78"/>
        <v>0</v>
      </c>
      <c r="BC87" s="38">
        <f t="shared" si="79"/>
        <v>0.7698342925357915</v>
      </c>
      <c r="BD87" s="38">
        <f t="shared" si="80"/>
        <v>8.1897547548842632E-3</v>
      </c>
      <c r="BE87" s="38">
        <f t="shared" si="81"/>
        <v>1.6174023749723307</v>
      </c>
      <c r="BF87" s="38">
        <f t="shared" si="82"/>
        <v>9.9341166635247779E-4</v>
      </c>
      <c r="BG87" s="38">
        <f t="shared" si="83"/>
        <v>7.2292966113984766E-2</v>
      </c>
      <c r="BH87" s="38">
        <f t="shared" si="84"/>
        <v>0.76967378545468257</v>
      </c>
      <c r="BI87" s="38">
        <f t="shared" si="85"/>
        <v>0</v>
      </c>
      <c r="BJ87" s="38">
        <f t="shared" si="86"/>
        <v>0</v>
      </c>
      <c r="BK87" s="38">
        <f t="shared" si="87"/>
        <v>0</v>
      </c>
      <c r="BL87" s="41">
        <f t="shared" si="88"/>
        <v>7</v>
      </c>
      <c r="BM87" s="42">
        <f t="shared" si="111"/>
        <v>10.266338993307794</v>
      </c>
      <c r="BN87" s="38">
        <f t="shared" si="89"/>
        <v>3.5454377173954352</v>
      </c>
      <c r="BO87" s="38">
        <f t="shared" si="90"/>
        <v>0.84296016323501977</v>
      </c>
      <c r="BQ87" s="38">
        <f t="shared" si="91"/>
        <v>0.66028628495339547</v>
      </c>
      <c r="BR87" s="38">
        <f t="shared" si="92"/>
        <v>5.4206309464196301E-2</v>
      </c>
      <c r="BS87" s="38">
        <f t="shared" si="93"/>
        <v>0.23067869752844253</v>
      </c>
      <c r="BT87" s="38">
        <f t="shared" si="94"/>
        <v>1.1842884400289492E-4</v>
      </c>
      <c r="BU87" s="38">
        <f t="shared" si="95"/>
        <v>0.19345859429366738</v>
      </c>
      <c r="BV87" s="38">
        <f t="shared" si="96"/>
        <v>2.0580772483789118E-3</v>
      </c>
      <c r="BW87" s="38">
        <f t="shared" si="97"/>
        <v>0.40645161290322579</v>
      </c>
      <c r="BX87" s="38">
        <f t="shared" si="98"/>
        <v>2.4964336661911557E-4</v>
      </c>
      <c r="BY87" s="38">
        <f t="shared" si="99"/>
        <v>1.8167150693772182E-2</v>
      </c>
      <c r="BZ87" s="38">
        <f t="shared" si="100"/>
        <v>0.19341825902335455</v>
      </c>
      <c r="CA87" s="38">
        <f t="shared" si="101"/>
        <v>0</v>
      </c>
      <c r="CB87" s="38">
        <f t="shared" si="102"/>
        <v>0</v>
      </c>
      <c r="CC87" s="38">
        <f t="shared" si="103"/>
        <v>0</v>
      </c>
      <c r="CD87" s="38">
        <f t="shared" si="104"/>
        <v>1.7590930583190552</v>
      </c>
      <c r="CE87" s="38">
        <f t="shared" si="105"/>
        <v>2.4831915110643061</v>
      </c>
      <c r="CF87" s="38">
        <f t="shared" si="106"/>
        <v>3.9793233035033535</v>
      </c>
      <c r="CG87" s="38">
        <f t="shared" si="107"/>
        <v>9.8814218470398991</v>
      </c>
    </row>
    <row r="88" spans="1:85" ht="15" customHeight="1" x14ac:dyDescent="0.25">
      <c r="A88" s="35" t="s">
        <v>92</v>
      </c>
      <c r="B88" s="15">
        <v>1024</v>
      </c>
      <c r="C88" s="102" t="s">
        <v>255</v>
      </c>
      <c r="D88" s="103" t="s">
        <v>106</v>
      </c>
      <c r="E88" s="15">
        <v>182</v>
      </c>
      <c r="F88" s="15" t="s">
        <v>279</v>
      </c>
      <c r="G88" s="16">
        <v>3.5999999999999997E-2</v>
      </c>
      <c r="H88" s="16">
        <v>41.28</v>
      </c>
      <c r="I88" s="16">
        <v>0.122</v>
      </c>
      <c r="J88" s="16">
        <v>0</v>
      </c>
      <c r="K88" s="16">
        <v>52.44</v>
      </c>
      <c r="L88" s="16">
        <v>0.68</v>
      </c>
      <c r="M88" s="16">
        <v>1.79</v>
      </c>
      <c r="N88" s="16">
        <v>0</v>
      </c>
      <c r="O88" s="16">
        <v>0</v>
      </c>
      <c r="P88" s="16">
        <v>0</v>
      </c>
      <c r="Q88" s="16">
        <v>0</v>
      </c>
      <c r="T88" s="16">
        <f t="shared" si="57"/>
        <v>96.348000000000013</v>
      </c>
      <c r="U88" s="16"/>
      <c r="V88" s="16">
        <f t="shared" si="108"/>
        <v>33.293272817990143</v>
      </c>
      <c r="W88" s="16">
        <f t="shared" si="109"/>
        <v>21.277757917367548</v>
      </c>
      <c r="X88" s="16">
        <f t="shared" si="110"/>
        <v>98.479030735357696</v>
      </c>
      <c r="AD88" s="15">
        <v>3</v>
      </c>
      <c r="AE88" s="15">
        <v>2</v>
      </c>
      <c r="AG88" s="38">
        <f t="shared" si="58"/>
        <v>9.8650447386907465E-4</v>
      </c>
      <c r="AH88" s="38">
        <f t="shared" si="59"/>
        <v>0.85080124118588618</v>
      </c>
      <c r="AI88" s="38">
        <f t="shared" si="60"/>
        <v>3.9399116387617084E-3</v>
      </c>
      <c r="AJ88" s="38">
        <f t="shared" si="61"/>
        <v>0</v>
      </c>
      <c r="AK88" s="38">
        <f t="shared" si="62"/>
        <v>1.2016068430180282</v>
      </c>
      <c r="AL88" s="38">
        <f t="shared" si="63"/>
        <v>1.5781352150971369E-2</v>
      </c>
      <c r="AM88" s="38">
        <f t="shared" si="64"/>
        <v>7.3126446053347588E-2</v>
      </c>
      <c r="AN88" s="38">
        <f t="shared" si="65"/>
        <v>0</v>
      </c>
      <c r="AO88" s="38">
        <f t="shared" si="66"/>
        <v>0</v>
      </c>
      <c r="AP88" s="38">
        <f t="shared" si="67"/>
        <v>0</v>
      </c>
      <c r="AQ88" s="38">
        <f t="shared" si="68"/>
        <v>0</v>
      </c>
      <c r="AR88" s="38">
        <f t="shared" si="69"/>
        <v>0</v>
      </c>
      <c r="AS88" s="38">
        <f t="shared" si="70"/>
        <v>0</v>
      </c>
      <c r="AT88" s="39">
        <f t="shared" si="71"/>
        <v>2.146242298520864</v>
      </c>
      <c r="AU88" s="38">
        <f t="shared" si="72"/>
        <v>4.9264161126307826E-3</v>
      </c>
      <c r="AV88" s="38">
        <f t="shared" si="73"/>
        <v>0</v>
      </c>
      <c r="AW88" s="40"/>
      <c r="AX88" s="38">
        <f t="shared" si="74"/>
        <v>9.1928527785418133E-4</v>
      </c>
      <c r="AY88" s="38">
        <f t="shared" si="75"/>
        <v>0.79282869578354398</v>
      </c>
      <c r="AZ88" s="38">
        <f t="shared" si="76"/>
        <v>3.6714509274903364E-3</v>
      </c>
      <c r="BA88" s="38">
        <f t="shared" si="77"/>
        <v>0</v>
      </c>
      <c r="BB88" s="38">
        <f t="shared" si="78"/>
        <v>0.71089825038039156</v>
      </c>
      <c r="BC88" s="38">
        <f t="shared" si="79"/>
        <v>0.40883258694971358</v>
      </c>
      <c r="BD88" s="38">
        <f t="shared" si="80"/>
        <v>1.4706030313397029E-2</v>
      </c>
      <c r="BE88" s="38">
        <f t="shared" si="81"/>
        <v>6.8143700367609458E-2</v>
      </c>
      <c r="BF88" s="38">
        <f t="shared" si="82"/>
        <v>0</v>
      </c>
      <c r="BG88" s="38">
        <f t="shared" si="83"/>
        <v>0</v>
      </c>
      <c r="BH88" s="38">
        <f t="shared" si="84"/>
        <v>0</v>
      </c>
      <c r="BI88" s="38">
        <f t="shared" si="85"/>
        <v>0</v>
      </c>
      <c r="BJ88" s="38">
        <f t="shared" si="86"/>
        <v>0</v>
      </c>
      <c r="BK88" s="38">
        <f t="shared" si="87"/>
        <v>0</v>
      </c>
      <c r="BL88" s="41">
        <f t="shared" si="88"/>
        <v>2</v>
      </c>
      <c r="BM88" s="42">
        <f t="shared" si="111"/>
        <v>3.0000000000000004</v>
      </c>
      <c r="BN88" s="38">
        <f t="shared" si="89"/>
        <v>4.5907362053445181E-3</v>
      </c>
      <c r="BO88" s="38">
        <f t="shared" si="90"/>
        <v>0</v>
      </c>
      <c r="BQ88" s="38">
        <f t="shared" si="91"/>
        <v>5.9920106524633822E-4</v>
      </c>
      <c r="BR88" s="38">
        <f t="shared" si="92"/>
        <v>0.51677516274411617</v>
      </c>
      <c r="BS88" s="38">
        <f t="shared" si="93"/>
        <v>2.3930953315025503E-3</v>
      </c>
      <c r="BT88" s="38">
        <f t="shared" si="94"/>
        <v>0</v>
      </c>
      <c r="BU88" s="38">
        <f t="shared" si="95"/>
        <v>0.72985386221294368</v>
      </c>
      <c r="BV88" s="38">
        <f t="shared" si="96"/>
        <v>9.5855652664223294E-3</v>
      </c>
      <c r="BW88" s="38">
        <f t="shared" si="97"/>
        <v>4.4416873449131519E-2</v>
      </c>
      <c r="BX88" s="38">
        <f t="shared" si="98"/>
        <v>0</v>
      </c>
      <c r="BY88" s="38">
        <f t="shared" si="99"/>
        <v>0</v>
      </c>
      <c r="BZ88" s="38">
        <f t="shared" si="100"/>
        <v>0</v>
      </c>
      <c r="CA88" s="38">
        <f t="shared" si="101"/>
        <v>0</v>
      </c>
      <c r="CB88" s="38">
        <f t="shared" si="102"/>
        <v>0</v>
      </c>
      <c r="CC88" s="38">
        <f t="shared" si="103"/>
        <v>0</v>
      </c>
      <c r="CD88" s="38">
        <f t="shared" si="104"/>
        <v>1.3036237600693625</v>
      </c>
      <c r="CE88" s="38">
        <f t="shared" si="105"/>
        <v>1.8221946715444761</v>
      </c>
      <c r="CF88" s="38">
        <f t="shared" si="106"/>
        <v>1.5341849859299781</v>
      </c>
      <c r="CG88" s="38">
        <f t="shared" si="107"/>
        <v>2.795583706525143</v>
      </c>
    </row>
    <row r="89" spans="1:85" ht="15" customHeight="1" x14ac:dyDescent="0.25">
      <c r="A89" s="35" t="s">
        <v>92</v>
      </c>
      <c r="B89" s="15">
        <v>1025</v>
      </c>
      <c r="C89" s="102" t="s">
        <v>255</v>
      </c>
      <c r="D89" s="103" t="s">
        <v>106</v>
      </c>
      <c r="E89" s="15">
        <v>183</v>
      </c>
      <c r="F89" s="15" t="s">
        <v>272</v>
      </c>
      <c r="G89" s="16">
        <v>5.5E-2</v>
      </c>
      <c r="H89" s="16">
        <v>6.18</v>
      </c>
      <c r="I89" s="16">
        <v>1.087</v>
      </c>
      <c r="J89" s="16">
        <v>2.5999999999999999E-2</v>
      </c>
      <c r="K89" s="16">
        <v>84.08</v>
      </c>
      <c r="L89" s="16">
        <v>0.47099999999999997</v>
      </c>
      <c r="M89" s="16">
        <v>0.89400000000000002</v>
      </c>
      <c r="N89" s="16">
        <v>0.01</v>
      </c>
      <c r="O89" s="16">
        <v>0.02</v>
      </c>
      <c r="P89" s="16">
        <v>0</v>
      </c>
      <c r="Q89" s="16">
        <v>0</v>
      </c>
      <c r="T89" s="16">
        <f t="shared" si="57"/>
        <v>92.823000000000008</v>
      </c>
      <c r="U89" s="16"/>
      <c r="V89" s="16">
        <f t="shared" si="108"/>
        <v>34.578444039216848</v>
      </c>
      <c r="W89" s="16">
        <f t="shared" si="109"/>
        <v>55.01107913921831</v>
      </c>
      <c r="X89" s="16">
        <f t="shared" si="110"/>
        <v>98.332523178435153</v>
      </c>
      <c r="AD89" s="15">
        <v>4</v>
      </c>
      <c r="AE89" s="15">
        <v>3</v>
      </c>
      <c r="AG89" s="38">
        <f t="shared" si="58"/>
        <v>2.6370349415998037E-3</v>
      </c>
      <c r="AH89" s="38">
        <f t="shared" si="59"/>
        <v>0.22286072436389451</v>
      </c>
      <c r="AI89" s="38">
        <f t="shared" si="60"/>
        <v>6.1420427065751529E-2</v>
      </c>
      <c r="AJ89" s="38">
        <f t="shared" si="61"/>
        <v>9.8553362758894915E-4</v>
      </c>
      <c r="AK89" s="38">
        <f t="shared" si="62"/>
        <v>3.3709246853201407</v>
      </c>
      <c r="AL89" s="38">
        <f t="shared" si="63"/>
        <v>1.9125501941771515E-2</v>
      </c>
      <c r="AM89" s="38">
        <f t="shared" si="64"/>
        <v>6.3902167835071827E-2</v>
      </c>
      <c r="AN89" s="38">
        <f t="shared" si="65"/>
        <v>5.1365925071753405E-4</v>
      </c>
      <c r="AO89" s="38">
        <f t="shared" si="66"/>
        <v>1.8590520025969224E-3</v>
      </c>
      <c r="AP89" s="38">
        <f t="shared" si="67"/>
        <v>0</v>
      </c>
      <c r="AQ89" s="38">
        <f t="shared" si="68"/>
        <v>0</v>
      </c>
      <c r="AR89" s="38">
        <f t="shared" si="69"/>
        <v>0</v>
      </c>
      <c r="AS89" s="38">
        <f t="shared" si="70"/>
        <v>0</v>
      </c>
      <c r="AT89" s="39">
        <f t="shared" si="71"/>
        <v>3.744228786349133</v>
      </c>
      <c r="AU89" s="38">
        <f t="shared" si="72"/>
        <v>6.4057462007351337E-2</v>
      </c>
      <c r="AV89" s="38">
        <f t="shared" si="73"/>
        <v>2.3727112533144567E-3</v>
      </c>
      <c r="AW89" s="40"/>
      <c r="AX89" s="38">
        <f t="shared" si="74"/>
        <v>2.112879654587895E-3</v>
      </c>
      <c r="AY89" s="38">
        <f t="shared" si="75"/>
        <v>0.17856338681258699</v>
      </c>
      <c r="AZ89" s="38">
        <f t="shared" si="76"/>
        <v>4.921207856449427E-2</v>
      </c>
      <c r="BA89" s="38">
        <f t="shared" si="77"/>
        <v>7.896421536916085E-4</v>
      </c>
      <c r="BB89" s="38">
        <f t="shared" si="78"/>
        <v>1.1107611213102708</v>
      </c>
      <c r="BC89" s="38">
        <f t="shared" si="79"/>
        <v>1.5901352803278979</v>
      </c>
      <c r="BD89" s="38">
        <f t="shared" si="80"/>
        <v>1.5323985017822688E-2</v>
      </c>
      <c r="BE89" s="38">
        <f t="shared" si="81"/>
        <v>5.1200531389574026E-2</v>
      </c>
      <c r="BF89" s="38">
        <f t="shared" si="82"/>
        <v>4.1156078863844095E-4</v>
      </c>
      <c r="BG89" s="38">
        <f t="shared" si="83"/>
        <v>1.4895339804352225E-3</v>
      </c>
      <c r="BH89" s="38">
        <f t="shared" si="84"/>
        <v>0</v>
      </c>
      <c r="BI89" s="38">
        <f t="shared" si="85"/>
        <v>0</v>
      </c>
      <c r="BJ89" s="38">
        <f t="shared" si="86"/>
        <v>0</v>
      </c>
      <c r="BK89" s="38">
        <f t="shared" si="87"/>
        <v>0</v>
      </c>
      <c r="BL89" s="41">
        <f t="shared" si="88"/>
        <v>2.9999999999999996</v>
      </c>
      <c r="BM89" s="42">
        <f t="shared" si="111"/>
        <v>3.9999999999999991</v>
      </c>
      <c r="BN89" s="38">
        <f t="shared" si="89"/>
        <v>5.1324958219082166E-2</v>
      </c>
      <c r="BO89" s="38">
        <f t="shared" si="90"/>
        <v>1.9010947690736636E-3</v>
      </c>
      <c r="BQ89" s="38">
        <f t="shared" si="91"/>
        <v>9.1544607190412782E-4</v>
      </c>
      <c r="BR89" s="38">
        <f t="shared" si="92"/>
        <v>7.7366049073610416E-2</v>
      </c>
      <c r="BS89" s="38">
        <f t="shared" si="93"/>
        <v>2.1322087092977639E-2</v>
      </c>
      <c r="BT89" s="38">
        <f t="shared" si="94"/>
        <v>3.4212777156391862E-4</v>
      </c>
      <c r="BU89" s="38">
        <f t="shared" si="95"/>
        <v>1.1702157272094642</v>
      </c>
      <c r="BV89" s="38">
        <f t="shared" si="96"/>
        <v>6.6394135889484068E-3</v>
      </c>
      <c r="BW89" s="38">
        <f t="shared" si="97"/>
        <v>2.2183622828784121E-2</v>
      </c>
      <c r="BX89" s="38">
        <f t="shared" si="98"/>
        <v>1.783166904422254E-4</v>
      </c>
      <c r="BY89" s="38">
        <f t="shared" si="99"/>
        <v>6.4536947402387876E-4</v>
      </c>
      <c r="BZ89" s="38">
        <f t="shared" si="100"/>
        <v>0</v>
      </c>
      <c r="CA89" s="38">
        <f t="shared" si="101"/>
        <v>0</v>
      </c>
      <c r="CB89" s="38">
        <f t="shared" si="102"/>
        <v>0</v>
      </c>
      <c r="CC89" s="38">
        <f t="shared" si="103"/>
        <v>0</v>
      </c>
      <c r="CD89" s="38">
        <f t="shared" si="104"/>
        <v>1.299808159801719</v>
      </c>
      <c r="CE89" s="38">
        <f t="shared" si="105"/>
        <v>1.3885990776424926</v>
      </c>
      <c r="CF89" s="38">
        <f t="shared" si="106"/>
        <v>2.3080329026843769</v>
      </c>
      <c r="CG89" s="38">
        <f t="shared" si="107"/>
        <v>3.2049323598360506</v>
      </c>
    </row>
    <row r="90" spans="1:85" ht="15" customHeight="1" x14ac:dyDescent="0.25">
      <c r="A90" s="35" t="s">
        <v>92</v>
      </c>
      <c r="B90" s="15">
        <v>1028</v>
      </c>
      <c r="C90" s="102" t="s">
        <v>255</v>
      </c>
      <c r="D90" s="103" t="s">
        <v>106</v>
      </c>
      <c r="E90" s="15">
        <v>186</v>
      </c>
      <c r="F90" s="15" t="s">
        <v>280</v>
      </c>
      <c r="G90" s="16">
        <v>40.68</v>
      </c>
      <c r="H90" s="16">
        <v>2.68</v>
      </c>
      <c r="I90" s="16">
        <v>11.85</v>
      </c>
      <c r="J90" s="16">
        <v>0</v>
      </c>
      <c r="K90" s="16">
        <v>12.83</v>
      </c>
      <c r="L90" s="16">
        <v>0.12</v>
      </c>
      <c r="M90" s="16">
        <v>18.079999999999998</v>
      </c>
      <c r="N90" s="16">
        <v>5.8999999999999997E-2</v>
      </c>
      <c r="O90" s="16">
        <v>0.58799999999999997</v>
      </c>
      <c r="P90" s="16">
        <v>8.89</v>
      </c>
      <c r="Q90" s="16">
        <v>0</v>
      </c>
      <c r="R90" s="16">
        <v>0</v>
      </c>
      <c r="S90" s="16">
        <v>0.27800000000000002</v>
      </c>
      <c r="T90" s="16">
        <f t="shared" si="57"/>
        <v>96.055000000000007</v>
      </c>
      <c r="U90" s="16"/>
      <c r="V90" s="16">
        <f t="shared" si="108"/>
        <v>0</v>
      </c>
      <c r="W90" s="16">
        <f t="shared" si="109"/>
        <v>14.257978999999999</v>
      </c>
      <c r="X90" s="16">
        <f t="shared" si="110"/>
        <v>97.482979</v>
      </c>
      <c r="AB90" s="15" t="s">
        <v>185</v>
      </c>
      <c r="AD90" s="15">
        <v>11</v>
      </c>
      <c r="AE90" s="15">
        <v>7</v>
      </c>
      <c r="AG90" s="38">
        <f t="shared" si="58"/>
        <v>2.9794110812382661</v>
      </c>
      <c r="AH90" s="38">
        <f t="shared" si="59"/>
        <v>0.14763051890979617</v>
      </c>
      <c r="AI90" s="38">
        <f t="shared" si="60"/>
        <v>1.0228169762842105</v>
      </c>
      <c r="AJ90" s="38">
        <f t="shared" si="61"/>
        <v>0</v>
      </c>
      <c r="AK90" s="38">
        <f t="shared" si="62"/>
        <v>0.78574077764674166</v>
      </c>
      <c r="AL90" s="38">
        <f t="shared" si="63"/>
        <v>7.4433676454652778E-3</v>
      </c>
      <c r="AM90" s="38">
        <f t="shared" si="64"/>
        <v>1.9741165454733389</v>
      </c>
      <c r="AN90" s="38">
        <f t="shared" si="65"/>
        <v>4.6293862258364685E-3</v>
      </c>
      <c r="AO90" s="38">
        <f t="shared" si="66"/>
        <v>8.34901340358052E-2</v>
      </c>
      <c r="AP90" s="38">
        <f t="shared" si="67"/>
        <v>0.83053944300055516</v>
      </c>
      <c r="AQ90" s="38">
        <f t="shared" si="68"/>
        <v>0</v>
      </c>
      <c r="AR90" s="38">
        <f t="shared" si="69"/>
        <v>0</v>
      </c>
      <c r="AS90" s="38">
        <f t="shared" si="70"/>
        <v>3.4507060464002655E-2</v>
      </c>
      <c r="AT90" s="39">
        <f t="shared" si="71"/>
        <v>7.8358182304600152</v>
      </c>
      <c r="AU90" s="38">
        <f t="shared" si="72"/>
        <v>4.0022280575224762</v>
      </c>
      <c r="AV90" s="38">
        <f t="shared" si="73"/>
        <v>0.91865896326219687</v>
      </c>
      <c r="AW90" s="40"/>
      <c r="AX90" s="38">
        <f t="shared" si="74"/>
        <v>2.661608137819639</v>
      </c>
      <c r="AY90" s="38">
        <f t="shared" si="75"/>
        <v>0.13188330841460888</v>
      </c>
      <c r="AZ90" s="38">
        <f t="shared" si="76"/>
        <v>0.91371680958060564</v>
      </c>
      <c r="BA90" s="38">
        <f t="shared" si="77"/>
        <v>0</v>
      </c>
      <c r="BB90" s="38">
        <f t="shared" si="78"/>
        <v>0</v>
      </c>
      <c r="BC90" s="38">
        <f t="shared" si="79"/>
        <v>0.70192866676595855</v>
      </c>
      <c r="BD90" s="38">
        <f t="shared" si="80"/>
        <v>6.6494106914981492E-3</v>
      </c>
      <c r="BE90" s="38">
        <f t="shared" si="81"/>
        <v>1.7635447137601752</v>
      </c>
      <c r="BF90" s="38">
        <f t="shared" si="82"/>
        <v>4.1355864349794701E-3</v>
      </c>
      <c r="BG90" s="38">
        <f t="shared" si="83"/>
        <v>7.4584545105805283E-2</v>
      </c>
      <c r="BH90" s="38">
        <f t="shared" si="84"/>
        <v>0.74194882142672902</v>
      </c>
      <c r="BI90" s="38">
        <f t="shared" si="85"/>
        <v>0</v>
      </c>
      <c r="BJ90" s="38">
        <f t="shared" si="86"/>
        <v>0</v>
      </c>
      <c r="BK90" s="38">
        <f t="shared" si="87"/>
        <v>3.0826317832265228E-2</v>
      </c>
      <c r="BL90" s="41">
        <f t="shared" si="88"/>
        <v>6.9999999999999991</v>
      </c>
      <c r="BM90" s="42">
        <f t="shared" si="111"/>
        <v>10.177634342225131</v>
      </c>
      <c r="BN90" s="38">
        <f t="shared" si="89"/>
        <v>3.5753249474002446</v>
      </c>
      <c r="BO90" s="38">
        <f t="shared" si="90"/>
        <v>0.82066895296751374</v>
      </c>
      <c r="BQ90" s="38">
        <f t="shared" si="91"/>
        <v>0.67709720372836224</v>
      </c>
      <c r="BR90" s="38">
        <f t="shared" si="92"/>
        <v>3.3550325488232349E-2</v>
      </c>
      <c r="BS90" s="38">
        <f t="shared" si="93"/>
        <v>0.23244409572381328</v>
      </c>
      <c r="BT90" s="38">
        <f t="shared" si="94"/>
        <v>0</v>
      </c>
      <c r="BU90" s="38">
        <f t="shared" si="95"/>
        <v>0.17856645789839945</v>
      </c>
      <c r="BV90" s="38">
        <f t="shared" si="96"/>
        <v>1.6915703411333521E-3</v>
      </c>
      <c r="BW90" s="38">
        <f t="shared" si="97"/>
        <v>0.44863523573200992</v>
      </c>
      <c r="BX90" s="38">
        <f t="shared" si="98"/>
        <v>1.0520684736091297E-3</v>
      </c>
      <c r="BY90" s="38">
        <f t="shared" si="99"/>
        <v>1.8973862536302032E-2</v>
      </c>
      <c r="BZ90" s="38">
        <f t="shared" si="100"/>
        <v>0.18874734607218685</v>
      </c>
      <c r="CA90" s="38">
        <f t="shared" si="101"/>
        <v>0</v>
      </c>
      <c r="CB90" s="38">
        <f t="shared" si="102"/>
        <v>0</v>
      </c>
      <c r="CC90" s="38">
        <f t="shared" si="103"/>
        <v>7.8420310296191814E-3</v>
      </c>
      <c r="CD90" s="38">
        <f t="shared" si="104"/>
        <v>1.7807581659940488</v>
      </c>
      <c r="CE90" s="38">
        <f t="shared" si="105"/>
        <v>2.4998461232534956</v>
      </c>
      <c r="CF90" s="38">
        <f t="shared" si="106"/>
        <v>3.930909953790656</v>
      </c>
      <c r="CG90" s="38">
        <f t="shared" si="107"/>
        <v>9.8266700088421484</v>
      </c>
    </row>
    <row r="91" spans="1:85" ht="15" customHeight="1" x14ac:dyDescent="0.25">
      <c r="A91" s="35" t="s">
        <v>92</v>
      </c>
      <c r="B91" s="15">
        <v>1029</v>
      </c>
      <c r="C91" s="102" t="s">
        <v>255</v>
      </c>
      <c r="D91" s="103" t="s">
        <v>106</v>
      </c>
      <c r="E91" s="15">
        <v>187</v>
      </c>
      <c r="F91" s="15" t="s">
        <v>280</v>
      </c>
      <c r="G91" s="16">
        <v>39.35</v>
      </c>
      <c r="H91" s="16">
        <v>4.3499999999999996</v>
      </c>
      <c r="I91" s="16">
        <v>11.8</v>
      </c>
      <c r="J91" s="16">
        <v>8.9999999999999993E-3</v>
      </c>
      <c r="K91" s="16">
        <v>13.49</v>
      </c>
      <c r="L91" s="16">
        <v>0.154</v>
      </c>
      <c r="M91" s="16">
        <v>16.16</v>
      </c>
      <c r="N91" s="16">
        <v>0.14599999999999999</v>
      </c>
      <c r="O91" s="16">
        <v>0.59599999999999997</v>
      </c>
      <c r="P91" s="16">
        <v>8.3800000000000008</v>
      </c>
      <c r="Q91" s="16">
        <v>0</v>
      </c>
      <c r="R91" s="16">
        <v>0</v>
      </c>
      <c r="S91" s="16">
        <v>0.27700000000000002</v>
      </c>
      <c r="T91" s="16">
        <f t="shared" si="57"/>
        <v>94.711999999999989</v>
      </c>
      <c r="U91" s="16"/>
      <c r="V91" s="16">
        <f t="shared" si="108"/>
        <v>0</v>
      </c>
      <c r="W91" s="16">
        <f t="shared" si="109"/>
        <v>14.991436999999998</v>
      </c>
      <c r="X91" s="16">
        <f t="shared" si="110"/>
        <v>96.213436999999999</v>
      </c>
      <c r="AB91" s="15" t="s">
        <v>185</v>
      </c>
      <c r="AD91" s="15">
        <v>11</v>
      </c>
      <c r="AE91" s="15">
        <v>7</v>
      </c>
      <c r="AG91" s="38">
        <f t="shared" si="58"/>
        <v>2.935372542095501</v>
      </c>
      <c r="AH91" s="38">
        <f t="shared" si="59"/>
        <v>0.24406169073545989</v>
      </c>
      <c r="AI91" s="38">
        <f t="shared" si="60"/>
        <v>1.0373626109864711</v>
      </c>
      <c r="AJ91" s="38">
        <f t="shared" si="61"/>
        <v>5.3076943417643726E-4</v>
      </c>
      <c r="AK91" s="38">
        <f t="shared" si="62"/>
        <v>0.84146022469143344</v>
      </c>
      <c r="AL91" s="38">
        <f t="shared" si="63"/>
        <v>9.7292183772463535E-3</v>
      </c>
      <c r="AM91" s="38">
        <f t="shared" si="64"/>
        <v>1.7971516462857784</v>
      </c>
      <c r="AN91" s="38">
        <f t="shared" si="65"/>
        <v>1.1667915240003962E-2</v>
      </c>
      <c r="AO91" s="38">
        <f t="shared" si="66"/>
        <v>8.6193218592169718E-2</v>
      </c>
      <c r="AP91" s="38">
        <f t="shared" si="67"/>
        <v>0.79739136116772213</v>
      </c>
      <c r="AQ91" s="38">
        <f t="shared" si="68"/>
        <v>0</v>
      </c>
      <c r="AR91" s="38">
        <f t="shared" si="69"/>
        <v>0</v>
      </c>
      <c r="AS91" s="38">
        <f t="shared" si="70"/>
        <v>3.5019661534605943E-2</v>
      </c>
      <c r="AT91" s="39">
        <f t="shared" si="71"/>
        <v>7.7609211976059616</v>
      </c>
      <c r="AU91" s="38">
        <f t="shared" si="72"/>
        <v>3.9727351530819721</v>
      </c>
      <c r="AV91" s="38">
        <f t="shared" si="73"/>
        <v>0.89525249499989579</v>
      </c>
      <c r="AW91" s="40"/>
      <c r="AX91" s="38">
        <f t="shared" si="74"/>
        <v>2.6475733062470597</v>
      </c>
      <c r="AY91" s="38">
        <f t="shared" si="75"/>
        <v>0.22013260947363114</v>
      </c>
      <c r="AZ91" s="38">
        <f t="shared" si="76"/>
        <v>0.93565416939747925</v>
      </c>
      <c r="BA91" s="38">
        <f t="shared" si="77"/>
        <v>4.7873003019037973E-4</v>
      </c>
      <c r="BB91" s="38">
        <f t="shared" si="78"/>
        <v>0</v>
      </c>
      <c r="BC91" s="38">
        <f t="shared" si="79"/>
        <v>0.75895907494293458</v>
      </c>
      <c r="BD91" s="38">
        <f t="shared" si="80"/>
        <v>8.775315056894651E-3</v>
      </c>
      <c r="BE91" s="38">
        <f t="shared" si="81"/>
        <v>1.6209495243787635</v>
      </c>
      <c r="BF91" s="38">
        <f t="shared" si="82"/>
        <v>1.0523931966378221E-2</v>
      </c>
      <c r="BG91" s="38">
        <f t="shared" si="83"/>
        <v>7.7742385830602972E-2</v>
      </c>
      <c r="BH91" s="38">
        <f t="shared" si="84"/>
        <v>0.71921095267606538</v>
      </c>
      <c r="BI91" s="38">
        <f t="shared" si="85"/>
        <v>0</v>
      </c>
      <c r="BJ91" s="38">
        <f t="shared" si="86"/>
        <v>0</v>
      </c>
      <c r="BK91" s="38">
        <f t="shared" si="87"/>
        <v>3.1586151244244048E-2</v>
      </c>
      <c r="BL91" s="41">
        <f t="shared" si="88"/>
        <v>6.9999999999999991</v>
      </c>
      <c r="BM91" s="42">
        <f t="shared" si="111"/>
        <v>10.300982158030537</v>
      </c>
      <c r="BN91" s="38">
        <f t="shared" si="89"/>
        <v>3.5832274756445388</v>
      </c>
      <c r="BO91" s="38">
        <f t="shared" si="90"/>
        <v>0.80747727047304663</v>
      </c>
      <c r="BQ91" s="38">
        <f t="shared" si="91"/>
        <v>0.65496005326231699</v>
      </c>
      <c r="BR91" s="38">
        <f t="shared" si="92"/>
        <v>5.4456685027541307E-2</v>
      </c>
      <c r="BS91" s="38">
        <f t="shared" si="93"/>
        <v>0.23146331894860733</v>
      </c>
      <c r="BT91" s="38">
        <f t="shared" si="94"/>
        <v>1.1842884400289492E-4</v>
      </c>
      <c r="BU91" s="38">
        <f t="shared" si="95"/>
        <v>0.18775226165622827</v>
      </c>
      <c r="BV91" s="38">
        <f t="shared" si="96"/>
        <v>2.1708486044544686E-3</v>
      </c>
      <c r="BW91" s="38">
        <f t="shared" si="97"/>
        <v>0.40099255583126553</v>
      </c>
      <c r="BX91" s="38">
        <f t="shared" si="98"/>
        <v>2.6034236804564907E-3</v>
      </c>
      <c r="BY91" s="38">
        <f t="shared" si="99"/>
        <v>1.9232010325911583E-2</v>
      </c>
      <c r="BZ91" s="38">
        <f t="shared" si="100"/>
        <v>0.17791932059447985</v>
      </c>
      <c r="CA91" s="38">
        <f t="shared" si="101"/>
        <v>0</v>
      </c>
      <c r="CB91" s="38">
        <f t="shared" si="102"/>
        <v>0</v>
      </c>
      <c r="CC91" s="38">
        <f t="shared" si="103"/>
        <v>7.8138222849083224E-3</v>
      </c>
      <c r="CD91" s="38">
        <f t="shared" si="104"/>
        <v>1.7316689067752646</v>
      </c>
      <c r="CE91" s="38">
        <f t="shared" si="105"/>
        <v>2.4543939423587786</v>
      </c>
      <c r="CF91" s="38">
        <f t="shared" si="106"/>
        <v>4.0423431827019902</v>
      </c>
      <c r="CG91" s="38">
        <f t="shared" si="107"/>
        <v>9.9215026205590711</v>
      </c>
    </row>
    <row r="92" spans="1:85" ht="15" customHeight="1" x14ac:dyDescent="0.25">
      <c r="A92" s="35" t="s">
        <v>92</v>
      </c>
      <c r="B92" s="15">
        <v>1030</v>
      </c>
      <c r="C92" s="102" t="s">
        <v>255</v>
      </c>
      <c r="D92" s="103" t="s">
        <v>106</v>
      </c>
      <c r="E92" s="15">
        <v>188</v>
      </c>
      <c r="F92" s="15" t="s">
        <v>280</v>
      </c>
      <c r="G92" s="16">
        <v>40.33</v>
      </c>
      <c r="H92" s="16">
        <v>3.56</v>
      </c>
      <c r="I92" s="16">
        <v>11.88</v>
      </c>
      <c r="J92" s="16">
        <v>3.5999999999999997E-2</v>
      </c>
      <c r="K92" s="16">
        <v>13.2</v>
      </c>
      <c r="L92" s="16">
        <v>0.13800000000000001</v>
      </c>
      <c r="M92" s="16">
        <v>16.72</v>
      </c>
      <c r="N92" s="16">
        <v>4.3999999999999997E-2</v>
      </c>
      <c r="O92" s="16">
        <v>0.622</v>
      </c>
      <c r="P92" s="16">
        <v>8.9499999999999993</v>
      </c>
      <c r="Q92" s="16">
        <v>0</v>
      </c>
      <c r="R92" s="16">
        <v>0</v>
      </c>
      <c r="S92" s="16">
        <v>0.27600000000000002</v>
      </c>
      <c r="T92" s="16">
        <f t="shared" si="57"/>
        <v>95.756</v>
      </c>
      <c r="U92" s="16"/>
      <c r="V92" s="16">
        <f t="shared" si="108"/>
        <v>0</v>
      </c>
      <c r="W92" s="16">
        <f t="shared" si="109"/>
        <v>14.669159999999996</v>
      </c>
      <c r="X92" s="16">
        <f t="shared" si="110"/>
        <v>97.225160000000002</v>
      </c>
      <c r="AB92" s="15" t="s">
        <v>185</v>
      </c>
      <c r="AD92" s="15">
        <v>11</v>
      </c>
      <c r="AE92" s="15">
        <v>7</v>
      </c>
      <c r="AG92" s="38">
        <f t="shared" si="58"/>
        <v>2.9721126473418495</v>
      </c>
      <c r="AH92" s="38">
        <f t="shared" si="59"/>
        <v>0.19732354518455777</v>
      </c>
      <c r="AI92" s="38">
        <f t="shared" si="60"/>
        <v>1.03177161839953</v>
      </c>
      <c r="AJ92" s="38">
        <f t="shared" si="61"/>
        <v>2.0974153844255314E-3</v>
      </c>
      <c r="AK92" s="38">
        <f t="shared" si="62"/>
        <v>0.81341865160454707</v>
      </c>
      <c r="AL92" s="38">
        <f t="shared" si="63"/>
        <v>8.6130083855056414E-3</v>
      </c>
      <c r="AM92" s="38">
        <f t="shared" si="64"/>
        <v>1.8369536348022288</v>
      </c>
      <c r="AN92" s="38">
        <f t="shared" si="65"/>
        <v>3.4738546194595047E-3</v>
      </c>
      <c r="AO92" s="38">
        <f t="shared" si="66"/>
        <v>8.8866029445625994E-2</v>
      </c>
      <c r="AP92" s="38">
        <f t="shared" si="67"/>
        <v>0.8413352707877999</v>
      </c>
      <c r="AQ92" s="38">
        <f t="shared" si="68"/>
        <v>0</v>
      </c>
      <c r="AR92" s="38">
        <f t="shared" si="69"/>
        <v>0</v>
      </c>
      <c r="AS92" s="38">
        <f t="shared" si="70"/>
        <v>3.4471470514401699E-2</v>
      </c>
      <c r="AT92" s="39">
        <f t="shared" si="71"/>
        <v>7.7959656759555296</v>
      </c>
      <c r="AU92" s="38">
        <f t="shared" si="72"/>
        <v>4.0038842657413793</v>
      </c>
      <c r="AV92" s="38">
        <f t="shared" si="73"/>
        <v>0.93367515485288544</v>
      </c>
      <c r="AW92" s="40"/>
      <c r="AX92" s="38">
        <f t="shared" si="74"/>
        <v>2.6686608684745088</v>
      </c>
      <c r="AY92" s="38">
        <f t="shared" si="75"/>
        <v>0.17717687246264158</v>
      </c>
      <c r="AZ92" s="38">
        <f t="shared" si="76"/>
        <v>0.92642805638205683</v>
      </c>
      <c r="BA92" s="38">
        <f t="shared" si="77"/>
        <v>1.883269924630498E-3</v>
      </c>
      <c r="BB92" s="38">
        <f t="shared" si="78"/>
        <v>0</v>
      </c>
      <c r="BC92" s="38">
        <f t="shared" si="79"/>
        <v>0.73036885972871346</v>
      </c>
      <c r="BD92" s="38">
        <f t="shared" si="80"/>
        <v>7.7336229024827993E-3</v>
      </c>
      <c r="BE92" s="38">
        <f t="shared" si="81"/>
        <v>1.649401238806705</v>
      </c>
      <c r="BF92" s="38">
        <f t="shared" si="82"/>
        <v>3.1191751409598229E-3</v>
      </c>
      <c r="BG92" s="38">
        <f t="shared" si="83"/>
        <v>7.9792835419729757E-2</v>
      </c>
      <c r="BH92" s="38">
        <f t="shared" si="84"/>
        <v>0.75543520075757109</v>
      </c>
      <c r="BI92" s="38">
        <f t="shared" si="85"/>
        <v>0</v>
      </c>
      <c r="BJ92" s="38">
        <f t="shared" si="86"/>
        <v>0</v>
      </c>
      <c r="BK92" s="38">
        <f t="shared" si="87"/>
        <v>3.0951944073462891E-2</v>
      </c>
      <c r="BL92" s="41">
        <f t="shared" si="88"/>
        <v>6.9999999999999991</v>
      </c>
      <c r="BM92" s="42">
        <f t="shared" si="111"/>
        <v>10.24208784382947</v>
      </c>
      <c r="BN92" s="38">
        <f t="shared" si="89"/>
        <v>3.5950889248565656</v>
      </c>
      <c r="BO92" s="38">
        <f t="shared" si="90"/>
        <v>0.83834721131826062</v>
      </c>
      <c r="BQ92" s="38">
        <f t="shared" si="91"/>
        <v>0.67127163781624499</v>
      </c>
      <c r="BR92" s="38">
        <f t="shared" si="92"/>
        <v>4.4566850275413121E-2</v>
      </c>
      <c r="BS92" s="38">
        <f t="shared" si="93"/>
        <v>0.23303256178893686</v>
      </c>
      <c r="BT92" s="38">
        <f t="shared" si="94"/>
        <v>4.7371537601157966E-4</v>
      </c>
      <c r="BU92" s="38">
        <f t="shared" si="95"/>
        <v>0.1837160751565762</v>
      </c>
      <c r="BV92" s="38">
        <f t="shared" si="96"/>
        <v>1.9453058923033552E-3</v>
      </c>
      <c r="BW92" s="38">
        <f t="shared" si="97"/>
        <v>0.41488833746898263</v>
      </c>
      <c r="BX92" s="38">
        <f t="shared" si="98"/>
        <v>7.8459343794579171E-4</v>
      </c>
      <c r="BY92" s="38">
        <f t="shared" si="99"/>
        <v>2.0070990642142628E-2</v>
      </c>
      <c r="BZ92" s="38">
        <f t="shared" si="100"/>
        <v>0.19002123142250529</v>
      </c>
      <c r="CA92" s="38">
        <f t="shared" si="101"/>
        <v>0</v>
      </c>
      <c r="CB92" s="38">
        <f t="shared" si="102"/>
        <v>0</v>
      </c>
      <c r="CC92" s="38">
        <f t="shared" si="103"/>
        <v>7.7856135401974617E-3</v>
      </c>
      <c r="CD92" s="38">
        <f t="shared" si="104"/>
        <v>1.7607712992770626</v>
      </c>
      <c r="CE92" s="38">
        <f t="shared" si="105"/>
        <v>2.4844240081487721</v>
      </c>
      <c r="CF92" s="38">
        <f t="shared" si="106"/>
        <v>3.9755304978415196</v>
      </c>
      <c r="CG92" s="38">
        <f t="shared" si="107"/>
        <v>9.8769034139651115</v>
      </c>
    </row>
    <row r="93" spans="1:85" ht="15" customHeight="1" x14ac:dyDescent="0.25">
      <c r="A93" s="35" t="s">
        <v>92</v>
      </c>
      <c r="B93" s="15">
        <v>1031</v>
      </c>
      <c r="C93" s="102" t="s">
        <v>255</v>
      </c>
      <c r="D93" s="103" t="s">
        <v>106</v>
      </c>
      <c r="E93" s="15">
        <v>189</v>
      </c>
      <c r="F93" s="15" t="s">
        <v>280</v>
      </c>
      <c r="G93" s="16">
        <v>40.22</v>
      </c>
      <c r="H93" s="16">
        <v>2.77</v>
      </c>
      <c r="I93" s="16">
        <v>11.96</v>
      </c>
      <c r="J93" s="16">
        <v>0</v>
      </c>
      <c r="K93" s="16">
        <v>12.56</v>
      </c>
      <c r="L93" s="16">
        <v>9.5000000000000001E-2</v>
      </c>
      <c r="M93" s="16">
        <v>18.11</v>
      </c>
      <c r="N93" s="16">
        <v>0.13900000000000001</v>
      </c>
      <c r="O93" s="16">
        <v>0.55800000000000005</v>
      </c>
      <c r="P93" s="16">
        <v>8.59</v>
      </c>
      <c r="Q93" s="16">
        <v>0</v>
      </c>
      <c r="R93" s="16">
        <v>0</v>
      </c>
      <c r="S93" s="16">
        <v>0.27800000000000002</v>
      </c>
      <c r="T93" s="16">
        <f t="shared" si="57"/>
        <v>95.280000000000015</v>
      </c>
      <c r="U93" s="16"/>
      <c r="V93" s="16">
        <f t="shared" si="108"/>
        <v>0</v>
      </c>
      <c r="W93" s="16">
        <f t="shared" si="109"/>
        <v>13.957928000000001</v>
      </c>
      <c r="X93" s="16">
        <f t="shared" si="110"/>
        <v>96.677927999999994</v>
      </c>
      <c r="AB93" s="15" t="s">
        <v>185</v>
      </c>
      <c r="AD93" s="15">
        <v>11</v>
      </c>
      <c r="AE93" s="15">
        <v>7</v>
      </c>
      <c r="AG93" s="38">
        <f t="shared" si="58"/>
        <v>2.9640168181217676</v>
      </c>
      <c r="AH93" s="38">
        <f t="shared" si="59"/>
        <v>0.15353600431064723</v>
      </c>
      <c r="AI93" s="38">
        <f t="shared" si="60"/>
        <v>1.0387232910126902</v>
      </c>
      <c r="AJ93" s="38">
        <f t="shared" si="61"/>
        <v>0</v>
      </c>
      <c r="AK93" s="38">
        <f t="shared" si="62"/>
        <v>0.77398294011863533</v>
      </c>
      <c r="AL93" s="38">
        <f t="shared" si="63"/>
        <v>5.9292661124709933E-3</v>
      </c>
      <c r="AM93" s="38">
        <f t="shared" si="64"/>
        <v>1.9896740027474251</v>
      </c>
      <c r="AN93" s="38">
        <f t="shared" si="65"/>
        <v>1.0974261803550985E-2</v>
      </c>
      <c r="AO93" s="38">
        <f t="shared" si="66"/>
        <v>7.9722543100297319E-2</v>
      </c>
      <c r="AP93" s="38">
        <f t="shared" si="67"/>
        <v>0.80749674054767373</v>
      </c>
      <c r="AQ93" s="38">
        <f t="shared" si="68"/>
        <v>0</v>
      </c>
      <c r="AR93" s="38">
        <f t="shared" si="69"/>
        <v>0</v>
      </c>
      <c r="AS93" s="38">
        <f t="shared" si="70"/>
        <v>3.4721387979866805E-2</v>
      </c>
      <c r="AT93" s="39">
        <f t="shared" si="71"/>
        <v>7.8240558678751588</v>
      </c>
      <c r="AU93" s="38">
        <f t="shared" si="72"/>
        <v>4.0027401091344581</v>
      </c>
      <c r="AV93" s="38">
        <f t="shared" si="73"/>
        <v>0.89819354545152208</v>
      </c>
      <c r="AW93" s="40"/>
      <c r="AX93" s="38">
        <f t="shared" si="74"/>
        <v>2.6518366020419415</v>
      </c>
      <c r="AY93" s="38">
        <f t="shared" si="75"/>
        <v>0.13736507616048113</v>
      </c>
      <c r="AZ93" s="38">
        <f t="shared" si="76"/>
        <v>0.92932146189588649</v>
      </c>
      <c r="BA93" s="38">
        <f t="shared" si="77"/>
        <v>0</v>
      </c>
      <c r="BB93" s="38">
        <f t="shared" si="78"/>
        <v>0</v>
      </c>
      <c r="BC93" s="38">
        <f t="shared" si="79"/>
        <v>0.69246445479457241</v>
      </c>
      <c r="BD93" s="38">
        <f t="shared" si="80"/>
        <v>5.3047758717715745E-3</v>
      </c>
      <c r="BE93" s="38">
        <f t="shared" si="81"/>
        <v>1.7801148476479933</v>
      </c>
      <c r="BF93" s="38">
        <f t="shared" si="82"/>
        <v>9.8184156557817974E-3</v>
      </c>
      <c r="BG93" s="38">
        <f t="shared" si="83"/>
        <v>7.1325896839951552E-2</v>
      </c>
      <c r="BH93" s="38">
        <f t="shared" si="84"/>
        <v>0.72244846909162019</v>
      </c>
      <c r="BI93" s="38">
        <f t="shared" si="85"/>
        <v>0</v>
      </c>
      <c r="BJ93" s="38">
        <f t="shared" si="86"/>
        <v>0</v>
      </c>
      <c r="BK93" s="38">
        <f t="shared" si="87"/>
        <v>3.1064414667206944E-2</v>
      </c>
      <c r="BL93" s="41">
        <f t="shared" si="88"/>
        <v>7</v>
      </c>
      <c r="BM93" s="42">
        <f t="shared" si="111"/>
        <v>10.187675246248261</v>
      </c>
      <c r="BN93" s="38">
        <f t="shared" si="89"/>
        <v>3.5811580639378278</v>
      </c>
      <c r="BO93" s="38">
        <f t="shared" si="90"/>
        <v>0.80359278158735359</v>
      </c>
      <c r="BQ93" s="38">
        <f t="shared" si="91"/>
        <v>0.66944074567243672</v>
      </c>
      <c r="BR93" s="38">
        <f t="shared" si="92"/>
        <v>3.4677015523284928E-2</v>
      </c>
      <c r="BS93" s="38">
        <f t="shared" si="93"/>
        <v>0.23460180462926641</v>
      </c>
      <c r="BT93" s="38">
        <f t="shared" si="94"/>
        <v>0</v>
      </c>
      <c r="BU93" s="38">
        <f t="shared" si="95"/>
        <v>0.17480862908837858</v>
      </c>
      <c r="BV93" s="38">
        <f t="shared" si="96"/>
        <v>1.3391598533972371E-3</v>
      </c>
      <c r="BW93" s="38">
        <f t="shared" si="97"/>
        <v>0.44937965260545909</v>
      </c>
      <c r="BX93" s="38">
        <f t="shared" si="98"/>
        <v>2.4786019971469331E-3</v>
      </c>
      <c r="BY93" s="38">
        <f t="shared" si="99"/>
        <v>1.8005808325266218E-2</v>
      </c>
      <c r="BZ93" s="38">
        <f t="shared" si="100"/>
        <v>0.18237791932059447</v>
      </c>
      <c r="CA93" s="38">
        <f t="shared" si="101"/>
        <v>0</v>
      </c>
      <c r="CB93" s="38">
        <f t="shared" si="102"/>
        <v>0</v>
      </c>
      <c r="CC93" s="38">
        <f t="shared" si="103"/>
        <v>7.8420310296191814E-3</v>
      </c>
      <c r="CD93" s="38">
        <f t="shared" si="104"/>
        <v>1.7671093370152307</v>
      </c>
      <c r="CE93" s="38">
        <f t="shared" si="105"/>
        <v>2.4844151211878454</v>
      </c>
      <c r="CF93" s="38">
        <f t="shared" si="106"/>
        <v>3.9612715825629001</v>
      </c>
      <c r="CG93" s="38">
        <f t="shared" si="107"/>
        <v>9.8414430188509758</v>
      </c>
    </row>
    <row r="94" spans="1:85" ht="15" customHeight="1" x14ac:dyDescent="0.25">
      <c r="A94" s="35" t="s">
        <v>92</v>
      </c>
      <c r="B94" s="15">
        <v>1032</v>
      </c>
      <c r="C94" s="102" t="s">
        <v>255</v>
      </c>
      <c r="D94" s="103" t="s">
        <v>106</v>
      </c>
      <c r="E94" s="15">
        <v>190</v>
      </c>
      <c r="F94" s="15" t="s">
        <v>280</v>
      </c>
      <c r="G94" s="16">
        <v>40.04</v>
      </c>
      <c r="H94" s="16">
        <v>3.36</v>
      </c>
      <c r="I94" s="16">
        <v>11.51</v>
      </c>
      <c r="J94" s="16">
        <v>3.5000000000000003E-2</v>
      </c>
      <c r="K94" s="16">
        <v>12.46</v>
      </c>
      <c r="L94" s="16">
        <v>0.13200000000000001</v>
      </c>
      <c r="M94" s="16">
        <v>16.73</v>
      </c>
      <c r="N94" s="16">
        <v>0.35599999999999998</v>
      </c>
      <c r="O94" s="16">
        <v>0.42399999999999999</v>
      </c>
      <c r="P94" s="16">
        <v>6.81</v>
      </c>
      <c r="Q94" s="16">
        <v>0</v>
      </c>
      <c r="R94" s="16">
        <v>0</v>
      </c>
      <c r="S94" s="16">
        <v>0.26300000000000001</v>
      </c>
      <c r="T94" s="16">
        <f t="shared" si="57"/>
        <v>92.120000000000019</v>
      </c>
      <c r="U94" s="16"/>
      <c r="V94" s="16">
        <f t="shared" si="108"/>
        <v>0</v>
      </c>
      <c r="W94" s="16">
        <f t="shared" si="109"/>
        <v>13.846798000000001</v>
      </c>
      <c r="X94" s="16">
        <f t="shared" si="110"/>
        <v>93.506798000000003</v>
      </c>
      <c r="AB94" s="15" t="s">
        <v>185</v>
      </c>
      <c r="AD94" s="15">
        <v>11</v>
      </c>
      <c r="AE94" s="15">
        <v>7</v>
      </c>
      <c r="AG94" s="38">
        <f t="shared" si="58"/>
        <v>3.0186226895278945</v>
      </c>
      <c r="AH94" s="38">
        <f t="shared" si="59"/>
        <v>0.19052234070003876</v>
      </c>
      <c r="AI94" s="38">
        <f t="shared" si="60"/>
        <v>1.0226338868862019</v>
      </c>
      <c r="AJ94" s="38">
        <f t="shared" si="61"/>
        <v>2.0860644032391243E-3</v>
      </c>
      <c r="AK94" s="38">
        <f t="shared" si="62"/>
        <v>0.78548149338065409</v>
      </c>
      <c r="AL94" s="38">
        <f t="shared" si="63"/>
        <v>8.4280564222436495E-3</v>
      </c>
      <c r="AM94" s="38">
        <f t="shared" si="64"/>
        <v>1.8803365247381434</v>
      </c>
      <c r="AN94" s="38">
        <f t="shared" si="65"/>
        <v>2.8753232779396773E-2</v>
      </c>
      <c r="AO94" s="38">
        <f t="shared" si="66"/>
        <v>6.197106612588639E-2</v>
      </c>
      <c r="AP94" s="38">
        <f t="shared" si="67"/>
        <v>0.65489381986503548</v>
      </c>
      <c r="AQ94" s="38">
        <f t="shared" si="68"/>
        <v>0</v>
      </c>
      <c r="AR94" s="38">
        <f t="shared" si="69"/>
        <v>0</v>
      </c>
      <c r="AS94" s="38">
        <f t="shared" si="70"/>
        <v>3.3603475411850381E-2</v>
      </c>
      <c r="AT94" s="39">
        <f t="shared" si="71"/>
        <v>7.6537291748287357</v>
      </c>
      <c r="AU94" s="38">
        <f t="shared" si="72"/>
        <v>4.0412565764140966</v>
      </c>
      <c r="AV94" s="38">
        <f t="shared" si="73"/>
        <v>0.74561811877031858</v>
      </c>
      <c r="AW94" s="40"/>
      <c r="AX94" s="38">
        <f t="shared" si="74"/>
        <v>2.7607925945678748</v>
      </c>
      <c r="AY94" s="38">
        <f t="shared" si="75"/>
        <v>0.17424922602257015</v>
      </c>
      <c r="AZ94" s="38">
        <f t="shared" si="76"/>
        <v>0.93528749772670094</v>
      </c>
      <c r="BA94" s="38">
        <f t="shared" si="77"/>
        <v>1.9078870559854409E-3</v>
      </c>
      <c r="BB94" s="38">
        <f t="shared" si="78"/>
        <v>0</v>
      </c>
      <c r="BC94" s="38">
        <f t="shared" si="79"/>
        <v>0.71839103893921286</v>
      </c>
      <c r="BD94" s="38">
        <f t="shared" si="80"/>
        <v>7.7081895123400027E-3</v>
      </c>
      <c r="BE94" s="38">
        <f t="shared" si="81"/>
        <v>1.7197310451557146</v>
      </c>
      <c r="BF94" s="38">
        <f t="shared" si="82"/>
        <v>2.6297328381792561E-2</v>
      </c>
      <c r="BG94" s="38">
        <f t="shared" si="83"/>
        <v>5.6677921699641504E-2</v>
      </c>
      <c r="BH94" s="38">
        <f t="shared" si="84"/>
        <v>0.59895727093816709</v>
      </c>
      <c r="BI94" s="38">
        <f t="shared" si="85"/>
        <v>0</v>
      </c>
      <c r="BJ94" s="38">
        <f t="shared" si="86"/>
        <v>0</v>
      </c>
      <c r="BK94" s="38">
        <f t="shared" si="87"/>
        <v>3.0733296476774832E-2</v>
      </c>
      <c r="BL94" s="41">
        <f t="shared" si="88"/>
        <v>7.0000000000000009</v>
      </c>
      <c r="BM94" s="42">
        <f t="shared" si="111"/>
        <v>10.419650787894103</v>
      </c>
      <c r="BN94" s="38">
        <f t="shared" si="89"/>
        <v>3.6960800922945758</v>
      </c>
      <c r="BO94" s="38">
        <f t="shared" si="90"/>
        <v>0.68193252101960111</v>
      </c>
      <c r="BQ94" s="38">
        <f t="shared" si="91"/>
        <v>0.66644474034620504</v>
      </c>
      <c r="BR94" s="38">
        <f t="shared" si="92"/>
        <v>4.2063094641962943E-2</v>
      </c>
      <c r="BS94" s="38">
        <f t="shared" si="93"/>
        <v>0.22577481365241273</v>
      </c>
      <c r="BT94" s="38">
        <f t="shared" si="94"/>
        <v>4.605566155668136E-4</v>
      </c>
      <c r="BU94" s="38">
        <f t="shared" si="95"/>
        <v>0.17341684064022272</v>
      </c>
      <c r="BV94" s="38">
        <f t="shared" si="96"/>
        <v>1.8607273752466874E-3</v>
      </c>
      <c r="BW94" s="38">
        <f t="shared" si="97"/>
        <v>0.41513647642679907</v>
      </c>
      <c r="BX94" s="38">
        <f t="shared" si="98"/>
        <v>6.3480741797432242E-3</v>
      </c>
      <c r="BY94" s="38">
        <f t="shared" si="99"/>
        <v>1.3681832849306227E-2</v>
      </c>
      <c r="BZ94" s="38">
        <f t="shared" si="100"/>
        <v>0.14458598726114649</v>
      </c>
      <c r="CA94" s="38">
        <f t="shared" si="101"/>
        <v>0</v>
      </c>
      <c r="CB94" s="38">
        <f t="shared" si="102"/>
        <v>0</v>
      </c>
      <c r="CC94" s="38">
        <f t="shared" si="103"/>
        <v>7.4188998589562764E-3</v>
      </c>
      <c r="CD94" s="38">
        <f t="shared" si="104"/>
        <v>1.6897731439886119</v>
      </c>
      <c r="CE94" s="38">
        <f t="shared" si="105"/>
        <v>2.428555304126065</v>
      </c>
      <c r="CF94" s="38">
        <f t="shared" si="106"/>
        <v>4.1425679091318166</v>
      </c>
      <c r="CG94" s="38">
        <f t="shared" si="107"/>
        <v>10.060455268424496</v>
      </c>
    </row>
    <row r="95" spans="1:85" ht="15" customHeight="1" x14ac:dyDescent="0.25">
      <c r="A95" s="35" t="s">
        <v>92</v>
      </c>
      <c r="B95" s="15">
        <v>1033</v>
      </c>
      <c r="C95" s="102" t="s">
        <v>255</v>
      </c>
      <c r="D95" s="103" t="s">
        <v>106</v>
      </c>
      <c r="E95" s="15">
        <v>191</v>
      </c>
      <c r="F95" s="15" t="s">
        <v>280</v>
      </c>
      <c r="G95" s="16">
        <v>40.31</v>
      </c>
      <c r="H95" s="16">
        <v>3.12</v>
      </c>
      <c r="I95" s="16">
        <v>11.93</v>
      </c>
      <c r="J95" s="16">
        <v>0</v>
      </c>
      <c r="K95" s="16">
        <v>12.15</v>
      </c>
      <c r="L95" s="16">
        <v>0.128</v>
      </c>
      <c r="M95" s="16">
        <v>18.2</v>
      </c>
      <c r="N95" s="16">
        <v>0.107</v>
      </c>
      <c r="O95" s="16">
        <v>0.54700000000000004</v>
      </c>
      <c r="P95" s="16">
        <v>8.4</v>
      </c>
      <c r="Q95" s="16">
        <v>0</v>
      </c>
      <c r="R95" s="16">
        <v>0</v>
      </c>
      <c r="S95" s="16">
        <v>0.27100000000000002</v>
      </c>
      <c r="T95" s="16">
        <f t="shared" si="57"/>
        <v>95.163000000000011</v>
      </c>
      <c r="U95" s="16"/>
      <c r="V95" s="16">
        <f t="shared" si="108"/>
        <v>0</v>
      </c>
      <c r="W95" s="16">
        <f t="shared" si="109"/>
        <v>13.502295</v>
      </c>
      <c r="X95" s="16">
        <f t="shared" si="110"/>
        <v>96.515295000000009</v>
      </c>
      <c r="AB95" s="15" t="s">
        <v>185</v>
      </c>
      <c r="AD95" s="15">
        <v>11</v>
      </c>
      <c r="AE95" s="15">
        <v>7</v>
      </c>
      <c r="AG95" s="38">
        <f t="shared" si="58"/>
        <v>2.9644420250550811</v>
      </c>
      <c r="AH95" s="38">
        <f t="shared" si="59"/>
        <v>0.17257450049415629</v>
      </c>
      <c r="AI95" s="38">
        <f t="shared" si="60"/>
        <v>1.0339527669015207</v>
      </c>
      <c r="AJ95" s="38">
        <f t="shared" si="61"/>
        <v>0</v>
      </c>
      <c r="AK95" s="38">
        <f t="shared" si="62"/>
        <v>0.74715308271594771</v>
      </c>
      <c r="AL95" s="38">
        <f t="shared" si="63"/>
        <v>7.9722126170751473E-3</v>
      </c>
      <c r="AM95" s="38">
        <f t="shared" si="64"/>
        <v>1.9953837406185364</v>
      </c>
      <c r="AN95" s="38">
        <f t="shared" si="65"/>
        <v>8.4301608259013724E-3</v>
      </c>
      <c r="AO95" s="38">
        <f t="shared" si="66"/>
        <v>7.798765060081253E-2</v>
      </c>
      <c r="AP95" s="38">
        <f t="shared" si="67"/>
        <v>0.78798593578566423</v>
      </c>
      <c r="AQ95" s="38">
        <f t="shared" si="68"/>
        <v>0</v>
      </c>
      <c r="AR95" s="38">
        <f t="shared" si="69"/>
        <v>0</v>
      </c>
      <c r="AS95" s="38">
        <f t="shared" si="70"/>
        <v>3.3776382842910187E-2</v>
      </c>
      <c r="AT95" s="39">
        <f t="shared" si="71"/>
        <v>7.7958820756146965</v>
      </c>
      <c r="AU95" s="38">
        <f t="shared" si="72"/>
        <v>3.9983947919566019</v>
      </c>
      <c r="AV95" s="38">
        <f t="shared" si="73"/>
        <v>0.87440374721237812</v>
      </c>
      <c r="AW95" s="40"/>
      <c r="AX95" s="38">
        <f t="shared" si="74"/>
        <v>2.661801958279284</v>
      </c>
      <c r="AY95" s="38">
        <f t="shared" si="75"/>
        <v>0.15495635923454409</v>
      </c>
      <c r="AZ95" s="38">
        <f t="shared" si="76"/>
        <v>0.92839646599451209</v>
      </c>
      <c r="BA95" s="38">
        <f t="shared" si="77"/>
        <v>0</v>
      </c>
      <c r="BB95" s="38">
        <f t="shared" si="78"/>
        <v>0</v>
      </c>
      <c r="BC95" s="38">
        <f t="shared" si="79"/>
        <v>0.67087617902419971</v>
      </c>
      <c r="BD95" s="38">
        <f t="shared" si="80"/>
        <v>7.1583289457499699E-3</v>
      </c>
      <c r="BE95" s="38">
        <f t="shared" si="81"/>
        <v>1.7916748930849393</v>
      </c>
      <c r="BF95" s="38">
        <f t="shared" si="82"/>
        <v>7.5695251940630023E-3</v>
      </c>
      <c r="BG95" s="38">
        <f t="shared" si="83"/>
        <v>7.0025886604068874E-2</v>
      </c>
      <c r="BH95" s="38">
        <f t="shared" si="84"/>
        <v>0.70754040363863857</v>
      </c>
      <c r="BI95" s="38">
        <f t="shared" si="85"/>
        <v>0</v>
      </c>
      <c r="BJ95" s="38">
        <f t="shared" si="86"/>
        <v>0</v>
      </c>
      <c r="BK95" s="38">
        <f t="shared" si="87"/>
        <v>3.0328149862596368E-2</v>
      </c>
      <c r="BL95" s="41">
        <f t="shared" si="88"/>
        <v>6.9999999999999991</v>
      </c>
      <c r="BM95" s="42">
        <f t="shared" si="111"/>
        <v>10.21244741997053</v>
      </c>
      <c r="BN95" s="38">
        <f t="shared" si="89"/>
        <v>3.5901984242737961</v>
      </c>
      <c r="BO95" s="38">
        <f t="shared" si="90"/>
        <v>0.78513581543677047</v>
      </c>
      <c r="BQ95" s="38">
        <f t="shared" si="91"/>
        <v>0.67093874833555267</v>
      </c>
      <c r="BR95" s="38">
        <f t="shared" si="92"/>
        <v>3.9058587881822739E-2</v>
      </c>
      <c r="BS95" s="38">
        <f t="shared" si="93"/>
        <v>0.2340133385641428</v>
      </c>
      <c r="BT95" s="38">
        <f t="shared" si="94"/>
        <v>0</v>
      </c>
      <c r="BU95" s="38">
        <f t="shared" si="95"/>
        <v>0.16910229645093947</v>
      </c>
      <c r="BV95" s="38">
        <f t="shared" si="96"/>
        <v>1.804341697208909E-3</v>
      </c>
      <c r="BW95" s="38">
        <f t="shared" si="97"/>
        <v>0.45161290322580644</v>
      </c>
      <c r="BX95" s="38">
        <f t="shared" si="98"/>
        <v>1.9079885877318118E-3</v>
      </c>
      <c r="BY95" s="38">
        <f t="shared" si="99"/>
        <v>1.7650855114553082E-2</v>
      </c>
      <c r="BZ95" s="38">
        <f t="shared" si="100"/>
        <v>0.178343949044586</v>
      </c>
      <c r="CA95" s="38">
        <f t="shared" si="101"/>
        <v>0</v>
      </c>
      <c r="CB95" s="38">
        <f t="shared" si="102"/>
        <v>0</v>
      </c>
      <c r="CC95" s="38">
        <f t="shared" si="103"/>
        <v>7.6445698166431597E-3</v>
      </c>
      <c r="CD95" s="38">
        <f t="shared" si="104"/>
        <v>1.7644330089023439</v>
      </c>
      <c r="CE95" s="38">
        <f t="shared" si="105"/>
        <v>2.4896173274138995</v>
      </c>
      <c r="CF95" s="38">
        <f t="shared" si="106"/>
        <v>3.967280120402366</v>
      </c>
      <c r="CG95" s="38">
        <f t="shared" si="107"/>
        <v>9.8770093304584314</v>
      </c>
    </row>
    <row r="96" spans="1:85" ht="15" customHeight="1" x14ac:dyDescent="0.25">
      <c r="A96" s="35" t="s">
        <v>92</v>
      </c>
      <c r="B96" s="15">
        <v>1034</v>
      </c>
      <c r="C96" s="102" t="s">
        <v>255</v>
      </c>
      <c r="D96" s="103" t="s">
        <v>106</v>
      </c>
      <c r="E96" s="15">
        <v>192</v>
      </c>
      <c r="F96" s="15" t="s">
        <v>280</v>
      </c>
      <c r="G96" s="16">
        <v>39.49</v>
      </c>
      <c r="H96" s="16">
        <v>3.36</v>
      </c>
      <c r="I96" s="16">
        <v>11.63</v>
      </c>
      <c r="J96" s="16">
        <v>0</v>
      </c>
      <c r="K96" s="16">
        <v>13.83</v>
      </c>
      <c r="L96" s="16">
        <v>0.115</v>
      </c>
      <c r="M96" s="16">
        <v>15.99</v>
      </c>
      <c r="N96" s="16">
        <v>0.16200000000000001</v>
      </c>
      <c r="O96" s="16">
        <v>0.66800000000000004</v>
      </c>
      <c r="P96" s="16">
        <v>8.15</v>
      </c>
      <c r="Q96" s="16">
        <v>0</v>
      </c>
      <c r="R96" s="16">
        <v>0</v>
      </c>
      <c r="S96" s="16">
        <v>0.29099999999999998</v>
      </c>
      <c r="T96" s="16">
        <f t="shared" si="57"/>
        <v>93.686000000000007</v>
      </c>
      <c r="U96" s="16"/>
      <c r="V96" s="16">
        <f t="shared" si="108"/>
        <v>0</v>
      </c>
      <c r="W96" s="16">
        <f t="shared" si="109"/>
        <v>15.369278999999999</v>
      </c>
      <c r="X96" s="16">
        <f t="shared" si="110"/>
        <v>95.225279</v>
      </c>
      <c r="AB96" s="15" t="s">
        <v>185</v>
      </c>
      <c r="AD96" s="15">
        <v>11</v>
      </c>
      <c r="AE96" s="15">
        <v>7</v>
      </c>
      <c r="AG96" s="38">
        <f t="shared" si="58"/>
        <v>2.9780113641317154</v>
      </c>
      <c r="AH96" s="38">
        <f t="shared" si="59"/>
        <v>0.19057694558539265</v>
      </c>
      <c r="AI96" s="38">
        <f t="shared" si="60"/>
        <v>1.0335917270742867</v>
      </c>
      <c r="AJ96" s="38">
        <f t="shared" si="61"/>
        <v>0</v>
      </c>
      <c r="AK96" s="38">
        <f t="shared" si="62"/>
        <v>0.87209651015999323</v>
      </c>
      <c r="AL96" s="38">
        <f t="shared" si="63"/>
        <v>7.3447293551917366E-3</v>
      </c>
      <c r="AM96" s="38">
        <f t="shared" si="64"/>
        <v>1.7976807112552067</v>
      </c>
      <c r="AN96" s="38">
        <f t="shared" si="65"/>
        <v>1.3088086316765319E-2</v>
      </c>
      <c r="AO96" s="38">
        <f t="shared" si="66"/>
        <v>9.7661643196396489E-2</v>
      </c>
      <c r="AP96" s="38">
        <f t="shared" si="67"/>
        <v>0.78398155058192731</v>
      </c>
      <c r="AQ96" s="38">
        <f t="shared" si="68"/>
        <v>0</v>
      </c>
      <c r="AR96" s="38">
        <f t="shared" si="69"/>
        <v>0</v>
      </c>
      <c r="AS96" s="38">
        <f t="shared" si="70"/>
        <v>3.719168804392587E-2</v>
      </c>
      <c r="AT96" s="39">
        <f t="shared" si="71"/>
        <v>7.7740332676568755</v>
      </c>
      <c r="AU96" s="38">
        <f t="shared" si="72"/>
        <v>4.0116030912060019</v>
      </c>
      <c r="AV96" s="38">
        <f t="shared" si="73"/>
        <v>0.89473128009508907</v>
      </c>
      <c r="AW96" s="40"/>
      <c r="AX96" s="38">
        <f t="shared" si="74"/>
        <v>2.6815012016542474</v>
      </c>
      <c r="AY96" s="38">
        <f t="shared" si="75"/>
        <v>0.17160186651733136</v>
      </c>
      <c r="AZ96" s="38">
        <f t="shared" si="76"/>
        <v>0.93068061846623762</v>
      </c>
      <c r="BA96" s="38">
        <f t="shared" si="77"/>
        <v>0</v>
      </c>
      <c r="BB96" s="38">
        <f t="shared" si="78"/>
        <v>0</v>
      </c>
      <c r="BC96" s="38">
        <f t="shared" si="79"/>
        <v>0.78526491474095872</v>
      </c>
      <c r="BD96" s="38">
        <f t="shared" si="80"/>
        <v>6.6134403746690258E-3</v>
      </c>
      <c r="BE96" s="38">
        <f t="shared" si="81"/>
        <v>1.6186919383455693</v>
      </c>
      <c r="BF96" s="38">
        <f t="shared" si="82"/>
        <v>1.1784951396917657E-2</v>
      </c>
      <c r="BG96" s="38">
        <f t="shared" si="83"/>
        <v>8.7937815396154681E-2</v>
      </c>
      <c r="BH96" s="38">
        <f t="shared" si="84"/>
        <v>0.70592325310791437</v>
      </c>
      <c r="BI96" s="38">
        <f t="shared" si="85"/>
        <v>0</v>
      </c>
      <c r="BJ96" s="38">
        <f t="shared" si="86"/>
        <v>0</v>
      </c>
      <c r="BK96" s="38">
        <f t="shared" si="87"/>
        <v>3.3488641911349724E-2</v>
      </c>
      <c r="BL96" s="41">
        <f t="shared" si="88"/>
        <v>6.9999999999999991</v>
      </c>
      <c r="BM96" s="42">
        <f t="shared" si="111"/>
        <v>10.297400979567469</v>
      </c>
      <c r="BN96" s="38">
        <f t="shared" si="89"/>
        <v>3.6121818201204849</v>
      </c>
      <c r="BO96" s="38">
        <f t="shared" si="90"/>
        <v>0.80564601990098672</v>
      </c>
      <c r="BQ96" s="38">
        <f t="shared" si="91"/>
        <v>0.6572902796271638</v>
      </c>
      <c r="BR96" s="38">
        <f t="shared" si="92"/>
        <v>4.2063094641962943E-2</v>
      </c>
      <c r="BS96" s="38">
        <f t="shared" si="93"/>
        <v>0.22812867791290706</v>
      </c>
      <c r="BT96" s="38">
        <f t="shared" si="94"/>
        <v>0</v>
      </c>
      <c r="BU96" s="38">
        <f t="shared" si="95"/>
        <v>0.19248434237995826</v>
      </c>
      <c r="BV96" s="38">
        <f t="shared" si="96"/>
        <v>1.6210882435861293E-3</v>
      </c>
      <c r="BW96" s="38">
        <f t="shared" si="97"/>
        <v>0.39677419354838711</v>
      </c>
      <c r="BX96" s="38">
        <f t="shared" si="98"/>
        <v>2.8887303851640516E-3</v>
      </c>
      <c r="BY96" s="38">
        <f t="shared" si="99"/>
        <v>2.1555340432397551E-2</v>
      </c>
      <c r="BZ96" s="38">
        <f t="shared" si="100"/>
        <v>0.17303609341825901</v>
      </c>
      <c r="CA96" s="38">
        <f t="shared" si="101"/>
        <v>0</v>
      </c>
      <c r="CB96" s="38">
        <f t="shared" si="102"/>
        <v>0</v>
      </c>
      <c r="CC96" s="38">
        <f t="shared" si="103"/>
        <v>8.2087447108603658E-3</v>
      </c>
      <c r="CD96" s="38">
        <f t="shared" si="104"/>
        <v>1.7158418405897859</v>
      </c>
      <c r="CE96" s="38">
        <f t="shared" si="105"/>
        <v>2.4278594645346074</v>
      </c>
      <c r="CF96" s="38">
        <f t="shared" si="106"/>
        <v>4.0796300885132233</v>
      </c>
      <c r="CG96" s="38">
        <f t="shared" si="107"/>
        <v>9.9047685221969868</v>
      </c>
    </row>
    <row r="97" spans="1:85" ht="15" customHeight="1" x14ac:dyDescent="0.25">
      <c r="A97" s="35" t="s">
        <v>92</v>
      </c>
      <c r="B97" s="15">
        <v>1035</v>
      </c>
      <c r="C97" s="102" t="s">
        <v>255</v>
      </c>
      <c r="D97" s="103" t="s">
        <v>106</v>
      </c>
      <c r="E97" s="15">
        <v>193</v>
      </c>
      <c r="F97" s="15" t="s">
        <v>280</v>
      </c>
      <c r="G97" s="16">
        <v>40.33</v>
      </c>
      <c r="H97" s="16">
        <v>2.64</v>
      </c>
      <c r="I97" s="16">
        <v>11.71</v>
      </c>
      <c r="J97" s="16">
        <v>0.01</v>
      </c>
      <c r="K97" s="16">
        <v>12.74</v>
      </c>
      <c r="L97" s="16">
        <v>0.108</v>
      </c>
      <c r="M97" s="16">
        <v>17.760000000000002</v>
      </c>
      <c r="N97" s="16">
        <v>0.01</v>
      </c>
      <c r="O97" s="16">
        <v>0.55800000000000005</v>
      </c>
      <c r="P97" s="16">
        <v>8.6300000000000008</v>
      </c>
      <c r="Q97" s="16">
        <v>0</v>
      </c>
      <c r="R97" s="16">
        <v>0</v>
      </c>
      <c r="S97" s="16">
        <v>0.23499999999999999</v>
      </c>
      <c r="T97" s="16">
        <f t="shared" si="57"/>
        <v>94.731000000000009</v>
      </c>
      <c r="U97" s="16"/>
      <c r="V97" s="16">
        <f t="shared" si="108"/>
        <v>0</v>
      </c>
      <c r="W97" s="16">
        <f t="shared" si="109"/>
        <v>14.157961999999999</v>
      </c>
      <c r="X97" s="16">
        <f t="shared" si="110"/>
        <v>96.148961999999997</v>
      </c>
      <c r="AB97" s="15" t="s">
        <v>185</v>
      </c>
      <c r="AD97" s="15">
        <v>11</v>
      </c>
      <c r="AE97" s="15">
        <v>7</v>
      </c>
      <c r="AG97" s="38">
        <f t="shared" si="58"/>
        <v>2.9889871830693999</v>
      </c>
      <c r="AH97" s="38">
        <f t="shared" si="59"/>
        <v>0.1471606256059198</v>
      </c>
      <c r="AI97" s="38">
        <f t="shared" si="60"/>
        <v>1.0227813934499286</v>
      </c>
      <c r="AJ97" s="38">
        <f t="shared" si="61"/>
        <v>5.859232551882835E-4</v>
      </c>
      <c r="AK97" s="38">
        <f t="shared" si="62"/>
        <v>0.78952958843722787</v>
      </c>
      <c r="AL97" s="38">
        <f t="shared" si="63"/>
        <v>6.7788859318122776E-3</v>
      </c>
      <c r="AM97" s="38">
        <f t="shared" si="64"/>
        <v>1.9622921660989505</v>
      </c>
      <c r="AN97" s="38">
        <f t="shared" si="65"/>
        <v>7.9399496751129831E-4</v>
      </c>
      <c r="AO97" s="38">
        <f t="shared" si="66"/>
        <v>8.0174890868482604E-2</v>
      </c>
      <c r="AP97" s="38">
        <f t="shared" si="67"/>
        <v>0.81586000429815309</v>
      </c>
      <c r="AQ97" s="38">
        <f t="shared" si="68"/>
        <v>0</v>
      </c>
      <c r="AR97" s="38">
        <f t="shared" si="69"/>
        <v>0</v>
      </c>
      <c r="AS97" s="38">
        <f t="shared" si="70"/>
        <v>2.9517350854267693E-2</v>
      </c>
      <c r="AT97" s="39">
        <f t="shared" si="71"/>
        <v>7.8149446559825728</v>
      </c>
      <c r="AU97" s="38">
        <f t="shared" si="72"/>
        <v>4.0117685765193283</v>
      </c>
      <c r="AV97" s="38">
        <f t="shared" si="73"/>
        <v>0.89682889013414702</v>
      </c>
      <c r="AW97" s="40"/>
      <c r="AX97" s="38">
        <f t="shared" si="74"/>
        <v>2.6772947477585376</v>
      </c>
      <c r="AY97" s="38">
        <f t="shared" si="75"/>
        <v>0.13181467362700355</v>
      </c>
      <c r="AZ97" s="38">
        <f t="shared" si="76"/>
        <v>0.91612545824860203</v>
      </c>
      <c r="BA97" s="38">
        <f t="shared" si="77"/>
        <v>5.248230111493101E-4</v>
      </c>
      <c r="BB97" s="38">
        <f t="shared" si="78"/>
        <v>0</v>
      </c>
      <c r="BC97" s="38">
        <f t="shared" si="79"/>
        <v>0.70719721793931511</v>
      </c>
      <c r="BD97" s="38">
        <f t="shared" si="80"/>
        <v>6.0719817748625844E-3</v>
      </c>
      <c r="BE97" s="38">
        <f t="shared" si="81"/>
        <v>1.7576637797655159</v>
      </c>
      <c r="BF97" s="38">
        <f t="shared" si="82"/>
        <v>7.1119694601090989E-4</v>
      </c>
      <c r="BG97" s="38">
        <f t="shared" si="83"/>
        <v>7.1814230398899143E-2</v>
      </c>
      <c r="BH97" s="38">
        <f t="shared" si="84"/>
        <v>0.73078189053010301</v>
      </c>
      <c r="BI97" s="38">
        <f t="shared" si="85"/>
        <v>0</v>
      </c>
      <c r="BJ97" s="38">
        <f t="shared" si="86"/>
        <v>0</v>
      </c>
      <c r="BK97" s="38">
        <f t="shared" si="87"/>
        <v>2.6439273094749163E-2</v>
      </c>
      <c r="BL97" s="41">
        <f t="shared" si="88"/>
        <v>6.9999999999999991</v>
      </c>
      <c r="BM97" s="42">
        <f t="shared" si="111"/>
        <v>10.206515473973198</v>
      </c>
      <c r="BN97" s="38">
        <f t="shared" si="89"/>
        <v>3.5934202060071394</v>
      </c>
      <c r="BO97" s="38">
        <f t="shared" si="90"/>
        <v>0.80330731787501308</v>
      </c>
      <c r="BQ97" s="38">
        <f t="shared" si="91"/>
        <v>0.67127163781624499</v>
      </c>
      <c r="BR97" s="38">
        <f t="shared" si="92"/>
        <v>3.3049574361542315E-2</v>
      </c>
      <c r="BS97" s="38">
        <f t="shared" si="93"/>
        <v>0.22969792075323658</v>
      </c>
      <c r="BT97" s="38">
        <f t="shared" si="94"/>
        <v>1.3158760444766102E-4</v>
      </c>
      <c r="BU97" s="38">
        <f t="shared" si="95"/>
        <v>0.17731384829505917</v>
      </c>
      <c r="BV97" s="38">
        <f t="shared" si="96"/>
        <v>1.5224133070200169E-3</v>
      </c>
      <c r="BW97" s="38">
        <f t="shared" si="97"/>
        <v>0.44069478908188592</v>
      </c>
      <c r="BX97" s="38">
        <f t="shared" si="98"/>
        <v>1.783166904422254E-4</v>
      </c>
      <c r="BY97" s="38">
        <f t="shared" si="99"/>
        <v>1.8005808325266218E-2</v>
      </c>
      <c r="BZ97" s="38">
        <f t="shared" si="100"/>
        <v>0.18322717622080681</v>
      </c>
      <c r="CA97" s="38">
        <f t="shared" si="101"/>
        <v>0</v>
      </c>
      <c r="CB97" s="38">
        <f t="shared" si="102"/>
        <v>0</v>
      </c>
      <c r="CC97" s="38">
        <f t="shared" si="103"/>
        <v>6.6290550070521852E-3</v>
      </c>
      <c r="CD97" s="38">
        <f t="shared" si="104"/>
        <v>1.7550930724559521</v>
      </c>
      <c r="CE97" s="38">
        <f t="shared" si="105"/>
        <v>2.4703980190360184</v>
      </c>
      <c r="CF97" s="38">
        <f t="shared" si="106"/>
        <v>3.9883924732291827</v>
      </c>
      <c r="CG97" s="38">
        <f t="shared" si="107"/>
        <v>9.8529168650035395</v>
      </c>
    </row>
    <row r="98" spans="1:85" ht="15" customHeight="1" x14ac:dyDescent="0.25">
      <c r="A98" s="35" t="s">
        <v>92</v>
      </c>
      <c r="B98" s="15">
        <v>1036</v>
      </c>
      <c r="C98" s="102" t="s">
        <v>255</v>
      </c>
      <c r="D98" s="103" t="s">
        <v>106</v>
      </c>
      <c r="E98" s="15">
        <v>194</v>
      </c>
      <c r="F98" s="15" t="s">
        <v>280</v>
      </c>
      <c r="G98" s="16">
        <v>40.409999999999997</v>
      </c>
      <c r="H98" s="16">
        <v>2.98</v>
      </c>
      <c r="I98" s="16">
        <v>11.84</v>
      </c>
      <c r="J98" s="16">
        <v>0.01</v>
      </c>
      <c r="K98" s="16">
        <v>12.79</v>
      </c>
      <c r="L98" s="16">
        <v>0.17199999999999999</v>
      </c>
      <c r="M98" s="16">
        <v>17.11</v>
      </c>
      <c r="N98" s="16">
        <v>8.9999999999999993E-3</v>
      </c>
      <c r="O98" s="16">
        <v>0.59399999999999997</v>
      </c>
      <c r="P98" s="16">
        <v>8.83</v>
      </c>
      <c r="Q98" s="16">
        <v>0</v>
      </c>
      <c r="R98" s="16">
        <v>0</v>
      </c>
      <c r="S98" s="16">
        <v>0.251</v>
      </c>
      <c r="T98" s="16">
        <f t="shared" si="57"/>
        <v>94.995999999999981</v>
      </c>
      <c r="U98" s="16"/>
      <c r="V98" s="16">
        <f t="shared" si="108"/>
        <v>0</v>
      </c>
      <c r="W98" s="16">
        <f t="shared" si="109"/>
        <v>14.213526999999997</v>
      </c>
      <c r="X98" s="16">
        <f t="shared" si="110"/>
        <v>96.419526999999988</v>
      </c>
      <c r="AB98" s="15" t="s">
        <v>185</v>
      </c>
      <c r="AD98" s="15">
        <v>11</v>
      </c>
      <c r="AE98" s="15">
        <v>7</v>
      </c>
      <c r="AG98" s="38">
        <f t="shared" si="58"/>
        <v>2.9913678406792155</v>
      </c>
      <c r="AH98" s="38">
        <f t="shared" si="59"/>
        <v>0.16591631818138669</v>
      </c>
      <c r="AI98" s="38">
        <f t="shared" si="60"/>
        <v>1.0329106734614795</v>
      </c>
      <c r="AJ98" s="38">
        <f t="shared" si="61"/>
        <v>5.8522904837562907E-4</v>
      </c>
      <c r="AK98" s="38">
        <f t="shared" si="62"/>
        <v>0.79168910060598874</v>
      </c>
      <c r="AL98" s="38">
        <f t="shared" si="63"/>
        <v>1.0783212325041753E-2</v>
      </c>
      <c r="AM98" s="38">
        <f t="shared" si="64"/>
        <v>1.8882341910685969</v>
      </c>
      <c r="AN98" s="38">
        <f t="shared" si="65"/>
        <v>7.1374881202167142E-4</v>
      </c>
      <c r="AO98" s="38">
        <f t="shared" si="66"/>
        <v>8.5246344077430536E-2</v>
      </c>
      <c r="AP98" s="38">
        <f t="shared" si="67"/>
        <v>0.83377849664847414</v>
      </c>
      <c r="AQ98" s="38">
        <f t="shared" si="68"/>
        <v>0</v>
      </c>
      <c r="AR98" s="38">
        <f t="shared" si="69"/>
        <v>0</v>
      </c>
      <c r="AS98" s="38">
        <f t="shared" si="70"/>
        <v>3.1489689321178529E-2</v>
      </c>
      <c r="AT98" s="39">
        <f t="shared" si="71"/>
        <v>7.8012251549080114</v>
      </c>
      <c r="AU98" s="38">
        <f t="shared" si="72"/>
        <v>4.0242785141406952</v>
      </c>
      <c r="AV98" s="38">
        <f t="shared" si="73"/>
        <v>0.91973858953792631</v>
      </c>
      <c r="AW98" s="40"/>
      <c r="AX98" s="38">
        <f t="shared" si="74"/>
        <v>2.6841392818384073</v>
      </c>
      <c r="AY98" s="38">
        <f t="shared" si="75"/>
        <v>0.14887587580253625</v>
      </c>
      <c r="AZ98" s="38">
        <f t="shared" si="76"/>
        <v>0.9268255396630215</v>
      </c>
      <c r="BA98" s="38">
        <f t="shared" si="77"/>
        <v>5.2512307455350048E-4</v>
      </c>
      <c r="BB98" s="38">
        <f t="shared" si="78"/>
        <v>0</v>
      </c>
      <c r="BC98" s="38">
        <f t="shared" si="79"/>
        <v>0.71037863850851346</v>
      </c>
      <c r="BD98" s="38">
        <f t="shared" si="80"/>
        <v>9.6757220534525543E-3</v>
      </c>
      <c r="BE98" s="38">
        <f t="shared" si="81"/>
        <v>1.6943030197205011</v>
      </c>
      <c r="BF98" s="38">
        <f t="shared" si="82"/>
        <v>6.4044321051397895E-4</v>
      </c>
      <c r="BG98" s="38">
        <f t="shared" si="83"/>
        <v>7.649111475350695E-2</v>
      </c>
      <c r="BH98" s="38">
        <f t="shared" si="84"/>
        <v>0.74814524137499272</v>
      </c>
      <c r="BI98" s="38">
        <f t="shared" si="85"/>
        <v>0</v>
      </c>
      <c r="BJ98" s="38">
        <f t="shared" si="86"/>
        <v>0</v>
      </c>
      <c r="BK98" s="38">
        <f t="shared" si="87"/>
        <v>2.8255539466076195E-2</v>
      </c>
      <c r="BL98" s="41">
        <f t="shared" si="88"/>
        <v>6.9999999999999991</v>
      </c>
      <c r="BM98" s="42">
        <f t="shared" si="111"/>
        <v>10.225433860466699</v>
      </c>
      <c r="BN98" s="38">
        <f t="shared" si="89"/>
        <v>3.6109648215014287</v>
      </c>
      <c r="BO98" s="38">
        <f t="shared" si="90"/>
        <v>0.82527679933901366</v>
      </c>
      <c r="BQ98" s="38">
        <f t="shared" si="91"/>
        <v>0.67260319573901461</v>
      </c>
      <c r="BR98" s="38">
        <f t="shared" si="92"/>
        <v>3.7305958938407616E-2</v>
      </c>
      <c r="BS98" s="38">
        <f t="shared" si="93"/>
        <v>0.23224794036877208</v>
      </c>
      <c r="BT98" s="38">
        <f t="shared" si="94"/>
        <v>1.3158760444766102E-4</v>
      </c>
      <c r="BU98" s="38">
        <f t="shared" si="95"/>
        <v>0.17800974251913709</v>
      </c>
      <c r="BV98" s="38">
        <f t="shared" si="96"/>
        <v>2.4245841556244712E-3</v>
      </c>
      <c r="BW98" s="38">
        <f t="shared" si="97"/>
        <v>0.42456575682382136</v>
      </c>
      <c r="BX98" s="38">
        <f t="shared" si="98"/>
        <v>1.6048502139800284E-4</v>
      </c>
      <c r="BY98" s="38">
        <f t="shared" si="99"/>
        <v>1.9167473378509197E-2</v>
      </c>
      <c r="BZ98" s="38">
        <f t="shared" si="100"/>
        <v>0.18747346072186835</v>
      </c>
      <c r="CA98" s="38">
        <f t="shared" si="101"/>
        <v>0</v>
      </c>
      <c r="CB98" s="38">
        <f t="shared" si="102"/>
        <v>0</v>
      </c>
      <c r="CC98" s="38">
        <f t="shared" si="103"/>
        <v>7.0803949224259519E-3</v>
      </c>
      <c r="CD98" s="38">
        <f t="shared" si="104"/>
        <v>1.7540901852710007</v>
      </c>
      <c r="CE98" s="38">
        <f t="shared" si="105"/>
        <v>2.4733284394236308</v>
      </c>
      <c r="CF98" s="38">
        <f t="shared" si="106"/>
        <v>3.9906728050693272</v>
      </c>
      <c r="CG98" s="38">
        <f t="shared" si="107"/>
        <v>9.8702445412124415</v>
      </c>
    </row>
    <row r="99" spans="1:85" ht="15" customHeight="1" x14ac:dyDescent="0.25">
      <c r="A99" s="35" t="s">
        <v>92</v>
      </c>
      <c r="B99" s="15">
        <v>1037</v>
      </c>
      <c r="C99" s="102" t="s">
        <v>255</v>
      </c>
      <c r="D99" s="103" t="s">
        <v>106</v>
      </c>
      <c r="E99" s="15">
        <v>195</v>
      </c>
      <c r="F99" s="15" t="s">
        <v>280</v>
      </c>
      <c r="G99" s="16">
        <v>39.53</v>
      </c>
      <c r="H99" s="16">
        <v>2.85</v>
      </c>
      <c r="I99" s="16">
        <v>11.41</v>
      </c>
      <c r="J99" s="16">
        <v>0.01</v>
      </c>
      <c r="K99" s="16">
        <v>13.01</v>
      </c>
      <c r="L99" s="16">
        <v>0.157</v>
      </c>
      <c r="M99" s="16">
        <v>16.829999999999998</v>
      </c>
      <c r="N99" s="16">
        <v>0.35499999999999998</v>
      </c>
      <c r="O99" s="16">
        <v>0.51300000000000001</v>
      </c>
      <c r="P99" s="16">
        <v>7.99</v>
      </c>
      <c r="Q99" s="16">
        <v>0</v>
      </c>
      <c r="R99" s="16">
        <v>0</v>
      </c>
      <c r="S99" s="16">
        <v>0.26200000000000001</v>
      </c>
      <c r="T99" s="16">
        <f t="shared" si="57"/>
        <v>92.917000000000002</v>
      </c>
      <c r="U99" s="16"/>
      <c r="V99" s="16">
        <f t="shared" si="108"/>
        <v>0</v>
      </c>
      <c r="W99" s="16">
        <f t="shared" si="109"/>
        <v>14.458012999999999</v>
      </c>
      <c r="X99" s="16">
        <f t="shared" si="110"/>
        <v>94.365013000000005</v>
      </c>
      <c r="AB99" s="15" t="s">
        <v>185</v>
      </c>
      <c r="AD99" s="15">
        <v>11</v>
      </c>
      <c r="AE99" s="15">
        <v>7</v>
      </c>
      <c r="AG99" s="38">
        <f t="shared" si="58"/>
        <v>2.9909313305120997</v>
      </c>
      <c r="AH99" s="38">
        <f t="shared" si="59"/>
        <v>0.16218711759168156</v>
      </c>
      <c r="AI99" s="38">
        <f t="shared" si="60"/>
        <v>1.0174085078859985</v>
      </c>
      <c r="AJ99" s="38">
        <f t="shared" si="61"/>
        <v>5.9816986820340301E-4</v>
      </c>
      <c r="AK99" s="38">
        <f t="shared" si="62"/>
        <v>0.82311416553217853</v>
      </c>
      <c r="AL99" s="38">
        <f t="shared" si="63"/>
        <v>1.0060464200812611E-2</v>
      </c>
      <c r="AM99" s="38">
        <f t="shared" si="64"/>
        <v>1.8984039181816363</v>
      </c>
      <c r="AN99" s="38">
        <f t="shared" si="65"/>
        <v>2.8775965215070885E-2</v>
      </c>
      <c r="AO99" s="38">
        <f t="shared" si="66"/>
        <v>7.5249798373031113E-2</v>
      </c>
      <c r="AP99" s="38">
        <f t="shared" si="67"/>
        <v>0.77114389359150692</v>
      </c>
      <c r="AQ99" s="38">
        <f t="shared" si="68"/>
        <v>0</v>
      </c>
      <c r="AR99" s="38">
        <f t="shared" si="69"/>
        <v>0</v>
      </c>
      <c r="AS99" s="38">
        <f t="shared" si="70"/>
        <v>3.3596543901660975E-2</v>
      </c>
      <c r="AT99" s="39">
        <f t="shared" si="71"/>
        <v>7.777873330952219</v>
      </c>
      <c r="AU99" s="38">
        <f t="shared" si="72"/>
        <v>4.0083398383980979</v>
      </c>
      <c r="AV99" s="38">
        <f t="shared" si="73"/>
        <v>0.87516965717960893</v>
      </c>
      <c r="AW99" s="40"/>
      <c r="AX99" s="38">
        <f t="shared" si="74"/>
        <v>2.6918051275362576</v>
      </c>
      <c r="AY99" s="38">
        <f t="shared" si="75"/>
        <v>0.14596661257310276</v>
      </c>
      <c r="AZ99" s="38">
        <f t="shared" si="76"/>
        <v>0.91565640788470948</v>
      </c>
      <c r="BA99" s="38">
        <f t="shared" si="77"/>
        <v>5.3834626757944351E-4</v>
      </c>
      <c r="BB99" s="38">
        <f t="shared" si="78"/>
        <v>0</v>
      </c>
      <c r="BC99" s="38">
        <f t="shared" si="79"/>
        <v>0.74079364802664516</v>
      </c>
      <c r="BD99" s="38">
        <f t="shared" si="80"/>
        <v>9.0543065448799968E-3</v>
      </c>
      <c r="BE99" s="38">
        <f t="shared" si="81"/>
        <v>1.7085425362210862</v>
      </c>
      <c r="BF99" s="38">
        <f t="shared" si="82"/>
        <v>2.5898050525442997E-2</v>
      </c>
      <c r="BG99" s="38">
        <f t="shared" si="83"/>
        <v>6.7723986518912566E-2</v>
      </c>
      <c r="BH99" s="38">
        <f t="shared" si="84"/>
        <v>0.69402097790138317</v>
      </c>
      <c r="BI99" s="38">
        <f t="shared" si="85"/>
        <v>0</v>
      </c>
      <c r="BJ99" s="38">
        <f t="shared" si="86"/>
        <v>0</v>
      </c>
      <c r="BK99" s="38">
        <f t="shared" si="87"/>
        <v>3.0236518043529899E-2</v>
      </c>
      <c r="BL99" s="41">
        <f t="shared" si="88"/>
        <v>6.9999999999999991</v>
      </c>
      <c r="BM99" s="42">
        <f t="shared" si="111"/>
        <v>10.270275199966914</v>
      </c>
      <c r="BN99" s="38">
        <f t="shared" si="89"/>
        <v>3.6074615354209669</v>
      </c>
      <c r="BO99" s="38">
        <f t="shared" si="90"/>
        <v>0.78764301494573874</v>
      </c>
      <c r="BQ99" s="38">
        <f t="shared" si="91"/>
        <v>0.65795605858854866</v>
      </c>
      <c r="BR99" s="38">
        <f t="shared" si="92"/>
        <v>3.5678517776665003E-2</v>
      </c>
      <c r="BS99" s="38">
        <f t="shared" si="93"/>
        <v>0.22381326010200081</v>
      </c>
      <c r="BT99" s="38">
        <f t="shared" si="94"/>
        <v>1.3158760444766102E-4</v>
      </c>
      <c r="BU99" s="38">
        <f t="shared" si="95"/>
        <v>0.18107167710508004</v>
      </c>
      <c r="BV99" s="38">
        <f t="shared" si="96"/>
        <v>2.2131378629828024E-3</v>
      </c>
      <c r="BW99" s="38">
        <f t="shared" si="97"/>
        <v>0.41761786600496276</v>
      </c>
      <c r="BX99" s="38">
        <f t="shared" si="98"/>
        <v>6.3302425106990011E-3</v>
      </c>
      <c r="BY99" s="38">
        <f t="shared" si="99"/>
        <v>1.655372700871249E-2</v>
      </c>
      <c r="BZ99" s="38">
        <f t="shared" si="100"/>
        <v>0.16963906581740976</v>
      </c>
      <c r="CA99" s="38">
        <f t="shared" si="101"/>
        <v>0</v>
      </c>
      <c r="CB99" s="38">
        <f t="shared" si="102"/>
        <v>0</v>
      </c>
      <c r="CC99" s="38">
        <f t="shared" si="103"/>
        <v>7.3906911142454157E-3</v>
      </c>
      <c r="CD99" s="38">
        <f t="shared" si="104"/>
        <v>1.711005140381509</v>
      </c>
      <c r="CE99" s="38">
        <f t="shared" si="105"/>
        <v>2.4198203986297626</v>
      </c>
      <c r="CF99" s="38">
        <f t="shared" si="106"/>
        <v>4.091162460469981</v>
      </c>
      <c r="CG99" s="38">
        <f t="shared" si="107"/>
        <v>9.8998783759535893</v>
      </c>
    </row>
    <row r="100" spans="1:85" ht="15" customHeight="1" x14ac:dyDescent="0.25">
      <c r="A100" s="35" t="s">
        <v>92</v>
      </c>
      <c r="B100" s="15">
        <v>1038</v>
      </c>
      <c r="C100" s="102" t="s">
        <v>255</v>
      </c>
      <c r="D100" s="103" t="s">
        <v>106</v>
      </c>
      <c r="E100" s="15">
        <v>196</v>
      </c>
      <c r="F100" s="15" t="s">
        <v>280</v>
      </c>
      <c r="G100" s="16">
        <v>40.31</v>
      </c>
      <c r="H100" s="16">
        <v>3.07</v>
      </c>
      <c r="I100" s="16">
        <v>11.32</v>
      </c>
      <c r="J100" s="16">
        <v>0.01</v>
      </c>
      <c r="K100" s="16">
        <v>12.79</v>
      </c>
      <c r="L100" s="16">
        <v>0.13200000000000001</v>
      </c>
      <c r="M100" s="16">
        <v>17.5</v>
      </c>
      <c r="N100" s="16">
        <v>0.17</v>
      </c>
      <c r="O100" s="16">
        <v>0.625</v>
      </c>
      <c r="P100" s="16">
        <v>8.44</v>
      </c>
      <c r="Q100" s="16">
        <v>0</v>
      </c>
      <c r="R100" s="16">
        <v>0</v>
      </c>
      <c r="S100" s="16">
        <v>0.24199999999999999</v>
      </c>
      <c r="T100" s="16">
        <f t="shared" si="57"/>
        <v>94.609000000000009</v>
      </c>
      <c r="U100" s="16"/>
      <c r="V100" s="16">
        <f t="shared" si="108"/>
        <v>0</v>
      </c>
      <c r="W100" s="16">
        <f t="shared" si="109"/>
        <v>14.213527000000001</v>
      </c>
      <c r="X100" s="16">
        <f t="shared" si="110"/>
        <v>96.032527000000002</v>
      </c>
      <c r="AB100" s="15" t="s">
        <v>185</v>
      </c>
      <c r="AD100" s="15">
        <v>11</v>
      </c>
      <c r="AE100" s="15">
        <v>7</v>
      </c>
      <c r="AG100" s="38">
        <f t="shared" si="58"/>
        <v>2.9935319476431048</v>
      </c>
      <c r="AH100" s="38">
        <f t="shared" si="59"/>
        <v>0.17147520965217392</v>
      </c>
      <c r="AI100" s="38">
        <f t="shared" si="60"/>
        <v>0.9907124460650546</v>
      </c>
      <c r="AJ100" s="38">
        <f t="shared" si="61"/>
        <v>5.8710530403125924E-4</v>
      </c>
      <c r="AK100" s="38">
        <f t="shared" si="62"/>
        <v>0.79422727118490255</v>
      </c>
      <c r="AL100" s="38">
        <f t="shared" si="63"/>
        <v>8.3020199049068689E-3</v>
      </c>
      <c r="AM100" s="38">
        <f t="shared" si="64"/>
        <v>1.9374657137654396</v>
      </c>
      <c r="AN100" s="38">
        <f t="shared" si="65"/>
        <v>1.3525145307730819E-2</v>
      </c>
      <c r="AO100" s="38">
        <f t="shared" si="66"/>
        <v>8.9982791989060076E-2</v>
      </c>
      <c r="AP100" s="38">
        <f t="shared" si="67"/>
        <v>0.79950753794900375</v>
      </c>
      <c r="AQ100" s="38">
        <f t="shared" si="68"/>
        <v>0</v>
      </c>
      <c r="AR100" s="38">
        <f t="shared" si="69"/>
        <v>0</v>
      </c>
      <c r="AS100" s="38">
        <f t="shared" si="70"/>
        <v>3.045791355239786E-2</v>
      </c>
      <c r="AT100" s="39">
        <f t="shared" si="71"/>
        <v>7.7993171887654089</v>
      </c>
      <c r="AU100" s="38">
        <f t="shared" si="72"/>
        <v>3.9842443937081593</v>
      </c>
      <c r="AV100" s="38">
        <f t="shared" si="73"/>
        <v>0.90301547524579462</v>
      </c>
      <c r="AW100" s="40"/>
      <c r="AX100" s="38">
        <f t="shared" si="74"/>
        <v>2.6867382267368409</v>
      </c>
      <c r="AY100" s="38">
        <f t="shared" si="75"/>
        <v>0.15390148118276786</v>
      </c>
      <c r="AZ100" s="38">
        <f t="shared" si="76"/>
        <v>0.88917875175597971</v>
      </c>
      <c r="BA100" s="38">
        <f t="shared" si="77"/>
        <v>5.2693550329491916E-4</v>
      </c>
      <c r="BB100" s="38">
        <f t="shared" si="78"/>
        <v>0</v>
      </c>
      <c r="BC100" s="38">
        <f t="shared" si="79"/>
        <v>0.71283046499284286</v>
      </c>
      <c r="BD100" s="38">
        <f t="shared" si="80"/>
        <v>7.4511829597158942E-3</v>
      </c>
      <c r="BE100" s="38">
        <f t="shared" si="81"/>
        <v>1.7389035050265618</v>
      </c>
      <c r="BF100" s="38">
        <f t="shared" si="82"/>
        <v>1.2139013565250635E-2</v>
      </c>
      <c r="BG100" s="38">
        <f t="shared" si="83"/>
        <v>8.0760857480028619E-2</v>
      </c>
      <c r="BH100" s="38">
        <f t="shared" si="84"/>
        <v>0.71756958079671751</v>
      </c>
      <c r="BI100" s="38">
        <f t="shared" si="85"/>
        <v>0</v>
      </c>
      <c r="BJ100" s="38">
        <f t="shared" si="86"/>
        <v>0</v>
      </c>
      <c r="BK100" s="38">
        <f t="shared" si="87"/>
        <v>2.7336418010271275E-2</v>
      </c>
      <c r="BL100" s="41">
        <f t="shared" si="88"/>
        <v>7</v>
      </c>
      <c r="BM100" s="42">
        <f t="shared" si="111"/>
        <v>10.22907435590216</v>
      </c>
      <c r="BN100" s="38">
        <f t="shared" si="89"/>
        <v>3.5759169784928204</v>
      </c>
      <c r="BO100" s="38">
        <f t="shared" si="90"/>
        <v>0.81046945184199681</v>
      </c>
      <c r="BQ100" s="38">
        <f t="shared" si="91"/>
        <v>0.67093874833555267</v>
      </c>
      <c r="BR100" s="38">
        <f t="shared" si="92"/>
        <v>3.8432648973460187E-2</v>
      </c>
      <c r="BS100" s="38">
        <f t="shared" si="93"/>
        <v>0.22204786190663006</v>
      </c>
      <c r="BT100" s="38">
        <f t="shared" si="94"/>
        <v>1.3158760444766102E-4</v>
      </c>
      <c r="BU100" s="38">
        <f t="shared" si="95"/>
        <v>0.17800974251913709</v>
      </c>
      <c r="BV100" s="38">
        <f t="shared" si="96"/>
        <v>1.8607273752466874E-3</v>
      </c>
      <c r="BW100" s="38">
        <f t="shared" si="97"/>
        <v>0.4342431761786601</v>
      </c>
      <c r="BX100" s="38">
        <f t="shared" si="98"/>
        <v>3.0313837375178319E-3</v>
      </c>
      <c r="BY100" s="38">
        <f t="shared" si="99"/>
        <v>2.0167796063246209E-2</v>
      </c>
      <c r="BZ100" s="38">
        <f t="shared" si="100"/>
        <v>0.17919320594479829</v>
      </c>
      <c r="CA100" s="38">
        <f t="shared" si="101"/>
        <v>0</v>
      </c>
      <c r="CB100" s="38">
        <f t="shared" si="102"/>
        <v>0</v>
      </c>
      <c r="CC100" s="38">
        <f t="shared" si="103"/>
        <v>6.8265162200282078E-3</v>
      </c>
      <c r="CD100" s="38">
        <f t="shared" si="104"/>
        <v>1.7480568786386967</v>
      </c>
      <c r="CE100" s="38">
        <f t="shared" si="105"/>
        <v>2.4654242415892123</v>
      </c>
      <c r="CF100" s="38">
        <f t="shared" si="106"/>
        <v>4.0044463572897389</v>
      </c>
      <c r="CG100" s="38">
        <f t="shared" si="107"/>
        <v>9.8726591234057377</v>
      </c>
    </row>
    <row r="101" spans="1:85" ht="15" customHeight="1" x14ac:dyDescent="0.25">
      <c r="A101" s="35" t="s">
        <v>92</v>
      </c>
      <c r="B101" s="15">
        <v>1039</v>
      </c>
      <c r="C101" s="102" t="s">
        <v>255</v>
      </c>
      <c r="D101" s="103" t="s">
        <v>106</v>
      </c>
      <c r="E101" s="15">
        <v>197</v>
      </c>
      <c r="F101" s="15" t="s">
        <v>280</v>
      </c>
      <c r="G101" s="16">
        <v>38.71</v>
      </c>
      <c r="H101" s="16">
        <v>4.76</v>
      </c>
      <c r="I101" s="16">
        <v>12.2</v>
      </c>
      <c r="J101" s="16">
        <v>0</v>
      </c>
      <c r="K101" s="16">
        <v>14.78</v>
      </c>
      <c r="L101" s="16">
        <v>0.114</v>
      </c>
      <c r="M101" s="16">
        <v>14.86</v>
      </c>
      <c r="N101" s="16">
        <v>0</v>
      </c>
      <c r="O101" s="16">
        <v>0.58399999999999996</v>
      </c>
      <c r="P101" s="16">
        <v>9.35</v>
      </c>
      <c r="Q101" s="16">
        <v>0</v>
      </c>
      <c r="R101" s="16">
        <v>0</v>
      </c>
      <c r="S101" s="16">
        <v>0.25700000000000001</v>
      </c>
      <c r="T101" s="16">
        <f t="shared" si="57"/>
        <v>95.615000000000009</v>
      </c>
      <c r="U101" s="16"/>
      <c r="V101" s="16">
        <f t="shared" si="108"/>
        <v>0</v>
      </c>
      <c r="W101" s="16">
        <f t="shared" si="109"/>
        <v>16.425013999999997</v>
      </c>
      <c r="X101" s="16">
        <f t="shared" si="110"/>
        <v>97.260014000000012</v>
      </c>
      <c r="AB101" s="15" t="s">
        <v>185</v>
      </c>
      <c r="AD101" s="15">
        <v>11</v>
      </c>
      <c r="AE101" s="15">
        <v>7</v>
      </c>
      <c r="AG101" s="38">
        <f t="shared" si="58"/>
        <v>2.8953379449154784</v>
      </c>
      <c r="AH101" s="38">
        <f t="shared" si="59"/>
        <v>0.2677780109059496</v>
      </c>
      <c r="AI101" s="38">
        <f t="shared" si="60"/>
        <v>1.0753900509519323</v>
      </c>
      <c r="AJ101" s="38">
        <f t="shared" si="61"/>
        <v>0</v>
      </c>
      <c r="AK101" s="38">
        <f t="shared" si="62"/>
        <v>0.92438667454679746</v>
      </c>
      <c r="AL101" s="38">
        <f t="shared" si="63"/>
        <v>7.2213714047409784E-3</v>
      </c>
      <c r="AM101" s="38">
        <f t="shared" si="64"/>
        <v>1.6569895824172978</v>
      </c>
      <c r="AN101" s="38">
        <f t="shared" si="65"/>
        <v>0</v>
      </c>
      <c r="AO101" s="38">
        <f t="shared" si="66"/>
        <v>8.4683204845976842E-2</v>
      </c>
      <c r="AP101" s="38">
        <f t="shared" si="67"/>
        <v>0.89206544822126088</v>
      </c>
      <c r="AQ101" s="38">
        <f t="shared" si="68"/>
        <v>0</v>
      </c>
      <c r="AR101" s="38">
        <f t="shared" si="69"/>
        <v>0</v>
      </c>
      <c r="AS101" s="38">
        <f t="shared" si="70"/>
        <v>3.2577885946415142E-2</v>
      </c>
      <c r="AT101" s="39">
        <f t="shared" si="71"/>
        <v>7.8038522882094341</v>
      </c>
      <c r="AU101" s="38">
        <f t="shared" si="72"/>
        <v>3.9707279958674109</v>
      </c>
      <c r="AV101" s="38">
        <f t="shared" si="73"/>
        <v>0.97674865306723768</v>
      </c>
      <c r="AW101" s="40"/>
      <c r="AX101" s="38">
        <f t="shared" si="74"/>
        <v>2.597097544379408</v>
      </c>
      <c r="AY101" s="38">
        <f t="shared" si="75"/>
        <v>0.24019497129304737</v>
      </c>
      <c r="AZ101" s="38">
        <f t="shared" si="76"/>
        <v>0.96461722731950084</v>
      </c>
      <c r="BA101" s="38">
        <f t="shared" si="77"/>
        <v>0</v>
      </c>
      <c r="BB101" s="38">
        <f t="shared" si="78"/>
        <v>0</v>
      </c>
      <c r="BC101" s="38">
        <f t="shared" si="79"/>
        <v>0.82916827264964321</v>
      </c>
      <c r="BD101" s="38">
        <f t="shared" si="80"/>
        <v>6.477518790246768E-3</v>
      </c>
      <c r="BE101" s="38">
        <f t="shared" si="81"/>
        <v>1.486307870594308</v>
      </c>
      <c r="BF101" s="38">
        <f t="shared" si="82"/>
        <v>0</v>
      </c>
      <c r="BG101" s="38">
        <f t="shared" si="83"/>
        <v>7.5960232463324812E-2</v>
      </c>
      <c r="BH101" s="38">
        <f t="shared" si="84"/>
        <v>0.80017636251052027</v>
      </c>
      <c r="BI101" s="38">
        <f t="shared" si="85"/>
        <v>0</v>
      </c>
      <c r="BJ101" s="38">
        <f t="shared" si="86"/>
        <v>0</v>
      </c>
      <c r="BK101" s="38">
        <f t="shared" si="87"/>
        <v>2.922213199363748E-2</v>
      </c>
      <c r="BL101" s="41">
        <f t="shared" si="88"/>
        <v>6.9999999999999982</v>
      </c>
      <c r="BM101" s="42">
        <f t="shared" si="111"/>
        <v>10.281505902173285</v>
      </c>
      <c r="BN101" s="38">
        <f t="shared" si="89"/>
        <v>3.5617147716989086</v>
      </c>
      <c r="BO101" s="38">
        <f t="shared" si="90"/>
        <v>0.87613659497384511</v>
      </c>
      <c r="BQ101" s="38">
        <f t="shared" si="91"/>
        <v>0.64430758988015979</v>
      </c>
      <c r="BR101" s="38">
        <f t="shared" si="92"/>
        <v>5.9589384076114173E-2</v>
      </c>
      <c r="BS101" s="38">
        <f t="shared" si="93"/>
        <v>0.23930953315025499</v>
      </c>
      <c r="BT101" s="38">
        <f t="shared" si="94"/>
        <v>0</v>
      </c>
      <c r="BU101" s="38">
        <f t="shared" si="95"/>
        <v>0.20570633263743912</v>
      </c>
      <c r="BV101" s="38">
        <f t="shared" si="96"/>
        <v>1.6069918240766846E-3</v>
      </c>
      <c r="BW101" s="38">
        <f t="shared" si="97"/>
        <v>0.36873449131513647</v>
      </c>
      <c r="BX101" s="38">
        <f t="shared" si="98"/>
        <v>0</v>
      </c>
      <c r="BY101" s="38">
        <f t="shared" si="99"/>
        <v>1.8844788641497256E-2</v>
      </c>
      <c r="BZ101" s="38">
        <f t="shared" si="100"/>
        <v>0.19851380042462843</v>
      </c>
      <c r="CA101" s="38">
        <f t="shared" si="101"/>
        <v>0</v>
      </c>
      <c r="CB101" s="38">
        <f t="shared" si="102"/>
        <v>0</v>
      </c>
      <c r="CC101" s="38">
        <f t="shared" si="103"/>
        <v>7.2496473906911137E-3</v>
      </c>
      <c r="CD101" s="38">
        <f t="shared" si="104"/>
        <v>1.736612911949307</v>
      </c>
      <c r="CE101" s="38">
        <f t="shared" si="105"/>
        <v>2.4478605342522997</v>
      </c>
      <c r="CF101" s="38">
        <f t="shared" si="106"/>
        <v>4.0308349384219797</v>
      </c>
      <c r="CG101" s="38">
        <f t="shared" si="107"/>
        <v>9.8669217658484634</v>
      </c>
    </row>
    <row r="102" spans="1:85" ht="15" customHeight="1" x14ac:dyDescent="0.25">
      <c r="A102" s="35" t="s">
        <v>188</v>
      </c>
      <c r="B102" s="15">
        <v>356</v>
      </c>
      <c r="C102" s="102" t="s">
        <v>98</v>
      </c>
      <c r="D102" s="103" t="s">
        <v>106</v>
      </c>
      <c r="E102" s="15">
        <v>21</v>
      </c>
      <c r="F102" s="15" t="s">
        <v>272</v>
      </c>
      <c r="G102" s="16">
        <v>7.0999999999999994E-2</v>
      </c>
      <c r="H102" s="16">
        <v>12.4</v>
      </c>
      <c r="I102" s="16">
        <v>3.36</v>
      </c>
      <c r="J102" s="16">
        <v>0.48599999999999999</v>
      </c>
      <c r="K102" s="16">
        <v>76.739999999999995</v>
      </c>
      <c r="L102" s="16">
        <v>0.24199999999999999</v>
      </c>
      <c r="M102" s="16">
        <v>0.873</v>
      </c>
      <c r="N102" s="16">
        <v>2.9000000000000001E-2</v>
      </c>
      <c r="O102" s="16">
        <v>2.3E-2</v>
      </c>
      <c r="P102" s="16">
        <v>0</v>
      </c>
      <c r="Q102" s="16">
        <v>0</v>
      </c>
      <c r="T102" s="16">
        <f t="shared" si="57"/>
        <v>94.22399999999999</v>
      </c>
      <c r="U102" s="16"/>
      <c r="V102" s="16">
        <f t="shared" si="108"/>
        <v>40.98150121440333</v>
      </c>
      <c r="W102" s="16">
        <f t="shared" si="109"/>
        <v>39.738419700433575</v>
      </c>
      <c r="X102" s="16">
        <f t="shared" si="110"/>
        <v>98.203920914836914</v>
      </c>
      <c r="AD102" s="15">
        <v>4</v>
      </c>
      <c r="AE102" s="15">
        <v>3</v>
      </c>
      <c r="AG102" s="38">
        <f t="shared" si="58"/>
        <v>3.1195246691310703E-3</v>
      </c>
      <c r="AH102" s="38">
        <f t="shared" si="59"/>
        <v>0.40977327299140515</v>
      </c>
      <c r="AI102" s="38">
        <f t="shared" si="60"/>
        <v>0.1739800478309324</v>
      </c>
      <c r="AJ102" s="38">
        <f t="shared" si="61"/>
        <v>1.6881508414841564E-2</v>
      </c>
      <c r="AK102" s="38">
        <f t="shared" si="62"/>
        <v>2.8193891366786894</v>
      </c>
      <c r="AL102" s="38">
        <f t="shared" si="63"/>
        <v>9.0050096279294788E-3</v>
      </c>
      <c r="AM102" s="38">
        <f t="shared" si="64"/>
        <v>5.7183297722006636E-2</v>
      </c>
      <c r="AN102" s="38">
        <f t="shared" si="65"/>
        <v>1.3650545050130716E-3</v>
      </c>
      <c r="AO102" s="38">
        <f t="shared" si="66"/>
        <v>1.9591435532552884E-3</v>
      </c>
      <c r="AP102" s="38">
        <f t="shared" si="67"/>
        <v>0</v>
      </c>
      <c r="AQ102" s="38">
        <f t="shared" si="68"/>
        <v>0</v>
      </c>
      <c r="AR102" s="38">
        <f t="shared" si="69"/>
        <v>0</v>
      </c>
      <c r="AS102" s="38">
        <f t="shared" si="70"/>
        <v>0</v>
      </c>
      <c r="AT102" s="39">
        <f t="shared" si="71"/>
        <v>3.4926559959932044</v>
      </c>
      <c r="AU102" s="38">
        <f t="shared" si="72"/>
        <v>0.17709957250006347</v>
      </c>
      <c r="AV102" s="38">
        <f t="shared" si="73"/>
        <v>3.3241980582683602E-3</v>
      </c>
      <c r="AW102" s="40"/>
      <c r="AX102" s="38">
        <f t="shared" si="74"/>
        <v>2.6795006488269739E-3</v>
      </c>
      <c r="AY102" s="38">
        <f t="shared" si="75"/>
        <v>0.35197277383873438</v>
      </c>
      <c r="AZ102" s="38">
        <f t="shared" si="76"/>
        <v>0.14943932184892245</v>
      </c>
      <c r="BA102" s="38">
        <f t="shared" si="77"/>
        <v>1.4500290123798163E-2</v>
      </c>
      <c r="BB102" s="38">
        <f t="shared" si="78"/>
        <v>1.2932620467839575</v>
      </c>
      <c r="BC102" s="38">
        <f t="shared" si="79"/>
        <v>1.1284386359455549</v>
      </c>
      <c r="BD102" s="38">
        <f t="shared" si="80"/>
        <v>7.734809530277313E-3</v>
      </c>
      <c r="BE102" s="38">
        <f t="shared" si="81"/>
        <v>4.9117317411970431E-2</v>
      </c>
      <c r="BF102" s="38">
        <f t="shared" si="82"/>
        <v>1.1725069745595362E-3</v>
      </c>
      <c r="BG102" s="38">
        <f t="shared" si="83"/>
        <v>1.682796893398173E-3</v>
      </c>
      <c r="BH102" s="38">
        <f t="shared" si="84"/>
        <v>0</v>
      </c>
      <c r="BI102" s="38">
        <f t="shared" si="85"/>
        <v>0</v>
      </c>
      <c r="BJ102" s="38">
        <f t="shared" si="86"/>
        <v>0</v>
      </c>
      <c r="BK102" s="38">
        <f t="shared" si="87"/>
        <v>0</v>
      </c>
      <c r="BL102" s="41">
        <f t="shared" si="88"/>
        <v>2.9999999999999996</v>
      </c>
      <c r="BM102" s="42">
        <f t="shared" si="111"/>
        <v>3.9999999999999996</v>
      </c>
      <c r="BN102" s="38">
        <f t="shared" si="89"/>
        <v>0.15211882249774941</v>
      </c>
      <c r="BO102" s="38">
        <f t="shared" si="90"/>
        <v>2.8553038679577092E-3</v>
      </c>
      <c r="BQ102" s="38">
        <f t="shared" si="91"/>
        <v>1.181757656458056E-3</v>
      </c>
      <c r="BR102" s="38">
        <f t="shared" si="92"/>
        <v>0.15523284927391087</v>
      </c>
      <c r="BS102" s="38">
        <f t="shared" si="93"/>
        <v>6.590819929384073E-2</v>
      </c>
      <c r="BT102" s="38">
        <f t="shared" si="94"/>
        <v>6.3951575761563252E-3</v>
      </c>
      <c r="BU102" s="38">
        <f t="shared" si="95"/>
        <v>1.0680584551148227</v>
      </c>
      <c r="BV102" s="38">
        <f t="shared" si="96"/>
        <v>3.4113335212855936E-3</v>
      </c>
      <c r="BW102" s="38">
        <f t="shared" si="97"/>
        <v>2.1662531017369729E-2</v>
      </c>
      <c r="BX102" s="38">
        <f t="shared" si="98"/>
        <v>5.1711840228245366E-4</v>
      </c>
      <c r="BY102" s="38">
        <f t="shared" si="99"/>
        <v>7.421748951274605E-4</v>
      </c>
      <c r="BZ102" s="38">
        <f t="shared" si="100"/>
        <v>0</v>
      </c>
      <c r="CA102" s="38">
        <f t="shared" si="101"/>
        <v>0</v>
      </c>
      <c r="CB102" s="38">
        <f t="shared" si="102"/>
        <v>0</v>
      </c>
      <c r="CC102" s="38">
        <f t="shared" si="103"/>
        <v>0</v>
      </c>
      <c r="CD102" s="38">
        <f t="shared" si="104"/>
        <v>1.323109576751254</v>
      </c>
      <c r="CE102" s="38">
        <f t="shared" si="105"/>
        <v>1.5153047746690578</v>
      </c>
      <c r="CF102" s="38">
        <f t="shared" si="106"/>
        <v>2.2673859011482338</v>
      </c>
      <c r="CG102" s="38">
        <f t="shared" si="107"/>
        <v>3.435780682027223</v>
      </c>
    </row>
    <row r="103" spans="1:85" ht="15" customHeight="1" x14ac:dyDescent="0.25">
      <c r="A103" s="35" t="s">
        <v>188</v>
      </c>
      <c r="B103" s="15">
        <v>357</v>
      </c>
      <c r="C103" s="102" t="s">
        <v>98</v>
      </c>
      <c r="D103" s="103" t="s">
        <v>106</v>
      </c>
      <c r="E103" s="15">
        <v>22</v>
      </c>
      <c r="F103" s="15" t="s">
        <v>279</v>
      </c>
      <c r="G103" s="16">
        <v>3.5999999999999997E-2</v>
      </c>
      <c r="H103" s="16">
        <v>49.34</v>
      </c>
      <c r="I103" s="16">
        <v>8.2000000000000003E-2</v>
      </c>
      <c r="J103" s="16">
        <v>0</v>
      </c>
      <c r="K103" s="16">
        <v>43.79</v>
      </c>
      <c r="L103" s="16">
        <v>1.0349999999999999</v>
      </c>
      <c r="M103" s="16">
        <v>1.5349999999999999</v>
      </c>
      <c r="N103" s="16">
        <v>3.7999999999999999E-2</v>
      </c>
      <c r="O103" s="16">
        <v>3.4000000000000002E-2</v>
      </c>
      <c r="P103" s="16">
        <v>0</v>
      </c>
      <c r="Q103" s="16">
        <v>0</v>
      </c>
      <c r="T103" s="16">
        <f t="shared" si="57"/>
        <v>95.89</v>
      </c>
      <c r="U103" s="16"/>
      <c r="V103" s="16">
        <f t="shared" si="108"/>
        <v>40.431771993119064</v>
      </c>
      <c r="W103" s="16">
        <f t="shared" si="109"/>
        <v>3.7319987840467821</v>
      </c>
      <c r="X103" s="16">
        <f t="shared" si="110"/>
        <v>96.26377077716586</v>
      </c>
      <c r="Y103" s="15">
        <v>23</v>
      </c>
      <c r="AD103" s="15">
        <v>3</v>
      </c>
      <c r="AE103" s="15">
        <v>2</v>
      </c>
      <c r="AG103" s="38">
        <f t="shared" si="58"/>
        <v>9.4494635421378244E-4</v>
      </c>
      <c r="AH103" s="38">
        <f t="shared" si="59"/>
        <v>0.97408233157508306</v>
      </c>
      <c r="AI103" s="38">
        <f t="shared" si="60"/>
        <v>2.5365802007407331E-3</v>
      </c>
      <c r="AJ103" s="38">
        <f t="shared" si="61"/>
        <v>0</v>
      </c>
      <c r="AK103" s="38">
        <f t="shared" si="62"/>
        <v>0.96113136438930413</v>
      </c>
      <c r="AL103" s="38">
        <f t="shared" si="63"/>
        <v>2.3008258213045762E-2</v>
      </c>
      <c r="AM103" s="38">
        <f t="shared" si="64"/>
        <v>6.0067272287969965E-2</v>
      </c>
      <c r="AN103" s="38">
        <f t="shared" si="65"/>
        <v>1.0685876944267288E-3</v>
      </c>
      <c r="AO103" s="38">
        <f t="shared" si="66"/>
        <v>1.7301825110963912E-3</v>
      </c>
      <c r="AP103" s="38">
        <f t="shared" si="67"/>
        <v>0</v>
      </c>
      <c r="AQ103" s="38">
        <f t="shared" si="68"/>
        <v>0</v>
      </c>
      <c r="AR103" s="38">
        <f t="shared" si="69"/>
        <v>0</v>
      </c>
      <c r="AS103" s="38">
        <f t="shared" si="70"/>
        <v>0</v>
      </c>
      <c r="AT103" s="39">
        <f t="shared" si="71"/>
        <v>2.02456952322588</v>
      </c>
      <c r="AU103" s="38">
        <f t="shared" si="72"/>
        <v>3.4815265549545155E-3</v>
      </c>
      <c r="AV103" s="38">
        <f t="shared" si="73"/>
        <v>2.7987702055231201E-3</v>
      </c>
      <c r="AW103" s="40"/>
      <c r="AX103" s="38">
        <f t="shared" si="74"/>
        <v>9.3347878981022781E-4</v>
      </c>
      <c r="AY103" s="38">
        <f t="shared" si="75"/>
        <v>0.96226118234064206</v>
      </c>
      <c r="AZ103" s="38">
        <f t="shared" si="76"/>
        <v>2.5057970809508503E-3</v>
      </c>
      <c r="BA103" s="38">
        <f t="shared" si="77"/>
        <v>0</v>
      </c>
      <c r="BB103" s="38">
        <f t="shared" si="78"/>
        <v>0.87665331768669008</v>
      </c>
      <c r="BC103" s="38">
        <f t="shared" si="79"/>
        <v>7.2814066231911889E-2</v>
      </c>
      <c r="BD103" s="38">
        <f t="shared" si="80"/>
        <v>2.2729037406811477E-2</v>
      </c>
      <c r="BE103" s="38">
        <f t="shared" si="81"/>
        <v>5.9338315230845519E-2</v>
      </c>
      <c r="BF103" s="38">
        <f t="shared" si="82"/>
        <v>1.055619658567296E-3</v>
      </c>
      <c r="BG103" s="38">
        <f t="shared" si="83"/>
        <v>1.7091855737703459E-3</v>
      </c>
      <c r="BH103" s="38">
        <f t="shared" si="84"/>
        <v>0</v>
      </c>
      <c r="BI103" s="38">
        <f t="shared" si="85"/>
        <v>0</v>
      </c>
      <c r="BJ103" s="38">
        <f t="shared" si="86"/>
        <v>0</v>
      </c>
      <c r="BK103" s="38">
        <f t="shared" si="87"/>
        <v>0</v>
      </c>
      <c r="BL103" s="41">
        <f t="shared" si="88"/>
        <v>1.9999999999999998</v>
      </c>
      <c r="BM103" s="42">
        <f t="shared" si="111"/>
        <v>2.9999999999999978</v>
      </c>
      <c r="BN103" s="38">
        <f t="shared" si="89"/>
        <v>3.4392758707610781E-3</v>
      </c>
      <c r="BO103" s="38">
        <f t="shared" si="90"/>
        <v>2.7648052323376417E-3</v>
      </c>
      <c r="BQ103" s="38">
        <f t="shared" si="91"/>
        <v>5.9920106524633822E-4</v>
      </c>
      <c r="BR103" s="38">
        <f t="shared" si="92"/>
        <v>0.61767651477215835</v>
      </c>
      <c r="BS103" s="38">
        <f t="shared" si="93"/>
        <v>1.6084739113377798E-3</v>
      </c>
      <c r="BT103" s="38">
        <f t="shared" si="94"/>
        <v>0</v>
      </c>
      <c r="BU103" s="38">
        <f t="shared" si="95"/>
        <v>0.60946416144746007</v>
      </c>
      <c r="BV103" s="38">
        <f t="shared" si="96"/>
        <v>1.4589794192275161E-2</v>
      </c>
      <c r="BW103" s="38">
        <f t="shared" si="97"/>
        <v>3.8089330024813899E-2</v>
      </c>
      <c r="BX103" s="38">
        <f t="shared" si="98"/>
        <v>6.7760342368045653E-4</v>
      </c>
      <c r="BY103" s="38">
        <f t="shared" si="99"/>
        <v>1.0971281058405938E-3</v>
      </c>
      <c r="BZ103" s="38">
        <f t="shared" si="100"/>
        <v>0</v>
      </c>
      <c r="CA103" s="38">
        <f t="shared" si="101"/>
        <v>0</v>
      </c>
      <c r="CB103" s="38">
        <f t="shared" si="102"/>
        <v>0</v>
      </c>
      <c r="CC103" s="38">
        <f t="shared" si="103"/>
        <v>0</v>
      </c>
      <c r="CD103" s="38">
        <f t="shared" si="104"/>
        <v>1.2838022069428128</v>
      </c>
      <c r="CE103" s="38">
        <f t="shared" si="105"/>
        <v>1.9023335956829661</v>
      </c>
      <c r="CF103" s="38">
        <f t="shared" si="106"/>
        <v>1.5578723803277357</v>
      </c>
      <c r="CG103" s="38">
        <f t="shared" si="107"/>
        <v>2.9635929668840428</v>
      </c>
    </row>
    <row r="104" spans="1:85" ht="15" customHeight="1" x14ac:dyDescent="0.25">
      <c r="A104" s="35" t="s">
        <v>188</v>
      </c>
      <c r="B104" s="15">
        <v>358</v>
      </c>
      <c r="C104" s="102" t="s">
        <v>98</v>
      </c>
      <c r="D104" s="103" t="s">
        <v>106</v>
      </c>
      <c r="E104" s="15">
        <v>23</v>
      </c>
      <c r="F104" s="15" t="s">
        <v>272</v>
      </c>
      <c r="G104" s="16">
        <v>0.105</v>
      </c>
      <c r="H104" s="16">
        <v>12.15</v>
      </c>
      <c r="I104" s="16">
        <v>1.8879999999999999</v>
      </c>
      <c r="J104" s="16">
        <v>8.6999999999999994E-2</v>
      </c>
      <c r="K104" s="16">
        <v>76.7</v>
      </c>
      <c r="L104" s="16">
        <v>0.21</v>
      </c>
      <c r="M104" s="16">
        <v>0.17199999999999999</v>
      </c>
      <c r="N104" s="16">
        <v>0.106</v>
      </c>
      <c r="O104" s="16">
        <v>0</v>
      </c>
      <c r="P104" s="16">
        <v>0</v>
      </c>
      <c r="Q104" s="16">
        <v>0</v>
      </c>
      <c r="T104" s="16">
        <f t="shared" si="57"/>
        <v>91.417999999999992</v>
      </c>
      <c r="U104" s="16"/>
      <c r="V104" s="16">
        <f t="shared" si="108"/>
        <v>40.783190218911336</v>
      </c>
      <c r="W104" s="16">
        <f t="shared" si="109"/>
        <v>39.914350709723834</v>
      </c>
      <c r="X104" s="16">
        <f t="shared" si="110"/>
        <v>95.415540928635167</v>
      </c>
      <c r="Y104" s="15">
        <v>22</v>
      </c>
      <c r="AD104" s="15">
        <v>4</v>
      </c>
      <c r="AE104" s="15">
        <v>3</v>
      </c>
      <c r="AG104" s="38">
        <f t="shared" si="58"/>
        <v>4.8492831743853528E-3</v>
      </c>
      <c r="AH104" s="38">
        <f t="shared" si="59"/>
        <v>0.42204269945065509</v>
      </c>
      <c r="AI104" s="38">
        <f t="shared" si="60"/>
        <v>0.10275910884287617</v>
      </c>
      <c r="AJ104" s="38">
        <f t="shared" si="61"/>
        <v>3.176525921966703E-3</v>
      </c>
      <c r="AK104" s="38">
        <f t="shared" si="62"/>
        <v>2.9620116472915696</v>
      </c>
      <c r="AL104" s="38">
        <f t="shared" si="63"/>
        <v>8.2138407983386504E-3</v>
      </c>
      <c r="AM104" s="38">
        <f t="shared" si="64"/>
        <v>1.184245031221467E-2</v>
      </c>
      <c r="AN104" s="38">
        <f t="shared" si="65"/>
        <v>5.2446442005314904E-3</v>
      </c>
      <c r="AO104" s="38">
        <f t="shared" si="66"/>
        <v>0</v>
      </c>
      <c r="AP104" s="38">
        <f t="shared" si="67"/>
        <v>0</v>
      </c>
      <c r="AQ104" s="38">
        <f t="shared" si="68"/>
        <v>0</v>
      </c>
      <c r="AR104" s="38">
        <f t="shared" si="69"/>
        <v>0</v>
      </c>
      <c r="AS104" s="38">
        <f t="shared" si="70"/>
        <v>0</v>
      </c>
      <c r="AT104" s="39">
        <f t="shared" si="71"/>
        <v>3.5201401999925377</v>
      </c>
      <c r="AU104" s="38">
        <f t="shared" si="72"/>
        <v>0.10760839201726152</v>
      </c>
      <c r="AV104" s="38">
        <f t="shared" si="73"/>
        <v>5.2446442005314904E-3</v>
      </c>
      <c r="AW104" s="40"/>
      <c r="AX104" s="38">
        <f t="shared" si="74"/>
        <v>4.1327471909178206E-3</v>
      </c>
      <c r="AY104" s="38">
        <f t="shared" si="75"/>
        <v>0.35968115655014227</v>
      </c>
      <c r="AZ104" s="38">
        <f t="shared" si="76"/>
        <v>8.7575297861511886E-2</v>
      </c>
      <c r="BA104" s="38">
        <f t="shared" si="77"/>
        <v>2.7071585858768664E-3</v>
      </c>
      <c r="BB104" s="38">
        <f t="shared" si="78"/>
        <v>1.3422514654230029</v>
      </c>
      <c r="BC104" s="38">
        <f t="shared" si="79"/>
        <v>1.1820897360704903</v>
      </c>
      <c r="BD104" s="38">
        <f t="shared" si="80"/>
        <v>7.0001536856595051E-3</v>
      </c>
      <c r="BE104" s="38">
        <f t="shared" si="81"/>
        <v>1.0092595441715453E-2</v>
      </c>
      <c r="BF104" s="38">
        <f t="shared" si="82"/>
        <v>4.4696891906827532E-3</v>
      </c>
      <c r="BG104" s="38">
        <f t="shared" si="83"/>
        <v>0</v>
      </c>
      <c r="BH104" s="38">
        <f t="shared" si="84"/>
        <v>0</v>
      </c>
      <c r="BI104" s="38">
        <f t="shared" si="85"/>
        <v>0</v>
      </c>
      <c r="BJ104" s="38">
        <f t="shared" si="86"/>
        <v>0</v>
      </c>
      <c r="BK104" s="38">
        <f t="shared" si="87"/>
        <v>0</v>
      </c>
      <c r="BL104" s="41">
        <f t="shared" si="88"/>
        <v>2.9999999999999996</v>
      </c>
      <c r="BM104" s="42">
        <f t="shared" si="111"/>
        <v>3.9999999999999991</v>
      </c>
      <c r="BN104" s="38">
        <f t="shared" si="89"/>
        <v>9.1708045052429701E-2</v>
      </c>
      <c r="BO104" s="38">
        <f t="shared" si="90"/>
        <v>4.4696891906827532E-3</v>
      </c>
      <c r="BQ104" s="38">
        <f t="shared" si="91"/>
        <v>1.7476697736351532E-3</v>
      </c>
      <c r="BR104" s="38">
        <f t="shared" si="92"/>
        <v>0.15210315473209815</v>
      </c>
      <c r="BS104" s="38">
        <f t="shared" si="93"/>
        <v>3.7034131031777169E-2</v>
      </c>
      <c r="BT104" s="38">
        <f t="shared" si="94"/>
        <v>1.1448121586946508E-3</v>
      </c>
      <c r="BU104" s="38">
        <f t="shared" si="95"/>
        <v>1.0675017397355604</v>
      </c>
      <c r="BV104" s="38">
        <f t="shared" si="96"/>
        <v>2.9602480969833662E-3</v>
      </c>
      <c r="BW104" s="38">
        <f t="shared" si="97"/>
        <v>4.2679900744416873E-3</v>
      </c>
      <c r="BX104" s="38">
        <f t="shared" si="98"/>
        <v>1.8901569186875892E-3</v>
      </c>
      <c r="BY104" s="38">
        <f t="shared" si="99"/>
        <v>0</v>
      </c>
      <c r="BZ104" s="38">
        <f t="shared" si="100"/>
        <v>0</v>
      </c>
      <c r="CA104" s="38">
        <f t="shared" si="101"/>
        <v>0</v>
      </c>
      <c r="CB104" s="38">
        <f t="shared" si="102"/>
        <v>0</v>
      </c>
      <c r="CC104" s="38">
        <f t="shared" si="103"/>
        <v>0</v>
      </c>
      <c r="CD104" s="38">
        <f t="shared" si="104"/>
        <v>1.2686499025218783</v>
      </c>
      <c r="CE104" s="38">
        <f t="shared" si="105"/>
        <v>1.4415901986228474</v>
      </c>
      <c r="CF104" s="38">
        <f t="shared" si="106"/>
        <v>2.3647185831461206</v>
      </c>
      <c r="CG104" s="38">
        <f t="shared" si="107"/>
        <v>3.4089551319647544</v>
      </c>
    </row>
    <row r="105" spans="1:85" ht="15" customHeight="1" x14ac:dyDescent="0.25">
      <c r="A105" s="35" t="s">
        <v>188</v>
      </c>
      <c r="B105" s="15">
        <v>370</v>
      </c>
      <c r="C105" s="102" t="s">
        <v>98</v>
      </c>
      <c r="D105" s="103" t="s">
        <v>106</v>
      </c>
      <c r="E105" s="15">
        <v>40</v>
      </c>
      <c r="F105" s="15" t="s">
        <v>279</v>
      </c>
      <c r="G105" s="16">
        <v>3.5999999999999997E-2</v>
      </c>
      <c r="H105" s="16">
        <v>50.96</v>
      </c>
      <c r="I105" s="16">
        <v>0.04</v>
      </c>
      <c r="J105" s="16">
        <v>0</v>
      </c>
      <c r="K105" s="16">
        <v>43.16</v>
      </c>
      <c r="L105" s="16">
        <v>1.173</v>
      </c>
      <c r="M105" s="16">
        <v>2.54</v>
      </c>
      <c r="N105" s="16">
        <v>1.2999999999999999E-2</v>
      </c>
      <c r="O105" s="16">
        <v>0</v>
      </c>
      <c r="P105" s="16">
        <v>8.0000000000000002E-3</v>
      </c>
      <c r="Q105" s="16">
        <v>0</v>
      </c>
      <c r="T105" s="16">
        <f t="shared" si="57"/>
        <v>97.93</v>
      </c>
      <c r="U105" s="16"/>
      <c r="V105" s="16">
        <f t="shared" si="108"/>
        <v>40.122636984138033</v>
      </c>
      <c r="W105" s="16">
        <f t="shared" si="109"/>
        <v>3.3754215195273973</v>
      </c>
      <c r="X105" s="16">
        <f t="shared" si="110"/>
        <v>98.268058503665429</v>
      </c>
      <c r="Y105" s="15">
        <v>41</v>
      </c>
      <c r="AD105" s="15">
        <v>3</v>
      </c>
      <c r="AE105" s="15">
        <v>2</v>
      </c>
      <c r="AG105" s="38">
        <f t="shared" si="58"/>
        <v>9.1767625664342155E-4</v>
      </c>
      <c r="AH105" s="38">
        <f t="shared" si="59"/>
        <v>0.97703086048378474</v>
      </c>
      <c r="AI105" s="38">
        <f t="shared" si="60"/>
        <v>1.2016474761156178E-3</v>
      </c>
      <c r="AJ105" s="38">
        <f t="shared" si="61"/>
        <v>0</v>
      </c>
      <c r="AK105" s="38">
        <f t="shared" si="62"/>
        <v>0.9199655867868024</v>
      </c>
      <c r="AL105" s="38">
        <f t="shared" si="63"/>
        <v>2.5323500956397987E-2</v>
      </c>
      <c r="AM105" s="38">
        <f t="shared" si="64"/>
        <v>9.6526284345056099E-2</v>
      </c>
      <c r="AN105" s="38">
        <f t="shared" si="65"/>
        <v>3.55019547218645E-4</v>
      </c>
      <c r="AO105" s="38">
        <f t="shared" si="66"/>
        <v>0</v>
      </c>
      <c r="AP105" s="38">
        <f t="shared" si="67"/>
        <v>2.6012733899097323E-4</v>
      </c>
      <c r="AQ105" s="38">
        <f t="shared" si="68"/>
        <v>0</v>
      </c>
      <c r="AR105" s="38">
        <f t="shared" si="69"/>
        <v>0</v>
      </c>
      <c r="AS105" s="38">
        <f t="shared" si="70"/>
        <v>0</v>
      </c>
      <c r="AT105" s="39">
        <f t="shared" si="71"/>
        <v>2.02158070319101</v>
      </c>
      <c r="AU105" s="38">
        <f t="shared" si="72"/>
        <v>2.1193237327590394E-3</v>
      </c>
      <c r="AV105" s="38">
        <f t="shared" si="73"/>
        <v>6.1514688620961828E-4</v>
      </c>
      <c r="AW105" s="40"/>
      <c r="AX105" s="38">
        <f t="shared" si="74"/>
        <v>9.0787991317377986E-4</v>
      </c>
      <c r="AY105" s="38">
        <f t="shared" si="75"/>
        <v>0.96660089695312978</v>
      </c>
      <c r="AZ105" s="38">
        <f t="shared" si="76"/>
        <v>1.1888196936376072E-3</v>
      </c>
      <c r="BA105" s="38">
        <f t="shared" si="77"/>
        <v>0</v>
      </c>
      <c r="BB105" s="38">
        <f t="shared" si="78"/>
        <v>0.84609382733405125</v>
      </c>
      <c r="BC105" s="38">
        <f t="shared" si="79"/>
        <v>6.405097701104534E-2</v>
      </c>
      <c r="BD105" s="38">
        <f t="shared" si="80"/>
        <v>2.5053168460131746E-2</v>
      </c>
      <c r="BE105" s="38">
        <f t="shared" si="81"/>
        <v>9.5495850541798294E-2</v>
      </c>
      <c r="BF105" s="38">
        <f t="shared" si="82"/>
        <v>3.5122965574241609E-4</v>
      </c>
      <c r="BG105" s="38">
        <f t="shared" si="83"/>
        <v>0</v>
      </c>
      <c r="BH105" s="38">
        <f t="shared" si="84"/>
        <v>2.57350437289364E-4</v>
      </c>
      <c r="BI105" s="38">
        <f t="shared" si="85"/>
        <v>0</v>
      </c>
      <c r="BJ105" s="38">
        <f t="shared" si="86"/>
        <v>0</v>
      </c>
      <c r="BK105" s="38">
        <f t="shared" si="87"/>
        <v>0</v>
      </c>
      <c r="BL105" s="41">
        <f t="shared" si="88"/>
        <v>1.9999999999999996</v>
      </c>
      <c r="BM105" s="42">
        <f t="shared" si="111"/>
        <v>3.0000000000000004</v>
      </c>
      <c r="BN105" s="38">
        <f t="shared" si="89"/>
        <v>2.0966996068113872E-3</v>
      </c>
      <c r="BO105" s="38">
        <f t="shared" si="90"/>
        <v>6.0858009303178004E-4</v>
      </c>
      <c r="BQ105" s="38">
        <f t="shared" si="91"/>
        <v>5.9920106524633822E-4</v>
      </c>
      <c r="BR105" s="38">
        <f t="shared" si="92"/>
        <v>0.63795693540310472</v>
      </c>
      <c r="BS105" s="38">
        <f t="shared" si="93"/>
        <v>7.8462142016477059E-4</v>
      </c>
      <c r="BT105" s="38">
        <f t="shared" si="94"/>
        <v>0</v>
      </c>
      <c r="BU105" s="38">
        <f t="shared" si="95"/>
        <v>0.60069589422407799</v>
      </c>
      <c r="BV105" s="38">
        <f t="shared" si="96"/>
        <v>1.6535100084578518E-2</v>
      </c>
      <c r="BW105" s="38">
        <f t="shared" si="97"/>
        <v>6.3027295285359802E-2</v>
      </c>
      <c r="BX105" s="38">
        <f t="shared" si="98"/>
        <v>2.3181169757489301E-4</v>
      </c>
      <c r="BY105" s="38">
        <f t="shared" si="99"/>
        <v>0</v>
      </c>
      <c r="BZ105" s="38">
        <f t="shared" si="100"/>
        <v>1.6985138004246286E-4</v>
      </c>
      <c r="CA105" s="38">
        <f t="shared" si="101"/>
        <v>0</v>
      </c>
      <c r="CB105" s="38">
        <f t="shared" si="102"/>
        <v>0</v>
      </c>
      <c r="CC105" s="38">
        <f t="shared" si="103"/>
        <v>0</v>
      </c>
      <c r="CD105" s="38">
        <f t="shared" si="104"/>
        <v>1.3200007105601497</v>
      </c>
      <c r="CE105" s="38">
        <f t="shared" si="105"/>
        <v>1.9588642320485616</v>
      </c>
      <c r="CF105" s="38">
        <f t="shared" si="106"/>
        <v>1.5151506995411304</v>
      </c>
      <c r="CG105" s="38">
        <f t="shared" si="107"/>
        <v>2.9679745114944773</v>
      </c>
    </row>
    <row r="106" spans="1:85" ht="15" customHeight="1" x14ac:dyDescent="0.25">
      <c r="A106" s="35" t="s">
        <v>188</v>
      </c>
      <c r="B106" s="15">
        <v>371</v>
      </c>
      <c r="C106" s="102" t="s">
        <v>98</v>
      </c>
      <c r="D106" s="103" t="s">
        <v>106</v>
      </c>
      <c r="E106" s="15">
        <v>41</v>
      </c>
      <c r="F106" s="15" t="s">
        <v>272</v>
      </c>
      <c r="G106" s="16">
        <v>0.434</v>
      </c>
      <c r="H106" s="16">
        <v>11.03</v>
      </c>
      <c r="I106" s="16">
        <v>1.387</v>
      </c>
      <c r="J106" s="16">
        <v>2.5000000000000001E-2</v>
      </c>
      <c r="K106" s="16">
        <v>78.819999999999993</v>
      </c>
      <c r="L106" s="16">
        <v>0.155</v>
      </c>
      <c r="M106" s="16">
        <v>0.16900000000000001</v>
      </c>
      <c r="N106" s="16">
        <v>4.5999999999999999E-2</v>
      </c>
      <c r="O106" s="16">
        <v>1.0999999999999999E-2</v>
      </c>
      <c r="P106" s="16">
        <v>1.2999999999999999E-2</v>
      </c>
      <c r="Q106" s="16">
        <v>0</v>
      </c>
      <c r="T106" s="16">
        <f t="shared" si="57"/>
        <v>92.09</v>
      </c>
      <c r="U106" s="16"/>
      <c r="V106" s="16">
        <f t="shared" si="108"/>
        <v>40.432733978627489</v>
      </c>
      <c r="W106" s="16">
        <f t="shared" si="109"/>
        <v>42.659768729551267</v>
      </c>
      <c r="X106" s="16">
        <f t="shared" si="110"/>
        <v>96.362502708178752</v>
      </c>
      <c r="Y106" s="15">
        <v>40</v>
      </c>
      <c r="AD106" s="15">
        <v>4</v>
      </c>
      <c r="AE106" s="15">
        <v>3</v>
      </c>
      <c r="AG106" s="38">
        <f t="shared" si="58"/>
        <v>2.0115608755894659E-2</v>
      </c>
      <c r="AH106" s="38">
        <f t="shared" si="59"/>
        <v>0.38451282591563862</v>
      </c>
      <c r="AI106" s="38">
        <f t="shared" si="60"/>
        <v>7.5761751179784412E-2</v>
      </c>
      <c r="AJ106" s="38">
        <f t="shared" si="61"/>
        <v>9.1606937369314483E-4</v>
      </c>
      <c r="AK106" s="38">
        <f t="shared" si="62"/>
        <v>3.0548017634969229</v>
      </c>
      <c r="AL106" s="38">
        <f t="shared" si="63"/>
        <v>6.0843457955120578E-3</v>
      </c>
      <c r="AM106" s="38">
        <f t="shared" si="64"/>
        <v>1.1677638667090803E-2</v>
      </c>
      <c r="AN106" s="38">
        <f t="shared" si="65"/>
        <v>2.2841425352890764E-3</v>
      </c>
      <c r="AO106" s="38">
        <f t="shared" si="66"/>
        <v>9.8842673454910095E-4</v>
      </c>
      <c r="AP106" s="38">
        <f t="shared" si="67"/>
        <v>7.6859192925650703E-4</v>
      </c>
      <c r="AQ106" s="38">
        <f t="shared" si="68"/>
        <v>0</v>
      </c>
      <c r="AR106" s="38">
        <f t="shared" si="69"/>
        <v>0</v>
      </c>
      <c r="AS106" s="38">
        <f t="shared" si="70"/>
        <v>0</v>
      </c>
      <c r="AT106" s="39">
        <f t="shared" si="71"/>
        <v>3.5579111643836314</v>
      </c>
      <c r="AU106" s="38">
        <f t="shared" si="72"/>
        <v>9.5877359935679071E-2</v>
      </c>
      <c r="AV106" s="38">
        <f t="shared" si="73"/>
        <v>4.041161199094684E-3</v>
      </c>
      <c r="AW106" s="40"/>
      <c r="AX106" s="38">
        <f t="shared" si="74"/>
        <v>1.6961307767260791E-2</v>
      </c>
      <c r="AY106" s="38">
        <f t="shared" si="75"/>
        <v>0.32421789765140285</v>
      </c>
      <c r="AZ106" s="38">
        <f t="shared" si="76"/>
        <v>6.3881655004370486E-2</v>
      </c>
      <c r="BA106" s="38">
        <f t="shared" si="77"/>
        <v>7.7242179304258453E-4</v>
      </c>
      <c r="BB106" s="38">
        <f t="shared" si="78"/>
        <v>1.3213134781110059</v>
      </c>
      <c r="BC106" s="38">
        <f t="shared" si="79"/>
        <v>1.2544690153449256</v>
      </c>
      <c r="BD106" s="38">
        <f t="shared" si="80"/>
        <v>5.1302678856228008E-3</v>
      </c>
      <c r="BE106" s="38">
        <f t="shared" si="81"/>
        <v>9.8464841820583987E-3</v>
      </c>
      <c r="BF106" s="38">
        <f t="shared" si="82"/>
        <v>1.9259692806451324E-3</v>
      </c>
      <c r="BG106" s="38">
        <f t="shared" si="83"/>
        <v>8.334328954952996E-4</v>
      </c>
      <c r="BH106" s="38">
        <f t="shared" si="84"/>
        <v>6.4807008416944859E-4</v>
      </c>
      <c r="BI106" s="38">
        <f t="shared" si="85"/>
        <v>0</v>
      </c>
      <c r="BJ106" s="38">
        <f t="shared" si="86"/>
        <v>0</v>
      </c>
      <c r="BK106" s="38">
        <f t="shared" si="87"/>
        <v>0</v>
      </c>
      <c r="BL106" s="41">
        <f t="shared" si="88"/>
        <v>2.9999999999999991</v>
      </c>
      <c r="BM106" s="42">
        <f t="shared" si="111"/>
        <v>4</v>
      </c>
      <c r="BN106" s="38">
        <f t="shared" si="89"/>
        <v>8.0842962771631277E-2</v>
      </c>
      <c r="BO106" s="38">
        <f t="shared" si="90"/>
        <v>3.4074722603098804E-3</v>
      </c>
      <c r="BQ106" s="38">
        <f t="shared" si="91"/>
        <v>7.2237017310253001E-3</v>
      </c>
      <c r="BR106" s="38">
        <f t="shared" si="92"/>
        <v>0.13808212318477717</v>
      </c>
      <c r="BS106" s="38">
        <f t="shared" si="93"/>
        <v>2.720674774421342E-2</v>
      </c>
      <c r="BT106" s="38">
        <f t="shared" si="94"/>
        <v>3.2896901111915256E-4</v>
      </c>
      <c r="BU106" s="38">
        <f t="shared" si="95"/>
        <v>1.0970076548364649</v>
      </c>
      <c r="BV106" s="38">
        <f t="shared" si="96"/>
        <v>2.1849450239639131E-3</v>
      </c>
      <c r="BW106" s="38">
        <f t="shared" si="97"/>
        <v>4.1935483870967748E-3</v>
      </c>
      <c r="BX106" s="38">
        <f t="shared" si="98"/>
        <v>8.2025677603423676E-4</v>
      </c>
      <c r="BY106" s="38">
        <f t="shared" si="99"/>
        <v>3.5495321071313328E-4</v>
      </c>
      <c r="BZ106" s="38">
        <f t="shared" si="100"/>
        <v>2.7600849256900208E-4</v>
      </c>
      <c r="CA106" s="38">
        <f t="shared" si="101"/>
        <v>0</v>
      </c>
      <c r="CB106" s="38">
        <f t="shared" si="102"/>
        <v>0</v>
      </c>
      <c r="CC106" s="38">
        <f t="shared" si="103"/>
        <v>0</v>
      </c>
      <c r="CD106" s="38">
        <f t="shared" si="104"/>
        <v>1.2776789083979772</v>
      </c>
      <c r="CE106" s="38">
        <f t="shared" si="105"/>
        <v>1.4364371108398046</v>
      </c>
      <c r="CF106" s="38">
        <f t="shared" si="106"/>
        <v>2.3480077664908485</v>
      </c>
      <c r="CG106" s="38">
        <f t="shared" si="107"/>
        <v>3.3727654923275372</v>
      </c>
    </row>
    <row r="107" spans="1:85" ht="15" customHeight="1" x14ac:dyDescent="0.25">
      <c r="A107" s="35" t="s">
        <v>188</v>
      </c>
      <c r="B107" s="15">
        <v>373</v>
      </c>
      <c r="C107" s="102" t="s">
        <v>98</v>
      </c>
      <c r="D107" s="103" t="s">
        <v>106</v>
      </c>
      <c r="E107" s="15">
        <v>43</v>
      </c>
      <c r="F107" s="15" t="s">
        <v>272</v>
      </c>
      <c r="G107" s="16">
        <v>0.373</v>
      </c>
      <c r="H107" s="16">
        <v>11.3</v>
      </c>
      <c r="I107" s="16">
        <v>2.4300000000000002</v>
      </c>
      <c r="J107" s="16">
        <v>0.16800000000000001</v>
      </c>
      <c r="K107" s="16">
        <v>78.27</v>
      </c>
      <c r="L107" s="16">
        <v>0.17499999999999999</v>
      </c>
      <c r="M107" s="16">
        <v>0.14399999999999999</v>
      </c>
      <c r="N107" s="16">
        <v>2.8000000000000001E-2</v>
      </c>
      <c r="O107" s="16">
        <v>0</v>
      </c>
      <c r="P107" s="16">
        <v>0</v>
      </c>
      <c r="Q107" s="16">
        <v>0</v>
      </c>
      <c r="T107" s="16">
        <f t="shared" si="57"/>
        <v>92.888000000000005</v>
      </c>
      <c r="U107" s="16"/>
      <c r="V107" s="16">
        <f t="shared" si="108"/>
        <v>41.118146698603063</v>
      </c>
      <c r="W107" s="16">
        <f t="shared" si="109"/>
        <v>41.286854573842412</v>
      </c>
      <c r="X107" s="16">
        <f t="shared" si="110"/>
        <v>97.02300127244547</v>
      </c>
      <c r="AD107" s="15">
        <v>4</v>
      </c>
      <c r="AE107" s="15">
        <v>3</v>
      </c>
      <c r="AG107" s="38">
        <f t="shared" si="58"/>
        <v>1.6939114972914334E-2</v>
      </c>
      <c r="AH107" s="38">
        <f t="shared" si="59"/>
        <v>0.38596879607519308</v>
      </c>
      <c r="AI107" s="38">
        <f t="shared" si="60"/>
        <v>0.13005236385617472</v>
      </c>
      <c r="AJ107" s="38">
        <f t="shared" si="61"/>
        <v>6.031649134254545E-3</v>
      </c>
      <c r="AK107" s="38">
        <f t="shared" si="62"/>
        <v>2.9722160107206776</v>
      </c>
      <c r="AL107" s="38">
        <f t="shared" si="63"/>
        <v>6.7306758052238123E-3</v>
      </c>
      <c r="AM107" s="38">
        <f t="shared" si="64"/>
        <v>9.7492061529459231E-3</v>
      </c>
      <c r="AN107" s="38">
        <f t="shared" si="65"/>
        <v>1.3622657392940865E-3</v>
      </c>
      <c r="AO107" s="38">
        <f t="shared" si="66"/>
        <v>0</v>
      </c>
      <c r="AP107" s="38">
        <f t="shared" si="67"/>
        <v>0</v>
      </c>
      <c r="AQ107" s="38">
        <f t="shared" si="68"/>
        <v>0</v>
      </c>
      <c r="AR107" s="38">
        <f t="shared" si="69"/>
        <v>0</v>
      </c>
      <c r="AS107" s="38">
        <f t="shared" si="70"/>
        <v>0</v>
      </c>
      <c r="AT107" s="39">
        <f t="shared" si="71"/>
        <v>3.5290500824566782</v>
      </c>
      <c r="AU107" s="38">
        <f t="shared" si="72"/>
        <v>0.14699147882908906</v>
      </c>
      <c r="AV107" s="38">
        <f t="shared" si="73"/>
        <v>1.3622657392940865E-3</v>
      </c>
      <c r="AW107" s="40"/>
      <c r="AX107" s="38">
        <f t="shared" si="74"/>
        <v>1.4399723362205028E-2</v>
      </c>
      <c r="AY107" s="38">
        <f t="shared" si="75"/>
        <v>0.32810709997618559</v>
      </c>
      <c r="AZ107" s="38">
        <f t="shared" si="76"/>
        <v>0.11055583866832631</v>
      </c>
      <c r="BA107" s="38">
        <f t="shared" si="77"/>
        <v>5.1274272056142647E-3</v>
      </c>
      <c r="BB107" s="38">
        <f t="shared" si="78"/>
        <v>1.3273394434934636</v>
      </c>
      <c r="BC107" s="38">
        <f t="shared" si="79"/>
        <v>1.1993030874492785</v>
      </c>
      <c r="BD107" s="38">
        <f t="shared" si="80"/>
        <v>5.7216607709956778E-3</v>
      </c>
      <c r="BE107" s="38">
        <f t="shared" si="81"/>
        <v>8.2876745230199798E-3</v>
      </c>
      <c r="BF107" s="38">
        <f t="shared" si="82"/>
        <v>1.1580445509113649E-3</v>
      </c>
      <c r="BG107" s="38">
        <f t="shared" si="83"/>
        <v>0</v>
      </c>
      <c r="BH107" s="38">
        <f t="shared" si="84"/>
        <v>0</v>
      </c>
      <c r="BI107" s="38">
        <f t="shared" si="85"/>
        <v>0</v>
      </c>
      <c r="BJ107" s="38">
        <f t="shared" si="86"/>
        <v>0</v>
      </c>
      <c r="BK107" s="38">
        <f t="shared" si="87"/>
        <v>0</v>
      </c>
      <c r="BL107" s="41">
        <f t="shared" si="88"/>
        <v>2.9999999999999996</v>
      </c>
      <c r="BM107" s="42">
        <f t="shared" si="111"/>
        <v>4</v>
      </c>
      <c r="BN107" s="38">
        <f t="shared" si="89"/>
        <v>0.12495556203053135</v>
      </c>
      <c r="BO107" s="38">
        <f t="shared" si="90"/>
        <v>1.1580445509113649E-3</v>
      </c>
      <c r="BQ107" s="38">
        <f t="shared" si="91"/>
        <v>6.2083888149134488E-3</v>
      </c>
      <c r="BR107" s="38">
        <f t="shared" si="92"/>
        <v>0.14146219328993492</v>
      </c>
      <c r="BS107" s="38">
        <f t="shared" si="93"/>
        <v>4.7665751275009813E-2</v>
      </c>
      <c r="BT107" s="38">
        <f t="shared" si="94"/>
        <v>2.2106717547207052E-3</v>
      </c>
      <c r="BU107" s="38">
        <f t="shared" si="95"/>
        <v>1.0893528183716075</v>
      </c>
      <c r="BV107" s="38">
        <f t="shared" si="96"/>
        <v>2.466873414152805E-3</v>
      </c>
      <c r="BW107" s="38">
        <f t="shared" si="97"/>
        <v>3.5732009925558313E-3</v>
      </c>
      <c r="BX107" s="38">
        <f t="shared" si="98"/>
        <v>4.9928673323823114E-4</v>
      </c>
      <c r="BY107" s="38">
        <f t="shared" si="99"/>
        <v>0</v>
      </c>
      <c r="BZ107" s="38">
        <f t="shared" si="100"/>
        <v>0</v>
      </c>
      <c r="CA107" s="38">
        <f t="shared" si="101"/>
        <v>0</v>
      </c>
      <c r="CB107" s="38">
        <f t="shared" si="102"/>
        <v>0</v>
      </c>
      <c r="CC107" s="38">
        <f t="shared" si="103"/>
        <v>0</v>
      </c>
      <c r="CD107" s="38">
        <f t="shared" si="104"/>
        <v>1.2934391846461333</v>
      </c>
      <c r="CE107" s="38">
        <f t="shared" si="105"/>
        <v>1.4660479782658469</v>
      </c>
      <c r="CF107" s="38">
        <f t="shared" si="106"/>
        <v>2.3193978005396194</v>
      </c>
      <c r="CG107" s="38">
        <f t="shared" si="107"/>
        <v>3.4003484562753612</v>
      </c>
    </row>
    <row r="108" spans="1:85" ht="15" customHeight="1" x14ac:dyDescent="0.25">
      <c r="A108" s="35" t="s">
        <v>188</v>
      </c>
      <c r="B108" s="15">
        <v>374</v>
      </c>
      <c r="C108" s="102" t="s">
        <v>98</v>
      </c>
      <c r="D108" s="103" t="s">
        <v>106</v>
      </c>
      <c r="E108" s="15">
        <v>44</v>
      </c>
      <c r="F108" s="15" t="s">
        <v>279</v>
      </c>
      <c r="G108" s="16">
        <v>1.4E-2</v>
      </c>
      <c r="H108" s="16">
        <v>52.21</v>
      </c>
      <c r="I108" s="16">
        <v>7.4999999999999997E-2</v>
      </c>
      <c r="J108" s="16">
        <v>0</v>
      </c>
      <c r="K108" s="16">
        <v>42.15</v>
      </c>
      <c r="L108" s="16">
        <v>0.81</v>
      </c>
      <c r="M108" s="16">
        <v>1.619</v>
      </c>
      <c r="N108" s="16">
        <v>2.5000000000000001E-2</v>
      </c>
      <c r="O108" s="16">
        <v>4.1000000000000002E-2</v>
      </c>
      <c r="P108" s="16">
        <v>0</v>
      </c>
      <c r="Q108" s="16">
        <v>0</v>
      </c>
      <c r="T108" s="16">
        <f t="shared" si="57"/>
        <v>96.944000000000017</v>
      </c>
      <c r="U108" s="16"/>
      <c r="V108" s="16">
        <f t="shared" si="108"/>
        <v>42.15</v>
      </c>
      <c r="W108" s="16">
        <f t="shared" si="109"/>
        <v>0</v>
      </c>
      <c r="X108" s="16">
        <f t="shared" si="110"/>
        <v>96.944000000000003</v>
      </c>
      <c r="AD108" s="15">
        <v>3</v>
      </c>
      <c r="AE108" s="15">
        <v>2</v>
      </c>
      <c r="AG108" s="38">
        <f t="shared" si="58"/>
        <v>3.5863953775634158E-4</v>
      </c>
      <c r="AH108" s="38">
        <f t="shared" si="59"/>
        <v>1.005948370409915</v>
      </c>
      <c r="AI108" s="38">
        <f t="shared" si="60"/>
        <v>2.2642349340498726E-3</v>
      </c>
      <c r="AJ108" s="38">
        <f t="shared" si="61"/>
        <v>0</v>
      </c>
      <c r="AK108" s="38">
        <f t="shared" si="62"/>
        <v>0.90288172135113043</v>
      </c>
      <c r="AL108" s="38">
        <f t="shared" si="63"/>
        <v>1.7573322905679659E-2</v>
      </c>
      <c r="AM108" s="38">
        <f t="shared" si="64"/>
        <v>6.1830371660016342E-2</v>
      </c>
      <c r="AN108" s="38">
        <f t="shared" si="65"/>
        <v>6.8610732844663874E-4</v>
      </c>
      <c r="AO108" s="38">
        <f t="shared" si="66"/>
        <v>2.0362089166192808E-3</v>
      </c>
      <c r="AP108" s="38">
        <f t="shared" si="67"/>
        <v>0</v>
      </c>
      <c r="AQ108" s="38">
        <f t="shared" si="68"/>
        <v>0</v>
      </c>
      <c r="AR108" s="38">
        <f t="shared" si="69"/>
        <v>0</v>
      </c>
      <c r="AS108" s="38">
        <f t="shared" si="70"/>
        <v>0</v>
      </c>
      <c r="AT108" s="39">
        <f t="shared" si="71"/>
        <v>1.9935789770436134</v>
      </c>
      <c r="AU108" s="38">
        <f t="shared" si="72"/>
        <v>2.6228744718062142E-3</v>
      </c>
      <c r="AV108" s="38">
        <f t="shared" si="73"/>
        <v>2.7223162450659196E-3</v>
      </c>
      <c r="AW108" s="40"/>
      <c r="AX108" s="38">
        <f t="shared" si="74"/>
        <v>3.5979466265057388E-4</v>
      </c>
      <c r="AY108" s="38">
        <f t="shared" si="75"/>
        <v>1.0091883812917113</v>
      </c>
      <c r="AZ108" s="38">
        <f t="shared" si="76"/>
        <v>2.2715276998031241E-3</v>
      </c>
      <c r="BA108" s="38">
        <f t="shared" si="77"/>
        <v>0</v>
      </c>
      <c r="BB108" s="38">
        <f t="shared" si="78"/>
        <v>0.9057897698039159</v>
      </c>
      <c r="BC108" s="38">
        <f t="shared" si="79"/>
        <v>0</v>
      </c>
      <c r="BD108" s="38">
        <f t="shared" si="80"/>
        <v>1.7629923978973828E-2</v>
      </c>
      <c r="BE108" s="38">
        <f t="shared" si="81"/>
        <v>6.202951813999158E-2</v>
      </c>
      <c r="BF108" s="38">
        <f t="shared" si="82"/>
        <v>6.8831717864932995E-4</v>
      </c>
      <c r="BG108" s="38">
        <f t="shared" si="83"/>
        <v>2.042767244304397E-3</v>
      </c>
      <c r="BH108" s="38">
        <f t="shared" si="84"/>
        <v>0</v>
      </c>
      <c r="BI108" s="38">
        <f t="shared" si="85"/>
        <v>0</v>
      </c>
      <c r="BJ108" s="38">
        <f t="shared" si="86"/>
        <v>0</v>
      </c>
      <c r="BK108" s="38">
        <f t="shared" si="87"/>
        <v>0</v>
      </c>
      <c r="BL108" s="41">
        <f t="shared" si="88"/>
        <v>2</v>
      </c>
      <c r="BM108" s="42">
        <f t="shared" si="111"/>
        <v>3.0096625561821111</v>
      </c>
      <c r="BN108" s="38">
        <f t="shared" si="89"/>
        <v>2.6313223624536979E-3</v>
      </c>
      <c r="BO108" s="38">
        <f t="shared" si="90"/>
        <v>2.7310844229537271E-3</v>
      </c>
      <c r="BQ108" s="38">
        <f t="shared" si="91"/>
        <v>2.3302263648468711E-4</v>
      </c>
      <c r="BR108" s="38">
        <f t="shared" si="92"/>
        <v>0.65360540811216827</v>
      </c>
      <c r="BS108" s="38">
        <f t="shared" si="93"/>
        <v>1.4711651628089447E-3</v>
      </c>
      <c r="BT108" s="38">
        <f t="shared" si="94"/>
        <v>0</v>
      </c>
      <c r="BU108" s="38">
        <f t="shared" si="95"/>
        <v>0.58663883089770352</v>
      </c>
      <c r="BV108" s="38">
        <f t="shared" si="96"/>
        <v>1.1418099802650128E-2</v>
      </c>
      <c r="BW108" s="38">
        <f t="shared" si="97"/>
        <v>4.0173697270471466E-2</v>
      </c>
      <c r="BX108" s="38">
        <f t="shared" si="98"/>
        <v>4.4579172610556349E-4</v>
      </c>
      <c r="BY108" s="38">
        <f t="shared" si="99"/>
        <v>1.3230074217489515E-3</v>
      </c>
      <c r="BZ108" s="38">
        <f t="shared" si="100"/>
        <v>0</v>
      </c>
      <c r="CA108" s="38">
        <f t="shared" si="101"/>
        <v>0</v>
      </c>
      <c r="CB108" s="38">
        <f t="shared" si="102"/>
        <v>0</v>
      </c>
      <c r="CC108" s="38">
        <f t="shared" si="103"/>
        <v>0</v>
      </c>
      <c r="CD108" s="38">
        <f t="shared" si="104"/>
        <v>1.2953090230301416</v>
      </c>
      <c r="CE108" s="38">
        <f t="shared" si="105"/>
        <v>1.9492215326493243</v>
      </c>
      <c r="CF108" s="38">
        <f t="shared" si="106"/>
        <v>1.5440330951461769</v>
      </c>
      <c r="CG108" s="38">
        <f t="shared" si="107"/>
        <v>3.0096625561821111</v>
      </c>
    </row>
    <row r="109" spans="1:85" ht="15" customHeight="1" x14ac:dyDescent="0.25">
      <c r="A109" s="35" t="s">
        <v>188</v>
      </c>
      <c r="B109" s="15">
        <v>399</v>
      </c>
      <c r="C109" s="102" t="s">
        <v>98</v>
      </c>
      <c r="D109" s="103" t="s">
        <v>106</v>
      </c>
      <c r="E109" s="15">
        <v>69</v>
      </c>
      <c r="F109" s="15" t="s">
        <v>279</v>
      </c>
      <c r="G109" s="16">
        <v>3.2000000000000001E-2</v>
      </c>
      <c r="H109" s="16">
        <v>51.61</v>
      </c>
      <c r="I109" s="16">
        <v>5.7000000000000002E-2</v>
      </c>
      <c r="J109" s="16">
        <v>4.4999999999999998E-2</v>
      </c>
      <c r="K109" s="16">
        <v>39.85</v>
      </c>
      <c r="L109" s="16">
        <v>1.51</v>
      </c>
      <c r="M109" s="16">
        <v>3.09</v>
      </c>
      <c r="N109" s="16">
        <v>4.9000000000000002E-2</v>
      </c>
      <c r="O109" s="16">
        <v>0.04</v>
      </c>
      <c r="P109" s="16">
        <v>0</v>
      </c>
      <c r="Q109" s="16">
        <v>0</v>
      </c>
      <c r="T109" s="16">
        <f t="shared" si="57"/>
        <v>96.283000000000015</v>
      </c>
      <c r="U109" s="16"/>
      <c r="V109" s="16">
        <f t="shared" si="108"/>
        <v>39.173410585462442</v>
      </c>
      <c r="W109" s="16">
        <f t="shared" si="109"/>
        <v>0.75189381637558927</v>
      </c>
      <c r="X109" s="16">
        <f t="shared" si="110"/>
        <v>96.358304401838041</v>
      </c>
      <c r="AD109" s="15">
        <v>3</v>
      </c>
      <c r="AE109" s="15">
        <v>2</v>
      </c>
      <c r="AG109" s="38">
        <f t="shared" si="58"/>
        <v>8.1945126372657922E-4</v>
      </c>
      <c r="AH109" s="38">
        <f t="shared" si="59"/>
        <v>0.99402859509318642</v>
      </c>
      <c r="AI109" s="38">
        <f t="shared" si="60"/>
        <v>1.7201966578238369E-3</v>
      </c>
      <c r="AJ109" s="38">
        <f t="shared" si="61"/>
        <v>9.1102557594709317E-4</v>
      </c>
      <c r="AK109" s="38">
        <f t="shared" si="62"/>
        <v>0.85330566379567296</v>
      </c>
      <c r="AL109" s="38">
        <f t="shared" si="63"/>
        <v>3.2748305877452005E-2</v>
      </c>
      <c r="AM109" s="38">
        <f t="shared" si="64"/>
        <v>0.11796590620913538</v>
      </c>
      <c r="AN109" s="38">
        <f t="shared" si="65"/>
        <v>1.3442843729437584E-3</v>
      </c>
      <c r="AO109" s="38">
        <f t="shared" si="66"/>
        <v>1.9858273606281414E-3</v>
      </c>
      <c r="AP109" s="38">
        <f t="shared" si="67"/>
        <v>0</v>
      </c>
      <c r="AQ109" s="38">
        <f t="shared" si="68"/>
        <v>0</v>
      </c>
      <c r="AR109" s="38">
        <f t="shared" si="69"/>
        <v>0</v>
      </c>
      <c r="AS109" s="38">
        <f t="shared" si="70"/>
        <v>0</v>
      </c>
      <c r="AT109" s="39">
        <f t="shared" si="71"/>
        <v>2.0048292562065169</v>
      </c>
      <c r="AU109" s="38">
        <f t="shared" si="72"/>
        <v>2.5396479215504162E-3</v>
      </c>
      <c r="AV109" s="38">
        <f t="shared" si="73"/>
        <v>3.3301117335718996E-3</v>
      </c>
      <c r="AW109" s="40"/>
      <c r="AX109" s="38">
        <f t="shared" si="74"/>
        <v>8.174773599195404E-4</v>
      </c>
      <c r="AY109" s="38">
        <f t="shared" si="75"/>
        <v>0.99163416736451715</v>
      </c>
      <c r="AZ109" s="38">
        <f t="shared" si="76"/>
        <v>1.7160530279558535E-3</v>
      </c>
      <c r="BA109" s="38">
        <f t="shared" si="77"/>
        <v>9.0883108686363773E-4</v>
      </c>
      <c r="BB109" s="38">
        <f t="shared" si="78"/>
        <v>0.83679734080029422</v>
      </c>
      <c r="BC109" s="38">
        <f t="shared" si="79"/>
        <v>1.4452870312720911E-2</v>
      </c>
      <c r="BD109" s="38">
        <f t="shared" si="80"/>
        <v>3.2669421374483996E-2</v>
      </c>
      <c r="BE109" s="38">
        <f t="shared" si="81"/>
        <v>0.11768174855184156</v>
      </c>
      <c r="BF109" s="38">
        <f t="shared" si="82"/>
        <v>1.3410462449928301E-3</v>
      </c>
      <c r="BG109" s="38">
        <f t="shared" si="83"/>
        <v>1.9810438764103736E-3</v>
      </c>
      <c r="BH109" s="38">
        <f t="shared" si="84"/>
        <v>0</v>
      </c>
      <c r="BI109" s="38">
        <f t="shared" si="85"/>
        <v>0</v>
      </c>
      <c r="BJ109" s="38">
        <f t="shared" si="86"/>
        <v>0</v>
      </c>
      <c r="BK109" s="38">
        <f t="shared" si="87"/>
        <v>0</v>
      </c>
      <c r="BL109" s="41">
        <f t="shared" si="88"/>
        <v>2</v>
      </c>
      <c r="BM109" s="42">
        <f t="shared" si="111"/>
        <v>3.0000000000000022</v>
      </c>
      <c r="BN109" s="38">
        <f t="shared" si="89"/>
        <v>2.5335303878753941E-3</v>
      </c>
      <c r="BO109" s="38">
        <f t="shared" si="90"/>
        <v>3.3220901214032037E-3</v>
      </c>
      <c r="BQ109" s="38">
        <f t="shared" si="91"/>
        <v>5.3262316910785627E-4</v>
      </c>
      <c r="BR109" s="38">
        <f t="shared" si="92"/>
        <v>0.64609414121181774</v>
      </c>
      <c r="BS109" s="38">
        <f t="shared" si="93"/>
        <v>1.1180855237347982E-3</v>
      </c>
      <c r="BT109" s="38">
        <f t="shared" si="94"/>
        <v>5.9214422001447459E-4</v>
      </c>
      <c r="BU109" s="38">
        <f t="shared" si="95"/>
        <v>0.55462769659011835</v>
      </c>
      <c r="BV109" s="38">
        <f t="shared" si="96"/>
        <v>2.128559345926135E-2</v>
      </c>
      <c r="BW109" s="38">
        <f t="shared" si="97"/>
        <v>7.6674937965260551E-2</v>
      </c>
      <c r="BX109" s="38">
        <f t="shared" si="98"/>
        <v>8.7375178316690446E-4</v>
      </c>
      <c r="BY109" s="38">
        <f t="shared" si="99"/>
        <v>1.2907389480477575E-3</v>
      </c>
      <c r="BZ109" s="38">
        <f t="shared" si="100"/>
        <v>0</v>
      </c>
      <c r="CA109" s="38">
        <f t="shared" si="101"/>
        <v>0</v>
      </c>
      <c r="CB109" s="38">
        <f t="shared" si="102"/>
        <v>0</v>
      </c>
      <c r="CC109" s="38">
        <f t="shared" si="103"/>
        <v>0</v>
      </c>
      <c r="CD109" s="38">
        <f t="shared" si="104"/>
        <v>1.3030897128705297</v>
      </c>
      <c r="CE109" s="38">
        <f t="shared" si="105"/>
        <v>1.9499262226493059</v>
      </c>
      <c r="CF109" s="38">
        <f t="shared" si="106"/>
        <v>1.5348137432489368</v>
      </c>
      <c r="CG109" s="38">
        <f t="shared" si="107"/>
        <v>2.9927735648436409</v>
      </c>
    </row>
    <row r="110" spans="1:85" ht="15" customHeight="1" x14ac:dyDescent="0.25">
      <c r="A110" s="35" t="s">
        <v>188</v>
      </c>
      <c r="B110" s="15">
        <v>400</v>
      </c>
      <c r="C110" s="102" t="s">
        <v>98</v>
      </c>
      <c r="D110" s="103" t="s">
        <v>106</v>
      </c>
      <c r="E110" s="15">
        <v>70</v>
      </c>
      <c r="F110" s="15" t="s">
        <v>272</v>
      </c>
      <c r="G110" s="16">
        <v>0.05</v>
      </c>
      <c r="H110" s="16">
        <v>10.23</v>
      </c>
      <c r="I110" s="16">
        <v>3.04</v>
      </c>
      <c r="J110" s="16">
        <v>1.427</v>
      </c>
      <c r="K110" s="16">
        <v>75.44</v>
      </c>
      <c r="L110" s="16">
        <v>0.49099999999999999</v>
      </c>
      <c r="M110" s="16">
        <v>0.88200000000000001</v>
      </c>
      <c r="N110" s="16">
        <v>7.3999999999999996E-2</v>
      </c>
      <c r="O110" s="16">
        <v>0</v>
      </c>
      <c r="P110" s="16">
        <v>0</v>
      </c>
      <c r="Q110" s="16">
        <v>0</v>
      </c>
      <c r="T110" s="16">
        <f t="shared" si="57"/>
        <v>91.634</v>
      </c>
      <c r="U110" s="16"/>
      <c r="V110" s="16">
        <f t="shared" si="108"/>
        <v>37.930041277696276</v>
      </c>
      <c r="W110" s="16">
        <f t="shared" si="109"/>
        <v>41.684817128096121</v>
      </c>
      <c r="X110" s="16">
        <f t="shared" si="110"/>
        <v>95.808858405792407</v>
      </c>
      <c r="AD110" s="15">
        <v>4</v>
      </c>
      <c r="AE110" s="15">
        <v>3</v>
      </c>
      <c r="AG110" s="38">
        <f t="shared" si="58"/>
        <v>2.2871083461403372E-3</v>
      </c>
      <c r="AH110" s="38">
        <f t="shared" si="59"/>
        <v>0.35195264705343526</v>
      </c>
      <c r="AI110" s="38">
        <f t="shared" si="60"/>
        <v>0.16387790784063508</v>
      </c>
      <c r="AJ110" s="38">
        <f t="shared" si="61"/>
        <v>5.1604266829483797E-2</v>
      </c>
      <c r="AK110" s="38">
        <f t="shared" si="62"/>
        <v>2.8855032357022266</v>
      </c>
      <c r="AL110" s="38">
        <f t="shared" si="63"/>
        <v>1.9021158582782836E-2</v>
      </c>
      <c r="AM110" s="38">
        <f t="shared" si="64"/>
        <v>6.0146477440521248E-2</v>
      </c>
      <c r="AN110" s="38">
        <f t="shared" si="65"/>
        <v>3.6263554701398883E-3</v>
      </c>
      <c r="AO110" s="38">
        <f t="shared" si="66"/>
        <v>0</v>
      </c>
      <c r="AP110" s="38">
        <f t="shared" si="67"/>
        <v>0</v>
      </c>
      <c r="AQ110" s="38">
        <f t="shared" si="68"/>
        <v>0</v>
      </c>
      <c r="AR110" s="38">
        <f t="shared" si="69"/>
        <v>0</v>
      </c>
      <c r="AS110" s="38">
        <f t="shared" si="70"/>
        <v>0</v>
      </c>
      <c r="AT110" s="39">
        <f t="shared" si="71"/>
        <v>3.538019157265365</v>
      </c>
      <c r="AU110" s="38">
        <f t="shared" si="72"/>
        <v>0.16616501618677543</v>
      </c>
      <c r="AV110" s="38">
        <f t="shared" si="73"/>
        <v>3.6263554701398883E-3</v>
      </c>
      <c r="AW110" s="40"/>
      <c r="AX110" s="38">
        <f t="shared" si="74"/>
        <v>1.9393125739105162E-3</v>
      </c>
      <c r="AY110" s="38">
        <f t="shared" si="75"/>
        <v>0.29843194573779752</v>
      </c>
      <c r="AZ110" s="38">
        <f t="shared" si="76"/>
        <v>0.13895733789692161</v>
      </c>
      <c r="BA110" s="38">
        <f t="shared" si="77"/>
        <v>4.3756914139523921E-2</v>
      </c>
      <c r="BB110" s="38">
        <f t="shared" si="78"/>
        <v>1.2301675755616368</v>
      </c>
      <c r="BC110" s="38">
        <f t="shared" si="79"/>
        <v>1.2165432313401379</v>
      </c>
      <c r="BD110" s="38">
        <f t="shared" si="80"/>
        <v>1.6128650867016352E-2</v>
      </c>
      <c r="BE110" s="38">
        <f t="shared" si="81"/>
        <v>5.1000128688118929E-2</v>
      </c>
      <c r="BF110" s="38">
        <f t="shared" si="82"/>
        <v>3.0749031949358916E-3</v>
      </c>
      <c r="BG110" s="38">
        <f t="shared" si="83"/>
        <v>0</v>
      </c>
      <c r="BH110" s="38">
        <f t="shared" si="84"/>
        <v>0</v>
      </c>
      <c r="BI110" s="38">
        <f t="shared" si="85"/>
        <v>0</v>
      </c>
      <c r="BJ110" s="38">
        <f t="shared" si="86"/>
        <v>0</v>
      </c>
      <c r="BK110" s="38">
        <f t="shared" si="87"/>
        <v>0</v>
      </c>
      <c r="BL110" s="41">
        <f t="shared" si="88"/>
        <v>2.9999999999999996</v>
      </c>
      <c r="BM110" s="42">
        <f t="shared" si="111"/>
        <v>3.9999999999999991</v>
      </c>
      <c r="BN110" s="38">
        <f t="shared" si="89"/>
        <v>0.14089665047083214</v>
      </c>
      <c r="BO110" s="38">
        <f t="shared" si="90"/>
        <v>3.0749031949358916E-3</v>
      </c>
      <c r="BQ110" s="38">
        <f t="shared" si="91"/>
        <v>8.3222370173102538E-4</v>
      </c>
      <c r="BR110" s="38">
        <f t="shared" si="92"/>
        <v>0.12806710065097648</v>
      </c>
      <c r="BS110" s="38">
        <f t="shared" si="93"/>
        <v>5.9631227932522561E-2</v>
      </c>
      <c r="BT110" s="38">
        <f t="shared" si="94"/>
        <v>1.877755115468123E-2</v>
      </c>
      <c r="BU110" s="38">
        <f t="shared" si="95"/>
        <v>1.0499652052887962</v>
      </c>
      <c r="BV110" s="38">
        <f t="shared" si="96"/>
        <v>6.9213419791372991E-3</v>
      </c>
      <c r="BW110" s="38">
        <f t="shared" si="97"/>
        <v>2.1885856079404468E-2</v>
      </c>
      <c r="BX110" s="38">
        <f t="shared" si="98"/>
        <v>1.3195435092724678E-3</v>
      </c>
      <c r="BY110" s="38">
        <f t="shared" si="99"/>
        <v>0</v>
      </c>
      <c r="BZ110" s="38">
        <f t="shared" si="100"/>
        <v>0</v>
      </c>
      <c r="CA110" s="38">
        <f t="shared" si="101"/>
        <v>0</v>
      </c>
      <c r="CB110" s="38">
        <f t="shared" si="102"/>
        <v>0</v>
      </c>
      <c r="CC110" s="38">
        <f t="shared" si="103"/>
        <v>0</v>
      </c>
      <c r="CD110" s="38">
        <f t="shared" si="104"/>
        <v>1.2874000502965219</v>
      </c>
      <c r="CE110" s="38">
        <f t="shared" si="105"/>
        <v>1.4555037641928312</v>
      </c>
      <c r="CF110" s="38">
        <f t="shared" si="106"/>
        <v>2.330277988810876</v>
      </c>
      <c r="CG110" s="38">
        <f t="shared" si="107"/>
        <v>3.3917283843299302</v>
      </c>
    </row>
    <row r="111" spans="1:85" ht="15" customHeight="1" x14ac:dyDescent="0.25">
      <c r="A111" s="35" t="s">
        <v>84</v>
      </c>
      <c r="B111" s="15">
        <v>204</v>
      </c>
      <c r="C111" s="102" t="s">
        <v>97</v>
      </c>
      <c r="D111" s="103" t="s">
        <v>104</v>
      </c>
      <c r="E111" s="15">
        <v>36</v>
      </c>
      <c r="F111" s="15" t="s">
        <v>274</v>
      </c>
      <c r="G111" s="16">
        <v>30.34</v>
      </c>
      <c r="H111" s="16">
        <v>38.630000000000003</v>
      </c>
      <c r="I111" s="16">
        <v>0.54300000000000004</v>
      </c>
      <c r="J111" s="16">
        <v>3.5000000000000003E-2</v>
      </c>
      <c r="K111" s="16">
        <v>0.97099999999999997</v>
      </c>
      <c r="L111" s="16">
        <v>5.2999999999999999E-2</v>
      </c>
      <c r="M111" s="16">
        <v>2.3E-2</v>
      </c>
      <c r="N111" s="16">
        <v>27.97</v>
      </c>
      <c r="O111" s="16">
        <v>7.2999999999999995E-2</v>
      </c>
      <c r="P111" s="16">
        <v>0</v>
      </c>
      <c r="Q111" s="16">
        <v>0</v>
      </c>
      <c r="T111" s="16">
        <f t="shared" si="57"/>
        <v>98.637999999999991</v>
      </c>
      <c r="U111" s="16"/>
      <c r="V111" s="16">
        <f t="shared" si="108"/>
        <v>0</v>
      </c>
      <c r="W111" s="16">
        <f t="shared" si="109"/>
        <v>1.0790723</v>
      </c>
      <c r="X111" s="16">
        <f t="shared" si="110"/>
        <v>98.746072300000009</v>
      </c>
      <c r="AB111" s="15" t="s">
        <v>185</v>
      </c>
      <c r="AD111" s="15">
        <v>5</v>
      </c>
      <c r="AE111" s="15">
        <v>3</v>
      </c>
      <c r="AG111" s="38">
        <f t="shared" si="58"/>
        <v>1.0065174794218104</v>
      </c>
      <c r="AH111" s="38">
        <f t="shared" si="59"/>
        <v>0.96387856150667894</v>
      </c>
      <c r="AI111" s="38">
        <f t="shared" si="60"/>
        <v>2.122929966129173E-2</v>
      </c>
      <c r="AJ111" s="38">
        <f t="shared" si="61"/>
        <v>9.1794929771217689E-4</v>
      </c>
      <c r="AK111" s="38">
        <f t="shared" si="62"/>
        <v>2.6935691313302482E-2</v>
      </c>
      <c r="AL111" s="38">
        <f t="shared" si="63"/>
        <v>1.4890879675463187E-3</v>
      </c>
      <c r="AM111" s="38">
        <f t="shared" si="64"/>
        <v>1.137518474464125E-3</v>
      </c>
      <c r="AN111" s="38">
        <f t="shared" si="65"/>
        <v>0.99407723961862826</v>
      </c>
      <c r="AO111" s="38">
        <f t="shared" si="66"/>
        <v>4.6950146611473668E-3</v>
      </c>
      <c r="AP111" s="38">
        <f t="shared" si="67"/>
        <v>0</v>
      </c>
      <c r="AQ111" s="38">
        <f t="shared" si="68"/>
        <v>0</v>
      </c>
      <c r="AR111" s="38">
        <f t="shared" si="69"/>
        <v>0</v>
      </c>
      <c r="AS111" s="38">
        <f t="shared" si="70"/>
        <v>0</v>
      </c>
      <c r="AT111" s="39">
        <f t="shared" si="71"/>
        <v>3.0208778419225819</v>
      </c>
      <c r="AU111" s="38">
        <f t="shared" si="72"/>
        <v>1.0277467790831021</v>
      </c>
      <c r="AV111" s="38">
        <f t="shared" si="73"/>
        <v>0.99877225427977567</v>
      </c>
      <c r="AW111" s="40"/>
      <c r="AX111" s="38">
        <f t="shared" si="74"/>
        <v>0.99956125215036618</v>
      </c>
      <c r="AY111" s="38">
        <f t="shared" si="75"/>
        <v>0.95721701963284589</v>
      </c>
      <c r="AZ111" s="38">
        <f t="shared" si="76"/>
        <v>2.1082580069951524E-2</v>
      </c>
      <c r="BA111" s="38">
        <f t="shared" si="77"/>
        <v>9.1160518142100551E-4</v>
      </c>
      <c r="BB111" s="38">
        <f t="shared" si="78"/>
        <v>0</v>
      </c>
      <c r="BC111" s="38">
        <f t="shared" si="79"/>
        <v>2.6749533800572118E-2</v>
      </c>
      <c r="BD111" s="38">
        <f t="shared" si="80"/>
        <v>1.4787966069478165E-3</v>
      </c>
      <c r="BE111" s="38">
        <f t="shared" si="81"/>
        <v>1.1296568752414422E-3</v>
      </c>
      <c r="BF111" s="38">
        <f t="shared" si="82"/>
        <v>0.98720698913064919</v>
      </c>
      <c r="BG111" s="38">
        <f t="shared" si="83"/>
        <v>4.662566552005273E-3</v>
      </c>
      <c r="BH111" s="38">
        <f t="shared" si="84"/>
        <v>0</v>
      </c>
      <c r="BI111" s="38">
        <f t="shared" si="85"/>
        <v>0</v>
      </c>
      <c r="BJ111" s="38">
        <f t="shared" si="86"/>
        <v>0</v>
      </c>
      <c r="BK111" s="38">
        <f t="shared" si="87"/>
        <v>0</v>
      </c>
      <c r="BL111" s="41">
        <f t="shared" si="88"/>
        <v>3.0000000000000004</v>
      </c>
      <c r="BM111" s="42">
        <f t="shared" si="111"/>
        <v>4.9788188480331819</v>
      </c>
      <c r="BN111" s="38">
        <f t="shared" si="89"/>
        <v>1.0206438322203177</v>
      </c>
      <c r="BO111" s="38">
        <f t="shared" si="90"/>
        <v>0.99186955568265445</v>
      </c>
      <c r="BQ111" s="38">
        <f t="shared" si="91"/>
        <v>0.50499334221038616</v>
      </c>
      <c r="BR111" s="38">
        <f t="shared" si="92"/>
        <v>0.48360040060090143</v>
      </c>
      <c r="BS111" s="38">
        <f t="shared" si="93"/>
        <v>1.0651235778736761E-2</v>
      </c>
      <c r="BT111" s="38">
        <f t="shared" si="94"/>
        <v>4.605566155668136E-4</v>
      </c>
      <c r="BU111" s="38">
        <f t="shared" si="95"/>
        <v>1.3514265831593599E-2</v>
      </c>
      <c r="BV111" s="38">
        <f t="shared" si="96"/>
        <v>7.4711023400056387E-4</v>
      </c>
      <c r="BW111" s="38">
        <f t="shared" si="97"/>
        <v>5.7071960297766749E-4</v>
      </c>
      <c r="BX111" s="38">
        <f t="shared" si="98"/>
        <v>0.49875178316690444</v>
      </c>
      <c r="BY111" s="38">
        <f t="shared" si="99"/>
        <v>2.355598580187157E-3</v>
      </c>
      <c r="BZ111" s="38">
        <f t="shared" si="100"/>
        <v>0</v>
      </c>
      <c r="CA111" s="38">
        <f t="shared" si="101"/>
        <v>0</v>
      </c>
      <c r="CB111" s="38">
        <f t="shared" si="102"/>
        <v>0</v>
      </c>
      <c r="CC111" s="38">
        <f t="shared" si="103"/>
        <v>0</v>
      </c>
      <c r="CD111" s="38">
        <f t="shared" si="104"/>
        <v>1.5156450126212544</v>
      </c>
      <c r="CE111" s="38">
        <f t="shared" si="105"/>
        <v>2.5086168523396006</v>
      </c>
      <c r="CF111" s="38">
        <f t="shared" si="106"/>
        <v>1.9793553074882662</v>
      </c>
      <c r="CG111" s="38">
        <f t="shared" si="107"/>
        <v>4.9654440811328966</v>
      </c>
    </row>
    <row r="112" spans="1:85" ht="15" customHeight="1" x14ac:dyDescent="0.25">
      <c r="A112" s="35" t="s">
        <v>84</v>
      </c>
      <c r="B112" s="15">
        <v>218</v>
      </c>
      <c r="C112" s="102" t="s">
        <v>97</v>
      </c>
      <c r="D112" s="103" t="s">
        <v>104</v>
      </c>
      <c r="E112" s="15">
        <v>50</v>
      </c>
      <c r="F112" s="15" t="s">
        <v>274</v>
      </c>
      <c r="G112" s="16">
        <v>30.24</v>
      </c>
      <c r="H112" s="16">
        <v>37.369999999999997</v>
      </c>
      <c r="I112" s="16">
        <v>0.57699999999999996</v>
      </c>
      <c r="J112" s="16">
        <v>0</v>
      </c>
      <c r="K112" s="16">
        <v>1.46</v>
      </c>
      <c r="L112" s="16">
        <v>2.5000000000000001E-2</v>
      </c>
      <c r="M112" s="16">
        <v>2.5000000000000001E-2</v>
      </c>
      <c r="N112" s="16">
        <v>28.42</v>
      </c>
      <c r="O112" s="16">
        <v>2.7E-2</v>
      </c>
      <c r="P112" s="16">
        <v>1.6E-2</v>
      </c>
      <c r="Q112" s="16">
        <v>0</v>
      </c>
      <c r="T112" s="16">
        <f t="shared" si="57"/>
        <v>98.160000000000011</v>
      </c>
      <c r="U112" s="16"/>
      <c r="V112" s="16">
        <f t="shared" si="108"/>
        <v>1.46</v>
      </c>
      <c r="W112" s="16">
        <f t="shared" si="109"/>
        <v>0</v>
      </c>
      <c r="X112" s="16">
        <f t="shared" si="110"/>
        <v>98.16</v>
      </c>
      <c r="AB112" s="15" t="s">
        <v>185</v>
      </c>
      <c r="AD112" s="15">
        <v>5</v>
      </c>
      <c r="AE112" s="15">
        <v>4</v>
      </c>
      <c r="AG112" s="38">
        <f t="shared" si="58"/>
        <v>1.0115281377553995</v>
      </c>
      <c r="AH112" s="38">
        <f t="shared" si="59"/>
        <v>0.94018029979649964</v>
      </c>
      <c r="AI112" s="38">
        <f t="shared" si="60"/>
        <v>2.2745845624133856E-2</v>
      </c>
      <c r="AJ112" s="38">
        <f t="shared" si="61"/>
        <v>0</v>
      </c>
      <c r="AK112" s="38">
        <f t="shared" si="62"/>
        <v>4.0836845644890901E-2</v>
      </c>
      <c r="AL112" s="38">
        <f t="shared" si="63"/>
        <v>7.0823099580231107E-4</v>
      </c>
      <c r="AM112" s="38">
        <f t="shared" si="64"/>
        <v>1.2466974402534977E-3</v>
      </c>
      <c r="AN112" s="38">
        <f t="shared" si="65"/>
        <v>1.0184557720797269</v>
      </c>
      <c r="AO112" s="38">
        <f t="shared" si="66"/>
        <v>1.7509280216067512E-3</v>
      </c>
      <c r="AP112" s="38">
        <f t="shared" si="67"/>
        <v>6.8269257704921878E-4</v>
      </c>
      <c r="AQ112" s="38">
        <f t="shared" si="68"/>
        <v>0</v>
      </c>
      <c r="AR112" s="38">
        <f t="shared" si="69"/>
        <v>0</v>
      </c>
      <c r="AS112" s="38">
        <f t="shared" si="70"/>
        <v>0</v>
      </c>
      <c r="AT112" s="39">
        <f t="shared" si="71"/>
        <v>3.0381354499353632</v>
      </c>
      <c r="AU112" s="38">
        <f t="shared" si="72"/>
        <v>1.0342739833795334</v>
      </c>
      <c r="AV112" s="38">
        <f t="shared" si="73"/>
        <v>1.0208893926783829</v>
      </c>
      <c r="AW112" s="40"/>
      <c r="AX112" s="38">
        <f t="shared" si="74"/>
        <v>1.331774905265557</v>
      </c>
      <c r="AY112" s="38">
        <f t="shared" si="75"/>
        <v>1.2378385562980772</v>
      </c>
      <c r="AZ112" s="38">
        <f t="shared" si="76"/>
        <v>2.9947111969109583E-2</v>
      </c>
      <c r="BA112" s="38">
        <f t="shared" si="77"/>
        <v>0</v>
      </c>
      <c r="BB112" s="38">
        <f t="shared" si="78"/>
        <v>5.3765668210427837E-2</v>
      </c>
      <c r="BC112" s="38">
        <f t="shared" si="79"/>
        <v>0</v>
      </c>
      <c r="BD112" s="38">
        <f t="shared" si="80"/>
        <v>9.3245479995617562E-4</v>
      </c>
      <c r="BE112" s="38">
        <f t="shared" si="81"/>
        <v>1.6413981019575957E-3</v>
      </c>
      <c r="BF112" s="38">
        <f t="shared" si="82"/>
        <v>1.3408958077907882</v>
      </c>
      <c r="BG112" s="38">
        <f t="shared" si="83"/>
        <v>2.3052665695257302E-3</v>
      </c>
      <c r="BH112" s="38">
        <f t="shared" si="84"/>
        <v>8.9883099460064337E-4</v>
      </c>
      <c r="BI112" s="38">
        <f t="shared" si="85"/>
        <v>0</v>
      </c>
      <c r="BJ112" s="38">
        <f t="shared" si="86"/>
        <v>0</v>
      </c>
      <c r="BK112" s="38">
        <f t="shared" si="87"/>
        <v>0</v>
      </c>
      <c r="BL112" s="41">
        <f t="shared" si="88"/>
        <v>3.9999999999999991</v>
      </c>
      <c r="BM112" s="42">
        <f t="shared" ref="BM112:BM118" si="112">(AX112+AY112)*2+(AZ112+BA112+BC112)*1.5+BB112+BD112+BE112+BF112+(BG112+BH112)*0.5+BI112*2.5+BJ112*3  -(0.5*(BK112))</f>
        <v>6.5829849687661248</v>
      </c>
      <c r="BN112" s="38">
        <f t="shared" si="89"/>
        <v>1.3617220172346665</v>
      </c>
      <c r="BO112" s="38">
        <f t="shared" si="90"/>
        <v>1.3440999053549147</v>
      </c>
      <c r="BQ112" s="38">
        <f t="shared" si="91"/>
        <v>0.50332889480692411</v>
      </c>
      <c r="BR112" s="38">
        <f t="shared" si="92"/>
        <v>0.46782674011016523</v>
      </c>
      <c r="BS112" s="38">
        <f t="shared" si="93"/>
        <v>1.1318163985876815E-2</v>
      </c>
      <c r="BT112" s="38">
        <f t="shared" si="94"/>
        <v>0</v>
      </c>
      <c r="BU112" s="38">
        <f t="shared" si="95"/>
        <v>2.0320111343075854E-2</v>
      </c>
      <c r="BV112" s="38">
        <f t="shared" si="96"/>
        <v>3.5241048773611505E-4</v>
      </c>
      <c r="BW112" s="38">
        <f t="shared" si="97"/>
        <v>6.2034739454094304E-4</v>
      </c>
      <c r="BX112" s="38">
        <f t="shared" si="98"/>
        <v>0.50677603423680462</v>
      </c>
      <c r="BY112" s="38">
        <f t="shared" si="99"/>
        <v>8.7124878993223619E-4</v>
      </c>
      <c r="BZ112" s="38">
        <f t="shared" si="100"/>
        <v>3.3970276008492571E-4</v>
      </c>
      <c r="CA112" s="38">
        <f t="shared" si="101"/>
        <v>0</v>
      </c>
      <c r="CB112" s="38">
        <f t="shared" si="102"/>
        <v>0</v>
      </c>
      <c r="CC112" s="38">
        <f t="shared" si="103"/>
        <v>0</v>
      </c>
      <c r="CD112" s="38">
        <f t="shared" si="104"/>
        <v>1.5117536539151408</v>
      </c>
      <c r="CE112" s="38">
        <f t="shared" si="105"/>
        <v>2.4879628950501598</v>
      </c>
      <c r="CF112" s="38">
        <f t="shared" si="106"/>
        <v>2.6459337403556438</v>
      </c>
      <c r="CG112" s="38">
        <f t="shared" si="107"/>
        <v>6.5829849687661248</v>
      </c>
    </row>
    <row r="113" spans="1:85" ht="15" customHeight="1" x14ac:dyDescent="0.25">
      <c r="A113" s="35" t="s">
        <v>84</v>
      </c>
      <c r="B113" s="15">
        <v>219</v>
      </c>
      <c r="C113" s="102" t="s">
        <v>97</v>
      </c>
      <c r="D113" s="103" t="s">
        <v>104</v>
      </c>
      <c r="E113" s="15">
        <v>51</v>
      </c>
      <c r="F113" s="15" t="s">
        <v>274</v>
      </c>
      <c r="G113" s="16">
        <v>30.18</v>
      </c>
      <c r="H113" s="16">
        <v>36.83</v>
      </c>
      <c r="I113" s="16">
        <v>0.64300000000000002</v>
      </c>
      <c r="J113" s="16">
        <v>3.7999999999999999E-2</v>
      </c>
      <c r="K113" s="16">
        <v>1.61</v>
      </c>
      <c r="L113" s="16">
        <v>7.3999999999999996E-2</v>
      </c>
      <c r="M113" s="16">
        <v>2.7E-2</v>
      </c>
      <c r="N113" s="16">
        <v>27.76</v>
      </c>
      <c r="O113" s="16">
        <v>4.2000000000000003E-2</v>
      </c>
      <c r="P113" s="16">
        <v>0</v>
      </c>
      <c r="Q113" s="16">
        <v>0</v>
      </c>
      <c r="T113" s="16">
        <f t="shared" si="57"/>
        <v>97.203999999999994</v>
      </c>
      <c r="U113" s="16"/>
      <c r="V113" s="16">
        <f t="shared" si="108"/>
        <v>0</v>
      </c>
      <c r="W113" s="16">
        <f t="shared" si="109"/>
        <v>1.789193</v>
      </c>
      <c r="X113" s="16">
        <f t="shared" si="110"/>
        <v>97.383192999999991</v>
      </c>
      <c r="AB113" s="15" t="s">
        <v>185</v>
      </c>
      <c r="AD113" s="15">
        <v>5</v>
      </c>
      <c r="AE113" s="15">
        <v>3</v>
      </c>
      <c r="AG113" s="38">
        <f t="shared" si="58"/>
        <v>1.0184013094996833</v>
      </c>
      <c r="AH113" s="38">
        <f t="shared" si="59"/>
        <v>0.93474532182249093</v>
      </c>
      <c r="AI113" s="38">
        <f t="shared" si="60"/>
        <v>2.5570591804123893E-2</v>
      </c>
      <c r="AJ113" s="38">
        <f t="shared" si="61"/>
        <v>1.0137438088926609E-3</v>
      </c>
      <c r="AK113" s="38">
        <f t="shared" si="62"/>
        <v>4.5428535991812048E-2</v>
      </c>
      <c r="AL113" s="38">
        <f t="shared" si="63"/>
        <v>2.1148042437653153E-3</v>
      </c>
      <c r="AM113" s="38">
        <f t="shared" si="64"/>
        <v>1.3582770278395846E-3</v>
      </c>
      <c r="AN113" s="38">
        <f t="shared" si="65"/>
        <v>1.0035548045126823</v>
      </c>
      <c r="AO113" s="38">
        <f t="shared" si="66"/>
        <v>2.7476243200569854E-3</v>
      </c>
      <c r="AP113" s="38">
        <f t="shared" si="67"/>
        <v>0</v>
      </c>
      <c r="AQ113" s="38">
        <f t="shared" si="68"/>
        <v>0</v>
      </c>
      <c r="AR113" s="38">
        <f t="shared" si="69"/>
        <v>0</v>
      </c>
      <c r="AS113" s="38">
        <f t="shared" si="70"/>
        <v>0</v>
      </c>
      <c r="AT113" s="39">
        <f t="shared" si="71"/>
        <v>3.0349350130313471</v>
      </c>
      <c r="AU113" s="38">
        <f t="shared" si="72"/>
        <v>1.0439719013038071</v>
      </c>
      <c r="AV113" s="38">
        <f t="shared" si="73"/>
        <v>1.0063024288327393</v>
      </c>
      <c r="AW113" s="40"/>
      <c r="AX113" s="38">
        <f t="shared" si="74"/>
        <v>1.0066785336030832</v>
      </c>
      <c r="AY113" s="38">
        <f t="shared" si="75"/>
        <v>0.92398550658472012</v>
      </c>
      <c r="AZ113" s="38">
        <f t="shared" si="76"/>
        <v>2.5276249765806554E-2</v>
      </c>
      <c r="BA113" s="38">
        <f t="shared" si="77"/>
        <v>1.0020746452954019E-3</v>
      </c>
      <c r="BB113" s="38">
        <f t="shared" si="78"/>
        <v>0</v>
      </c>
      <c r="BC113" s="38">
        <f t="shared" si="79"/>
        <v>4.4905609968666736E-2</v>
      </c>
      <c r="BD113" s="38">
        <f t="shared" si="80"/>
        <v>2.0904608184539133E-3</v>
      </c>
      <c r="BE113" s="38">
        <f t="shared" si="81"/>
        <v>1.3426419564248728E-3</v>
      </c>
      <c r="BF113" s="38">
        <f t="shared" si="82"/>
        <v>0.99200292612886709</v>
      </c>
      <c r="BG113" s="38">
        <f t="shared" si="83"/>
        <v>2.7159965286827773E-3</v>
      </c>
      <c r="BH113" s="38">
        <f t="shared" si="84"/>
        <v>0</v>
      </c>
      <c r="BI113" s="38">
        <f t="shared" si="85"/>
        <v>0</v>
      </c>
      <c r="BJ113" s="38">
        <f t="shared" si="86"/>
        <v>0</v>
      </c>
      <c r="BK113" s="38">
        <f t="shared" si="87"/>
        <v>0</v>
      </c>
      <c r="BL113" s="41">
        <f t="shared" si="88"/>
        <v>3.0000000000000013</v>
      </c>
      <c r="BM113" s="42">
        <f t="shared" si="112"/>
        <v>4.9648980091133472</v>
      </c>
      <c r="BN113" s="38">
        <f t="shared" si="89"/>
        <v>1.0319547833688898</v>
      </c>
      <c r="BO113" s="38">
        <f t="shared" si="90"/>
        <v>0.99471892265754991</v>
      </c>
      <c r="BQ113" s="38">
        <f t="shared" si="91"/>
        <v>0.50233022636484692</v>
      </c>
      <c r="BR113" s="38">
        <f t="shared" si="92"/>
        <v>0.46106659989984977</v>
      </c>
      <c r="BS113" s="38">
        <f t="shared" si="93"/>
        <v>1.2612789329148687E-2</v>
      </c>
      <c r="BT113" s="38">
        <f t="shared" si="94"/>
        <v>5.0003289690111184E-4</v>
      </c>
      <c r="BU113" s="38">
        <f t="shared" si="95"/>
        <v>2.2407794015309675E-2</v>
      </c>
      <c r="BV113" s="38">
        <f t="shared" si="96"/>
        <v>1.0431350436989006E-3</v>
      </c>
      <c r="BW113" s="38">
        <f t="shared" si="97"/>
        <v>6.6997518610421836E-4</v>
      </c>
      <c r="BX113" s="38">
        <f t="shared" si="98"/>
        <v>0.49500713266761776</v>
      </c>
      <c r="BY113" s="38">
        <f t="shared" si="99"/>
        <v>1.3552758954501454E-3</v>
      </c>
      <c r="BZ113" s="38">
        <f t="shared" si="100"/>
        <v>0</v>
      </c>
      <c r="CA113" s="38">
        <f t="shared" si="101"/>
        <v>0</v>
      </c>
      <c r="CB113" s="38">
        <f t="shared" si="102"/>
        <v>0</v>
      </c>
      <c r="CC113" s="38">
        <f t="shared" si="103"/>
        <v>0</v>
      </c>
      <c r="CD113" s="38">
        <f t="shared" si="104"/>
        <v>1.496992961298927</v>
      </c>
      <c r="CE113" s="38">
        <f t="shared" si="105"/>
        <v>2.4662685607289232</v>
      </c>
      <c r="CF113" s="38">
        <f t="shared" si="106"/>
        <v>2.0040174386637917</v>
      </c>
      <c r="CG113" s="38">
        <f t="shared" si="107"/>
        <v>4.9424452041290126</v>
      </c>
    </row>
    <row r="114" spans="1:85" ht="15" customHeight="1" x14ac:dyDescent="0.25">
      <c r="A114" s="35" t="s">
        <v>84</v>
      </c>
      <c r="B114" s="15">
        <v>220</v>
      </c>
      <c r="C114" s="102" t="s">
        <v>97</v>
      </c>
      <c r="D114" s="103" t="s">
        <v>104</v>
      </c>
      <c r="E114" s="15">
        <v>52</v>
      </c>
      <c r="F114" s="15" t="s">
        <v>275</v>
      </c>
      <c r="G114" s="16">
        <v>0.30599999999999999</v>
      </c>
      <c r="H114" s="16">
        <v>98.91</v>
      </c>
      <c r="I114" s="16">
        <v>2.3E-2</v>
      </c>
      <c r="J114" s="16">
        <v>3.6999999999999998E-2</v>
      </c>
      <c r="K114" s="16">
        <v>0.79900000000000004</v>
      </c>
      <c r="L114" s="16">
        <v>1.6E-2</v>
      </c>
      <c r="M114" s="16">
        <v>1.2E-2</v>
      </c>
      <c r="N114" s="16">
        <v>1.63</v>
      </c>
      <c r="O114" s="16">
        <v>3.1E-2</v>
      </c>
      <c r="P114" s="16">
        <v>0.01</v>
      </c>
      <c r="Q114" s="16">
        <v>0</v>
      </c>
      <c r="T114" s="16">
        <f t="shared" si="57"/>
        <v>101.77400000000002</v>
      </c>
      <c r="U114" s="16"/>
      <c r="V114" s="16">
        <f t="shared" si="108"/>
        <v>0</v>
      </c>
      <c r="W114" s="16">
        <f t="shared" si="109"/>
        <v>0.88792870000000002</v>
      </c>
      <c r="X114" s="16">
        <f t="shared" si="110"/>
        <v>101.8629287</v>
      </c>
      <c r="AB114" s="15" t="s">
        <v>185</v>
      </c>
      <c r="AD114" s="15">
        <v>2</v>
      </c>
      <c r="AE114" s="15">
        <v>1</v>
      </c>
      <c r="AG114" s="38">
        <f t="shared" si="58"/>
        <v>4.0272490002070359E-3</v>
      </c>
      <c r="AH114" s="38">
        <f t="shared" si="59"/>
        <v>0.97908213351553119</v>
      </c>
      <c r="AI114" s="38">
        <f t="shared" si="60"/>
        <v>3.567343952931747E-4</v>
      </c>
      <c r="AJ114" s="38">
        <f t="shared" si="61"/>
        <v>3.8497602557702805E-4</v>
      </c>
      <c r="AK114" s="38">
        <f t="shared" si="62"/>
        <v>8.7929982500770283E-3</v>
      </c>
      <c r="AL114" s="38">
        <f t="shared" si="63"/>
        <v>1.7833877468573367E-4</v>
      </c>
      <c r="AM114" s="38">
        <f t="shared" si="64"/>
        <v>2.3544701010308835E-4</v>
      </c>
      <c r="AN114" s="38">
        <f t="shared" si="65"/>
        <v>2.298246351441656E-2</v>
      </c>
      <c r="AO114" s="38">
        <f t="shared" si="66"/>
        <v>7.9096469216356953E-4</v>
      </c>
      <c r="AP114" s="38">
        <f t="shared" si="67"/>
        <v>1.6787888370761606E-4</v>
      </c>
      <c r="AQ114" s="38">
        <f t="shared" si="68"/>
        <v>0</v>
      </c>
      <c r="AR114" s="38">
        <f t="shared" si="69"/>
        <v>0</v>
      </c>
      <c r="AS114" s="38">
        <f t="shared" si="70"/>
        <v>0</v>
      </c>
      <c r="AT114" s="39">
        <f t="shared" si="71"/>
        <v>1.016999184061762</v>
      </c>
      <c r="AU114" s="38">
        <f t="shared" si="72"/>
        <v>4.3839833955002109E-3</v>
      </c>
      <c r="AV114" s="38">
        <f t="shared" si="73"/>
        <v>2.3941307090287748E-2</v>
      </c>
      <c r="AW114" s="40"/>
      <c r="AX114" s="38">
        <f t="shared" si="74"/>
        <v>3.9599333640787477E-3</v>
      </c>
      <c r="AY114" s="38">
        <f t="shared" si="75"/>
        <v>0.96271673454565099</v>
      </c>
      <c r="AZ114" s="38">
        <f t="shared" si="76"/>
        <v>3.5077156489784388E-4</v>
      </c>
      <c r="BA114" s="38">
        <f t="shared" si="77"/>
        <v>3.7854113514573725E-4</v>
      </c>
      <c r="BB114" s="38">
        <f t="shared" si="78"/>
        <v>0</v>
      </c>
      <c r="BC114" s="38">
        <f t="shared" si="79"/>
        <v>8.6460229151403434E-3</v>
      </c>
      <c r="BD114" s="38">
        <f t="shared" si="80"/>
        <v>1.7535783457905231E-4</v>
      </c>
      <c r="BE114" s="38">
        <f t="shared" si="81"/>
        <v>2.3151150344363471E-4</v>
      </c>
      <c r="BF114" s="38">
        <f t="shared" si="82"/>
        <v>2.2598310671821383E-2</v>
      </c>
      <c r="BG114" s="38">
        <f t="shared" si="83"/>
        <v>7.777436841242681E-4</v>
      </c>
      <c r="BH114" s="38">
        <f t="shared" si="84"/>
        <v>1.6507278111780747E-4</v>
      </c>
      <c r="BI114" s="38">
        <f t="shared" si="85"/>
        <v>0</v>
      </c>
      <c r="BJ114" s="38">
        <f t="shared" si="86"/>
        <v>0</v>
      </c>
      <c r="BK114" s="38">
        <f t="shared" si="87"/>
        <v>0</v>
      </c>
      <c r="BL114" s="41">
        <f t="shared" si="88"/>
        <v>0.99999999999999967</v>
      </c>
      <c r="BM114" s="42">
        <f t="shared" si="112"/>
        <v>1.9708929274847002</v>
      </c>
      <c r="BN114" s="38">
        <f t="shared" si="89"/>
        <v>4.3107049289765912E-3</v>
      </c>
      <c r="BO114" s="38">
        <f t="shared" si="90"/>
        <v>2.354112713706346E-2</v>
      </c>
      <c r="BQ114" s="38">
        <f t="shared" si="91"/>
        <v>5.093209054593875E-3</v>
      </c>
      <c r="BR114" s="38">
        <f t="shared" si="92"/>
        <v>1.2382323485227842</v>
      </c>
      <c r="BS114" s="38">
        <f t="shared" si="93"/>
        <v>4.5115731659474303E-4</v>
      </c>
      <c r="BT114" s="38">
        <f t="shared" si="94"/>
        <v>4.8687413645634578E-4</v>
      </c>
      <c r="BU114" s="38">
        <f t="shared" si="95"/>
        <v>1.1120389700765485E-2</v>
      </c>
      <c r="BV114" s="38">
        <f t="shared" si="96"/>
        <v>2.2554271215111362E-4</v>
      </c>
      <c r="BW114" s="38">
        <f t="shared" si="97"/>
        <v>2.9776674937965266E-4</v>
      </c>
      <c r="BX114" s="38">
        <f t="shared" si="98"/>
        <v>2.9065620542082737E-2</v>
      </c>
      <c r="BY114" s="38">
        <f t="shared" si="99"/>
        <v>1.000322684737012E-3</v>
      </c>
      <c r="BZ114" s="38">
        <f t="shared" si="100"/>
        <v>2.1231422505307856E-4</v>
      </c>
      <c r="CA114" s="38">
        <f t="shared" si="101"/>
        <v>0</v>
      </c>
      <c r="CB114" s="38">
        <f t="shared" si="102"/>
        <v>0</v>
      </c>
      <c r="CC114" s="38">
        <f t="shared" si="103"/>
        <v>0</v>
      </c>
      <c r="CD114" s="38">
        <f t="shared" si="104"/>
        <v>1.2861855456445985</v>
      </c>
      <c r="CE114" s="38">
        <f t="shared" si="105"/>
        <v>2.529373800493607</v>
      </c>
      <c r="CF114" s="38">
        <f t="shared" si="106"/>
        <v>0.77749279906487312</v>
      </c>
      <c r="CG114" s="38">
        <f t="shared" si="107"/>
        <v>1.9665699160271306</v>
      </c>
    </row>
    <row r="115" spans="1:85" ht="15" customHeight="1" x14ac:dyDescent="0.25">
      <c r="A115" s="35" t="s">
        <v>84</v>
      </c>
      <c r="B115" s="15">
        <v>221</v>
      </c>
      <c r="C115" s="102" t="s">
        <v>97</v>
      </c>
      <c r="D115" s="103" t="s">
        <v>104</v>
      </c>
      <c r="E115" s="15">
        <v>53</v>
      </c>
      <c r="F115" s="15" t="s">
        <v>274</v>
      </c>
      <c r="G115" s="16">
        <v>29.87</v>
      </c>
      <c r="H115" s="16">
        <v>36.659999999999997</v>
      </c>
      <c r="I115" s="16">
        <v>0.71699999999999997</v>
      </c>
      <c r="J115" s="16">
        <v>1.0999999999999999E-2</v>
      </c>
      <c r="K115" s="16">
        <v>1.66</v>
      </c>
      <c r="L115" s="16">
        <v>0.01</v>
      </c>
      <c r="M115" s="16">
        <v>0.02</v>
      </c>
      <c r="N115" s="16">
        <v>27.82</v>
      </c>
      <c r="O115" s="16">
        <v>3.4000000000000002E-2</v>
      </c>
      <c r="P115" s="16">
        <v>2.3E-2</v>
      </c>
      <c r="Q115" s="16">
        <v>0</v>
      </c>
      <c r="T115" s="16">
        <f t="shared" si="57"/>
        <v>96.825000000000003</v>
      </c>
      <c r="U115" s="16"/>
      <c r="V115" s="16">
        <f t="shared" si="108"/>
        <v>0</v>
      </c>
      <c r="W115" s="16">
        <f t="shared" si="109"/>
        <v>1.8447579999999999</v>
      </c>
      <c r="X115" s="16">
        <f t="shared" si="110"/>
        <v>97.009757999999991</v>
      </c>
      <c r="AB115" s="15" t="s">
        <v>185</v>
      </c>
      <c r="AD115" s="15">
        <v>5</v>
      </c>
      <c r="AE115" s="15">
        <v>3</v>
      </c>
      <c r="AG115" s="38">
        <f t="shared" si="58"/>
        <v>1.0129210886445619</v>
      </c>
      <c r="AH115" s="38">
        <f t="shared" si="59"/>
        <v>0.93502822091831883</v>
      </c>
      <c r="AI115" s="38">
        <f t="shared" si="60"/>
        <v>2.8654289148053822E-2</v>
      </c>
      <c r="AJ115" s="38">
        <f t="shared" si="61"/>
        <v>2.9490217816843486E-4</v>
      </c>
      <c r="AK115" s="38">
        <f t="shared" si="62"/>
        <v>4.7070805478143803E-2</v>
      </c>
      <c r="AL115" s="38">
        <f t="shared" si="63"/>
        <v>2.87196491656332E-4</v>
      </c>
      <c r="AM115" s="38">
        <f t="shared" si="64"/>
        <v>1.0111026857617961E-3</v>
      </c>
      <c r="AN115" s="38">
        <f t="shared" si="65"/>
        <v>1.0106934127417035</v>
      </c>
      <c r="AO115" s="38">
        <f t="shared" si="66"/>
        <v>2.2352579864969558E-3</v>
      </c>
      <c r="AP115" s="38">
        <f t="shared" si="67"/>
        <v>9.9489498878196285E-4</v>
      </c>
      <c r="AQ115" s="38">
        <f t="shared" si="68"/>
        <v>0</v>
      </c>
      <c r="AR115" s="38">
        <f t="shared" si="69"/>
        <v>0</v>
      </c>
      <c r="AS115" s="38">
        <f t="shared" si="70"/>
        <v>0</v>
      </c>
      <c r="AT115" s="39">
        <f t="shared" si="71"/>
        <v>3.0391911712616473</v>
      </c>
      <c r="AU115" s="38">
        <f t="shared" si="72"/>
        <v>1.0415753777926158</v>
      </c>
      <c r="AV115" s="38">
        <f t="shared" si="73"/>
        <v>1.0139235657169825</v>
      </c>
      <c r="AW115" s="40"/>
      <c r="AX115" s="38">
        <f t="shared" si="74"/>
        <v>0.99985920420801189</v>
      </c>
      <c r="AY115" s="38">
        <f t="shared" si="75"/>
        <v>0.92297078554308032</v>
      </c>
      <c r="AZ115" s="38">
        <f t="shared" si="76"/>
        <v>2.8284784536431795E-2</v>
      </c>
      <c r="BA115" s="38">
        <f t="shared" si="77"/>
        <v>2.9109933684692829E-4</v>
      </c>
      <c r="BB115" s="38">
        <f t="shared" si="78"/>
        <v>0</v>
      </c>
      <c r="BC115" s="38">
        <f t="shared" si="79"/>
        <v>4.6463815033988297E-2</v>
      </c>
      <c r="BD115" s="38">
        <f t="shared" si="80"/>
        <v>2.8349301719356076E-4</v>
      </c>
      <c r="BE115" s="38">
        <f t="shared" si="81"/>
        <v>9.9806425010973685E-4</v>
      </c>
      <c r="BF115" s="38">
        <f t="shared" si="82"/>
        <v>0.99766025477311981</v>
      </c>
      <c r="BG115" s="38">
        <f t="shared" si="83"/>
        <v>2.2064337455636684E-3</v>
      </c>
      <c r="BH115" s="38">
        <f t="shared" si="84"/>
        <v>9.8206555565468704E-4</v>
      </c>
      <c r="BI115" s="38">
        <f t="shared" si="85"/>
        <v>0</v>
      </c>
      <c r="BJ115" s="38">
        <f t="shared" si="86"/>
        <v>0</v>
      </c>
      <c r="BK115" s="38">
        <f t="shared" si="87"/>
        <v>0</v>
      </c>
      <c r="BL115" s="41">
        <f t="shared" si="88"/>
        <v>3.0000000000000009</v>
      </c>
      <c r="BM115" s="42">
        <f t="shared" si="112"/>
        <v>4.9587555895541184</v>
      </c>
      <c r="BN115" s="38">
        <f t="shared" si="89"/>
        <v>1.0281439887444437</v>
      </c>
      <c r="BO115" s="38">
        <f t="shared" si="90"/>
        <v>1.000848754074338</v>
      </c>
      <c r="BQ115" s="38">
        <f t="shared" si="91"/>
        <v>0.49717043941411454</v>
      </c>
      <c r="BR115" s="38">
        <f t="shared" si="92"/>
        <v>0.45893840761141713</v>
      </c>
      <c r="BS115" s="38">
        <f t="shared" si="93"/>
        <v>1.4064338956453511E-2</v>
      </c>
      <c r="BT115" s="38">
        <f t="shared" si="94"/>
        <v>1.4474636489242711E-4</v>
      </c>
      <c r="BU115" s="38">
        <f t="shared" si="95"/>
        <v>2.3103688239387615E-2</v>
      </c>
      <c r="BV115" s="38">
        <f t="shared" si="96"/>
        <v>1.4096419509444601E-4</v>
      </c>
      <c r="BW115" s="38">
        <f t="shared" si="97"/>
        <v>4.9627791563275434E-4</v>
      </c>
      <c r="BX115" s="38">
        <f t="shared" si="98"/>
        <v>0.49607703281027105</v>
      </c>
      <c r="BY115" s="38">
        <f t="shared" si="99"/>
        <v>1.0971281058405938E-3</v>
      </c>
      <c r="BZ115" s="38">
        <f t="shared" si="100"/>
        <v>4.883227176220807E-4</v>
      </c>
      <c r="CA115" s="38">
        <f t="shared" si="101"/>
        <v>0</v>
      </c>
      <c r="CB115" s="38">
        <f t="shared" si="102"/>
        <v>0</v>
      </c>
      <c r="CC115" s="38">
        <f t="shared" si="103"/>
        <v>0</v>
      </c>
      <c r="CD115" s="38">
        <f t="shared" si="104"/>
        <v>1.491721346330726</v>
      </c>
      <c r="CE115" s="38">
        <f t="shared" si="105"/>
        <v>2.4541420106051994</v>
      </c>
      <c r="CF115" s="38">
        <f t="shared" si="106"/>
        <v>2.0110994639711199</v>
      </c>
      <c r="CG115" s="38">
        <f t="shared" si="107"/>
        <v>4.9355236820371235</v>
      </c>
    </row>
    <row r="116" spans="1:85" ht="15" customHeight="1" x14ac:dyDescent="0.25">
      <c r="A116" s="35" t="s">
        <v>84</v>
      </c>
      <c r="B116" s="15">
        <v>246</v>
      </c>
      <c r="C116" s="102" t="s">
        <v>97</v>
      </c>
      <c r="D116" s="103" t="s">
        <v>104</v>
      </c>
      <c r="E116" s="15">
        <v>78</v>
      </c>
      <c r="F116" s="15" t="s">
        <v>276</v>
      </c>
      <c r="G116" s="16">
        <v>99.84</v>
      </c>
      <c r="H116" s="16">
        <v>0</v>
      </c>
      <c r="I116" s="16">
        <v>9.6000000000000002E-2</v>
      </c>
      <c r="J116" s="16">
        <v>0</v>
      </c>
      <c r="K116" s="16">
        <v>0</v>
      </c>
      <c r="L116" s="16">
        <v>0</v>
      </c>
      <c r="M116" s="16">
        <v>0</v>
      </c>
      <c r="N116" s="16">
        <v>3.1E-2</v>
      </c>
      <c r="O116" s="16">
        <v>4.3999999999999997E-2</v>
      </c>
      <c r="P116" s="16">
        <v>8.0000000000000002E-3</v>
      </c>
      <c r="Q116" s="16">
        <v>0</v>
      </c>
      <c r="T116" s="16">
        <f t="shared" si="57"/>
        <v>100.01900000000001</v>
      </c>
      <c r="U116" s="16"/>
      <c r="V116" s="16" t="e">
        <f t="shared" si="108"/>
        <v>#DIV/0!</v>
      </c>
      <c r="W116" s="16" t="e">
        <f t="shared" si="109"/>
        <v>#DIV/0!</v>
      </c>
      <c r="X116" s="16" t="e">
        <f t="shared" si="110"/>
        <v>#DIV/0!</v>
      </c>
      <c r="Y116" s="15">
        <v>1</v>
      </c>
      <c r="Z116" s="15">
        <v>23</v>
      </c>
      <c r="AA116" s="15">
        <v>275</v>
      </c>
      <c r="AB116" s="15" t="s">
        <v>277</v>
      </c>
      <c r="AD116" s="15">
        <v>2</v>
      </c>
      <c r="AE116" s="15">
        <v>1</v>
      </c>
      <c r="AG116" s="38">
        <f t="shared" si="58"/>
        <v>0.99874622118057799</v>
      </c>
      <c r="AH116" s="38">
        <f t="shared" si="59"/>
        <v>0</v>
      </c>
      <c r="AI116" s="38">
        <f t="shared" si="60"/>
        <v>1.131753647141585E-3</v>
      </c>
      <c r="AJ116" s="38">
        <f t="shared" si="61"/>
        <v>0</v>
      </c>
      <c r="AK116" s="38">
        <f t="shared" si="62"/>
        <v>0</v>
      </c>
      <c r="AL116" s="38">
        <f t="shared" si="63"/>
        <v>0</v>
      </c>
      <c r="AM116" s="38">
        <f t="shared" si="64"/>
        <v>0</v>
      </c>
      <c r="AN116" s="38">
        <f t="shared" si="65"/>
        <v>3.3222643783984524E-4</v>
      </c>
      <c r="AO116" s="38">
        <f t="shared" si="66"/>
        <v>8.53319364101401E-4</v>
      </c>
      <c r="AP116" s="38">
        <f t="shared" si="67"/>
        <v>1.0208209648138359E-4</v>
      </c>
      <c r="AQ116" s="38">
        <f t="shared" si="68"/>
        <v>0</v>
      </c>
      <c r="AR116" s="38">
        <f t="shared" si="69"/>
        <v>0</v>
      </c>
      <c r="AS116" s="38">
        <f t="shared" si="70"/>
        <v>0</v>
      </c>
      <c r="AT116" s="39">
        <f t="shared" si="71"/>
        <v>1.0011656027261422</v>
      </c>
      <c r="AU116" s="38">
        <f t="shared" si="72"/>
        <v>0.99987797482771956</v>
      </c>
      <c r="AV116" s="38">
        <f t="shared" si="73"/>
        <v>1.2876278984226296E-3</v>
      </c>
      <c r="AW116" s="40"/>
      <c r="AX116" s="38">
        <f t="shared" si="74"/>
        <v>0.99758343520894399</v>
      </c>
      <c r="AY116" s="38">
        <f t="shared" si="75"/>
        <v>0</v>
      </c>
      <c r="AZ116" s="38">
        <f t="shared" si="76"/>
        <v>1.1304360078491066E-3</v>
      </c>
      <c r="BA116" s="38">
        <f t="shared" si="77"/>
        <v>0</v>
      </c>
      <c r="BB116" s="38">
        <f t="shared" si="78"/>
        <v>0</v>
      </c>
      <c r="BC116" s="38">
        <f t="shared" si="79"/>
        <v>0</v>
      </c>
      <c r="BD116" s="38">
        <f t="shared" si="80"/>
        <v>0</v>
      </c>
      <c r="BE116" s="38">
        <f t="shared" si="81"/>
        <v>0</v>
      </c>
      <c r="BF116" s="38">
        <f t="shared" si="82"/>
        <v>3.3183964464540445E-4</v>
      </c>
      <c r="BG116" s="38">
        <f t="shared" si="83"/>
        <v>8.5232589071961658E-4</v>
      </c>
      <c r="BH116" s="38">
        <f t="shared" si="84"/>
        <v>1.0196324784173294E-4</v>
      </c>
      <c r="BI116" s="38">
        <f t="shared" si="85"/>
        <v>0</v>
      </c>
      <c r="BJ116" s="38">
        <f t="shared" si="86"/>
        <v>0</v>
      </c>
      <c r="BK116" s="38">
        <f t="shared" si="87"/>
        <v>0</v>
      </c>
      <c r="BL116" s="41">
        <f t="shared" si="88"/>
        <v>0.99999999999999989</v>
      </c>
      <c r="BM116" s="42">
        <f t="shared" si="112"/>
        <v>1.9976715086435877</v>
      </c>
      <c r="BN116" s="38">
        <f t="shared" si="89"/>
        <v>0.99871387121679311</v>
      </c>
      <c r="BO116" s="38">
        <f t="shared" si="90"/>
        <v>1.2861287832067539E-3</v>
      </c>
      <c r="BQ116" s="38">
        <f t="shared" si="91"/>
        <v>1.6617842876165114</v>
      </c>
      <c r="BR116" s="38">
        <f t="shared" si="92"/>
        <v>0</v>
      </c>
      <c r="BS116" s="38">
        <f t="shared" si="93"/>
        <v>1.8830914083954493E-3</v>
      </c>
      <c r="BT116" s="38">
        <f t="shared" si="94"/>
        <v>0</v>
      </c>
      <c r="BU116" s="38">
        <f t="shared" si="95"/>
        <v>0</v>
      </c>
      <c r="BV116" s="38">
        <f t="shared" si="96"/>
        <v>0</v>
      </c>
      <c r="BW116" s="38">
        <f t="shared" si="97"/>
        <v>0</v>
      </c>
      <c r="BX116" s="38">
        <f t="shared" si="98"/>
        <v>5.5278174037089872E-4</v>
      </c>
      <c r="BY116" s="38">
        <f t="shared" si="99"/>
        <v>1.4198128428525331E-3</v>
      </c>
      <c r="BZ116" s="38">
        <f t="shared" si="100"/>
        <v>1.6985138004246286E-4</v>
      </c>
      <c r="CA116" s="38">
        <f t="shared" si="101"/>
        <v>0</v>
      </c>
      <c r="CB116" s="38">
        <f t="shared" si="102"/>
        <v>0</v>
      </c>
      <c r="CC116" s="38">
        <f t="shared" si="103"/>
        <v>0</v>
      </c>
      <c r="CD116" s="38">
        <f t="shared" si="104"/>
        <v>1.665809824988173</v>
      </c>
      <c r="CE116" s="38">
        <f t="shared" si="105"/>
        <v>3.3277408261974348</v>
      </c>
      <c r="CF116" s="38">
        <f t="shared" si="106"/>
        <v>0.60030862166820265</v>
      </c>
      <c r="CG116" s="38">
        <f t="shared" si="107"/>
        <v>1.9976715086435881</v>
      </c>
    </row>
    <row r="117" spans="1:85" ht="15" customHeight="1" x14ac:dyDescent="0.25">
      <c r="A117" s="35" t="s">
        <v>84</v>
      </c>
      <c r="B117" s="15">
        <v>247</v>
      </c>
      <c r="C117" s="102" t="s">
        <v>97</v>
      </c>
      <c r="D117" s="103" t="s">
        <v>104</v>
      </c>
      <c r="E117" s="15">
        <v>79</v>
      </c>
      <c r="F117" s="15" t="s">
        <v>276</v>
      </c>
      <c r="G117" s="16">
        <v>99.58</v>
      </c>
      <c r="H117" s="16">
        <v>0</v>
      </c>
      <c r="I117" s="16">
        <v>0.124</v>
      </c>
      <c r="J117" s="16">
        <v>0</v>
      </c>
      <c r="K117" s="16">
        <v>7.1087915054440745E-2</v>
      </c>
      <c r="L117" s="16">
        <v>0</v>
      </c>
      <c r="M117" s="16">
        <v>0</v>
      </c>
      <c r="N117" s="16">
        <v>1.2999999999999999E-2</v>
      </c>
      <c r="O117" s="16">
        <v>5.5E-2</v>
      </c>
      <c r="P117" s="16">
        <v>8.0000000000000002E-3</v>
      </c>
      <c r="Q117" s="16">
        <v>0</v>
      </c>
      <c r="T117" s="16">
        <f t="shared" si="57"/>
        <v>99.851087915054435</v>
      </c>
      <c r="U117" s="16"/>
      <c r="V117" s="16">
        <f t="shared" si="108"/>
        <v>0</v>
      </c>
      <c r="W117" s="16">
        <f t="shared" si="109"/>
        <v>7.9000000000000001E-2</v>
      </c>
      <c r="X117" s="16">
        <f t="shared" si="110"/>
        <v>99.85899999999998</v>
      </c>
      <c r="Y117" s="15">
        <v>1</v>
      </c>
      <c r="Z117" s="15">
        <v>24</v>
      </c>
      <c r="AA117" s="15">
        <v>287.5</v>
      </c>
      <c r="AB117" s="15" t="s">
        <v>277</v>
      </c>
      <c r="AD117" s="15">
        <v>2</v>
      </c>
      <c r="AE117" s="15">
        <v>1</v>
      </c>
      <c r="AG117" s="38">
        <f t="shared" si="58"/>
        <v>0.99824076072685886</v>
      </c>
      <c r="AH117" s="38">
        <f t="shared" si="59"/>
        <v>0</v>
      </c>
      <c r="AI117" s="38">
        <f t="shared" si="60"/>
        <v>1.4649235317470766E-3</v>
      </c>
      <c r="AJ117" s="38">
        <f t="shared" si="61"/>
        <v>0</v>
      </c>
      <c r="AK117" s="38">
        <f t="shared" si="62"/>
        <v>5.9588452327864283E-4</v>
      </c>
      <c r="AL117" s="38">
        <f t="shared" si="63"/>
        <v>0</v>
      </c>
      <c r="AM117" s="38">
        <f t="shared" si="64"/>
        <v>0</v>
      </c>
      <c r="AN117" s="38">
        <f t="shared" si="65"/>
        <v>1.3961383240388981E-4</v>
      </c>
      <c r="AO117" s="38">
        <f t="shared" si="66"/>
        <v>1.068892954716305E-3</v>
      </c>
      <c r="AP117" s="38">
        <f t="shared" si="67"/>
        <v>1.0229683124233404E-4</v>
      </c>
      <c r="AQ117" s="38">
        <f t="shared" si="68"/>
        <v>0</v>
      </c>
      <c r="AR117" s="38">
        <f t="shared" si="69"/>
        <v>0</v>
      </c>
      <c r="AS117" s="38">
        <f t="shared" si="70"/>
        <v>0</v>
      </c>
      <c r="AT117" s="39">
        <f t="shared" si="71"/>
        <v>1.001612372400247</v>
      </c>
      <c r="AU117" s="38">
        <f t="shared" si="72"/>
        <v>0.99970568425860595</v>
      </c>
      <c r="AV117" s="38">
        <f t="shared" si="73"/>
        <v>1.3108036183625289E-3</v>
      </c>
      <c r="AW117" s="40"/>
      <c r="AX117" s="38">
        <f t="shared" si="74"/>
        <v>0.99663381586899868</v>
      </c>
      <c r="AY117" s="38">
        <f t="shared" si="75"/>
        <v>0</v>
      </c>
      <c r="AZ117" s="38">
        <f t="shared" si="76"/>
        <v>1.4625653317725683E-3</v>
      </c>
      <c r="BA117" s="38">
        <f t="shared" si="77"/>
        <v>0</v>
      </c>
      <c r="BB117" s="38">
        <f t="shared" si="78"/>
        <v>0</v>
      </c>
      <c r="BC117" s="38">
        <f t="shared" si="79"/>
        <v>5.9492528217345718E-4</v>
      </c>
      <c r="BD117" s="38">
        <f t="shared" si="80"/>
        <v>0</v>
      </c>
      <c r="BE117" s="38">
        <f t="shared" si="81"/>
        <v>0</v>
      </c>
      <c r="BF117" s="38">
        <f t="shared" si="82"/>
        <v>1.3938908528987273E-4</v>
      </c>
      <c r="BG117" s="38">
        <f t="shared" si="83"/>
        <v>1.0671722755928302E-3</v>
      </c>
      <c r="BH117" s="38">
        <f t="shared" si="84"/>
        <v>1.0213215617254371E-4</v>
      </c>
      <c r="BI117" s="38">
        <f t="shared" si="85"/>
        <v>0</v>
      </c>
      <c r="BJ117" s="38">
        <f t="shared" si="86"/>
        <v>0</v>
      </c>
      <c r="BK117" s="38">
        <f t="shared" si="87"/>
        <v>0</v>
      </c>
      <c r="BL117" s="41">
        <f t="shared" si="88"/>
        <v>0.99999999999999989</v>
      </c>
      <c r="BM117" s="42">
        <f t="shared" si="112"/>
        <v>1.997077908960089</v>
      </c>
      <c r="BN117" s="38">
        <f t="shared" si="89"/>
        <v>0.99809638120077127</v>
      </c>
      <c r="BO117" s="38">
        <f t="shared" si="90"/>
        <v>1.3086935170552466E-3</v>
      </c>
      <c r="BQ117" s="38">
        <f t="shared" si="91"/>
        <v>1.65745672436751</v>
      </c>
      <c r="BR117" s="38">
        <f t="shared" si="92"/>
        <v>0</v>
      </c>
      <c r="BS117" s="38">
        <f t="shared" si="93"/>
        <v>2.4323264025107889E-3</v>
      </c>
      <c r="BT117" s="38">
        <f t="shared" si="94"/>
        <v>0</v>
      </c>
      <c r="BU117" s="38">
        <f t="shared" si="95"/>
        <v>9.8939338976257126E-4</v>
      </c>
      <c r="BV117" s="38">
        <f t="shared" si="96"/>
        <v>0</v>
      </c>
      <c r="BW117" s="38">
        <f t="shared" si="97"/>
        <v>0</v>
      </c>
      <c r="BX117" s="38">
        <f t="shared" si="98"/>
        <v>2.3181169757489301E-4</v>
      </c>
      <c r="BY117" s="38">
        <f t="shared" si="99"/>
        <v>1.7747660535656665E-3</v>
      </c>
      <c r="BZ117" s="38">
        <f t="shared" si="100"/>
        <v>1.6985138004246286E-4</v>
      </c>
      <c r="CA117" s="38">
        <f t="shared" si="101"/>
        <v>0</v>
      </c>
      <c r="CB117" s="38">
        <f t="shared" si="102"/>
        <v>0</v>
      </c>
      <c r="CC117" s="38">
        <f t="shared" si="103"/>
        <v>0</v>
      </c>
      <c r="CD117" s="38">
        <f t="shared" si="104"/>
        <v>1.6630548732909665</v>
      </c>
      <c r="CE117" s="38">
        <f t="shared" si="105"/>
        <v>3.3207554521429277</v>
      </c>
      <c r="CF117" s="38">
        <f t="shared" si="106"/>
        <v>0.60130306946585099</v>
      </c>
      <c r="CG117" s="38">
        <f t="shared" si="107"/>
        <v>1.9967804463190022</v>
      </c>
    </row>
    <row r="118" spans="1:85" ht="15" customHeight="1" x14ac:dyDescent="0.25">
      <c r="A118" s="35" t="s">
        <v>84</v>
      </c>
      <c r="B118" s="15">
        <v>249</v>
      </c>
      <c r="C118" s="102" t="s">
        <v>97</v>
      </c>
      <c r="D118" s="103" t="s">
        <v>104</v>
      </c>
      <c r="E118" s="15">
        <v>81</v>
      </c>
      <c r="F118" s="15" t="s">
        <v>276</v>
      </c>
      <c r="G118" s="16">
        <v>93.3</v>
      </c>
      <c r="H118" s="16">
        <v>0</v>
      </c>
      <c r="I118" s="16">
        <v>4.32</v>
      </c>
      <c r="J118" s="16">
        <v>0</v>
      </c>
      <c r="K118" s="16">
        <v>3.9593269144245477E-2</v>
      </c>
      <c r="L118" s="16">
        <v>0</v>
      </c>
      <c r="M118" s="16">
        <v>0</v>
      </c>
      <c r="N118" s="16">
        <v>0.22700000000000001</v>
      </c>
      <c r="O118" s="16">
        <v>2.44</v>
      </c>
      <c r="P118" s="16">
        <v>3.2000000000000001E-2</v>
      </c>
      <c r="Q118" s="16">
        <v>0</v>
      </c>
      <c r="T118" s="16">
        <f t="shared" si="57"/>
        <v>100.35859326914425</v>
      </c>
      <c r="U118" s="16"/>
      <c r="V118" s="16">
        <f t="shared" si="108"/>
        <v>0</v>
      </c>
      <c r="W118" s="16">
        <f t="shared" si="109"/>
        <v>4.3999999999999997E-2</v>
      </c>
      <c r="X118" s="16">
        <f t="shared" si="110"/>
        <v>100.363</v>
      </c>
      <c r="Y118" s="15">
        <v>1</v>
      </c>
      <c r="Z118" s="15">
        <v>26</v>
      </c>
      <c r="AA118" s="15">
        <v>312.5</v>
      </c>
      <c r="AB118" s="15" t="s">
        <v>277</v>
      </c>
      <c r="AD118" s="15">
        <v>2</v>
      </c>
      <c r="AE118" s="15">
        <v>1</v>
      </c>
      <c r="AG118" s="38">
        <f t="shared" si="58"/>
        <v>0.94769592819787751</v>
      </c>
      <c r="AH118" s="38">
        <f t="shared" si="59"/>
        <v>0</v>
      </c>
      <c r="AI118" s="38">
        <f t="shared" si="60"/>
        <v>5.1713175942665258E-2</v>
      </c>
      <c r="AJ118" s="38">
        <f t="shared" si="61"/>
        <v>0</v>
      </c>
      <c r="AK118" s="38">
        <f t="shared" si="62"/>
        <v>3.3628839818557481E-4</v>
      </c>
      <c r="AL118" s="38">
        <f t="shared" si="63"/>
        <v>0</v>
      </c>
      <c r="AM118" s="38">
        <f t="shared" si="64"/>
        <v>0</v>
      </c>
      <c r="AN118" s="38">
        <f t="shared" si="65"/>
        <v>2.470217232943744E-3</v>
      </c>
      <c r="AO118" s="38">
        <f t="shared" si="66"/>
        <v>4.8049131823581545E-2</v>
      </c>
      <c r="AP118" s="38">
        <f t="shared" si="67"/>
        <v>4.1461629465393957E-4</v>
      </c>
      <c r="AQ118" s="38">
        <f t="shared" si="68"/>
        <v>0</v>
      </c>
      <c r="AR118" s="38">
        <f t="shared" si="69"/>
        <v>0</v>
      </c>
      <c r="AS118" s="38">
        <f t="shared" si="70"/>
        <v>0</v>
      </c>
      <c r="AT118" s="39">
        <f t="shared" si="71"/>
        <v>1.0506793578899076</v>
      </c>
      <c r="AU118" s="38">
        <f t="shared" si="72"/>
        <v>0.99940910414054274</v>
      </c>
      <c r="AV118" s="38">
        <f t="shared" si="73"/>
        <v>5.0933965351179229E-2</v>
      </c>
      <c r="AW118" s="40"/>
      <c r="AX118" s="38">
        <f t="shared" si="74"/>
        <v>0.90198396026466832</v>
      </c>
      <c r="AY118" s="38">
        <f t="shared" si="75"/>
        <v>0</v>
      </c>
      <c r="AZ118" s="38">
        <f t="shared" si="76"/>
        <v>4.9218798822241526E-2</v>
      </c>
      <c r="BA118" s="38">
        <f t="shared" si="77"/>
        <v>0</v>
      </c>
      <c r="BB118" s="38">
        <f t="shared" si="78"/>
        <v>0</v>
      </c>
      <c r="BC118" s="38">
        <f t="shared" si="79"/>
        <v>3.2006757881010146E-4</v>
      </c>
      <c r="BD118" s="38">
        <f t="shared" si="80"/>
        <v>0</v>
      </c>
      <c r="BE118" s="38">
        <f t="shared" si="81"/>
        <v>0</v>
      </c>
      <c r="BF118" s="38">
        <f t="shared" si="82"/>
        <v>2.3510666830884662E-3</v>
      </c>
      <c r="BG118" s="38">
        <f t="shared" si="83"/>
        <v>4.5731489310001504E-2</v>
      </c>
      <c r="BH118" s="38">
        <f t="shared" si="84"/>
        <v>3.9461734119019778E-4</v>
      </c>
      <c r="BI118" s="38">
        <f t="shared" si="85"/>
        <v>0</v>
      </c>
      <c r="BJ118" s="38">
        <f t="shared" si="86"/>
        <v>0</v>
      </c>
      <c r="BK118" s="38">
        <f t="shared" si="87"/>
        <v>0</v>
      </c>
      <c r="BL118" s="41">
        <f t="shared" si="88"/>
        <v>1.0000000000000002</v>
      </c>
      <c r="BM118" s="42">
        <f t="shared" si="112"/>
        <v>1.9036903401395981</v>
      </c>
      <c r="BN118" s="38">
        <f t="shared" si="89"/>
        <v>0.95120275908690988</v>
      </c>
      <c r="BO118" s="38">
        <f t="shared" si="90"/>
        <v>4.8477173334280171E-2</v>
      </c>
      <c r="BQ118" s="38">
        <f t="shared" si="91"/>
        <v>1.5529294274300931</v>
      </c>
      <c r="BR118" s="38">
        <f t="shared" si="92"/>
        <v>0</v>
      </c>
      <c r="BS118" s="38">
        <f t="shared" si="93"/>
        <v>8.473911337779523E-2</v>
      </c>
      <c r="BT118" s="38">
        <f t="shared" si="94"/>
        <v>0</v>
      </c>
      <c r="BU118" s="38">
        <f t="shared" si="95"/>
        <v>5.510545461968752E-4</v>
      </c>
      <c r="BV118" s="38">
        <f t="shared" si="96"/>
        <v>0</v>
      </c>
      <c r="BW118" s="38">
        <f t="shared" si="97"/>
        <v>0</v>
      </c>
      <c r="BX118" s="38">
        <f t="shared" si="98"/>
        <v>4.0477888730385166E-3</v>
      </c>
      <c r="BY118" s="38">
        <f t="shared" si="99"/>
        <v>7.8735075830913201E-2</v>
      </c>
      <c r="BZ118" s="38">
        <f t="shared" si="100"/>
        <v>6.7940552016985142E-4</v>
      </c>
      <c r="CA118" s="38">
        <f t="shared" si="101"/>
        <v>0</v>
      </c>
      <c r="CB118" s="38">
        <f t="shared" si="102"/>
        <v>0</v>
      </c>
      <c r="CC118" s="38">
        <f t="shared" si="103"/>
        <v>0</v>
      </c>
      <c r="CD118" s="38">
        <f t="shared" si="104"/>
        <v>1.7216818655782067</v>
      </c>
      <c r="CE118" s="38">
        <f t="shared" si="105"/>
        <v>3.2772736090216563</v>
      </c>
      <c r="CF118" s="38">
        <f t="shared" si="106"/>
        <v>0.58082739906432235</v>
      </c>
      <c r="CG118" s="38">
        <f t="shared" si="107"/>
        <v>1.9035303063501936</v>
      </c>
    </row>
    <row r="119" spans="1:85" ht="15" customHeight="1" x14ac:dyDescent="0.25">
      <c r="A119" s="35" t="s">
        <v>84</v>
      </c>
      <c r="B119" s="15">
        <v>251</v>
      </c>
      <c r="C119" s="102" t="s">
        <v>97</v>
      </c>
      <c r="D119" s="103" t="s">
        <v>104</v>
      </c>
      <c r="E119" s="15">
        <v>83</v>
      </c>
      <c r="F119" s="15" t="s">
        <v>278</v>
      </c>
      <c r="G119" s="16">
        <v>0</v>
      </c>
      <c r="H119" s="16">
        <v>0</v>
      </c>
      <c r="I119" s="16">
        <v>0</v>
      </c>
      <c r="J119" s="16">
        <v>0</v>
      </c>
      <c r="K119" s="16">
        <v>0.37163682174030416</v>
      </c>
      <c r="L119" s="16">
        <v>8.6999999999999994E-2</v>
      </c>
      <c r="M119" s="16">
        <v>4.5999999999999999E-2</v>
      </c>
      <c r="N119" s="16">
        <v>54.67</v>
      </c>
      <c r="O119" s="16">
        <v>0</v>
      </c>
      <c r="P119" s="16">
        <v>0</v>
      </c>
      <c r="Q119" s="16">
        <v>43.6</v>
      </c>
      <c r="S119" s="16">
        <v>0.76600000000000001</v>
      </c>
      <c r="T119" s="16">
        <f t="shared" si="57"/>
        <v>99.540636821740307</v>
      </c>
      <c r="U119" s="16"/>
      <c r="V119" s="13" t="e">
        <f t="shared" si="108"/>
        <v>#VALUE!</v>
      </c>
      <c r="W119" s="16" t="e">
        <f t="shared" si="109"/>
        <v>#VALUE!</v>
      </c>
      <c r="X119" s="16" t="e">
        <f t="shared" si="110"/>
        <v>#VALUE!</v>
      </c>
      <c r="AB119" s="15" t="s">
        <v>185</v>
      </c>
      <c r="AG119" s="38">
        <f t="shared" si="58"/>
        <v>0</v>
      </c>
      <c r="AH119" s="38">
        <f t="shared" si="59"/>
        <v>0</v>
      </c>
      <c r="AI119" s="38">
        <f t="shared" si="60"/>
        <v>0</v>
      </c>
      <c r="AJ119" s="38">
        <f t="shared" si="61"/>
        <v>0</v>
      </c>
      <c r="AK119" s="38">
        <f t="shared" si="62"/>
        <v>0</v>
      </c>
      <c r="AL119" s="38">
        <f t="shared" si="63"/>
        <v>0</v>
      </c>
      <c r="AM119" s="38">
        <f t="shared" si="64"/>
        <v>0</v>
      </c>
      <c r="AN119" s="38">
        <f t="shared" si="65"/>
        <v>0</v>
      </c>
      <c r="AO119" s="38">
        <f t="shared" si="66"/>
        <v>0</v>
      </c>
      <c r="AP119" s="38">
        <f t="shared" si="67"/>
        <v>0</v>
      </c>
      <c r="AQ119" s="38">
        <f t="shared" si="68"/>
        <v>0</v>
      </c>
      <c r="AR119" s="38">
        <f t="shared" si="69"/>
        <v>0</v>
      </c>
      <c r="AS119" s="38">
        <f t="shared" si="70"/>
        <v>0</v>
      </c>
      <c r="AT119" s="39">
        <f t="shared" si="71"/>
        <v>0</v>
      </c>
      <c r="AU119" s="38">
        <f t="shared" si="72"/>
        <v>0</v>
      </c>
      <c r="AV119" s="38">
        <f t="shared" si="73"/>
        <v>0</v>
      </c>
      <c r="AW119" s="40"/>
      <c r="AX119" s="38" t="str">
        <f t="shared" si="74"/>
        <v/>
      </c>
      <c r="AY119" s="38" t="str">
        <f t="shared" si="75"/>
        <v/>
      </c>
      <c r="AZ119" s="38" t="str">
        <f t="shared" si="76"/>
        <v/>
      </c>
      <c r="BA119" s="38" t="str">
        <f t="shared" si="77"/>
        <v/>
      </c>
      <c r="BB119" s="38" t="str">
        <f t="shared" si="78"/>
        <v/>
      </c>
      <c r="BC119" s="38" t="str">
        <f t="shared" si="79"/>
        <v/>
      </c>
      <c r="BD119" s="38" t="str">
        <f t="shared" si="80"/>
        <v/>
      </c>
      <c r="BE119" s="38" t="str">
        <f t="shared" si="81"/>
        <v/>
      </c>
      <c r="BF119" s="38" t="str">
        <f t="shared" si="82"/>
        <v/>
      </c>
      <c r="BG119" s="38" t="str">
        <f t="shared" si="83"/>
        <v/>
      </c>
      <c r="BH119" s="38" t="str">
        <f t="shared" si="84"/>
        <v/>
      </c>
      <c r="BI119" s="38" t="str">
        <f t="shared" si="85"/>
        <v/>
      </c>
      <c r="BJ119" s="38" t="str">
        <f t="shared" si="86"/>
        <v/>
      </c>
      <c r="BK119" s="38" t="str">
        <f t="shared" si="87"/>
        <v/>
      </c>
      <c r="BL119" s="41" t="str">
        <f t="shared" si="88"/>
        <v/>
      </c>
      <c r="BN119" s="38" t="str">
        <f t="shared" si="89"/>
        <v/>
      </c>
      <c r="BO119" s="38" t="str">
        <f t="shared" si="90"/>
        <v/>
      </c>
      <c r="BQ119" s="38">
        <f t="shared" si="91"/>
        <v>0</v>
      </c>
      <c r="BR119" s="38">
        <f t="shared" si="92"/>
        <v>0</v>
      </c>
      <c r="BS119" s="38">
        <f t="shared" si="93"/>
        <v>0</v>
      </c>
      <c r="BT119" s="38">
        <f t="shared" si="94"/>
        <v>0</v>
      </c>
      <c r="BU119" s="38">
        <f t="shared" si="95"/>
        <v>5.1723983540752153E-3</v>
      </c>
      <c r="BV119" s="38">
        <f t="shared" si="96"/>
        <v>1.2263884973216803E-3</v>
      </c>
      <c r="BW119" s="38">
        <f t="shared" si="97"/>
        <v>1.141439205955335E-3</v>
      </c>
      <c r="BX119" s="38">
        <f t="shared" si="98"/>
        <v>0.97485734664764623</v>
      </c>
      <c r="BY119" s="38">
        <f t="shared" si="99"/>
        <v>0</v>
      </c>
      <c r="BZ119" s="38">
        <f t="shared" si="100"/>
        <v>0</v>
      </c>
      <c r="CA119" s="38">
        <f t="shared" si="101"/>
        <v>0.61434408905171201</v>
      </c>
      <c r="CB119" s="38">
        <f t="shared" si="102"/>
        <v>0</v>
      </c>
      <c r="CC119" s="38">
        <f t="shared" si="103"/>
        <v>2.1607898448519038E-2</v>
      </c>
      <c r="CD119" s="38">
        <f t="shared" si="104"/>
        <v>1.5967416617567105</v>
      </c>
      <c r="CE119" s="38">
        <f t="shared" si="105"/>
        <v>2.5074538461100193</v>
      </c>
      <c r="CF119" s="38">
        <f t="shared" si="106"/>
        <v>0</v>
      </c>
      <c r="CG119" s="38">
        <f t="shared" si="107"/>
        <v>0</v>
      </c>
    </row>
    <row r="120" spans="1:85" ht="15" customHeight="1" x14ac:dyDescent="0.25">
      <c r="A120" s="35" t="s">
        <v>84</v>
      </c>
      <c r="B120" s="15">
        <v>252</v>
      </c>
      <c r="C120" s="102" t="s">
        <v>97</v>
      </c>
      <c r="D120" s="103" t="s">
        <v>104</v>
      </c>
      <c r="E120" s="15">
        <v>84</v>
      </c>
      <c r="F120" s="15" t="s">
        <v>278</v>
      </c>
      <c r="G120" s="16">
        <v>0</v>
      </c>
      <c r="H120" s="16">
        <v>0</v>
      </c>
      <c r="I120" s="16">
        <v>0</v>
      </c>
      <c r="J120" s="16">
        <v>0</v>
      </c>
      <c r="K120" s="16">
        <v>0.37793575092234322</v>
      </c>
      <c r="L120" s="16">
        <v>0.35099999999999998</v>
      </c>
      <c r="M120" s="16">
        <v>8.9999999999999993E-3</v>
      </c>
      <c r="N120" s="16">
        <v>53.22</v>
      </c>
      <c r="O120" s="16">
        <v>0</v>
      </c>
      <c r="P120" s="16">
        <v>0</v>
      </c>
      <c r="Q120" s="16">
        <v>42.68</v>
      </c>
      <c r="S120" s="16">
        <v>0.64500000000000002</v>
      </c>
      <c r="T120" s="16">
        <f t="shared" si="57"/>
        <v>97.282935750922334</v>
      </c>
      <c r="U120" s="16"/>
      <c r="V120" s="16" t="e">
        <f t="shared" si="108"/>
        <v>#VALUE!</v>
      </c>
      <c r="W120" s="16" t="e">
        <f t="shared" si="109"/>
        <v>#VALUE!</v>
      </c>
      <c r="X120" s="16" t="e">
        <f t="shared" si="110"/>
        <v>#VALUE!</v>
      </c>
      <c r="AB120" s="15" t="s">
        <v>185</v>
      </c>
      <c r="AG120" s="38">
        <f t="shared" si="58"/>
        <v>0</v>
      </c>
      <c r="AH120" s="38">
        <f t="shared" si="59"/>
        <v>0</v>
      </c>
      <c r="AI120" s="38">
        <f t="shared" si="60"/>
        <v>0</v>
      </c>
      <c r="AJ120" s="38">
        <f t="shared" si="61"/>
        <v>0</v>
      </c>
      <c r="AK120" s="38">
        <f t="shared" si="62"/>
        <v>0</v>
      </c>
      <c r="AL120" s="38">
        <f t="shared" si="63"/>
        <v>0</v>
      </c>
      <c r="AM120" s="38">
        <f t="shared" si="64"/>
        <v>0</v>
      </c>
      <c r="AN120" s="38">
        <f t="shared" si="65"/>
        <v>0</v>
      </c>
      <c r="AO120" s="38">
        <f t="shared" si="66"/>
        <v>0</v>
      </c>
      <c r="AP120" s="38">
        <f t="shared" si="67"/>
        <v>0</v>
      </c>
      <c r="AQ120" s="38">
        <f t="shared" si="68"/>
        <v>0</v>
      </c>
      <c r="AR120" s="38">
        <f t="shared" si="69"/>
        <v>0</v>
      </c>
      <c r="AS120" s="38">
        <f t="shared" si="70"/>
        <v>0</v>
      </c>
      <c r="AT120" s="39">
        <f t="shared" si="71"/>
        <v>0</v>
      </c>
      <c r="AU120" s="38">
        <f t="shared" si="72"/>
        <v>0</v>
      </c>
      <c r="AV120" s="38">
        <f t="shared" si="73"/>
        <v>0</v>
      </c>
      <c r="AW120" s="40"/>
      <c r="AX120" s="38" t="str">
        <f t="shared" si="74"/>
        <v/>
      </c>
      <c r="AY120" s="38" t="str">
        <f t="shared" si="75"/>
        <v/>
      </c>
      <c r="AZ120" s="38" t="str">
        <f t="shared" si="76"/>
        <v/>
      </c>
      <c r="BA120" s="38" t="str">
        <f t="shared" si="77"/>
        <v/>
      </c>
      <c r="BB120" s="38" t="str">
        <f t="shared" si="78"/>
        <v/>
      </c>
      <c r="BC120" s="38" t="str">
        <f t="shared" si="79"/>
        <v/>
      </c>
      <c r="BD120" s="38" t="str">
        <f t="shared" si="80"/>
        <v/>
      </c>
      <c r="BE120" s="38" t="str">
        <f t="shared" si="81"/>
        <v/>
      </c>
      <c r="BF120" s="38" t="str">
        <f t="shared" si="82"/>
        <v/>
      </c>
      <c r="BG120" s="38" t="str">
        <f t="shared" si="83"/>
        <v/>
      </c>
      <c r="BH120" s="38" t="str">
        <f t="shared" si="84"/>
        <v/>
      </c>
      <c r="BI120" s="38" t="str">
        <f t="shared" si="85"/>
        <v/>
      </c>
      <c r="BJ120" s="38" t="str">
        <f t="shared" si="86"/>
        <v/>
      </c>
      <c r="BK120" s="38" t="str">
        <f t="shared" si="87"/>
        <v/>
      </c>
      <c r="BL120" s="41" t="str">
        <f t="shared" si="88"/>
        <v/>
      </c>
      <c r="BN120" s="38" t="str">
        <f t="shared" si="89"/>
        <v/>
      </c>
      <c r="BO120" s="38" t="str">
        <f t="shared" si="90"/>
        <v/>
      </c>
      <c r="BQ120" s="38">
        <f t="shared" si="91"/>
        <v>0</v>
      </c>
      <c r="BR120" s="38">
        <f t="shared" si="92"/>
        <v>0</v>
      </c>
      <c r="BS120" s="38">
        <f t="shared" si="93"/>
        <v>0</v>
      </c>
      <c r="BT120" s="38">
        <f t="shared" si="94"/>
        <v>0</v>
      </c>
      <c r="BU120" s="38">
        <f t="shared" si="95"/>
        <v>5.260066122788354E-3</v>
      </c>
      <c r="BV120" s="38">
        <f t="shared" si="96"/>
        <v>4.9478432478150544E-3</v>
      </c>
      <c r="BW120" s="38">
        <f t="shared" si="97"/>
        <v>2.2332506203473945E-4</v>
      </c>
      <c r="BX120" s="38">
        <f t="shared" si="98"/>
        <v>0.9490014265335236</v>
      </c>
      <c r="BY120" s="38">
        <f t="shared" si="99"/>
        <v>0</v>
      </c>
      <c r="BZ120" s="38">
        <f t="shared" si="100"/>
        <v>0</v>
      </c>
      <c r="CA120" s="38">
        <f t="shared" si="101"/>
        <v>0.60138086515429057</v>
      </c>
      <c r="CB120" s="38">
        <f t="shared" si="102"/>
        <v>0</v>
      </c>
      <c r="CC120" s="38">
        <f t="shared" si="103"/>
        <v>1.8194640338504934E-2</v>
      </c>
      <c r="CD120" s="38">
        <f t="shared" si="104"/>
        <v>1.5608135261204523</v>
      </c>
      <c r="CE120" s="38">
        <f t="shared" si="105"/>
        <v>2.4537875036826358</v>
      </c>
      <c r="CF120" s="38">
        <f t="shared" si="106"/>
        <v>0</v>
      </c>
      <c r="CG120" s="38">
        <f t="shared" si="107"/>
        <v>0</v>
      </c>
    </row>
    <row r="121" spans="1:85" ht="15" customHeight="1" x14ac:dyDescent="0.25">
      <c r="A121" s="35" t="s">
        <v>84</v>
      </c>
      <c r="B121" s="15">
        <v>253</v>
      </c>
      <c r="C121" s="102" t="s">
        <v>97</v>
      </c>
      <c r="D121" s="103" t="s">
        <v>104</v>
      </c>
      <c r="E121" s="15">
        <v>85</v>
      </c>
      <c r="F121" s="15" t="s">
        <v>278</v>
      </c>
      <c r="G121" s="16">
        <v>0</v>
      </c>
      <c r="H121" s="16">
        <v>0</v>
      </c>
      <c r="I121" s="16">
        <v>0</v>
      </c>
      <c r="J121" s="16">
        <v>0</v>
      </c>
      <c r="K121" s="16">
        <v>0.26815441374966253</v>
      </c>
      <c r="L121" s="16">
        <v>0</v>
      </c>
      <c r="M121" s="16">
        <v>3.7999999999999999E-2</v>
      </c>
      <c r="N121" s="16">
        <v>53.45</v>
      </c>
      <c r="O121" s="16">
        <v>0</v>
      </c>
      <c r="P121" s="16">
        <v>0</v>
      </c>
      <c r="Q121" s="16">
        <v>42.72</v>
      </c>
      <c r="S121" s="16">
        <v>0.85399999999999998</v>
      </c>
      <c r="T121" s="16">
        <f t="shared" si="57"/>
        <v>97.330154413749668</v>
      </c>
      <c r="U121" s="16"/>
      <c r="V121" s="16" t="e">
        <f t="shared" si="108"/>
        <v>#VALUE!</v>
      </c>
      <c r="W121" s="16" t="e">
        <f t="shared" si="109"/>
        <v>#VALUE!</v>
      </c>
      <c r="X121" s="16" t="e">
        <f t="shared" si="110"/>
        <v>#VALUE!</v>
      </c>
      <c r="AB121" s="15" t="s">
        <v>185</v>
      </c>
      <c r="AG121" s="38">
        <f t="shared" si="58"/>
        <v>0</v>
      </c>
      <c r="AH121" s="38">
        <f t="shared" si="59"/>
        <v>0</v>
      </c>
      <c r="AI121" s="38">
        <f t="shared" si="60"/>
        <v>0</v>
      </c>
      <c r="AJ121" s="38">
        <f t="shared" si="61"/>
        <v>0</v>
      </c>
      <c r="AK121" s="38">
        <f t="shared" si="62"/>
        <v>0</v>
      </c>
      <c r="AL121" s="38">
        <f t="shared" si="63"/>
        <v>0</v>
      </c>
      <c r="AM121" s="38">
        <f t="shared" si="64"/>
        <v>0</v>
      </c>
      <c r="AN121" s="38">
        <f t="shared" si="65"/>
        <v>0</v>
      </c>
      <c r="AO121" s="38">
        <f t="shared" si="66"/>
        <v>0</v>
      </c>
      <c r="AP121" s="38">
        <f t="shared" si="67"/>
        <v>0</v>
      </c>
      <c r="AQ121" s="38">
        <f t="shared" si="68"/>
        <v>0</v>
      </c>
      <c r="AR121" s="38">
        <f t="shared" si="69"/>
        <v>0</v>
      </c>
      <c r="AS121" s="38">
        <f t="shared" si="70"/>
        <v>0</v>
      </c>
      <c r="AT121" s="39">
        <f t="shared" si="71"/>
        <v>0</v>
      </c>
      <c r="AU121" s="38">
        <f t="shared" si="72"/>
        <v>0</v>
      </c>
      <c r="AV121" s="38">
        <f t="shared" si="73"/>
        <v>0</v>
      </c>
      <c r="AW121" s="40"/>
      <c r="AX121" s="38" t="str">
        <f t="shared" si="74"/>
        <v/>
      </c>
      <c r="AY121" s="38" t="str">
        <f t="shared" si="75"/>
        <v/>
      </c>
      <c r="AZ121" s="38" t="str">
        <f t="shared" si="76"/>
        <v/>
      </c>
      <c r="BA121" s="38" t="str">
        <f t="shared" si="77"/>
        <v/>
      </c>
      <c r="BB121" s="38" t="str">
        <f t="shared" si="78"/>
        <v/>
      </c>
      <c r="BC121" s="38" t="str">
        <f t="shared" si="79"/>
        <v/>
      </c>
      <c r="BD121" s="38" t="str">
        <f t="shared" si="80"/>
        <v/>
      </c>
      <c r="BE121" s="38" t="str">
        <f t="shared" si="81"/>
        <v/>
      </c>
      <c r="BF121" s="38" t="str">
        <f t="shared" si="82"/>
        <v/>
      </c>
      <c r="BG121" s="38" t="str">
        <f t="shared" si="83"/>
        <v/>
      </c>
      <c r="BH121" s="38" t="str">
        <f t="shared" si="84"/>
        <v/>
      </c>
      <c r="BI121" s="38" t="str">
        <f t="shared" si="85"/>
        <v/>
      </c>
      <c r="BJ121" s="38" t="str">
        <f t="shared" si="86"/>
        <v/>
      </c>
      <c r="BK121" s="38" t="str">
        <f t="shared" si="87"/>
        <v/>
      </c>
      <c r="BL121" s="41" t="str">
        <f t="shared" si="88"/>
        <v/>
      </c>
      <c r="BN121" s="38" t="str">
        <f t="shared" si="89"/>
        <v/>
      </c>
      <c r="BO121" s="38" t="str">
        <f t="shared" si="90"/>
        <v/>
      </c>
      <c r="BQ121" s="38">
        <f t="shared" si="91"/>
        <v>0</v>
      </c>
      <c r="BR121" s="38">
        <f t="shared" si="92"/>
        <v>0</v>
      </c>
      <c r="BS121" s="38">
        <f t="shared" si="93"/>
        <v>0</v>
      </c>
      <c r="BT121" s="38">
        <f t="shared" si="94"/>
        <v>0</v>
      </c>
      <c r="BU121" s="38">
        <f t="shared" si="95"/>
        <v>3.7321421537879272E-3</v>
      </c>
      <c r="BV121" s="38">
        <f t="shared" si="96"/>
        <v>0</v>
      </c>
      <c r="BW121" s="38">
        <f t="shared" si="97"/>
        <v>9.4292803970223325E-4</v>
      </c>
      <c r="BX121" s="38">
        <f t="shared" si="98"/>
        <v>0.95310271041369476</v>
      </c>
      <c r="BY121" s="38">
        <f t="shared" si="99"/>
        <v>0</v>
      </c>
      <c r="BZ121" s="38">
        <f t="shared" si="100"/>
        <v>0</v>
      </c>
      <c r="CA121" s="38">
        <f t="shared" si="101"/>
        <v>0.60194448358461317</v>
      </c>
      <c r="CB121" s="38">
        <f t="shared" si="102"/>
        <v>0</v>
      </c>
      <c r="CC121" s="38">
        <f t="shared" si="103"/>
        <v>2.4090267983074752E-2</v>
      </c>
      <c r="CD121" s="38">
        <f t="shared" si="104"/>
        <v>1.559722264191798</v>
      </c>
      <c r="CE121" s="38">
        <f t="shared" si="105"/>
        <v>2.4505938555771802</v>
      </c>
      <c r="CF121" s="38">
        <f t="shared" si="106"/>
        <v>0</v>
      </c>
      <c r="CG121" s="38">
        <f t="shared" si="107"/>
        <v>0</v>
      </c>
    </row>
    <row r="122" spans="1:85" ht="15" customHeight="1" x14ac:dyDescent="0.25">
      <c r="A122" s="35" t="s">
        <v>84</v>
      </c>
      <c r="B122" s="15">
        <v>254</v>
      </c>
      <c r="C122" s="102" t="s">
        <v>97</v>
      </c>
      <c r="D122" s="103" t="s">
        <v>104</v>
      </c>
      <c r="E122" s="15">
        <v>86</v>
      </c>
      <c r="F122" s="15" t="s">
        <v>272</v>
      </c>
      <c r="G122" s="16">
        <v>6.5000000000000002E-2</v>
      </c>
      <c r="H122" s="16">
        <v>0.87</v>
      </c>
      <c r="I122" s="16">
        <v>1.133</v>
      </c>
      <c r="J122" s="16">
        <v>0.01</v>
      </c>
      <c r="K122" s="16">
        <v>89.95</v>
      </c>
      <c r="L122" s="16">
        <v>0.33</v>
      </c>
      <c r="M122" s="16">
        <v>0.2</v>
      </c>
      <c r="N122" s="16">
        <v>0.17899999999999999</v>
      </c>
      <c r="O122" s="16">
        <v>0</v>
      </c>
      <c r="P122" s="16">
        <v>0.01</v>
      </c>
      <c r="Q122" s="16">
        <v>0</v>
      </c>
      <c r="T122" s="16">
        <f t="shared" si="57"/>
        <v>92.747000000000014</v>
      </c>
      <c r="U122" s="16"/>
      <c r="V122" s="16">
        <f t="shared" si="108"/>
        <v>31.026940135966825</v>
      </c>
      <c r="W122" s="16">
        <f t="shared" si="109"/>
        <v>65.48119642690007</v>
      </c>
      <c r="X122" s="16">
        <f t="shared" si="110"/>
        <v>99.305136562866892</v>
      </c>
      <c r="AD122" s="15">
        <v>4</v>
      </c>
      <c r="AE122" s="15">
        <v>3</v>
      </c>
      <c r="AG122" s="38">
        <f t="shared" si="58"/>
        <v>3.2727377186135059E-3</v>
      </c>
      <c r="AH122" s="38">
        <f t="shared" si="59"/>
        <v>3.2946475763036956E-2</v>
      </c>
      <c r="AI122" s="38">
        <f t="shared" si="60"/>
        <v>6.7229185218384654E-2</v>
      </c>
      <c r="AJ122" s="38">
        <f t="shared" si="61"/>
        <v>3.9805469415356152E-4</v>
      </c>
      <c r="AK122" s="38">
        <f t="shared" si="62"/>
        <v>3.7870598122113877</v>
      </c>
      <c r="AL122" s="38">
        <f t="shared" si="63"/>
        <v>1.4071828219799789E-2</v>
      </c>
      <c r="AM122" s="38">
        <f t="shared" si="64"/>
        <v>1.5012489569329983E-2</v>
      </c>
      <c r="AN122" s="38">
        <f t="shared" si="65"/>
        <v>9.6554561346536786E-3</v>
      </c>
      <c r="AO122" s="38">
        <f t="shared" si="66"/>
        <v>0</v>
      </c>
      <c r="AP122" s="38">
        <f t="shared" si="67"/>
        <v>6.4225406543948855E-4</v>
      </c>
      <c r="AQ122" s="38">
        <f t="shared" si="68"/>
        <v>0</v>
      </c>
      <c r="AR122" s="38">
        <f t="shared" si="69"/>
        <v>0</v>
      </c>
      <c r="AS122" s="38">
        <f t="shared" si="70"/>
        <v>0</v>
      </c>
      <c r="AT122" s="39">
        <f t="shared" si="71"/>
        <v>3.9302882935947991</v>
      </c>
      <c r="AU122" s="38">
        <f t="shared" si="72"/>
        <v>7.0501922936998154E-2</v>
      </c>
      <c r="AV122" s="38">
        <f t="shared" si="73"/>
        <v>1.0297710200093168E-2</v>
      </c>
      <c r="AW122" s="40"/>
      <c r="AX122" s="38">
        <f t="shared" si="74"/>
        <v>2.4980898148976205E-3</v>
      </c>
      <c r="AY122" s="38">
        <f t="shared" si="75"/>
        <v>2.5148136702895237E-2</v>
      </c>
      <c r="AZ122" s="38">
        <f t="shared" si="76"/>
        <v>5.1316224304421808E-2</v>
      </c>
      <c r="BA122" s="38">
        <f t="shared" si="77"/>
        <v>3.0383625659390344E-4</v>
      </c>
      <c r="BB122" s="38">
        <f t="shared" si="78"/>
        <v>0.99709558056144809</v>
      </c>
      <c r="BC122" s="38">
        <f t="shared" si="79"/>
        <v>1.8935777207201667</v>
      </c>
      <c r="BD122" s="38">
        <f t="shared" si="80"/>
        <v>1.0741065668948013E-2</v>
      </c>
      <c r="BE122" s="38">
        <f t="shared" si="81"/>
        <v>1.1459075096701587E-2</v>
      </c>
      <c r="BF122" s="38">
        <f t="shared" si="82"/>
        <v>7.3700365571572951E-3</v>
      </c>
      <c r="BG122" s="38">
        <f t="shared" si="83"/>
        <v>0</v>
      </c>
      <c r="BH122" s="38">
        <f t="shared" si="84"/>
        <v>4.9023431676971754E-4</v>
      </c>
      <c r="BI122" s="38">
        <f t="shared" si="85"/>
        <v>0</v>
      </c>
      <c r="BJ122" s="38">
        <f t="shared" si="86"/>
        <v>0</v>
      </c>
      <c r="BK122" s="38">
        <f t="shared" si="87"/>
        <v>0</v>
      </c>
      <c r="BL122" s="41">
        <f t="shared" si="88"/>
        <v>3</v>
      </c>
      <c r="BM122" s="42">
        <f t="shared" ref="BM122:BM153" si="113">(AX122+AY122)*2+(AZ122+BA122+BC122)*1.5+BB122+BD122+BE122+BF122+(BG122+BH122)*0.5+BI122*2.5+BJ122*3  -(0.5*(BK122))</f>
        <v>3.9999999999999991</v>
      </c>
      <c r="BN122" s="38">
        <f t="shared" si="89"/>
        <v>5.3814314119319431E-2</v>
      </c>
      <c r="BO122" s="38">
        <f t="shared" si="90"/>
        <v>7.8602708739270132E-3</v>
      </c>
      <c r="BQ122" s="38">
        <f t="shared" si="91"/>
        <v>1.081890812250333E-3</v>
      </c>
      <c r="BR122" s="38">
        <f t="shared" si="92"/>
        <v>1.0891337005508263E-2</v>
      </c>
      <c r="BS122" s="38">
        <f t="shared" si="93"/>
        <v>2.2224401726167124E-2</v>
      </c>
      <c r="BT122" s="38">
        <f t="shared" si="94"/>
        <v>1.3158760444766102E-4</v>
      </c>
      <c r="BU122" s="38">
        <f t="shared" si="95"/>
        <v>1.2519137091162145</v>
      </c>
      <c r="BV122" s="38">
        <f t="shared" si="96"/>
        <v>4.6518184381167185E-3</v>
      </c>
      <c r="BW122" s="38">
        <f t="shared" si="97"/>
        <v>4.9627791563275443E-3</v>
      </c>
      <c r="BX122" s="38">
        <f t="shared" si="98"/>
        <v>3.1918687589158343E-3</v>
      </c>
      <c r="BY122" s="38">
        <f t="shared" si="99"/>
        <v>0</v>
      </c>
      <c r="BZ122" s="38">
        <f t="shared" si="100"/>
        <v>2.1231422505307856E-4</v>
      </c>
      <c r="CA122" s="38">
        <f t="shared" si="101"/>
        <v>0</v>
      </c>
      <c r="CB122" s="38">
        <f t="shared" si="102"/>
        <v>0</v>
      </c>
      <c r="CC122" s="38">
        <f t="shared" si="103"/>
        <v>0</v>
      </c>
      <c r="CD122" s="38">
        <f t="shared" si="104"/>
        <v>1.299261706843001</v>
      </c>
      <c r="CE122" s="38">
        <f t="shared" si="105"/>
        <v>1.3223067722135406</v>
      </c>
      <c r="CF122" s="38">
        <f t="shared" si="106"/>
        <v>2.3090036319853695</v>
      </c>
      <c r="CG122" s="38">
        <f t="shared" si="107"/>
        <v>3.0532111396399162</v>
      </c>
    </row>
    <row r="123" spans="1:85" ht="15" customHeight="1" x14ac:dyDescent="0.25">
      <c r="A123" s="35" t="s">
        <v>84</v>
      </c>
      <c r="B123" s="15">
        <v>255</v>
      </c>
      <c r="C123" s="102" t="s">
        <v>97</v>
      </c>
      <c r="D123" s="103" t="s">
        <v>104</v>
      </c>
      <c r="E123" s="15">
        <v>87</v>
      </c>
      <c r="F123" s="15" t="s">
        <v>272</v>
      </c>
      <c r="G123" s="16">
        <v>0.115</v>
      </c>
      <c r="H123" s="16">
        <v>0.216</v>
      </c>
      <c r="I123" s="16">
        <v>0.10199999999999999</v>
      </c>
      <c r="J123" s="16">
        <v>0</v>
      </c>
      <c r="K123" s="16">
        <v>91.87</v>
      </c>
      <c r="L123" s="16">
        <v>0.14499999999999999</v>
      </c>
      <c r="M123" s="16">
        <v>1.4999999999999999E-2</v>
      </c>
      <c r="N123" s="16">
        <v>0.14499999999999999</v>
      </c>
      <c r="O123" s="16">
        <v>0</v>
      </c>
      <c r="P123" s="16">
        <v>0.03</v>
      </c>
      <c r="Q123" s="16">
        <v>0</v>
      </c>
      <c r="T123" s="16">
        <f t="shared" si="57"/>
        <v>92.638000000000005</v>
      </c>
      <c r="U123" s="16"/>
      <c r="V123" s="16">
        <f t="shared" si="108"/>
        <v>30.797813659796095</v>
      </c>
      <c r="W123" s="16">
        <f t="shared" si="109"/>
        <v>67.8695206798686</v>
      </c>
      <c r="X123" s="16">
        <f t="shared" si="110"/>
        <v>99.435334339664692</v>
      </c>
      <c r="AD123" s="15">
        <v>4</v>
      </c>
      <c r="AE123" s="15">
        <v>3</v>
      </c>
      <c r="AG123" s="38">
        <f t="shared" si="58"/>
        <v>5.906877466336548E-3</v>
      </c>
      <c r="AH123" s="38">
        <f t="shared" si="59"/>
        <v>8.3446041678104065E-3</v>
      </c>
      <c r="AI123" s="38">
        <f t="shared" si="60"/>
        <v>6.1743377989842523E-3</v>
      </c>
      <c r="AJ123" s="38">
        <f t="shared" si="61"/>
        <v>0</v>
      </c>
      <c r="AK123" s="38">
        <f t="shared" si="62"/>
        <v>3.9458174526116498</v>
      </c>
      <c r="AL123" s="38">
        <f t="shared" si="63"/>
        <v>6.3076394915160964E-3</v>
      </c>
      <c r="AM123" s="38">
        <f t="shared" si="64"/>
        <v>1.1486196941768252E-3</v>
      </c>
      <c r="AN123" s="38">
        <f t="shared" si="65"/>
        <v>7.979028985880026E-3</v>
      </c>
      <c r="AO123" s="38">
        <f t="shared" si="66"/>
        <v>0</v>
      </c>
      <c r="AP123" s="38">
        <f t="shared" si="67"/>
        <v>1.9655785000138454E-3</v>
      </c>
      <c r="AQ123" s="38">
        <f t="shared" si="68"/>
        <v>0</v>
      </c>
      <c r="AR123" s="38">
        <f t="shared" si="69"/>
        <v>0</v>
      </c>
      <c r="AS123" s="38">
        <f t="shared" si="70"/>
        <v>0</v>
      </c>
      <c r="AT123" s="39">
        <f t="shared" si="71"/>
        <v>3.9836441387163681</v>
      </c>
      <c r="AU123" s="38">
        <f t="shared" si="72"/>
        <v>1.2081215265320799E-2</v>
      </c>
      <c r="AV123" s="38">
        <f t="shared" si="73"/>
        <v>9.9446074858938714E-3</v>
      </c>
      <c r="AW123" s="40"/>
      <c r="AX123" s="38">
        <f t="shared" si="74"/>
        <v>4.4483472373412561E-3</v>
      </c>
      <c r="AY123" s="38">
        <f t="shared" si="75"/>
        <v>6.2841487923411135E-3</v>
      </c>
      <c r="AZ123" s="38">
        <f t="shared" si="76"/>
        <v>4.6497660814957594E-3</v>
      </c>
      <c r="BA123" s="38">
        <f t="shared" si="77"/>
        <v>0</v>
      </c>
      <c r="BB123" s="38">
        <f t="shared" si="78"/>
        <v>0.99614802676192094</v>
      </c>
      <c r="BC123" s="38">
        <f t="shared" si="79"/>
        <v>1.9753654783699099</v>
      </c>
      <c r="BD123" s="38">
        <f t="shared" si="80"/>
        <v>4.7501528288231426E-3</v>
      </c>
      <c r="BE123" s="38">
        <f t="shared" si="81"/>
        <v>8.6500173272023725E-4</v>
      </c>
      <c r="BF123" s="38">
        <f t="shared" si="82"/>
        <v>6.0088416846774918E-3</v>
      </c>
      <c r="BG123" s="38">
        <f t="shared" si="83"/>
        <v>0</v>
      </c>
      <c r="BH123" s="38">
        <f t="shared" si="84"/>
        <v>1.4802365107696629E-3</v>
      </c>
      <c r="BI123" s="38">
        <f t="shared" si="85"/>
        <v>0</v>
      </c>
      <c r="BJ123" s="38">
        <f t="shared" si="86"/>
        <v>0</v>
      </c>
      <c r="BK123" s="38">
        <f t="shared" si="87"/>
        <v>0</v>
      </c>
      <c r="BL123" s="41">
        <f t="shared" si="88"/>
        <v>2.9999999999999996</v>
      </c>
      <c r="BM123" s="42">
        <f t="shared" si="113"/>
        <v>4</v>
      </c>
      <c r="BN123" s="38">
        <f t="shared" si="89"/>
        <v>9.0981133188370155E-3</v>
      </c>
      <c r="BO123" s="38">
        <f t="shared" si="90"/>
        <v>7.4890781954471547E-3</v>
      </c>
      <c r="BQ123" s="38">
        <f t="shared" si="91"/>
        <v>1.9141145139813583E-3</v>
      </c>
      <c r="BR123" s="38">
        <f t="shared" si="92"/>
        <v>2.7040560841261893E-3</v>
      </c>
      <c r="BS123" s="38">
        <f t="shared" si="93"/>
        <v>2.0007846214201647E-3</v>
      </c>
      <c r="BT123" s="38">
        <f t="shared" si="94"/>
        <v>0</v>
      </c>
      <c r="BU123" s="38">
        <f t="shared" si="95"/>
        <v>1.2786360473208074</v>
      </c>
      <c r="BV123" s="38">
        <f t="shared" si="96"/>
        <v>2.0439808288694669E-3</v>
      </c>
      <c r="BW123" s="38">
        <f t="shared" si="97"/>
        <v>3.7220843672456576E-4</v>
      </c>
      <c r="BX123" s="38">
        <f t="shared" si="98"/>
        <v>2.5855920114122681E-3</v>
      </c>
      <c r="BY123" s="38">
        <f t="shared" si="99"/>
        <v>0</v>
      </c>
      <c r="BZ123" s="38">
        <f t="shared" si="100"/>
        <v>6.3694267515923564E-4</v>
      </c>
      <c r="CA123" s="38">
        <f t="shared" si="101"/>
        <v>0</v>
      </c>
      <c r="CB123" s="38">
        <f t="shared" si="102"/>
        <v>0</v>
      </c>
      <c r="CC123" s="38">
        <f t="shared" si="103"/>
        <v>0</v>
      </c>
      <c r="CD123" s="38">
        <f t="shared" si="104"/>
        <v>1.2908937264925007</v>
      </c>
      <c r="CE123" s="38">
        <f t="shared" si="105"/>
        <v>1.2961938180637387</v>
      </c>
      <c r="CF123" s="38">
        <f t="shared" si="106"/>
        <v>2.3239713219083709</v>
      </c>
      <c r="CG123" s="38">
        <f t="shared" si="107"/>
        <v>3.012317260815045</v>
      </c>
    </row>
    <row r="124" spans="1:85" ht="15" customHeight="1" x14ac:dyDescent="0.25">
      <c r="A124" s="35" t="s">
        <v>84</v>
      </c>
      <c r="B124" s="15">
        <v>256</v>
      </c>
      <c r="C124" s="102" t="s">
        <v>97</v>
      </c>
      <c r="D124" s="103" t="s">
        <v>104</v>
      </c>
      <c r="E124" s="15">
        <v>88</v>
      </c>
      <c r="F124" s="15" t="s">
        <v>272</v>
      </c>
      <c r="G124" s="16">
        <v>0.104</v>
      </c>
      <c r="H124" s="16">
        <v>0.128</v>
      </c>
      <c r="I124" s="16">
        <v>4.2999999999999997E-2</v>
      </c>
      <c r="J124" s="16">
        <v>0</v>
      </c>
      <c r="K124" s="16">
        <v>91.51</v>
      </c>
      <c r="L124" s="16">
        <v>0.11700000000000001</v>
      </c>
      <c r="M124" s="16">
        <v>3.5000000000000003E-2</v>
      </c>
      <c r="N124" s="16">
        <v>0.16700000000000001</v>
      </c>
      <c r="O124" s="16">
        <v>6.5000000000000002E-2</v>
      </c>
      <c r="P124" s="16">
        <v>0.03</v>
      </c>
      <c r="Q124" s="16">
        <v>0</v>
      </c>
      <c r="T124" s="16">
        <f t="shared" si="57"/>
        <v>92.199000000000012</v>
      </c>
      <c r="U124" s="16"/>
      <c r="V124" s="16">
        <f t="shared" si="108"/>
        <v>30.252191333829945</v>
      </c>
      <c r="W124" s="16">
        <f t="shared" si="109"/>
        <v>68.075802770714787</v>
      </c>
      <c r="X124" s="16">
        <f t="shared" si="110"/>
        <v>99.016994104544722</v>
      </c>
      <c r="AD124" s="15">
        <v>4</v>
      </c>
      <c r="AE124" s="15">
        <v>3</v>
      </c>
      <c r="AG124" s="38">
        <f t="shared" si="58"/>
        <v>5.3741003670946339E-3</v>
      </c>
      <c r="AH124" s="38">
        <f t="shared" si="59"/>
        <v>4.9747844852670647E-3</v>
      </c>
      <c r="AI124" s="38">
        <f t="shared" si="60"/>
        <v>2.6186109659080033E-3</v>
      </c>
      <c r="AJ124" s="38">
        <f t="shared" si="61"/>
        <v>0</v>
      </c>
      <c r="AK124" s="38">
        <f t="shared" si="62"/>
        <v>3.9540680624079583</v>
      </c>
      <c r="AL124" s="38">
        <f t="shared" si="63"/>
        <v>5.1203191966722062E-3</v>
      </c>
      <c r="AM124" s="38">
        <f t="shared" si="64"/>
        <v>2.6962822704539508E-3</v>
      </c>
      <c r="AN124" s="38">
        <f t="shared" si="65"/>
        <v>9.2450832017434963E-3</v>
      </c>
      <c r="AO124" s="38">
        <f t="shared" si="66"/>
        <v>6.5116963144370285E-3</v>
      </c>
      <c r="AP124" s="38">
        <f t="shared" si="67"/>
        <v>1.9774372247369281E-3</v>
      </c>
      <c r="AQ124" s="38">
        <f t="shared" si="68"/>
        <v>0</v>
      </c>
      <c r="AR124" s="38">
        <f t="shared" si="69"/>
        <v>0</v>
      </c>
      <c r="AS124" s="38">
        <f t="shared" si="70"/>
        <v>0</v>
      </c>
      <c r="AT124" s="39">
        <f t="shared" si="71"/>
        <v>3.9925863764342715</v>
      </c>
      <c r="AU124" s="38">
        <f t="shared" si="72"/>
        <v>7.9927113330026372E-3</v>
      </c>
      <c r="AV124" s="38">
        <f t="shared" si="73"/>
        <v>1.7734216740917453E-2</v>
      </c>
      <c r="AW124" s="40"/>
      <c r="AX124" s="38">
        <f t="shared" si="74"/>
        <v>4.0380594384741963E-3</v>
      </c>
      <c r="AY124" s="38">
        <f t="shared" si="75"/>
        <v>3.7380164256158046E-3</v>
      </c>
      <c r="AZ124" s="38">
        <f t="shared" si="76"/>
        <v>1.9676049951209708E-3</v>
      </c>
      <c r="BA124" s="38">
        <f t="shared" si="77"/>
        <v>0</v>
      </c>
      <c r="BB124" s="38">
        <f t="shared" si="78"/>
        <v>0.98219870680717936</v>
      </c>
      <c r="BC124" s="38">
        <f t="shared" si="79"/>
        <v>1.9888589157001286</v>
      </c>
      <c r="BD124" s="38">
        <f t="shared" si="80"/>
        <v>3.8473701359807012E-3</v>
      </c>
      <c r="BE124" s="38">
        <f t="shared" si="81"/>
        <v>2.0259666413493848E-3</v>
      </c>
      <c r="BF124" s="38">
        <f t="shared" si="82"/>
        <v>6.946687432721364E-3</v>
      </c>
      <c r="BG124" s="38">
        <f t="shared" si="83"/>
        <v>4.892840655524559E-3</v>
      </c>
      <c r="BH124" s="38">
        <f t="shared" si="84"/>
        <v>1.485831767905008E-3</v>
      </c>
      <c r="BI124" s="38">
        <f t="shared" si="85"/>
        <v>0</v>
      </c>
      <c r="BJ124" s="38">
        <f t="shared" si="86"/>
        <v>0</v>
      </c>
      <c r="BK124" s="38">
        <f t="shared" si="87"/>
        <v>0</v>
      </c>
      <c r="BL124" s="41">
        <f t="shared" si="88"/>
        <v>3.0000000000000004</v>
      </c>
      <c r="BM124" s="42">
        <f t="shared" si="113"/>
        <v>4</v>
      </c>
      <c r="BN124" s="38">
        <f t="shared" si="89"/>
        <v>6.0056644335951676E-3</v>
      </c>
      <c r="BO124" s="38">
        <f t="shared" si="90"/>
        <v>1.3325359856150932E-2</v>
      </c>
      <c r="BQ124" s="38">
        <f t="shared" si="91"/>
        <v>1.7310252996005325E-3</v>
      </c>
      <c r="BR124" s="38">
        <f t="shared" si="92"/>
        <v>1.6024036054081124E-3</v>
      </c>
      <c r="BS124" s="38">
        <f t="shared" si="93"/>
        <v>8.4346802667712828E-4</v>
      </c>
      <c r="BT124" s="38">
        <f t="shared" si="94"/>
        <v>0</v>
      </c>
      <c r="BU124" s="38">
        <f t="shared" si="95"/>
        <v>1.2736256089074462</v>
      </c>
      <c r="BV124" s="38">
        <f t="shared" si="96"/>
        <v>1.6492810826050184E-3</v>
      </c>
      <c r="BW124" s="38">
        <f t="shared" si="97"/>
        <v>8.6848635235732021E-4</v>
      </c>
      <c r="BX124" s="38">
        <f t="shared" si="98"/>
        <v>2.9778887303851644E-3</v>
      </c>
      <c r="BY124" s="38">
        <f t="shared" si="99"/>
        <v>2.0974507905776058E-3</v>
      </c>
      <c r="BZ124" s="38">
        <f t="shared" si="100"/>
        <v>6.3694267515923564E-4</v>
      </c>
      <c r="CA124" s="38">
        <f t="shared" si="101"/>
        <v>0</v>
      </c>
      <c r="CB124" s="38">
        <f t="shared" si="102"/>
        <v>0</v>
      </c>
      <c r="CC124" s="38">
        <f t="shared" si="103"/>
        <v>0</v>
      </c>
      <c r="CD124" s="38">
        <f t="shared" si="104"/>
        <v>1.2860325554702163</v>
      </c>
      <c r="CE124" s="38">
        <f t="shared" si="105"/>
        <v>1.288420521655695</v>
      </c>
      <c r="CF124" s="38">
        <f t="shared" si="106"/>
        <v>2.3327558756108626</v>
      </c>
      <c r="CG124" s="38">
        <f t="shared" si="107"/>
        <v>3.0055705421499352</v>
      </c>
    </row>
    <row r="125" spans="1:85" ht="15" customHeight="1" x14ac:dyDescent="0.25">
      <c r="A125" s="35" t="s">
        <v>256</v>
      </c>
      <c r="B125" s="15">
        <v>1202</v>
      </c>
      <c r="C125" s="102" t="s">
        <v>99</v>
      </c>
      <c r="D125" s="103" t="s">
        <v>105</v>
      </c>
      <c r="E125" s="15">
        <v>35</v>
      </c>
      <c r="F125" s="15" t="s">
        <v>274</v>
      </c>
      <c r="G125" s="16">
        <v>30.15</v>
      </c>
      <c r="H125" s="16">
        <v>36.6</v>
      </c>
      <c r="I125" s="16">
        <v>0.94099999999999995</v>
      </c>
      <c r="J125" s="16">
        <v>0.03</v>
      </c>
      <c r="K125" s="16">
        <v>1.68</v>
      </c>
      <c r="L125" s="16">
        <v>5.7000000000000002E-2</v>
      </c>
      <c r="M125" s="16">
        <v>6.7000000000000004E-2</v>
      </c>
      <c r="N125" s="16">
        <v>27.76</v>
      </c>
      <c r="O125" s="16">
        <v>3.9E-2</v>
      </c>
      <c r="P125" s="16">
        <v>0</v>
      </c>
      <c r="Q125" s="16">
        <v>0</v>
      </c>
      <c r="T125" s="16">
        <f t="shared" si="57"/>
        <v>97.324000000000012</v>
      </c>
      <c r="U125" s="16"/>
      <c r="V125" s="16">
        <f t="shared" si="108"/>
        <v>0</v>
      </c>
      <c r="W125" s="16">
        <f t="shared" si="109"/>
        <v>1.8669839999999998</v>
      </c>
      <c r="X125" s="16">
        <f t="shared" si="110"/>
        <v>97.510984000000008</v>
      </c>
      <c r="AB125" s="15" t="s">
        <v>185</v>
      </c>
      <c r="AD125" s="15">
        <v>5</v>
      </c>
      <c r="AE125" s="15">
        <v>3</v>
      </c>
      <c r="AG125" s="38">
        <f t="shared" si="58"/>
        <v>1.0159341635382637</v>
      </c>
      <c r="AH125" s="38">
        <f t="shared" si="59"/>
        <v>0.92757962746809575</v>
      </c>
      <c r="AI125" s="38">
        <f t="shared" si="60"/>
        <v>3.736783741629341E-2</v>
      </c>
      <c r="AJ125" s="38">
        <f t="shared" si="61"/>
        <v>7.9917963371351527E-4</v>
      </c>
      <c r="AK125" s="38">
        <f t="shared" si="62"/>
        <v>4.7335904673448594E-2</v>
      </c>
      <c r="AL125" s="38">
        <f t="shared" si="63"/>
        <v>1.626641484377098E-3</v>
      </c>
      <c r="AM125" s="38">
        <f t="shared" si="64"/>
        <v>3.3657195779089547E-3</v>
      </c>
      <c r="AN125" s="38">
        <f t="shared" si="65"/>
        <v>1.0021197681230782</v>
      </c>
      <c r="AO125" s="38">
        <f t="shared" si="66"/>
        <v>2.5477171069143651E-3</v>
      </c>
      <c r="AP125" s="38">
        <f t="shared" si="67"/>
        <v>0</v>
      </c>
      <c r="AQ125" s="38">
        <f t="shared" si="68"/>
        <v>0</v>
      </c>
      <c r="AR125" s="38">
        <f t="shared" si="69"/>
        <v>0</v>
      </c>
      <c r="AS125" s="38">
        <f t="shared" si="70"/>
        <v>0</v>
      </c>
      <c r="AT125" s="39">
        <f t="shared" si="71"/>
        <v>3.0386765590220932</v>
      </c>
      <c r="AU125" s="38">
        <f t="shared" si="72"/>
        <v>1.0533020009545571</v>
      </c>
      <c r="AV125" s="38">
        <f t="shared" si="73"/>
        <v>1.0046674852299926</v>
      </c>
      <c r="AW125" s="40"/>
      <c r="AX125" s="38">
        <f t="shared" si="74"/>
        <v>1.003003258627708</v>
      </c>
      <c r="AY125" s="38">
        <f t="shared" si="75"/>
        <v>0.91577330734397988</v>
      </c>
      <c r="AZ125" s="38">
        <f t="shared" si="76"/>
        <v>3.6892216091915141E-2</v>
      </c>
      <c r="BA125" s="38">
        <f t="shared" si="77"/>
        <v>7.890076007010502E-4</v>
      </c>
      <c r="BB125" s="38">
        <f t="shared" si="78"/>
        <v>0</v>
      </c>
      <c r="BC125" s="38">
        <f t="shared" si="79"/>
        <v>4.6733408858113758E-2</v>
      </c>
      <c r="BD125" s="38">
        <f t="shared" si="80"/>
        <v>1.6059374396535805E-3</v>
      </c>
      <c r="BE125" s="38">
        <f t="shared" si="81"/>
        <v>3.3228803848002592E-3</v>
      </c>
      <c r="BF125" s="38">
        <f t="shared" si="82"/>
        <v>0.98936469412747907</v>
      </c>
      <c r="BG125" s="38">
        <f t="shared" si="83"/>
        <v>2.5152895256488933E-3</v>
      </c>
      <c r="BH125" s="38">
        <f t="shared" si="84"/>
        <v>0</v>
      </c>
      <c r="BI125" s="38">
        <f t="shared" si="85"/>
        <v>0</v>
      </c>
      <c r="BJ125" s="38">
        <f t="shared" si="86"/>
        <v>0</v>
      </c>
      <c r="BK125" s="38">
        <f t="shared" si="87"/>
        <v>0</v>
      </c>
      <c r="BL125" s="41">
        <f t="shared" si="88"/>
        <v>3.0000000000000004</v>
      </c>
      <c r="BM125" s="42">
        <f t="shared" si="113"/>
        <v>4.9597262374842286</v>
      </c>
      <c r="BN125" s="38">
        <f t="shared" si="89"/>
        <v>1.0398954747196232</v>
      </c>
      <c r="BO125" s="38">
        <f t="shared" si="90"/>
        <v>0.99187998365312802</v>
      </c>
      <c r="BQ125" s="38">
        <f t="shared" si="91"/>
        <v>0.50183089214380827</v>
      </c>
      <c r="BR125" s="38">
        <f t="shared" si="92"/>
        <v>0.45818728092138211</v>
      </c>
      <c r="BS125" s="38">
        <f t="shared" si="93"/>
        <v>1.8458218909376226E-2</v>
      </c>
      <c r="BT125" s="38">
        <f t="shared" si="94"/>
        <v>3.9476281334298308E-4</v>
      </c>
      <c r="BU125" s="38">
        <f t="shared" si="95"/>
        <v>2.338204592901879E-2</v>
      </c>
      <c r="BV125" s="38">
        <f t="shared" si="96"/>
        <v>8.034959120383423E-4</v>
      </c>
      <c r="BW125" s="38">
        <f t="shared" si="97"/>
        <v>1.6625310173697273E-3</v>
      </c>
      <c r="BX125" s="38">
        <f t="shared" si="98"/>
        <v>0.49500713266761776</v>
      </c>
      <c r="BY125" s="38">
        <f t="shared" si="99"/>
        <v>1.2584704743465634E-3</v>
      </c>
      <c r="BZ125" s="38">
        <f t="shared" si="100"/>
        <v>0</v>
      </c>
      <c r="CA125" s="38">
        <f t="shared" si="101"/>
        <v>0</v>
      </c>
      <c r="CB125" s="38">
        <f t="shared" si="102"/>
        <v>0</v>
      </c>
      <c r="CC125" s="38">
        <f t="shared" si="103"/>
        <v>0</v>
      </c>
      <c r="CD125" s="38">
        <f t="shared" si="104"/>
        <v>1.5009848307883009</v>
      </c>
      <c r="CE125" s="38">
        <f t="shared" si="105"/>
        <v>2.4698002594776778</v>
      </c>
      <c r="CF125" s="38">
        <f t="shared" si="106"/>
        <v>1.9986877538425438</v>
      </c>
      <c r="CG125" s="38">
        <f t="shared" si="107"/>
        <v>4.9363595330551719</v>
      </c>
    </row>
    <row r="126" spans="1:85" ht="15" customHeight="1" x14ac:dyDescent="0.25">
      <c r="A126" s="35" t="s">
        <v>256</v>
      </c>
      <c r="B126" s="15">
        <v>1203</v>
      </c>
      <c r="C126" s="102" t="s">
        <v>99</v>
      </c>
      <c r="D126" s="103" t="s">
        <v>105</v>
      </c>
      <c r="E126" s="15">
        <v>36</v>
      </c>
      <c r="F126" s="15" t="s">
        <v>274</v>
      </c>
      <c r="G126" s="16">
        <v>29.89</v>
      </c>
      <c r="H126" s="16">
        <v>37.450000000000003</v>
      </c>
      <c r="I126" s="16">
        <v>0.748</v>
      </c>
      <c r="J126" s="16">
        <v>0</v>
      </c>
      <c r="K126" s="16">
        <v>1.27</v>
      </c>
      <c r="L126" s="16">
        <v>0.107</v>
      </c>
      <c r="M126" s="16">
        <v>5.5E-2</v>
      </c>
      <c r="N126" s="16">
        <v>27.76</v>
      </c>
      <c r="O126" s="16">
        <v>5.0999999999999997E-2</v>
      </c>
      <c r="P126" s="16">
        <v>0</v>
      </c>
      <c r="Q126" s="16">
        <v>0</v>
      </c>
      <c r="T126" s="16">
        <f t="shared" si="57"/>
        <v>97.331000000000017</v>
      </c>
      <c r="U126" s="16"/>
      <c r="V126" s="16">
        <f t="shared" si="108"/>
        <v>0</v>
      </c>
      <c r="W126" s="16">
        <f t="shared" si="109"/>
        <v>1.411351</v>
      </c>
      <c r="X126" s="16">
        <f t="shared" si="110"/>
        <v>97.472351000000003</v>
      </c>
      <c r="AB126" s="15" t="s">
        <v>185</v>
      </c>
      <c r="AD126" s="15">
        <v>5</v>
      </c>
      <c r="AE126" s="15">
        <v>3</v>
      </c>
      <c r="AG126" s="38">
        <f t="shared" si="58"/>
        <v>1.0066636022280659</v>
      </c>
      <c r="AH126" s="38">
        <f t="shared" si="59"/>
        <v>0.94864154644426468</v>
      </c>
      <c r="AI126" s="38">
        <f t="shared" si="60"/>
        <v>2.9688628946881946E-2</v>
      </c>
      <c r="AJ126" s="38">
        <f t="shared" si="61"/>
        <v>0</v>
      </c>
      <c r="AK126" s="38">
        <f t="shared" si="62"/>
        <v>3.5765584229516575E-2</v>
      </c>
      <c r="AL126" s="38">
        <f t="shared" si="63"/>
        <v>3.0519749780485664E-3</v>
      </c>
      <c r="AM126" s="38">
        <f t="shared" si="64"/>
        <v>2.761506173755732E-3</v>
      </c>
      <c r="AN126" s="38">
        <f t="shared" si="65"/>
        <v>1.0016127216811708</v>
      </c>
      <c r="AO126" s="38">
        <f t="shared" si="66"/>
        <v>3.3299443450498139E-3</v>
      </c>
      <c r="AP126" s="38">
        <f t="shared" si="67"/>
        <v>0</v>
      </c>
      <c r="AQ126" s="38">
        <f t="shared" si="68"/>
        <v>0</v>
      </c>
      <c r="AR126" s="38">
        <f t="shared" si="69"/>
        <v>0</v>
      </c>
      <c r="AS126" s="38">
        <f t="shared" si="70"/>
        <v>0</v>
      </c>
      <c r="AT126" s="39">
        <f t="shared" si="71"/>
        <v>3.0315155090267534</v>
      </c>
      <c r="AU126" s="38">
        <f t="shared" si="72"/>
        <v>1.0363522311749478</v>
      </c>
      <c r="AV126" s="38">
        <f t="shared" si="73"/>
        <v>1.0049426660262206</v>
      </c>
      <c r="AW126" s="40"/>
      <c r="AX126" s="38">
        <f t="shared" si="74"/>
        <v>0.99619836932773731</v>
      </c>
      <c r="AY126" s="38">
        <f t="shared" si="75"/>
        <v>0.93877950842034696</v>
      </c>
      <c r="AZ126" s="38">
        <f t="shared" si="76"/>
        <v>2.9379987196318121E-2</v>
      </c>
      <c r="BA126" s="38">
        <f t="shared" si="77"/>
        <v>0</v>
      </c>
      <c r="BB126" s="38">
        <f t="shared" si="78"/>
        <v>0</v>
      </c>
      <c r="BC126" s="38">
        <f t="shared" si="79"/>
        <v>3.5393766704824338E-2</v>
      </c>
      <c r="BD126" s="38">
        <f t="shared" si="80"/>
        <v>3.0202467732336103E-3</v>
      </c>
      <c r="BE126" s="38">
        <f t="shared" si="81"/>
        <v>2.7327976705376908E-3</v>
      </c>
      <c r="BF126" s="38">
        <f t="shared" si="82"/>
        <v>0.9911999975247342</v>
      </c>
      <c r="BG126" s="38">
        <f t="shared" si="83"/>
        <v>3.2953263822676614E-3</v>
      </c>
      <c r="BH126" s="38">
        <f t="shared" si="84"/>
        <v>0</v>
      </c>
      <c r="BI126" s="38">
        <f t="shared" si="85"/>
        <v>0</v>
      </c>
      <c r="BJ126" s="38">
        <f t="shared" si="86"/>
        <v>0</v>
      </c>
      <c r="BK126" s="38">
        <f t="shared" si="87"/>
        <v>0</v>
      </c>
      <c r="BL126" s="41">
        <f t="shared" si="88"/>
        <v>2.9999999999999996</v>
      </c>
      <c r="BM126" s="42">
        <f t="shared" si="113"/>
        <v>4.9657170915075222</v>
      </c>
      <c r="BN126" s="38">
        <f t="shared" si="89"/>
        <v>1.0255783565240555</v>
      </c>
      <c r="BO126" s="38">
        <f t="shared" si="90"/>
        <v>0.9944953239070019</v>
      </c>
      <c r="BQ126" s="38">
        <f t="shared" si="91"/>
        <v>0.49750332889480697</v>
      </c>
      <c r="BR126" s="38">
        <f t="shared" si="92"/>
        <v>0.46882824236354537</v>
      </c>
      <c r="BS126" s="38">
        <f t="shared" si="93"/>
        <v>1.467242055708121E-2</v>
      </c>
      <c r="BT126" s="38">
        <f t="shared" si="94"/>
        <v>0</v>
      </c>
      <c r="BU126" s="38">
        <f t="shared" si="95"/>
        <v>1.7675713291579683E-2</v>
      </c>
      <c r="BV126" s="38">
        <f t="shared" si="96"/>
        <v>1.5083168875105724E-3</v>
      </c>
      <c r="BW126" s="38">
        <f t="shared" si="97"/>
        <v>1.3647642679900744E-3</v>
      </c>
      <c r="BX126" s="38">
        <f t="shared" si="98"/>
        <v>0.49500713266761776</v>
      </c>
      <c r="BY126" s="38">
        <f t="shared" si="99"/>
        <v>1.6456921587608905E-3</v>
      </c>
      <c r="BZ126" s="38">
        <f t="shared" si="100"/>
        <v>0</v>
      </c>
      <c r="CA126" s="38">
        <f t="shared" si="101"/>
        <v>0</v>
      </c>
      <c r="CB126" s="38">
        <f t="shared" si="102"/>
        <v>0</v>
      </c>
      <c r="CC126" s="38">
        <f t="shared" si="103"/>
        <v>0</v>
      </c>
      <c r="CD126" s="38">
        <f t="shared" si="104"/>
        <v>1.4982056110888926</v>
      </c>
      <c r="CE126" s="38">
        <f t="shared" si="105"/>
        <v>2.471050546546405</v>
      </c>
      <c r="CF126" s="38">
        <f t="shared" si="106"/>
        <v>2.0023953840485262</v>
      </c>
      <c r="CG126" s="38">
        <f t="shared" si="107"/>
        <v>4.9480202081551097</v>
      </c>
    </row>
    <row r="127" spans="1:85" ht="15" customHeight="1" x14ac:dyDescent="0.25">
      <c r="A127" s="35" t="s">
        <v>256</v>
      </c>
      <c r="B127" s="15">
        <v>1204</v>
      </c>
      <c r="C127" s="102" t="s">
        <v>99</v>
      </c>
      <c r="D127" s="103" t="s">
        <v>105</v>
      </c>
      <c r="E127" s="15">
        <v>37</v>
      </c>
      <c r="F127" s="15" t="s">
        <v>274</v>
      </c>
      <c r="G127" s="16">
        <v>30.01</v>
      </c>
      <c r="H127" s="16">
        <v>36.67</v>
      </c>
      <c r="I127" s="16">
        <v>0.96499999999999997</v>
      </c>
      <c r="J127" s="16">
        <v>3.1E-2</v>
      </c>
      <c r="K127" s="16">
        <v>1.52</v>
      </c>
      <c r="L127" s="16">
        <v>0.13</v>
      </c>
      <c r="M127" s="16">
        <v>6.9000000000000006E-2</v>
      </c>
      <c r="N127" s="16">
        <v>27.87</v>
      </c>
      <c r="O127" s="16">
        <v>4.5999999999999999E-2</v>
      </c>
      <c r="P127" s="16">
        <v>0</v>
      </c>
      <c r="Q127" s="16">
        <v>0</v>
      </c>
      <c r="T127" s="16">
        <f t="shared" si="57"/>
        <v>97.311000000000021</v>
      </c>
      <c r="U127" s="16"/>
      <c r="V127" s="16">
        <f t="shared" si="108"/>
        <v>0</v>
      </c>
      <c r="W127" s="16">
        <f t="shared" si="109"/>
        <v>1.6891760000000002</v>
      </c>
      <c r="X127" s="16">
        <f t="shared" si="110"/>
        <v>97.480176000000029</v>
      </c>
      <c r="AB127" s="15" t="s">
        <v>185</v>
      </c>
      <c r="AD127" s="15">
        <v>5</v>
      </c>
      <c r="AE127" s="15">
        <v>3</v>
      </c>
      <c r="AG127" s="38">
        <f t="shared" si="58"/>
        <v>1.011731109937213</v>
      </c>
      <c r="AH127" s="38">
        <f t="shared" si="59"/>
        <v>0.92982643010999666</v>
      </c>
      <c r="AI127" s="38">
        <f t="shared" si="60"/>
        <v>3.8340389026236571E-2</v>
      </c>
      <c r="AJ127" s="38">
        <f t="shared" si="61"/>
        <v>8.2623903207817734E-4</v>
      </c>
      <c r="AK127" s="38">
        <f t="shared" si="62"/>
        <v>4.284950886435776E-2</v>
      </c>
      <c r="AL127" s="38">
        <f t="shared" si="63"/>
        <v>3.7117712294631273E-3</v>
      </c>
      <c r="AM127" s="38">
        <f t="shared" si="64"/>
        <v>3.4679519985206879E-3</v>
      </c>
      <c r="AN127" s="38">
        <f t="shared" si="65"/>
        <v>1.006602481602497</v>
      </c>
      <c r="AO127" s="38">
        <f t="shared" si="66"/>
        <v>3.0065282465393936E-3</v>
      </c>
      <c r="AP127" s="38">
        <f t="shared" si="67"/>
        <v>0</v>
      </c>
      <c r="AQ127" s="38">
        <f t="shared" si="68"/>
        <v>0</v>
      </c>
      <c r="AR127" s="38">
        <f t="shared" si="69"/>
        <v>0</v>
      </c>
      <c r="AS127" s="38">
        <f t="shared" si="70"/>
        <v>0</v>
      </c>
      <c r="AT127" s="39">
        <f t="shared" si="71"/>
        <v>3.0403624100469022</v>
      </c>
      <c r="AU127" s="38">
        <f t="shared" si="72"/>
        <v>1.0500714989634496</v>
      </c>
      <c r="AV127" s="38">
        <f t="shared" si="73"/>
        <v>1.0096090098490365</v>
      </c>
      <c r="AW127" s="40"/>
      <c r="AX127" s="38">
        <f t="shared" si="74"/>
        <v>0.99829984734116473</v>
      </c>
      <c r="AY127" s="38">
        <f t="shared" si="75"/>
        <v>0.91748249521574543</v>
      </c>
      <c r="AZ127" s="38">
        <f t="shared" si="76"/>
        <v>3.7831400197101933E-2</v>
      </c>
      <c r="BA127" s="38">
        <f t="shared" si="77"/>
        <v>8.1527027437373607E-4</v>
      </c>
      <c r="BB127" s="38">
        <f t="shared" si="78"/>
        <v>0</v>
      </c>
      <c r="BC127" s="38">
        <f t="shared" si="79"/>
        <v>4.2280659097837681E-2</v>
      </c>
      <c r="BD127" s="38">
        <f t="shared" si="80"/>
        <v>3.6624955142165439E-3</v>
      </c>
      <c r="BE127" s="38">
        <f t="shared" si="81"/>
        <v>3.4219131117995787E-3</v>
      </c>
      <c r="BF127" s="38">
        <f t="shared" si="82"/>
        <v>0.99323930424495177</v>
      </c>
      <c r="BG127" s="38">
        <f t="shared" si="83"/>
        <v>2.9666150028078522E-3</v>
      </c>
      <c r="BH127" s="38">
        <f t="shared" si="84"/>
        <v>0</v>
      </c>
      <c r="BI127" s="38">
        <f t="shared" si="85"/>
        <v>0</v>
      </c>
      <c r="BJ127" s="38">
        <f t="shared" si="86"/>
        <v>0</v>
      </c>
      <c r="BK127" s="38">
        <f t="shared" si="87"/>
        <v>0</v>
      </c>
      <c r="BL127" s="41">
        <f t="shared" si="88"/>
        <v>2.9999999999999991</v>
      </c>
      <c r="BM127" s="42">
        <f t="shared" si="113"/>
        <v>4.9547626998401624</v>
      </c>
      <c r="BN127" s="38">
        <f t="shared" si="89"/>
        <v>1.0361312475382667</v>
      </c>
      <c r="BO127" s="38">
        <f t="shared" si="90"/>
        <v>0.99620591924775959</v>
      </c>
      <c r="BQ127" s="38">
        <f t="shared" si="91"/>
        <v>0.49950066577896141</v>
      </c>
      <c r="BR127" s="38">
        <f t="shared" si="92"/>
        <v>0.45906359539308966</v>
      </c>
      <c r="BS127" s="38">
        <f t="shared" si="93"/>
        <v>1.892899176147509E-2</v>
      </c>
      <c r="BT127" s="38">
        <f t="shared" si="94"/>
        <v>4.0792157378774919E-4</v>
      </c>
      <c r="BU127" s="38">
        <f t="shared" si="95"/>
        <v>2.1155184411969383E-2</v>
      </c>
      <c r="BV127" s="38">
        <f t="shared" si="96"/>
        <v>1.8325345362277983E-3</v>
      </c>
      <c r="BW127" s="38">
        <f t="shared" si="97"/>
        <v>1.7121588089330027E-3</v>
      </c>
      <c r="BX127" s="38">
        <f t="shared" si="98"/>
        <v>0.49696861626248218</v>
      </c>
      <c r="BY127" s="38">
        <f t="shared" si="99"/>
        <v>1.484349790254921E-3</v>
      </c>
      <c r="BZ127" s="38">
        <f t="shared" si="100"/>
        <v>0</v>
      </c>
      <c r="CA127" s="38">
        <f t="shared" si="101"/>
        <v>0</v>
      </c>
      <c r="CB127" s="38">
        <f t="shared" si="102"/>
        <v>0</v>
      </c>
      <c r="CC127" s="38">
        <f t="shared" si="103"/>
        <v>0</v>
      </c>
      <c r="CD127" s="38">
        <f t="shared" si="104"/>
        <v>1.5010540183171814</v>
      </c>
      <c r="CE127" s="38">
        <f t="shared" si="105"/>
        <v>2.4685445612617363</v>
      </c>
      <c r="CF127" s="38">
        <f t="shared" si="106"/>
        <v>1.9985956290655507</v>
      </c>
      <c r="CG127" s="38">
        <f t="shared" si="107"/>
        <v>4.9336223702912436</v>
      </c>
    </row>
    <row r="128" spans="1:85" ht="15" customHeight="1" x14ac:dyDescent="0.25">
      <c r="A128" s="35" t="s">
        <v>256</v>
      </c>
      <c r="B128" s="15">
        <v>1212</v>
      </c>
      <c r="C128" s="102" t="s">
        <v>99</v>
      </c>
      <c r="D128" s="103" t="s">
        <v>105</v>
      </c>
      <c r="E128" s="15">
        <v>45</v>
      </c>
      <c r="F128" s="15" t="s">
        <v>272</v>
      </c>
      <c r="G128" s="16">
        <v>4.9000000000000002E-2</v>
      </c>
      <c r="H128" s="16">
        <v>0.55800000000000005</v>
      </c>
      <c r="I128" s="16">
        <v>0.55500000000000005</v>
      </c>
      <c r="J128" s="16">
        <v>0.10100000000000001</v>
      </c>
      <c r="K128" s="16">
        <v>90.74</v>
      </c>
      <c r="L128" s="16">
        <v>0.14799999999999999</v>
      </c>
      <c r="M128" s="16">
        <v>2.7E-2</v>
      </c>
      <c r="N128" s="16">
        <v>4.3999999999999997E-2</v>
      </c>
      <c r="O128" s="16">
        <v>5.7000000000000002E-2</v>
      </c>
      <c r="P128" s="16">
        <v>0</v>
      </c>
      <c r="Q128" s="16">
        <v>0</v>
      </c>
      <c r="T128" s="16">
        <f t="shared" si="57"/>
        <v>92.278999999999996</v>
      </c>
      <c r="U128" s="16"/>
      <c r="V128" s="16">
        <f t="shared" si="108"/>
        <v>30.896710246638058</v>
      </c>
      <c r="W128" s="16">
        <f t="shared" si="109"/>
        <v>66.503847902911119</v>
      </c>
      <c r="X128" s="16">
        <f t="shared" si="110"/>
        <v>98.939558149549171</v>
      </c>
      <c r="AD128" s="15">
        <v>4</v>
      </c>
      <c r="AE128" s="15">
        <v>3</v>
      </c>
      <c r="AG128" s="38">
        <f t="shared" si="58"/>
        <v>2.5069773495646473E-3</v>
      </c>
      <c r="AH128" s="38">
        <f t="shared" si="59"/>
        <v>2.1472390507268291E-2</v>
      </c>
      <c r="AI128" s="38">
        <f t="shared" si="60"/>
        <v>3.3463965674743766E-2</v>
      </c>
      <c r="AJ128" s="38">
        <f t="shared" si="61"/>
        <v>4.0852685301117405E-3</v>
      </c>
      <c r="AK128" s="38">
        <f t="shared" si="62"/>
        <v>3.8820064851506748</v>
      </c>
      <c r="AL128" s="38">
        <f t="shared" si="63"/>
        <v>6.4129046897789203E-3</v>
      </c>
      <c r="AM128" s="38">
        <f t="shared" si="64"/>
        <v>2.0594107344760154E-3</v>
      </c>
      <c r="AN128" s="38">
        <f t="shared" si="65"/>
        <v>2.4117313324700631E-3</v>
      </c>
      <c r="AO128" s="38">
        <f t="shared" si="66"/>
        <v>5.6537621433017287E-3</v>
      </c>
      <c r="AP128" s="38">
        <f t="shared" si="67"/>
        <v>0</v>
      </c>
      <c r="AQ128" s="38">
        <f t="shared" si="68"/>
        <v>0</v>
      </c>
      <c r="AR128" s="38">
        <f t="shared" si="69"/>
        <v>0</v>
      </c>
      <c r="AS128" s="38">
        <f t="shared" si="70"/>
        <v>0</v>
      </c>
      <c r="AT128" s="39">
        <f t="shared" si="71"/>
        <v>3.9600728961123899</v>
      </c>
      <c r="AU128" s="38">
        <f t="shared" si="72"/>
        <v>3.5970943024308415E-2</v>
      </c>
      <c r="AV128" s="38">
        <f t="shared" si="73"/>
        <v>8.0654934757717917E-3</v>
      </c>
      <c r="AW128" s="40"/>
      <c r="AX128" s="38">
        <f t="shared" si="74"/>
        <v>1.8991903043192096E-3</v>
      </c>
      <c r="AY128" s="38">
        <f t="shared" si="75"/>
        <v>1.6266663066996402E-2</v>
      </c>
      <c r="AZ128" s="38">
        <f t="shared" si="76"/>
        <v>2.5351022483143231E-2</v>
      </c>
      <c r="BA128" s="38">
        <f t="shared" si="77"/>
        <v>3.0948434313839953E-3</v>
      </c>
      <c r="BB128" s="38">
        <f t="shared" si="78"/>
        <v>1.0013543665940552</v>
      </c>
      <c r="BC128" s="38">
        <f t="shared" si="79"/>
        <v>1.9395055016384068</v>
      </c>
      <c r="BD128" s="38">
        <f t="shared" si="80"/>
        <v>4.8581716988653012E-3</v>
      </c>
      <c r="BE128" s="38">
        <f t="shared" si="81"/>
        <v>1.5601309282698378E-3</v>
      </c>
      <c r="BF128" s="38">
        <f t="shared" si="82"/>
        <v>1.8270355589951367E-3</v>
      </c>
      <c r="BG128" s="38">
        <f t="shared" si="83"/>
        <v>4.2830742955656479E-3</v>
      </c>
      <c r="BH128" s="38">
        <f t="shared" si="84"/>
        <v>0</v>
      </c>
      <c r="BI128" s="38">
        <f t="shared" si="85"/>
        <v>0</v>
      </c>
      <c r="BJ128" s="38">
        <f t="shared" si="86"/>
        <v>0</v>
      </c>
      <c r="BK128" s="38">
        <f t="shared" si="87"/>
        <v>0</v>
      </c>
      <c r="BL128" s="41">
        <f t="shared" si="88"/>
        <v>3.0000000000000013</v>
      </c>
      <c r="BM128" s="42">
        <f t="shared" si="113"/>
        <v>4.0000000000000009</v>
      </c>
      <c r="BN128" s="38">
        <f t="shared" si="89"/>
        <v>2.7250212787462442E-2</v>
      </c>
      <c r="BO128" s="38">
        <f t="shared" si="90"/>
        <v>6.1101098545607848E-3</v>
      </c>
      <c r="BQ128" s="38">
        <f t="shared" si="91"/>
        <v>8.155792276964049E-4</v>
      </c>
      <c r="BR128" s="38">
        <f t="shared" si="92"/>
        <v>6.9854782173259904E-3</v>
      </c>
      <c r="BS128" s="38">
        <f t="shared" si="93"/>
        <v>1.0886622204786192E-2</v>
      </c>
      <c r="BT128" s="38">
        <f t="shared" si="94"/>
        <v>1.3290348049213765E-3</v>
      </c>
      <c r="BU128" s="38">
        <f t="shared" si="95"/>
        <v>1.2629088378566458</v>
      </c>
      <c r="BV128" s="38">
        <f t="shared" si="96"/>
        <v>2.0862700873978011E-3</v>
      </c>
      <c r="BW128" s="38">
        <f t="shared" si="97"/>
        <v>6.6997518610421836E-4</v>
      </c>
      <c r="BX128" s="38">
        <f t="shared" si="98"/>
        <v>7.8459343794579171E-4</v>
      </c>
      <c r="BY128" s="38">
        <f t="shared" si="99"/>
        <v>1.8393030009680544E-3</v>
      </c>
      <c r="BZ128" s="38">
        <f t="shared" si="100"/>
        <v>0</v>
      </c>
      <c r="CA128" s="38">
        <f t="shared" si="101"/>
        <v>0</v>
      </c>
      <c r="CB128" s="38">
        <f t="shared" si="102"/>
        <v>0</v>
      </c>
      <c r="CC128" s="38">
        <f t="shared" si="103"/>
        <v>0</v>
      </c>
      <c r="CD128" s="38">
        <f t="shared" si="104"/>
        <v>1.2883056940237914</v>
      </c>
      <c r="CE128" s="38">
        <f t="shared" si="105"/>
        <v>1.3012949284731838</v>
      </c>
      <c r="CF128" s="38">
        <f t="shared" si="106"/>
        <v>2.3286398670101653</v>
      </c>
      <c r="CG128" s="38">
        <f t="shared" si="107"/>
        <v>3.0302472491807975</v>
      </c>
    </row>
    <row r="129" spans="1:85" ht="15" customHeight="1" x14ac:dyDescent="0.25">
      <c r="A129" s="35" t="s">
        <v>256</v>
      </c>
      <c r="B129" s="15">
        <v>1213</v>
      </c>
      <c r="C129" s="102" t="s">
        <v>99</v>
      </c>
      <c r="D129" s="103" t="s">
        <v>105</v>
      </c>
      <c r="E129" s="15">
        <v>46</v>
      </c>
      <c r="F129" s="15" t="s">
        <v>272</v>
      </c>
      <c r="G129" s="16">
        <v>3.1E-2</v>
      </c>
      <c r="H129" s="16">
        <v>0.4</v>
      </c>
      <c r="I129" s="16">
        <v>0.46400000000000002</v>
      </c>
      <c r="J129" s="16">
        <v>9.0999999999999998E-2</v>
      </c>
      <c r="K129" s="16">
        <v>90.77</v>
      </c>
      <c r="L129" s="16">
        <v>6.4000000000000001E-2</v>
      </c>
      <c r="M129" s="16">
        <v>6.8000000000000005E-2</v>
      </c>
      <c r="N129" s="16">
        <v>4.4999999999999998E-2</v>
      </c>
      <c r="O129" s="16">
        <v>0.02</v>
      </c>
      <c r="P129" s="16">
        <v>0</v>
      </c>
      <c r="Q129" s="16">
        <v>0</v>
      </c>
      <c r="T129" s="16">
        <f t="shared" si="57"/>
        <v>91.952999999999989</v>
      </c>
      <c r="U129" s="16"/>
      <c r="V129" s="16">
        <f t="shared" si="108"/>
        <v>30.792722426297992</v>
      </c>
      <c r="W129" s="16">
        <f t="shared" si="109"/>
        <v>66.652748567655038</v>
      </c>
      <c r="X129" s="16">
        <f t="shared" si="110"/>
        <v>98.62847099395303</v>
      </c>
      <c r="AD129" s="15">
        <v>4</v>
      </c>
      <c r="AE129" s="15">
        <v>3</v>
      </c>
      <c r="AG129" s="38">
        <f t="shared" si="58"/>
        <v>1.5955596761922084E-3</v>
      </c>
      <c r="AH129" s="38">
        <f t="shared" si="59"/>
        <v>1.5484715031519521E-2</v>
      </c>
      <c r="AI129" s="38">
        <f t="shared" si="60"/>
        <v>2.8144881965331978E-2</v>
      </c>
      <c r="AJ129" s="38">
        <f t="shared" si="61"/>
        <v>3.7028630943258733E-3</v>
      </c>
      <c r="AK129" s="38">
        <f t="shared" si="62"/>
        <v>3.9065811051799866</v>
      </c>
      <c r="AL129" s="38">
        <f t="shared" si="63"/>
        <v>2.789780742526708E-3</v>
      </c>
      <c r="AM129" s="38">
        <f t="shared" si="64"/>
        <v>5.2177726114645776E-3</v>
      </c>
      <c r="AN129" s="38">
        <f t="shared" si="65"/>
        <v>2.4813372259406231E-3</v>
      </c>
      <c r="AO129" s="38">
        <f t="shared" si="66"/>
        <v>1.9956744703416899E-3</v>
      </c>
      <c r="AP129" s="38">
        <f t="shared" si="67"/>
        <v>0</v>
      </c>
      <c r="AQ129" s="38">
        <f t="shared" si="68"/>
        <v>0</v>
      </c>
      <c r="AR129" s="38">
        <f t="shared" si="69"/>
        <v>0</v>
      </c>
      <c r="AS129" s="38">
        <f t="shared" si="70"/>
        <v>0</v>
      </c>
      <c r="AT129" s="39">
        <f t="shared" si="71"/>
        <v>3.9679936899976296</v>
      </c>
      <c r="AU129" s="38">
        <f t="shared" si="72"/>
        <v>2.9740441641524187E-2</v>
      </c>
      <c r="AV129" s="38">
        <f t="shared" si="73"/>
        <v>4.4770116962823125E-3</v>
      </c>
      <c r="AW129" s="40"/>
      <c r="AX129" s="38">
        <f t="shared" si="74"/>
        <v>1.2063222380223808E-3</v>
      </c>
      <c r="AY129" s="38">
        <f t="shared" si="75"/>
        <v>1.170721244130464E-2</v>
      </c>
      <c r="AZ129" s="38">
        <f t="shared" si="76"/>
        <v>2.1278926453143217E-2</v>
      </c>
      <c r="BA129" s="38">
        <f t="shared" si="77"/>
        <v>2.7995481220093005E-3</v>
      </c>
      <c r="BB129" s="38">
        <f t="shared" si="78"/>
        <v>1.0019657555355881</v>
      </c>
      <c r="BC129" s="38">
        <f t="shared" si="79"/>
        <v>1.9516032849300382</v>
      </c>
      <c r="BD129" s="38">
        <f t="shared" si="80"/>
        <v>2.1092125848579976E-3</v>
      </c>
      <c r="BE129" s="38">
        <f t="shared" si="81"/>
        <v>3.9448948403955457E-3</v>
      </c>
      <c r="BF129" s="38">
        <f t="shared" si="82"/>
        <v>1.8760139907950096E-3</v>
      </c>
      <c r="BG129" s="38">
        <f t="shared" si="83"/>
        <v>1.5088288638454579E-3</v>
      </c>
      <c r="BH129" s="38">
        <f t="shared" si="84"/>
        <v>0</v>
      </c>
      <c r="BI129" s="38">
        <f t="shared" si="85"/>
        <v>0</v>
      </c>
      <c r="BJ129" s="38">
        <f t="shared" si="86"/>
        <v>0</v>
      </c>
      <c r="BK129" s="38">
        <f t="shared" si="87"/>
        <v>0</v>
      </c>
      <c r="BL129" s="41">
        <f t="shared" si="88"/>
        <v>3</v>
      </c>
      <c r="BM129" s="42">
        <f t="shared" si="113"/>
        <v>3.9999999999999996</v>
      </c>
      <c r="BN129" s="38">
        <f t="shared" si="89"/>
        <v>2.24852486911656E-2</v>
      </c>
      <c r="BO129" s="38">
        <f t="shared" si="90"/>
        <v>3.3848428546404677E-3</v>
      </c>
      <c r="BQ129" s="38">
        <f t="shared" si="91"/>
        <v>5.1597869507323567E-4</v>
      </c>
      <c r="BR129" s="38">
        <f t="shared" si="92"/>
        <v>5.0075112669003509E-3</v>
      </c>
      <c r="BS129" s="38">
        <f t="shared" si="93"/>
        <v>9.1016084739113396E-3</v>
      </c>
      <c r="BT129" s="38">
        <f t="shared" si="94"/>
        <v>1.1974472004737152E-3</v>
      </c>
      <c r="BU129" s="38">
        <f t="shared" si="95"/>
        <v>1.2633263743910925</v>
      </c>
      <c r="BV129" s="38">
        <f t="shared" si="96"/>
        <v>9.0217084860445449E-4</v>
      </c>
      <c r="BW129" s="38">
        <f t="shared" si="97"/>
        <v>1.687344913151365E-3</v>
      </c>
      <c r="BX129" s="38">
        <f t="shared" si="98"/>
        <v>8.0242510699001424E-4</v>
      </c>
      <c r="BY129" s="38">
        <f t="shared" si="99"/>
        <v>6.4536947402387876E-4</v>
      </c>
      <c r="BZ129" s="38">
        <f t="shared" si="100"/>
        <v>0</v>
      </c>
      <c r="CA129" s="38">
        <f t="shared" si="101"/>
        <v>0</v>
      </c>
      <c r="CB129" s="38">
        <f t="shared" si="102"/>
        <v>0</v>
      </c>
      <c r="CC129" s="38">
        <f t="shared" si="103"/>
        <v>0</v>
      </c>
      <c r="CD129" s="38">
        <f t="shared" si="104"/>
        <v>1.2831862303702208</v>
      </c>
      <c r="CE129" s="38">
        <f t="shared" si="105"/>
        <v>1.2935365634323752</v>
      </c>
      <c r="CF129" s="38">
        <f t="shared" si="106"/>
        <v>2.3379303245285366</v>
      </c>
      <c r="CG129" s="38">
        <f t="shared" si="107"/>
        <v>3.0241983575349809</v>
      </c>
    </row>
    <row r="130" spans="1:85" ht="15" customHeight="1" x14ac:dyDescent="0.25">
      <c r="A130" s="35" t="s">
        <v>256</v>
      </c>
      <c r="B130" s="15">
        <v>1214</v>
      </c>
      <c r="C130" s="102" t="s">
        <v>99</v>
      </c>
      <c r="D130" s="103" t="s">
        <v>105</v>
      </c>
      <c r="E130" s="15">
        <v>47</v>
      </c>
      <c r="F130" s="15" t="s">
        <v>272</v>
      </c>
      <c r="G130" s="16">
        <v>6.2E-2</v>
      </c>
      <c r="H130" s="16">
        <v>0.35099999999999998</v>
      </c>
      <c r="I130" s="16">
        <v>0.21199999999999999</v>
      </c>
      <c r="J130" s="16">
        <v>0.11600000000000001</v>
      </c>
      <c r="K130" s="16">
        <v>90.92</v>
      </c>
      <c r="L130" s="16">
        <v>0.14899999999999999</v>
      </c>
      <c r="M130" s="16">
        <v>3.9E-2</v>
      </c>
      <c r="N130" s="16">
        <v>0.20599999999999999</v>
      </c>
      <c r="O130" s="16">
        <v>2.9000000000000001E-2</v>
      </c>
      <c r="P130" s="16">
        <v>0</v>
      </c>
      <c r="Q130" s="16">
        <v>0</v>
      </c>
      <c r="T130" s="16">
        <f t="shared" ref="T130:T193" si="114">SUM(G130:S130)</f>
        <v>92.084000000000003</v>
      </c>
      <c r="U130" s="16"/>
      <c r="V130" s="16">
        <f t="shared" si="108"/>
        <v>30.527660756211965</v>
      </c>
      <c r="W130" s="16">
        <f t="shared" si="109"/>
        <v>67.114006601621639</v>
      </c>
      <c r="X130" s="16">
        <f t="shared" si="110"/>
        <v>98.805667357833599</v>
      </c>
      <c r="AD130" s="15">
        <v>4</v>
      </c>
      <c r="AE130" s="15">
        <v>3</v>
      </c>
      <c r="AG130" s="38">
        <f t="shared" ref="AG130:AG193" si="115">BQ130*($AD130/$CE130)</f>
        <v>3.1949074881732196E-3</v>
      </c>
      <c r="AH130" s="38">
        <f t="shared" ref="AH130:AH193" si="116">BR130*($AD130/$CE130)</f>
        <v>1.3603967383170705E-2</v>
      </c>
      <c r="AI130" s="38">
        <f t="shared" ref="AI130:AI193" si="117">BS130*($AD130/$CE130)</f>
        <v>1.2874564623876148E-2</v>
      </c>
      <c r="AJ130" s="38">
        <f t="shared" ref="AJ130:AJ193" si="118">BT130*($AD130/$CE130)</f>
        <v>4.7257363831610007E-3</v>
      </c>
      <c r="AK130" s="38">
        <f t="shared" ref="AK130:AK193" si="119">BU130*($AD130/$CE130)</f>
        <v>3.9176819558193654</v>
      </c>
      <c r="AL130" s="38">
        <f t="shared" ref="AL130:AL193" si="120">BV130*($AD130/$CE130)</f>
        <v>6.5026683707102798E-3</v>
      </c>
      <c r="AM130" s="38">
        <f t="shared" ref="AM130:AM193" si="121">BW130*($AD130/$CE130)</f>
        <v>2.9960984686178004E-3</v>
      </c>
      <c r="AN130" s="38">
        <f t="shared" ref="AN130:AN193" si="122">BX130*($AD130/$CE130)</f>
        <v>1.1372494543861906E-2</v>
      </c>
      <c r="AO130" s="38">
        <f t="shared" ref="AO130:AO193" si="123">BY130*($AD130/$CE130)</f>
        <v>2.8971630884020677E-3</v>
      </c>
      <c r="AP130" s="38">
        <f t="shared" ref="AP130:AP193" si="124">BZ130*($AD130/$CE130)</f>
        <v>0</v>
      </c>
      <c r="AQ130" s="38">
        <f t="shared" ref="AQ130:AQ193" si="125">CA130*($AD130/$CE130)</f>
        <v>0</v>
      </c>
      <c r="AR130" s="38">
        <f t="shared" ref="AR130:AR193" si="126">CB130*($AD130/$CE130)</f>
        <v>0</v>
      </c>
      <c r="AS130" s="38">
        <f t="shared" ref="AS130:AS193" si="127">CC130*($AD130/$CE130)</f>
        <v>0</v>
      </c>
      <c r="AT130" s="39">
        <f t="shared" ref="AT130:AT193" si="128">SUM(AG130:AR130)</f>
        <v>3.9758495561693388</v>
      </c>
      <c r="AU130" s="38">
        <f t="shared" ref="AU130:AU193" si="129">AG130+AI130</f>
        <v>1.6069472112049368E-2</v>
      </c>
      <c r="AV130" s="38">
        <f t="shared" ref="AV130:AV193" si="130">SUM(AN130:AP130)</f>
        <v>1.4269657632263974E-2</v>
      </c>
      <c r="AW130" s="40"/>
      <c r="AX130" s="38">
        <f t="shared" ref="AX130:AX193" si="131">IF($AE130&gt;0,BQ130*$CF130,"")</f>
        <v>2.4107357004107492E-3</v>
      </c>
      <c r="AY130" s="38">
        <f t="shared" ref="AY130:AY193" si="132">IF($AE130&gt;0,BR130*$CF130,"")</f>
        <v>1.0264951319947242E-2</v>
      </c>
      <c r="AZ130" s="38">
        <f t="shared" ref="AZ130:AZ193" si="133">IF($AE130&gt;0,BS130*$CF130,"")</f>
        <v>9.7145763002264331E-3</v>
      </c>
      <c r="BA130" s="38">
        <f t="shared" ref="BA130:BA193" si="134">IF($AE130&gt;0,BT130*$CF130,"")</f>
        <v>3.5658313900444692E-3</v>
      </c>
      <c r="BB130" s="38">
        <f t="shared" ref="BB130:BB193" si="135">IF($AE130&gt;0 +N("so a blank cell if no ideal cations set"),                         BU130*CF130-BC130,"")</f>
        <v>0.99255501556390024</v>
      </c>
      <c r="BC130" s="38">
        <f t="shared" ref="BC130:BC193" si="136">IF($AE130&gt;0 +N("so a blank cell if no ideal cations set"),                                                                     IF(AT130&gt;AE130,                          IF(  2*AD130*(1-(AE130/AT130))   &lt;   BU130*CF130,    2*AD130*(1-(AE130/AT130)),    BU130*CF130),0),"")</f>
        <v>1.9635542892313111</v>
      </c>
      <c r="BD130" s="38">
        <f t="shared" ref="BD130:BD193" si="137">IF($AE130&gt;0,BV130*$CF130,"")</f>
        <v>4.9066255743656596E-3</v>
      </c>
      <c r="BE130" s="38">
        <f t="shared" ref="BE130:BE193" si="138">IF($AE130&gt;0,BW130*$CF130,"")</f>
        <v>2.2607232187410692E-3</v>
      </c>
      <c r="BF130" s="38">
        <f t="shared" ref="BF130:BF193" si="139">IF($AE130&gt;0,BX130*$CF130,"")</f>
        <v>8.5811807387544368E-3</v>
      </c>
      <c r="BG130" s="38">
        <f t="shared" ref="BG130:BG193" si="140">IF($AE130&gt;0,BY130*$CF130,"")</f>
        <v>2.1860709622977532E-3</v>
      </c>
      <c r="BH130" s="38">
        <f t="shared" ref="BH130:BH193" si="141">IF($AE130&gt;0,BZ130*$CF130,"")</f>
        <v>0</v>
      </c>
      <c r="BI130" s="38">
        <f t="shared" ref="BI130:BI193" si="142">IF($AE130&gt;0,CA130*$CF130,"")</f>
        <v>0</v>
      </c>
      <c r="BJ130" s="38">
        <f t="shared" ref="BJ130:BJ193" si="143">IF($AE130&gt;0,CB130*$CF130,"")</f>
        <v>0</v>
      </c>
      <c r="BK130" s="38">
        <f t="shared" ref="BK130:BK193" si="144">IF($AE130&gt;0,CC130*$CF130,"")</f>
        <v>0</v>
      </c>
      <c r="BL130" s="41">
        <f t="shared" ref="BL130:BL193" si="145">IF(AE130&gt;0,SUM(AX130:BJ130),"")</f>
        <v>2.9999999999999996</v>
      </c>
      <c r="BM130" s="42">
        <f t="shared" si="113"/>
        <v>3.9999999999999991</v>
      </c>
      <c r="BN130" s="38">
        <f t="shared" ref="BN130:BN193" si="146">IF(AE130&gt;0,AX130+AZ130,"")</f>
        <v>1.2125312000637182E-2</v>
      </c>
      <c r="BO130" s="38">
        <f t="shared" ref="BO130:BO193" si="147">IF(AE130&gt;0,SUM(BF130:BH130),"")</f>
        <v>1.0767251701052191E-2</v>
      </c>
      <c r="BQ130" s="38">
        <f t="shared" ref="BQ130:BQ193" si="148">G130/60.08</f>
        <v>1.0319573901464713E-3</v>
      </c>
      <c r="BR130" s="38">
        <f t="shared" ref="BR130:BR193" si="149">H130/79.88</f>
        <v>4.3940911367050571E-3</v>
      </c>
      <c r="BS130" s="38">
        <f t="shared" ref="BS130:BS193" si="150">I130/101.96*2</f>
        <v>4.1584935268732838E-3</v>
      </c>
      <c r="BT130" s="38">
        <f t="shared" ref="BT130:BT193" si="151">J130/151.99*2</f>
        <v>1.5264162115928679E-3</v>
      </c>
      <c r="BU130" s="38">
        <f t="shared" ref="BU130:BU193" si="152">K130/71.85</f>
        <v>1.2654140570633265</v>
      </c>
      <c r="BV130" s="38">
        <f t="shared" ref="BV130:BV193" si="153">L130/70.94</f>
        <v>2.1003665069072456E-3</v>
      </c>
      <c r="BW130" s="38">
        <f t="shared" ref="BW130:BW193" si="154">M130/40.3</f>
        <v>9.6774193548387108E-4</v>
      </c>
      <c r="BX130" s="38">
        <f t="shared" ref="BX130:BX193" si="155">N130/56.08</f>
        <v>3.6733238231098429E-3</v>
      </c>
      <c r="BY130" s="38">
        <f t="shared" ref="BY130:BY193" si="156">O130/61.98*2</f>
        <v>9.357857373346242E-4</v>
      </c>
      <c r="BZ130" s="38">
        <f t="shared" ref="BZ130:BZ193" si="157">P130/94.2*2</f>
        <v>0</v>
      </c>
      <c r="CA130" s="38">
        <f t="shared" ref="CA130:CA193" si="158">Q130/141.94*2</f>
        <v>0</v>
      </c>
      <c r="CB130" s="38">
        <f t="shared" ref="CB130:CB193" si="159">R130/80.06</f>
        <v>0</v>
      </c>
      <c r="CC130" s="38">
        <f t="shared" ref="CC130:CC193" si="160">S130/35.45</f>
        <v>0</v>
      </c>
      <c r="CD130" s="38">
        <f t="shared" ref="CD130:CD193" si="161">SUM(BQ130:CB130)</f>
        <v>1.28420223333148</v>
      </c>
      <c r="CE130" s="38">
        <f t="shared" ref="CE130:CE193" si="162">(BQ130+BR130)*2+(BS130+BT130)*1.5+BU130+BV130+BW130+BX130+(BY130+BZ130)*0.5+CA130*2.5+CB130*3+     -(0.5*(CC130))</f>
        <v>1.2920028438588971</v>
      </c>
      <c r="CF130" s="38">
        <f t="shared" ref="CF130:CF193" si="163">AE130/CD130</f>
        <v>2.3360806593657713</v>
      </c>
      <c r="CG130" s="38">
        <f t="shared" ref="CG130:CG193" si="164">CE130*CF130</f>
        <v>3.018222855384344</v>
      </c>
    </row>
    <row r="131" spans="1:85" ht="15" customHeight="1" x14ac:dyDescent="0.25">
      <c r="A131" s="35" t="s">
        <v>256</v>
      </c>
      <c r="B131" s="15">
        <v>1215</v>
      </c>
      <c r="C131" s="102" t="s">
        <v>99</v>
      </c>
      <c r="D131" s="103" t="s">
        <v>105</v>
      </c>
      <c r="E131" s="15">
        <v>48</v>
      </c>
      <c r="F131" s="15" t="s">
        <v>272</v>
      </c>
      <c r="G131" s="16">
        <v>2.9000000000000001E-2</v>
      </c>
      <c r="H131" s="16">
        <v>1.0509999999999999</v>
      </c>
      <c r="I131" s="16">
        <v>0.154</v>
      </c>
      <c r="J131" s="16">
        <v>0.17100000000000001</v>
      </c>
      <c r="K131" s="16">
        <v>89.8</v>
      </c>
      <c r="L131" s="16">
        <v>0.115</v>
      </c>
      <c r="M131" s="16">
        <v>0.129</v>
      </c>
      <c r="N131" s="16">
        <v>0.17399999999999999</v>
      </c>
      <c r="O131" s="16">
        <v>0.03</v>
      </c>
      <c r="P131" s="16">
        <v>0</v>
      </c>
      <c r="Q131" s="16">
        <v>0</v>
      </c>
      <c r="T131" s="16">
        <f t="shared" si="114"/>
        <v>91.653000000000006</v>
      </c>
      <c r="U131" s="16"/>
      <c r="V131" s="16">
        <f t="shared" si="108"/>
        <v>30.870755240072249</v>
      </c>
      <c r="W131" s="16">
        <f t="shared" si="109"/>
        <v>65.488069701707701</v>
      </c>
      <c r="X131" s="16">
        <f t="shared" si="110"/>
        <v>98.211824941779938</v>
      </c>
      <c r="AD131" s="15">
        <v>4</v>
      </c>
      <c r="AE131" s="15">
        <v>3</v>
      </c>
      <c r="AG131" s="38">
        <f t="shared" si="115"/>
        <v>1.4927535803962852E-3</v>
      </c>
      <c r="AH131" s="38">
        <f t="shared" si="116"/>
        <v>4.0689720572595733E-2</v>
      </c>
      <c r="AI131" s="38">
        <f t="shared" si="117"/>
        <v>9.3420231104639796E-3</v>
      </c>
      <c r="AJ131" s="38">
        <f t="shared" si="118"/>
        <v>6.9587484675015859E-3</v>
      </c>
      <c r="AK131" s="38">
        <f t="shared" si="119"/>
        <v>3.8651790045817447</v>
      </c>
      <c r="AL131" s="38">
        <f t="shared" si="120"/>
        <v>5.0133347450852178E-3</v>
      </c>
      <c r="AM131" s="38">
        <f t="shared" si="121"/>
        <v>9.8993051503524759E-3</v>
      </c>
      <c r="AN131" s="38">
        <f t="shared" si="122"/>
        <v>9.5953603898226263E-3</v>
      </c>
      <c r="AO131" s="38">
        <f t="shared" si="123"/>
        <v>2.9937789201258075E-3</v>
      </c>
      <c r="AP131" s="38">
        <f t="shared" si="124"/>
        <v>0</v>
      </c>
      <c r="AQ131" s="38">
        <f t="shared" si="125"/>
        <v>0</v>
      </c>
      <c r="AR131" s="38">
        <f t="shared" si="126"/>
        <v>0</v>
      </c>
      <c r="AS131" s="38">
        <f t="shared" si="127"/>
        <v>0</v>
      </c>
      <c r="AT131" s="39">
        <f t="shared" si="128"/>
        <v>3.9511640295180883</v>
      </c>
      <c r="AU131" s="38">
        <f t="shared" si="129"/>
        <v>1.0834776690860266E-2</v>
      </c>
      <c r="AV131" s="38">
        <f t="shared" si="130"/>
        <v>1.2589139309948434E-2</v>
      </c>
      <c r="AW131" s="40"/>
      <c r="AX131" s="38">
        <f t="shared" si="131"/>
        <v>1.1334028928520732E-3</v>
      </c>
      <c r="AY131" s="38">
        <f t="shared" si="132"/>
        <v>3.0894480919000371E-2</v>
      </c>
      <c r="AZ131" s="38">
        <f t="shared" si="133"/>
        <v>7.0931171477611873E-3</v>
      </c>
      <c r="BA131" s="38">
        <f t="shared" si="134"/>
        <v>5.2835683982097219E-3</v>
      </c>
      <c r="BB131" s="38">
        <f t="shared" si="135"/>
        <v>1.0088735238072908</v>
      </c>
      <c r="BC131" s="38">
        <f t="shared" si="136"/>
        <v>1.9258406331140829</v>
      </c>
      <c r="BD131" s="38">
        <f t="shared" si="137"/>
        <v>3.8064742751492495E-3</v>
      </c>
      <c r="BE131" s="38">
        <f t="shared" si="138"/>
        <v>7.516244638084436E-3</v>
      </c>
      <c r="BF131" s="38">
        <f t="shared" si="139"/>
        <v>7.2854685238109007E-3</v>
      </c>
      <c r="BG131" s="38">
        <f t="shared" si="140"/>
        <v>2.2730862837584726E-3</v>
      </c>
      <c r="BH131" s="38">
        <f t="shared" si="141"/>
        <v>0</v>
      </c>
      <c r="BI131" s="38">
        <f t="shared" si="142"/>
        <v>0</v>
      </c>
      <c r="BJ131" s="38">
        <f t="shared" si="143"/>
        <v>0</v>
      </c>
      <c r="BK131" s="38">
        <f t="shared" si="144"/>
        <v>0</v>
      </c>
      <c r="BL131" s="41">
        <f t="shared" si="145"/>
        <v>3.0000000000000004</v>
      </c>
      <c r="BM131" s="42">
        <f t="shared" si="113"/>
        <v>4</v>
      </c>
      <c r="BN131" s="38">
        <f t="shared" si="146"/>
        <v>8.2265200406132603E-3</v>
      </c>
      <c r="BO131" s="38">
        <f t="shared" si="147"/>
        <v>9.5585548075693728E-3</v>
      </c>
      <c r="BQ131" s="38">
        <f t="shared" si="148"/>
        <v>4.826897470039947E-4</v>
      </c>
      <c r="BR131" s="38">
        <f t="shared" si="149"/>
        <v>1.3157235853780671E-2</v>
      </c>
      <c r="BS131" s="38">
        <f t="shared" si="150"/>
        <v>3.0207924676343666E-3</v>
      </c>
      <c r="BT131" s="38">
        <f t="shared" si="151"/>
        <v>2.2501480360550036E-3</v>
      </c>
      <c r="BU131" s="38">
        <f t="shared" si="152"/>
        <v>1.2498260264439807</v>
      </c>
      <c r="BV131" s="38">
        <f t="shared" si="153"/>
        <v>1.6210882435861293E-3</v>
      </c>
      <c r="BW131" s="38">
        <f t="shared" si="154"/>
        <v>3.2009925558312657E-3</v>
      </c>
      <c r="BX131" s="38">
        <f t="shared" si="155"/>
        <v>3.1027104136947216E-3</v>
      </c>
      <c r="BY131" s="38">
        <f t="shared" si="156"/>
        <v>9.6805421103581804E-4</v>
      </c>
      <c r="BZ131" s="38">
        <f t="shared" si="157"/>
        <v>0</v>
      </c>
      <c r="CA131" s="38">
        <f t="shared" si="158"/>
        <v>0</v>
      </c>
      <c r="CB131" s="38">
        <f t="shared" si="159"/>
        <v>0</v>
      </c>
      <c r="CC131" s="38">
        <f t="shared" si="160"/>
        <v>0</v>
      </c>
      <c r="CD131" s="38">
        <f t="shared" si="161"/>
        <v>1.2776297379726025</v>
      </c>
      <c r="CE131" s="38">
        <f t="shared" si="162"/>
        <v>1.2934211067197139</v>
      </c>
      <c r="CF131" s="38">
        <f t="shared" si="163"/>
        <v>2.348098131122502</v>
      </c>
      <c r="CG131" s="38">
        <f t="shared" si="164"/>
        <v>3.0370796834429585</v>
      </c>
    </row>
    <row r="132" spans="1:85" ht="15" customHeight="1" x14ac:dyDescent="0.25">
      <c r="A132" s="35" t="s">
        <v>256</v>
      </c>
      <c r="B132" s="15">
        <v>1216</v>
      </c>
      <c r="C132" s="102" t="s">
        <v>99</v>
      </c>
      <c r="D132" s="103" t="s">
        <v>105</v>
      </c>
      <c r="E132" s="15">
        <v>49</v>
      </c>
      <c r="F132" s="15" t="s">
        <v>272</v>
      </c>
      <c r="G132" s="16">
        <v>4.4999999999999998E-2</v>
      </c>
      <c r="H132" s="16">
        <v>3.98</v>
      </c>
      <c r="I132" s="16">
        <v>0.747</v>
      </c>
      <c r="J132" s="16">
        <v>0.10199999999999999</v>
      </c>
      <c r="K132" s="16">
        <v>87.22</v>
      </c>
      <c r="L132" s="16">
        <v>0.29099999999999998</v>
      </c>
      <c r="M132" s="16">
        <v>0.21299999999999999</v>
      </c>
      <c r="N132" s="16">
        <v>9.7000000000000003E-2</v>
      </c>
      <c r="O132" s="16">
        <v>2.7E-2</v>
      </c>
      <c r="P132" s="16">
        <v>0</v>
      </c>
      <c r="Q132" s="16">
        <v>0</v>
      </c>
      <c r="T132" s="16">
        <f t="shared" si="114"/>
        <v>92.72199999999998</v>
      </c>
      <c r="U132" s="16"/>
      <c r="V132" s="16">
        <f t="shared" si="108"/>
        <v>33.664537048909857</v>
      </c>
      <c r="W132" s="16">
        <f t="shared" si="109"/>
        <v>59.516185977546463</v>
      </c>
      <c r="X132" s="16">
        <f t="shared" si="110"/>
        <v>98.682723026456316</v>
      </c>
      <c r="AD132" s="15">
        <v>4</v>
      </c>
      <c r="AE132" s="15">
        <v>3</v>
      </c>
      <c r="AG132" s="38">
        <f t="shared" si="115"/>
        <v>2.2182599375578657E-3</v>
      </c>
      <c r="AH132" s="38">
        <f t="shared" si="116"/>
        <v>0.14756211179350603</v>
      </c>
      <c r="AI132" s="38">
        <f t="shared" si="117"/>
        <v>4.3396091545796614E-2</v>
      </c>
      <c r="AJ132" s="38">
        <f t="shared" si="118"/>
        <v>3.9750719912697791E-3</v>
      </c>
      <c r="AK132" s="38">
        <f t="shared" si="119"/>
        <v>3.5951677215705953</v>
      </c>
      <c r="AL132" s="38">
        <f t="shared" si="120"/>
        <v>1.2148751558784164E-2</v>
      </c>
      <c r="AM132" s="38">
        <f t="shared" si="121"/>
        <v>1.565324574101214E-2</v>
      </c>
      <c r="AN132" s="38">
        <f t="shared" si="122"/>
        <v>5.1226369209471509E-3</v>
      </c>
      <c r="AO132" s="38">
        <f t="shared" si="123"/>
        <v>2.5803108818678909E-3</v>
      </c>
      <c r="AP132" s="38">
        <f t="shared" si="124"/>
        <v>0</v>
      </c>
      <c r="AQ132" s="38">
        <f t="shared" si="125"/>
        <v>0</v>
      </c>
      <c r="AR132" s="38">
        <f t="shared" si="126"/>
        <v>0</v>
      </c>
      <c r="AS132" s="38">
        <f t="shared" si="127"/>
        <v>0</v>
      </c>
      <c r="AT132" s="39">
        <f t="shared" si="128"/>
        <v>3.8278242019413371</v>
      </c>
      <c r="AU132" s="38">
        <f t="shared" si="129"/>
        <v>4.5614351483354479E-2</v>
      </c>
      <c r="AV132" s="38">
        <f t="shared" si="130"/>
        <v>7.7029478028150418E-3</v>
      </c>
      <c r="AW132" s="40"/>
      <c r="AX132" s="38">
        <f t="shared" si="131"/>
        <v>1.7385280675373041E-3</v>
      </c>
      <c r="AY132" s="38">
        <f t="shared" si="132"/>
        <v>0.11564959936143442</v>
      </c>
      <c r="AZ132" s="38">
        <f t="shared" si="133"/>
        <v>3.4011038064747839E-2</v>
      </c>
      <c r="BA132" s="38">
        <f t="shared" si="134"/>
        <v>3.1154032538279288E-3</v>
      </c>
      <c r="BB132" s="38">
        <f t="shared" si="135"/>
        <v>1.0875393773490973</v>
      </c>
      <c r="BC132" s="38">
        <f t="shared" si="136"/>
        <v>1.7301195839066885</v>
      </c>
      <c r="BD132" s="38">
        <f t="shared" si="137"/>
        <v>9.521402434800489E-3</v>
      </c>
      <c r="BE132" s="38">
        <f t="shared" si="138"/>
        <v>1.2267997364983506E-2</v>
      </c>
      <c r="BF132" s="38">
        <f t="shared" si="139"/>
        <v>4.0147901136753849E-3</v>
      </c>
      <c r="BG132" s="38">
        <f t="shared" si="140"/>
        <v>2.0222800832069938E-3</v>
      </c>
      <c r="BH132" s="38">
        <f t="shared" si="141"/>
        <v>0</v>
      </c>
      <c r="BI132" s="38">
        <f t="shared" si="142"/>
        <v>0</v>
      </c>
      <c r="BJ132" s="38">
        <f t="shared" si="143"/>
        <v>0</v>
      </c>
      <c r="BK132" s="38">
        <f t="shared" si="144"/>
        <v>0</v>
      </c>
      <c r="BL132" s="41">
        <f t="shared" si="145"/>
        <v>3</v>
      </c>
      <c r="BM132" s="42">
        <f t="shared" si="113"/>
        <v>4</v>
      </c>
      <c r="BN132" s="38">
        <f t="shared" si="146"/>
        <v>3.5749566132285145E-2</v>
      </c>
      <c r="BO132" s="38">
        <f t="shared" si="147"/>
        <v>6.0370701968823787E-3</v>
      </c>
      <c r="BQ132" s="38">
        <f t="shared" si="148"/>
        <v>7.4900133155792273E-4</v>
      </c>
      <c r="BR132" s="38">
        <f t="shared" si="149"/>
        <v>4.982473710565849E-2</v>
      </c>
      <c r="BS132" s="38">
        <f t="shared" si="150"/>
        <v>1.465280502157709E-2</v>
      </c>
      <c r="BT132" s="38">
        <f t="shared" si="151"/>
        <v>1.3421935653661423E-3</v>
      </c>
      <c r="BU132" s="38">
        <f t="shared" si="152"/>
        <v>1.2139178844815588</v>
      </c>
      <c r="BV132" s="38">
        <f t="shared" si="153"/>
        <v>4.1020580772483791E-3</v>
      </c>
      <c r="BW132" s="38">
        <f t="shared" si="154"/>
        <v>5.2853598014888344E-3</v>
      </c>
      <c r="BX132" s="38">
        <f t="shared" si="155"/>
        <v>1.7296718972895865E-3</v>
      </c>
      <c r="BY132" s="38">
        <f t="shared" si="156"/>
        <v>8.7124878993223619E-4</v>
      </c>
      <c r="BZ132" s="38">
        <f t="shared" si="157"/>
        <v>0</v>
      </c>
      <c r="CA132" s="38">
        <f t="shared" si="158"/>
        <v>0</v>
      </c>
      <c r="CB132" s="38">
        <f t="shared" si="159"/>
        <v>0</v>
      </c>
      <c r="CC132" s="38">
        <f t="shared" si="160"/>
        <v>0</v>
      </c>
      <c r="CD132" s="38">
        <f t="shared" si="161"/>
        <v>1.2924749600716776</v>
      </c>
      <c r="CE132" s="38">
        <f t="shared" si="162"/>
        <v>1.3506105734073994</v>
      </c>
      <c r="CF132" s="38">
        <f t="shared" si="163"/>
        <v>2.3211281399475832</v>
      </c>
      <c r="CG132" s="38">
        <f t="shared" si="164"/>
        <v>3.1349402080466557</v>
      </c>
    </row>
    <row r="133" spans="1:85" ht="15" customHeight="1" x14ac:dyDescent="0.25">
      <c r="A133" s="35" t="s">
        <v>256</v>
      </c>
      <c r="B133" s="15">
        <v>1217</v>
      </c>
      <c r="C133" s="102" t="s">
        <v>99</v>
      </c>
      <c r="D133" s="103" t="s">
        <v>105</v>
      </c>
      <c r="E133" s="15">
        <v>50</v>
      </c>
      <c r="F133" s="15" t="s">
        <v>272</v>
      </c>
      <c r="G133" s="16">
        <v>7.0000000000000007E-2</v>
      </c>
      <c r="H133" s="16">
        <v>0.18</v>
      </c>
      <c r="I133" s="16">
        <v>0.40600000000000003</v>
      </c>
      <c r="J133" s="16">
        <v>0.114</v>
      </c>
      <c r="K133" s="16">
        <v>88.64</v>
      </c>
      <c r="L133" s="16">
        <v>0.17199999999999999</v>
      </c>
      <c r="M133" s="16">
        <v>7.1999999999999995E-2</v>
      </c>
      <c r="N133" s="16">
        <v>4.1000000000000002E-2</v>
      </c>
      <c r="O133" s="16">
        <v>0</v>
      </c>
      <c r="P133" s="16">
        <v>0</v>
      </c>
      <c r="Q133" s="16">
        <v>0</v>
      </c>
      <c r="T133" s="16">
        <f t="shared" si="114"/>
        <v>89.694999999999993</v>
      </c>
      <c r="U133" s="16"/>
      <c r="V133" s="16">
        <f t="shared" si="108"/>
        <v>29.864085906820563</v>
      </c>
      <c r="W133" s="16">
        <f t="shared" si="109"/>
        <v>65.317673331750299</v>
      </c>
      <c r="X133" s="16">
        <f t="shared" si="110"/>
        <v>96.236759238570869</v>
      </c>
      <c r="AD133" s="15">
        <v>4</v>
      </c>
      <c r="AE133" s="15">
        <v>3</v>
      </c>
      <c r="AG133" s="38">
        <f t="shared" si="115"/>
        <v>3.6997804645149406E-3</v>
      </c>
      <c r="AH133" s="38">
        <f t="shared" si="116"/>
        <v>7.1555379239306056E-3</v>
      </c>
      <c r="AI133" s="38">
        <f t="shared" si="117"/>
        <v>2.5289138873808053E-2</v>
      </c>
      <c r="AJ133" s="38">
        <f t="shared" si="118"/>
        <v>4.763516467271074E-3</v>
      </c>
      <c r="AK133" s="38">
        <f t="shared" si="119"/>
        <v>3.917516314883434</v>
      </c>
      <c r="AL133" s="38">
        <f t="shared" si="120"/>
        <v>7.6991911420085197E-3</v>
      </c>
      <c r="AM133" s="38">
        <f t="shared" si="121"/>
        <v>5.6732939887203645E-3</v>
      </c>
      <c r="AN133" s="38">
        <f t="shared" si="122"/>
        <v>2.3215801973278894E-3</v>
      </c>
      <c r="AO133" s="38">
        <f t="shared" si="123"/>
        <v>0</v>
      </c>
      <c r="AP133" s="38">
        <f t="shared" si="124"/>
        <v>0</v>
      </c>
      <c r="AQ133" s="38">
        <f t="shared" si="125"/>
        <v>0</v>
      </c>
      <c r="AR133" s="38">
        <f t="shared" si="126"/>
        <v>0</v>
      </c>
      <c r="AS133" s="38">
        <f t="shared" si="127"/>
        <v>0</v>
      </c>
      <c r="AT133" s="39">
        <f t="shared" si="128"/>
        <v>3.9741183539410154</v>
      </c>
      <c r="AU133" s="38">
        <f t="shared" si="129"/>
        <v>2.8988919338322993E-2</v>
      </c>
      <c r="AV133" s="38">
        <f t="shared" si="130"/>
        <v>2.3215801973278894E-3</v>
      </c>
      <c r="AW133" s="40"/>
      <c r="AX133" s="38">
        <f t="shared" si="131"/>
        <v>2.7929066034326666E-3</v>
      </c>
      <c r="AY133" s="38">
        <f t="shared" si="132"/>
        <v>5.4016040439520407E-3</v>
      </c>
      <c r="AZ133" s="38">
        <f t="shared" si="133"/>
        <v>1.9090376748892916E-2</v>
      </c>
      <c r="BA133" s="38">
        <f t="shared" si="134"/>
        <v>3.5959043312441125E-3</v>
      </c>
      <c r="BB133" s="38">
        <f t="shared" si="135"/>
        <v>0.99634730535781824</v>
      </c>
      <c r="BC133" s="38">
        <f t="shared" si="136"/>
        <v>1.960924697625094</v>
      </c>
      <c r="BD133" s="38">
        <f t="shared" si="137"/>
        <v>5.811999384245912E-3</v>
      </c>
      <c r="BE133" s="38">
        <f t="shared" si="138"/>
        <v>4.2826812012991457E-3</v>
      </c>
      <c r="BF133" s="38">
        <f t="shared" si="139"/>
        <v>1.7525247040206895E-3</v>
      </c>
      <c r="BG133" s="38">
        <f t="shared" si="140"/>
        <v>0</v>
      </c>
      <c r="BH133" s="38">
        <f t="shared" si="141"/>
        <v>0</v>
      </c>
      <c r="BI133" s="38">
        <f t="shared" si="142"/>
        <v>0</v>
      </c>
      <c r="BJ133" s="38">
        <f t="shared" si="143"/>
        <v>0</v>
      </c>
      <c r="BK133" s="38">
        <f t="shared" si="144"/>
        <v>0</v>
      </c>
      <c r="BL133" s="41">
        <f t="shared" si="145"/>
        <v>3</v>
      </c>
      <c r="BM133" s="42">
        <f t="shared" si="113"/>
        <v>4</v>
      </c>
      <c r="BN133" s="38">
        <f t="shared" si="146"/>
        <v>2.1883283352325582E-2</v>
      </c>
      <c r="BO133" s="38">
        <f t="shared" si="147"/>
        <v>1.7525247040206895E-3</v>
      </c>
      <c r="BQ133" s="38">
        <f t="shared" si="148"/>
        <v>1.1651131824234355E-3</v>
      </c>
      <c r="BR133" s="38">
        <f t="shared" si="149"/>
        <v>2.2533800701051579E-3</v>
      </c>
      <c r="BS133" s="38">
        <f t="shared" si="150"/>
        <v>7.9639074146724224E-3</v>
      </c>
      <c r="BT133" s="38">
        <f t="shared" si="151"/>
        <v>1.5000986907033357E-3</v>
      </c>
      <c r="BU133" s="38">
        <f t="shared" si="152"/>
        <v>1.2336812804453725</v>
      </c>
      <c r="BV133" s="38">
        <f t="shared" si="153"/>
        <v>2.4245841556244712E-3</v>
      </c>
      <c r="BW133" s="38">
        <f t="shared" si="154"/>
        <v>1.7866004962779156E-3</v>
      </c>
      <c r="BX133" s="38">
        <f t="shared" si="155"/>
        <v>7.3109843081312412E-4</v>
      </c>
      <c r="BY133" s="38">
        <f t="shared" si="156"/>
        <v>0</v>
      </c>
      <c r="BZ133" s="38">
        <f t="shared" si="157"/>
        <v>0</v>
      </c>
      <c r="CA133" s="38">
        <f t="shared" si="158"/>
        <v>0</v>
      </c>
      <c r="CB133" s="38">
        <f t="shared" si="159"/>
        <v>0</v>
      </c>
      <c r="CC133" s="38">
        <f t="shared" si="160"/>
        <v>0</v>
      </c>
      <c r="CD133" s="38">
        <f t="shared" si="161"/>
        <v>1.2515060628859924</v>
      </c>
      <c r="CE133" s="38">
        <f t="shared" si="162"/>
        <v>1.2596565591912088</v>
      </c>
      <c r="CF133" s="38">
        <f t="shared" si="163"/>
        <v>2.3971118390604942</v>
      </c>
      <c r="CG133" s="38">
        <f t="shared" si="164"/>
        <v>3.0195376511874525</v>
      </c>
    </row>
    <row r="134" spans="1:85" ht="15" customHeight="1" x14ac:dyDescent="0.25">
      <c r="A134" s="35" t="s">
        <v>256</v>
      </c>
      <c r="B134" s="15">
        <v>1218</v>
      </c>
      <c r="C134" s="102" t="s">
        <v>99</v>
      </c>
      <c r="D134" s="103" t="s">
        <v>105</v>
      </c>
      <c r="E134" s="15">
        <v>51</v>
      </c>
      <c r="F134" s="15" t="s">
        <v>272</v>
      </c>
      <c r="G134" s="16">
        <v>0.42699999999999999</v>
      </c>
      <c r="H134" s="16">
        <v>0.20699999999999999</v>
      </c>
      <c r="I134" s="16">
        <v>0.30399999999999999</v>
      </c>
      <c r="J134" s="16">
        <v>0.114</v>
      </c>
      <c r="K134" s="16">
        <v>87.05</v>
      </c>
      <c r="L134" s="16">
        <v>0.115</v>
      </c>
      <c r="M134" s="16">
        <v>9.7000000000000003E-2</v>
      </c>
      <c r="N134" s="16">
        <v>0.19400000000000001</v>
      </c>
      <c r="O134" s="16">
        <v>3.5999999999999997E-2</v>
      </c>
      <c r="P134" s="16">
        <v>1.6E-2</v>
      </c>
      <c r="Q134" s="16">
        <v>0</v>
      </c>
      <c r="T134" s="16">
        <f t="shared" si="114"/>
        <v>88.56</v>
      </c>
      <c r="U134" s="16"/>
      <c r="V134" s="16">
        <f t="shared" si="108"/>
        <v>29.586100250831151</v>
      </c>
      <c r="W134" s="16">
        <f t="shared" si="109"/>
        <v>63.859631791251338</v>
      </c>
      <c r="X134" s="16">
        <f t="shared" si="110"/>
        <v>94.955732042082488</v>
      </c>
      <c r="AD134" s="15">
        <v>4</v>
      </c>
      <c r="AE134" s="15">
        <v>3</v>
      </c>
      <c r="AG134" s="38">
        <f t="shared" si="115"/>
        <v>2.2736063086798194E-2</v>
      </c>
      <c r="AH134" s="38">
        <f t="shared" si="116"/>
        <v>8.2899059579636131E-3</v>
      </c>
      <c r="AI134" s="38">
        <f t="shared" si="117"/>
        <v>1.9076164862258056E-2</v>
      </c>
      <c r="AJ134" s="38">
        <f t="shared" si="118"/>
        <v>4.7988496842452577E-3</v>
      </c>
      <c r="AK134" s="38">
        <f t="shared" si="119"/>
        <v>3.8757817873133251</v>
      </c>
      <c r="AL134" s="38">
        <f t="shared" si="120"/>
        <v>5.1858980039637048E-3</v>
      </c>
      <c r="AM134" s="38">
        <f t="shared" si="121"/>
        <v>7.699880812798569E-3</v>
      </c>
      <c r="AN134" s="38">
        <f t="shared" si="122"/>
        <v>1.1066519142502937E-2</v>
      </c>
      <c r="AO134" s="38">
        <f t="shared" si="123"/>
        <v>3.716192813514224E-3</v>
      </c>
      <c r="AP134" s="38">
        <f t="shared" si="124"/>
        <v>1.0867168227488163E-3</v>
      </c>
      <c r="AQ134" s="38">
        <f t="shared" si="125"/>
        <v>0</v>
      </c>
      <c r="AR134" s="38">
        <f t="shared" si="126"/>
        <v>0</v>
      </c>
      <c r="AS134" s="38">
        <f t="shared" si="127"/>
        <v>0</v>
      </c>
      <c r="AT134" s="39">
        <f t="shared" si="128"/>
        <v>3.9594379785001181</v>
      </c>
      <c r="AU134" s="38">
        <f t="shared" si="129"/>
        <v>4.1812227949056251E-2</v>
      </c>
      <c r="AV134" s="38">
        <f t="shared" si="130"/>
        <v>1.5869428778765977E-2</v>
      </c>
      <c r="AW134" s="40"/>
      <c r="AX134" s="38">
        <f t="shared" si="131"/>
        <v>1.7226735115126783E-2</v>
      </c>
      <c r="AY134" s="38">
        <f t="shared" si="132"/>
        <v>6.2811232323714246E-3</v>
      </c>
      <c r="AZ134" s="38">
        <f t="shared" si="133"/>
        <v>1.4453691381839249E-2</v>
      </c>
      <c r="BA134" s="38">
        <f t="shared" si="134"/>
        <v>3.6360082241241112E-3</v>
      </c>
      <c r="BB134" s="38">
        <f t="shared" si="135"/>
        <v>0.99808143362711199</v>
      </c>
      <c r="BC134" s="38">
        <f t="shared" si="136"/>
        <v>1.9385336680809724</v>
      </c>
      <c r="BD134" s="38">
        <f t="shared" si="137"/>
        <v>3.9292682689740111E-3</v>
      </c>
      <c r="BE134" s="38">
        <f t="shared" si="138"/>
        <v>5.8340710383209806E-3</v>
      </c>
      <c r="BF134" s="38">
        <f t="shared" si="139"/>
        <v>8.3849166492273725E-3</v>
      </c>
      <c r="BG134" s="38">
        <f t="shared" si="140"/>
        <v>2.8156972027544892E-3</v>
      </c>
      <c r="BH134" s="38">
        <f t="shared" si="141"/>
        <v>8.2338717917774607E-4</v>
      </c>
      <c r="BI134" s="38">
        <f t="shared" si="142"/>
        <v>0</v>
      </c>
      <c r="BJ134" s="38">
        <f t="shared" si="143"/>
        <v>0</v>
      </c>
      <c r="BK134" s="38">
        <f t="shared" si="144"/>
        <v>0</v>
      </c>
      <c r="BL134" s="41">
        <f t="shared" si="145"/>
        <v>3.0000000000000009</v>
      </c>
      <c r="BM134" s="42">
        <f t="shared" si="113"/>
        <v>4.0000000000000009</v>
      </c>
      <c r="BN134" s="38">
        <f t="shared" si="146"/>
        <v>3.1680426496966035E-2</v>
      </c>
      <c r="BO134" s="38">
        <f t="shared" si="147"/>
        <v>1.2024001031159607E-2</v>
      </c>
      <c r="BQ134" s="38">
        <f t="shared" si="148"/>
        <v>7.1071904127829565E-3</v>
      </c>
      <c r="BR134" s="38">
        <f t="shared" si="149"/>
        <v>2.5913870806209315E-3</v>
      </c>
      <c r="BS134" s="38">
        <f t="shared" si="150"/>
        <v>5.9631227932522559E-3</v>
      </c>
      <c r="BT134" s="38">
        <f t="shared" si="151"/>
        <v>1.5000986907033357E-3</v>
      </c>
      <c r="BU134" s="38">
        <f t="shared" si="152"/>
        <v>1.211551844119694</v>
      </c>
      <c r="BV134" s="38">
        <f t="shared" si="153"/>
        <v>1.6210882435861293E-3</v>
      </c>
      <c r="BW134" s="38">
        <f t="shared" si="154"/>
        <v>2.4069478908188588E-3</v>
      </c>
      <c r="BX134" s="38">
        <f t="shared" si="155"/>
        <v>3.459343794579173E-3</v>
      </c>
      <c r="BY134" s="38">
        <f t="shared" si="156"/>
        <v>1.1616650532429815E-3</v>
      </c>
      <c r="BZ134" s="38">
        <f t="shared" si="157"/>
        <v>3.3970276008492571E-4</v>
      </c>
      <c r="CA134" s="38">
        <f t="shared" si="158"/>
        <v>0</v>
      </c>
      <c r="CB134" s="38">
        <f t="shared" si="159"/>
        <v>0</v>
      </c>
      <c r="CC134" s="38">
        <f t="shared" si="160"/>
        <v>0</v>
      </c>
      <c r="CD134" s="38">
        <f t="shared" si="161"/>
        <v>1.2377023908393654</v>
      </c>
      <c r="CE134" s="38">
        <f t="shared" si="162"/>
        <v>1.2503818951680832</v>
      </c>
      <c r="CF134" s="38">
        <f t="shared" si="163"/>
        <v>2.4238460087044897</v>
      </c>
      <c r="CG134" s="38">
        <f t="shared" si="164"/>
        <v>3.0307331659595143</v>
      </c>
    </row>
    <row r="135" spans="1:85" ht="15" customHeight="1" x14ac:dyDescent="0.25">
      <c r="A135" s="35" t="s">
        <v>256</v>
      </c>
      <c r="B135" s="15">
        <v>1219</v>
      </c>
      <c r="C135" s="102" t="s">
        <v>99</v>
      </c>
      <c r="D135" s="103" t="s">
        <v>105</v>
      </c>
      <c r="E135" s="15">
        <v>52</v>
      </c>
      <c r="F135" s="15" t="s">
        <v>272</v>
      </c>
      <c r="G135" s="16">
        <v>3.6999999999999998E-2</v>
      </c>
      <c r="H135" s="16">
        <v>3.5999999999999997E-2</v>
      </c>
      <c r="I135" s="16">
        <v>6.6000000000000003E-2</v>
      </c>
      <c r="J135" s="16">
        <v>0.123</v>
      </c>
      <c r="K135" s="16">
        <v>91.21</v>
      </c>
      <c r="L135" s="16">
        <v>0.13</v>
      </c>
      <c r="M135" s="16">
        <v>0.13</v>
      </c>
      <c r="N135" s="16">
        <v>0.159</v>
      </c>
      <c r="O135" s="16">
        <v>1.7000000000000001E-2</v>
      </c>
      <c r="P135" s="16">
        <v>1.2E-2</v>
      </c>
      <c r="Q135" s="16">
        <v>0</v>
      </c>
      <c r="T135" s="16">
        <f t="shared" si="114"/>
        <v>91.919999999999987</v>
      </c>
      <c r="U135" s="16"/>
      <c r="V135" s="16">
        <f t="shared" si="108"/>
        <v>30.100973702164612</v>
      </c>
      <c r="W135" s="16">
        <f t="shared" si="109"/>
        <v>67.910460924784445</v>
      </c>
      <c r="X135" s="16">
        <f t="shared" si="110"/>
        <v>98.721434626949048</v>
      </c>
      <c r="AD135" s="15">
        <v>4</v>
      </c>
      <c r="AE135" s="15">
        <v>3</v>
      </c>
      <c r="AG135" s="38">
        <f t="shared" si="115"/>
        <v>1.918151052456562E-3</v>
      </c>
      <c r="AH135" s="38">
        <f t="shared" si="116"/>
        <v>1.4037037137927327E-3</v>
      </c>
      <c r="AI135" s="38">
        <f t="shared" si="117"/>
        <v>4.0323211038165241E-3</v>
      </c>
      <c r="AJ135" s="38">
        <f t="shared" si="118"/>
        <v>5.0411671370575945E-3</v>
      </c>
      <c r="AK135" s="38">
        <f t="shared" si="119"/>
        <v>3.953909162960878</v>
      </c>
      <c r="AL135" s="38">
        <f t="shared" si="120"/>
        <v>5.7077267352337088E-3</v>
      </c>
      <c r="AM135" s="38">
        <f t="shared" si="121"/>
        <v>1.0047298625247626E-2</v>
      </c>
      <c r="AN135" s="38">
        <f t="shared" si="122"/>
        <v>8.8308015199439257E-3</v>
      </c>
      <c r="AO135" s="38">
        <f t="shared" si="123"/>
        <v>1.7085919249775728E-3</v>
      </c>
      <c r="AP135" s="38">
        <f t="shared" si="124"/>
        <v>7.9354460479662758E-4</v>
      </c>
      <c r="AQ135" s="38">
        <f t="shared" si="125"/>
        <v>0</v>
      </c>
      <c r="AR135" s="38">
        <f t="shared" si="126"/>
        <v>0</v>
      </c>
      <c r="AS135" s="38">
        <f t="shared" si="127"/>
        <v>0</v>
      </c>
      <c r="AT135" s="39">
        <f t="shared" si="128"/>
        <v>3.9933924693782012</v>
      </c>
      <c r="AU135" s="38">
        <f t="shared" si="129"/>
        <v>5.9504721562730865E-3</v>
      </c>
      <c r="AV135" s="38">
        <f t="shared" si="130"/>
        <v>1.1332938049718126E-2</v>
      </c>
      <c r="AW135" s="40"/>
      <c r="AX135" s="38">
        <f t="shared" si="131"/>
        <v>1.4409936417458349E-3</v>
      </c>
      <c r="AY135" s="38">
        <f t="shared" si="132"/>
        <v>1.0545197281933815E-3</v>
      </c>
      <c r="AZ135" s="38">
        <f t="shared" si="133"/>
        <v>3.029244784781485E-3</v>
      </c>
      <c r="BA135" s="38">
        <f t="shared" si="134"/>
        <v>3.7871312492176899E-3</v>
      </c>
      <c r="BB135" s="38">
        <f t="shared" si="135"/>
        <v>0.9802662182278703</v>
      </c>
      <c r="BC135" s="38">
        <f t="shared" si="136"/>
        <v>1.9900723046795932</v>
      </c>
      <c r="BD135" s="38">
        <f t="shared" si="137"/>
        <v>4.287878122925224E-3</v>
      </c>
      <c r="BE135" s="38">
        <f t="shared" si="138"/>
        <v>7.5479422838787939E-3</v>
      </c>
      <c r="BF135" s="38">
        <f t="shared" si="139"/>
        <v>6.634059828323568E-3</v>
      </c>
      <c r="BG135" s="38">
        <f t="shared" si="140"/>
        <v>1.2835642412404402E-3</v>
      </c>
      <c r="BH135" s="38">
        <f t="shared" si="141"/>
        <v>5.9614321222991738E-4</v>
      </c>
      <c r="BI135" s="38">
        <f t="shared" si="142"/>
        <v>0</v>
      </c>
      <c r="BJ135" s="38">
        <f t="shared" si="143"/>
        <v>0</v>
      </c>
      <c r="BK135" s="38">
        <f t="shared" si="144"/>
        <v>0</v>
      </c>
      <c r="BL135" s="41">
        <f t="shared" si="145"/>
        <v>2.9999999999999996</v>
      </c>
      <c r="BM135" s="42">
        <f t="shared" si="113"/>
        <v>4</v>
      </c>
      <c r="BN135" s="38">
        <f t="shared" si="146"/>
        <v>4.47023842652732E-3</v>
      </c>
      <c r="BO135" s="38">
        <f t="shared" si="147"/>
        <v>8.5137672817939269E-3</v>
      </c>
      <c r="BQ135" s="38">
        <f t="shared" si="148"/>
        <v>6.1584553928095871E-4</v>
      </c>
      <c r="BR135" s="38">
        <f t="shared" si="149"/>
        <v>4.5067601402103152E-4</v>
      </c>
      <c r="BS135" s="38">
        <f t="shared" si="150"/>
        <v>1.2946253432718714E-3</v>
      </c>
      <c r="BT135" s="38">
        <f t="shared" si="151"/>
        <v>1.6185275347062305E-3</v>
      </c>
      <c r="BU135" s="38">
        <f t="shared" si="152"/>
        <v>1.2694502435629784</v>
      </c>
      <c r="BV135" s="38">
        <f t="shared" si="153"/>
        <v>1.8325345362277983E-3</v>
      </c>
      <c r="BW135" s="38">
        <f t="shared" si="154"/>
        <v>3.2258064516129037E-3</v>
      </c>
      <c r="BX135" s="38">
        <f t="shared" si="155"/>
        <v>2.8352353780313837E-3</v>
      </c>
      <c r="BY135" s="38">
        <f t="shared" si="156"/>
        <v>5.4856405292029692E-4</v>
      </c>
      <c r="BZ135" s="38">
        <f t="shared" si="157"/>
        <v>2.5477707006369424E-4</v>
      </c>
      <c r="CA135" s="38">
        <f t="shared" si="158"/>
        <v>0</v>
      </c>
      <c r="CB135" s="38">
        <f t="shared" si="159"/>
        <v>0</v>
      </c>
      <c r="CC135" s="38">
        <f t="shared" si="160"/>
        <v>0</v>
      </c>
      <c r="CD135" s="38">
        <f t="shared" si="161"/>
        <v>1.2821268354831146</v>
      </c>
      <c r="CE135" s="38">
        <f t="shared" si="162"/>
        <v>1.2842482629139136</v>
      </c>
      <c r="CF135" s="38">
        <f t="shared" si="163"/>
        <v>2.3398621080024258</v>
      </c>
      <c r="CG135" s="38">
        <f t="shared" si="164"/>
        <v>3.0049638476602034</v>
      </c>
    </row>
    <row r="136" spans="1:85" ht="15" customHeight="1" x14ac:dyDescent="0.25">
      <c r="A136" s="35" t="s">
        <v>250</v>
      </c>
      <c r="B136" s="15">
        <v>257</v>
      </c>
      <c r="C136" s="102" t="s">
        <v>251</v>
      </c>
      <c r="D136" s="103" t="s">
        <v>104</v>
      </c>
      <c r="E136" s="15">
        <v>89</v>
      </c>
      <c r="F136" s="15" t="s">
        <v>272</v>
      </c>
      <c r="G136" s="16">
        <v>3.3000000000000002E-2</v>
      </c>
      <c r="H136" s="16">
        <v>5.96</v>
      </c>
      <c r="I136" s="16">
        <v>1.341</v>
      </c>
      <c r="J136" s="16">
        <v>6.2E-2</v>
      </c>
      <c r="K136" s="16">
        <v>84.55</v>
      </c>
      <c r="L136" s="16">
        <v>0.41499999999999998</v>
      </c>
      <c r="M136" s="16">
        <v>0.64100000000000001</v>
      </c>
      <c r="N136" s="16">
        <v>0</v>
      </c>
      <c r="O136" s="16">
        <v>0.01</v>
      </c>
      <c r="P136" s="16">
        <v>0</v>
      </c>
      <c r="Q136" s="16">
        <v>0</v>
      </c>
      <c r="T136" s="16">
        <f t="shared" si="114"/>
        <v>93.012000000000015</v>
      </c>
      <c r="U136" s="16"/>
      <c r="V136" s="16">
        <f t="shared" si="108"/>
        <v>34.952564975373249</v>
      </c>
      <c r="W136" s="16">
        <f t="shared" si="109"/>
        <v>55.117629542867711</v>
      </c>
      <c r="X136" s="16">
        <f t="shared" si="110"/>
        <v>98.532194518240956</v>
      </c>
      <c r="Y136" s="15">
        <v>90</v>
      </c>
      <c r="AD136" s="15">
        <v>4</v>
      </c>
      <c r="AE136" s="15">
        <v>3</v>
      </c>
      <c r="AG136" s="38">
        <f t="shared" si="115"/>
        <v>1.5809937136619329E-3</v>
      </c>
      <c r="AH136" s="38">
        <f t="shared" si="116"/>
        <v>0.21476046259092471</v>
      </c>
      <c r="AI136" s="38">
        <f t="shared" si="117"/>
        <v>7.5713805299071985E-2</v>
      </c>
      <c r="AJ136" s="38">
        <f t="shared" si="118"/>
        <v>2.3482957784870828E-3</v>
      </c>
      <c r="AK136" s="38">
        <f t="shared" si="119"/>
        <v>3.3871385887628662</v>
      </c>
      <c r="AL136" s="38">
        <f t="shared" si="120"/>
        <v>1.6838485985372059E-2</v>
      </c>
      <c r="AM136" s="38">
        <f t="shared" si="121"/>
        <v>4.5782458519493585E-2</v>
      </c>
      <c r="AN136" s="38">
        <f t="shared" si="122"/>
        <v>0</v>
      </c>
      <c r="AO136" s="38">
        <f t="shared" si="123"/>
        <v>9.288050135117773E-4</v>
      </c>
      <c r="AP136" s="38">
        <f t="shared" si="124"/>
        <v>0</v>
      </c>
      <c r="AQ136" s="38">
        <f t="shared" si="125"/>
        <v>0</v>
      </c>
      <c r="AR136" s="38">
        <f t="shared" si="126"/>
        <v>0</v>
      </c>
      <c r="AS136" s="38">
        <f t="shared" si="127"/>
        <v>0</v>
      </c>
      <c r="AT136" s="39">
        <f t="shared" si="128"/>
        <v>3.7450918956633892</v>
      </c>
      <c r="AU136" s="38">
        <f t="shared" si="129"/>
        <v>7.7294799012733922E-2</v>
      </c>
      <c r="AV136" s="38">
        <f t="shared" si="130"/>
        <v>9.288050135117773E-4</v>
      </c>
      <c r="AW136" s="40"/>
      <c r="AX136" s="38">
        <f t="shared" si="131"/>
        <v>1.2664525392495469E-3</v>
      </c>
      <c r="AY136" s="38">
        <f t="shared" si="132"/>
        <v>0.17203353234638022</v>
      </c>
      <c r="AZ136" s="38">
        <f t="shared" si="133"/>
        <v>6.0650425203246205E-2</v>
      </c>
      <c r="BA136" s="38">
        <f t="shared" si="134"/>
        <v>1.8810986570500017E-3</v>
      </c>
      <c r="BB136" s="38">
        <f t="shared" si="135"/>
        <v>1.1216495397204111</v>
      </c>
      <c r="BC136" s="38">
        <f t="shared" si="136"/>
        <v>1.5916125241704533</v>
      </c>
      <c r="BD136" s="38">
        <f t="shared" si="137"/>
        <v>1.3488442837573705E-2</v>
      </c>
      <c r="BE136" s="38">
        <f t="shared" si="138"/>
        <v>3.667396672362605E-2</v>
      </c>
      <c r="BF136" s="38">
        <f t="shared" si="139"/>
        <v>0</v>
      </c>
      <c r="BG136" s="38">
        <f t="shared" si="140"/>
        <v>7.4401780200957076E-4</v>
      </c>
      <c r="BH136" s="38">
        <f t="shared" si="141"/>
        <v>0</v>
      </c>
      <c r="BI136" s="38">
        <f t="shared" si="142"/>
        <v>0</v>
      </c>
      <c r="BJ136" s="38">
        <f t="shared" si="143"/>
        <v>0</v>
      </c>
      <c r="BK136" s="38">
        <f t="shared" si="144"/>
        <v>0</v>
      </c>
      <c r="BL136" s="41">
        <f t="shared" si="145"/>
        <v>3</v>
      </c>
      <c r="BM136" s="42">
        <f t="shared" si="113"/>
        <v>3.9999999999999996</v>
      </c>
      <c r="BN136" s="38">
        <f t="shared" si="146"/>
        <v>6.1916877742495754E-2</v>
      </c>
      <c r="BO136" s="38">
        <f t="shared" si="147"/>
        <v>7.4401780200957076E-4</v>
      </c>
      <c r="BQ136" s="38">
        <f t="shared" si="148"/>
        <v>5.4926764314247676E-4</v>
      </c>
      <c r="BR136" s="38">
        <f t="shared" si="149"/>
        <v>7.4611917876815231E-2</v>
      </c>
      <c r="BS136" s="38">
        <f t="shared" si="150"/>
        <v>2.6304433111023932E-2</v>
      </c>
      <c r="BT136" s="38">
        <f t="shared" si="151"/>
        <v>8.1584314757549839E-4</v>
      </c>
      <c r="BU136" s="38">
        <f t="shared" si="152"/>
        <v>1.1767571329157969</v>
      </c>
      <c r="BV136" s="38">
        <f t="shared" si="153"/>
        <v>5.8500140964195093E-3</v>
      </c>
      <c r="BW136" s="38">
        <f t="shared" si="154"/>
        <v>1.5905707196029777E-2</v>
      </c>
      <c r="BX136" s="38">
        <f t="shared" si="155"/>
        <v>0</v>
      </c>
      <c r="BY136" s="38">
        <f t="shared" si="156"/>
        <v>3.2268473701193938E-4</v>
      </c>
      <c r="BZ136" s="38">
        <f t="shared" si="157"/>
        <v>0</v>
      </c>
      <c r="CA136" s="38">
        <f t="shared" si="158"/>
        <v>0</v>
      </c>
      <c r="CB136" s="38">
        <f t="shared" si="159"/>
        <v>0</v>
      </c>
      <c r="CC136" s="38">
        <f t="shared" si="160"/>
        <v>0</v>
      </c>
      <c r="CD136" s="38">
        <f t="shared" si="161"/>
        <v>1.3011170007238153</v>
      </c>
      <c r="CE136" s="38">
        <f t="shared" si="162"/>
        <v>1.3896769820045667</v>
      </c>
      <c r="CF136" s="38">
        <f t="shared" si="163"/>
        <v>2.3057111684276594</v>
      </c>
      <c r="CG136" s="38">
        <f t="shared" si="164"/>
        <v>3.2041937379147729</v>
      </c>
    </row>
    <row r="137" spans="1:85" ht="15" customHeight="1" x14ac:dyDescent="0.25">
      <c r="A137" s="35" t="s">
        <v>250</v>
      </c>
      <c r="B137" s="15">
        <v>258</v>
      </c>
      <c r="C137" s="102" t="s">
        <v>251</v>
      </c>
      <c r="D137" s="103" t="s">
        <v>104</v>
      </c>
      <c r="E137" s="15">
        <v>90</v>
      </c>
      <c r="F137" s="15" t="s">
        <v>279</v>
      </c>
      <c r="G137" s="16">
        <v>0.03</v>
      </c>
      <c r="H137" s="16">
        <v>45.73</v>
      </c>
      <c r="I137" s="16">
        <v>0.08</v>
      </c>
      <c r="J137" s="16">
        <v>0</v>
      </c>
      <c r="K137" s="16">
        <v>49.19</v>
      </c>
      <c r="L137" s="16">
        <v>1.88</v>
      </c>
      <c r="M137" s="16">
        <v>0.82899999999999996</v>
      </c>
      <c r="N137" s="16">
        <v>0</v>
      </c>
      <c r="O137" s="16">
        <v>1.7000000000000001E-2</v>
      </c>
      <c r="P137" s="16">
        <v>0</v>
      </c>
      <c r="Q137" s="16">
        <v>0</v>
      </c>
      <c r="T137" s="16">
        <f t="shared" si="114"/>
        <v>97.755999999999986</v>
      </c>
      <c r="U137" s="16"/>
      <c r="V137" s="16">
        <f t="shared" ref="V137:V200" si="165">K137*BB137/(BB137+BC137)</f>
        <v>37.707881834931584</v>
      </c>
      <c r="W137" s="16">
        <f t="shared" ref="W137:W200" si="166">1.1113*K137*BC137/(BB137+BC137)</f>
        <v>12.760077916840526</v>
      </c>
      <c r="X137" s="16">
        <f t="shared" ref="X137:X200" si="167">SUM(G137:J137)+SUM(L137:S137)+SUM(V137:W137)</f>
        <v>99.033959751772102</v>
      </c>
      <c r="Y137" s="15">
        <v>89</v>
      </c>
      <c r="AD137" s="15">
        <v>3</v>
      </c>
      <c r="AE137" s="15">
        <v>2</v>
      </c>
      <c r="AG137" s="38">
        <f t="shared" si="115"/>
        <v>7.9668830855144843E-4</v>
      </c>
      <c r="AH137" s="38">
        <f t="shared" si="116"/>
        <v>0.91339842493384604</v>
      </c>
      <c r="AI137" s="38">
        <f t="shared" si="117"/>
        <v>2.5037287081350087E-3</v>
      </c>
      <c r="AJ137" s="38">
        <f t="shared" si="118"/>
        <v>0</v>
      </c>
      <c r="AK137" s="38">
        <f t="shared" si="119"/>
        <v>1.0923131531851342</v>
      </c>
      <c r="AL137" s="38">
        <f t="shared" si="120"/>
        <v>4.2282803837143841E-2</v>
      </c>
      <c r="AM137" s="38">
        <f t="shared" si="121"/>
        <v>3.2820606150514624E-2</v>
      </c>
      <c r="AN137" s="38">
        <f t="shared" si="122"/>
        <v>0</v>
      </c>
      <c r="AO137" s="38">
        <f t="shared" si="123"/>
        <v>8.752345604196057E-4</v>
      </c>
      <c r="AP137" s="38">
        <f t="shared" si="124"/>
        <v>0</v>
      </c>
      <c r="AQ137" s="38">
        <f t="shared" si="125"/>
        <v>0</v>
      </c>
      <c r="AR137" s="38">
        <f t="shared" si="126"/>
        <v>0</v>
      </c>
      <c r="AS137" s="38">
        <f t="shared" si="127"/>
        <v>0</v>
      </c>
      <c r="AT137" s="39">
        <f t="shared" si="128"/>
        <v>2.0849906396837445</v>
      </c>
      <c r="AU137" s="38">
        <f t="shared" si="129"/>
        <v>3.3004170166864573E-3</v>
      </c>
      <c r="AV137" s="38">
        <f t="shared" si="130"/>
        <v>8.752345604196057E-4</v>
      </c>
      <c r="AW137" s="40"/>
      <c r="AX137" s="38">
        <f t="shared" si="131"/>
        <v>7.6421283950923763E-4</v>
      </c>
      <c r="AY137" s="38">
        <f t="shared" si="132"/>
        <v>0.87616549211212935</v>
      </c>
      <c r="AZ137" s="38">
        <f t="shared" si="133"/>
        <v>2.4016690151805941E-3</v>
      </c>
      <c r="BA137" s="38">
        <f t="shared" si="134"/>
        <v>0</v>
      </c>
      <c r="BB137" s="38">
        <f t="shared" si="135"/>
        <v>0.80320862664487525</v>
      </c>
      <c r="BC137" s="38">
        <f t="shared" si="136"/>
        <v>0.24457847838579094</v>
      </c>
      <c r="BD137" s="38">
        <f t="shared" si="137"/>
        <v>4.0559226533081569E-2</v>
      </c>
      <c r="BE137" s="38">
        <f t="shared" si="138"/>
        <v>3.148273716518258E-2</v>
      </c>
      <c r="BF137" s="38">
        <f t="shared" si="139"/>
        <v>0</v>
      </c>
      <c r="BG137" s="38">
        <f t="shared" si="140"/>
        <v>8.3955730424992473E-4</v>
      </c>
      <c r="BH137" s="38">
        <f t="shared" si="141"/>
        <v>0</v>
      </c>
      <c r="BI137" s="38">
        <f t="shared" si="142"/>
        <v>0</v>
      </c>
      <c r="BJ137" s="38">
        <f t="shared" si="143"/>
        <v>0</v>
      </c>
      <c r="BK137" s="38">
        <f t="shared" si="144"/>
        <v>0</v>
      </c>
      <c r="BL137" s="41">
        <f t="shared" si="145"/>
        <v>1.9999999999999996</v>
      </c>
      <c r="BM137" s="42">
        <f t="shared" si="113"/>
        <v>2.9999999999999991</v>
      </c>
      <c r="BN137" s="38">
        <f t="shared" si="146"/>
        <v>3.1658818546898317E-3</v>
      </c>
      <c r="BO137" s="38">
        <f t="shared" si="147"/>
        <v>8.3955730424992473E-4</v>
      </c>
      <c r="BQ137" s="38">
        <f t="shared" si="148"/>
        <v>4.9933422103861519E-4</v>
      </c>
      <c r="BR137" s="38">
        <f t="shared" si="149"/>
        <v>0.57248372558838256</v>
      </c>
      <c r="BS137" s="38">
        <f t="shared" si="150"/>
        <v>1.5692428403295412E-3</v>
      </c>
      <c r="BT137" s="38">
        <f t="shared" si="151"/>
        <v>0</v>
      </c>
      <c r="BU137" s="38">
        <f t="shared" si="152"/>
        <v>0.68462073764787756</v>
      </c>
      <c r="BV137" s="38">
        <f t="shared" si="153"/>
        <v>2.6501268677755849E-2</v>
      </c>
      <c r="BW137" s="38">
        <f t="shared" si="154"/>
        <v>2.0570719602977669E-2</v>
      </c>
      <c r="BX137" s="38">
        <f t="shared" si="155"/>
        <v>0</v>
      </c>
      <c r="BY137" s="38">
        <f t="shared" si="156"/>
        <v>5.4856405292029692E-4</v>
      </c>
      <c r="BZ137" s="38">
        <f t="shared" si="157"/>
        <v>0</v>
      </c>
      <c r="CA137" s="38">
        <f t="shared" si="158"/>
        <v>0</v>
      </c>
      <c r="CB137" s="38">
        <f t="shared" si="159"/>
        <v>0</v>
      </c>
      <c r="CC137" s="38">
        <f t="shared" si="160"/>
        <v>0</v>
      </c>
      <c r="CD137" s="38">
        <f t="shared" si="161"/>
        <v>1.3067935926312824</v>
      </c>
      <c r="CE137" s="38">
        <f t="shared" si="162"/>
        <v>1.8802869918344078</v>
      </c>
      <c r="CF137" s="38">
        <f t="shared" si="163"/>
        <v>1.5304635799238333</v>
      </c>
      <c r="CG137" s="38">
        <f t="shared" si="164"/>
        <v>2.8777107608071035</v>
      </c>
    </row>
    <row r="138" spans="1:85" ht="15" customHeight="1" x14ac:dyDescent="0.25">
      <c r="A138" s="35" t="s">
        <v>250</v>
      </c>
      <c r="B138" s="15">
        <v>259</v>
      </c>
      <c r="C138" s="102" t="s">
        <v>251</v>
      </c>
      <c r="D138" s="103" t="s">
        <v>104</v>
      </c>
      <c r="E138" s="15">
        <v>91</v>
      </c>
      <c r="F138" s="15" t="s">
        <v>272</v>
      </c>
      <c r="G138" s="16">
        <v>7.6999999999999999E-2</v>
      </c>
      <c r="H138" s="16">
        <v>7</v>
      </c>
      <c r="I138" s="16">
        <v>1.3640000000000001</v>
      </c>
      <c r="J138" s="16">
        <v>0.13900000000000001</v>
      </c>
      <c r="K138" s="16">
        <v>84.25</v>
      </c>
      <c r="L138" s="16">
        <v>0.38200000000000001</v>
      </c>
      <c r="M138" s="16">
        <v>0.71</v>
      </c>
      <c r="N138" s="16">
        <v>7.0000000000000001E-3</v>
      </c>
      <c r="O138" s="16">
        <v>0.01</v>
      </c>
      <c r="P138" s="16">
        <v>0</v>
      </c>
      <c r="Q138" s="16">
        <v>0</v>
      </c>
      <c r="T138" s="16">
        <f t="shared" si="114"/>
        <v>93.939000000000007</v>
      </c>
      <c r="U138" s="16"/>
      <c r="V138" s="16">
        <f t="shared" si="165"/>
        <v>36.13935845923033</v>
      </c>
      <c r="W138" s="16">
        <f t="shared" si="166"/>
        <v>53.465355944257333</v>
      </c>
      <c r="X138" s="16">
        <f t="shared" si="167"/>
        <v>99.293714403487655</v>
      </c>
      <c r="AD138" s="15">
        <v>4</v>
      </c>
      <c r="AE138" s="15">
        <v>3</v>
      </c>
      <c r="AG138" s="38">
        <f t="shared" si="115"/>
        <v>3.6189418058622004E-3</v>
      </c>
      <c r="AH138" s="38">
        <f t="shared" si="116"/>
        <v>0.24744619622183392</v>
      </c>
      <c r="AI138" s="38">
        <f t="shared" si="117"/>
        <v>7.5550151147029454E-2</v>
      </c>
      <c r="AJ138" s="38">
        <f t="shared" si="118"/>
        <v>5.1647651620573025E-3</v>
      </c>
      <c r="AK138" s="38">
        <f t="shared" si="119"/>
        <v>3.3110362491129495</v>
      </c>
      <c r="AL138" s="38">
        <f t="shared" si="120"/>
        <v>1.5205229415007524E-2</v>
      </c>
      <c r="AM138" s="38">
        <f t="shared" si="121"/>
        <v>4.9747825343786127E-2</v>
      </c>
      <c r="AN138" s="38">
        <f t="shared" si="122"/>
        <v>3.5246080874108584E-4</v>
      </c>
      <c r="AO138" s="38">
        <f t="shared" si="123"/>
        <v>9.1116960098649774E-4</v>
      </c>
      <c r="AP138" s="38">
        <f t="shared" si="124"/>
        <v>0</v>
      </c>
      <c r="AQ138" s="38">
        <f t="shared" si="125"/>
        <v>0</v>
      </c>
      <c r="AR138" s="38">
        <f t="shared" si="126"/>
        <v>0</v>
      </c>
      <c r="AS138" s="38">
        <f t="shared" si="127"/>
        <v>0</v>
      </c>
      <c r="AT138" s="39">
        <f t="shared" si="128"/>
        <v>3.7090329886182536</v>
      </c>
      <c r="AU138" s="38">
        <f t="shared" si="129"/>
        <v>7.9169092952891651E-2</v>
      </c>
      <c r="AV138" s="38">
        <f t="shared" si="130"/>
        <v>1.2636304097275836E-3</v>
      </c>
      <c r="AW138" s="40"/>
      <c r="AX138" s="38">
        <f t="shared" si="131"/>
        <v>2.927130993685541E-3</v>
      </c>
      <c r="AY138" s="38">
        <f t="shared" si="132"/>
        <v>0.20014343117019542</v>
      </c>
      <c r="AZ138" s="38">
        <f t="shared" si="133"/>
        <v>6.1107694144700422E-2</v>
      </c>
      <c r="BA138" s="38">
        <f t="shared" si="134"/>
        <v>4.1774488212206707E-3</v>
      </c>
      <c r="BB138" s="38">
        <f t="shared" si="135"/>
        <v>1.1487751258799492</v>
      </c>
      <c r="BC138" s="38">
        <f t="shared" si="136"/>
        <v>1.5293107196275297</v>
      </c>
      <c r="BD138" s="38">
        <f t="shared" si="137"/>
        <v>1.2298539372661668E-2</v>
      </c>
      <c r="BE138" s="38">
        <f t="shared" si="138"/>
        <v>4.0237840021734847E-2</v>
      </c>
      <c r="BF138" s="38">
        <f t="shared" si="139"/>
        <v>2.8508304710904442E-4</v>
      </c>
      <c r="BG138" s="38">
        <f t="shared" si="140"/>
        <v>7.3698692121307394E-4</v>
      </c>
      <c r="BH138" s="38">
        <f t="shared" si="141"/>
        <v>0</v>
      </c>
      <c r="BI138" s="38">
        <f t="shared" si="142"/>
        <v>0</v>
      </c>
      <c r="BJ138" s="38">
        <f t="shared" si="143"/>
        <v>0</v>
      </c>
      <c r="BK138" s="38">
        <f t="shared" si="144"/>
        <v>0</v>
      </c>
      <c r="BL138" s="41">
        <f t="shared" si="145"/>
        <v>2.9999999999999991</v>
      </c>
      <c r="BM138" s="42">
        <f t="shared" si="113"/>
        <v>3.9999999999999996</v>
      </c>
      <c r="BN138" s="38">
        <f t="shared" si="146"/>
        <v>6.4034825138385959E-2</v>
      </c>
      <c r="BO138" s="38">
        <f t="shared" si="147"/>
        <v>1.0220699683221183E-3</v>
      </c>
      <c r="BQ138" s="38">
        <f t="shared" si="148"/>
        <v>1.2816245006657789E-3</v>
      </c>
      <c r="BR138" s="38">
        <f t="shared" si="149"/>
        <v>8.7631447170756133E-2</v>
      </c>
      <c r="BS138" s="38">
        <f t="shared" si="150"/>
        <v>2.6755590427618679E-2</v>
      </c>
      <c r="BT138" s="38">
        <f t="shared" si="151"/>
        <v>1.8290677018224883E-3</v>
      </c>
      <c r="BU138" s="38">
        <f t="shared" si="152"/>
        <v>1.1725817675713293</v>
      </c>
      <c r="BV138" s="38">
        <f t="shared" si="153"/>
        <v>5.3848322526078383E-3</v>
      </c>
      <c r="BW138" s="38">
        <f t="shared" si="154"/>
        <v>1.761786600496278E-2</v>
      </c>
      <c r="BX138" s="38">
        <f t="shared" si="155"/>
        <v>1.2482168330955778E-4</v>
      </c>
      <c r="BY138" s="38">
        <f t="shared" si="156"/>
        <v>3.2268473701193938E-4</v>
      </c>
      <c r="BZ138" s="38">
        <f t="shared" si="157"/>
        <v>0</v>
      </c>
      <c r="CA138" s="38">
        <f t="shared" si="158"/>
        <v>0</v>
      </c>
      <c r="CB138" s="38">
        <f t="shared" si="159"/>
        <v>0</v>
      </c>
      <c r="CC138" s="38">
        <f t="shared" si="160"/>
        <v>0</v>
      </c>
      <c r="CD138" s="38">
        <f t="shared" si="161"/>
        <v>1.3135297020500845</v>
      </c>
      <c r="CE138" s="38">
        <f t="shared" si="162"/>
        <v>1.4165737604177211</v>
      </c>
      <c r="CF138" s="38">
        <f t="shared" si="163"/>
        <v>2.2839224688393158</v>
      </c>
      <c r="CG138" s="38">
        <f t="shared" si="164"/>
        <v>3.2353446401862351</v>
      </c>
    </row>
    <row r="139" spans="1:85" ht="15" customHeight="1" x14ac:dyDescent="0.25">
      <c r="A139" s="35" t="s">
        <v>250</v>
      </c>
      <c r="B139" s="15">
        <v>260</v>
      </c>
      <c r="C139" s="102" t="s">
        <v>251</v>
      </c>
      <c r="D139" s="103" t="s">
        <v>104</v>
      </c>
      <c r="E139" s="15">
        <v>92</v>
      </c>
      <c r="F139" s="15" t="s">
        <v>279</v>
      </c>
      <c r="G139" s="16">
        <v>1.7999999999999999E-2</v>
      </c>
      <c r="H139" s="16">
        <v>44.99</v>
      </c>
      <c r="I139" s="16">
        <v>9.1999999999999998E-2</v>
      </c>
      <c r="J139" s="16">
        <v>3.4000000000000002E-2</v>
      </c>
      <c r="K139" s="16">
        <v>48.98</v>
      </c>
      <c r="L139" s="16">
        <v>1.89</v>
      </c>
      <c r="M139" s="16">
        <v>0.80800000000000005</v>
      </c>
      <c r="N139" s="16">
        <v>3.2000000000000001E-2</v>
      </c>
      <c r="O139" s="16">
        <v>4.5999999999999999E-2</v>
      </c>
      <c r="P139" s="16">
        <v>0</v>
      </c>
      <c r="Q139" s="16">
        <v>0</v>
      </c>
      <c r="T139" s="16">
        <f t="shared" si="114"/>
        <v>96.890000000000015</v>
      </c>
      <c r="U139" s="16"/>
      <c r="V139" s="16">
        <f t="shared" si="165"/>
        <v>36.879761238355435</v>
      </c>
      <c r="W139" s="16">
        <f t="shared" si="166"/>
        <v>13.446995335815604</v>
      </c>
      <c r="X139" s="16">
        <f t="shared" si="167"/>
        <v>98.236756574171039</v>
      </c>
      <c r="AD139" s="15">
        <v>3</v>
      </c>
      <c r="AE139" s="15">
        <v>2</v>
      </c>
      <c r="AG139" s="38">
        <f t="shared" si="115"/>
        <v>4.8319561315975567E-4</v>
      </c>
      <c r="AH139" s="38">
        <f t="shared" si="116"/>
        <v>0.90836070481717646</v>
      </c>
      <c r="AI139" s="38">
        <f t="shared" si="117"/>
        <v>2.9105053227351761E-3</v>
      </c>
      <c r="AJ139" s="38">
        <f t="shared" si="118"/>
        <v>7.2156307279988888E-4</v>
      </c>
      <c r="AK139" s="38">
        <f t="shared" si="119"/>
        <v>1.099442218854477</v>
      </c>
      <c r="AL139" s="38">
        <f t="shared" si="120"/>
        <v>4.2968581985579395E-2</v>
      </c>
      <c r="AM139" s="38">
        <f t="shared" si="121"/>
        <v>3.2336031279872626E-2</v>
      </c>
      <c r="AN139" s="38">
        <f t="shared" si="122"/>
        <v>9.2028506700390293E-4</v>
      </c>
      <c r="AO139" s="38">
        <f t="shared" si="123"/>
        <v>2.3939587181839189E-3</v>
      </c>
      <c r="AP139" s="38">
        <f t="shared" si="124"/>
        <v>0</v>
      </c>
      <c r="AQ139" s="38">
        <f t="shared" si="125"/>
        <v>0</v>
      </c>
      <c r="AR139" s="38">
        <f t="shared" si="126"/>
        <v>0</v>
      </c>
      <c r="AS139" s="38">
        <f t="shared" si="127"/>
        <v>0</v>
      </c>
      <c r="AT139" s="39">
        <f t="shared" si="128"/>
        <v>2.0905370447309886</v>
      </c>
      <c r="AU139" s="38">
        <f t="shared" si="129"/>
        <v>3.3937009358949318E-3</v>
      </c>
      <c r="AV139" s="38">
        <f t="shared" si="130"/>
        <v>3.3142437851878216E-3</v>
      </c>
      <c r="AW139" s="40"/>
      <c r="AX139" s="38">
        <f t="shared" si="131"/>
        <v>4.6226936219820347E-4</v>
      </c>
      <c r="AY139" s="38">
        <f t="shared" si="132"/>
        <v>0.86902139056240901</v>
      </c>
      <c r="AZ139" s="38">
        <f t="shared" si="133"/>
        <v>2.7844570657772783E-3</v>
      </c>
      <c r="BA139" s="38">
        <f t="shared" si="134"/>
        <v>6.9031359632542645E-4</v>
      </c>
      <c r="BB139" s="38">
        <f t="shared" si="135"/>
        <v>0.79197934975415585</v>
      </c>
      <c r="BC139" s="38">
        <f t="shared" si="136"/>
        <v>0.25984819056666519</v>
      </c>
      <c r="BD139" s="38">
        <f t="shared" si="137"/>
        <v>4.1107697272218018E-2</v>
      </c>
      <c r="BE139" s="38">
        <f t="shared" si="138"/>
        <v>3.0935621410175623E-2</v>
      </c>
      <c r="BF139" s="38">
        <f t="shared" si="139"/>
        <v>8.8042933209282173E-4</v>
      </c>
      <c r="BG139" s="38">
        <f t="shared" si="140"/>
        <v>2.2902810779820209E-3</v>
      </c>
      <c r="BH139" s="38">
        <f t="shared" si="141"/>
        <v>0</v>
      </c>
      <c r="BI139" s="38">
        <f t="shared" si="142"/>
        <v>0</v>
      </c>
      <c r="BJ139" s="38">
        <f t="shared" si="143"/>
        <v>0</v>
      </c>
      <c r="BK139" s="38">
        <f t="shared" si="144"/>
        <v>0</v>
      </c>
      <c r="BL139" s="41">
        <f t="shared" si="145"/>
        <v>1.9999999999999996</v>
      </c>
      <c r="BM139" s="42">
        <f t="shared" si="113"/>
        <v>2.9999999999999996</v>
      </c>
      <c r="BN139" s="38">
        <f t="shared" si="146"/>
        <v>3.2467264279754816E-3</v>
      </c>
      <c r="BO139" s="38">
        <f t="shared" si="147"/>
        <v>3.1707104100748428E-3</v>
      </c>
      <c r="BQ139" s="38">
        <f t="shared" si="148"/>
        <v>2.9960053262316911E-4</v>
      </c>
      <c r="BR139" s="38">
        <f t="shared" si="149"/>
        <v>0.56321982974461693</v>
      </c>
      <c r="BS139" s="38">
        <f t="shared" si="150"/>
        <v>1.8046292663789721E-3</v>
      </c>
      <c r="BT139" s="38">
        <f t="shared" si="151"/>
        <v>4.4739785512204748E-4</v>
      </c>
      <c r="BU139" s="38">
        <f t="shared" si="152"/>
        <v>0.68169798190675024</v>
      </c>
      <c r="BV139" s="38">
        <f t="shared" si="153"/>
        <v>2.6642232872850294E-2</v>
      </c>
      <c r="BW139" s="38">
        <f t="shared" si="154"/>
        <v>2.0049627791563277E-2</v>
      </c>
      <c r="BX139" s="38">
        <f t="shared" si="155"/>
        <v>5.7061340941512125E-4</v>
      </c>
      <c r="BY139" s="38">
        <f t="shared" si="156"/>
        <v>1.484349790254921E-3</v>
      </c>
      <c r="BZ139" s="38">
        <f t="shared" si="157"/>
        <v>0</v>
      </c>
      <c r="CA139" s="38">
        <f t="shared" si="158"/>
        <v>0</v>
      </c>
      <c r="CB139" s="38">
        <f t="shared" si="159"/>
        <v>0</v>
      </c>
      <c r="CC139" s="38">
        <f t="shared" si="160"/>
        <v>0</v>
      </c>
      <c r="CD139" s="38">
        <f t="shared" si="161"/>
        <v>1.2962162631695753</v>
      </c>
      <c r="CE139" s="38">
        <f t="shared" si="162"/>
        <v>1.8601195321124382</v>
      </c>
      <c r="CF139" s="38">
        <f t="shared" si="163"/>
        <v>1.5429524044926701</v>
      </c>
      <c r="CG139" s="38">
        <f t="shared" si="164"/>
        <v>2.8700759047166668</v>
      </c>
    </row>
    <row r="140" spans="1:85" ht="15" customHeight="1" x14ac:dyDescent="0.25">
      <c r="A140" s="35" t="s">
        <v>250</v>
      </c>
      <c r="B140" s="15">
        <v>272</v>
      </c>
      <c r="C140" s="102" t="s">
        <v>251</v>
      </c>
      <c r="D140" s="103" t="s">
        <v>104</v>
      </c>
      <c r="E140" s="15">
        <v>104</v>
      </c>
      <c r="F140" s="15" t="s">
        <v>280</v>
      </c>
      <c r="G140" s="16">
        <v>42.55</v>
      </c>
      <c r="H140" s="16">
        <v>0.45200000000000001</v>
      </c>
      <c r="I140" s="16">
        <v>9.34</v>
      </c>
      <c r="J140" s="16">
        <v>1.2999999999999999E-2</v>
      </c>
      <c r="K140" s="16">
        <v>18.53</v>
      </c>
      <c r="L140" s="16">
        <v>0.19800000000000001</v>
      </c>
      <c r="M140" s="16">
        <v>14.64</v>
      </c>
      <c r="N140" s="16">
        <v>0.83</v>
      </c>
      <c r="O140" s="16">
        <v>0.19</v>
      </c>
      <c r="P140" s="16">
        <v>6.92</v>
      </c>
      <c r="Q140" s="16">
        <v>0</v>
      </c>
      <c r="S140" s="16">
        <v>0.23499999999999999</v>
      </c>
      <c r="T140" s="16">
        <f t="shared" si="114"/>
        <v>93.897999999999982</v>
      </c>
      <c r="U140" s="16"/>
      <c r="V140" s="16">
        <f t="shared" si="165"/>
        <v>0</v>
      </c>
      <c r="W140" s="16">
        <f t="shared" si="166"/>
        <v>20.592389000000001</v>
      </c>
      <c r="X140" s="16">
        <f t="shared" si="167"/>
        <v>95.960388999999992</v>
      </c>
      <c r="AB140" s="15" t="s">
        <v>185</v>
      </c>
      <c r="AD140" s="15">
        <v>11</v>
      </c>
      <c r="AE140" s="15">
        <v>7</v>
      </c>
      <c r="AG140" s="38">
        <f t="shared" si="115"/>
        <v>3.2261129058627982</v>
      </c>
      <c r="AH140" s="38">
        <f t="shared" si="116"/>
        <v>2.5775690047902377E-2</v>
      </c>
      <c r="AI140" s="38">
        <f t="shared" si="117"/>
        <v>0.83455885052905376</v>
      </c>
      <c r="AJ140" s="38">
        <f t="shared" si="118"/>
        <v>7.7923464845276085E-4</v>
      </c>
      <c r="AK140" s="38">
        <f t="shared" si="119"/>
        <v>1.1747854768298005</v>
      </c>
      <c r="AL140" s="38">
        <f t="shared" si="120"/>
        <v>1.2714050386692089E-2</v>
      </c>
      <c r="AM140" s="38">
        <f t="shared" si="121"/>
        <v>1.6548016783321498</v>
      </c>
      <c r="AN140" s="38">
        <f t="shared" si="122"/>
        <v>6.7418643422321248E-2</v>
      </c>
      <c r="AO140" s="38">
        <f t="shared" si="123"/>
        <v>2.7928135752828057E-2</v>
      </c>
      <c r="AP140" s="38">
        <f t="shared" si="124"/>
        <v>0.66926037039921538</v>
      </c>
      <c r="AQ140" s="38">
        <f t="shared" si="125"/>
        <v>0</v>
      </c>
      <c r="AR140" s="38">
        <f t="shared" si="126"/>
        <v>0</v>
      </c>
      <c r="AS140" s="38">
        <f t="shared" si="127"/>
        <v>3.0196843269294515E-2</v>
      </c>
      <c r="AT140" s="39">
        <f t="shared" si="128"/>
        <v>7.6941350362112146</v>
      </c>
      <c r="AU140" s="38">
        <f t="shared" si="129"/>
        <v>4.0606717563918515</v>
      </c>
      <c r="AV140" s="38">
        <f t="shared" si="130"/>
        <v>0.76460714957436471</v>
      </c>
      <c r="AW140" s="40"/>
      <c r="AX140" s="38">
        <f t="shared" si="131"/>
        <v>2.9350655057075685</v>
      </c>
      <c r="AY140" s="38">
        <f t="shared" si="132"/>
        <v>2.3450307212721445E-2</v>
      </c>
      <c r="AZ140" s="38">
        <f t="shared" si="133"/>
        <v>0.75926818624957237</v>
      </c>
      <c r="BA140" s="38">
        <f t="shared" si="134"/>
        <v>7.0893511921716007E-4</v>
      </c>
      <c r="BB140" s="38">
        <f t="shared" si="135"/>
        <v>0</v>
      </c>
      <c r="BC140" s="38">
        <f t="shared" si="136"/>
        <v>1.068800885233496</v>
      </c>
      <c r="BD140" s="38">
        <f t="shared" si="137"/>
        <v>1.1567038047550262E-2</v>
      </c>
      <c r="BE140" s="38">
        <f t="shared" si="138"/>
        <v>1.5055118858466396</v>
      </c>
      <c r="BF140" s="38">
        <f t="shared" si="139"/>
        <v>6.1336394764997408E-2</v>
      </c>
      <c r="BG140" s="38">
        <f t="shared" si="140"/>
        <v>2.5408567610227958E-2</v>
      </c>
      <c r="BH140" s="38">
        <f t="shared" si="141"/>
        <v>0.6088822942080091</v>
      </c>
      <c r="BI140" s="38">
        <f t="shared" si="142"/>
        <v>0</v>
      </c>
      <c r="BJ140" s="38">
        <f t="shared" si="143"/>
        <v>0</v>
      </c>
      <c r="BK140" s="38">
        <f t="shared" si="144"/>
        <v>2.7472601129333619E-2</v>
      </c>
      <c r="BL140" s="41">
        <f t="shared" si="145"/>
        <v>7</v>
      </c>
      <c r="BM140" s="42">
        <f t="shared" si="113"/>
        <v>10.542023084747646</v>
      </c>
      <c r="BN140" s="38">
        <f t="shared" si="146"/>
        <v>3.6943336919571408</v>
      </c>
      <c r="BO140" s="38">
        <f t="shared" si="147"/>
        <v>0.69562725658323443</v>
      </c>
      <c r="BQ140" s="38">
        <f t="shared" si="148"/>
        <v>0.70822237017310252</v>
      </c>
      <c r="BR140" s="38">
        <f t="shared" si="149"/>
        <v>5.6584877315973966E-3</v>
      </c>
      <c r="BS140" s="38">
        <f t="shared" si="150"/>
        <v>0.18320910160847392</v>
      </c>
      <c r="BT140" s="38">
        <f t="shared" si="151"/>
        <v>1.7106388578195931E-4</v>
      </c>
      <c r="BU140" s="38">
        <f t="shared" si="152"/>
        <v>0.25789839944328463</v>
      </c>
      <c r="BV140" s="38">
        <f t="shared" si="153"/>
        <v>2.7910910628700311E-3</v>
      </c>
      <c r="BW140" s="38">
        <f t="shared" si="154"/>
        <v>0.36327543424317621</v>
      </c>
      <c r="BX140" s="38">
        <f t="shared" si="155"/>
        <v>1.4800285306704707E-2</v>
      </c>
      <c r="BY140" s="38">
        <f t="shared" si="156"/>
        <v>6.1310100032268477E-3</v>
      </c>
      <c r="BZ140" s="38">
        <f t="shared" si="157"/>
        <v>0.14692144373673036</v>
      </c>
      <c r="CA140" s="38">
        <f t="shared" si="158"/>
        <v>0</v>
      </c>
      <c r="CB140" s="38">
        <f t="shared" si="159"/>
        <v>0</v>
      </c>
      <c r="CC140" s="38">
        <f t="shared" si="160"/>
        <v>6.6290550070521852E-3</v>
      </c>
      <c r="CD140" s="38">
        <f t="shared" si="161"/>
        <v>1.6890786871949486</v>
      </c>
      <c r="CE140" s="38">
        <f t="shared" si="162"/>
        <v>2.4148088734732718</v>
      </c>
      <c r="CF140" s="38">
        <f t="shared" si="163"/>
        <v>4.1442711065313915</v>
      </c>
      <c r="CG140" s="38">
        <f t="shared" si="164"/>
        <v>10.007622642130899</v>
      </c>
    </row>
    <row r="141" spans="1:85" ht="15" customHeight="1" x14ac:dyDescent="0.25">
      <c r="A141" s="35" t="s">
        <v>250</v>
      </c>
      <c r="B141" s="15">
        <v>275</v>
      </c>
      <c r="C141" s="102" t="s">
        <v>251</v>
      </c>
      <c r="D141" s="103" t="s">
        <v>104</v>
      </c>
      <c r="E141" s="15">
        <v>107</v>
      </c>
      <c r="F141" s="15" t="s">
        <v>280</v>
      </c>
      <c r="G141" s="16">
        <v>38.090000000000003</v>
      </c>
      <c r="H141" s="16">
        <v>5.83</v>
      </c>
      <c r="I141" s="16">
        <v>14.18</v>
      </c>
      <c r="J141" s="16">
        <v>5.7000000000000002E-2</v>
      </c>
      <c r="K141" s="16">
        <v>12.02</v>
      </c>
      <c r="L141" s="16">
        <v>7.4999999999999997E-2</v>
      </c>
      <c r="M141" s="16">
        <v>15.06</v>
      </c>
      <c r="N141" s="16">
        <v>2.7E-2</v>
      </c>
      <c r="O141" s="16">
        <v>0.64500000000000002</v>
      </c>
      <c r="P141" s="16">
        <v>9.44</v>
      </c>
      <c r="Q141" s="16">
        <v>0</v>
      </c>
      <c r="S141" s="16">
        <v>0.21199999999999999</v>
      </c>
      <c r="T141" s="16">
        <f t="shared" si="114"/>
        <v>95.63600000000001</v>
      </c>
      <c r="U141" s="16"/>
      <c r="V141" s="16">
        <f t="shared" si="165"/>
        <v>0</v>
      </c>
      <c r="W141" s="16">
        <f t="shared" si="166"/>
        <v>13.357825999999999</v>
      </c>
      <c r="X141" s="16">
        <f t="shared" si="167"/>
        <v>96.973826000000003</v>
      </c>
      <c r="AB141" s="15" t="s">
        <v>185</v>
      </c>
      <c r="AD141" s="15">
        <v>11</v>
      </c>
      <c r="AE141" s="15">
        <v>7</v>
      </c>
      <c r="AG141" s="38">
        <f t="shared" si="115"/>
        <v>2.8092681098311827</v>
      </c>
      <c r="AH141" s="38">
        <f t="shared" si="116"/>
        <v>0.32340195363449908</v>
      </c>
      <c r="AI141" s="38">
        <f t="shared" si="117"/>
        <v>1.2325045756304098</v>
      </c>
      <c r="AJ141" s="38">
        <f t="shared" si="118"/>
        <v>3.3235481643031622E-3</v>
      </c>
      <c r="AK141" s="38">
        <f t="shared" si="119"/>
        <v>0.74129289182130176</v>
      </c>
      <c r="AL141" s="38">
        <f t="shared" si="120"/>
        <v>4.6847046938520839E-3</v>
      </c>
      <c r="AM141" s="38">
        <f t="shared" si="121"/>
        <v>1.6558922222620067</v>
      </c>
      <c r="AN141" s="38">
        <f t="shared" si="122"/>
        <v>2.1333784299834534E-3</v>
      </c>
      <c r="AO141" s="38">
        <f t="shared" si="123"/>
        <v>9.2225342963667467E-2</v>
      </c>
      <c r="AP141" s="38">
        <f t="shared" si="124"/>
        <v>0.88810277629690659</v>
      </c>
      <c r="AQ141" s="38">
        <f t="shared" si="125"/>
        <v>0</v>
      </c>
      <c r="AR141" s="38">
        <f t="shared" si="126"/>
        <v>0</v>
      </c>
      <c r="AS141" s="38">
        <f t="shared" si="127"/>
        <v>2.6499138921732304E-2</v>
      </c>
      <c r="AT141" s="39">
        <f t="shared" si="128"/>
        <v>7.7528295037281119</v>
      </c>
      <c r="AU141" s="38">
        <f t="shared" si="129"/>
        <v>4.0417726854615923</v>
      </c>
      <c r="AV141" s="38">
        <f t="shared" si="130"/>
        <v>0.98246149769055746</v>
      </c>
      <c r="AW141" s="40"/>
      <c r="AX141" s="38">
        <f t="shared" si="131"/>
        <v>2.5364773931068658</v>
      </c>
      <c r="AY141" s="38">
        <f t="shared" si="132"/>
        <v>0.29199838257153604</v>
      </c>
      <c r="AZ141" s="38">
        <f t="shared" si="133"/>
        <v>1.1128236504187452</v>
      </c>
      <c r="BA141" s="38">
        <f t="shared" si="134"/>
        <v>3.0008188802468495E-3</v>
      </c>
      <c r="BB141" s="38">
        <f t="shared" si="135"/>
        <v>0</v>
      </c>
      <c r="BC141" s="38">
        <f t="shared" si="136"/>
        <v>0.66931050660327907</v>
      </c>
      <c r="BD141" s="38">
        <f t="shared" si="137"/>
        <v>4.2298018860334029E-3</v>
      </c>
      <c r="BE141" s="38">
        <f t="shared" si="138"/>
        <v>1.4950987314064046</v>
      </c>
      <c r="BF141" s="38">
        <f t="shared" si="139"/>
        <v>1.9262191955469949E-3</v>
      </c>
      <c r="BG141" s="38">
        <f t="shared" si="140"/>
        <v>8.3269908158722261E-2</v>
      </c>
      <c r="BH141" s="38">
        <f t="shared" si="141"/>
        <v>0.8018645877726196</v>
      </c>
      <c r="BI141" s="38">
        <f t="shared" si="142"/>
        <v>0</v>
      </c>
      <c r="BJ141" s="38">
        <f t="shared" si="143"/>
        <v>0</v>
      </c>
      <c r="BK141" s="38">
        <f t="shared" si="144"/>
        <v>2.3925970816580888E-2</v>
      </c>
      <c r="BL141" s="41">
        <f t="shared" si="145"/>
        <v>7</v>
      </c>
      <c r="BM141" s="42">
        <f t="shared" si="113"/>
        <v>10.266513030255576</v>
      </c>
      <c r="BN141" s="38">
        <f t="shared" si="146"/>
        <v>3.649301043525611</v>
      </c>
      <c r="BO141" s="38">
        <f t="shared" si="147"/>
        <v>0.88706071512688889</v>
      </c>
      <c r="BQ141" s="38">
        <f t="shared" si="148"/>
        <v>0.63398801597869514</v>
      </c>
      <c r="BR141" s="38">
        <f t="shared" si="149"/>
        <v>7.2984476715072619E-2</v>
      </c>
      <c r="BS141" s="38">
        <f t="shared" si="150"/>
        <v>0.27814829344841113</v>
      </c>
      <c r="BT141" s="38">
        <f t="shared" si="151"/>
        <v>7.5004934535166786E-4</v>
      </c>
      <c r="BU141" s="38">
        <f t="shared" si="152"/>
        <v>0.16729297146833683</v>
      </c>
      <c r="BV141" s="38">
        <f t="shared" si="153"/>
        <v>1.057231463208345E-3</v>
      </c>
      <c r="BW141" s="38">
        <f t="shared" si="154"/>
        <v>0.37369727047146406</v>
      </c>
      <c r="BX141" s="38">
        <f t="shared" si="155"/>
        <v>4.8145506419400855E-4</v>
      </c>
      <c r="BY141" s="38">
        <f t="shared" si="156"/>
        <v>2.0813165537270088E-2</v>
      </c>
      <c r="BZ141" s="38">
        <f t="shared" si="157"/>
        <v>0.20042462845010614</v>
      </c>
      <c r="CA141" s="38">
        <f t="shared" si="158"/>
        <v>0</v>
      </c>
      <c r="CB141" s="38">
        <f t="shared" si="159"/>
        <v>0</v>
      </c>
      <c r="CC141" s="38">
        <f t="shared" si="160"/>
        <v>5.9802538787023969E-3</v>
      </c>
      <c r="CD141" s="38">
        <f t="shared" si="161"/>
        <v>1.74963755794211</v>
      </c>
      <c r="CE141" s="38">
        <f t="shared" si="162"/>
        <v>2.4824501980997202</v>
      </c>
      <c r="CF141" s="38">
        <f t="shared" si="163"/>
        <v>4.0008286106027953</v>
      </c>
      <c r="CG141" s="38">
        <f t="shared" si="164"/>
        <v>9.9318577769539367</v>
      </c>
    </row>
    <row r="142" spans="1:85" ht="15" customHeight="1" x14ac:dyDescent="0.25">
      <c r="A142" s="35" t="s">
        <v>250</v>
      </c>
      <c r="B142" s="15">
        <v>276</v>
      </c>
      <c r="C142" s="102" t="s">
        <v>251</v>
      </c>
      <c r="D142" s="103" t="s">
        <v>104</v>
      </c>
      <c r="E142" s="15">
        <v>108</v>
      </c>
      <c r="F142" s="15" t="s">
        <v>280</v>
      </c>
      <c r="G142" s="16">
        <v>38.93</v>
      </c>
      <c r="H142" s="16">
        <v>4.24</v>
      </c>
      <c r="I142" s="16">
        <v>12.15</v>
      </c>
      <c r="J142" s="16">
        <v>0</v>
      </c>
      <c r="K142" s="16">
        <v>12.23</v>
      </c>
      <c r="L142" s="16">
        <v>0.11600000000000001</v>
      </c>
      <c r="M142" s="16">
        <v>17.77</v>
      </c>
      <c r="N142" s="16">
        <v>7.5999999999999998E-2</v>
      </c>
      <c r="O142" s="16">
        <v>0.45300000000000001</v>
      </c>
      <c r="P142" s="16">
        <v>8.98</v>
      </c>
      <c r="Q142" s="16">
        <v>0</v>
      </c>
      <c r="S142" s="16">
        <v>0.39</v>
      </c>
      <c r="T142" s="16">
        <f t="shared" si="114"/>
        <v>95.334999999999994</v>
      </c>
      <c r="U142" s="16"/>
      <c r="V142" s="16">
        <f t="shared" si="165"/>
        <v>0</v>
      </c>
      <c r="W142" s="16">
        <f t="shared" si="166"/>
        <v>13.591199</v>
      </c>
      <c r="X142" s="16">
        <f t="shared" si="167"/>
        <v>96.696199000000007</v>
      </c>
      <c r="AB142" s="15" t="s">
        <v>185</v>
      </c>
      <c r="AD142" s="15">
        <v>11</v>
      </c>
      <c r="AE142" s="15">
        <v>7</v>
      </c>
      <c r="AG142" s="38">
        <f t="shared" si="115"/>
        <v>2.8846689165039163</v>
      </c>
      <c r="AH142" s="38">
        <f t="shared" si="116"/>
        <v>0.23630303278417319</v>
      </c>
      <c r="AI142" s="38">
        <f t="shared" si="117"/>
        <v>1.0610062494190147</v>
      </c>
      <c r="AJ142" s="38">
        <f t="shared" si="118"/>
        <v>0</v>
      </c>
      <c r="AK142" s="38">
        <f t="shared" si="119"/>
        <v>0.75777658166621031</v>
      </c>
      <c r="AL142" s="38">
        <f t="shared" si="120"/>
        <v>7.2796131397938318E-3</v>
      </c>
      <c r="AM142" s="38">
        <f t="shared" si="121"/>
        <v>1.9630161689385717</v>
      </c>
      <c r="AN142" s="38">
        <f t="shared" si="122"/>
        <v>6.0331911103611302E-3</v>
      </c>
      <c r="AO142" s="38">
        <f t="shared" si="123"/>
        <v>6.5075590994327817E-2</v>
      </c>
      <c r="AP142" s="38">
        <f t="shared" si="124"/>
        <v>0.84878349258914088</v>
      </c>
      <c r="AQ142" s="38">
        <f t="shared" si="125"/>
        <v>0</v>
      </c>
      <c r="AR142" s="38">
        <f t="shared" si="126"/>
        <v>0</v>
      </c>
      <c r="AS142" s="38">
        <f t="shared" si="127"/>
        <v>4.8976738702743057E-2</v>
      </c>
      <c r="AT142" s="39">
        <f t="shared" si="128"/>
        <v>7.8299428371455093</v>
      </c>
      <c r="AU142" s="38">
        <f t="shared" si="129"/>
        <v>3.945675165922931</v>
      </c>
      <c r="AV142" s="38">
        <f t="shared" si="130"/>
        <v>0.91989227469382984</v>
      </c>
      <c r="AW142" s="40"/>
      <c r="AX142" s="38">
        <f t="shared" si="131"/>
        <v>2.5789054703864061</v>
      </c>
      <c r="AY142" s="38">
        <f t="shared" si="132"/>
        <v>0.21125584999701477</v>
      </c>
      <c r="AZ142" s="38">
        <f t="shared" si="133"/>
        <v>0.94854380171193065</v>
      </c>
      <c r="BA142" s="38">
        <f t="shared" si="134"/>
        <v>0</v>
      </c>
      <c r="BB142" s="38">
        <f t="shared" si="135"/>
        <v>0</v>
      </c>
      <c r="BC142" s="38">
        <f t="shared" si="136"/>
        <v>0.67745527419421891</v>
      </c>
      <c r="BD142" s="38">
        <f t="shared" si="137"/>
        <v>6.5080030644430412E-3</v>
      </c>
      <c r="BE142" s="38">
        <f t="shared" si="138"/>
        <v>1.7549442528982078</v>
      </c>
      <c r="BF142" s="38">
        <f t="shared" si="139"/>
        <v>5.3936968188549586E-3</v>
      </c>
      <c r="BG142" s="38">
        <f t="shared" si="140"/>
        <v>5.8177836854599915E-2</v>
      </c>
      <c r="BH142" s="38">
        <f t="shared" si="141"/>
        <v>0.75881581407432308</v>
      </c>
      <c r="BI142" s="38">
        <f t="shared" si="142"/>
        <v>0</v>
      </c>
      <c r="BJ142" s="38">
        <f t="shared" si="143"/>
        <v>0</v>
      </c>
      <c r="BK142" s="38">
        <f t="shared" si="144"/>
        <v>4.3785398954992415E-2</v>
      </c>
      <c r="BL142" s="41">
        <f t="shared" si="145"/>
        <v>6.9999999999999991</v>
      </c>
      <c r="BM142" s="42">
        <f t="shared" si="113"/>
        <v>10.172771333394538</v>
      </c>
      <c r="BN142" s="38">
        <f t="shared" si="146"/>
        <v>3.5274492720983366</v>
      </c>
      <c r="BO142" s="38">
        <f t="shared" si="147"/>
        <v>0.822387347747778</v>
      </c>
      <c r="BQ142" s="38">
        <f t="shared" si="148"/>
        <v>0.64796937416777634</v>
      </c>
      <c r="BR142" s="38">
        <f t="shared" si="149"/>
        <v>5.3079619429143722E-2</v>
      </c>
      <c r="BS142" s="38">
        <f t="shared" si="150"/>
        <v>0.23832875637504905</v>
      </c>
      <c r="BT142" s="38">
        <f t="shared" si="151"/>
        <v>0</v>
      </c>
      <c r="BU142" s="38">
        <f t="shared" si="152"/>
        <v>0.17021572720946418</v>
      </c>
      <c r="BV142" s="38">
        <f t="shared" si="153"/>
        <v>1.6351846630955739E-3</v>
      </c>
      <c r="BW142" s="38">
        <f t="shared" si="154"/>
        <v>0.44094292803970225</v>
      </c>
      <c r="BX142" s="38">
        <f t="shared" si="155"/>
        <v>1.3552068473609131E-3</v>
      </c>
      <c r="BY142" s="38">
        <f t="shared" si="156"/>
        <v>1.4617618586640853E-2</v>
      </c>
      <c r="BZ142" s="38">
        <f t="shared" si="157"/>
        <v>0.19065817409766456</v>
      </c>
      <c r="CA142" s="38">
        <f t="shared" si="158"/>
        <v>0</v>
      </c>
      <c r="CB142" s="38">
        <f t="shared" si="159"/>
        <v>0</v>
      </c>
      <c r="CC142" s="38">
        <f t="shared" si="160"/>
        <v>1.1001410437235543E-2</v>
      </c>
      <c r="CD142" s="38">
        <f t="shared" si="161"/>
        <v>1.7588025894158976</v>
      </c>
      <c r="CE142" s="38">
        <f t="shared" si="162"/>
        <v>2.4708773596395712</v>
      </c>
      <c r="CF142" s="38">
        <f t="shared" si="163"/>
        <v>3.9799804947550799</v>
      </c>
      <c r="CG142" s="38">
        <f t="shared" si="164"/>
        <v>9.8340436962974263</v>
      </c>
    </row>
    <row r="143" spans="1:85" ht="15" customHeight="1" x14ac:dyDescent="0.25">
      <c r="A143" s="35" t="s">
        <v>250</v>
      </c>
      <c r="B143" s="15">
        <v>277</v>
      </c>
      <c r="C143" s="102" t="s">
        <v>251</v>
      </c>
      <c r="D143" s="103" t="s">
        <v>104</v>
      </c>
      <c r="E143" s="15">
        <v>109</v>
      </c>
      <c r="F143" s="15" t="s">
        <v>280</v>
      </c>
      <c r="G143" s="16">
        <v>39.380000000000003</v>
      </c>
      <c r="H143" s="16">
        <v>4.16</v>
      </c>
      <c r="I143" s="16">
        <v>11.99</v>
      </c>
      <c r="J143" s="16">
        <v>2.1000000000000001E-2</v>
      </c>
      <c r="K143" s="16">
        <v>11.53</v>
      </c>
      <c r="L143" s="16">
        <v>0.1</v>
      </c>
      <c r="M143" s="16">
        <v>17.91</v>
      </c>
      <c r="N143" s="16">
        <v>3.5000000000000003E-2</v>
      </c>
      <c r="O143" s="16">
        <v>0.41199999999999998</v>
      </c>
      <c r="P143" s="16">
        <v>9.49</v>
      </c>
      <c r="Q143" s="16">
        <v>0</v>
      </c>
      <c r="S143" s="16">
        <v>0.33400000000000002</v>
      </c>
      <c r="T143" s="16">
        <f t="shared" si="114"/>
        <v>95.361999999999995</v>
      </c>
      <c r="U143" s="16"/>
      <c r="V143" s="16">
        <f t="shared" si="165"/>
        <v>0</v>
      </c>
      <c r="W143" s="16">
        <f t="shared" si="166"/>
        <v>12.813288999999997</v>
      </c>
      <c r="X143" s="16">
        <f t="shared" si="167"/>
        <v>96.645289000000005</v>
      </c>
      <c r="AB143" s="15" t="s">
        <v>185</v>
      </c>
      <c r="AD143" s="15">
        <v>11</v>
      </c>
      <c r="AE143" s="15">
        <v>7</v>
      </c>
      <c r="AG143" s="38">
        <f t="shared" si="115"/>
        <v>2.9097689269425211</v>
      </c>
      <c r="AH143" s="38">
        <f t="shared" si="116"/>
        <v>0.23118943755391202</v>
      </c>
      <c r="AI143" s="38">
        <f t="shared" si="117"/>
        <v>1.0440758873151605</v>
      </c>
      <c r="AJ143" s="38">
        <f t="shared" si="118"/>
        <v>1.2267243597375342E-3</v>
      </c>
      <c r="AK143" s="38">
        <f t="shared" si="119"/>
        <v>0.71238579135862923</v>
      </c>
      <c r="AL143" s="38">
        <f t="shared" si="120"/>
        <v>6.2577978518569633E-3</v>
      </c>
      <c r="AM143" s="38">
        <f t="shared" si="121"/>
        <v>1.9728917361856646</v>
      </c>
      <c r="AN143" s="38">
        <f t="shared" si="122"/>
        <v>2.7705931323779701E-3</v>
      </c>
      <c r="AO143" s="38">
        <f t="shared" si="123"/>
        <v>5.9018525330629873E-2</v>
      </c>
      <c r="AP143" s="38">
        <f t="shared" si="124"/>
        <v>0.89445401794179535</v>
      </c>
      <c r="AQ143" s="38">
        <f t="shared" si="125"/>
        <v>0</v>
      </c>
      <c r="AR143" s="38">
        <f t="shared" si="126"/>
        <v>0</v>
      </c>
      <c r="AS143" s="38">
        <f t="shared" si="127"/>
        <v>4.1825673339911086E-2</v>
      </c>
      <c r="AT143" s="39">
        <f t="shared" si="128"/>
        <v>7.8340394379722849</v>
      </c>
      <c r="AU143" s="38">
        <f t="shared" si="129"/>
        <v>3.9538448142576819</v>
      </c>
      <c r="AV143" s="38">
        <f t="shared" si="130"/>
        <v>0.95624313640480318</v>
      </c>
      <c r="AW143" s="40"/>
      <c r="AX143" s="38">
        <f t="shared" si="131"/>
        <v>2.5999846758327876</v>
      </c>
      <c r="AY143" s="38">
        <f t="shared" si="132"/>
        <v>0.20657619554903103</v>
      </c>
      <c r="AZ143" s="38">
        <f t="shared" si="133"/>
        <v>0.93291989006093379</v>
      </c>
      <c r="BA143" s="38">
        <f t="shared" si="134"/>
        <v>1.0961229626366758E-3</v>
      </c>
      <c r="BB143" s="38">
        <f t="shared" si="135"/>
        <v>0</v>
      </c>
      <c r="BC143" s="38">
        <f t="shared" si="136"/>
        <v>0.63654269026773391</v>
      </c>
      <c r="BD143" s="38">
        <f t="shared" si="137"/>
        <v>5.5915706462586886E-3</v>
      </c>
      <c r="BE143" s="38">
        <f t="shared" si="138"/>
        <v>1.7628507314323925</v>
      </c>
      <c r="BF143" s="38">
        <f t="shared" si="139"/>
        <v>2.4756260266754096E-3</v>
      </c>
      <c r="BG143" s="38">
        <f t="shared" si="140"/>
        <v>5.2735205201027306E-2</v>
      </c>
      <c r="BH143" s="38">
        <f t="shared" si="141"/>
        <v>0.79922729202052267</v>
      </c>
      <c r="BI143" s="38">
        <f t="shared" si="142"/>
        <v>0</v>
      </c>
      <c r="BJ143" s="38">
        <f t="shared" si="143"/>
        <v>0</v>
      </c>
      <c r="BK143" s="38">
        <f t="shared" si="144"/>
        <v>3.7372764803844147E-2</v>
      </c>
      <c r="BL143" s="41">
        <f t="shared" si="145"/>
        <v>6.9999999999999991</v>
      </c>
      <c r="BM143" s="42">
        <f t="shared" si="113"/>
        <v>10.147172592014774</v>
      </c>
      <c r="BN143" s="38">
        <f t="shared" si="146"/>
        <v>3.5329045658937215</v>
      </c>
      <c r="BO143" s="38">
        <f t="shared" si="147"/>
        <v>0.85443812324822543</v>
      </c>
      <c r="BQ143" s="38">
        <f t="shared" si="148"/>
        <v>0.65545938748335564</v>
      </c>
      <c r="BR143" s="38">
        <f t="shared" si="149"/>
        <v>5.2078117175763647E-2</v>
      </c>
      <c r="BS143" s="38">
        <f t="shared" si="150"/>
        <v>0.23519027069438997</v>
      </c>
      <c r="BT143" s="38">
        <f t="shared" si="151"/>
        <v>2.7633396934008815E-4</v>
      </c>
      <c r="BU143" s="38">
        <f t="shared" si="152"/>
        <v>0.160473208072373</v>
      </c>
      <c r="BV143" s="38">
        <f t="shared" si="153"/>
        <v>1.4096419509444602E-3</v>
      </c>
      <c r="BW143" s="38">
        <f t="shared" si="154"/>
        <v>0.44441687344913156</v>
      </c>
      <c r="BX143" s="38">
        <f t="shared" si="155"/>
        <v>6.2410841654778895E-4</v>
      </c>
      <c r="BY143" s="38">
        <f t="shared" si="156"/>
        <v>1.32946111648919E-2</v>
      </c>
      <c r="BZ143" s="38">
        <f t="shared" si="157"/>
        <v>0.20148619957537156</v>
      </c>
      <c r="CA143" s="38">
        <f t="shared" si="158"/>
        <v>0</v>
      </c>
      <c r="CB143" s="38">
        <f t="shared" si="159"/>
        <v>0</v>
      </c>
      <c r="CC143" s="38">
        <f t="shared" si="160"/>
        <v>9.421720733427362E-3</v>
      </c>
      <c r="CD143" s="38">
        <f t="shared" si="161"/>
        <v>1.7647087519521096</v>
      </c>
      <c r="CE143" s="38">
        <f t="shared" si="162"/>
        <v>2.4778782932062486</v>
      </c>
      <c r="CF143" s="38">
        <f t="shared" si="163"/>
        <v>3.9666602164559133</v>
      </c>
      <c r="CG143" s="38">
        <f t="shared" si="164"/>
        <v>9.8289012468809069</v>
      </c>
    </row>
    <row r="144" spans="1:85" ht="15" customHeight="1" x14ac:dyDescent="0.25">
      <c r="A144" s="35" t="s">
        <v>250</v>
      </c>
      <c r="B144" s="15">
        <v>278</v>
      </c>
      <c r="C144" s="102" t="s">
        <v>251</v>
      </c>
      <c r="D144" s="103" t="s">
        <v>104</v>
      </c>
      <c r="E144" s="15">
        <v>110</v>
      </c>
      <c r="F144" s="15" t="s">
        <v>280</v>
      </c>
      <c r="G144" s="16">
        <v>39.69</v>
      </c>
      <c r="H144" s="16">
        <v>4.0999999999999996</v>
      </c>
      <c r="I144" s="16">
        <v>11.54</v>
      </c>
      <c r="J144" s="16">
        <v>0</v>
      </c>
      <c r="K144" s="16">
        <v>11.14</v>
      </c>
      <c r="L144" s="16">
        <v>8.2000000000000003E-2</v>
      </c>
      <c r="M144" s="16">
        <v>18.350000000000001</v>
      </c>
      <c r="N144" s="16">
        <v>2.8000000000000001E-2</v>
      </c>
      <c r="O144" s="16">
        <v>0.38700000000000001</v>
      </c>
      <c r="P144" s="16">
        <v>9.7100000000000009</v>
      </c>
      <c r="Q144" s="16">
        <v>0</v>
      </c>
      <c r="S144" s="16">
        <v>0</v>
      </c>
      <c r="T144" s="16">
        <f t="shared" si="114"/>
        <v>95.026999999999987</v>
      </c>
      <c r="U144" s="16"/>
      <c r="V144" s="16">
        <f t="shared" si="165"/>
        <v>0</v>
      </c>
      <c r="W144" s="16">
        <f t="shared" si="166"/>
        <v>12.379882</v>
      </c>
      <c r="X144" s="16">
        <f t="shared" si="167"/>
        <v>96.266881999999995</v>
      </c>
      <c r="AB144" s="15" t="s">
        <v>185</v>
      </c>
      <c r="AD144" s="15">
        <v>11</v>
      </c>
      <c r="AE144" s="15">
        <v>7</v>
      </c>
      <c r="AG144" s="38">
        <f t="shared" si="115"/>
        <v>2.9245110457699592</v>
      </c>
      <c r="AH144" s="38">
        <f t="shared" si="116"/>
        <v>0.22722069905135561</v>
      </c>
      <c r="AI144" s="38">
        <f t="shared" si="117"/>
        <v>1.0020930931315253</v>
      </c>
      <c r="AJ144" s="38">
        <f t="shared" si="118"/>
        <v>0</v>
      </c>
      <c r="AK144" s="38">
        <f t="shared" si="119"/>
        <v>0.68637350294168509</v>
      </c>
      <c r="AL144" s="38">
        <f t="shared" si="120"/>
        <v>5.1171100761833342E-3</v>
      </c>
      <c r="AM144" s="38">
        <f t="shared" si="121"/>
        <v>2.0157335001396781</v>
      </c>
      <c r="AN144" s="38">
        <f t="shared" si="122"/>
        <v>2.2103045489293345E-3</v>
      </c>
      <c r="AO144" s="38">
        <f t="shared" si="123"/>
        <v>5.5282984388087625E-2</v>
      </c>
      <c r="AP144" s="38">
        <f t="shared" si="124"/>
        <v>0.91264192151912593</v>
      </c>
      <c r="AQ144" s="38">
        <f t="shared" si="125"/>
        <v>0</v>
      </c>
      <c r="AR144" s="38">
        <f t="shared" si="126"/>
        <v>0</v>
      </c>
      <c r="AS144" s="38">
        <f t="shared" si="127"/>
        <v>0</v>
      </c>
      <c r="AT144" s="39">
        <f t="shared" si="128"/>
        <v>7.8311841615665285</v>
      </c>
      <c r="AU144" s="38">
        <f t="shared" si="129"/>
        <v>3.9266041389014843</v>
      </c>
      <c r="AV144" s="38">
        <f t="shared" si="130"/>
        <v>0.97013521045614293</v>
      </c>
      <c r="AW144" s="40"/>
      <c r="AX144" s="38">
        <f t="shared" si="131"/>
        <v>2.6141100627998304</v>
      </c>
      <c r="AY144" s="38">
        <f t="shared" si="132"/>
        <v>0.20310400835233594</v>
      </c>
      <c r="AZ144" s="38">
        <f t="shared" si="133"/>
        <v>0.89573320039475168</v>
      </c>
      <c r="BA144" s="38">
        <f t="shared" si="134"/>
        <v>0</v>
      </c>
      <c r="BB144" s="38">
        <f t="shared" si="135"/>
        <v>0</v>
      </c>
      <c r="BC144" s="38">
        <f t="shared" si="136"/>
        <v>0.61352337289826842</v>
      </c>
      <c r="BD144" s="38">
        <f t="shared" si="137"/>
        <v>4.5739915949209462E-3</v>
      </c>
      <c r="BE144" s="38">
        <f t="shared" si="138"/>
        <v>1.8017881089078094</v>
      </c>
      <c r="BF144" s="38">
        <f t="shared" si="139"/>
        <v>1.9757078269770044E-3</v>
      </c>
      <c r="BG144" s="38">
        <f t="shared" si="140"/>
        <v>4.9415373554336478E-2</v>
      </c>
      <c r="BH144" s="38">
        <f t="shared" si="141"/>
        <v>0.81577617367077015</v>
      </c>
      <c r="BI144" s="38">
        <f t="shared" si="142"/>
        <v>0</v>
      </c>
      <c r="BJ144" s="38">
        <f t="shared" si="143"/>
        <v>0</v>
      </c>
      <c r="BK144" s="38">
        <f t="shared" si="144"/>
        <v>0</v>
      </c>
      <c r="BL144" s="41">
        <f t="shared" si="145"/>
        <v>7</v>
      </c>
      <c r="BM144" s="42">
        <f t="shared" si="113"/>
        <v>10.139246584186123</v>
      </c>
      <c r="BN144" s="38">
        <f t="shared" si="146"/>
        <v>3.5098432631945822</v>
      </c>
      <c r="BO144" s="38">
        <f t="shared" si="147"/>
        <v>0.8671672550520837</v>
      </c>
      <c r="BQ144" s="38">
        <f t="shared" si="148"/>
        <v>0.66061917443408791</v>
      </c>
      <c r="BR144" s="38">
        <f t="shared" si="149"/>
        <v>5.1326990485728592E-2</v>
      </c>
      <c r="BS144" s="38">
        <f t="shared" si="150"/>
        <v>0.22636327971753628</v>
      </c>
      <c r="BT144" s="38">
        <f t="shared" si="151"/>
        <v>0</v>
      </c>
      <c r="BU144" s="38">
        <f t="shared" si="152"/>
        <v>0.15504523312456508</v>
      </c>
      <c r="BV144" s="38">
        <f t="shared" si="153"/>
        <v>1.1559063997744574E-3</v>
      </c>
      <c r="BW144" s="38">
        <f t="shared" si="154"/>
        <v>0.45533498759305219</v>
      </c>
      <c r="BX144" s="38">
        <f t="shared" si="155"/>
        <v>4.9928673323823114E-4</v>
      </c>
      <c r="BY144" s="38">
        <f t="shared" si="156"/>
        <v>1.2487899322362054E-2</v>
      </c>
      <c r="BZ144" s="38">
        <f t="shared" si="157"/>
        <v>0.20615711252653929</v>
      </c>
      <c r="CA144" s="38">
        <f t="shared" si="158"/>
        <v>0</v>
      </c>
      <c r="CB144" s="38">
        <f t="shared" si="159"/>
        <v>0</v>
      </c>
      <c r="CC144" s="38">
        <f t="shared" si="160"/>
        <v>0</v>
      </c>
      <c r="CD144" s="38">
        <f t="shared" si="161"/>
        <v>1.768989870336884</v>
      </c>
      <c r="CE144" s="38">
        <f t="shared" si="162"/>
        <v>2.4847951691910177</v>
      </c>
      <c r="CF144" s="38">
        <f t="shared" si="163"/>
        <v>3.9570605334596571</v>
      </c>
      <c r="CG144" s="38">
        <f t="shared" si="164"/>
        <v>9.8324848977369879</v>
      </c>
    </row>
    <row r="145" spans="1:85" ht="15" customHeight="1" x14ac:dyDescent="0.25">
      <c r="A145" s="35" t="s">
        <v>250</v>
      </c>
      <c r="B145" s="15">
        <v>279</v>
      </c>
      <c r="C145" s="102" t="s">
        <v>251</v>
      </c>
      <c r="D145" s="103" t="s">
        <v>104</v>
      </c>
      <c r="E145" s="15">
        <v>111</v>
      </c>
      <c r="F145" s="15" t="s">
        <v>280</v>
      </c>
      <c r="G145" s="16">
        <v>39.799999999999997</v>
      </c>
      <c r="H145" s="16">
        <v>4.4400000000000004</v>
      </c>
      <c r="I145" s="16">
        <v>11.94</v>
      </c>
      <c r="J145" s="16">
        <v>2.9000000000000001E-2</v>
      </c>
      <c r="K145" s="16">
        <v>11.22</v>
      </c>
      <c r="L145" s="16">
        <v>7.8E-2</v>
      </c>
      <c r="M145" s="16">
        <v>18.12</v>
      </c>
      <c r="N145" s="16">
        <v>4.5999999999999999E-2</v>
      </c>
      <c r="O145" s="16">
        <v>0.42599999999999999</v>
      </c>
      <c r="P145" s="16">
        <v>9.5500000000000007</v>
      </c>
      <c r="Q145" s="16">
        <v>0</v>
      </c>
      <c r="S145" s="16">
        <v>0</v>
      </c>
      <c r="T145" s="16">
        <f t="shared" si="114"/>
        <v>95.649000000000015</v>
      </c>
      <c r="U145" s="16"/>
      <c r="V145" s="16">
        <f t="shared" si="165"/>
        <v>0</v>
      </c>
      <c r="W145" s="16">
        <f t="shared" si="166"/>
        <v>12.468786</v>
      </c>
      <c r="X145" s="16">
        <f t="shared" si="167"/>
        <v>96.897785999999996</v>
      </c>
      <c r="AB145" s="15" t="s">
        <v>185</v>
      </c>
      <c r="AD145" s="15">
        <v>11</v>
      </c>
      <c r="AE145" s="15">
        <v>7</v>
      </c>
      <c r="AG145" s="38">
        <f t="shared" si="115"/>
        <v>2.910225219436406</v>
      </c>
      <c r="AH145" s="38">
        <f t="shared" si="116"/>
        <v>0.24418465337950473</v>
      </c>
      <c r="AI145" s="38">
        <f t="shared" si="117"/>
        <v>1.02891132512989</v>
      </c>
      <c r="AJ145" s="38">
        <f t="shared" si="118"/>
        <v>1.676433884776352E-3</v>
      </c>
      <c r="AK145" s="38">
        <f t="shared" si="119"/>
        <v>0.68602435835459663</v>
      </c>
      <c r="AL145" s="38">
        <f t="shared" si="120"/>
        <v>4.8303307602049102E-3</v>
      </c>
      <c r="AM145" s="38">
        <f t="shared" si="121"/>
        <v>1.9752705968112001</v>
      </c>
      <c r="AN145" s="38">
        <f t="shared" si="122"/>
        <v>3.6034896461856389E-3</v>
      </c>
      <c r="AO145" s="38">
        <f t="shared" si="123"/>
        <v>6.038950567963481E-2</v>
      </c>
      <c r="AP145" s="38">
        <f t="shared" si="124"/>
        <v>0.8907501748683494</v>
      </c>
      <c r="AQ145" s="38">
        <f t="shared" si="125"/>
        <v>0</v>
      </c>
      <c r="AR145" s="38">
        <f t="shared" si="126"/>
        <v>0</v>
      </c>
      <c r="AS145" s="38">
        <f t="shared" si="127"/>
        <v>0</v>
      </c>
      <c r="AT145" s="39">
        <f t="shared" si="128"/>
        <v>7.8058660879507507</v>
      </c>
      <c r="AU145" s="38">
        <f t="shared" si="129"/>
        <v>3.939136544566296</v>
      </c>
      <c r="AV145" s="38">
        <f t="shared" si="130"/>
        <v>0.95474317019416988</v>
      </c>
      <c r="AW145" s="40"/>
      <c r="AX145" s="38">
        <f t="shared" si="131"/>
        <v>2.6097778653288342</v>
      </c>
      <c r="AY145" s="38">
        <f t="shared" si="132"/>
        <v>0.21897539035354741</v>
      </c>
      <c r="AZ145" s="38">
        <f t="shared" si="133"/>
        <v>0.92268803932300736</v>
      </c>
      <c r="BA145" s="38">
        <f t="shared" si="134"/>
        <v>1.5033613261120175E-3</v>
      </c>
      <c r="BB145" s="38">
        <f t="shared" si="135"/>
        <v>0</v>
      </c>
      <c r="BC145" s="38">
        <f t="shared" si="136"/>
        <v>0.6152002166543542</v>
      </c>
      <c r="BD145" s="38">
        <f t="shared" si="137"/>
        <v>4.3316545454997702E-3</v>
      </c>
      <c r="BE145" s="38">
        <f t="shared" si="138"/>
        <v>1.7713465772903536</v>
      </c>
      <c r="BF145" s="38">
        <f t="shared" si="139"/>
        <v>3.2314706964082147E-3</v>
      </c>
      <c r="BG145" s="38">
        <f t="shared" si="140"/>
        <v>5.4154982290814682E-2</v>
      </c>
      <c r="BH145" s="38">
        <f t="shared" si="141"/>
        <v>0.79879044219106865</v>
      </c>
      <c r="BI145" s="38">
        <f t="shared" si="142"/>
        <v>0</v>
      </c>
      <c r="BJ145" s="38">
        <f t="shared" si="143"/>
        <v>0</v>
      </c>
      <c r="BK145" s="38">
        <f t="shared" si="144"/>
        <v>0</v>
      </c>
      <c r="BL145" s="41">
        <f t="shared" si="145"/>
        <v>7.0000000000000009</v>
      </c>
      <c r="BM145" s="42">
        <f t="shared" si="113"/>
        <v>10.171976352093179</v>
      </c>
      <c r="BN145" s="38">
        <f t="shared" si="146"/>
        <v>3.5324659046518416</v>
      </c>
      <c r="BO145" s="38">
        <f t="shared" si="147"/>
        <v>0.85617689517829154</v>
      </c>
      <c r="BQ145" s="38">
        <f t="shared" si="148"/>
        <v>0.66245006657789607</v>
      </c>
      <c r="BR145" s="38">
        <f t="shared" si="149"/>
        <v>5.55833750625939E-2</v>
      </c>
      <c r="BS145" s="38">
        <f t="shared" si="150"/>
        <v>0.234209493919184</v>
      </c>
      <c r="BT145" s="38">
        <f t="shared" si="151"/>
        <v>3.8160405289821696E-4</v>
      </c>
      <c r="BU145" s="38">
        <f t="shared" si="152"/>
        <v>0.1561586638830898</v>
      </c>
      <c r="BV145" s="38">
        <f t="shared" si="153"/>
        <v>1.099520721736679E-3</v>
      </c>
      <c r="BW145" s="38">
        <f t="shared" si="154"/>
        <v>0.44962779156327548</v>
      </c>
      <c r="BX145" s="38">
        <f t="shared" si="155"/>
        <v>8.2025677603423676E-4</v>
      </c>
      <c r="BY145" s="38">
        <f t="shared" si="156"/>
        <v>1.3746369796708615E-2</v>
      </c>
      <c r="BZ145" s="38">
        <f t="shared" si="157"/>
        <v>0.20276008492569003</v>
      </c>
      <c r="CA145" s="38">
        <f t="shared" si="158"/>
        <v>0</v>
      </c>
      <c r="CB145" s="38">
        <f t="shared" si="159"/>
        <v>0</v>
      </c>
      <c r="CC145" s="38">
        <f t="shared" si="160"/>
        <v>0</v>
      </c>
      <c r="CD145" s="38">
        <f t="shared" si="161"/>
        <v>1.7768372272791071</v>
      </c>
      <c r="CE145" s="38">
        <f t="shared" si="162"/>
        <v>2.5039129905444386</v>
      </c>
      <c r="CF145" s="38">
        <f t="shared" si="163"/>
        <v>3.9395842750994063</v>
      </c>
      <c r="CG145" s="38">
        <f t="shared" si="164"/>
        <v>9.8643762437659994</v>
      </c>
    </row>
    <row r="146" spans="1:85" ht="15" customHeight="1" x14ac:dyDescent="0.25">
      <c r="A146" s="35" t="s">
        <v>250</v>
      </c>
      <c r="B146" s="15">
        <v>280</v>
      </c>
      <c r="C146" s="102" t="s">
        <v>251</v>
      </c>
      <c r="D146" s="103" t="s">
        <v>104</v>
      </c>
      <c r="E146" s="15">
        <v>112</v>
      </c>
      <c r="F146" s="15" t="s">
        <v>280</v>
      </c>
      <c r="G146" s="16">
        <v>40.479999999999997</v>
      </c>
      <c r="H146" s="16">
        <v>3.61</v>
      </c>
      <c r="I146" s="16">
        <v>11.21</v>
      </c>
      <c r="J146" s="16">
        <v>0</v>
      </c>
      <c r="K146" s="16">
        <v>10.09</v>
      </c>
      <c r="L146" s="16">
        <v>8.1000000000000003E-2</v>
      </c>
      <c r="M146" s="16">
        <v>19.22</v>
      </c>
      <c r="N146" s="16">
        <v>0.106</v>
      </c>
      <c r="O146" s="16">
        <v>0.41399999999999998</v>
      </c>
      <c r="P146" s="16">
        <v>9.17</v>
      </c>
      <c r="Q146" s="16">
        <v>0</v>
      </c>
      <c r="S146" s="16">
        <v>0</v>
      </c>
      <c r="T146" s="16">
        <f t="shared" si="114"/>
        <v>94.381</v>
      </c>
      <c r="U146" s="16"/>
      <c r="V146" s="16">
        <f t="shared" si="165"/>
        <v>0</v>
      </c>
      <c r="W146" s="16">
        <f t="shared" si="166"/>
        <v>11.213016999999999</v>
      </c>
      <c r="X146" s="16">
        <f t="shared" si="167"/>
        <v>95.50401699999999</v>
      </c>
      <c r="AB146" s="15" t="s">
        <v>185</v>
      </c>
      <c r="AD146" s="15">
        <v>11</v>
      </c>
      <c r="AE146" s="15">
        <v>7</v>
      </c>
      <c r="AG146" s="38">
        <f t="shared" si="115"/>
        <v>2.9738953106439445</v>
      </c>
      <c r="AH146" s="38">
        <f t="shared" si="116"/>
        <v>0.19947305631470688</v>
      </c>
      <c r="AI146" s="38">
        <f t="shared" si="117"/>
        <v>0.97055662340929194</v>
      </c>
      <c r="AJ146" s="38">
        <f t="shared" si="118"/>
        <v>0</v>
      </c>
      <c r="AK146" s="38">
        <f t="shared" si="119"/>
        <v>0.61983984439976914</v>
      </c>
      <c r="AL146" s="38">
        <f t="shared" si="120"/>
        <v>5.0397492743347611E-3</v>
      </c>
      <c r="AM146" s="38">
        <f t="shared" si="121"/>
        <v>2.1050549324141588</v>
      </c>
      <c r="AN146" s="38">
        <f t="shared" si="122"/>
        <v>8.3428215937678615E-3</v>
      </c>
      <c r="AO146" s="38">
        <f t="shared" si="123"/>
        <v>5.8964940023592427E-2</v>
      </c>
      <c r="AP146" s="38">
        <f t="shared" si="124"/>
        <v>0.85933702654986588</v>
      </c>
      <c r="AQ146" s="38">
        <f t="shared" si="125"/>
        <v>0</v>
      </c>
      <c r="AR146" s="38">
        <f t="shared" si="126"/>
        <v>0</v>
      </c>
      <c r="AS146" s="38">
        <f t="shared" si="127"/>
        <v>0</v>
      </c>
      <c r="AT146" s="39">
        <f t="shared" si="128"/>
        <v>7.8005043046234341</v>
      </c>
      <c r="AU146" s="38">
        <f t="shared" si="129"/>
        <v>3.9444519340532365</v>
      </c>
      <c r="AV146" s="38">
        <f t="shared" si="130"/>
        <v>0.92664478816722617</v>
      </c>
      <c r="AW146" s="40"/>
      <c r="AX146" s="38">
        <f t="shared" si="131"/>
        <v>2.6687078631786694</v>
      </c>
      <c r="AY146" s="38">
        <f t="shared" si="132"/>
        <v>0.17900270798842344</v>
      </c>
      <c r="AZ146" s="38">
        <f t="shared" si="133"/>
        <v>0.87095604316739339</v>
      </c>
      <c r="BA146" s="38">
        <f t="shared" si="134"/>
        <v>0</v>
      </c>
      <c r="BB146" s="38">
        <f t="shared" si="135"/>
        <v>0</v>
      </c>
      <c r="BC146" s="38">
        <f t="shared" si="136"/>
        <v>0.5562305642504024</v>
      </c>
      <c r="BD146" s="38">
        <f t="shared" si="137"/>
        <v>4.5225595093170553E-3</v>
      </c>
      <c r="BE146" s="38">
        <f t="shared" si="138"/>
        <v>1.8890297282658137</v>
      </c>
      <c r="BF146" s="38">
        <f t="shared" si="139"/>
        <v>7.4866635381203436E-3</v>
      </c>
      <c r="BG146" s="38">
        <f t="shared" si="140"/>
        <v>5.2913832753159751E-2</v>
      </c>
      <c r="BH146" s="38">
        <f t="shared" si="141"/>
        <v>0.7711500373487008</v>
      </c>
      <c r="BI146" s="38">
        <f t="shared" si="142"/>
        <v>0</v>
      </c>
      <c r="BJ146" s="38">
        <f t="shared" si="143"/>
        <v>0</v>
      </c>
      <c r="BK146" s="38">
        <f t="shared" si="144"/>
        <v>0</v>
      </c>
      <c r="BL146" s="41">
        <f t="shared" si="145"/>
        <v>7</v>
      </c>
      <c r="BM146" s="42">
        <f t="shared" si="113"/>
        <v>10.149271939825059</v>
      </c>
      <c r="BN146" s="38">
        <f t="shared" si="146"/>
        <v>3.5396639063460626</v>
      </c>
      <c r="BO146" s="38">
        <f t="shared" si="147"/>
        <v>0.83155053363998088</v>
      </c>
      <c r="BQ146" s="38">
        <f t="shared" si="148"/>
        <v>0.67376830892143802</v>
      </c>
      <c r="BR146" s="38">
        <f t="shared" si="149"/>
        <v>4.5192789183775665E-2</v>
      </c>
      <c r="BS146" s="38">
        <f t="shared" si="150"/>
        <v>0.21989015300117695</v>
      </c>
      <c r="BT146" s="38">
        <f t="shared" si="151"/>
        <v>0</v>
      </c>
      <c r="BU146" s="38">
        <f t="shared" si="152"/>
        <v>0.14043145441892832</v>
      </c>
      <c r="BV146" s="38">
        <f t="shared" si="153"/>
        <v>1.1418099802650127E-3</v>
      </c>
      <c r="BW146" s="38">
        <f t="shared" si="154"/>
        <v>0.47692307692307695</v>
      </c>
      <c r="BX146" s="38">
        <f t="shared" si="155"/>
        <v>1.8901569186875892E-3</v>
      </c>
      <c r="BY146" s="38">
        <f t="shared" si="156"/>
        <v>1.3359148112294288E-2</v>
      </c>
      <c r="BZ146" s="38">
        <f t="shared" si="157"/>
        <v>0.19469214437367302</v>
      </c>
      <c r="CA146" s="38">
        <f t="shared" si="158"/>
        <v>0</v>
      </c>
      <c r="CB146" s="38">
        <f t="shared" si="159"/>
        <v>0</v>
      </c>
      <c r="CC146" s="38">
        <f t="shared" si="160"/>
        <v>0</v>
      </c>
      <c r="CD146" s="38">
        <f t="shared" si="161"/>
        <v>1.7672890418333158</v>
      </c>
      <c r="CE146" s="38">
        <f t="shared" si="162"/>
        <v>2.4921695701961344</v>
      </c>
      <c r="CF146" s="38">
        <f t="shared" si="163"/>
        <v>3.9608687850734801</v>
      </c>
      <c r="CG146" s="38">
        <f t="shared" si="164"/>
        <v>9.8711566576998599</v>
      </c>
    </row>
    <row r="147" spans="1:85" ht="15" customHeight="1" x14ac:dyDescent="0.25">
      <c r="A147" s="35" t="s">
        <v>250</v>
      </c>
      <c r="B147" s="15">
        <v>281</v>
      </c>
      <c r="C147" s="102" t="s">
        <v>251</v>
      </c>
      <c r="D147" s="103" t="s">
        <v>104</v>
      </c>
      <c r="E147" s="15">
        <v>113</v>
      </c>
      <c r="F147" s="15" t="s">
        <v>280</v>
      </c>
      <c r="G147" s="16">
        <v>39.299999999999997</v>
      </c>
      <c r="H147" s="16">
        <v>3.73</v>
      </c>
      <c r="I147" s="16">
        <v>11.3</v>
      </c>
      <c r="J147" s="16">
        <v>3.5000000000000003E-2</v>
      </c>
      <c r="K147" s="16">
        <v>10.52</v>
      </c>
      <c r="L147" s="16">
        <v>7.8E-2</v>
      </c>
      <c r="M147" s="16">
        <v>18.440000000000001</v>
      </c>
      <c r="N147" s="16">
        <v>7.0000000000000001E-3</v>
      </c>
      <c r="O147" s="16">
        <v>0.42799999999999999</v>
      </c>
      <c r="P147" s="16">
        <v>9.67</v>
      </c>
      <c r="Q147" s="16">
        <v>0</v>
      </c>
      <c r="S147" s="16">
        <v>0</v>
      </c>
      <c r="T147" s="16">
        <f t="shared" si="114"/>
        <v>93.507999999999996</v>
      </c>
      <c r="U147" s="16"/>
      <c r="V147" s="16">
        <f t="shared" si="165"/>
        <v>0</v>
      </c>
      <c r="W147" s="16">
        <f t="shared" si="166"/>
        <v>11.690875999999999</v>
      </c>
      <c r="X147" s="16">
        <f t="shared" si="167"/>
        <v>94.678876000000002</v>
      </c>
      <c r="AB147" s="15" t="s">
        <v>185</v>
      </c>
      <c r="AD147" s="15">
        <v>11</v>
      </c>
      <c r="AE147" s="15">
        <v>7</v>
      </c>
      <c r="AG147" s="38">
        <f t="shared" si="115"/>
        <v>2.9373944060797021</v>
      </c>
      <c r="AH147" s="38">
        <f t="shared" si="116"/>
        <v>0.20968647200170851</v>
      </c>
      <c r="AI147" s="38">
        <f t="shared" si="117"/>
        <v>0.99535556620274901</v>
      </c>
      <c r="AJ147" s="38">
        <f t="shared" si="118"/>
        <v>2.0681529895429365E-3</v>
      </c>
      <c r="AK147" s="38">
        <f t="shared" si="119"/>
        <v>0.65748917123058703</v>
      </c>
      <c r="AL147" s="38">
        <f t="shared" si="120"/>
        <v>4.9374539217626997E-3</v>
      </c>
      <c r="AM147" s="38">
        <f t="shared" si="121"/>
        <v>2.0547335285072084</v>
      </c>
      <c r="AN147" s="38">
        <f t="shared" si="122"/>
        <v>5.6051813994406369E-4</v>
      </c>
      <c r="AO147" s="38">
        <f t="shared" si="123"/>
        <v>6.2018581659019051E-2</v>
      </c>
      <c r="AP147" s="38">
        <f t="shared" si="124"/>
        <v>0.9219454048394603</v>
      </c>
      <c r="AQ147" s="38">
        <f t="shared" si="125"/>
        <v>0</v>
      </c>
      <c r="AR147" s="38">
        <f t="shared" si="126"/>
        <v>0</v>
      </c>
      <c r="AS147" s="38">
        <f t="shared" si="127"/>
        <v>0</v>
      </c>
      <c r="AT147" s="39">
        <f t="shared" si="128"/>
        <v>7.8461892555716846</v>
      </c>
      <c r="AU147" s="38">
        <f t="shared" si="129"/>
        <v>3.9327499722824513</v>
      </c>
      <c r="AV147" s="38">
        <f t="shared" si="130"/>
        <v>0.98452450463842345</v>
      </c>
      <c r="AW147" s="40"/>
      <c r="AX147" s="38">
        <f t="shared" si="131"/>
        <v>2.620604751275498</v>
      </c>
      <c r="AY147" s="38">
        <f t="shared" si="132"/>
        <v>0.18707238077002178</v>
      </c>
      <c r="AZ147" s="38">
        <f t="shared" si="133"/>
        <v>0.88800929170444576</v>
      </c>
      <c r="BA147" s="38">
        <f t="shared" si="134"/>
        <v>1.8451085559171537E-3</v>
      </c>
      <c r="BB147" s="38">
        <f t="shared" si="135"/>
        <v>0</v>
      </c>
      <c r="BC147" s="38">
        <f t="shared" si="136"/>
        <v>0.58658082907519304</v>
      </c>
      <c r="BD147" s="38">
        <f t="shared" si="137"/>
        <v>4.4049635213420117E-3</v>
      </c>
      <c r="BE147" s="38">
        <f t="shared" si="138"/>
        <v>1.8331363456899545</v>
      </c>
      <c r="BF147" s="38">
        <f t="shared" si="139"/>
        <v>5.0006784845550679E-4</v>
      </c>
      <c r="BG147" s="38">
        <f t="shared" si="140"/>
        <v>5.5330053542215013E-2</v>
      </c>
      <c r="BH147" s="38">
        <f t="shared" si="141"/>
        <v>0.82251620801695835</v>
      </c>
      <c r="BI147" s="38">
        <f t="shared" si="142"/>
        <v>0</v>
      </c>
      <c r="BJ147" s="38">
        <f t="shared" si="143"/>
        <v>0</v>
      </c>
      <c r="BK147" s="38">
        <f t="shared" si="144"/>
        <v>0</v>
      </c>
      <c r="BL147" s="41">
        <f t="shared" si="145"/>
        <v>7.0000000000000009</v>
      </c>
      <c r="BM147" s="42">
        <f t="shared" si="113"/>
        <v>10.106971615933714</v>
      </c>
      <c r="BN147" s="38">
        <f t="shared" si="146"/>
        <v>3.5086140429799437</v>
      </c>
      <c r="BO147" s="38">
        <f t="shared" si="147"/>
        <v>0.87834632940762891</v>
      </c>
      <c r="BQ147" s="38">
        <f t="shared" si="148"/>
        <v>0.6541278295605859</v>
      </c>
      <c r="BR147" s="38">
        <f t="shared" si="149"/>
        <v>4.6695042563845768E-2</v>
      </c>
      <c r="BS147" s="38">
        <f t="shared" si="150"/>
        <v>0.2216555511965477</v>
      </c>
      <c r="BT147" s="38">
        <f t="shared" si="151"/>
        <v>4.605566155668136E-4</v>
      </c>
      <c r="BU147" s="38">
        <f t="shared" si="152"/>
        <v>0.14641614474599862</v>
      </c>
      <c r="BV147" s="38">
        <f t="shared" si="153"/>
        <v>1.099520721736679E-3</v>
      </c>
      <c r="BW147" s="38">
        <f t="shared" si="154"/>
        <v>0.45756823821339959</v>
      </c>
      <c r="BX147" s="38">
        <f t="shared" si="155"/>
        <v>1.2482168330955778E-4</v>
      </c>
      <c r="BY147" s="38">
        <f t="shared" si="156"/>
        <v>1.3810906744111003E-2</v>
      </c>
      <c r="BZ147" s="38">
        <f t="shared" si="157"/>
        <v>0.20530785562632695</v>
      </c>
      <c r="CA147" s="38">
        <f t="shared" si="158"/>
        <v>0</v>
      </c>
      <c r="CB147" s="38">
        <f t="shared" si="159"/>
        <v>0</v>
      </c>
      <c r="CC147" s="38">
        <f t="shared" si="160"/>
        <v>0</v>
      </c>
      <c r="CD147" s="38">
        <f t="shared" si="161"/>
        <v>1.7472664676714285</v>
      </c>
      <c r="CE147" s="38">
        <f t="shared" si="162"/>
        <v>2.4495880125166982</v>
      </c>
      <c r="CF147" s="38">
        <f t="shared" si="163"/>
        <v>4.0062578487692599</v>
      </c>
      <c r="CG147" s="38">
        <f t="shared" si="164"/>
        <v>9.8136812013961148</v>
      </c>
    </row>
    <row r="148" spans="1:85" ht="15" customHeight="1" x14ac:dyDescent="0.25">
      <c r="A148" s="35" t="s">
        <v>250</v>
      </c>
      <c r="B148" s="15">
        <v>282</v>
      </c>
      <c r="C148" s="102" t="s">
        <v>251</v>
      </c>
      <c r="D148" s="103" t="s">
        <v>104</v>
      </c>
      <c r="E148" s="15">
        <v>114</v>
      </c>
      <c r="F148" s="15" t="s">
        <v>272</v>
      </c>
      <c r="G148" s="16">
        <v>7.0999999999999994E-2</v>
      </c>
      <c r="H148" s="16">
        <v>5.59</v>
      </c>
      <c r="I148" s="16">
        <v>1.34</v>
      </c>
      <c r="J148" s="16">
        <v>6.3E-2</v>
      </c>
      <c r="K148" s="16">
        <v>84.9</v>
      </c>
      <c r="L148" s="16">
        <v>0.32500000000000001</v>
      </c>
      <c r="M148" s="16">
        <v>0.65400000000000003</v>
      </c>
      <c r="N148" s="16">
        <v>0</v>
      </c>
      <c r="O148" s="16">
        <v>8.9999999999999993E-3</v>
      </c>
      <c r="P148" s="16">
        <v>0</v>
      </c>
      <c r="Q148" s="16">
        <v>0</v>
      </c>
      <c r="T148" s="16">
        <f t="shared" si="114"/>
        <v>92.951999999999998</v>
      </c>
      <c r="U148" s="16"/>
      <c r="V148" s="16">
        <f t="shared" si="165"/>
        <v>34.735111135964218</v>
      </c>
      <c r="W148" s="16">
        <f t="shared" si="166"/>
        <v>55.74824099460298</v>
      </c>
      <c r="X148" s="16">
        <f t="shared" si="167"/>
        <v>98.53535213056719</v>
      </c>
      <c r="Y148" s="15">
        <v>115</v>
      </c>
      <c r="AD148" s="15">
        <v>4</v>
      </c>
      <c r="AE148" s="15">
        <v>3</v>
      </c>
      <c r="AG148" s="38">
        <f t="shared" si="115"/>
        <v>3.4115962011859592E-3</v>
      </c>
      <c r="AH148" s="38">
        <f t="shared" si="116"/>
        <v>0.20202399227343501</v>
      </c>
      <c r="AI148" s="38">
        <f t="shared" si="117"/>
        <v>7.5881195522165087E-2</v>
      </c>
      <c r="AJ148" s="38">
        <f t="shared" si="118"/>
        <v>2.3932315942462676E-3</v>
      </c>
      <c r="AK148" s="38">
        <f t="shared" si="119"/>
        <v>3.411223031205413</v>
      </c>
      <c r="AL148" s="38">
        <f t="shared" si="120"/>
        <v>1.3225782435535096E-2</v>
      </c>
      <c r="AM148" s="38">
        <f t="shared" si="121"/>
        <v>4.6849169834614728E-2</v>
      </c>
      <c r="AN148" s="38">
        <f t="shared" si="122"/>
        <v>0</v>
      </c>
      <c r="AO148" s="38">
        <f t="shared" si="123"/>
        <v>8.383978011558803E-4</v>
      </c>
      <c r="AP148" s="38">
        <f t="shared" si="124"/>
        <v>0</v>
      </c>
      <c r="AQ148" s="38">
        <f t="shared" si="125"/>
        <v>0</v>
      </c>
      <c r="AR148" s="38">
        <f t="shared" si="126"/>
        <v>0</v>
      </c>
      <c r="AS148" s="38">
        <f t="shared" si="127"/>
        <v>0</v>
      </c>
      <c r="AT148" s="39">
        <f t="shared" si="128"/>
        <v>3.7558463968677511</v>
      </c>
      <c r="AU148" s="38">
        <f t="shared" si="129"/>
        <v>7.9292791723351047E-2</v>
      </c>
      <c r="AV148" s="38">
        <f t="shared" si="130"/>
        <v>8.383978011558803E-4</v>
      </c>
      <c r="AW148" s="40"/>
      <c r="AX148" s="38">
        <f t="shared" si="131"/>
        <v>2.7250285347380936E-3</v>
      </c>
      <c r="AY148" s="38">
        <f t="shared" si="132"/>
        <v>0.16136761538644084</v>
      </c>
      <c r="AZ148" s="38">
        <f t="shared" si="133"/>
        <v>6.061046233316205E-2</v>
      </c>
      <c r="BA148" s="38">
        <f t="shared" si="134"/>
        <v>1.9116050083215397E-3</v>
      </c>
      <c r="BB148" s="38">
        <f t="shared" si="135"/>
        <v>1.1147681444496671</v>
      </c>
      <c r="BC148" s="38">
        <f t="shared" si="136"/>
        <v>1.6099623190087886</v>
      </c>
      <c r="BD148" s="38">
        <f t="shared" si="137"/>
        <v>1.0564156015457621E-2</v>
      </c>
      <c r="BE148" s="38">
        <f t="shared" si="138"/>
        <v>3.7420995070793106E-2</v>
      </c>
      <c r="BF148" s="38">
        <f t="shared" si="139"/>
        <v>0</v>
      </c>
      <c r="BG148" s="38">
        <f t="shared" si="140"/>
        <v>6.6967419263078132E-4</v>
      </c>
      <c r="BH148" s="38">
        <f t="shared" si="141"/>
        <v>0</v>
      </c>
      <c r="BI148" s="38">
        <f t="shared" si="142"/>
        <v>0</v>
      </c>
      <c r="BJ148" s="38">
        <f t="shared" si="143"/>
        <v>0</v>
      </c>
      <c r="BK148" s="38">
        <f t="shared" si="144"/>
        <v>0</v>
      </c>
      <c r="BL148" s="41">
        <f t="shared" si="145"/>
        <v>3</v>
      </c>
      <c r="BM148" s="42">
        <f t="shared" si="113"/>
        <v>3.9999999999999991</v>
      </c>
      <c r="BN148" s="38">
        <f t="shared" si="146"/>
        <v>6.3335490867900149E-2</v>
      </c>
      <c r="BO148" s="38">
        <f t="shared" si="147"/>
        <v>6.6967419263078132E-4</v>
      </c>
      <c r="BQ148" s="38">
        <f t="shared" si="148"/>
        <v>1.181757656458056E-3</v>
      </c>
      <c r="BR148" s="38">
        <f t="shared" si="149"/>
        <v>6.99799699549324E-2</v>
      </c>
      <c r="BS148" s="38">
        <f t="shared" si="150"/>
        <v>2.6284817575519814E-2</v>
      </c>
      <c r="BT148" s="38">
        <f t="shared" si="151"/>
        <v>8.2900190802026445E-4</v>
      </c>
      <c r="BU148" s="38">
        <f t="shared" si="152"/>
        <v>1.1816283924843425</v>
      </c>
      <c r="BV148" s="38">
        <f t="shared" si="153"/>
        <v>4.5813363405694954E-3</v>
      </c>
      <c r="BW148" s="38">
        <f t="shared" si="154"/>
        <v>1.6228287841191069E-2</v>
      </c>
      <c r="BX148" s="38">
        <f t="shared" si="155"/>
        <v>0</v>
      </c>
      <c r="BY148" s="38">
        <f t="shared" si="156"/>
        <v>2.9041626331074538E-4</v>
      </c>
      <c r="BZ148" s="38">
        <f t="shared" si="157"/>
        <v>0</v>
      </c>
      <c r="CA148" s="38">
        <f t="shared" si="158"/>
        <v>0</v>
      </c>
      <c r="CB148" s="38">
        <f t="shared" si="159"/>
        <v>0</v>
      </c>
      <c r="CC148" s="38">
        <f t="shared" si="160"/>
        <v>0</v>
      </c>
      <c r="CD148" s="38">
        <f t="shared" si="161"/>
        <v>1.3010039800243445</v>
      </c>
      <c r="CE148" s="38">
        <f t="shared" si="162"/>
        <v>1.3855774092458495</v>
      </c>
      <c r="CF148" s="38">
        <f t="shared" si="163"/>
        <v>2.3059114699586574</v>
      </c>
      <c r="CG148" s="38">
        <f t="shared" si="164"/>
        <v>3.1950188404956048</v>
      </c>
    </row>
    <row r="149" spans="1:85" ht="15" customHeight="1" x14ac:dyDescent="0.25">
      <c r="A149" s="35" t="s">
        <v>250</v>
      </c>
      <c r="B149" s="15">
        <v>283</v>
      </c>
      <c r="C149" s="102" t="s">
        <v>251</v>
      </c>
      <c r="D149" s="103" t="s">
        <v>104</v>
      </c>
      <c r="E149" s="15">
        <v>115</v>
      </c>
      <c r="F149" s="15" t="s">
        <v>279</v>
      </c>
      <c r="G149" s="16">
        <v>2.3E-2</v>
      </c>
      <c r="H149" s="16">
        <v>44.38</v>
      </c>
      <c r="I149" s="16">
        <v>7.0000000000000007E-2</v>
      </c>
      <c r="J149" s="16">
        <v>4.1000000000000002E-2</v>
      </c>
      <c r="K149" s="16">
        <v>49.48</v>
      </c>
      <c r="L149" s="16">
        <v>1.77</v>
      </c>
      <c r="M149" s="16">
        <v>0.61199999999999999</v>
      </c>
      <c r="N149" s="16">
        <v>3.3000000000000002E-2</v>
      </c>
      <c r="O149" s="16">
        <v>0.01</v>
      </c>
      <c r="P149" s="16">
        <v>0</v>
      </c>
      <c r="Q149" s="16">
        <v>0</v>
      </c>
      <c r="T149" s="16">
        <f t="shared" si="114"/>
        <v>96.418999999999997</v>
      </c>
      <c r="U149" s="16"/>
      <c r="V149" s="16">
        <f t="shared" si="165"/>
        <v>36.973695057224248</v>
      </c>
      <c r="W149" s="16">
        <f t="shared" si="166"/>
        <v>13.898256682906688</v>
      </c>
      <c r="X149" s="16">
        <f t="shared" si="167"/>
        <v>97.810951740130946</v>
      </c>
      <c r="Y149" s="15">
        <v>114</v>
      </c>
      <c r="AD149" s="15">
        <v>3</v>
      </c>
      <c r="AE149" s="15">
        <v>2</v>
      </c>
      <c r="AG149" s="38">
        <f t="shared" si="115"/>
        <v>6.2269740859946998E-4</v>
      </c>
      <c r="AH149" s="38">
        <f t="shared" si="116"/>
        <v>0.9037085435208031</v>
      </c>
      <c r="AI149" s="38">
        <f t="shared" si="117"/>
        <v>2.233455764072809E-3</v>
      </c>
      <c r="AJ149" s="38">
        <f t="shared" si="118"/>
        <v>8.775623525889303E-4</v>
      </c>
      <c r="AK149" s="38">
        <f t="shared" si="119"/>
        <v>1.1201651702352766</v>
      </c>
      <c r="AL149" s="38">
        <f t="shared" si="120"/>
        <v>4.058459613532648E-2</v>
      </c>
      <c r="AM149" s="38">
        <f t="shared" si="121"/>
        <v>2.4701624888226959E-2</v>
      </c>
      <c r="AN149" s="38">
        <f t="shared" si="122"/>
        <v>9.5716119067919541E-4</v>
      </c>
      <c r="AO149" s="38">
        <f t="shared" si="123"/>
        <v>5.2487703338603144E-4</v>
      </c>
      <c r="AP149" s="38">
        <f t="shared" si="124"/>
        <v>0</v>
      </c>
      <c r="AQ149" s="38">
        <f t="shared" si="125"/>
        <v>0</v>
      </c>
      <c r="AR149" s="38">
        <f t="shared" si="126"/>
        <v>0</v>
      </c>
      <c r="AS149" s="38">
        <f t="shared" si="127"/>
        <v>0</v>
      </c>
      <c r="AT149" s="39">
        <f t="shared" si="128"/>
        <v>2.0943756885289591</v>
      </c>
      <c r="AU149" s="38">
        <f t="shared" si="129"/>
        <v>2.856153172672279E-3</v>
      </c>
      <c r="AV149" s="38">
        <f t="shared" si="130"/>
        <v>1.4820382240652269E-3</v>
      </c>
      <c r="AW149" s="40"/>
      <c r="AX149" s="38">
        <f t="shared" si="131"/>
        <v>5.9463773573196707E-4</v>
      </c>
      <c r="AY149" s="38">
        <f t="shared" si="132"/>
        <v>0.86298609028979589</v>
      </c>
      <c r="AZ149" s="38">
        <f t="shared" si="133"/>
        <v>2.1328129201514329E-3</v>
      </c>
      <c r="BA149" s="38">
        <f t="shared" si="134"/>
        <v>8.380180856714485E-4</v>
      </c>
      <c r="BB149" s="38">
        <f t="shared" si="135"/>
        <v>0.79931992071232982</v>
      </c>
      <c r="BC149" s="38">
        <f t="shared" si="136"/>
        <v>0.27036893823546904</v>
      </c>
      <c r="BD149" s="38">
        <f t="shared" si="137"/>
        <v>3.8755793774355882E-2</v>
      </c>
      <c r="BE149" s="38">
        <f t="shared" si="138"/>
        <v>2.3588532872606826E-2</v>
      </c>
      <c r="BF149" s="38">
        <f t="shared" si="139"/>
        <v>9.1403008153850655E-4</v>
      </c>
      <c r="BG149" s="38">
        <f t="shared" si="140"/>
        <v>5.0122529234923727E-4</v>
      </c>
      <c r="BH149" s="38">
        <f t="shared" si="141"/>
        <v>0</v>
      </c>
      <c r="BI149" s="38">
        <f t="shared" si="142"/>
        <v>0</v>
      </c>
      <c r="BJ149" s="38">
        <f t="shared" si="143"/>
        <v>0</v>
      </c>
      <c r="BK149" s="38">
        <f t="shared" si="144"/>
        <v>0</v>
      </c>
      <c r="BL149" s="41">
        <f t="shared" si="145"/>
        <v>2</v>
      </c>
      <c r="BM149" s="42">
        <f t="shared" si="113"/>
        <v>2.9999999999999991</v>
      </c>
      <c r="BN149" s="38">
        <f t="shared" si="146"/>
        <v>2.7274506558833999E-3</v>
      </c>
      <c r="BO149" s="38">
        <f t="shared" si="147"/>
        <v>1.4152553738877439E-3</v>
      </c>
      <c r="BQ149" s="38">
        <f t="shared" si="148"/>
        <v>3.8282290279627166E-4</v>
      </c>
      <c r="BR149" s="38">
        <f t="shared" si="149"/>
        <v>0.55558337506259392</v>
      </c>
      <c r="BS149" s="38">
        <f t="shared" si="150"/>
        <v>1.3730874852883486E-3</v>
      </c>
      <c r="BT149" s="38">
        <f t="shared" si="151"/>
        <v>5.3950917823541024E-4</v>
      </c>
      <c r="BU149" s="38">
        <f t="shared" si="152"/>
        <v>0.68865692414752955</v>
      </c>
      <c r="BV149" s="38">
        <f t="shared" si="153"/>
        <v>2.4950662531716943E-2</v>
      </c>
      <c r="BW149" s="38">
        <f t="shared" si="154"/>
        <v>1.5186104218362284E-2</v>
      </c>
      <c r="BX149" s="38">
        <f t="shared" si="155"/>
        <v>5.8844507845934389E-4</v>
      </c>
      <c r="BY149" s="38">
        <f t="shared" si="156"/>
        <v>3.2268473701193938E-4</v>
      </c>
      <c r="BZ149" s="38">
        <f t="shared" si="157"/>
        <v>0</v>
      </c>
      <c r="CA149" s="38">
        <f t="shared" si="158"/>
        <v>0</v>
      </c>
      <c r="CB149" s="38">
        <f t="shared" si="159"/>
        <v>0</v>
      </c>
      <c r="CC149" s="38">
        <f t="shared" si="160"/>
        <v>0</v>
      </c>
      <c r="CD149" s="38">
        <f t="shared" si="161"/>
        <v>1.2875836153419939</v>
      </c>
      <c r="CE149" s="38">
        <f t="shared" si="162"/>
        <v>1.8443447692706401</v>
      </c>
      <c r="CF149" s="38">
        <f t="shared" si="163"/>
        <v>1.553297180990286</v>
      </c>
      <c r="CG149" s="38">
        <f t="shared" si="164"/>
        <v>2.8648155308822645</v>
      </c>
    </row>
    <row r="150" spans="1:85" ht="15" customHeight="1" x14ac:dyDescent="0.25">
      <c r="A150" s="35" t="s">
        <v>250</v>
      </c>
      <c r="B150" s="15">
        <v>284</v>
      </c>
      <c r="C150" s="102" t="s">
        <v>251</v>
      </c>
      <c r="D150" s="103" t="s">
        <v>104</v>
      </c>
      <c r="E150" s="15">
        <v>116</v>
      </c>
      <c r="F150" s="15" t="s">
        <v>272</v>
      </c>
      <c r="G150" s="16">
        <v>6.2E-2</v>
      </c>
      <c r="H150" s="16">
        <v>5.71</v>
      </c>
      <c r="I150" s="16">
        <v>1.7010000000000001</v>
      </c>
      <c r="J150" s="16">
        <v>0.58499999999999996</v>
      </c>
      <c r="K150" s="16">
        <v>85.04</v>
      </c>
      <c r="L150" s="16">
        <v>0.54600000000000004</v>
      </c>
      <c r="M150" s="16">
        <v>0.68400000000000005</v>
      </c>
      <c r="N150" s="16">
        <v>0</v>
      </c>
      <c r="O150" s="16">
        <v>5.8000000000000003E-2</v>
      </c>
      <c r="P150" s="16">
        <v>0</v>
      </c>
      <c r="Q150" s="16">
        <v>0</v>
      </c>
      <c r="T150" s="16">
        <f t="shared" si="114"/>
        <v>94.386000000000024</v>
      </c>
      <c r="U150" s="16"/>
      <c r="V150" s="16">
        <f t="shared" si="165"/>
        <v>34.871223065241786</v>
      </c>
      <c r="W150" s="16">
        <f t="shared" si="166"/>
        <v>55.752561807596813</v>
      </c>
      <c r="X150" s="16">
        <f t="shared" si="167"/>
        <v>99.969784872838602</v>
      </c>
      <c r="Y150" s="15">
        <v>117</v>
      </c>
      <c r="AD150" s="15">
        <v>4</v>
      </c>
      <c r="AE150" s="15">
        <v>3</v>
      </c>
      <c r="AG150" s="38">
        <f t="shared" si="115"/>
        <v>2.9155328117295484E-3</v>
      </c>
      <c r="AH150" s="38">
        <f t="shared" si="116"/>
        <v>0.20195481865680404</v>
      </c>
      <c r="AI150" s="38">
        <f t="shared" si="117"/>
        <v>9.4267209300971253E-2</v>
      </c>
      <c r="AJ150" s="38">
        <f t="shared" si="118"/>
        <v>2.1748385107529588E-2</v>
      </c>
      <c r="AK150" s="38">
        <f t="shared" si="119"/>
        <v>3.3438951155843508</v>
      </c>
      <c r="AL150" s="38">
        <f t="shared" si="120"/>
        <v>2.17449105981148E-2</v>
      </c>
      <c r="AM150" s="38">
        <f t="shared" si="121"/>
        <v>4.7952054970318785E-2</v>
      </c>
      <c r="AN150" s="38">
        <f t="shared" si="122"/>
        <v>0</v>
      </c>
      <c r="AO150" s="38">
        <f t="shared" si="123"/>
        <v>5.2876485947939787E-3</v>
      </c>
      <c r="AP150" s="38">
        <f t="shared" si="124"/>
        <v>0</v>
      </c>
      <c r="AQ150" s="38">
        <f t="shared" si="125"/>
        <v>0</v>
      </c>
      <c r="AR150" s="38">
        <f t="shared" si="126"/>
        <v>0</v>
      </c>
      <c r="AS150" s="38">
        <f t="shared" si="127"/>
        <v>0</v>
      </c>
      <c r="AT150" s="39">
        <f t="shared" si="128"/>
        <v>3.7397656756246129</v>
      </c>
      <c r="AU150" s="38">
        <f t="shared" si="129"/>
        <v>9.7182742112700796E-2</v>
      </c>
      <c r="AV150" s="38">
        <f t="shared" si="130"/>
        <v>5.2876485947939787E-3</v>
      </c>
      <c r="AW150" s="40"/>
      <c r="AX150" s="38">
        <f t="shared" si="131"/>
        <v>2.338809217967325E-3</v>
      </c>
      <c r="AY150" s="38">
        <f t="shared" si="132"/>
        <v>0.16200599409726951</v>
      </c>
      <c r="AZ150" s="38">
        <f t="shared" si="133"/>
        <v>7.5620146402803817E-2</v>
      </c>
      <c r="BA150" s="38">
        <f t="shared" si="134"/>
        <v>1.7446321770331657E-2</v>
      </c>
      <c r="BB150" s="38">
        <f t="shared" si="135"/>
        <v>1.0999512532477338</v>
      </c>
      <c r="BC150" s="38">
        <f t="shared" si="136"/>
        <v>1.5824856203078719</v>
      </c>
      <c r="BD150" s="38">
        <f t="shared" si="137"/>
        <v>1.7443534556065187E-2</v>
      </c>
      <c r="BE150" s="38">
        <f t="shared" si="138"/>
        <v>3.8466625288476025E-2</v>
      </c>
      <c r="BF150" s="38">
        <f t="shared" si="139"/>
        <v>0</v>
      </c>
      <c r="BG150" s="38">
        <f t="shared" si="140"/>
        <v>4.2416951114811544E-3</v>
      </c>
      <c r="BH150" s="38">
        <f t="shared" si="141"/>
        <v>0</v>
      </c>
      <c r="BI150" s="38">
        <f t="shared" si="142"/>
        <v>0</v>
      </c>
      <c r="BJ150" s="38">
        <f t="shared" si="143"/>
        <v>0</v>
      </c>
      <c r="BK150" s="38">
        <f t="shared" si="144"/>
        <v>0</v>
      </c>
      <c r="BL150" s="41">
        <f t="shared" si="145"/>
        <v>3.0000000000000009</v>
      </c>
      <c r="BM150" s="42">
        <f t="shared" si="113"/>
        <v>4.0000000000000009</v>
      </c>
      <c r="BN150" s="38">
        <f t="shared" si="146"/>
        <v>7.7958955620771139E-2</v>
      </c>
      <c r="BO150" s="38">
        <f t="shared" si="147"/>
        <v>4.2416951114811544E-3</v>
      </c>
      <c r="BQ150" s="38">
        <f t="shared" si="148"/>
        <v>1.0319573901464713E-3</v>
      </c>
      <c r="BR150" s="38">
        <f t="shared" si="149"/>
        <v>7.1482223335002509E-2</v>
      </c>
      <c r="BS150" s="38">
        <f t="shared" si="150"/>
        <v>3.3366025892506868E-2</v>
      </c>
      <c r="BT150" s="38">
        <f t="shared" si="151"/>
        <v>7.6978748601881693E-3</v>
      </c>
      <c r="BU150" s="38">
        <f t="shared" si="152"/>
        <v>1.1835768963117608</v>
      </c>
      <c r="BV150" s="38">
        <f t="shared" si="153"/>
        <v>7.6966450521567531E-3</v>
      </c>
      <c r="BW150" s="38">
        <f t="shared" si="154"/>
        <v>1.6972704714640199E-2</v>
      </c>
      <c r="BX150" s="38">
        <f t="shared" si="155"/>
        <v>0</v>
      </c>
      <c r="BY150" s="38">
        <f t="shared" si="156"/>
        <v>1.8715714746692484E-3</v>
      </c>
      <c r="BZ150" s="38">
        <f t="shared" si="157"/>
        <v>0</v>
      </c>
      <c r="CA150" s="38">
        <f t="shared" si="158"/>
        <v>0</v>
      </c>
      <c r="CB150" s="38">
        <f t="shared" si="159"/>
        <v>0</v>
      </c>
      <c r="CC150" s="38">
        <f t="shared" si="160"/>
        <v>0</v>
      </c>
      <c r="CD150" s="38">
        <f t="shared" si="161"/>
        <v>1.323695899031071</v>
      </c>
      <c r="CE150" s="38">
        <f t="shared" si="162"/>
        <v>1.4158062443952328</v>
      </c>
      <c r="CF150" s="38">
        <f t="shared" si="163"/>
        <v>2.266381577668982</v>
      </c>
      <c r="CG150" s="38">
        <f t="shared" si="164"/>
        <v>3.2087571898460641</v>
      </c>
    </row>
    <row r="151" spans="1:85" ht="15" customHeight="1" x14ac:dyDescent="0.25">
      <c r="A151" s="35" t="s">
        <v>250</v>
      </c>
      <c r="B151" s="15">
        <v>285</v>
      </c>
      <c r="C151" s="102" t="s">
        <v>251</v>
      </c>
      <c r="D151" s="103" t="s">
        <v>104</v>
      </c>
      <c r="E151" s="15">
        <v>117</v>
      </c>
      <c r="F151" s="15" t="s">
        <v>279</v>
      </c>
      <c r="G151" s="16">
        <v>1.4E-2</v>
      </c>
      <c r="H151" s="16">
        <v>45.53</v>
      </c>
      <c r="I151" s="16">
        <v>8.2000000000000003E-2</v>
      </c>
      <c r="J151" s="16">
        <v>6.5000000000000002E-2</v>
      </c>
      <c r="K151" s="16">
        <v>49.33</v>
      </c>
      <c r="L151" s="16">
        <v>1.45</v>
      </c>
      <c r="M151" s="16">
        <v>1.294</v>
      </c>
      <c r="N151" s="16">
        <v>0</v>
      </c>
      <c r="O151" s="16">
        <v>5.7000000000000002E-2</v>
      </c>
      <c r="P151" s="16">
        <v>0</v>
      </c>
      <c r="Q151" s="16">
        <v>0</v>
      </c>
      <c r="T151" s="16">
        <f t="shared" si="114"/>
        <v>97.822000000000003</v>
      </c>
      <c r="U151" s="16"/>
      <c r="V151" s="16">
        <f t="shared" si="165"/>
        <v>36.929850785899099</v>
      </c>
      <c r="W151" s="16">
        <f t="shared" si="166"/>
        <v>13.780285821630331</v>
      </c>
      <c r="X151" s="16">
        <f t="shared" si="167"/>
        <v>99.20213660752944</v>
      </c>
      <c r="Y151" s="15">
        <v>116</v>
      </c>
      <c r="AD151" s="15">
        <v>3</v>
      </c>
      <c r="AE151" s="15">
        <v>2</v>
      </c>
      <c r="AG151" s="38">
        <f t="shared" si="115"/>
        <v>3.7102373131543323E-4</v>
      </c>
      <c r="AH151" s="38">
        <f t="shared" si="116"/>
        <v>0.90753455723446241</v>
      </c>
      <c r="AI151" s="38">
        <f t="shared" si="117"/>
        <v>2.5610472927049275E-3</v>
      </c>
      <c r="AJ151" s="38">
        <f t="shared" si="118"/>
        <v>1.3618582759514534E-3</v>
      </c>
      <c r="AK151" s="38">
        <f t="shared" si="119"/>
        <v>1.0931705418040387</v>
      </c>
      <c r="AL151" s="38">
        <f t="shared" si="120"/>
        <v>3.2544709188122037E-2</v>
      </c>
      <c r="AM151" s="38">
        <f t="shared" si="121"/>
        <v>5.1124939517894381E-2</v>
      </c>
      <c r="AN151" s="38">
        <f t="shared" si="122"/>
        <v>0</v>
      </c>
      <c r="AO151" s="38">
        <f t="shared" si="123"/>
        <v>2.9285784108089709E-3</v>
      </c>
      <c r="AP151" s="38">
        <f t="shared" si="124"/>
        <v>0</v>
      </c>
      <c r="AQ151" s="38">
        <f t="shared" si="125"/>
        <v>0</v>
      </c>
      <c r="AR151" s="38">
        <f t="shared" si="126"/>
        <v>0</v>
      </c>
      <c r="AS151" s="38">
        <f t="shared" si="127"/>
        <v>0</v>
      </c>
      <c r="AT151" s="39">
        <f t="shared" si="128"/>
        <v>2.0915972554552984</v>
      </c>
      <c r="AU151" s="38">
        <f t="shared" si="129"/>
        <v>2.9320710240203609E-3</v>
      </c>
      <c r="AV151" s="38">
        <f t="shared" si="130"/>
        <v>2.9285784108089709E-3</v>
      </c>
      <c r="AW151" s="40"/>
      <c r="AX151" s="38">
        <f t="shared" si="131"/>
        <v>3.5477550025247946E-4</v>
      </c>
      <c r="AY151" s="38">
        <f t="shared" si="132"/>
        <v>0.86779092377123102</v>
      </c>
      <c r="AZ151" s="38">
        <f t="shared" si="133"/>
        <v>2.4488914259427441E-3</v>
      </c>
      <c r="BA151" s="38">
        <f t="shared" si="134"/>
        <v>1.3022184575921184E-3</v>
      </c>
      <c r="BB151" s="38">
        <f t="shared" si="135"/>
        <v>0.78253953843518409</v>
      </c>
      <c r="BC151" s="38">
        <f t="shared" si="136"/>
        <v>0.26275781883838678</v>
      </c>
      <c r="BD151" s="38">
        <f t="shared" si="137"/>
        <v>3.1119479721288611E-2</v>
      </c>
      <c r="BE151" s="38">
        <f t="shared" si="138"/>
        <v>4.8886026585233319E-2</v>
      </c>
      <c r="BF151" s="38">
        <f t="shared" si="139"/>
        <v>0</v>
      </c>
      <c r="BG151" s="38">
        <f t="shared" si="140"/>
        <v>2.8003272648887455E-3</v>
      </c>
      <c r="BH151" s="38">
        <f t="shared" si="141"/>
        <v>0</v>
      </c>
      <c r="BI151" s="38">
        <f t="shared" si="142"/>
        <v>0</v>
      </c>
      <c r="BJ151" s="38">
        <f t="shared" si="143"/>
        <v>0</v>
      </c>
      <c r="BK151" s="38">
        <f t="shared" si="144"/>
        <v>0</v>
      </c>
      <c r="BL151" s="41">
        <f t="shared" si="145"/>
        <v>1.9999999999999998</v>
      </c>
      <c r="BM151" s="42">
        <f t="shared" si="113"/>
        <v>2.9999999999999996</v>
      </c>
      <c r="BN151" s="38">
        <f t="shared" si="146"/>
        <v>2.8036669261952236E-3</v>
      </c>
      <c r="BO151" s="38">
        <f t="shared" si="147"/>
        <v>2.8003272648887455E-3</v>
      </c>
      <c r="BQ151" s="38">
        <f t="shared" si="148"/>
        <v>2.3302263648468711E-4</v>
      </c>
      <c r="BR151" s="38">
        <f t="shared" si="149"/>
        <v>0.5699799699549325</v>
      </c>
      <c r="BS151" s="38">
        <f t="shared" si="150"/>
        <v>1.6084739113377798E-3</v>
      </c>
      <c r="BT151" s="38">
        <f t="shared" si="151"/>
        <v>8.5531942890979668E-4</v>
      </c>
      <c r="BU151" s="38">
        <f t="shared" si="152"/>
        <v>0.68656924147529574</v>
      </c>
      <c r="BV151" s="38">
        <f t="shared" si="153"/>
        <v>2.0439808288694673E-2</v>
      </c>
      <c r="BW151" s="38">
        <f t="shared" si="154"/>
        <v>3.2109181141439208E-2</v>
      </c>
      <c r="BX151" s="38">
        <f t="shared" si="155"/>
        <v>0</v>
      </c>
      <c r="BY151" s="38">
        <f t="shared" si="156"/>
        <v>1.8393030009680544E-3</v>
      </c>
      <c r="BZ151" s="38">
        <f t="shared" si="157"/>
        <v>0</v>
      </c>
      <c r="CA151" s="38">
        <f t="shared" si="158"/>
        <v>0</v>
      </c>
      <c r="CB151" s="38">
        <f t="shared" si="159"/>
        <v>0</v>
      </c>
      <c r="CC151" s="38">
        <f t="shared" si="160"/>
        <v>0</v>
      </c>
      <c r="CD151" s="38">
        <f t="shared" si="161"/>
        <v>1.3136343198380624</v>
      </c>
      <c r="CE151" s="38">
        <f t="shared" si="162"/>
        <v>1.8841595575991195</v>
      </c>
      <c r="CF151" s="38">
        <f t="shared" si="163"/>
        <v>1.5224937182263545</v>
      </c>
      <c r="CG151" s="38">
        <f t="shared" si="164"/>
        <v>2.8686210905808065</v>
      </c>
    </row>
    <row r="152" spans="1:85" ht="15" customHeight="1" x14ac:dyDescent="0.25">
      <c r="A152" s="35" t="s">
        <v>250</v>
      </c>
      <c r="B152" s="15">
        <v>286</v>
      </c>
      <c r="C152" s="102" t="s">
        <v>251</v>
      </c>
      <c r="D152" s="103" t="s">
        <v>104</v>
      </c>
      <c r="E152" s="15">
        <v>118</v>
      </c>
      <c r="F152" s="15" t="s">
        <v>272</v>
      </c>
      <c r="G152" s="16">
        <v>6.9000000000000006E-2</v>
      </c>
      <c r="H152" s="16">
        <v>5.27</v>
      </c>
      <c r="I152" s="16">
        <v>1.8620000000000001</v>
      </c>
      <c r="J152" s="16">
        <v>0.248</v>
      </c>
      <c r="K152" s="16">
        <v>84.2</v>
      </c>
      <c r="L152" s="16">
        <v>0.436</v>
      </c>
      <c r="M152" s="16">
        <v>0.66900000000000004</v>
      </c>
      <c r="N152" s="16">
        <v>8.9999999999999993E-3</v>
      </c>
      <c r="O152" s="16">
        <v>0</v>
      </c>
      <c r="P152" s="16">
        <v>0</v>
      </c>
      <c r="Q152" s="16">
        <v>0</v>
      </c>
      <c r="T152" s="16">
        <f t="shared" si="114"/>
        <v>92.763000000000005</v>
      </c>
      <c r="U152" s="16"/>
      <c r="V152" s="16">
        <f t="shared" si="165"/>
        <v>34.352659777067828</v>
      </c>
      <c r="W152" s="16">
        <f t="shared" si="166"/>
        <v>55.395349189744522</v>
      </c>
      <c r="X152" s="16">
        <f t="shared" si="167"/>
        <v>98.311008966812352</v>
      </c>
      <c r="Y152" s="15">
        <v>119</v>
      </c>
      <c r="AD152" s="15">
        <v>4</v>
      </c>
      <c r="AE152" s="15">
        <v>3</v>
      </c>
      <c r="AG152" s="38">
        <f t="shared" si="115"/>
        <v>3.3079945083300624E-3</v>
      </c>
      <c r="AH152" s="38">
        <f t="shared" si="116"/>
        <v>0.1900282514385124</v>
      </c>
      <c r="AI152" s="38">
        <f t="shared" si="117"/>
        <v>0.10520235424309489</v>
      </c>
      <c r="AJ152" s="38">
        <f t="shared" si="118"/>
        <v>9.399662810577086E-3</v>
      </c>
      <c r="AK152" s="38">
        <f t="shared" si="119"/>
        <v>3.3754441937392889</v>
      </c>
      <c r="AL152" s="38">
        <f t="shared" si="120"/>
        <v>1.7702757420307216E-2</v>
      </c>
      <c r="AM152" s="38">
        <f t="shared" si="121"/>
        <v>4.7815277962547031E-2</v>
      </c>
      <c r="AN152" s="38">
        <f t="shared" si="122"/>
        <v>4.6225340366356322E-4</v>
      </c>
      <c r="AO152" s="38">
        <f t="shared" si="123"/>
        <v>0</v>
      </c>
      <c r="AP152" s="38">
        <f t="shared" si="124"/>
        <v>0</v>
      </c>
      <c r="AQ152" s="38">
        <f t="shared" si="125"/>
        <v>0</v>
      </c>
      <c r="AR152" s="38">
        <f t="shared" si="126"/>
        <v>0</v>
      </c>
      <c r="AS152" s="38">
        <f t="shared" si="127"/>
        <v>0</v>
      </c>
      <c r="AT152" s="39">
        <f t="shared" si="128"/>
        <v>3.7493627455263212</v>
      </c>
      <c r="AU152" s="38">
        <f t="shared" si="129"/>
        <v>0.10851034875142496</v>
      </c>
      <c r="AV152" s="38">
        <f t="shared" si="130"/>
        <v>4.6225340366356322E-4</v>
      </c>
      <c r="AW152" s="40"/>
      <c r="AX152" s="38">
        <f t="shared" si="131"/>
        <v>2.6468453970828307E-3</v>
      </c>
      <c r="AY152" s="38">
        <f t="shared" si="132"/>
        <v>0.15204843943034135</v>
      </c>
      <c r="AZ152" s="38">
        <f t="shared" si="133"/>
        <v>8.4176187835082614E-2</v>
      </c>
      <c r="BA152" s="38">
        <f t="shared" si="134"/>
        <v>7.5210083274492006E-3</v>
      </c>
      <c r="BB152" s="38">
        <f t="shared" si="135"/>
        <v>1.1019020824103651</v>
      </c>
      <c r="BC152" s="38">
        <f t="shared" si="136"/>
        <v>1.5989122341826194</v>
      </c>
      <c r="BD152" s="38">
        <f t="shared" si="137"/>
        <v>1.4164612993045172E-2</v>
      </c>
      <c r="BE152" s="38">
        <f t="shared" si="138"/>
        <v>3.8258723848152154E-2</v>
      </c>
      <c r="BF152" s="38">
        <f t="shared" si="139"/>
        <v>3.6986557586228471E-4</v>
      </c>
      <c r="BG152" s="38">
        <f t="shared" si="140"/>
        <v>0</v>
      </c>
      <c r="BH152" s="38">
        <f t="shared" si="141"/>
        <v>0</v>
      </c>
      <c r="BI152" s="38">
        <f t="shared" si="142"/>
        <v>0</v>
      </c>
      <c r="BJ152" s="38">
        <f t="shared" si="143"/>
        <v>0</v>
      </c>
      <c r="BK152" s="38">
        <f t="shared" si="144"/>
        <v>0</v>
      </c>
      <c r="BL152" s="41">
        <f t="shared" si="145"/>
        <v>3</v>
      </c>
      <c r="BM152" s="42">
        <f t="shared" si="113"/>
        <v>3.9999999999999996</v>
      </c>
      <c r="BN152" s="38">
        <f t="shared" si="146"/>
        <v>8.6823033232165447E-2</v>
      </c>
      <c r="BO152" s="38">
        <f t="shared" si="147"/>
        <v>3.6986557586228471E-4</v>
      </c>
      <c r="BQ152" s="38">
        <f t="shared" si="148"/>
        <v>1.148468708388815E-3</v>
      </c>
      <c r="BR152" s="38">
        <f t="shared" si="149"/>
        <v>6.5973960941412113E-2</v>
      </c>
      <c r="BS152" s="38">
        <f t="shared" si="150"/>
        <v>3.6524127108670069E-2</v>
      </c>
      <c r="BT152" s="38">
        <f t="shared" si="151"/>
        <v>3.2633725903019935E-3</v>
      </c>
      <c r="BU152" s="38">
        <f t="shared" si="152"/>
        <v>1.1718858733472513</v>
      </c>
      <c r="BV152" s="38">
        <f t="shared" si="153"/>
        <v>6.1460389061178461E-3</v>
      </c>
      <c r="BW152" s="38">
        <f t="shared" si="154"/>
        <v>1.6600496277915634E-2</v>
      </c>
      <c r="BX152" s="38">
        <f t="shared" si="155"/>
        <v>1.6048502139800284E-4</v>
      </c>
      <c r="BY152" s="38">
        <f t="shared" si="156"/>
        <v>0</v>
      </c>
      <c r="BZ152" s="38">
        <f t="shared" si="157"/>
        <v>0</v>
      </c>
      <c r="CA152" s="38">
        <f t="shared" si="158"/>
        <v>0</v>
      </c>
      <c r="CB152" s="38">
        <f t="shared" si="159"/>
        <v>0</v>
      </c>
      <c r="CC152" s="38">
        <f t="shared" si="160"/>
        <v>0</v>
      </c>
      <c r="CD152" s="38">
        <f t="shared" si="161"/>
        <v>1.3017028229014558</v>
      </c>
      <c r="CE152" s="38">
        <f t="shared" si="162"/>
        <v>1.3887190024007428</v>
      </c>
      <c r="CF152" s="38">
        <f t="shared" si="163"/>
        <v>2.304673499372992</v>
      </c>
      <c r="CG152" s="38">
        <f t="shared" si="164"/>
        <v>3.2005438829086903</v>
      </c>
    </row>
    <row r="153" spans="1:85" ht="15" customHeight="1" x14ac:dyDescent="0.25">
      <c r="A153" s="35" t="s">
        <v>250</v>
      </c>
      <c r="B153" s="15">
        <v>287</v>
      </c>
      <c r="C153" s="102" t="s">
        <v>251</v>
      </c>
      <c r="D153" s="103" t="s">
        <v>104</v>
      </c>
      <c r="E153" s="15">
        <v>119</v>
      </c>
      <c r="F153" s="15" t="s">
        <v>279</v>
      </c>
      <c r="G153" s="16">
        <v>3.3000000000000002E-2</v>
      </c>
      <c r="H153" s="16">
        <v>46.22</v>
      </c>
      <c r="I153" s="16">
        <v>6.2E-2</v>
      </c>
      <c r="J153" s="16">
        <v>4.4999999999999998E-2</v>
      </c>
      <c r="K153" s="16">
        <v>48.79</v>
      </c>
      <c r="L153" s="16">
        <v>1.8</v>
      </c>
      <c r="M153" s="16">
        <v>0.99</v>
      </c>
      <c r="N153" s="16">
        <v>0.02</v>
      </c>
      <c r="O153" s="16">
        <v>5.6000000000000001E-2</v>
      </c>
      <c r="P153" s="16">
        <v>0</v>
      </c>
      <c r="Q153" s="16">
        <v>0</v>
      </c>
      <c r="T153" s="16">
        <f t="shared" si="114"/>
        <v>98.015999999999991</v>
      </c>
      <c r="U153" s="16"/>
      <c r="V153" s="16">
        <f t="shared" si="165"/>
        <v>37.739728394297494</v>
      </c>
      <c r="W153" s="16">
        <f t="shared" si="166"/>
        <v>12.280166835417198</v>
      </c>
      <c r="X153" s="16">
        <f t="shared" si="167"/>
        <v>99.245895229714691</v>
      </c>
      <c r="Y153" s="15">
        <v>118</v>
      </c>
      <c r="AD153" s="15">
        <v>3</v>
      </c>
      <c r="AE153" s="15">
        <v>2</v>
      </c>
      <c r="AG153" s="38">
        <f t="shared" si="115"/>
        <v>8.712541741028591E-4</v>
      </c>
      <c r="AH153" s="38">
        <f t="shared" si="116"/>
        <v>0.91780990616842362</v>
      </c>
      <c r="AI153" s="38">
        <f t="shared" si="117"/>
        <v>1.9290909972812785E-3</v>
      </c>
      <c r="AJ153" s="38">
        <f t="shared" si="118"/>
        <v>9.3926545610237093E-4</v>
      </c>
      <c r="AK153" s="38">
        <f t="shared" si="119"/>
        <v>1.0771220128470795</v>
      </c>
      <c r="AL153" s="38">
        <f t="shared" si="120"/>
        <v>4.0247802839864497E-2</v>
      </c>
      <c r="AM153" s="38">
        <f t="shared" si="121"/>
        <v>3.8966464600570551E-2</v>
      </c>
      <c r="AN153" s="38">
        <f t="shared" si="122"/>
        <v>5.6569565966476212E-4</v>
      </c>
      <c r="AO153" s="38">
        <f t="shared" si="123"/>
        <v>2.8663373753855959E-3</v>
      </c>
      <c r="AP153" s="38">
        <f t="shared" si="124"/>
        <v>0</v>
      </c>
      <c r="AQ153" s="38">
        <f t="shared" si="125"/>
        <v>0</v>
      </c>
      <c r="AR153" s="38">
        <f t="shared" si="126"/>
        <v>0</v>
      </c>
      <c r="AS153" s="38">
        <f t="shared" si="127"/>
        <v>0</v>
      </c>
      <c r="AT153" s="39">
        <f t="shared" si="128"/>
        <v>2.0813178301184752</v>
      </c>
      <c r="AU153" s="38">
        <f t="shared" si="129"/>
        <v>2.8003451713841374E-3</v>
      </c>
      <c r="AV153" s="38">
        <f t="shared" si="130"/>
        <v>3.4320330350503581E-3</v>
      </c>
      <c r="AW153" s="40"/>
      <c r="AX153" s="38">
        <f t="shared" si="131"/>
        <v>8.3721396270675726E-4</v>
      </c>
      <c r="AY153" s="38">
        <f t="shared" si="132"/>
        <v>0.88195074571208465</v>
      </c>
      <c r="AZ153" s="38">
        <f t="shared" si="133"/>
        <v>1.8537207238276227E-3</v>
      </c>
      <c r="BA153" s="38">
        <f t="shared" si="134"/>
        <v>9.025680196559936E-4</v>
      </c>
      <c r="BB153" s="38">
        <f t="shared" si="135"/>
        <v>0.80061633109079477</v>
      </c>
      <c r="BC153" s="38">
        <f t="shared" si="136"/>
        <v>0.23442214045851806</v>
      </c>
      <c r="BD153" s="38">
        <f t="shared" si="137"/>
        <v>3.8675306824785587E-2</v>
      </c>
      <c r="BE153" s="38">
        <f t="shared" si="138"/>
        <v>3.7444030927609409E-2</v>
      </c>
      <c r="BF153" s="38">
        <f t="shared" si="139"/>
        <v>5.4359372843364433E-4</v>
      </c>
      <c r="BG153" s="38">
        <f t="shared" si="140"/>
        <v>2.7543485515832389E-3</v>
      </c>
      <c r="BH153" s="38">
        <f t="shared" si="141"/>
        <v>0</v>
      </c>
      <c r="BI153" s="38">
        <f t="shared" si="142"/>
        <v>0</v>
      </c>
      <c r="BJ153" s="38">
        <f t="shared" si="143"/>
        <v>0</v>
      </c>
      <c r="BK153" s="38">
        <f t="shared" si="144"/>
        <v>0</v>
      </c>
      <c r="BL153" s="41">
        <f t="shared" si="145"/>
        <v>1.9999999999999998</v>
      </c>
      <c r="BM153" s="42">
        <f t="shared" si="113"/>
        <v>3.0000000000000004</v>
      </c>
      <c r="BN153" s="38">
        <f t="shared" si="146"/>
        <v>2.69093468653438E-3</v>
      </c>
      <c r="BO153" s="38">
        <f t="shared" si="147"/>
        <v>3.2979422800168833E-3</v>
      </c>
      <c r="BQ153" s="38">
        <f t="shared" si="148"/>
        <v>5.4926764314247676E-4</v>
      </c>
      <c r="BR153" s="38">
        <f t="shared" si="149"/>
        <v>0.57861792689033553</v>
      </c>
      <c r="BS153" s="38">
        <f t="shared" si="150"/>
        <v>1.2161632012553944E-3</v>
      </c>
      <c r="BT153" s="38">
        <f t="shared" si="151"/>
        <v>5.9214422001447459E-4</v>
      </c>
      <c r="BU153" s="38">
        <f t="shared" si="152"/>
        <v>0.67905358385525405</v>
      </c>
      <c r="BV153" s="38">
        <f t="shared" si="153"/>
        <v>2.5373555117000283E-2</v>
      </c>
      <c r="BW153" s="38">
        <f t="shared" si="154"/>
        <v>2.4565756823821342E-2</v>
      </c>
      <c r="BX153" s="38">
        <f t="shared" si="155"/>
        <v>3.566333808844508E-4</v>
      </c>
      <c r="BY153" s="38">
        <f t="shared" si="156"/>
        <v>1.8070345272668605E-3</v>
      </c>
      <c r="BZ153" s="38">
        <f t="shared" si="157"/>
        <v>0</v>
      </c>
      <c r="CA153" s="38">
        <f t="shared" si="158"/>
        <v>0</v>
      </c>
      <c r="CB153" s="38">
        <f t="shared" si="159"/>
        <v>0</v>
      </c>
      <c r="CC153" s="38">
        <f t="shared" si="160"/>
        <v>0</v>
      </c>
      <c r="CD153" s="38">
        <f t="shared" si="161"/>
        <v>1.312132065658975</v>
      </c>
      <c r="CE153" s="38">
        <f t="shared" si="162"/>
        <v>1.8912998966394541</v>
      </c>
      <c r="CF153" s="38">
        <f t="shared" si="163"/>
        <v>1.5242368145279386</v>
      </c>
      <c r="CG153" s="38">
        <f t="shared" si="164"/>
        <v>2.882788929770741</v>
      </c>
    </row>
    <row r="154" spans="1:85" ht="15" customHeight="1" x14ac:dyDescent="0.25">
      <c r="A154" s="35" t="s">
        <v>250</v>
      </c>
      <c r="B154" s="15">
        <v>290</v>
      </c>
      <c r="C154" s="102" t="s">
        <v>251</v>
      </c>
      <c r="D154" s="103" t="s">
        <v>104</v>
      </c>
      <c r="E154" s="15">
        <v>122</v>
      </c>
      <c r="F154" s="15" t="s">
        <v>280</v>
      </c>
      <c r="G154" s="16">
        <v>39.85</v>
      </c>
      <c r="H154" s="16">
        <v>8.5999999999999993E-2</v>
      </c>
      <c r="I154" s="16">
        <v>11.55</v>
      </c>
      <c r="J154" s="16">
        <v>0</v>
      </c>
      <c r="K154" s="16">
        <v>21.99</v>
      </c>
      <c r="L154" s="16">
        <v>0.17599999999999999</v>
      </c>
      <c r="M154" s="16">
        <v>11.71</v>
      </c>
      <c r="N154" s="16">
        <v>0.27700000000000002</v>
      </c>
      <c r="O154" s="16">
        <v>0.3</v>
      </c>
      <c r="P154" s="16">
        <v>8.14</v>
      </c>
      <c r="Q154" s="16">
        <v>0</v>
      </c>
      <c r="S154" s="16">
        <v>0.65900000000000003</v>
      </c>
      <c r="T154" s="16">
        <f t="shared" si="114"/>
        <v>94.738</v>
      </c>
      <c r="U154" s="16"/>
      <c r="V154" s="16">
        <f t="shared" si="165"/>
        <v>0</v>
      </c>
      <c r="W154" s="16">
        <f t="shared" si="166"/>
        <v>24.437486999999997</v>
      </c>
      <c r="X154" s="16">
        <f t="shared" si="167"/>
        <v>97.185486999999995</v>
      </c>
      <c r="AB154" s="15" t="s">
        <v>185</v>
      </c>
      <c r="AD154" s="15">
        <v>11</v>
      </c>
      <c r="AE154" s="15">
        <v>7</v>
      </c>
      <c r="AG154" s="38">
        <f t="shared" si="115"/>
        <v>3.0987132087983316</v>
      </c>
      <c r="AH154" s="38">
        <f t="shared" si="116"/>
        <v>5.0297149941587174E-3</v>
      </c>
      <c r="AI154" s="38">
        <f t="shared" si="117"/>
        <v>1.0584372963452953</v>
      </c>
      <c r="AJ154" s="38">
        <f t="shared" si="118"/>
        <v>0</v>
      </c>
      <c r="AK154" s="38">
        <f t="shared" si="119"/>
        <v>1.4298202336582073</v>
      </c>
      <c r="AL154" s="38">
        <f t="shared" si="120"/>
        <v>1.1590561223877058E-2</v>
      </c>
      <c r="AM154" s="38">
        <f t="shared" si="121"/>
        <v>1.3574843473420553</v>
      </c>
      <c r="AN154" s="38">
        <f t="shared" si="122"/>
        <v>2.3075692645089938E-2</v>
      </c>
      <c r="AO154" s="38">
        <f t="shared" si="123"/>
        <v>4.5225425351020768E-2</v>
      </c>
      <c r="AP154" s="38">
        <f t="shared" si="124"/>
        <v>0.80739578793014932</v>
      </c>
      <c r="AQ154" s="38">
        <f t="shared" si="125"/>
        <v>0</v>
      </c>
      <c r="AR154" s="38">
        <f t="shared" si="126"/>
        <v>0</v>
      </c>
      <c r="AS154" s="38">
        <f t="shared" si="127"/>
        <v>8.6846467225476259E-2</v>
      </c>
      <c r="AT154" s="39">
        <f t="shared" si="128"/>
        <v>7.8367722682881853</v>
      </c>
      <c r="AU154" s="38">
        <f t="shared" si="129"/>
        <v>4.1571505051436271</v>
      </c>
      <c r="AV154" s="38">
        <f t="shared" si="130"/>
        <v>0.87569690592626004</v>
      </c>
      <c r="AW154" s="40"/>
      <c r="AX154" s="38">
        <f t="shared" si="131"/>
        <v>2.7678477463689743</v>
      </c>
      <c r="AY154" s="38">
        <f t="shared" si="132"/>
        <v>4.4926665920332585E-3</v>
      </c>
      <c r="AZ154" s="38">
        <f t="shared" si="133"/>
        <v>0.94542253121200592</v>
      </c>
      <c r="BA154" s="38">
        <f t="shared" si="134"/>
        <v>0</v>
      </c>
      <c r="BB154" s="38">
        <f t="shared" si="135"/>
        <v>0</v>
      </c>
      <c r="BC154" s="38">
        <f t="shared" si="136"/>
        <v>1.2771510122998253</v>
      </c>
      <c r="BD154" s="38">
        <f t="shared" si="137"/>
        <v>1.0352977704284089E-2</v>
      </c>
      <c r="BE154" s="38">
        <f t="shared" si="138"/>
        <v>1.212538798638592</v>
      </c>
      <c r="BF154" s="38">
        <f t="shared" si="139"/>
        <v>2.0611782885317037E-2</v>
      </c>
      <c r="BG154" s="38">
        <f t="shared" si="140"/>
        <v>4.0396475311422667E-2</v>
      </c>
      <c r="BH154" s="38">
        <f t="shared" si="141"/>
        <v>0.72118600898754759</v>
      </c>
      <c r="BI154" s="38">
        <f t="shared" si="142"/>
        <v>0</v>
      </c>
      <c r="BJ154" s="38">
        <f t="shared" si="143"/>
        <v>0</v>
      </c>
      <c r="BK154" s="38">
        <f t="shared" si="144"/>
        <v>7.7573425610225802E-2</v>
      </c>
      <c r="BL154" s="41">
        <f t="shared" si="145"/>
        <v>7.0000000000000018</v>
      </c>
      <c r="BM154" s="42">
        <f t="shared" ref="BM154:BM185" si="168">(AX154+AY154)*2+(AZ154+BA154+BC154)*1.5+BB154+BD154+BE154+BF154+(BG154+BH154)*0.5+BI154*2.5+BJ154*3  -(0.5*(BK154))</f>
        <v>10.464049229762326</v>
      </c>
      <c r="BN154" s="38">
        <f t="shared" si="146"/>
        <v>3.71327027758098</v>
      </c>
      <c r="BO154" s="38">
        <f t="shared" si="147"/>
        <v>0.78219426718428731</v>
      </c>
      <c r="BQ154" s="38">
        <f t="shared" si="148"/>
        <v>0.66328229027962715</v>
      </c>
      <c r="BR154" s="38">
        <f t="shared" si="149"/>
        <v>1.0766149223835754E-3</v>
      </c>
      <c r="BS154" s="38">
        <f t="shared" si="150"/>
        <v>0.2265594350725775</v>
      </c>
      <c r="BT154" s="38">
        <f t="shared" si="151"/>
        <v>0</v>
      </c>
      <c r="BU154" s="38">
        <f t="shared" si="152"/>
        <v>0.30605427974947808</v>
      </c>
      <c r="BV154" s="38">
        <f t="shared" si="153"/>
        <v>2.4809698336622499E-3</v>
      </c>
      <c r="BW154" s="38">
        <f t="shared" si="154"/>
        <v>0.2905707196029777</v>
      </c>
      <c r="BX154" s="38">
        <f t="shared" si="155"/>
        <v>4.9393723252496441E-3</v>
      </c>
      <c r="BY154" s="38">
        <f t="shared" si="156"/>
        <v>9.6805421103581795E-3</v>
      </c>
      <c r="BZ154" s="38">
        <f t="shared" si="157"/>
        <v>0.17282377919320596</v>
      </c>
      <c r="CA154" s="38">
        <f t="shared" si="158"/>
        <v>0</v>
      </c>
      <c r="CB154" s="38">
        <f t="shared" si="159"/>
        <v>0</v>
      </c>
      <c r="CC154" s="38">
        <f t="shared" si="160"/>
        <v>1.8589562764456981E-2</v>
      </c>
      <c r="CD154" s="38">
        <f t="shared" si="161"/>
        <v>1.6774680030895197</v>
      </c>
      <c r="CE154" s="38">
        <f t="shared" si="162"/>
        <v>2.3545596837938088</v>
      </c>
      <c r="CF154" s="38">
        <f t="shared" si="163"/>
        <v>4.1729558996699616</v>
      </c>
      <c r="CG154" s="38">
        <f t="shared" si="164"/>
        <v>9.8254737236124132</v>
      </c>
    </row>
    <row r="155" spans="1:85" ht="15" customHeight="1" x14ac:dyDescent="0.25">
      <c r="A155" s="35" t="s">
        <v>250</v>
      </c>
      <c r="B155" s="15">
        <v>291</v>
      </c>
      <c r="C155" s="102" t="s">
        <v>251</v>
      </c>
      <c r="D155" s="103" t="s">
        <v>104</v>
      </c>
      <c r="E155" s="15">
        <v>123</v>
      </c>
      <c r="F155" s="15" t="s">
        <v>280</v>
      </c>
      <c r="G155" s="16">
        <v>41.29</v>
      </c>
      <c r="H155" s="16">
        <v>8.8999999999999996E-2</v>
      </c>
      <c r="I155" s="16">
        <v>11.79</v>
      </c>
      <c r="J155" s="16">
        <v>0</v>
      </c>
      <c r="K155" s="16">
        <v>20.5</v>
      </c>
      <c r="L155" s="16">
        <v>0.14000000000000001</v>
      </c>
      <c r="M155" s="16">
        <v>11.91</v>
      </c>
      <c r="N155" s="16">
        <v>0.36799999999999999</v>
      </c>
      <c r="O155" s="16">
        <v>0.36799999999999999</v>
      </c>
      <c r="P155" s="16">
        <v>7.78</v>
      </c>
      <c r="Q155" s="16">
        <v>0</v>
      </c>
      <c r="S155" s="16">
        <v>0.74399999999999999</v>
      </c>
      <c r="T155" s="16">
        <f t="shared" si="114"/>
        <v>94.978999999999985</v>
      </c>
      <c r="U155" s="16"/>
      <c r="V155" s="16">
        <f t="shared" si="165"/>
        <v>0</v>
      </c>
      <c r="W155" s="16">
        <f t="shared" si="166"/>
        <v>22.781649999999999</v>
      </c>
      <c r="X155" s="16">
        <f t="shared" si="167"/>
        <v>97.260649999999998</v>
      </c>
      <c r="AB155" s="15" t="s">
        <v>185</v>
      </c>
      <c r="AD155" s="15">
        <v>11</v>
      </c>
      <c r="AE155" s="15">
        <v>7</v>
      </c>
      <c r="AG155" s="38">
        <f t="shared" si="115"/>
        <v>3.1616885909018437</v>
      </c>
      <c r="AH155" s="38">
        <f t="shared" si="116"/>
        <v>5.1257342232115029E-3</v>
      </c>
      <c r="AI155" s="38">
        <f t="shared" si="117"/>
        <v>1.0639423767315868</v>
      </c>
      <c r="AJ155" s="38">
        <f t="shared" si="118"/>
        <v>0</v>
      </c>
      <c r="AK155" s="38">
        <f t="shared" si="119"/>
        <v>1.3125964391917877</v>
      </c>
      <c r="AL155" s="38">
        <f t="shared" si="120"/>
        <v>9.0790620598858486E-3</v>
      </c>
      <c r="AM155" s="38">
        <f t="shared" si="121"/>
        <v>1.3595990377015381</v>
      </c>
      <c r="AN155" s="38">
        <f t="shared" si="122"/>
        <v>3.0188667695437019E-2</v>
      </c>
      <c r="AO155" s="38">
        <f t="shared" si="123"/>
        <v>5.4629896236208716E-2</v>
      </c>
      <c r="AP155" s="38">
        <f t="shared" si="124"/>
        <v>0.75991116082350463</v>
      </c>
      <c r="AQ155" s="38">
        <f t="shared" si="125"/>
        <v>0</v>
      </c>
      <c r="AR155" s="38">
        <f t="shared" si="126"/>
        <v>0</v>
      </c>
      <c r="AS155" s="38">
        <f t="shared" si="127"/>
        <v>9.6551901051996111E-2</v>
      </c>
      <c r="AT155" s="39">
        <f t="shared" si="128"/>
        <v>7.7567609655650038</v>
      </c>
      <c r="AU155" s="38">
        <f t="shared" si="129"/>
        <v>4.22563096763343</v>
      </c>
      <c r="AV155" s="38">
        <f t="shared" si="130"/>
        <v>0.8447297247551504</v>
      </c>
      <c r="AW155" s="40"/>
      <c r="AX155" s="38">
        <f t="shared" si="131"/>
        <v>2.853229619239765</v>
      </c>
      <c r="AY155" s="38">
        <f t="shared" si="132"/>
        <v>4.6256600818002655E-3</v>
      </c>
      <c r="AZ155" s="38">
        <f t="shared" si="133"/>
        <v>0.96014259949270253</v>
      </c>
      <c r="BA155" s="38">
        <f t="shared" si="134"/>
        <v>0</v>
      </c>
      <c r="BB155" s="38">
        <f t="shared" si="135"/>
        <v>0</v>
      </c>
      <c r="BC155" s="38">
        <f t="shared" si="136"/>
        <v>1.1845376072734564</v>
      </c>
      <c r="BD155" s="38">
        <f t="shared" si="137"/>
        <v>8.1932954620281637E-3</v>
      </c>
      <c r="BE155" s="38">
        <f t="shared" si="138"/>
        <v>1.2269545634010051</v>
      </c>
      <c r="BF155" s="38">
        <f t="shared" si="139"/>
        <v>2.7243417040461362E-2</v>
      </c>
      <c r="BG155" s="38">
        <f t="shared" si="140"/>
        <v>4.930012351174809E-2</v>
      </c>
      <c r="BH155" s="38">
        <f t="shared" si="141"/>
        <v>0.68577311449703393</v>
      </c>
      <c r="BI155" s="38">
        <f t="shared" si="142"/>
        <v>0</v>
      </c>
      <c r="BJ155" s="38">
        <f t="shared" si="143"/>
        <v>0</v>
      </c>
      <c r="BK155" s="38">
        <f t="shared" si="144"/>
        <v>8.7132156110568348E-2</v>
      </c>
      <c r="BL155" s="41">
        <f t="shared" si="145"/>
        <v>7.0000000000000009</v>
      </c>
      <c r="BM155" s="42">
        <f t="shared" si="168"/>
        <v>10.519092685644971</v>
      </c>
      <c r="BN155" s="38">
        <f t="shared" si="146"/>
        <v>3.8133722187324675</v>
      </c>
      <c r="BO155" s="38">
        <f t="shared" si="147"/>
        <v>0.7623166550492434</v>
      </c>
      <c r="BQ155" s="38">
        <f t="shared" si="148"/>
        <v>0.68725033288948068</v>
      </c>
      <c r="BR155" s="38">
        <f t="shared" si="149"/>
        <v>1.1141712568853281E-3</v>
      </c>
      <c r="BS155" s="38">
        <f t="shared" si="150"/>
        <v>0.23126716359356611</v>
      </c>
      <c r="BT155" s="38">
        <f t="shared" si="151"/>
        <v>0</v>
      </c>
      <c r="BU155" s="38">
        <f t="shared" si="152"/>
        <v>0.2853166318719555</v>
      </c>
      <c r="BV155" s="38">
        <f t="shared" si="153"/>
        <v>1.9734987313222443E-3</v>
      </c>
      <c r="BW155" s="38">
        <f t="shared" si="154"/>
        <v>0.29553349875930524</v>
      </c>
      <c r="BX155" s="38">
        <f t="shared" si="155"/>
        <v>6.5620542082738941E-3</v>
      </c>
      <c r="BY155" s="38">
        <f t="shared" si="156"/>
        <v>1.1874798322039368E-2</v>
      </c>
      <c r="BZ155" s="38">
        <f t="shared" si="157"/>
        <v>0.16518046709129511</v>
      </c>
      <c r="CA155" s="38">
        <f t="shared" si="158"/>
        <v>0</v>
      </c>
      <c r="CB155" s="38">
        <f t="shared" si="159"/>
        <v>0</v>
      </c>
      <c r="CC155" s="38">
        <f t="shared" si="160"/>
        <v>2.0987306064880112E-2</v>
      </c>
      <c r="CD155" s="38">
        <f t="shared" si="161"/>
        <v>1.6860726167241233</v>
      </c>
      <c r="CE155" s="38">
        <f t="shared" si="162"/>
        <v>2.3910494169281655</v>
      </c>
      <c r="CF155" s="38">
        <f t="shared" si="163"/>
        <v>4.1516598576876991</v>
      </c>
      <c r="CG155" s="38">
        <f t="shared" si="164"/>
        <v>9.9268238820082431</v>
      </c>
    </row>
    <row r="156" spans="1:85" ht="15" customHeight="1" x14ac:dyDescent="0.25">
      <c r="A156" s="35" t="s">
        <v>88</v>
      </c>
      <c r="B156" s="15">
        <v>867</v>
      </c>
      <c r="C156" s="102" t="s">
        <v>100</v>
      </c>
      <c r="D156" s="103" t="s">
        <v>104</v>
      </c>
      <c r="E156" s="15">
        <v>25</v>
      </c>
      <c r="F156" s="15" t="s">
        <v>270</v>
      </c>
      <c r="G156" s="16">
        <v>48.73</v>
      </c>
      <c r="H156" s="16">
        <v>1.2390000000000001</v>
      </c>
      <c r="I156" s="16">
        <v>4.7300000000000004</v>
      </c>
      <c r="J156" s="16">
        <v>0</v>
      </c>
      <c r="K156" s="16">
        <v>15.43</v>
      </c>
      <c r="L156" s="16">
        <v>0.34699999999999998</v>
      </c>
      <c r="M156" s="16">
        <v>13.39</v>
      </c>
      <c r="N156" s="16">
        <v>10.82</v>
      </c>
      <c r="O156" s="16">
        <v>1.74</v>
      </c>
      <c r="P156" s="16">
        <v>0.66200000000000003</v>
      </c>
      <c r="Q156" s="16">
        <v>0</v>
      </c>
      <c r="R156" s="16">
        <v>0</v>
      </c>
      <c r="S156" s="16">
        <v>0</v>
      </c>
      <c r="T156" s="16">
        <f t="shared" si="114"/>
        <v>97.08799999999998</v>
      </c>
      <c r="U156" s="16"/>
      <c r="V156" s="16">
        <f t="shared" si="165"/>
        <v>11.216008657173676</v>
      </c>
      <c r="W156" s="16">
        <f t="shared" si="166"/>
        <v>4.6830085792828937</v>
      </c>
      <c r="X156" s="16">
        <f t="shared" si="167"/>
        <v>97.557017236456574</v>
      </c>
      <c r="AD156" s="15">
        <v>6</v>
      </c>
      <c r="AE156" s="15">
        <v>4</v>
      </c>
      <c r="AG156" s="38">
        <f t="shared" si="115"/>
        <v>1.8918862520957109</v>
      </c>
      <c r="AH156" s="38">
        <f t="shared" si="116"/>
        <v>3.6179435309876086E-2</v>
      </c>
      <c r="AI156" s="38">
        <f t="shared" si="117"/>
        <v>0.21641623808186383</v>
      </c>
      <c r="AJ156" s="38">
        <f t="shared" si="118"/>
        <v>0</v>
      </c>
      <c r="AK156" s="38">
        <f t="shared" si="119"/>
        <v>0.50091921060198241</v>
      </c>
      <c r="AL156" s="38">
        <f t="shared" si="120"/>
        <v>1.1409505566275093E-2</v>
      </c>
      <c r="AM156" s="38">
        <f t="shared" si="121"/>
        <v>0.77500421550404552</v>
      </c>
      <c r="AN156" s="38">
        <f t="shared" si="122"/>
        <v>0.45003655312862167</v>
      </c>
      <c r="AO156" s="38">
        <f t="shared" si="123"/>
        <v>0.13096528909823155</v>
      </c>
      <c r="AP156" s="38">
        <f t="shared" si="124"/>
        <v>3.2784277431974977E-2</v>
      </c>
      <c r="AQ156" s="38">
        <f t="shared" si="125"/>
        <v>0</v>
      </c>
      <c r="AR156" s="38">
        <f t="shared" si="126"/>
        <v>0</v>
      </c>
      <c r="AS156" s="38">
        <f t="shared" si="127"/>
        <v>0</v>
      </c>
      <c r="AT156" s="39">
        <f t="shared" si="128"/>
        <v>4.0456009768185819</v>
      </c>
      <c r="AU156" s="38">
        <f t="shared" si="129"/>
        <v>2.1083024901775747</v>
      </c>
      <c r="AV156" s="38">
        <f t="shared" si="130"/>
        <v>0.61378611965882823</v>
      </c>
      <c r="AW156" s="40"/>
      <c r="AX156" s="38">
        <f t="shared" si="131"/>
        <v>1.8705613953884996</v>
      </c>
      <c r="AY156" s="38">
        <f t="shared" si="132"/>
        <v>3.5771629992364905E-2</v>
      </c>
      <c r="AZ156" s="38">
        <f t="shared" si="133"/>
        <v>0.21397684974067935</v>
      </c>
      <c r="BA156" s="38">
        <f t="shared" si="134"/>
        <v>0</v>
      </c>
      <c r="BB156" s="38">
        <f t="shared" si="135"/>
        <v>0.36001205480484566</v>
      </c>
      <c r="BC156" s="38">
        <f t="shared" si="136"/>
        <v>0.13526092290330194</v>
      </c>
      <c r="BD156" s="38">
        <f t="shared" si="137"/>
        <v>1.1280900545211366E-2</v>
      </c>
      <c r="BE156" s="38">
        <f t="shared" si="138"/>
        <v>0.76626856671712662</v>
      </c>
      <c r="BF156" s="38">
        <f t="shared" si="139"/>
        <v>0.44496385650225512</v>
      </c>
      <c r="BG156" s="38">
        <f t="shared" si="140"/>
        <v>0.1294890819422545</v>
      </c>
      <c r="BH156" s="38">
        <f t="shared" si="141"/>
        <v>3.2414741463461072E-2</v>
      </c>
      <c r="BI156" s="38">
        <f t="shared" si="142"/>
        <v>0</v>
      </c>
      <c r="BJ156" s="38">
        <f t="shared" si="143"/>
        <v>0</v>
      </c>
      <c r="BK156" s="38">
        <f t="shared" si="144"/>
        <v>0</v>
      </c>
      <c r="BL156" s="41">
        <f t="shared" si="145"/>
        <v>4.0000000000000009</v>
      </c>
      <c r="BM156" s="42">
        <f t="shared" si="168"/>
        <v>5.9999999999999973</v>
      </c>
      <c r="BN156" s="38">
        <f t="shared" si="146"/>
        <v>2.084538245129179</v>
      </c>
      <c r="BO156" s="38">
        <f t="shared" si="147"/>
        <v>0.60686767990797064</v>
      </c>
      <c r="BQ156" s="38">
        <f t="shared" si="148"/>
        <v>0.81108521970705727</v>
      </c>
      <c r="BR156" s="38">
        <f t="shared" si="149"/>
        <v>1.5510766149223839E-2</v>
      </c>
      <c r="BS156" s="38">
        <f t="shared" si="150"/>
        <v>9.2781482934484127E-2</v>
      </c>
      <c r="BT156" s="38">
        <f t="shared" si="151"/>
        <v>0</v>
      </c>
      <c r="BU156" s="38">
        <f t="shared" si="152"/>
        <v>0.21475295755045234</v>
      </c>
      <c r="BV156" s="38">
        <f t="shared" si="153"/>
        <v>4.8914575697772767E-3</v>
      </c>
      <c r="BW156" s="38">
        <f t="shared" si="154"/>
        <v>0.33225806451612905</v>
      </c>
      <c r="BX156" s="38">
        <f t="shared" si="155"/>
        <v>0.19293865905848789</v>
      </c>
      <c r="BY156" s="38">
        <f t="shared" si="156"/>
        <v>5.6147144240077447E-2</v>
      </c>
      <c r="BZ156" s="38">
        <f t="shared" si="157"/>
        <v>1.40552016985138E-2</v>
      </c>
      <c r="CA156" s="38">
        <f t="shared" si="158"/>
        <v>0</v>
      </c>
      <c r="CB156" s="38">
        <f t="shared" si="159"/>
        <v>0</v>
      </c>
      <c r="CC156" s="38">
        <f t="shared" si="160"/>
        <v>0</v>
      </c>
      <c r="CD156" s="38">
        <f t="shared" si="161"/>
        <v>1.734420953424203</v>
      </c>
      <c r="CE156" s="38">
        <f t="shared" si="162"/>
        <v>2.5723065077784315</v>
      </c>
      <c r="CF156" s="38">
        <f t="shared" si="163"/>
        <v>2.3062452007991188</v>
      </c>
      <c r="CG156" s="38">
        <f t="shared" si="164"/>
        <v>5.9323695385483486</v>
      </c>
    </row>
    <row r="157" spans="1:85" ht="15" customHeight="1" x14ac:dyDescent="0.25">
      <c r="A157" s="35" t="s">
        <v>88</v>
      </c>
      <c r="B157" s="15">
        <v>868</v>
      </c>
      <c r="C157" s="102" t="s">
        <v>100</v>
      </c>
      <c r="D157" s="103" t="s">
        <v>104</v>
      </c>
      <c r="E157" s="15">
        <v>26</v>
      </c>
      <c r="F157" s="15" t="s">
        <v>270</v>
      </c>
      <c r="G157" s="16">
        <v>48.23</v>
      </c>
      <c r="H157" s="16">
        <v>1.3340000000000001</v>
      </c>
      <c r="I157" s="16">
        <v>5.27</v>
      </c>
      <c r="J157" s="16">
        <v>0</v>
      </c>
      <c r="K157" s="16">
        <v>15.46</v>
      </c>
      <c r="L157" s="16">
        <v>0.32700000000000001</v>
      </c>
      <c r="M157" s="16">
        <v>13.39</v>
      </c>
      <c r="N157" s="16">
        <v>10.78</v>
      </c>
      <c r="O157" s="16">
        <v>1.83</v>
      </c>
      <c r="P157" s="16">
        <v>0.64600000000000002</v>
      </c>
      <c r="Q157" s="16">
        <v>0</v>
      </c>
      <c r="R157" s="16">
        <v>0</v>
      </c>
      <c r="S157" s="16">
        <v>0</v>
      </c>
      <c r="T157" s="16">
        <f t="shared" si="114"/>
        <v>97.26700000000001</v>
      </c>
      <c r="U157" s="16"/>
      <c r="V157" s="16">
        <f t="shared" si="165"/>
        <v>10.406497865469795</v>
      </c>
      <c r="W157" s="16">
        <f t="shared" si="166"/>
        <v>5.6159569221034165</v>
      </c>
      <c r="X157" s="16">
        <f t="shared" si="167"/>
        <v>97.829454787573212</v>
      </c>
      <c r="AD157" s="15">
        <v>6</v>
      </c>
      <c r="AE157" s="15">
        <v>4</v>
      </c>
      <c r="AG157" s="38">
        <f t="shared" si="115"/>
        <v>1.8707817698944151</v>
      </c>
      <c r="AH157" s="38">
        <f t="shared" si="116"/>
        <v>3.8918273401402158E-2</v>
      </c>
      <c r="AI157" s="38">
        <f t="shared" si="117"/>
        <v>0.24090542238588583</v>
      </c>
      <c r="AJ157" s="38">
        <f t="shared" si="118"/>
        <v>0</v>
      </c>
      <c r="AK157" s="38">
        <f t="shared" si="119"/>
        <v>0.50143946150139873</v>
      </c>
      <c r="AL157" s="38">
        <f t="shared" si="120"/>
        <v>1.0742178380070003E-2</v>
      </c>
      <c r="AM157" s="38">
        <f t="shared" si="121"/>
        <v>0.77430367792308463</v>
      </c>
      <c r="AN157" s="38">
        <f t="shared" si="122"/>
        <v>0.44796754132158018</v>
      </c>
      <c r="AO157" s="38">
        <f t="shared" si="123"/>
        <v>0.13761485116895394</v>
      </c>
      <c r="AP157" s="38">
        <f t="shared" si="124"/>
        <v>3.1962990237849015E-2</v>
      </c>
      <c r="AQ157" s="38">
        <f t="shared" si="125"/>
        <v>0</v>
      </c>
      <c r="AR157" s="38">
        <f t="shared" si="126"/>
        <v>0</v>
      </c>
      <c r="AS157" s="38">
        <f t="shared" si="127"/>
        <v>0</v>
      </c>
      <c r="AT157" s="39">
        <f t="shared" si="128"/>
        <v>4.0546361662146397</v>
      </c>
      <c r="AU157" s="38">
        <f t="shared" si="129"/>
        <v>2.1116871922803009</v>
      </c>
      <c r="AV157" s="38">
        <f t="shared" si="130"/>
        <v>0.61754538272838311</v>
      </c>
      <c r="AW157" s="40"/>
      <c r="AX157" s="38">
        <f t="shared" si="131"/>
        <v>1.8455730114408315</v>
      </c>
      <c r="AY157" s="38">
        <f t="shared" si="132"/>
        <v>3.8393850206032962E-2</v>
      </c>
      <c r="AZ157" s="38">
        <f t="shared" si="133"/>
        <v>0.23765922515389812</v>
      </c>
      <c r="BA157" s="38">
        <f t="shared" si="134"/>
        <v>0</v>
      </c>
      <c r="BB157" s="38">
        <f t="shared" si="135"/>
        <v>0.33298273780514731</v>
      </c>
      <c r="BC157" s="38">
        <f t="shared" si="136"/>
        <v>0.16169983389354758</v>
      </c>
      <c r="BD157" s="38">
        <f t="shared" si="137"/>
        <v>1.0597427675093989E-2</v>
      </c>
      <c r="BE157" s="38">
        <f t="shared" si="138"/>
        <v>0.76386994658114094</v>
      </c>
      <c r="BF157" s="38">
        <f t="shared" si="139"/>
        <v>0.44193118490313016</v>
      </c>
      <c r="BG157" s="38">
        <f t="shared" si="140"/>
        <v>0.1357604929543452</v>
      </c>
      <c r="BH157" s="38">
        <f t="shared" si="141"/>
        <v>3.1532289386832245E-2</v>
      </c>
      <c r="BI157" s="38">
        <f t="shared" si="142"/>
        <v>0</v>
      </c>
      <c r="BJ157" s="38">
        <f t="shared" si="143"/>
        <v>0</v>
      </c>
      <c r="BK157" s="38">
        <f t="shared" si="144"/>
        <v>0</v>
      </c>
      <c r="BL157" s="41">
        <f t="shared" si="145"/>
        <v>4.0000000000000009</v>
      </c>
      <c r="BM157" s="42">
        <f t="shared" si="168"/>
        <v>6</v>
      </c>
      <c r="BN157" s="38">
        <f t="shared" si="146"/>
        <v>2.0832322365947298</v>
      </c>
      <c r="BO157" s="38">
        <f t="shared" si="147"/>
        <v>0.60922396724430761</v>
      </c>
      <c r="BQ157" s="38">
        <f t="shared" si="148"/>
        <v>0.802762982689747</v>
      </c>
      <c r="BR157" s="38">
        <f t="shared" si="149"/>
        <v>1.6700050075112671E-2</v>
      </c>
      <c r="BS157" s="38">
        <f t="shared" si="150"/>
        <v>0.10337387210670851</v>
      </c>
      <c r="BT157" s="38">
        <f t="shared" si="151"/>
        <v>0</v>
      </c>
      <c r="BU157" s="38">
        <f t="shared" si="152"/>
        <v>0.21517049408489913</v>
      </c>
      <c r="BV157" s="38">
        <f t="shared" si="153"/>
        <v>4.6095291795883852E-3</v>
      </c>
      <c r="BW157" s="38">
        <f t="shared" si="154"/>
        <v>0.33225806451612905</v>
      </c>
      <c r="BX157" s="38">
        <f t="shared" si="155"/>
        <v>0.19222539229671898</v>
      </c>
      <c r="BY157" s="38">
        <f t="shared" si="156"/>
        <v>5.9051306873184904E-2</v>
      </c>
      <c r="BZ157" s="38">
        <f t="shared" si="157"/>
        <v>1.3715498938428874E-2</v>
      </c>
      <c r="CA157" s="38">
        <f t="shared" si="158"/>
        <v>0</v>
      </c>
      <c r="CB157" s="38">
        <f t="shared" si="159"/>
        <v>0</v>
      </c>
      <c r="CC157" s="38">
        <f t="shared" si="160"/>
        <v>0</v>
      </c>
      <c r="CD157" s="38">
        <f t="shared" si="161"/>
        <v>1.7398671907605174</v>
      </c>
      <c r="CE157" s="38">
        <f t="shared" si="162"/>
        <v>2.5746337566729252</v>
      </c>
      <c r="CF157" s="38">
        <f t="shared" si="163"/>
        <v>2.2990260528170259</v>
      </c>
      <c r="CG157" s="38">
        <f t="shared" si="164"/>
        <v>5.9191500830532258</v>
      </c>
    </row>
    <row r="158" spans="1:85" ht="15" customHeight="1" x14ac:dyDescent="0.25">
      <c r="A158" s="35" t="s">
        <v>88</v>
      </c>
      <c r="B158" s="15">
        <v>870</v>
      </c>
      <c r="C158" s="102" t="s">
        <v>100</v>
      </c>
      <c r="D158" s="103" t="s">
        <v>104</v>
      </c>
      <c r="E158" s="15">
        <v>28</v>
      </c>
      <c r="F158" s="15" t="s">
        <v>270</v>
      </c>
      <c r="G158" s="16">
        <v>52.89</v>
      </c>
      <c r="H158" s="16">
        <v>8.4000000000000005E-2</v>
      </c>
      <c r="I158" s="16">
        <v>1.6040000000000001</v>
      </c>
      <c r="J158" s="16">
        <v>0</v>
      </c>
      <c r="K158" s="16">
        <v>17.579999999999998</v>
      </c>
      <c r="L158" s="16">
        <v>0.16600000000000001</v>
      </c>
      <c r="M158" s="16">
        <v>12.45</v>
      </c>
      <c r="N158" s="16">
        <v>12.19</v>
      </c>
      <c r="O158" s="16">
        <v>0.40899999999999997</v>
      </c>
      <c r="P158" s="16">
        <v>0.13</v>
      </c>
      <c r="Q158" s="16">
        <v>0</v>
      </c>
      <c r="R158" s="16">
        <v>0</v>
      </c>
      <c r="S158" s="16">
        <v>0</v>
      </c>
      <c r="T158" s="16">
        <f t="shared" si="114"/>
        <v>97.503</v>
      </c>
      <c r="U158" s="16"/>
      <c r="V158" s="16">
        <f t="shared" si="165"/>
        <v>17.579999999999998</v>
      </c>
      <c r="W158" s="16">
        <f t="shared" si="166"/>
        <v>0</v>
      </c>
      <c r="X158" s="16">
        <f t="shared" si="167"/>
        <v>97.503</v>
      </c>
      <c r="AD158" s="15">
        <v>6</v>
      </c>
      <c r="AE158" s="15">
        <v>4</v>
      </c>
      <c r="AG158" s="38">
        <f t="shared" si="115"/>
        <v>2.0383843687258385</v>
      </c>
      <c r="AH158" s="38">
        <f t="shared" si="116"/>
        <v>2.4349142264484041E-3</v>
      </c>
      <c r="AI158" s="38">
        <f t="shared" si="117"/>
        <v>7.2852921137970164E-2</v>
      </c>
      <c r="AJ158" s="38">
        <f t="shared" si="118"/>
        <v>0</v>
      </c>
      <c r="AK158" s="38">
        <f t="shared" si="119"/>
        <v>0.56654516237944774</v>
      </c>
      <c r="AL158" s="38">
        <f t="shared" si="120"/>
        <v>5.4182537617040475E-3</v>
      </c>
      <c r="AM158" s="38">
        <f t="shared" si="121"/>
        <v>0.71533049973067953</v>
      </c>
      <c r="AN158" s="38">
        <f t="shared" si="122"/>
        <v>0.50331298848202277</v>
      </c>
      <c r="AO158" s="38">
        <f t="shared" si="123"/>
        <v>3.0559353977149956E-2</v>
      </c>
      <c r="AP158" s="38">
        <f t="shared" si="124"/>
        <v>6.3909420920864428E-3</v>
      </c>
      <c r="AQ158" s="38">
        <f t="shared" si="125"/>
        <v>0</v>
      </c>
      <c r="AR158" s="38">
        <f t="shared" si="126"/>
        <v>0</v>
      </c>
      <c r="AS158" s="38">
        <f t="shared" si="127"/>
        <v>0</v>
      </c>
      <c r="AT158" s="39">
        <f t="shared" si="128"/>
        <v>3.9412294045133476</v>
      </c>
      <c r="AU158" s="38">
        <f t="shared" si="129"/>
        <v>2.1112372898638085</v>
      </c>
      <c r="AV158" s="38">
        <f t="shared" si="130"/>
        <v>0.54026328455125916</v>
      </c>
      <c r="AW158" s="40"/>
      <c r="AX158" s="38">
        <f t="shared" si="131"/>
        <v>2.0687802302414138</v>
      </c>
      <c r="AY158" s="38">
        <f t="shared" si="132"/>
        <v>2.4712230388416689E-3</v>
      </c>
      <c r="AZ158" s="38">
        <f t="shared" si="133"/>
        <v>7.3939285091643478E-2</v>
      </c>
      <c r="BA158" s="38">
        <f t="shared" si="134"/>
        <v>0</v>
      </c>
      <c r="BB158" s="38">
        <f t="shared" si="135"/>
        <v>0.57499333759223614</v>
      </c>
      <c r="BC158" s="38">
        <f t="shared" si="136"/>
        <v>0</v>
      </c>
      <c r="BD158" s="38">
        <f t="shared" si="137"/>
        <v>5.4990493631243767E-3</v>
      </c>
      <c r="BE158" s="38">
        <f t="shared" si="138"/>
        <v>0.72599732348643287</v>
      </c>
      <c r="BF158" s="38">
        <f t="shared" si="139"/>
        <v>0.51081826184047818</v>
      </c>
      <c r="BG158" s="38">
        <f t="shared" si="140"/>
        <v>3.1015047175030747E-2</v>
      </c>
      <c r="BH158" s="38">
        <f t="shared" si="141"/>
        <v>6.486242170798559E-3</v>
      </c>
      <c r="BI158" s="38">
        <f t="shared" si="142"/>
        <v>0</v>
      </c>
      <c r="BJ158" s="38">
        <f t="shared" si="143"/>
        <v>0</v>
      </c>
      <c r="BK158" s="38">
        <f t="shared" si="144"/>
        <v>0</v>
      </c>
      <c r="BL158" s="41">
        <f t="shared" si="145"/>
        <v>3.9999999999999991</v>
      </c>
      <c r="BM158" s="42">
        <f t="shared" si="168"/>
        <v>6.0894704511531614</v>
      </c>
      <c r="BN158" s="38">
        <f t="shared" si="146"/>
        <v>2.1427195153330572</v>
      </c>
      <c r="BO158" s="38">
        <f t="shared" si="147"/>
        <v>0.54831955118630749</v>
      </c>
      <c r="BQ158" s="38">
        <f t="shared" si="148"/>
        <v>0.8803262316910786</v>
      </c>
      <c r="BR158" s="38">
        <f t="shared" si="149"/>
        <v>1.0515773660490738E-3</v>
      </c>
      <c r="BS158" s="38">
        <f t="shared" si="150"/>
        <v>3.1463318948607301E-2</v>
      </c>
      <c r="BT158" s="38">
        <f t="shared" si="151"/>
        <v>0</v>
      </c>
      <c r="BU158" s="38">
        <f t="shared" si="152"/>
        <v>0.24467640918580374</v>
      </c>
      <c r="BV158" s="38">
        <f t="shared" si="153"/>
        <v>2.3400056385678041E-3</v>
      </c>
      <c r="BW158" s="38">
        <f t="shared" si="154"/>
        <v>0.30893300248138961</v>
      </c>
      <c r="BX158" s="38">
        <f t="shared" si="155"/>
        <v>0.21736804564907275</v>
      </c>
      <c r="BY158" s="38">
        <f t="shared" si="156"/>
        <v>1.3197805743788319E-2</v>
      </c>
      <c r="BZ158" s="38">
        <f t="shared" si="157"/>
        <v>2.7600849256900211E-3</v>
      </c>
      <c r="CA158" s="38">
        <f t="shared" si="158"/>
        <v>0</v>
      </c>
      <c r="CB158" s="38">
        <f t="shared" si="159"/>
        <v>0</v>
      </c>
      <c r="CC158" s="38">
        <f t="shared" si="160"/>
        <v>0</v>
      </c>
      <c r="CD158" s="38">
        <f t="shared" si="161"/>
        <v>1.7021164816300474</v>
      </c>
      <c r="CE158" s="38">
        <f t="shared" si="162"/>
        <v>2.5912470048267391</v>
      </c>
      <c r="CF158" s="38">
        <f t="shared" si="163"/>
        <v>2.3500154326508627</v>
      </c>
      <c r="CG158" s="38">
        <f t="shared" si="164"/>
        <v>6.0894704511531614</v>
      </c>
    </row>
    <row r="159" spans="1:85" ht="15" customHeight="1" x14ac:dyDescent="0.25">
      <c r="A159" s="35" t="s">
        <v>88</v>
      </c>
      <c r="B159" s="15">
        <v>871</v>
      </c>
      <c r="C159" s="102" t="s">
        <v>100</v>
      </c>
      <c r="D159" s="103" t="s">
        <v>104</v>
      </c>
      <c r="E159" s="15">
        <v>29</v>
      </c>
      <c r="F159" s="15" t="s">
        <v>279</v>
      </c>
      <c r="G159" s="16">
        <v>3.6999999999999998E-2</v>
      </c>
      <c r="H159" s="16">
        <v>48.05</v>
      </c>
      <c r="I159" s="16">
        <v>3.3000000000000002E-2</v>
      </c>
      <c r="J159" s="16">
        <v>1.7999999999999999E-2</v>
      </c>
      <c r="K159" s="16">
        <v>46.99</v>
      </c>
      <c r="L159" s="16">
        <v>0.75</v>
      </c>
      <c r="M159" s="16">
        <v>0.93899999999999995</v>
      </c>
      <c r="N159" s="16">
        <v>7.1999999999999995E-2</v>
      </c>
      <c r="O159" s="16">
        <v>7.6999999999999999E-2</v>
      </c>
      <c r="P159" s="16">
        <v>0</v>
      </c>
      <c r="Q159" s="16">
        <v>0</v>
      </c>
      <c r="T159" s="16">
        <f t="shared" si="114"/>
        <v>96.965999999999994</v>
      </c>
      <c r="U159" s="16"/>
      <c r="V159" s="16">
        <f t="shared" si="165"/>
        <v>40.380946495722817</v>
      </c>
      <c r="W159" s="16">
        <f t="shared" si="166"/>
        <v>7.3446411593032375</v>
      </c>
      <c r="X159" s="16">
        <f t="shared" si="167"/>
        <v>97.70158765502606</v>
      </c>
      <c r="AD159" s="15">
        <v>3</v>
      </c>
      <c r="AE159" s="15">
        <v>2</v>
      </c>
      <c r="AG159" s="38">
        <f t="shared" si="115"/>
        <v>9.7443261765601088E-4</v>
      </c>
      <c r="AH159" s="38">
        <f t="shared" si="116"/>
        <v>0.95177731316046665</v>
      </c>
      <c r="AI159" s="38">
        <f t="shared" si="117"/>
        <v>1.0242220505495073E-3</v>
      </c>
      <c r="AJ159" s="38">
        <f t="shared" si="118"/>
        <v>3.7477231255894015E-4</v>
      </c>
      <c r="AK159" s="38">
        <f t="shared" si="119"/>
        <v>1.0348053976248002</v>
      </c>
      <c r="AL159" s="38">
        <f t="shared" si="120"/>
        <v>1.6728233890680306E-2</v>
      </c>
      <c r="AM159" s="38">
        <f t="shared" si="121"/>
        <v>3.6867234294801134E-2</v>
      </c>
      <c r="AN159" s="38">
        <f t="shared" si="122"/>
        <v>2.0314423604077501E-3</v>
      </c>
      <c r="AO159" s="38">
        <f t="shared" si="123"/>
        <v>3.9314174568043144E-3</v>
      </c>
      <c r="AP159" s="38">
        <f t="shared" si="124"/>
        <v>0</v>
      </c>
      <c r="AQ159" s="38">
        <f t="shared" si="125"/>
        <v>0</v>
      </c>
      <c r="AR159" s="38">
        <f t="shared" si="126"/>
        <v>0</v>
      </c>
      <c r="AS159" s="38">
        <f t="shared" si="127"/>
        <v>0</v>
      </c>
      <c r="AT159" s="39">
        <f t="shared" si="128"/>
        <v>2.0485144657687249</v>
      </c>
      <c r="AU159" s="38">
        <f t="shared" si="129"/>
        <v>1.9986546682055181E-3</v>
      </c>
      <c r="AV159" s="38">
        <f t="shared" si="130"/>
        <v>5.9628598172120646E-3</v>
      </c>
      <c r="AW159" s="40"/>
      <c r="AX159" s="38">
        <f t="shared" si="131"/>
        <v>9.5135536891641681E-4</v>
      </c>
      <c r="AY159" s="38">
        <f t="shared" si="132"/>
        <v>0.92923660444184664</v>
      </c>
      <c r="AZ159" s="38">
        <f t="shared" si="133"/>
        <v>9.9996565087975397E-4</v>
      </c>
      <c r="BA159" s="38">
        <f t="shared" si="134"/>
        <v>3.6589667177996054E-4</v>
      </c>
      <c r="BB159" s="38">
        <f t="shared" si="135"/>
        <v>0.86820182642441979</v>
      </c>
      <c r="BC159" s="38">
        <f t="shared" si="136"/>
        <v>0.14209652871702594</v>
      </c>
      <c r="BD159" s="38">
        <f t="shared" si="137"/>
        <v>1.6332063229441609E-2</v>
      </c>
      <c r="BE159" s="38">
        <f t="shared" si="138"/>
        <v>3.5994116625353047E-2</v>
      </c>
      <c r="BF159" s="38">
        <f t="shared" si="139"/>
        <v>1.9833322091239729E-3</v>
      </c>
      <c r="BG159" s="38">
        <f t="shared" si="140"/>
        <v>3.8383106612127457E-3</v>
      </c>
      <c r="BH159" s="38">
        <f t="shared" si="141"/>
        <v>0</v>
      </c>
      <c r="BI159" s="38">
        <f t="shared" si="142"/>
        <v>0</v>
      </c>
      <c r="BJ159" s="38">
        <f t="shared" si="143"/>
        <v>0</v>
      </c>
      <c r="BK159" s="38">
        <f t="shared" si="144"/>
        <v>0</v>
      </c>
      <c r="BL159" s="41">
        <f t="shared" si="145"/>
        <v>2</v>
      </c>
      <c r="BM159" s="42">
        <f t="shared" si="168"/>
        <v>2.9999999999999991</v>
      </c>
      <c r="BN159" s="38">
        <f t="shared" si="146"/>
        <v>1.9513210197961708E-3</v>
      </c>
      <c r="BO159" s="38">
        <f t="shared" si="147"/>
        <v>5.8216428703367186E-3</v>
      </c>
      <c r="BQ159" s="38">
        <f t="shared" si="148"/>
        <v>6.1584553928095871E-4</v>
      </c>
      <c r="BR159" s="38">
        <f t="shared" si="149"/>
        <v>0.60152729093640456</v>
      </c>
      <c r="BS159" s="38">
        <f t="shared" si="150"/>
        <v>6.4731267163593571E-4</v>
      </c>
      <c r="BT159" s="38">
        <f t="shared" si="151"/>
        <v>2.3685768800578983E-4</v>
      </c>
      <c r="BU159" s="38">
        <f t="shared" si="152"/>
        <v>0.65400139178844818</v>
      </c>
      <c r="BV159" s="38">
        <f t="shared" si="153"/>
        <v>1.0572314632083451E-2</v>
      </c>
      <c r="BW159" s="38">
        <f t="shared" si="154"/>
        <v>2.3300248138957817E-2</v>
      </c>
      <c r="BX159" s="38">
        <f t="shared" si="155"/>
        <v>1.2838801711840227E-3</v>
      </c>
      <c r="BY159" s="38">
        <f t="shared" si="156"/>
        <v>2.4846724749919328E-3</v>
      </c>
      <c r="BZ159" s="38">
        <f t="shared" si="157"/>
        <v>0</v>
      </c>
      <c r="CA159" s="38">
        <f t="shared" si="158"/>
        <v>0</v>
      </c>
      <c r="CB159" s="38">
        <f t="shared" si="159"/>
        <v>0</v>
      </c>
      <c r="CC159" s="38">
        <f t="shared" si="160"/>
        <v>0</v>
      </c>
      <c r="CD159" s="38">
        <f t="shared" si="161"/>
        <v>1.2946698140409927</v>
      </c>
      <c r="CE159" s="38">
        <f t="shared" si="162"/>
        <v>1.8960126994590034</v>
      </c>
      <c r="CF159" s="38">
        <f t="shared" si="163"/>
        <v>1.5447954206621168</v>
      </c>
      <c r="CG159" s="38">
        <f t="shared" si="164"/>
        <v>2.9289517356414869</v>
      </c>
    </row>
    <row r="160" spans="1:85" ht="15" customHeight="1" x14ac:dyDescent="0.25">
      <c r="A160" s="35" t="s">
        <v>88</v>
      </c>
      <c r="B160" s="15">
        <v>872</v>
      </c>
      <c r="C160" s="102" t="s">
        <v>100</v>
      </c>
      <c r="D160" s="103" t="s">
        <v>104</v>
      </c>
      <c r="E160" s="15">
        <v>30</v>
      </c>
      <c r="F160" s="15" t="s">
        <v>279</v>
      </c>
      <c r="G160" s="16">
        <v>1.4999999999999999E-2</v>
      </c>
      <c r="H160" s="16">
        <v>47.42</v>
      </c>
      <c r="I160" s="16">
        <v>0.04</v>
      </c>
      <c r="J160" s="16">
        <v>0</v>
      </c>
      <c r="K160" s="16">
        <v>47.38</v>
      </c>
      <c r="L160" s="16">
        <v>0.69199999999999995</v>
      </c>
      <c r="M160" s="16">
        <v>0.97599999999999998</v>
      </c>
      <c r="N160" s="16">
        <v>6.7000000000000004E-2</v>
      </c>
      <c r="O160" s="16">
        <v>3.1E-2</v>
      </c>
      <c r="P160" s="16">
        <v>0</v>
      </c>
      <c r="Q160" s="16">
        <v>0</v>
      </c>
      <c r="T160" s="16">
        <f t="shared" si="114"/>
        <v>96.620999999999995</v>
      </c>
      <c r="U160" s="16"/>
      <c r="V160" s="16">
        <f t="shared" si="165"/>
        <v>40.000452422231334</v>
      </c>
      <c r="W160" s="16">
        <f t="shared" si="166"/>
        <v>8.2008912231743203</v>
      </c>
      <c r="X160" s="16">
        <f t="shared" si="167"/>
        <v>97.442343645405657</v>
      </c>
      <c r="Y160" s="15">
        <v>31</v>
      </c>
      <c r="AD160" s="15">
        <v>3</v>
      </c>
      <c r="AE160" s="15">
        <v>2</v>
      </c>
      <c r="AG160" s="38">
        <f t="shared" si="115"/>
        <v>3.9754758831226717E-4</v>
      </c>
      <c r="AH160" s="38">
        <f t="shared" si="116"/>
        <v>0.94526000233440499</v>
      </c>
      <c r="AI160" s="38">
        <f t="shared" si="117"/>
        <v>1.2493610098496674E-3</v>
      </c>
      <c r="AJ160" s="38">
        <f t="shared" si="118"/>
        <v>0</v>
      </c>
      <c r="AK160" s="38">
        <f t="shared" si="119"/>
        <v>1.0500163752566478</v>
      </c>
      <c r="AL160" s="38">
        <f t="shared" si="120"/>
        <v>1.5532547788003287E-2</v>
      </c>
      <c r="AM160" s="38">
        <f t="shared" si="121"/>
        <v>3.8563155148489306E-2</v>
      </c>
      <c r="AN160" s="38">
        <f t="shared" si="122"/>
        <v>1.902368235958949E-3</v>
      </c>
      <c r="AO160" s="38">
        <f t="shared" si="123"/>
        <v>1.5928244213828792E-3</v>
      </c>
      <c r="AP160" s="38">
        <f t="shared" si="124"/>
        <v>0</v>
      </c>
      <c r="AQ160" s="38">
        <f t="shared" si="125"/>
        <v>0</v>
      </c>
      <c r="AR160" s="38">
        <f t="shared" si="126"/>
        <v>0</v>
      </c>
      <c r="AS160" s="38">
        <f t="shared" si="127"/>
        <v>0</v>
      </c>
      <c r="AT160" s="39">
        <f t="shared" si="128"/>
        <v>2.0545141817830492</v>
      </c>
      <c r="AU160" s="38">
        <f t="shared" si="129"/>
        <v>1.6469085981619346E-3</v>
      </c>
      <c r="AV160" s="38">
        <f t="shared" si="130"/>
        <v>3.4951926573418279E-3</v>
      </c>
      <c r="AW160" s="40"/>
      <c r="AX160" s="38">
        <f t="shared" si="131"/>
        <v>3.8699911817327825E-4</v>
      </c>
      <c r="AY160" s="38">
        <f t="shared" si="132"/>
        <v>0.92017861031656945</v>
      </c>
      <c r="AZ160" s="38">
        <f t="shared" si="133"/>
        <v>1.2162106457356118E-3</v>
      </c>
      <c r="BA160" s="38">
        <f t="shared" si="134"/>
        <v>0</v>
      </c>
      <c r="BB160" s="38">
        <f t="shared" si="135"/>
        <v>0.86295226167595152</v>
      </c>
      <c r="BC160" s="38">
        <f t="shared" si="136"/>
        <v>0.1592031311336235</v>
      </c>
      <c r="BD160" s="38">
        <f t="shared" si="137"/>
        <v>1.5120409414281161E-2</v>
      </c>
      <c r="BE160" s="38">
        <f t="shared" si="138"/>
        <v>3.7539925974150776E-2</v>
      </c>
      <c r="BF160" s="38">
        <f t="shared" si="139"/>
        <v>1.8518910726699803E-3</v>
      </c>
      <c r="BG160" s="38">
        <f t="shared" si="140"/>
        <v>1.5505606488445032E-3</v>
      </c>
      <c r="BH160" s="38">
        <f t="shared" si="141"/>
        <v>0</v>
      </c>
      <c r="BI160" s="38">
        <f t="shared" si="142"/>
        <v>0</v>
      </c>
      <c r="BJ160" s="38">
        <f t="shared" si="143"/>
        <v>0</v>
      </c>
      <c r="BK160" s="38">
        <f t="shared" si="144"/>
        <v>0</v>
      </c>
      <c r="BL160" s="41">
        <f t="shared" si="145"/>
        <v>1.9999999999999996</v>
      </c>
      <c r="BM160" s="42">
        <f t="shared" si="168"/>
        <v>3</v>
      </c>
      <c r="BN160" s="38">
        <f t="shared" si="146"/>
        <v>1.6032097639088901E-3</v>
      </c>
      <c r="BO160" s="38">
        <f t="shared" si="147"/>
        <v>3.4024517215144835E-3</v>
      </c>
      <c r="BQ160" s="38">
        <f t="shared" si="148"/>
        <v>2.4966711051930759E-4</v>
      </c>
      <c r="BR160" s="38">
        <f t="shared" si="149"/>
        <v>0.5936404606910366</v>
      </c>
      <c r="BS160" s="38">
        <f t="shared" si="150"/>
        <v>7.8462142016477059E-4</v>
      </c>
      <c r="BT160" s="38">
        <f t="shared" si="151"/>
        <v>0</v>
      </c>
      <c r="BU160" s="38">
        <f t="shared" si="152"/>
        <v>0.65942936673625618</v>
      </c>
      <c r="BV160" s="38">
        <f t="shared" si="153"/>
        <v>9.7547223005356627E-3</v>
      </c>
      <c r="BW160" s="38">
        <f t="shared" si="154"/>
        <v>2.4218362282878412E-2</v>
      </c>
      <c r="BX160" s="38">
        <f t="shared" si="155"/>
        <v>1.1947218259629102E-3</v>
      </c>
      <c r="BY160" s="38">
        <f t="shared" si="156"/>
        <v>1.000322684737012E-3</v>
      </c>
      <c r="BZ160" s="38">
        <f t="shared" si="157"/>
        <v>0</v>
      </c>
      <c r="CA160" s="38">
        <f t="shared" si="158"/>
        <v>0</v>
      </c>
      <c r="CB160" s="38">
        <f t="shared" si="159"/>
        <v>0</v>
      </c>
      <c r="CC160" s="38">
        <f t="shared" si="160"/>
        <v>0</v>
      </c>
      <c r="CD160" s="38">
        <f t="shared" si="161"/>
        <v>1.2902722450520909</v>
      </c>
      <c r="CE160" s="38">
        <f t="shared" si="162"/>
        <v>1.8840545222213607</v>
      </c>
      <c r="CF160" s="38">
        <f t="shared" si="163"/>
        <v>1.5500604679900372</v>
      </c>
      <c r="CG160" s="38">
        <f t="shared" si="164"/>
        <v>2.9203984344331881</v>
      </c>
    </row>
    <row r="161" spans="1:85" ht="15" customHeight="1" x14ac:dyDescent="0.25">
      <c r="A161" s="35" t="s">
        <v>88</v>
      </c>
      <c r="B161" s="15">
        <v>873</v>
      </c>
      <c r="C161" s="102" t="s">
        <v>100</v>
      </c>
      <c r="D161" s="103" t="s">
        <v>104</v>
      </c>
      <c r="E161" s="15">
        <v>31</v>
      </c>
      <c r="F161" s="15" t="s">
        <v>272</v>
      </c>
      <c r="G161" s="16">
        <v>5.2999999999999999E-2</v>
      </c>
      <c r="H161" s="16">
        <v>5.09</v>
      </c>
      <c r="I161" s="16">
        <v>0.3</v>
      </c>
      <c r="J161" s="16">
        <v>7.3999999999999996E-2</v>
      </c>
      <c r="K161" s="16">
        <v>86.45</v>
      </c>
      <c r="L161" s="16">
        <v>0.19600000000000001</v>
      </c>
      <c r="M161" s="16">
        <v>0.33200000000000002</v>
      </c>
      <c r="N161" s="16">
        <v>0.04</v>
      </c>
      <c r="O161" s="16">
        <v>5.8999999999999997E-2</v>
      </c>
      <c r="P161" s="16">
        <v>0</v>
      </c>
      <c r="Q161" s="16">
        <v>0</v>
      </c>
      <c r="T161" s="16">
        <f t="shared" si="114"/>
        <v>92.593999999999994</v>
      </c>
      <c r="U161" s="16"/>
      <c r="V161" s="16">
        <f t="shared" si="165"/>
        <v>34.380764301869817</v>
      </c>
      <c r="W161" s="16">
        <f t="shared" si="166"/>
        <v>57.864541631332081</v>
      </c>
      <c r="X161" s="16">
        <f t="shared" si="167"/>
        <v>98.389305933201911</v>
      </c>
      <c r="Y161" s="15">
        <v>30</v>
      </c>
      <c r="AD161" s="15">
        <v>4</v>
      </c>
      <c r="AE161" s="15">
        <v>3</v>
      </c>
      <c r="AG161" s="38">
        <f t="shared" si="115"/>
        <v>2.6034612136788824E-3</v>
      </c>
      <c r="AH161" s="38">
        <f t="shared" si="116"/>
        <v>0.18805500327466215</v>
      </c>
      <c r="AI161" s="38">
        <f t="shared" si="117"/>
        <v>1.7367071406229662E-2</v>
      </c>
      <c r="AJ161" s="38">
        <f t="shared" si="118"/>
        <v>2.8737690734666546E-3</v>
      </c>
      <c r="AK161" s="38">
        <f t="shared" si="119"/>
        <v>3.5509404690343267</v>
      </c>
      <c r="AL161" s="38">
        <f t="shared" si="120"/>
        <v>8.1539877293844223E-3</v>
      </c>
      <c r="AM161" s="38">
        <f t="shared" si="121"/>
        <v>2.4312980620028398E-2</v>
      </c>
      <c r="AN161" s="38">
        <f t="shared" si="122"/>
        <v>2.1050244895139997E-3</v>
      </c>
      <c r="AO161" s="38">
        <f t="shared" si="123"/>
        <v>5.6186968610396583E-3</v>
      </c>
      <c r="AP161" s="38">
        <f t="shared" si="124"/>
        <v>0</v>
      </c>
      <c r="AQ161" s="38">
        <f t="shared" si="125"/>
        <v>0</v>
      </c>
      <c r="AR161" s="38">
        <f t="shared" si="126"/>
        <v>0</v>
      </c>
      <c r="AS161" s="38">
        <f t="shared" si="127"/>
        <v>0</v>
      </c>
      <c r="AT161" s="39">
        <f t="shared" si="128"/>
        <v>3.802030463702331</v>
      </c>
      <c r="AU161" s="38">
        <f t="shared" si="129"/>
        <v>1.9970532619908544E-2</v>
      </c>
      <c r="AV161" s="38">
        <f t="shared" si="130"/>
        <v>7.7237213505536584E-3</v>
      </c>
      <c r="AW161" s="40"/>
      <c r="AX161" s="38">
        <f t="shared" si="131"/>
        <v>2.0542664546225318E-3</v>
      </c>
      <c r="AY161" s="38">
        <f t="shared" si="132"/>
        <v>0.14838518923244381</v>
      </c>
      <c r="AZ161" s="38">
        <f t="shared" si="133"/>
        <v>1.3703523608265362E-2</v>
      </c>
      <c r="BA161" s="38">
        <f t="shared" si="134"/>
        <v>2.2675534303859129E-3</v>
      </c>
      <c r="BB161" s="38">
        <f t="shared" si="135"/>
        <v>1.1142934644870919</v>
      </c>
      <c r="BC161" s="38">
        <f t="shared" si="136"/>
        <v>1.6875834559649094</v>
      </c>
      <c r="BD161" s="38">
        <f t="shared" si="137"/>
        <v>6.4339208803531698E-3</v>
      </c>
      <c r="BE161" s="38">
        <f t="shared" si="138"/>
        <v>1.9184207637583973E-2</v>
      </c>
      <c r="BF161" s="38">
        <f t="shared" si="139"/>
        <v>1.6609739266508991E-3</v>
      </c>
      <c r="BG161" s="38">
        <f t="shared" si="140"/>
        <v>4.4334443776930972E-3</v>
      </c>
      <c r="BH161" s="38">
        <f t="shared" si="141"/>
        <v>0</v>
      </c>
      <c r="BI161" s="38">
        <f t="shared" si="142"/>
        <v>0</v>
      </c>
      <c r="BJ161" s="38">
        <f t="shared" si="143"/>
        <v>0</v>
      </c>
      <c r="BK161" s="38">
        <f t="shared" si="144"/>
        <v>0</v>
      </c>
      <c r="BL161" s="41">
        <f t="shared" si="145"/>
        <v>3.0000000000000004</v>
      </c>
      <c r="BM161" s="42">
        <f t="shared" si="168"/>
        <v>4</v>
      </c>
      <c r="BN161" s="38">
        <f t="shared" si="146"/>
        <v>1.5757790062887893E-2</v>
      </c>
      <c r="BO161" s="38">
        <f t="shared" si="147"/>
        <v>6.0944183043439961E-3</v>
      </c>
      <c r="BQ161" s="38">
        <f t="shared" si="148"/>
        <v>8.8215712383488685E-4</v>
      </c>
      <c r="BR161" s="38">
        <f t="shared" si="149"/>
        <v>6.3720580871306956E-2</v>
      </c>
      <c r="BS161" s="38">
        <f t="shared" si="150"/>
        <v>5.8846606512357787E-3</v>
      </c>
      <c r="BT161" s="38">
        <f t="shared" si="151"/>
        <v>9.7374827291269155E-4</v>
      </c>
      <c r="BU161" s="38">
        <f t="shared" si="152"/>
        <v>1.2032011134307588</v>
      </c>
      <c r="BV161" s="38">
        <f t="shared" si="153"/>
        <v>2.7628982238511418E-3</v>
      </c>
      <c r="BW161" s="38">
        <f t="shared" si="154"/>
        <v>8.2382133995037229E-3</v>
      </c>
      <c r="BX161" s="38">
        <f t="shared" si="155"/>
        <v>7.1326676176890159E-4</v>
      </c>
      <c r="BY161" s="38">
        <f t="shared" si="156"/>
        <v>1.9038399483704421E-3</v>
      </c>
      <c r="BZ161" s="38">
        <f t="shared" si="157"/>
        <v>0</v>
      </c>
      <c r="CA161" s="38">
        <f t="shared" si="158"/>
        <v>0</v>
      </c>
      <c r="CB161" s="38">
        <f t="shared" si="159"/>
        <v>0</v>
      </c>
      <c r="CC161" s="38">
        <f t="shared" si="160"/>
        <v>0</v>
      </c>
      <c r="CD161" s="38">
        <f t="shared" si="161"/>
        <v>1.2882804786835433</v>
      </c>
      <c r="CE161" s="38">
        <f t="shared" si="162"/>
        <v>1.3553605011665741</v>
      </c>
      <c r="CF161" s="38">
        <f t="shared" si="163"/>
        <v>2.3286854451645604</v>
      </c>
      <c r="CG161" s="38">
        <f t="shared" si="164"/>
        <v>3.1562082720175453</v>
      </c>
    </row>
    <row r="162" spans="1:85" ht="15" customHeight="1" x14ac:dyDescent="0.25">
      <c r="A162" s="35" t="s">
        <v>88</v>
      </c>
      <c r="B162" s="15">
        <v>874</v>
      </c>
      <c r="C162" s="102" t="s">
        <v>100</v>
      </c>
      <c r="D162" s="103" t="s">
        <v>104</v>
      </c>
      <c r="E162" s="15">
        <v>32</v>
      </c>
      <c r="F162" s="15" t="s">
        <v>279</v>
      </c>
      <c r="G162" s="16">
        <v>0.01</v>
      </c>
      <c r="H162" s="16">
        <v>47.58</v>
      </c>
      <c r="I162" s="16">
        <v>3.1E-2</v>
      </c>
      <c r="J162" s="16">
        <v>0</v>
      </c>
      <c r="K162" s="16">
        <v>48.16</v>
      </c>
      <c r="L162" s="16">
        <v>0.79300000000000004</v>
      </c>
      <c r="M162" s="16">
        <v>0.92800000000000005</v>
      </c>
      <c r="N162" s="16">
        <v>1.6E-2</v>
      </c>
      <c r="O162" s="16">
        <v>1.6E-2</v>
      </c>
      <c r="P162" s="16">
        <v>0</v>
      </c>
      <c r="Q162" s="16">
        <v>0</v>
      </c>
      <c r="T162" s="16">
        <f t="shared" si="114"/>
        <v>97.534000000000006</v>
      </c>
      <c r="U162" s="16"/>
      <c r="V162" s="16">
        <f t="shared" si="165"/>
        <v>40.25656750212481</v>
      </c>
      <c r="W162" s="16">
        <f t="shared" si="166"/>
        <v>8.7830845348886886</v>
      </c>
      <c r="X162" s="16">
        <f t="shared" si="167"/>
        <v>98.413652037013492</v>
      </c>
      <c r="AD162" s="15">
        <v>3</v>
      </c>
      <c r="AE162" s="15">
        <v>2</v>
      </c>
      <c r="AG162" s="38">
        <f t="shared" si="115"/>
        <v>2.6314452173424488E-4</v>
      </c>
      <c r="AH162" s="38">
        <f t="shared" si="116"/>
        <v>0.94169581115980405</v>
      </c>
      <c r="AI162" s="38">
        <f t="shared" si="117"/>
        <v>9.6136015857119727E-4</v>
      </c>
      <c r="AJ162" s="38">
        <f t="shared" si="118"/>
        <v>0</v>
      </c>
      <c r="AK162" s="38">
        <f t="shared" si="119"/>
        <v>1.0597025096960495</v>
      </c>
      <c r="AL162" s="38">
        <f t="shared" si="120"/>
        <v>1.7672836527451635E-2</v>
      </c>
      <c r="AM162" s="38">
        <f t="shared" si="121"/>
        <v>3.6405515681033014E-2</v>
      </c>
      <c r="AN162" s="38">
        <f t="shared" si="122"/>
        <v>4.5106199331792953E-4</v>
      </c>
      <c r="AO162" s="38">
        <f t="shared" si="123"/>
        <v>8.1624900242883156E-4</v>
      </c>
      <c r="AP162" s="38">
        <f t="shared" si="124"/>
        <v>0</v>
      </c>
      <c r="AQ162" s="38">
        <f t="shared" si="125"/>
        <v>0</v>
      </c>
      <c r="AR162" s="38">
        <f t="shared" si="126"/>
        <v>0</v>
      </c>
      <c r="AS162" s="38">
        <f t="shared" si="127"/>
        <v>0</v>
      </c>
      <c r="AT162" s="39">
        <f t="shared" si="128"/>
        <v>2.0579684887403906</v>
      </c>
      <c r="AU162" s="38">
        <f t="shared" si="129"/>
        <v>1.2245046803054421E-3</v>
      </c>
      <c r="AV162" s="38">
        <f t="shared" si="130"/>
        <v>1.2673109957467611E-3</v>
      </c>
      <c r="AW162" s="40"/>
      <c r="AX162" s="38">
        <f t="shared" si="131"/>
        <v>2.5573231385608467E-4</v>
      </c>
      <c r="AY162" s="38">
        <f t="shared" si="132"/>
        <v>0.91517029178243903</v>
      </c>
      <c r="AZ162" s="38">
        <f t="shared" si="133"/>
        <v>9.3428073736893014E-4</v>
      </c>
      <c r="BA162" s="38">
        <f t="shared" si="134"/>
        <v>0</v>
      </c>
      <c r="BB162" s="38">
        <f t="shared" si="135"/>
        <v>0.86084607059949936</v>
      </c>
      <c r="BC162" s="38">
        <f t="shared" si="136"/>
        <v>0.16900692811639062</v>
      </c>
      <c r="BD162" s="38">
        <f t="shared" si="137"/>
        <v>1.717503122535035E-2</v>
      </c>
      <c r="BE162" s="38">
        <f t="shared" si="138"/>
        <v>3.5380051619075613E-2</v>
      </c>
      <c r="BF162" s="38">
        <f t="shared" si="139"/>
        <v>4.3835655967114308E-4</v>
      </c>
      <c r="BG162" s="38">
        <f t="shared" si="140"/>
        <v>7.9325704634907086E-4</v>
      </c>
      <c r="BH162" s="38">
        <f t="shared" si="141"/>
        <v>0</v>
      </c>
      <c r="BI162" s="38">
        <f t="shared" si="142"/>
        <v>0</v>
      </c>
      <c r="BJ162" s="38">
        <f t="shared" si="143"/>
        <v>0</v>
      </c>
      <c r="BK162" s="38">
        <f t="shared" si="144"/>
        <v>0</v>
      </c>
      <c r="BL162" s="41">
        <f t="shared" si="145"/>
        <v>2</v>
      </c>
      <c r="BM162" s="42">
        <f t="shared" si="168"/>
        <v>3.0000000000000004</v>
      </c>
      <c r="BN162" s="38">
        <f t="shared" si="146"/>
        <v>1.1900130512250149E-3</v>
      </c>
      <c r="BO162" s="38">
        <f t="shared" si="147"/>
        <v>1.2316136060202139E-3</v>
      </c>
      <c r="BQ162" s="38">
        <f t="shared" si="148"/>
        <v>1.6644474034620507E-4</v>
      </c>
      <c r="BR162" s="38">
        <f t="shared" si="149"/>
        <v>0.59564346519779676</v>
      </c>
      <c r="BS162" s="38">
        <f t="shared" si="150"/>
        <v>6.0808160062769722E-4</v>
      </c>
      <c r="BT162" s="38">
        <f t="shared" si="151"/>
        <v>0</v>
      </c>
      <c r="BU162" s="38">
        <f t="shared" si="152"/>
        <v>0.67028531663187196</v>
      </c>
      <c r="BV162" s="38">
        <f t="shared" si="153"/>
        <v>1.1178460670989569E-2</v>
      </c>
      <c r="BW162" s="38">
        <f t="shared" si="154"/>
        <v>2.3027295285359805E-2</v>
      </c>
      <c r="BX162" s="38">
        <f t="shared" si="155"/>
        <v>2.8530670470756063E-4</v>
      </c>
      <c r="BY162" s="38">
        <f t="shared" si="156"/>
        <v>5.1629557921910297E-4</v>
      </c>
      <c r="BZ162" s="38">
        <f t="shared" si="157"/>
        <v>0</v>
      </c>
      <c r="CA162" s="38">
        <f t="shared" si="158"/>
        <v>0</v>
      </c>
      <c r="CB162" s="38">
        <f t="shared" si="159"/>
        <v>0</v>
      </c>
      <c r="CC162" s="38">
        <f t="shared" si="160"/>
        <v>0</v>
      </c>
      <c r="CD162" s="38">
        <f t="shared" si="161"/>
        <v>1.3017106664109186</v>
      </c>
      <c r="CE162" s="38">
        <f t="shared" si="162"/>
        <v>1.897566469359766</v>
      </c>
      <c r="CF162" s="38">
        <f t="shared" si="163"/>
        <v>1.5364397416473565</v>
      </c>
      <c r="CG162" s="38">
        <f t="shared" si="164"/>
        <v>2.9154965359418052</v>
      </c>
    </row>
    <row r="163" spans="1:85" ht="15" customHeight="1" x14ac:dyDescent="0.25">
      <c r="A163" s="35" t="s">
        <v>88</v>
      </c>
      <c r="B163" s="15">
        <v>875</v>
      </c>
      <c r="C163" s="102" t="s">
        <v>100</v>
      </c>
      <c r="D163" s="103" t="s">
        <v>104</v>
      </c>
      <c r="E163" s="15">
        <v>33</v>
      </c>
      <c r="F163" s="15" t="s">
        <v>272</v>
      </c>
      <c r="G163" s="16">
        <v>4.5999999999999999E-2</v>
      </c>
      <c r="H163" s="16">
        <v>2.33</v>
      </c>
      <c r="I163" s="16">
        <v>0.39800000000000002</v>
      </c>
      <c r="J163" s="16">
        <v>7.9000000000000001E-2</v>
      </c>
      <c r="K163" s="16">
        <v>87.96</v>
      </c>
      <c r="L163" s="16">
        <v>0.19500000000000001</v>
      </c>
      <c r="M163" s="16">
        <v>0.22</v>
      </c>
      <c r="N163" s="16">
        <v>6.2E-2</v>
      </c>
      <c r="O163" s="16">
        <v>9.6000000000000002E-2</v>
      </c>
      <c r="P163" s="16">
        <v>2.8000000000000001E-2</v>
      </c>
      <c r="Q163" s="16">
        <v>0</v>
      </c>
      <c r="T163" s="16">
        <f t="shared" si="114"/>
        <v>91.413999999999987</v>
      </c>
      <c r="U163" s="16"/>
      <c r="V163" s="16">
        <f t="shared" si="165"/>
        <v>31.511329432447173</v>
      </c>
      <c r="W163" s="16">
        <f t="shared" si="166"/>
        <v>62.731407601721443</v>
      </c>
      <c r="X163" s="16">
        <f t="shared" si="167"/>
        <v>97.696737034168606</v>
      </c>
      <c r="AD163" s="15">
        <v>4</v>
      </c>
      <c r="AE163" s="15">
        <v>3</v>
      </c>
      <c r="AG163" s="38">
        <f t="shared" si="115"/>
        <v>2.3405024998683919E-3</v>
      </c>
      <c r="AH163" s="38">
        <f t="shared" si="116"/>
        <v>8.9165955222936757E-2</v>
      </c>
      <c r="AI163" s="38">
        <f t="shared" si="117"/>
        <v>2.3865165067482989E-2</v>
      </c>
      <c r="AJ163" s="38">
        <f t="shared" si="118"/>
        <v>3.177775947838486E-3</v>
      </c>
      <c r="AK163" s="38">
        <f t="shared" si="119"/>
        <v>3.7423090500428122</v>
      </c>
      <c r="AL163" s="38">
        <f t="shared" si="120"/>
        <v>8.4028116496053414E-3</v>
      </c>
      <c r="AM163" s="38">
        <f t="shared" si="121"/>
        <v>1.668779039932056E-2</v>
      </c>
      <c r="AN163" s="38">
        <f t="shared" si="122"/>
        <v>3.379596768556474E-3</v>
      </c>
      <c r="AO163" s="38">
        <f t="shared" si="123"/>
        <v>9.4695830761963376E-3</v>
      </c>
      <c r="AP163" s="38">
        <f t="shared" si="124"/>
        <v>1.8172652660290794E-3</v>
      </c>
      <c r="AQ163" s="38">
        <f t="shared" si="125"/>
        <v>0</v>
      </c>
      <c r="AR163" s="38">
        <f t="shared" si="126"/>
        <v>0</v>
      </c>
      <c r="AS163" s="38">
        <f t="shared" si="127"/>
        <v>0</v>
      </c>
      <c r="AT163" s="39">
        <f t="shared" si="128"/>
        <v>3.9006154959406474</v>
      </c>
      <c r="AU163" s="38">
        <f t="shared" si="129"/>
        <v>2.620566756735138E-2</v>
      </c>
      <c r="AV163" s="38">
        <f t="shared" si="130"/>
        <v>1.4666445110781891E-2</v>
      </c>
      <c r="AW163" s="40"/>
      <c r="AX163" s="38">
        <f t="shared" si="131"/>
        <v>1.8001024471426181E-3</v>
      </c>
      <c r="AY163" s="38">
        <f t="shared" si="132"/>
        <v>6.8578373322670264E-2</v>
      </c>
      <c r="AZ163" s="38">
        <f t="shared" si="133"/>
        <v>1.8354922518499472E-2</v>
      </c>
      <c r="BA163" s="38">
        <f t="shared" si="134"/>
        <v>2.4440573169636302E-3</v>
      </c>
      <c r="BB163" s="38">
        <f t="shared" si="135"/>
        <v>1.0311201364986982</v>
      </c>
      <c r="BC163" s="38">
        <f t="shared" si="136"/>
        <v>1.8471248896548023</v>
      </c>
      <c r="BD163" s="38">
        <f t="shared" si="137"/>
        <v>6.4626813319719227E-3</v>
      </c>
      <c r="BE163" s="38">
        <f t="shared" si="138"/>
        <v>1.283473627432963E-2</v>
      </c>
      <c r="BF163" s="38">
        <f t="shared" si="139"/>
        <v>2.5992796050317737E-3</v>
      </c>
      <c r="BG163" s="38">
        <f t="shared" si="140"/>
        <v>7.2831452518593203E-3</v>
      </c>
      <c r="BH163" s="38">
        <f t="shared" si="141"/>
        <v>1.3976757780306461E-3</v>
      </c>
      <c r="BI163" s="38">
        <f t="shared" si="142"/>
        <v>0</v>
      </c>
      <c r="BJ163" s="38">
        <f t="shared" si="143"/>
        <v>0</v>
      </c>
      <c r="BK163" s="38">
        <f t="shared" si="144"/>
        <v>0</v>
      </c>
      <c r="BL163" s="41">
        <f t="shared" si="145"/>
        <v>3</v>
      </c>
      <c r="BM163" s="42">
        <f t="shared" si="168"/>
        <v>4</v>
      </c>
      <c r="BN163" s="38">
        <f t="shared" si="146"/>
        <v>2.0155024965642091E-2</v>
      </c>
      <c r="BO163" s="38">
        <f t="shared" si="147"/>
        <v>1.128010063492174E-2</v>
      </c>
      <c r="BQ163" s="38">
        <f t="shared" si="148"/>
        <v>7.6564580559254332E-4</v>
      </c>
      <c r="BR163" s="38">
        <f t="shared" si="149"/>
        <v>2.9168753129694545E-2</v>
      </c>
      <c r="BS163" s="38">
        <f t="shared" si="150"/>
        <v>7.8069831306394671E-3</v>
      </c>
      <c r="BT163" s="38">
        <f t="shared" si="151"/>
        <v>1.0395420751365221E-3</v>
      </c>
      <c r="BU163" s="38">
        <f t="shared" si="152"/>
        <v>1.2242171189979123</v>
      </c>
      <c r="BV163" s="38">
        <f t="shared" si="153"/>
        <v>2.7488018043416973E-3</v>
      </c>
      <c r="BW163" s="38">
        <f t="shared" si="154"/>
        <v>5.4590570719602978E-3</v>
      </c>
      <c r="BX163" s="38">
        <f t="shared" si="155"/>
        <v>1.1055634807417974E-3</v>
      </c>
      <c r="BY163" s="38">
        <f t="shared" si="156"/>
        <v>3.0977734753146178E-3</v>
      </c>
      <c r="BZ163" s="38">
        <f t="shared" si="157"/>
        <v>5.9447983014861996E-4</v>
      </c>
      <c r="CA163" s="38">
        <f t="shared" si="158"/>
        <v>0</v>
      </c>
      <c r="CB163" s="38">
        <f t="shared" si="159"/>
        <v>0</v>
      </c>
      <c r="CC163" s="38">
        <f t="shared" si="160"/>
        <v>0</v>
      </c>
      <c r="CD163" s="38">
        <f t="shared" si="161"/>
        <v>1.2760037188014826</v>
      </c>
      <c r="CE163" s="38">
        <f t="shared" si="162"/>
        <v>1.308515253686926</v>
      </c>
      <c r="CF163" s="38">
        <f t="shared" si="163"/>
        <v>2.3510903266158367</v>
      </c>
      <c r="CG163" s="38">
        <f t="shared" si="164"/>
        <v>3.0764375551725993</v>
      </c>
    </row>
    <row r="164" spans="1:85" ht="15" customHeight="1" x14ac:dyDescent="0.25">
      <c r="A164" s="35" t="s">
        <v>88</v>
      </c>
      <c r="B164" s="15">
        <v>876</v>
      </c>
      <c r="C164" s="102" t="s">
        <v>100</v>
      </c>
      <c r="D164" s="103" t="s">
        <v>104</v>
      </c>
      <c r="E164" s="15">
        <v>34</v>
      </c>
      <c r="F164" s="15" t="s">
        <v>272</v>
      </c>
      <c r="G164" s="16">
        <v>1.41</v>
      </c>
      <c r="H164" s="16">
        <v>2.71</v>
      </c>
      <c r="I164" s="16">
        <v>0.55600000000000005</v>
      </c>
      <c r="J164" s="16">
        <v>2.5999999999999999E-2</v>
      </c>
      <c r="K164" s="16">
        <v>85.78</v>
      </c>
      <c r="L164" s="16">
        <v>0.185</v>
      </c>
      <c r="M164" s="16">
        <v>0.54100000000000004</v>
      </c>
      <c r="N164" s="16">
        <v>0.224</v>
      </c>
      <c r="O164" s="16">
        <v>7.5999999999999998E-2</v>
      </c>
      <c r="P164" s="16">
        <v>0.111</v>
      </c>
      <c r="Q164" s="16">
        <v>0</v>
      </c>
      <c r="T164" s="16">
        <f t="shared" si="114"/>
        <v>91.619</v>
      </c>
      <c r="U164" s="16"/>
      <c r="V164" s="16">
        <f t="shared" si="165"/>
        <v>32.825978434709725</v>
      </c>
      <c r="W164" s="16">
        <f t="shared" si="166"/>
        <v>58.847804165507078</v>
      </c>
      <c r="X164" s="16">
        <f t="shared" si="167"/>
        <v>97.512782600216809</v>
      </c>
      <c r="AD164" s="15">
        <v>4</v>
      </c>
      <c r="AE164" s="15">
        <v>3</v>
      </c>
      <c r="AG164" s="38">
        <f t="shared" si="115"/>
        <v>6.9641692581491457E-2</v>
      </c>
      <c r="AH164" s="38">
        <f t="shared" si="116"/>
        <v>0.10067261825985591</v>
      </c>
      <c r="AI164" s="38">
        <f t="shared" si="117"/>
        <v>3.2363470683880763E-2</v>
      </c>
      <c r="AJ164" s="38">
        <f t="shared" si="118"/>
        <v>1.0152393858283524E-3</v>
      </c>
      <c r="AK164" s="38">
        <f t="shared" si="119"/>
        <v>3.542740959836455</v>
      </c>
      <c r="AL164" s="38">
        <f t="shared" si="120"/>
        <v>7.7385692504579962E-3</v>
      </c>
      <c r="AM164" s="38">
        <f t="shared" si="121"/>
        <v>3.983569036569945E-2</v>
      </c>
      <c r="AN164" s="38">
        <f t="shared" si="122"/>
        <v>1.1852777787384607E-2</v>
      </c>
      <c r="AO164" s="38">
        <f t="shared" si="123"/>
        <v>7.2773312750737829E-3</v>
      </c>
      <c r="AP164" s="38">
        <f t="shared" si="124"/>
        <v>6.9933006704138894E-3</v>
      </c>
      <c r="AQ164" s="38">
        <f t="shared" si="125"/>
        <v>0</v>
      </c>
      <c r="AR164" s="38">
        <f t="shared" si="126"/>
        <v>0</v>
      </c>
      <c r="AS164" s="38">
        <f t="shared" si="127"/>
        <v>0</v>
      </c>
      <c r="AT164" s="39">
        <f t="shared" si="128"/>
        <v>3.820131650096541</v>
      </c>
      <c r="AU164" s="38">
        <f t="shared" si="129"/>
        <v>0.10200516326537222</v>
      </c>
      <c r="AV164" s="38">
        <f t="shared" si="130"/>
        <v>2.612340973287228E-2</v>
      </c>
      <c r="AW164" s="40"/>
      <c r="AX164" s="38">
        <f t="shared" si="131"/>
        <v>5.4690543908138461E-2</v>
      </c>
      <c r="AY164" s="38">
        <f t="shared" si="132"/>
        <v>7.9059540990409349E-2</v>
      </c>
      <c r="AZ164" s="38">
        <f t="shared" si="133"/>
        <v>2.5415462330778214E-2</v>
      </c>
      <c r="BA164" s="38">
        <f t="shared" si="134"/>
        <v>7.9728094119690517E-4</v>
      </c>
      <c r="BB164" s="38">
        <f t="shared" si="135"/>
        <v>1.0646674123480144</v>
      </c>
      <c r="BC164" s="38">
        <f t="shared" si="136"/>
        <v>1.7174940032777455</v>
      </c>
      <c r="BD164" s="38">
        <f t="shared" si="137"/>
        <v>6.0772009652565982E-3</v>
      </c>
      <c r="BE164" s="38">
        <f t="shared" si="138"/>
        <v>3.1283495450759709E-2</v>
      </c>
      <c r="BF164" s="38">
        <f t="shared" si="139"/>
        <v>9.3081434408825141E-3</v>
      </c>
      <c r="BG164" s="38">
        <f t="shared" si="140"/>
        <v>5.7149846719731796E-3</v>
      </c>
      <c r="BH164" s="38">
        <f t="shared" si="141"/>
        <v>5.4919316748446257E-3</v>
      </c>
      <c r="BI164" s="38">
        <f t="shared" si="142"/>
        <v>0</v>
      </c>
      <c r="BJ164" s="38">
        <f t="shared" si="143"/>
        <v>0</v>
      </c>
      <c r="BK164" s="38">
        <f t="shared" si="144"/>
        <v>0</v>
      </c>
      <c r="BL164" s="41">
        <f t="shared" si="145"/>
        <v>2.9999999999999996</v>
      </c>
      <c r="BM164" s="42">
        <f t="shared" si="168"/>
        <v>3.9999999999999987</v>
      </c>
      <c r="BN164" s="38">
        <f t="shared" si="146"/>
        <v>8.0106006238916672E-2</v>
      </c>
      <c r="BO164" s="38">
        <f t="shared" si="147"/>
        <v>2.051505978770032E-2</v>
      </c>
      <c r="BQ164" s="38">
        <f t="shared" si="148"/>
        <v>2.3468708388814912E-2</v>
      </c>
      <c r="BR164" s="38">
        <f t="shared" si="149"/>
        <v>3.3925888833249873E-2</v>
      </c>
      <c r="BS164" s="38">
        <f t="shared" si="150"/>
        <v>1.0906237740290311E-2</v>
      </c>
      <c r="BT164" s="38">
        <f t="shared" si="151"/>
        <v>3.4212777156391862E-4</v>
      </c>
      <c r="BU164" s="38">
        <f t="shared" si="152"/>
        <v>1.1938761308281143</v>
      </c>
      <c r="BV164" s="38">
        <f t="shared" si="153"/>
        <v>2.6078376092472512E-3</v>
      </c>
      <c r="BW164" s="38">
        <f t="shared" si="154"/>
        <v>1.3424317617866006E-2</v>
      </c>
      <c r="BX164" s="38">
        <f t="shared" si="155"/>
        <v>3.9942938659058491E-3</v>
      </c>
      <c r="BY164" s="38">
        <f t="shared" si="156"/>
        <v>2.4524040012907388E-3</v>
      </c>
      <c r="BZ164" s="38">
        <f t="shared" si="157"/>
        <v>2.3566878980891721E-3</v>
      </c>
      <c r="CA164" s="38">
        <f t="shared" si="158"/>
        <v>0</v>
      </c>
      <c r="CB164" s="38">
        <f t="shared" si="159"/>
        <v>0</v>
      </c>
      <c r="CC164" s="38">
        <f t="shared" si="160"/>
        <v>0</v>
      </c>
      <c r="CD164" s="38">
        <f t="shared" si="161"/>
        <v>1.2873546345544327</v>
      </c>
      <c r="CE164" s="38">
        <f t="shared" si="162"/>
        <v>1.3479688685827345</v>
      </c>
      <c r="CF164" s="38">
        <f t="shared" si="163"/>
        <v>2.3303601971638006</v>
      </c>
      <c r="CG164" s="38">
        <f t="shared" si="164"/>
        <v>3.1412529983611264</v>
      </c>
    </row>
    <row r="165" spans="1:85" ht="15" customHeight="1" x14ac:dyDescent="0.25">
      <c r="A165" s="35" t="s">
        <v>88</v>
      </c>
      <c r="B165" s="15">
        <v>877</v>
      </c>
      <c r="C165" s="102" t="s">
        <v>100</v>
      </c>
      <c r="D165" s="103" t="s">
        <v>104</v>
      </c>
      <c r="E165" s="15">
        <v>35</v>
      </c>
      <c r="F165" s="15" t="s">
        <v>272</v>
      </c>
      <c r="G165" s="16">
        <v>8.5999999999999993E-2</v>
      </c>
      <c r="H165" s="16">
        <v>6.02</v>
      </c>
      <c r="I165" s="16">
        <v>0.32400000000000001</v>
      </c>
      <c r="J165" s="16">
        <v>0.157</v>
      </c>
      <c r="K165" s="16">
        <v>85.02</v>
      </c>
      <c r="L165" s="16">
        <v>0.30299999999999999</v>
      </c>
      <c r="M165" s="16">
        <v>0.28999999999999998</v>
      </c>
      <c r="N165" s="16">
        <v>0.01</v>
      </c>
      <c r="O165" s="16">
        <v>5.6000000000000001E-2</v>
      </c>
      <c r="P165" s="16">
        <v>0</v>
      </c>
      <c r="Q165" s="16">
        <v>0</v>
      </c>
      <c r="T165" s="16">
        <f t="shared" si="114"/>
        <v>92.266000000000005</v>
      </c>
      <c r="U165" s="16"/>
      <c r="V165" s="16">
        <f t="shared" si="165"/>
        <v>35.12438692342262</v>
      </c>
      <c r="W165" s="16">
        <f t="shared" si="166"/>
        <v>55.448994812000429</v>
      </c>
      <c r="X165" s="16">
        <f t="shared" si="167"/>
        <v>97.81938173542305</v>
      </c>
      <c r="AD165" s="15">
        <v>4</v>
      </c>
      <c r="AE165" s="15">
        <v>3</v>
      </c>
      <c r="AG165" s="38">
        <f t="shared" si="115"/>
        <v>4.2036789418307555E-3</v>
      </c>
      <c r="AH165" s="38">
        <f t="shared" si="116"/>
        <v>0.22131938104360821</v>
      </c>
      <c r="AI165" s="38">
        <f t="shared" si="117"/>
        <v>1.8664062967548183E-2</v>
      </c>
      <c r="AJ165" s="38">
        <f t="shared" si="118"/>
        <v>6.0670230507140314E-3</v>
      </c>
      <c r="AK165" s="38">
        <f t="shared" si="119"/>
        <v>3.4750042499324829</v>
      </c>
      <c r="AL165" s="38">
        <f t="shared" si="120"/>
        <v>1.254331868071169E-2</v>
      </c>
      <c r="AM165" s="38">
        <f t="shared" si="121"/>
        <v>2.1132650164263841E-2</v>
      </c>
      <c r="AN165" s="38">
        <f t="shared" si="122"/>
        <v>5.2366434749608482E-4</v>
      </c>
      <c r="AO165" s="38">
        <f t="shared" si="123"/>
        <v>5.306735753547934E-3</v>
      </c>
      <c r="AP165" s="38">
        <f t="shared" si="124"/>
        <v>0</v>
      </c>
      <c r="AQ165" s="38">
        <f t="shared" si="125"/>
        <v>0</v>
      </c>
      <c r="AR165" s="38">
        <f t="shared" si="126"/>
        <v>0</v>
      </c>
      <c r="AS165" s="38">
        <f t="shared" si="127"/>
        <v>0</v>
      </c>
      <c r="AT165" s="39">
        <f t="shared" si="128"/>
        <v>3.7647647648822034</v>
      </c>
      <c r="AU165" s="38">
        <f t="shared" si="129"/>
        <v>2.2867741909378937E-2</v>
      </c>
      <c r="AV165" s="38">
        <f t="shared" si="130"/>
        <v>5.830400101044019E-3</v>
      </c>
      <c r="AW165" s="40"/>
      <c r="AX165" s="38">
        <f t="shared" si="131"/>
        <v>3.3497542643642041E-3</v>
      </c>
      <c r="AY165" s="38">
        <f t="shared" si="132"/>
        <v>0.17636112336267024</v>
      </c>
      <c r="AZ165" s="38">
        <f t="shared" si="133"/>
        <v>1.4872692558361341E-2</v>
      </c>
      <c r="BA165" s="38">
        <f t="shared" si="134"/>
        <v>4.8345833774056761E-3</v>
      </c>
      <c r="BB165" s="38">
        <f t="shared" si="135"/>
        <v>1.1440009933461486</v>
      </c>
      <c r="BC165" s="38">
        <f t="shared" si="136"/>
        <v>1.6250997077234537</v>
      </c>
      <c r="BD165" s="38">
        <f t="shared" si="137"/>
        <v>9.9953007404733479E-3</v>
      </c>
      <c r="BE165" s="38">
        <f t="shared" si="138"/>
        <v>1.6839817213592938E-2</v>
      </c>
      <c r="BF165" s="38">
        <f t="shared" si="139"/>
        <v>4.1728850023844966E-4</v>
      </c>
      <c r="BG165" s="38">
        <f t="shared" si="140"/>
        <v>4.2287389132908883E-3</v>
      </c>
      <c r="BH165" s="38">
        <f t="shared" si="141"/>
        <v>0</v>
      </c>
      <c r="BI165" s="38">
        <f t="shared" si="142"/>
        <v>0</v>
      </c>
      <c r="BJ165" s="38">
        <f t="shared" si="143"/>
        <v>0</v>
      </c>
      <c r="BK165" s="38">
        <f t="shared" si="144"/>
        <v>0</v>
      </c>
      <c r="BL165" s="41">
        <f t="shared" si="145"/>
        <v>2.9999999999999991</v>
      </c>
      <c r="BM165" s="42">
        <f t="shared" si="168"/>
        <v>3.9999999999999987</v>
      </c>
      <c r="BN165" s="38">
        <f t="shared" si="146"/>
        <v>1.8222446822725544E-2</v>
      </c>
      <c r="BO165" s="38">
        <f t="shared" si="147"/>
        <v>4.646027413529338E-3</v>
      </c>
      <c r="BQ165" s="38">
        <f t="shared" si="148"/>
        <v>1.4314247669773635E-3</v>
      </c>
      <c r="BR165" s="38">
        <f t="shared" si="149"/>
        <v>7.5363044566850279E-2</v>
      </c>
      <c r="BS165" s="38">
        <f t="shared" si="150"/>
        <v>6.3554335033346419E-3</v>
      </c>
      <c r="BT165" s="38">
        <f t="shared" si="151"/>
        <v>2.0659253898282779E-3</v>
      </c>
      <c r="BU165" s="38">
        <f t="shared" si="152"/>
        <v>1.1832985386221295</v>
      </c>
      <c r="BV165" s="38">
        <f t="shared" si="153"/>
        <v>4.2712151113617142E-3</v>
      </c>
      <c r="BW165" s="38">
        <f t="shared" si="154"/>
        <v>7.1960297766749384E-3</v>
      </c>
      <c r="BX165" s="38">
        <f t="shared" si="155"/>
        <v>1.783166904422254E-4</v>
      </c>
      <c r="BY165" s="38">
        <f t="shared" si="156"/>
        <v>1.8070345272668605E-3</v>
      </c>
      <c r="BZ165" s="38">
        <f t="shared" si="157"/>
        <v>0</v>
      </c>
      <c r="CA165" s="38">
        <f t="shared" si="158"/>
        <v>0</v>
      </c>
      <c r="CB165" s="38">
        <f t="shared" si="159"/>
        <v>0</v>
      </c>
      <c r="CC165" s="38">
        <f t="shared" si="160"/>
        <v>0</v>
      </c>
      <c r="CD165" s="38">
        <f t="shared" si="161"/>
        <v>1.281966962954866</v>
      </c>
      <c r="CE165" s="38">
        <f t="shared" si="162"/>
        <v>1.3620685944716415</v>
      </c>
      <c r="CF165" s="38">
        <f t="shared" si="163"/>
        <v>2.3401539093372254</v>
      </c>
      <c r="CG165" s="38">
        <f t="shared" si="164"/>
        <v>3.1874501461382718</v>
      </c>
    </row>
    <row r="166" spans="1:85" ht="15" customHeight="1" x14ac:dyDescent="0.25">
      <c r="A166" s="35" t="s">
        <v>88</v>
      </c>
      <c r="B166" s="15">
        <v>878</v>
      </c>
      <c r="C166" s="102" t="s">
        <v>100</v>
      </c>
      <c r="D166" s="103" t="s">
        <v>104</v>
      </c>
      <c r="E166" s="15">
        <v>36</v>
      </c>
      <c r="F166" s="15" t="s">
        <v>279</v>
      </c>
      <c r="G166" s="16">
        <v>2.3E-2</v>
      </c>
      <c r="H166" s="16">
        <v>46.88</v>
      </c>
      <c r="I166" s="16">
        <v>4.4999999999999998E-2</v>
      </c>
      <c r="J166" s="16">
        <v>0</v>
      </c>
      <c r="K166" s="16">
        <v>47.49</v>
      </c>
      <c r="L166" s="16">
        <v>0.72799999999999998</v>
      </c>
      <c r="M166" s="16">
        <v>0.95399999999999996</v>
      </c>
      <c r="N166" s="16">
        <v>1.2E-2</v>
      </c>
      <c r="O166" s="16">
        <v>2.7E-2</v>
      </c>
      <c r="P166" s="16">
        <v>0</v>
      </c>
      <c r="Q166" s="16">
        <v>0</v>
      </c>
      <c r="T166" s="16">
        <f t="shared" si="114"/>
        <v>96.159000000000006</v>
      </c>
      <c r="U166" s="16"/>
      <c r="V166" s="16">
        <f t="shared" si="165"/>
        <v>39.616079334983112</v>
      </c>
      <c r="W166" s="16">
        <f t="shared" si="166"/>
        <v>8.7502880350332699</v>
      </c>
      <c r="X166" s="16">
        <f t="shared" si="167"/>
        <v>97.035367370016388</v>
      </c>
      <c r="AD166" s="15">
        <v>3</v>
      </c>
      <c r="AE166" s="15">
        <v>2</v>
      </c>
      <c r="AG166" s="38">
        <f t="shared" si="115"/>
        <v>6.1369660340279577E-4</v>
      </c>
      <c r="AH166" s="38">
        <f t="shared" si="116"/>
        <v>0.94081742929219137</v>
      </c>
      <c r="AI166" s="38">
        <f t="shared" si="117"/>
        <v>1.4150392625921491E-3</v>
      </c>
      <c r="AJ166" s="38">
        <f t="shared" si="118"/>
        <v>0</v>
      </c>
      <c r="AK166" s="38">
        <f t="shared" si="119"/>
        <v>1.0595737846791771</v>
      </c>
      <c r="AL166" s="38">
        <f t="shared" si="120"/>
        <v>1.6451140171618573E-2</v>
      </c>
      <c r="AM166" s="38">
        <f t="shared" si="121"/>
        <v>3.7948895138146213E-2</v>
      </c>
      <c r="AN166" s="38">
        <f t="shared" si="122"/>
        <v>3.4302758728933791E-4</v>
      </c>
      <c r="AO166" s="38">
        <f t="shared" si="123"/>
        <v>1.3966834773852421E-3</v>
      </c>
      <c r="AP166" s="38">
        <f t="shared" si="124"/>
        <v>0</v>
      </c>
      <c r="AQ166" s="38">
        <f t="shared" si="125"/>
        <v>0</v>
      </c>
      <c r="AR166" s="38">
        <f t="shared" si="126"/>
        <v>0</v>
      </c>
      <c r="AS166" s="38">
        <f t="shared" si="127"/>
        <v>0</v>
      </c>
      <c r="AT166" s="39">
        <f t="shared" si="128"/>
        <v>2.0585596962118027</v>
      </c>
      <c r="AU166" s="38">
        <f t="shared" si="129"/>
        <v>2.0287358659949449E-3</v>
      </c>
      <c r="AV166" s="38">
        <f t="shared" si="130"/>
        <v>1.73971106467458E-3</v>
      </c>
      <c r="AW166" s="40"/>
      <c r="AX166" s="38">
        <f t="shared" si="131"/>
        <v>5.9623882128085075E-4</v>
      </c>
      <c r="AY166" s="38">
        <f t="shared" si="132"/>
        <v>0.91405406510532583</v>
      </c>
      <c r="AZ166" s="38">
        <f t="shared" si="133"/>
        <v>1.3747857448060691E-3</v>
      </c>
      <c r="BA166" s="38">
        <f t="shared" si="134"/>
        <v>0</v>
      </c>
      <c r="BB166" s="38">
        <f t="shared" si="135"/>
        <v>0.85875060866131547</v>
      </c>
      <c r="BC166" s="38">
        <f t="shared" si="136"/>
        <v>0.17068155852725164</v>
      </c>
      <c r="BD166" s="38">
        <f t="shared" si="137"/>
        <v>1.5983155797611552E-2</v>
      </c>
      <c r="BE166" s="38">
        <f t="shared" si="138"/>
        <v>3.686936571038521E-2</v>
      </c>
      <c r="BF166" s="38">
        <f t="shared" si="139"/>
        <v>3.3326950675327343E-4</v>
      </c>
      <c r="BG166" s="38">
        <f t="shared" si="140"/>
        <v>1.3569521252703464E-3</v>
      </c>
      <c r="BH166" s="38">
        <f t="shared" si="141"/>
        <v>0</v>
      </c>
      <c r="BI166" s="38">
        <f t="shared" si="142"/>
        <v>0</v>
      </c>
      <c r="BJ166" s="38">
        <f t="shared" si="143"/>
        <v>0</v>
      </c>
      <c r="BK166" s="38">
        <f t="shared" si="144"/>
        <v>0</v>
      </c>
      <c r="BL166" s="41">
        <f t="shared" si="145"/>
        <v>2.0000000000000004</v>
      </c>
      <c r="BM166" s="42">
        <f t="shared" si="168"/>
        <v>3.0000000000000013</v>
      </c>
      <c r="BN166" s="38">
        <f t="shared" si="146"/>
        <v>1.97102456608692E-3</v>
      </c>
      <c r="BO166" s="38">
        <f t="shared" si="147"/>
        <v>1.6902216320236199E-3</v>
      </c>
      <c r="BQ166" s="38">
        <f t="shared" si="148"/>
        <v>3.8282290279627166E-4</v>
      </c>
      <c r="BR166" s="38">
        <f t="shared" si="149"/>
        <v>0.58688032048072114</v>
      </c>
      <c r="BS166" s="38">
        <f t="shared" si="150"/>
        <v>8.8269909768536688E-4</v>
      </c>
      <c r="BT166" s="38">
        <f t="shared" si="151"/>
        <v>0</v>
      </c>
      <c r="BU166" s="38">
        <f t="shared" si="152"/>
        <v>0.6609603340292276</v>
      </c>
      <c r="BV166" s="38">
        <f t="shared" si="153"/>
        <v>1.026219340287567E-2</v>
      </c>
      <c r="BW166" s="38">
        <f t="shared" si="154"/>
        <v>2.3672456575682382E-2</v>
      </c>
      <c r="BX166" s="38">
        <f t="shared" si="155"/>
        <v>2.1398002853067048E-4</v>
      </c>
      <c r="BY166" s="38">
        <f t="shared" si="156"/>
        <v>8.7124878993223619E-4</v>
      </c>
      <c r="BZ166" s="38">
        <f t="shared" si="157"/>
        <v>0</v>
      </c>
      <c r="CA166" s="38">
        <f t="shared" si="158"/>
        <v>0</v>
      </c>
      <c r="CB166" s="38">
        <f t="shared" si="159"/>
        <v>0</v>
      </c>
      <c r="CC166" s="38">
        <f t="shared" si="160"/>
        <v>0</v>
      </c>
      <c r="CD166" s="38">
        <f t="shared" si="161"/>
        <v>1.2841260553074512</v>
      </c>
      <c r="CE166" s="38">
        <f t="shared" si="162"/>
        <v>1.8713949238448451</v>
      </c>
      <c r="CF166" s="38">
        <f t="shared" si="163"/>
        <v>1.557479494893631</v>
      </c>
      <c r="CG166" s="38">
        <f t="shared" si="164"/>
        <v>2.9146592207363744</v>
      </c>
    </row>
    <row r="167" spans="1:85" ht="15" customHeight="1" x14ac:dyDescent="0.25">
      <c r="A167" s="35" t="s">
        <v>88</v>
      </c>
      <c r="B167" s="15">
        <v>879</v>
      </c>
      <c r="C167" s="102" t="s">
        <v>100</v>
      </c>
      <c r="D167" s="103" t="s">
        <v>104</v>
      </c>
      <c r="E167" s="15">
        <v>37</v>
      </c>
      <c r="F167" s="15" t="s">
        <v>279</v>
      </c>
      <c r="G167" s="16">
        <v>2.7E-2</v>
      </c>
      <c r="H167" s="16">
        <v>46.75</v>
      </c>
      <c r="I167" s="16">
        <v>2.8000000000000001E-2</v>
      </c>
      <c r="J167" s="16">
        <v>5.0999999999999997E-2</v>
      </c>
      <c r="K167" s="16">
        <v>46.6</v>
      </c>
      <c r="L167" s="16">
        <v>0.76600000000000001</v>
      </c>
      <c r="M167" s="16">
        <v>0.96699999999999997</v>
      </c>
      <c r="N167" s="16">
        <v>2.1999999999999999E-2</v>
      </c>
      <c r="O167" s="16">
        <v>9.1999999999999998E-2</v>
      </c>
      <c r="P167" s="16">
        <v>0</v>
      </c>
      <c r="Q167" s="16">
        <v>0</v>
      </c>
      <c r="T167" s="16">
        <f t="shared" si="114"/>
        <v>95.303000000000011</v>
      </c>
      <c r="U167" s="16"/>
      <c r="V167" s="16">
        <f t="shared" si="165"/>
        <v>39.128050702993818</v>
      </c>
      <c r="W167" s="16">
        <f t="shared" si="166"/>
        <v>8.3035772537629704</v>
      </c>
      <c r="X167" s="16">
        <f t="shared" si="167"/>
        <v>96.134627956756788</v>
      </c>
      <c r="AD167" s="15">
        <v>3</v>
      </c>
      <c r="AE167" s="15">
        <v>2</v>
      </c>
      <c r="AG167" s="38">
        <f t="shared" si="115"/>
        <v>7.2543359960721863E-4</v>
      </c>
      <c r="AH167" s="38">
        <f t="shared" si="116"/>
        <v>0.94472930161945667</v>
      </c>
      <c r="AI167" s="38">
        <f t="shared" si="117"/>
        <v>8.8658836334019702E-4</v>
      </c>
      <c r="AJ167" s="38">
        <f t="shared" si="118"/>
        <v>1.0833005991546646E-3</v>
      </c>
      <c r="AK167" s="38">
        <f t="shared" si="119"/>
        <v>1.0469428392283919</v>
      </c>
      <c r="AL167" s="38">
        <f t="shared" si="120"/>
        <v>1.7430161539188933E-2</v>
      </c>
      <c r="AM167" s="38">
        <f t="shared" si="121"/>
        <v>3.873336733064648E-2</v>
      </c>
      <c r="AN167" s="38">
        <f t="shared" si="122"/>
        <v>6.3325481759974982E-4</v>
      </c>
      <c r="AO167" s="38">
        <f t="shared" si="123"/>
        <v>4.7921464046047782E-3</v>
      </c>
      <c r="AP167" s="38">
        <f t="shared" si="124"/>
        <v>0</v>
      </c>
      <c r="AQ167" s="38">
        <f t="shared" si="125"/>
        <v>0</v>
      </c>
      <c r="AR167" s="38">
        <f t="shared" si="126"/>
        <v>0</v>
      </c>
      <c r="AS167" s="38">
        <f t="shared" si="127"/>
        <v>0</v>
      </c>
      <c r="AT167" s="39">
        <f t="shared" si="128"/>
        <v>2.0559563935019902</v>
      </c>
      <c r="AU167" s="38">
        <f t="shared" si="129"/>
        <v>1.6120219629474158E-3</v>
      </c>
      <c r="AV167" s="38">
        <f t="shared" si="130"/>
        <v>5.425401222204528E-3</v>
      </c>
      <c r="AW167" s="40"/>
      <c r="AX167" s="38">
        <f t="shared" si="131"/>
        <v>7.056896750339722E-4</v>
      </c>
      <c r="AY167" s="38">
        <f t="shared" si="132"/>
        <v>0.91901686689984941</v>
      </c>
      <c r="AZ167" s="38">
        <f t="shared" si="133"/>
        <v>8.624583343716124E-4</v>
      </c>
      <c r="BA167" s="38">
        <f t="shared" si="134"/>
        <v>1.0538167079598771E-3</v>
      </c>
      <c r="BB167" s="38">
        <f t="shared" si="135"/>
        <v>0.85514815537995026</v>
      </c>
      <c r="BC167" s="38">
        <f t="shared" si="136"/>
        <v>0.16330033169626978</v>
      </c>
      <c r="BD167" s="38">
        <f t="shared" si="137"/>
        <v>1.695576967904408E-2</v>
      </c>
      <c r="BE167" s="38">
        <f t="shared" si="138"/>
        <v>3.7679172041845142E-2</v>
      </c>
      <c r="BF167" s="38">
        <f t="shared" si="139"/>
        <v>6.160196973060331E-4</v>
      </c>
      <c r="BG167" s="38">
        <f t="shared" si="140"/>
        <v>4.6617198883699366E-3</v>
      </c>
      <c r="BH167" s="38">
        <f t="shared" si="141"/>
        <v>0</v>
      </c>
      <c r="BI167" s="38">
        <f t="shared" si="142"/>
        <v>0</v>
      </c>
      <c r="BJ167" s="38">
        <f t="shared" si="143"/>
        <v>0</v>
      </c>
      <c r="BK167" s="38">
        <f t="shared" si="144"/>
        <v>0</v>
      </c>
      <c r="BL167" s="41">
        <f t="shared" si="145"/>
        <v>2</v>
      </c>
      <c r="BM167" s="42">
        <f t="shared" si="168"/>
        <v>2.9999999999999982</v>
      </c>
      <c r="BN167" s="38">
        <f t="shared" si="146"/>
        <v>1.5681480094055845E-3</v>
      </c>
      <c r="BO167" s="38">
        <f t="shared" si="147"/>
        <v>5.2777395856759696E-3</v>
      </c>
      <c r="BQ167" s="38">
        <f t="shared" si="148"/>
        <v>4.4940079893475367E-4</v>
      </c>
      <c r="BR167" s="38">
        <f t="shared" si="149"/>
        <v>0.58525287931897851</v>
      </c>
      <c r="BS167" s="38">
        <f t="shared" si="150"/>
        <v>5.4923499411533943E-4</v>
      </c>
      <c r="BT167" s="38">
        <f t="shared" si="151"/>
        <v>6.7109678268307117E-4</v>
      </c>
      <c r="BU167" s="38">
        <f t="shared" si="152"/>
        <v>0.64857341684064029</v>
      </c>
      <c r="BV167" s="38">
        <f t="shared" si="153"/>
        <v>1.0797857344234565E-2</v>
      </c>
      <c r="BW167" s="38">
        <f t="shared" si="154"/>
        <v>2.3995037220843674E-2</v>
      </c>
      <c r="BX167" s="38">
        <f t="shared" si="155"/>
        <v>3.9229671897289585E-4</v>
      </c>
      <c r="BY167" s="38">
        <f t="shared" si="156"/>
        <v>2.968699580509842E-3</v>
      </c>
      <c r="BZ167" s="38">
        <f t="shared" si="157"/>
        <v>0</v>
      </c>
      <c r="CA167" s="38">
        <f t="shared" si="158"/>
        <v>0</v>
      </c>
      <c r="CB167" s="38">
        <f t="shared" si="159"/>
        <v>0</v>
      </c>
      <c r="CC167" s="38">
        <f t="shared" si="160"/>
        <v>0</v>
      </c>
      <c r="CD167" s="38">
        <f t="shared" si="161"/>
        <v>1.2736499195999129</v>
      </c>
      <c r="CE167" s="38">
        <f t="shared" si="162"/>
        <v>1.8584780158159708</v>
      </c>
      <c r="CF167" s="38">
        <f t="shared" si="163"/>
        <v>1.5702902102237426</v>
      </c>
      <c r="CG167" s="38">
        <f t="shared" si="164"/>
        <v>2.918349834151865</v>
      </c>
    </row>
    <row r="168" spans="1:85" ht="15" customHeight="1" x14ac:dyDescent="0.25">
      <c r="A168" s="35" t="s">
        <v>88</v>
      </c>
      <c r="B168" s="15">
        <v>880</v>
      </c>
      <c r="C168" s="102" t="s">
        <v>100</v>
      </c>
      <c r="D168" s="103" t="s">
        <v>104</v>
      </c>
      <c r="E168" s="15">
        <v>38</v>
      </c>
      <c r="F168" s="15" t="s">
        <v>270</v>
      </c>
      <c r="G168" s="16">
        <v>47.84</v>
      </c>
      <c r="H168" s="16">
        <v>1.2909999999999999</v>
      </c>
      <c r="I168" s="16">
        <v>5.07</v>
      </c>
      <c r="J168" s="16">
        <v>1.2E-2</v>
      </c>
      <c r="K168" s="16">
        <v>16</v>
      </c>
      <c r="L168" s="16">
        <v>0.27100000000000002</v>
      </c>
      <c r="M168" s="16">
        <v>12.86</v>
      </c>
      <c r="N168" s="16">
        <v>10.62</v>
      </c>
      <c r="O168" s="16">
        <v>1.73</v>
      </c>
      <c r="P168" s="16">
        <v>0.59099999999999997</v>
      </c>
      <c r="Q168" s="16">
        <v>0</v>
      </c>
      <c r="R168" s="16">
        <v>0</v>
      </c>
      <c r="S168" s="16">
        <v>0</v>
      </c>
      <c r="T168" s="16">
        <f t="shared" si="114"/>
        <v>96.284999999999997</v>
      </c>
      <c r="U168" s="16"/>
      <c r="V168" s="16">
        <f t="shared" si="165"/>
        <v>11.739554639262025</v>
      </c>
      <c r="W168" s="16">
        <f t="shared" si="166"/>
        <v>4.7346329293881118</v>
      </c>
      <c r="X168" s="16">
        <f t="shared" si="167"/>
        <v>96.759187568650134</v>
      </c>
      <c r="AD168" s="15">
        <v>6</v>
      </c>
      <c r="AE168" s="15">
        <v>4</v>
      </c>
      <c r="AG168" s="38">
        <f t="shared" si="115"/>
        <v>1.8784043705178499</v>
      </c>
      <c r="AH168" s="38">
        <f t="shared" si="116"/>
        <v>3.8125542238865127E-2</v>
      </c>
      <c r="AI168" s="38">
        <f t="shared" si="117"/>
        <v>0.23460430180674993</v>
      </c>
      <c r="AJ168" s="38">
        <f t="shared" si="118"/>
        <v>3.72498106769189E-4</v>
      </c>
      <c r="AK168" s="38">
        <f t="shared" si="119"/>
        <v>0.52531651354997944</v>
      </c>
      <c r="AL168" s="38">
        <f t="shared" si="120"/>
        <v>9.0116839019870609E-3</v>
      </c>
      <c r="AM168" s="38">
        <f t="shared" si="121"/>
        <v>0.7527725351606066</v>
      </c>
      <c r="AN168" s="38">
        <f t="shared" si="122"/>
        <v>0.44672921464288873</v>
      </c>
      <c r="AO168" s="38">
        <f t="shared" si="123"/>
        <v>0.13168987030598422</v>
      </c>
      <c r="AP168" s="38">
        <f t="shared" si="124"/>
        <v>2.9600184415674788E-2</v>
      </c>
      <c r="AQ168" s="38">
        <f t="shared" si="125"/>
        <v>0</v>
      </c>
      <c r="AR168" s="38">
        <f t="shared" si="126"/>
        <v>0</v>
      </c>
      <c r="AS168" s="38">
        <f t="shared" si="127"/>
        <v>0</v>
      </c>
      <c r="AT168" s="39">
        <f t="shared" si="128"/>
        <v>4.0466267146473553</v>
      </c>
      <c r="AU168" s="38">
        <f t="shared" si="129"/>
        <v>2.1130086723245998</v>
      </c>
      <c r="AV168" s="38">
        <f t="shared" si="130"/>
        <v>0.60801926936454775</v>
      </c>
      <c r="AW168" s="40"/>
      <c r="AX168" s="38">
        <f t="shared" si="131"/>
        <v>1.8567607075974584</v>
      </c>
      <c r="AY168" s="38">
        <f t="shared" si="132"/>
        <v>3.7686245781815432E-2</v>
      </c>
      <c r="AZ168" s="38">
        <f t="shared" si="133"/>
        <v>0.23190110514277534</v>
      </c>
      <c r="BA168" s="38">
        <f t="shared" si="134"/>
        <v>3.6820604719568312E-4</v>
      </c>
      <c r="BB168" s="38">
        <f t="shared" si="135"/>
        <v>0.38099523063273444</v>
      </c>
      <c r="BC168" s="38">
        <f t="shared" si="136"/>
        <v>0.13826839370752886</v>
      </c>
      <c r="BD168" s="38">
        <f t="shared" si="137"/>
        <v>8.9078479805097498E-3</v>
      </c>
      <c r="BE168" s="38">
        <f t="shared" si="138"/>
        <v>0.74409881438862324</v>
      </c>
      <c r="BF168" s="38">
        <f t="shared" si="139"/>
        <v>0.44158183706531395</v>
      </c>
      <c r="BG168" s="38">
        <f t="shared" si="140"/>
        <v>0.13017249140308748</v>
      </c>
      <c r="BH168" s="38">
        <f t="shared" si="141"/>
        <v>2.9259120252957963E-2</v>
      </c>
      <c r="BI168" s="38">
        <f t="shared" si="142"/>
        <v>0</v>
      </c>
      <c r="BJ168" s="38">
        <f t="shared" si="143"/>
        <v>0</v>
      </c>
      <c r="BK168" s="38">
        <f t="shared" si="144"/>
        <v>0</v>
      </c>
      <c r="BL168" s="41">
        <f t="shared" si="145"/>
        <v>4.0000000000000009</v>
      </c>
      <c r="BM168" s="42">
        <f t="shared" si="168"/>
        <v>6.0000000000000018</v>
      </c>
      <c r="BN168" s="38">
        <f t="shared" si="146"/>
        <v>2.0886618127402339</v>
      </c>
      <c r="BO168" s="38">
        <f t="shared" si="147"/>
        <v>0.60101344872135942</v>
      </c>
      <c r="BQ168" s="38">
        <f t="shared" si="148"/>
        <v>0.7962716378162451</v>
      </c>
      <c r="BR168" s="38">
        <f t="shared" si="149"/>
        <v>1.6161742613920883E-2</v>
      </c>
      <c r="BS168" s="38">
        <f t="shared" si="150"/>
        <v>9.9450765005884678E-2</v>
      </c>
      <c r="BT168" s="38">
        <f t="shared" si="151"/>
        <v>1.5790512533719322E-4</v>
      </c>
      <c r="BU168" s="38">
        <f t="shared" si="152"/>
        <v>0.22268615170494085</v>
      </c>
      <c r="BV168" s="38">
        <f t="shared" si="153"/>
        <v>3.8201296870594872E-3</v>
      </c>
      <c r="BW168" s="38">
        <f t="shared" si="154"/>
        <v>0.31910669975186107</v>
      </c>
      <c r="BX168" s="38">
        <f t="shared" si="155"/>
        <v>0.18937232524964337</v>
      </c>
      <c r="BY168" s="38">
        <f t="shared" si="156"/>
        <v>5.5824459503065506E-2</v>
      </c>
      <c r="BZ168" s="38">
        <f t="shared" si="157"/>
        <v>1.2547770700636942E-2</v>
      </c>
      <c r="CA168" s="38">
        <f t="shared" si="158"/>
        <v>0</v>
      </c>
      <c r="CB168" s="38">
        <f t="shared" si="159"/>
        <v>0</v>
      </c>
      <c r="CC168" s="38">
        <f t="shared" si="160"/>
        <v>0</v>
      </c>
      <c r="CD168" s="38">
        <f t="shared" si="161"/>
        <v>1.715399587158595</v>
      </c>
      <c r="CE168" s="38">
        <f t="shared" si="162"/>
        <v>2.5434511875525208</v>
      </c>
      <c r="CF168" s="38">
        <f t="shared" si="163"/>
        <v>2.331818213052995</v>
      </c>
      <c r="CG168" s="38">
        <f t="shared" si="164"/>
        <v>5.9308658031462373</v>
      </c>
    </row>
    <row r="169" spans="1:85" ht="15" customHeight="1" x14ac:dyDescent="0.25">
      <c r="A169" s="35" t="s">
        <v>88</v>
      </c>
      <c r="B169" s="15">
        <v>882</v>
      </c>
      <c r="C169" s="102" t="s">
        <v>100</v>
      </c>
      <c r="D169" s="103" t="s">
        <v>104</v>
      </c>
      <c r="E169" s="15">
        <v>40</v>
      </c>
      <c r="F169" s="15" t="s">
        <v>279</v>
      </c>
      <c r="G169" s="16">
        <v>2.5999999999999999E-2</v>
      </c>
      <c r="H169" s="16">
        <v>46.78</v>
      </c>
      <c r="I169" s="16">
        <v>2.8000000000000001E-2</v>
      </c>
      <c r="J169" s="16">
        <v>1.7000000000000001E-2</v>
      </c>
      <c r="K169" s="16">
        <v>49.18</v>
      </c>
      <c r="L169" s="16">
        <v>0.65400000000000003</v>
      </c>
      <c r="M169" s="16">
        <v>0.88200000000000001</v>
      </c>
      <c r="N169" s="16">
        <v>1.0999999999999999E-2</v>
      </c>
      <c r="O169" s="16">
        <v>1.2E-2</v>
      </c>
      <c r="P169" s="16">
        <v>2.4E-2</v>
      </c>
      <c r="Q169" s="16">
        <v>0</v>
      </c>
      <c r="T169" s="16">
        <f t="shared" si="114"/>
        <v>97.614000000000004</v>
      </c>
      <c r="U169" s="16"/>
      <c r="V169" s="16">
        <f t="shared" si="165"/>
        <v>39.730649099324367</v>
      </c>
      <c r="W169" s="16">
        <f t="shared" si="166"/>
        <v>10.501063655920831</v>
      </c>
      <c r="X169" s="16">
        <f t="shared" si="167"/>
        <v>98.66571275524521</v>
      </c>
      <c r="AD169" s="15">
        <v>3</v>
      </c>
      <c r="AE169" s="15">
        <v>2</v>
      </c>
      <c r="AG169" s="38">
        <f t="shared" si="115"/>
        <v>6.8709191541168322E-4</v>
      </c>
      <c r="AH169" s="38">
        <f t="shared" si="116"/>
        <v>0.92980863649404366</v>
      </c>
      <c r="AI169" s="38">
        <f t="shared" si="117"/>
        <v>8.7202636311536214E-4</v>
      </c>
      <c r="AJ169" s="38">
        <f t="shared" si="118"/>
        <v>3.5516921595291024E-4</v>
      </c>
      <c r="AK169" s="38">
        <f t="shared" si="119"/>
        <v>1.0867588022208612</v>
      </c>
      <c r="AL169" s="38">
        <f t="shared" si="120"/>
        <v>1.463719904673982E-2</v>
      </c>
      <c r="AM169" s="38">
        <f t="shared" si="121"/>
        <v>3.474841130858726E-2</v>
      </c>
      <c r="AN169" s="38">
        <f t="shared" si="122"/>
        <v>3.1142687990869718E-4</v>
      </c>
      <c r="AO169" s="38">
        <f t="shared" si="123"/>
        <v>6.1479607234989845E-4</v>
      </c>
      <c r="AP169" s="38">
        <f t="shared" si="124"/>
        <v>8.0902464042986624E-4</v>
      </c>
      <c r="AQ169" s="38">
        <f t="shared" si="125"/>
        <v>0</v>
      </c>
      <c r="AR169" s="38">
        <f t="shared" si="126"/>
        <v>0</v>
      </c>
      <c r="AS169" s="38">
        <f t="shared" si="127"/>
        <v>0</v>
      </c>
      <c r="AT169" s="39">
        <f t="shared" si="128"/>
        <v>2.0696025841574004</v>
      </c>
      <c r="AU169" s="38">
        <f t="shared" si="129"/>
        <v>1.5591182785270454E-3</v>
      </c>
      <c r="AV169" s="38">
        <f t="shared" si="130"/>
        <v>1.7352475926884618E-3</v>
      </c>
      <c r="AW169" s="40"/>
      <c r="AX169" s="38">
        <f t="shared" si="131"/>
        <v>6.6398440035908622E-4</v>
      </c>
      <c r="AY169" s="38">
        <f t="shared" si="132"/>
        <v>0.8985383412367528</v>
      </c>
      <c r="AZ169" s="38">
        <f t="shared" si="133"/>
        <v>8.4269933734199638E-4</v>
      </c>
      <c r="BA169" s="38">
        <f t="shared" si="134"/>
        <v>3.4322455786603184E-4</v>
      </c>
      <c r="BB169" s="38">
        <f t="shared" si="135"/>
        <v>0.84842477146993045</v>
      </c>
      <c r="BC169" s="38">
        <f t="shared" si="136"/>
        <v>0.20178536118055113</v>
      </c>
      <c r="BD169" s="38">
        <f t="shared" si="137"/>
        <v>1.4144936964020156E-2</v>
      </c>
      <c r="BE169" s="38">
        <f t="shared" si="138"/>
        <v>3.3579791187528331E-2</v>
      </c>
      <c r="BF169" s="38">
        <f t="shared" si="139"/>
        <v>3.009533156680792E-4</v>
      </c>
      <c r="BG169" s="38">
        <f t="shared" si="140"/>
        <v>5.9411993109798056E-4</v>
      </c>
      <c r="BH169" s="38">
        <f t="shared" si="141"/>
        <v>7.8181641888434882E-4</v>
      </c>
      <c r="BI169" s="38">
        <f t="shared" si="142"/>
        <v>0</v>
      </c>
      <c r="BJ169" s="38">
        <f t="shared" si="143"/>
        <v>0</v>
      </c>
      <c r="BK169" s="38">
        <f t="shared" si="144"/>
        <v>0</v>
      </c>
      <c r="BL169" s="41">
        <f t="shared" si="145"/>
        <v>2.0000000000000004</v>
      </c>
      <c r="BM169" s="42">
        <f t="shared" si="168"/>
        <v>3.0000000000000004</v>
      </c>
      <c r="BN169" s="38">
        <f t="shared" si="146"/>
        <v>1.5066837377010825E-3</v>
      </c>
      <c r="BO169" s="38">
        <f t="shared" si="147"/>
        <v>1.6768896656504085E-3</v>
      </c>
      <c r="BQ169" s="38">
        <f t="shared" si="148"/>
        <v>4.3275632490013313E-4</v>
      </c>
      <c r="BR169" s="38">
        <f t="shared" si="149"/>
        <v>0.58562844266399605</v>
      </c>
      <c r="BS169" s="38">
        <f t="shared" si="150"/>
        <v>5.4923499411533943E-4</v>
      </c>
      <c r="BT169" s="38">
        <f t="shared" si="151"/>
        <v>2.2369892756102374E-4</v>
      </c>
      <c r="BU169" s="38">
        <f t="shared" si="152"/>
        <v>0.68448155880306194</v>
      </c>
      <c r="BV169" s="38">
        <f t="shared" si="153"/>
        <v>9.2190583591767704E-3</v>
      </c>
      <c r="BW169" s="38">
        <f t="shared" si="154"/>
        <v>2.1885856079404468E-2</v>
      </c>
      <c r="BX169" s="38">
        <f t="shared" si="155"/>
        <v>1.9614835948644793E-4</v>
      </c>
      <c r="BY169" s="38">
        <f t="shared" si="156"/>
        <v>3.8722168441432723E-4</v>
      </c>
      <c r="BZ169" s="38">
        <f t="shared" si="157"/>
        <v>5.0955414012738849E-4</v>
      </c>
      <c r="CA169" s="38">
        <f t="shared" si="158"/>
        <v>0</v>
      </c>
      <c r="CB169" s="38">
        <f t="shared" si="159"/>
        <v>0</v>
      </c>
      <c r="CC169" s="38">
        <f t="shared" si="160"/>
        <v>0</v>
      </c>
      <c r="CD169" s="38">
        <f t="shared" si="161"/>
        <v>1.3035135303362437</v>
      </c>
      <c r="CE169" s="38">
        <f t="shared" si="162"/>
        <v>1.8895128083737074</v>
      </c>
      <c r="CF169" s="38">
        <f t="shared" si="163"/>
        <v>1.5343147220605347</v>
      </c>
      <c r="CG169" s="38">
        <f t="shared" si="164"/>
        <v>2.8991073194097252</v>
      </c>
    </row>
    <row r="170" spans="1:85" ht="15" customHeight="1" x14ac:dyDescent="0.25">
      <c r="A170" s="35" t="s">
        <v>88</v>
      </c>
      <c r="B170" s="15">
        <v>883</v>
      </c>
      <c r="C170" s="102" t="s">
        <v>100</v>
      </c>
      <c r="D170" s="103" t="s">
        <v>104</v>
      </c>
      <c r="E170" s="15">
        <v>41</v>
      </c>
      <c r="F170" s="15" t="s">
        <v>272</v>
      </c>
      <c r="G170" s="16">
        <v>7.1999999999999995E-2</v>
      </c>
      <c r="H170" s="16">
        <v>4.6900000000000004</v>
      </c>
      <c r="I170" s="16">
        <v>0.38100000000000001</v>
      </c>
      <c r="J170" s="16">
        <v>8.2000000000000003E-2</v>
      </c>
      <c r="K170" s="16">
        <v>86.99</v>
      </c>
      <c r="L170" s="16">
        <v>0.22700000000000001</v>
      </c>
      <c r="M170" s="16">
        <v>0.28000000000000003</v>
      </c>
      <c r="N170" s="16">
        <v>2.4E-2</v>
      </c>
      <c r="O170" s="16">
        <v>2.5999999999999999E-2</v>
      </c>
      <c r="P170" s="16">
        <v>0</v>
      </c>
      <c r="Q170" s="16">
        <v>0</v>
      </c>
      <c r="T170" s="16">
        <f t="shared" si="114"/>
        <v>92.771999999999991</v>
      </c>
      <c r="U170" s="16"/>
      <c r="V170" s="16">
        <f t="shared" si="165"/>
        <v>34.333973181128535</v>
      </c>
      <c r="W170" s="16">
        <f t="shared" si="166"/>
        <v>58.516642603811839</v>
      </c>
      <c r="X170" s="16">
        <f t="shared" si="167"/>
        <v>98.63261578494037</v>
      </c>
      <c r="AD170" s="15">
        <v>4</v>
      </c>
      <c r="AE170" s="15">
        <v>3</v>
      </c>
      <c r="AG170" s="38">
        <f t="shared" si="115"/>
        <v>3.5393804109203272E-3</v>
      </c>
      <c r="AH170" s="38">
        <f t="shared" si="116"/>
        <v>0.17340413800616852</v>
      </c>
      <c r="AI170" s="38">
        <f t="shared" si="117"/>
        <v>2.2072413067369429E-2</v>
      </c>
      <c r="AJ170" s="38">
        <f t="shared" si="118"/>
        <v>3.1867904243012418E-3</v>
      </c>
      <c r="AK170" s="38">
        <f t="shared" si="119"/>
        <v>3.5757506713278495</v>
      </c>
      <c r="AL170" s="38">
        <f t="shared" si="120"/>
        <v>9.4505991653739407E-3</v>
      </c>
      <c r="AM170" s="38">
        <f t="shared" si="121"/>
        <v>2.0520014138635967E-2</v>
      </c>
      <c r="AN170" s="38">
        <f t="shared" si="122"/>
        <v>1.2639442171189566E-3</v>
      </c>
      <c r="AO170" s="38">
        <f t="shared" si="123"/>
        <v>2.4778581586759277E-3</v>
      </c>
      <c r="AP170" s="38">
        <f t="shared" si="124"/>
        <v>0</v>
      </c>
      <c r="AQ170" s="38">
        <f t="shared" si="125"/>
        <v>0</v>
      </c>
      <c r="AR170" s="38">
        <f t="shared" si="126"/>
        <v>0</v>
      </c>
      <c r="AS170" s="38">
        <f t="shared" si="127"/>
        <v>0</v>
      </c>
      <c r="AT170" s="39">
        <f t="shared" si="128"/>
        <v>3.8116658089164139</v>
      </c>
      <c r="AU170" s="38">
        <f t="shared" si="129"/>
        <v>2.5611793478289756E-2</v>
      </c>
      <c r="AV170" s="38">
        <f t="shared" si="130"/>
        <v>3.7418023757948846E-3</v>
      </c>
      <c r="AW170" s="40"/>
      <c r="AX170" s="38">
        <f t="shared" si="131"/>
        <v>2.7856957469677866E-3</v>
      </c>
      <c r="AY170" s="38">
        <f t="shared" si="132"/>
        <v>0.13647901996066975</v>
      </c>
      <c r="AZ170" s="38">
        <f t="shared" si="133"/>
        <v>1.7372257307345793E-2</v>
      </c>
      <c r="BA170" s="38">
        <f t="shared" si="134"/>
        <v>2.508187168596914E-3</v>
      </c>
      <c r="BB170" s="38">
        <f t="shared" si="135"/>
        <v>1.110780890797944</v>
      </c>
      <c r="BC170" s="38">
        <f t="shared" si="136"/>
        <v>1.7035403408509318</v>
      </c>
      <c r="BD170" s="38">
        <f t="shared" si="137"/>
        <v>7.4381645499456096E-3</v>
      </c>
      <c r="BE170" s="38">
        <f t="shared" si="138"/>
        <v>1.6150430153636236E-2</v>
      </c>
      <c r="BF170" s="38">
        <f t="shared" si="139"/>
        <v>9.9479672181303279E-4</v>
      </c>
      <c r="BG170" s="38">
        <f t="shared" si="140"/>
        <v>1.9502167421495463E-3</v>
      </c>
      <c r="BH170" s="38">
        <f t="shared" si="141"/>
        <v>0</v>
      </c>
      <c r="BI170" s="38">
        <f t="shared" si="142"/>
        <v>0</v>
      </c>
      <c r="BJ170" s="38">
        <f t="shared" si="143"/>
        <v>0</v>
      </c>
      <c r="BK170" s="38">
        <f t="shared" si="144"/>
        <v>0</v>
      </c>
      <c r="BL170" s="41">
        <f t="shared" si="145"/>
        <v>3.0000000000000004</v>
      </c>
      <c r="BM170" s="42">
        <f t="shared" si="168"/>
        <v>4.0000000000000009</v>
      </c>
      <c r="BN170" s="38">
        <f t="shared" si="146"/>
        <v>2.0157953054313581E-2</v>
      </c>
      <c r="BO170" s="38">
        <f t="shared" si="147"/>
        <v>2.9450134639625791E-3</v>
      </c>
      <c r="BQ170" s="38">
        <f t="shared" si="148"/>
        <v>1.1984021304926764E-3</v>
      </c>
      <c r="BR170" s="38">
        <f t="shared" si="149"/>
        <v>5.8713069604406615E-2</v>
      </c>
      <c r="BS170" s="38">
        <f t="shared" si="150"/>
        <v>7.4735190270694392E-3</v>
      </c>
      <c r="BT170" s="38">
        <f t="shared" si="151"/>
        <v>1.0790183564708205E-3</v>
      </c>
      <c r="BU170" s="38">
        <f t="shared" si="152"/>
        <v>1.2107167710508002</v>
      </c>
      <c r="BV170" s="38">
        <f t="shared" si="153"/>
        <v>3.1998872286439248E-3</v>
      </c>
      <c r="BW170" s="38">
        <f t="shared" si="154"/>
        <v>6.9478908188585617E-3</v>
      </c>
      <c r="BX170" s="38">
        <f t="shared" si="155"/>
        <v>4.2796005706134097E-4</v>
      </c>
      <c r="BY170" s="38">
        <f t="shared" si="156"/>
        <v>8.3898031623104224E-4</v>
      </c>
      <c r="BZ170" s="38">
        <f t="shared" si="157"/>
        <v>0</v>
      </c>
      <c r="CA170" s="38">
        <f t="shared" si="158"/>
        <v>0</v>
      </c>
      <c r="CB170" s="38">
        <f t="shared" si="159"/>
        <v>0</v>
      </c>
      <c r="CC170" s="38">
        <f t="shared" si="160"/>
        <v>0</v>
      </c>
      <c r="CD170" s="38">
        <f t="shared" si="161"/>
        <v>1.2905954985900345</v>
      </c>
      <c r="CE170" s="38">
        <f t="shared" si="162"/>
        <v>1.3543637488585885</v>
      </c>
      <c r="CF170" s="38">
        <f t="shared" si="163"/>
        <v>2.3245083399697863</v>
      </c>
      <c r="CG170" s="38">
        <f t="shared" si="164"/>
        <v>3.1482298295745341</v>
      </c>
    </row>
    <row r="171" spans="1:85" ht="15" customHeight="1" x14ac:dyDescent="0.25">
      <c r="A171" s="35" t="s">
        <v>88</v>
      </c>
      <c r="B171" s="15">
        <v>884</v>
      </c>
      <c r="C171" s="102" t="s">
        <v>100</v>
      </c>
      <c r="D171" s="103" t="s">
        <v>104</v>
      </c>
      <c r="E171" s="15">
        <v>42</v>
      </c>
      <c r="F171" s="15" t="s">
        <v>272</v>
      </c>
      <c r="G171" s="16">
        <v>9.6000000000000002E-2</v>
      </c>
      <c r="H171" s="16">
        <v>14.25</v>
      </c>
      <c r="I171" s="16">
        <v>0.26300000000000001</v>
      </c>
      <c r="J171" s="16">
        <v>0.06</v>
      </c>
      <c r="K171" s="16">
        <v>76.16</v>
      </c>
      <c r="L171" s="16">
        <v>0.36399999999999999</v>
      </c>
      <c r="M171" s="16">
        <v>0.50800000000000001</v>
      </c>
      <c r="N171" s="16">
        <v>0</v>
      </c>
      <c r="O171" s="16">
        <v>6.7000000000000004E-2</v>
      </c>
      <c r="P171" s="16">
        <v>0</v>
      </c>
      <c r="Q171" s="16">
        <v>0</v>
      </c>
      <c r="T171" s="16">
        <f t="shared" si="114"/>
        <v>91.767999999999986</v>
      </c>
      <c r="U171" s="16"/>
      <c r="V171" s="16">
        <f t="shared" si="165"/>
        <v>41.663737982604289</v>
      </c>
      <c r="W171" s="16">
        <f t="shared" si="166"/>
        <v>38.335695979931842</v>
      </c>
      <c r="X171" s="16">
        <f t="shared" si="167"/>
        <v>95.607433962536135</v>
      </c>
      <c r="AD171" s="15">
        <v>4</v>
      </c>
      <c r="AE171" s="15">
        <v>3</v>
      </c>
      <c r="AG171" s="38">
        <f t="shared" si="115"/>
        <v>4.4148970044728441E-3</v>
      </c>
      <c r="AH171" s="38">
        <f t="shared" si="116"/>
        <v>0.4928968871809512</v>
      </c>
      <c r="AI171" s="38">
        <f t="shared" si="117"/>
        <v>1.4253948477253251E-2</v>
      </c>
      <c r="AJ171" s="38">
        <f t="shared" si="118"/>
        <v>2.1814511812350192E-3</v>
      </c>
      <c r="AK171" s="38">
        <f t="shared" si="119"/>
        <v>2.9287306361789551</v>
      </c>
      <c r="AL171" s="38">
        <f t="shared" si="120"/>
        <v>1.4177167380071359E-2</v>
      </c>
      <c r="AM171" s="38">
        <f t="shared" si="121"/>
        <v>3.4828753647279276E-2</v>
      </c>
      <c r="AN171" s="38">
        <f t="shared" si="122"/>
        <v>0</v>
      </c>
      <c r="AO171" s="38">
        <f t="shared" si="123"/>
        <v>5.9735498702285714E-3</v>
      </c>
      <c r="AP171" s="38">
        <f t="shared" si="124"/>
        <v>0</v>
      </c>
      <c r="AQ171" s="38">
        <f t="shared" si="125"/>
        <v>0</v>
      </c>
      <c r="AR171" s="38">
        <f t="shared" si="126"/>
        <v>0</v>
      </c>
      <c r="AS171" s="38">
        <f t="shared" si="127"/>
        <v>0</v>
      </c>
      <c r="AT171" s="39">
        <f t="shared" si="128"/>
        <v>3.4974572909204467</v>
      </c>
      <c r="AU171" s="38">
        <f t="shared" si="129"/>
        <v>1.8668845481726096E-2</v>
      </c>
      <c r="AV171" s="38">
        <f t="shared" si="130"/>
        <v>5.9735498702285714E-3</v>
      </c>
      <c r="AW171" s="40"/>
      <c r="AX171" s="38">
        <f t="shared" si="131"/>
        <v>3.7869486062924447E-3</v>
      </c>
      <c r="AY171" s="38">
        <f t="shared" si="132"/>
        <v>0.42279019829108427</v>
      </c>
      <c r="AZ171" s="38">
        <f t="shared" si="133"/>
        <v>1.2226552570855233E-2</v>
      </c>
      <c r="BA171" s="38">
        <f t="shared" si="134"/>
        <v>1.87117468473296E-3</v>
      </c>
      <c r="BB171" s="38">
        <f t="shared" si="135"/>
        <v>1.3742937172245866</v>
      </c>
      <c r="BC171" s="38">
        <f t="shared" si="136"/>
        <v>1.1378718870120137</v>
      </c>
      <c r="BD171" s="38">
        <f t="shared" si="137"/>
        <v>1.2160692355165491E-2</v>
      </c>
      <c r="BE171" s="38">
        <f t="shared" si="138"/>
        <v>2.9874921192916008E-2</v>
      </c>
      <c r="BF171" s="38">
        <f t="shared" si="139"/>
        <v>0</v>
      </c>
      <c r="BG171" s="38">
        <f t="shared" si="140"/>
        <v>5.1239080623539032E-3</v>
      </c>
      <c r="BH171" s="38">
        <f t="shared" si="141"/>
        <v>0</v>
      </c>
      <c r="BI171" s="38">
        <f t="shared" si="142"/>
        <v>0</v>
      </c>
      <c r="BJ171" s="38">
        <f t="shared" si="143"/>
        <v>0</v>
      </c>
      <c r="BK171" s="38">
        <f t="shared" si="144"/>
        <v>0</v>
      </c>
      <c r="BL171" s="41">
        <f t="shared" si="145"/>
        <v>3.0000000000000009</v>
      </c>
      <c r="BM171" s="42">
        <f t="shared" si="168"/>
        <v>4.0000000000000009</v>
      </c>
      <c r="BN171" s="38">
        <f t="shared" si="146"/>
        <v>1.6013501177147678E-2</v>
      </c>
      <c r="BO171" s="38">
        <f t="shared" si="147"/>
        <v>5.1239080623539032E-3</v>
      </c>
      <c r="BQ171" s="38">
        <f t="shared" si="148"/>
        <v>1.5978695073235686E-3</v>
      </c>
      <c r="BR171" s="38">
        <f t="shared" si="149"/>
        <v>0.17839258888332499</v>
      </c>
      <c r="BS171" s="38">
        <f t="shared" si="150"/>
        <v>5.1588858375833666E-3</v>
      </c>
      <c r="BT171" s="38">
        <f t="shared" si="151"/>
        <v>7.8952562668596616E-4</v>
      </c>
      <c r="BU171" s="38">
        <f t="shared" si="152"/>
        <v>1.0599860821155185</v>
      </c>
      <c r="BV171" s="38">
        <f t="shared" si="153"/>
        <v>5.1310967014378348E-3</v>
      </c>
      <c r="BW171" s="38">
        <f t="shared" si="154"/>
        <v>1.2605459057071961E-2</v>
      </c>
      <c r="BX171" s="38">
        <f t="shared" si="155"/>
        <v>0</v>
      </c>
      <c r="BY171" s="38">
        <f t="shared" si="156"/>
        <v>2.1619877379799937E-3</v>
      </c>
      <c r="BZ171" s="38">
        <f t="shared" si="157"/>
        <v>0</v>
      </c>
      <c r="CA171" s="38">
        <f t="shared" si="158"/>
        <v>0</v>
      </c>
      <c r="CB171" s="38">
        <f t="shared" si="159"/>
        <v>0</v>
      </c>
      <c r="CC171" s="38">
        <f t="shared" si="160"/>
        <v>0</v>
      </c>
      <c r="CD171" s="38">
        <f t="shared" si="161"/>
        <v>1.2658234954669259</v>
      </c>
      <c r="CE171" s="38">
        <f t="shared" si="162"/>
        <v>1.4477071657207192</v>
      </c>
      <c r="CF171" s="38">
        <f t="shared" si="163"/>
        <v>2.3699986694380217</v>
      </c>
      <c r="CG171" s="38">
        <f t="shared" si="164"/>
        <v>3.431064056493994</v>
      </c>
    </row>
    <row r="172" spans="1:85" ht="15" customHeight="1" x14ac:dyDescent="0.25">
      <c r="A172" s="35" t="s">
        <v>88</v>
      </c>
      <c r="B172" s="15">
        <v>885</v>
      </c>
      <c r="C172" s="102" t="s">
        <v>100</v>
      </c>
      <c r="D172" s="103" t="s">
        <v>104</v>
      </c>
      <c r="E172" s="15">
        <v>43</v>
      </c>
      <c r="F172" s="15" t="s">
        <v>270</v>
      </c>
      <c r="G172" s="16">
        <v>52.22</v>
      </c>
      <c r="H172" s="16">
        <v>0.24099999999999999</v>
      </c>
      <c r="I172" s="16">
        <v>1.7709999999999999</v>
      </c>
      <c r="J172" s="16">
        <v>0</v>
      </c>
      <c r="K172" s="16">
        <v>12.75</v>
      </c>
      <c r="L172" s="16">
        <v>0.309</v>
      </c>
      <c r="M172" s="16">
        <v>14.42</v>
      </c>
      <c r="N172" s="16">
        <v>11.2</v>
      </c>
      <c r="O172" s="16">
        <v>0.495</v>
      </c>
      <c r="P172" s="16">
        <v>0.14499999999999999</v>
      </c>
      <c r="Q172" s="16">
        <v>0</v>
      </c>
      <c r="R172" s="16">
        <v>0</v>
      </c>
      <c r="S172" s="16">
        <v>0</v>
      </c>
      <c r="T172" s="16">
        <f t="shared" si="114"/>
        <v>93.551000000000002</v>
      </c>
      <c r="U172" s="16"/>
      <c r="V172" s="16">
        <f t="shared" si="165"/>
        <v>12.75</v>
      </c>
      <c r="W172" s="16">
        <f t="shared" si="166"/>
        <v>0</v>
      </c>
      <c r="X172" s="16">
        <f t="shared" si="167"/>
        <v>93.551000000000002</v>
      </c>
      <c r="AD172" s="15">
        <v>6</v>
      </c>
      <c r="AE172" s="15">
        <v>4</v>
      </c>
      <c r="AG172" s="38">
        <f t="shared" si="115"/>
        <v>2.0488466579011759</v>
      </c>
      <c r="AH172" s="38">
        <f t="shared" si="116"/>
        <v>7.1118321576618413E-3</v>
      </c>
      <c r="AI172" s="38">
        <f t="shared" si="117"/>
        <v>8.1888184409424525E-2</v>
      </c>
      <c r="AJ172" s="38">
        <f t="shared" si="118"/>
        <v>0</v>
      </c>
      <c r="AK172" s="38">
        <f t="shared" si="119"/>
        <v>0.41829813134289429</v>
      </c>
      <c r="AL172" s="38">
        <f t="shared" si="120"/>
        <v>1.0267620477651888E-2</v>
      </c>
      <c r="AM172" s="38">
        <f t="shared" si="121"/>
        <v>0.84345657184323819</v>
      </c>
      <c r="AN172" s="38">
        <f t="shared" si="122"/>
        <v>0.47077406541670702</v>
      </c>
      <c r="AO172" s="38">
        <f t="shared" si="123"/>
        <v>3.765183396240037E-2</v>
      </c>
      <c r="AP172" s="38">
        <f t="shared" si="124"/>
        <v>7.2568744129938101E-3</v>
      </c>
      <c r="AQ172" s="38">
        <f t="shared" si="125"/>
        <v>0</v>
      </c>
      <c r="AR172" s="38">
        <f t="shared" si="126"/>
        <v>0</v>
      </c>
      <c r="AS172" s="38">
        <f t="shared" si="127"/>
        <v>0</v>
      </c>
      <c r="AT172" s="39">
        <f t="shared" si="128"/>
        <v>3.9255517719241482</v>
      </c>
      <c r="AU172" s="38">
        <f t="shared" si="129"/>
        <v>2.1307348423106003</v>
      </c>
      <c r="AV172" s="38">
        <f t="shared" si="130"/>
        <v>0.51568277379210126</v>
      </c>
      <c r="AW172" s="40"/>
      <c r="AX172" s="38">
        <f t="shared" si="131"/>
        <v>2.0877031071704995</v>
      </c>
      <c r="AY172" s="38">
        <f t="shared" si="132"/>
        <v>7.2467083058501171E-3</v>
      </c>
      <c r="AZ172" s="38">
        <f t="shared" si="133"/>
        <v>8.3441196720517308E-2</v>
      </c>
      <c r="BA172" s="38">
        <f t="shared" si="134"/>
        <v>0</v>
      </c>
      <c r="BB172" s="38">
        <f t="shared" si="135"/>
        <v>0.42623117018564899</v>
      </c>
      <c r="BC172" s="38">
        <f t="shared" si="136"/>
        <v>0</v>
      </c>
      <c r="BD172" s="38">
        <f t="shared" si="137"/>
        <v>1.0462346262848154E-2</v>
      </c>
      <c r="BE172" s="38">
        <f t="shared" si="138"/>
        <v>0.85945275553434841</v>
      </c>
      <c r="BF172" s="38">
        <f t="shared" si="139"/>
        <v>0.47970231220356824</v>
      </c>
      <c r="BG172" s="38">
        <f t="shared" si="140"/>
        <v>3.8365902324039358E-2</v>
      </c>
      <c r="BH172" s="38">
        <f t="shared" si="141"/>
        <v>7.3945012926799657E-3</v>
      </c>
      <c r="BI172" s="38">
        <f t="shared" si="142"/>
        <v>0</v>
      </c>
      <c r="BJ172" s="38">
        <f t="shared" si="143"/>
        <v>0</v>
      </c>
      <c r="BK172" s="38">
        <f t="shared" si="144"/>
        <v>0</v>
      </c>
      <c r="BL172" s="41">
        <f t="shared" si="145"/>
        <v>4.0000000000000009</v>
      </c>
      <c r="BM172" s="42">
        <f t="shared" si="168"/>
        <v>6.113790212028249</v>
      </c>
      <c r="BN172" s="38">
        <f t="shared" si="146"/>
        <v>2.1711443038910168</v>
      </c>
      <c r="BO172" s="38">
        <f t="shared" si="147"/>
        <v>0.52546271582028758</v>
      </c>
      <c r="BQ172" s="38">
        <f t="shared" si="148"/>
        <v>0.86917443408788286</v>
      </c>
      <c r="BR172" s="38">
        <f t="shared" si="149"/>
        <v>3.0170255383074611E-3</v>
      </c>
      <c r="BS172" s="38">
        <f t="shared" si="150"/>
        <v>3.4739113377795214E-2</v>
      </c>
      <c r="BT172" s="38">
        <f t="shared" si="151"/>
        <v>0</v>
      </c>
      <c r="BU172" s="38">
        <f t="shared" si="152"/>
        <v>0.17745302713987476</v>
      </c>
      <c r="BV172" s="38">
        <f t="shared" si="153"/>
        <v>4.3557936284183817E-3</v>
      </c>
      <c r="BW172" s="38">
        <f t="shared" si="154"/>
        <v>0.35781637717121589</v>
      </c>
      <c r="BX172" s="38">
        <f t="shared" si="155"/>
        <v>0.19971469329529243</v>
      </c>
      <c r="BY172" s="38">
        <f t="shared" si="156"/>
        <v>1.5972894482090997E-2</v>
      </c>
      <c r="BZ172" s="38">
        <f t="shared" si="157"/>
        <v>3.0785562632696388E-3</v>
      </c>
      <c r="CA172" s="38">
        <f t="shared" si="158"/>
        <v>0</v>
      </c>
      <c r="CB172" s="38">
        <f t="shared" si="159"/>
        <v>0</v>
      </c>
      <c r="CC172" s="38">
        <f t="shared" si="160"/>
        <v>0</v>
      </c>
      <c r="CD172" s="38">
        <f t="shared" si="161"/>
        <v>1.6653219149841476</v>
      </c>
      <c r="CE172" s="38">
        <f t="shared" si="162"/>
        <v>2.545357205926555</v>
      </c>
      <c r="CF172" s="38">
        <f t="shared" si="163"/>
        <v>2.4019380061050097</v>
      </c>
      <c r="CG172" s="38">
        <f t="shared" si="164"/>
        <v>6.1137902120282481</v>
      </c>
    </row>
    <row r="173" spans="1:85" ht="15" customHeight="1" x14ac:dyDescent="0.25">
      <c r="A173" s="35" t="s">
        <v>88</v>
      </c>
      <c r="B173" s="15">
        <v>886</v>
      </c>
      <c r="C173" s="102" t="s">
        <v>100</v>
      </c>
      <c r="D173" s="103" t="s">
        <v>104</v>
      </c>
      <c r="E173" s="15">
        <v>44</v>
      </c>
      <c r="F173" s="15" t="s">
        <v>270</v>
      </c>
      <c r="G173" s="16">
        <v>54.52</v>
      </c>
      <c r="H173" s="16">
        <v>0.222</v>
      </c>
      <c r="I173" s="16">
        <v>1.0349999999999999</v>
      </c>
      <c r="J173" s="16">
        <v>0</v>
      </c>
      <c r="K173" s="16">
        <v>14.6</v>
      </c>
      <c r="L173" s="16">
        <v>0.38200000000000001</v>
      </c>
      <c r="M173" s="16">
        <v>14.65</v>
      </c>
      <c r="N173" s="16">
        <v>10.99</v>
      </c>
      <c r="O173" s="16">
        <v>0.41699999999999998</v>
      </c>
      <c r="P173" s="16">
        <v>0.125</v>
      </c>
      <c r="Q173" s="16">
        <v>0</v>
      </c>
      <c r="R173" s="16">
        <v>0</v>
      </c>
      <c r="S173" s="16">
        <v>0</v>
      </c>
      <c r="T173" s="16">
        <f t="shared" si="114"/>
        <v>96.941000000000003</v>
      </c>
      <c r="U173" s="16"/>
      <c r="V173" s="16">
        <f t="shared" si="165"/>
        <v>14.6</v>
      </c>
      <c r="W173" s="16">
        <f t="shared" si="166"/>
        <v>0</v>
      </c>
      <c r="X173" s="16">
        <f t="shared" si="167"/>
        <v>96.941000000000003</v>
      </c>
      <c r="AD173" s="15">
        <v>6</v>
      </c>
      <c r="AE173" s="15">
        <v>4</v>
      </c>
      <c r="AG173" s="38">
        <f t="shared" si="115"/>
        <v>2.0725607996276172</v>
      </c>
      <c r="AH173" s="38">
        <f t="shared" si="116"/>
        <v>6.3474059518389024E-3</v>
      </c>
      <c r="AI173" s="38">
        <f t="shared" si="117"/>
        <v>4.6368374896447885E-2</v>
      </c>
      <c r="AJ173" s="38">
        <f t="shared" si="118"/>
        <v>0</v>
      </c>
      <c r="AK173" s="38">
        <f t="shared" si="119"/>
        <v>0.46409558806323337</v>
      </c>
      <c r="AL173" s="38">
        <f t="shared" si="120"/>
        <v>1.2298539356908934E-2</v>
      </c>
      <c r="AM173" s="38">
        <f t="shared" si="121"/>
        <v>0.83025965572305249</v>
      </c>
      <c r="AN173" s="38">
        <f t="shared" si="122"/>
        <v>0.4475803833879109</v>
      </c>
      <c r="AO173" s="38">
        <f t="shared" si="123"/>
        <v>3.0732354575221266E-2</v>
      </c>
      <c r="AP173" s="38">
        <f t="shared" si="124"/>
        <v>6.0613653553978917E-3</v>
      </c>
      <c r="AQ173" s="38">
        <f t="shared" si="125"/>
        <v>0</v>
      </c>
      <c r="AR173" s="38">
        <f t="shared" si="126"/>
        <v>0</v>
      </c>
      <c r="AS173" s="38">
        <f t="shared" si="127"/>
        <v>0</v>
      </c>
      <c r="AT173" s="39">
        <f t="shared" si="128"/>
        <v>3.9163044669376288</v>
      </c>
      <c r="AU173" s="38">
        <f t="shared" si="129"/>
        <v>2.118929174524065</v>
      </c>
      <c r="AV173" s="38">
        <f t="shared" si="130"/>
        <v>0.48437410331853009</v>
      </c>
      <c r="AW173" s="40"/>
      <c r="AX173" s="38">
        <f t="shared" si="131"/>
        <v>2.1168535971854761</v>
      </c>
      <c r="AY173" s="38">
        <f t="shared" si="132"/>
        <v>6.4830566728661769E-3</v>
      </c>
      <c r="AZ173" s="38">
        <f t="shared" si="133"/>
        <v>4.735931568947277E-2</v>
      </c>
      <c r="BA173" s="38">
        <f t="shared" si="134"/>
        <v>0</v>
      </c>
      <c r="BB173" s="38">
        <f t="shared" si="135"/>
        <v>0.47401379742687361</v>
      </c>
      <c r="BC173" s="38">
        <f t="shared" si="136"/>
        <v>0</v>
      </c>
      <c r="BD173" s="38">
        <f t="shared" si="137"/>
        <v>1.2561372039110973E-2</v>
      </c>
      <c r="BE173" s="38">
        <f t="shared" si="138"/>
        <v>0.8480031751691437</v>
      </c>
      <c r="BF173" s="38">
        <f t="shared" si="139"/>
        <v>0.45714564550993492</v>
      </c>
      <c r="BG173" s="38">
        <f t="shared" si="140"/>
        <v>3.1389137218182185E-2</v>
      </c>
      <c r="BH173" s="38">
        <f t="shared" si="141"/>
        <v>6.1909030889394593E-3</v>
      </c>
      <c r="BI173" s="38">
        <f t="shared" si="142"/>
        <v>0</v>
      </c>
      <c r="BJ173" s="38">
        <f t="shared" si="143"/>
        <v>0</v>
      </c>
      <c r="BK173" s="38">
        <f t="shared" si="144"/>
        <v>0</v>
      </c>
      <c r="BL173" s="41">
        <f t="shared" si="145"/>
        <v>4</v>
      </c>
      <c r="BM173" s="42">
        <f t="shared" si="168"/>
        <v>6.1282262915495176</v>
      </c>
      <c r="BN173" s="38">
        <f t="shared" si="146"/>
        <v>2.164212912874949</v>
      </c>
      <c r="BO173" s="38">
        <f t="shared" si="147"/>
        <v>0.49472568581705656</v>
      </c>
      <c r="BQ173" s="38">
        <f t="shared" si="148"/>
        <v>0.90745672436751001</v>
      </c>
      <c r="BR173" s="38">
        <f t="shared" si="149"/>
        <v>2.7791687531296947E-3</v>
      </c>
      <c r="BS173" s="38">
        <f t="shared" si="150"/>
        <v>2.0302079246763437E-2</v>
      </c>
      <c r="BT173" s="38">
        <f t="shared" si="151"/>
        <v>0</v>
      </c>
      <c r="BU173" s="38">
        <f t="shared" si="152"/>
        <v>0.20320111343075853</v>
      </c>
      <c r="BV173" s="38">
        <f t="shared" si="153"/>
        <v>5.3848322526078383E-3</v>
      </c>
      <c r="BW173" s="38">
        <f t="shared" si="154"/>
        <v>0.3635235732009926</v>
      </c>
      <c r="BX173" s="38">
        <f t="shared" si="155"/>
        <v>0.19597004279600572</v>
      </c>
      <c r="BY173" s="38">
        <f t="shared" si="156"/>
        <v>1.3455953533397871E-2</v>
      </c>
      <c r="BZ173" s="38">
        <f t="shared" si="157"/>
        <v>2.6539278131634818E-3</v>
      </c>
      <c r="CA173" s="38">
        <f t="shared" si="158"/>
        <v>0</v>
      </c>
      <c r="CB173" s="38">
        <f t="shared" si="159"/>
        <v>0</v>
      </c>
      <c r="CC173" s="38">
        <f t="shared" si="160"/>
        <v>0</v>
      </c>
      <c r="CD173" s="38">
        <f t="shared" si="161"/>
        <v>1.714727415394329</v>
      </c>
      <c r="CE173" s="38">
        <f t="shared" si="162"/>
        <v>2.6270594074650702</v>
      </c>
      <c r="CF173" s="38">
        <f t="shared" si="163"/>
        <v>2.3327322839123883</v>
      </c>
      <c r="CG173" s="38">
        <f t="shared" si="164"/>
        <v>6.1282262915495185</v>
      </c>
    </row>
    <row r="174" spans="1:85" ht="15" customHeight="1" x14ac:dyDescent="0.25">
      <c r="A174" s="35" t="s">
        <v>88</v>
      </c>
      <c r="B174" s="15">
        <v>887</v>
      </c>
      <c r="C174" s="102" t="s">
        <v>100</v>
      </c>
      <c r="D174" s="103" t="s">
        <v>104</v>
      </c>
      <c r="E174" s="15">
        <v>45</v>
      </c>
      <c r="F174" s="15" t="s">
        <v>270</v>
      </c>
      <c r="G174" s="16">
        <v>53.41</v>
      </c>
      <c r="H174" s="16">
        <v>0.66900000000000004</v>
      </c>
      <c r="I174" s="16">
        <v>1.8540000000000001</v>
      </c>
      <c r="J174" s="16">
        <v>1.2999999999999999E-2</v>
      </c>
      <c r="K174" s="16">
        <v>14.7</v>
      </c>
      <c r="L174" s="16">
        <v>0.38</v>
      </c>
      <c r="M174" s="16">
        <v>14.89</v>
      </c>
      <c r="N174" s="16">
        <v>11.36</v>
      </c>
      <c r="O174" s="16">
        <v>0.82899999999999996</v>
      </c>
      <c r="P174" s="16">
        <v>0.224</v>
      </c>
      <c r="Q174" s="16">
        <v>0</v>
      </c>
      <c r="R174" s="16">
        <v>0</v>
      </c>
      <c r="S174" s="16">
        <v>0.11899999999999999</v>
      </c>
      <c r="T174" s="16">
        <f t="shared" si="114"/>
        <v>98.447999999999979</v>
      </c>
      <c r="U174" s="16"/>
      <c r="V174" s="16">
        <f t="shared" si="165"/>
        <v>14.7</v>
      </c>
      <c r="W174" s="16">
        <f t="shared" si="166"/>
        <v>0</v>
      </c>
      <c r="X174" s="16">
        <f t="shared" si="167"/>
        <v>98.447999999999993</v>
      </c>
      <c r="AD174" s="15">
        <v>6</v>
      </c>
      <c r="AE174" s="15">
        <v>4</v>
      </c>
      <c r="AG174" s="38">
        <f t="shared" si="115"/>
        <v>2.0161422078270612</v>
      </c>
      <c r="AH174" s="38">
        <f t="shared" si="116"/>
        <v>1.8994005929588338E-2</v>
      </c>
      <c r="AI174" s="38">
        <f t="shared" si="117"/>
        <v>8.2478054145836602E-2</v>
      </c>
      <c r="AJ174" s="38">
        <f t="shared" si="118"/>
        <v>3.8795990172671283E-4</v>
      </c>
      <c r="AK174" s="38">
        <f t="shared" si="119"/>
        <v>0.46400116391660695</v>
      </c>
      <c r="AL174" s="38">
        <f t="shared" si="120"/>
        <v>1.2148451386929569E-2</v>
      </c>
      <c r="AM174" s="38">
        <f t="shared" si="121"/>
        <v>0.83795010417128057</v>
      </c>
      <c r="AN174" s="38">
        <f t="shared" si="122"/>
        <v>0.45940829670848893</v>
      </c>
      <c r="AO174" s="38">
        <f t="shared" si="123"/>
        <v>6.0668249198493715E-2</v>
      </c>
      <c r="AP174" s="38">
        <f t="shared" si="124"/>
        <v>1.0785880862168262E-2</v>
      </c>
      <c r="AQ174" s="38">
        <f t="shared" si="125"/>
        <v>0</v>
      </c>
      <c r="AR174" s="38">
        <f t="shared" si="126"/>
        <v>0</v>
      </c>
      <c r="AS174" s="38">
        <f t="shared" si="127"/>
        <v>7.6130595965604071E-3</v>
      </c>
      <c r="AT174" s="39">
        <f t="shared" si="128"/>
        <v>3.9629643740481812</v>
      </c>
      <c r="AU174" s="38">
        <f t="shared" si="129"/>
        <v>2.098620261972898</v>
      </c>
      <c r="AV174" s="38">
        <f t="shared" si="130"/>
        <v>0.53086242676915085</v>
      </c>
      <c r="AW174" s="40"/>
      <c r="AX174" s="38">
        <f t="shared" si="131"/>
        <v>2.0349839337743685</v>
      </c>
      <c r="AY174" s="38">
        <f t="shared" si="132"/>
        <v>1.9171513177329829E-2</v>
      </c>
      <c r="AZ174" s="38">
        <f t="shared" si="133"/>
        <v>8.3248847439509041E-2</v>
      </c>
      <c r="BA174" s="38">
        <f t="shared" si="134"/>
        <v>3.9158555576961751E-4</v>
      </c>
      <c r="BB174" s="38">
        <f t="shared" si="135"/>
        <v>0.4683374566323727</v>
      </c>
      <c r="BC174" s="38">
        <f t="shared" si="136"/>
        <v>0</v>
      </c>
      <c r="BD174" s="38">
        <f t="shared" si="137"/>
        <v>1.2261983949676427E-2</v>
      </c>
      <c r="BE174" s="38">
        <f t="shared" si="138"/>
        <v>0.84578111240027309</v>
      </c>
      <c r="BF174" s="38">
        <f t="shared" si="139"/>
        <v>0.46370166708231281</v>
      </c>
      <c r="BG174" s="38">
        <f t="shared" si="140"/>
        <v>6.1235220377740519E-2</v>
      </c>
      <c r="BH174" s="38">
        <f t="shared" si="141"/>
        <v>1.0886679610647572E-2</v>
      </c>
      <c r="BI174" s="38">
        <f t="shared" si="142"/>
        <v>0</v>
      </c>
      <c r="BJ174" s="38">
        <f t="shared" si="143"/>
        <v>0</v>
      </c>
      <c r="BK174" s="38">
        <f t="shared" si="144"/>
        <v>7.6842069501459002E-3</v>
      </c>
      <c r="BL174" s="41">
        <f t="shared" si="145"/>
        <v>4.0000000000000009</v>
      </c>
      <c r="BM174" s="42">
        <f t="shared" si="168"/>
        <v>6.0560726099800704</v>
      </c>
      <c r="BN174" s="38">
        <f t="shared" si="146"/>
        <v>2.1182327812138775</v>
      </c>
      <c r="BO174" s="38">
        <f t="shared" si="147"/>
        <v>0.53582356707070089</v>
      </c>
      <c r="BQ174" s="38">
        <f t="shared" si="148"/>
        <v>0.88898135818908119</v>
      </c>
      <c r="BR174" s="38">
        <f t="shared" si="149"/>
        <v>8.3750625938908366E-3</v>
      </c>
      <c r="BS174" s="38">
        <f t="shared" si="150"/>
        <v>3.6367202824637117E-2</v>
      </c>
      <c r="BT174" s="38">
        <f t="shared" si="151"/>
        <v>1.7106388578195931E-4</v>
      </c>
      <c r="BU174" s="38">
        <f t="shared" si="152"/>
        <v>0.20459290187891441</v>
      </c>
      <c r="BV174" s="38">
        <f t="shared" si="153"/>
        <v>5.3566394135889485E-3</v>
      </c>
      <c r="BW174" s="38">
        <f t="shared" si="154"/>
        <v>0.36947890818858564</v>
      </c>
      <c r="BX174" s="38">
        <f t="shared" si="155"/>
        <v>0.20256776034236804</v>
      </c>
      <c r="BY174" s="38">
        <f t="shared" si="156"/>
        <v>2.6750564698289771E-2</v>
      </c>
      <c r="BZ174" s="38">
        <f t="shared" si="157"/>
        <v>4.7558386411889596E-3</v>
      </c>
      <c r="CA174" s="38">
        <f t="shared" si="158"/>
        <v>0</v>
      </c>
      <c r="CB174" s="38">
        <f t="shared" si="159"/>
        <v>0</v>
      </c>
      <c r="CC174" s="38">
        <f t="shared" si="160"/>
        <v>3.3568406205923833E-3</v>
      </c>
      <c r="CD174" s="38">
        <f t="shared" si="161"/>
        <v>1.7473973006563268</v>
      </c>
      <c r="CE174" s="38">
        <f t="shared" si="162"/>
        <v>2.6455912328144726</v>
      </c>
      <c r="CF174" s="38">
        <f t="shared" si="163"/>
        <v>2.2891187931316992</v>
      </c>
      <c r="CG174" s="38">
        <f t="shared" si="164"/>
        <v>6.0560726099800695</v>
      </c>
    </row>
    <row r="175" spans="1:85" ht="15" customHeight="1" x14ac:dyDescent="0.25">
      <c r="A175" s="35" t="s">
        <v>88</v>
      </c>
      <c r="B175" s="15">
        <v>889</v>
      </c>
      <c r="C175" s="102" t="s">
        <v>100</v>
      </c>
      <c r="D175" s="103" t="s">
        <v>104</v>
      </c>
      <c r="E175" s="15">
        <v>47</v>
      </c>
      <c r="F175" s="15" t="s">
        <v>279</v>
      </c>
      <c r="G175" s="16">
        <v>3.6999999999999998E-2</v>
      </c>
      <c r="H175" s="16">
        <v>47.9</v>
      </c>
      <c r="I175" s="16">
        <v>5.6000000000000001E-2</v>
      </c>
      <c r="J175" s="16">
        <v>2.4E-2</v>
      </c>
      <c r="K175" s="16">
        <v>48.43</v>
      </c>
      <c r="L175" s="16">
        <v>0.749</v>
      </c>
      <c r="M175" s="16">
        <v>0.875</v>
      </c>
      <c r="N175" s="16">
        <v>2.7E-2</v>
      </c>
      <c r="O175" s="16">
        <v>0.01</v>
      </c>
      <c r="P175" s="16">
        <v>0</v>
      </c>
      <c r="Q175" s="16">
        <v>0</v>
      </c>
      <c r="T175" s="16">
        <f t="shared" si="114"/>
        <v>98.108000000000004</v>
      </c>
      <c r="U175" s="16"/>
      <c r="V175" s="16">
        <f t="shared" si="165"/>
        <v>40.729474292014189</v>
      </c>
      <c r="W175" s="16">
        <f t="shared" si="166"/>
        <v>8.557594219284633</v>
      </c>
      <c r="X175" s="16">
        <f t="shared" si="167"/>
        <v>98.965068511298824</v>
      </c>
      <c r="Y175" s="15">
        <v>46</v>
      </c>
      <c r="AD175" s="15">
        <v>3</v>
      </c>
      <c r="AE175" s="15">
        <v>2</v>
      </c>
      <c r="AG175" s="38">
        <f t="shared" si="115"/>
        <v>9.6749503061946147E-4</v>
      </c>
      <c r="AH175" s="38">
        <f t="shared" si="116"/>
        <v>0.9420509679917396</v>
      </c>
      <c r="AI175" s="38">
        <f t="shared" si="117"/>
        <v>1.7256993630881034E-3</v>
      </c>
      <c r="AJ175" s="38">
        <f t="shared" si="118"/>
        <v>4.9613876963840566E-4</v>
      </c>
      <c r="AK175" s="38">
        <f t="shared" si="119"/>
        <v>1.0589236294535025</v>
      </c>
      <c r="AL175" s="38">
        <f t="shared" si="120"/>
        <v>1.658698975848388E-2</v>
      </c>
      <c r="AM175" s="38">
        <f t="shared" si="121"/>
        <v>3.4109861015133185E-2</v>
      </c>
      <c r="AN175" s="38">
        <f t="shared" si="122"/>
        <v>7.5636722581142075E-4</v>
      </c>
      <c r="AO175" s="38">
        <f t="shared" si="123"/>
        <v>5.0693860652187067E-4</v>
      </c>
      <c r="AP175" s="38">
        <f t="shared" si="124"/>
        <v>0</v>
      </c>
      <c r="AQ175" s="38">
        <f t="shared" si="125"/>
        <v>0</v>
      </c>
      <c r="AR175" s="38">
        <f t="shared" si="126"/>
        <v>0</v>
      </c>
      <c r="AS175" s="38">
        <f t="shared" si="127"/>
        <v>0</v>
      </c>
      <c r="AT175" s="39">
        <f t="shared" si="128"/>
        <v>2.0561240872145388</v>
      </c>
      <c r="AU175" s="38">
        <f t="shared" si="129"/>
        <v>2.6931943937075651E-3</v>
      </c>
      <c r="AV175" s="38">
        <f t="shared" si="130"/>
        <v>1.2633058323332914E-3</v>
      </c>
      <c r="AW175" s="40"/>
      <c r="AX175" s="38">
        <f t="shared" si="131"/>
        <v>9.4108622785518843E-4</v>
      </c>
      <c r="AY175" s="38">
        <f t="shared" si="132"/>
        <v>0.91633668789703226</v>
      </c>
      <c r="AZ175" s="38">
        <f t="shared" si="133"/>
        <v>1.6785945690913368E-3</v>
      </c>
      <c r="BA175" s="38">
        <f t="shared" si="134"/>
        <v>4.825961358300433E-4</v>
      </c>
      <c r="BB175" s="38">
        <f t="shared" si="135"/>
        <v>0.86624282391081664</v>
      </c>
      <c r="BC175" s="38">
        <f t="shared" si="136"/>
        <v>0.1637763622250179</v>
      </c>
      <c r="BD175" s="38">
        <f t="shared" si="137"/>
        <v>1.613423028466586E-2</v>
      </c>
      <c r="BE175" s="38">
        <f t="shared" si="138"/>
        <v>3.3178796189623272E-2</v>
      </c>
      <c r="BF175" s="38">
        <f t="shared" si="139"/>
        <v>7.3572138035315018E-4</v>
      </c>
      <c r="BG175" s="38">
        <f t="shared" si="140"/>
        <v>4.9310117971394199E-4</v>
      </c>
      <c r="BH175" s="38">
        <f t="shared" si="141"/>
        <v>0</v>
      </c>
      <c r="BI175" s="38">
        <f t="shared" si="142"/>
        <v>0</v>
      </c>
      <c r="BJ175" s="38">
        <f t="shared" si="143"/>
        <v>0</v>
      </c>
      <c r="BK175" s="38">
        <f t="shared" si="144"/>
        <v>0</v>
      </c>
      <c r="BL175" s="41">
        <f t="shared" si="145"/>
        <v>1.9999999999999998</v>
      </c>
      <c r="BM175" s="42">
        <f t="shared" si="168"/>
        <v>2.9999999999999996</v>
      </c>
      <c r="BN175" s="38">
        <f t="shared" si="146"/>
        <v>2.6196807969465254E-3</v>
      </c>
      <c r="BO175" s="38">
        <f t="shared" si="147"/>
        <v>1.2288225600670922E-3</v>
      </c>
      <c r="BQ175" s="38">
        <f t="shared" si="148"/>
        <v>6.1584553928095871E-4</v>
      </c>
      <c r="BR175" s="38">
        <f t="shared" si="149"/>
        <v>0.59964947421131698</v>
      </c>
      <c r="BS175" s="38">
        <f t="shared" si="150"/>
        <v>1.0984699882306789E-3</v>
      </c>
      <c r="BT175" s="38">
        <f t="shared" si="151"/>
        <v>3.1581025067438644E-4</v>
      </c>
      <c r="BU175" s="38">
        <f t="shared" si="152"/>
        <v>0.67404314544189292</v>
      </c>
      <c r="BV175" s="38">
        <f t="shared" si="153"/>
        <v>1.0558218212574006E-2</v>
      </c>
      <c r="BW175" s="38">
        <f t="shared" si="154"/>
        <v>2.1712158808933003E-2</v>
      </c>
      <c r="BX175" s="38">
        <f t="shared" si="155"/>
        <v>4.8145506419400855E-4</v>
      </c>
      <c r="BY175" s="38">
        <f t="shared" si="156"/>
        <v>3.2268473701193938E-4</v>
      </c>
      <c r="BZ175" s="38">
        <f t="shared" si="157"/>
        <v>0</v>
      </c>
      <c r="CA175" s="38">
        <f t="shared" si="158"/>
        <v>0</v>
      </c>
      <c r="CB175" s="38">
        <f t="shared" si="159"/>
        <v>0</v>
      </c>
      <c r="CC175" s="38">
        <f t="shared" si="160"/>
        <v>0</v>
      </c>
      <c r="CD175" s="38">
        <f t="shared" si="161"/>
        <v>1.3087972622541091</v>
      </c>
      <c r="CE175" s="38">
        <f t="shared" si="162"/>
        <v>1.9096083797556536</v>
      </c>
      <c r="CF175" s="38">
        <f t="shared" si="163"/>
        <v>1.528120555933506</v>
      </c>
      <c r="CG175" s="38">
        <f t="shared" si="164"/>
        <v>2.9181118188874908</v>
      </c>
    </row>
    <row r="176" spans="1:85" ht="15" customHeight="1" x14ac:dyDescent="0.25">
      <c r="A176" s="35" t="s">
        <v>88</v>
      </c>
      <c r="B176" s="15">
        <v>890</v>
      </c>
      <c r="C176" s="102" t="s">
        <v>100</v>
      </c>
      <c r="D176" s="103" t="s">
        <v>104</v>
      </c>
      <c r="E176" s="15">
        <v>48</v>
      </c>
      <c r="F176" s="15" t="s">
        <v>272</v>
      </c>
      <c r="G176" s="16">
        <v>5.2999999999999999E-2</v>
      </c>
      <c r="H176" s="16">
        <v>2.34</v>
      </c>
      <c r="I176" s="16">
        <v>0.39700000000000002</v>
      </c>
      <c r="J176" s="16">
        <v>4.5999999999999999E-2</v>
      </c>
      <c r="K176" s="16">
        <v>88.82</v>
      </c>
      <c r="L176" s="16">
        <v>0.153</v>
      </c>
      <c r="M176" s="16">
        <v>0.28000000000000003</v>
      </c>
      <c r="N176" s="16">
        <v>0.01</v>
      </c>
      <c r="O176" s="16">
        <v>3.6999999999999998E-2</v>
      </c>
      <c r="P176" s="16">
        <v>1.6E-2</v>
      </c>
      <c r="Q176" s="16">
        <v>0</v>
      </c>
      <c r="T176" s="16">
        <f t="shared" si="114"/>
        <v>92.152000000000015</v>
      </c>
      <c r="U176" s="16"/>
      <c r="V176" s="16">
        <f t="shared" si="165"/>
        <v>32.070234603998422</v>
      </c>
      <c r="W176" s="16">
        <f t="shared" si="166"/>
        <v>63.066014284576546</v>
      </c>
      <c r="X176" s="16">
        <f t="shared" si="167"/>
        <v>98.468248888574962</v>
      </c>
      <c r="Y176" s="15">
        <v>49</v>
      </c>
      <c r="AD176" s="15">
        <v>4</v>
      </c>
      <c r="AE176" s="15">
        <v>3</v>
      </c>
      <c r="AG176" s="38">
        <f t="shared" si="115"/>
        <v>2.6748701750740301E-3</v>
      </c>
      <c r="AH176" s="38">
        <f t="shared" si="116"/>
        <v>8.8824866610568612E-2</v>
      </c>
      <c r="AI176" s="38">
        <f t="shared" si="117"/>
        <v>2.3612797266787479E-2</v>
      </c>
      <c r="AJ176" s="38">
        <f t="shared" si="118"/>
        <v>1.8353951303768979E-3</v>
      </c>
      <c r="AK176" s="38">
        <f t="shared" si="119"/>
        <v>3.7483553772982305</v>
      </c>
      <c r="AL176" s="38">
        <f t="shared" si="120"/>
        <v>6.5396877026353672E-3</v>
      </c>
      <c r="AM176" s="38">
        <f t="shared" si="121"/>
        <v>2.1067342119558675E-2</v>
      </c>
      <c r="AN176" s="38">
        <f t="shared" si="122"/>
        <v>5.406905233710863E-4</v>
      </c>
      <c r="AO176" s="38">
        <f t="shared" si="123"/>
        <v>3.6202362322493354E-3</v>
      </c>
      <c r="AP176" s="38">
        <f t="shared" si="124"/>
        <v>1.030044146094285E-3</v>
      </c>
      <c r="AQ176" s="38">
        <f t="shared" si="125"/>
        <v>0</v>
      </c>
      <c r="AR176" s="38">
        <f t="shared" si="126"/>
        <v>0</v>
      </c>
      <c r="AS176" s="38">
        <f t="shared" si="127"/>
        <v>0</v>
      </c>
      <c r="AT176" s="39">
        <f t="shared" si="128"/>
        <v>3.8981013072049464</v>
      </c>
      <c r="AU176" s="38">
        <f t="shared" si="129"/>
        <v>2.628766744186151E-2</v>
      </c>
      <c r="AV176" s="38">
        <f t="shared" si="130"/>
        <v>5.1909709017147069E-3</v>
      </c>
      <c r="AW176" s="40"/>
      <c r="AX176" s="38">
        <f t="shared" si="131"/>
        <v>2.0585946574528543E-3</v>
      </c>
      <c r="AY176" s="38">
        <f t="shared" si="132"/>
        <v>6.8360101195721862E-2</v>
      </c>
      <c r="AZ176" s="38">
        <f t="shared" si="133"/>
        <v>1.8172537401588376E-2</v>
      </c>
      <c r="BA176" s="38">
        <f t="shared" si="134"/>
        <v>1.4125300902143026E-3</v>
      </c>
      <c r="BB176" s="38">
        <f t="shared" si="135"/>
        <v>1.0415982947263225</v>
      </c>
      <c r="BC176" s="38">
        <f t="shared" si="136"/>
        <v>1.8431564219123109</v>
      </c>
      <c r="BD176" s="38">
        <f t="shared" si="137"/>
        <v>5.0329792793336993E-3</v>
      </c>
      <c r="BE176" s="38">
        <f t="shared" si="138"/>
        <v>1.6213541254522637E-2</v>
      </c>
      <c r="BF176" s="38">
        <f t="shared" si="139"/>
        <v>4.1611837206876798E-4</v>
      </c>
      <c r="BG176" s="38">
        <f t="shared" si="140"/>
        <v>2.7861535247105866E-3</v>
      </c>
      <c r="BH176" s="38">
        <f t="shared" si="141"/>
        <v>7.9272758575342711E-4</v>
      </c>
      <c r="BI176" s="38">
        <f t="shared" si="142"/>
        <v>0</v>
      </c>
      <c r="BJ176" s="38">
        <f t="shared" si="143"/>
        <v>0</v>
      </c>
      <c r="BK176" s="38">
        <f t="shared" si="144"/>
        <v>0</v>
      </c>
      <c r="BL176" s="41">
        <f t="shared" si="145"/>
        <v>2.9999999999999996</v>
      </c>
      <c r="BM176" s="42">
        <f t="shared" si="168"/>
        <v>3.9999999999999991</v>
      </c>
      <c r="BN176" s="38">
        <f t="shared" si="146"/>
        <v>2.0231132059041229E-2</v>
      </c>
      <c r="BO176" s="38">
        <f t="shared" si="147"/>
        <v>3.9949994825327819E-3</v>
      </c>
      <c r="BQ176" s="38">
        <f t="shared" si="148"/>
        <v>8.8215712383488685E-4</v>
      </c>
      <c r="BR176" s="38">
        <f t="shared" si="149"/>
        <v>2.9293940911367049E-2</v>
      </c>
      <c r="BS176" s="38">
        <f t="shared" si="150"/>
        <v>7.787367595135348E-3</v>
      </c>
      <c r="BT176" s="38">
        <f t="shared" si="151"/>
        <v>6.0530298045924065E-4</v>
      </c>
      <c r="BU176" s="38">
        <f t="shared" si="152"/>
        <v>1.2361864996520529</v>
      </c>
      <c r="BV176" s="38">
        <f t="shared" si="153"/>
        <v>2.1567521849450242E-3</v>
      </c>
      <c r="BW176" s="38">
        <f t="shared" si="154"/>
        <v>6.9478908188585617E-3</v>
      </c>
      <c r="BX176" s="38">
        <f t="shared" si="155"/>
        <v>1.783166904422254E-4</v>
      </c>
      <c r="BY176" s="38">
        <f t="shared" si="156"/>
        <v>1.1939335269441755E-3</v>
      </c>
      <c r="BZ176" s="38">
        <f t="shared" si="157"/>
        <v>3.3970276008492571E-4</v>
      </c>
      <c r="CA176" s="38">
        <f t="shared" si="158"/>
        <v>0</v>
      </c>
      <c r="CB176" s="38">
        <f t="shared" si="159"/>
        <v>0</v>
      </c>
      <c r="CC176" s="38">
        <f t="shared" si="160"/>
        <v>0</v>
      </c>
      <c r="CD176" s="38">
        <f t="shared" si="161"/>
        <v>1.2855718642441243</v>
      </c>
      <c r="CE176" s="38">
        <f t="shared" si="162"/>
        <v>1.3191774794236091</v>
      </c>
      <c r="CF176" s="38">
        <f t="shared" si="163"/>
        <v>2.3335918305616508</v>
      </c>
      <c r="CG176" s="38">
        <f t="shared" si="164"/>
        <v>3.0784217890438441</v>
      </c>
    </row>
    <row r="177" spans="1:129" ht="15" customHeight="1" x14ac:dyDescent="0.25">
      <c r="A177" s="35" t="s">
        <v>88</v>
      </c>
      <c r="B177" s="15">
        <v>891</v>
      </c>
      <c r="C177" s="102" t="s">
        <v>100</v>
      </c>
      <c r="D177" s="103" t="s">
        <v>104</v>
      </c>
      <c r="E177" s="15">
        <v>49</v>
      </c>
      <c r="F177" s="15" t="s">
        <v>279</v>
      </c>
      <c r="G177" s="16">
        <v>0.02</v>
      </c>
      <c r="H177" s="16">
        <v>48.6</v>
      </c>
      <c r="I177" s="16">
        <v>5.3999999999999999E-2</v>
      </c>
      <c r="J177" s="16">
        <v>8.0000000000000002E-3</v>
      </c>
      <c r="K177" s="16">
        <v>47.24</v>
      </c>
      <c r="L177" s="16">
        <v>0.66100000000000003</v>
      </c>
      <c r="M177" s="16">
        <v>0.97099999999999997</v>
      </c>
      <c r="N177" s="16">
        <v>4.2999999999999997E-2</v>
      </c>
      <c r="O177" s="16">
        <v>0</v>
      </c>
      <c r="P177" s="16">
        <v>0.01</v>
      </c>
      <c r="Q177" s="16">
        <v>0</v>
      </c>
      <c r="T177" s="16">
        <f t="shared" si="114"/>
        <v>97.607000000000028</v>
      </c>
      <c r="U177" s="16"/>
      <c r="V177" s="16">
        <f t="shared" si="165"/>
        <v>41.252109316692675</v>
      </c>
      <c r="W177" s="16">
        <f t="shared" si="166"/>
        <v>6.654342916359429</v>
      </c>
      <c r="X177" s="16">
        <f t="shared" si="167"/>
        <v>98.273452233052126</v>
      </c>
      <c r="Y177" s="15">
        <v>48</v>
      </c>
      <c r="AD177" s="15">
        <v>3</v>
      </c>
      <c r="AE177" s="15">
        <v>2</v>
      </c>
      <c r="AG177" s="38">
        <f t="shared" si="115"/>
        <v>5.225884703926795E-4</v>
      </c>
      <c r="AH177" s="38">
        <f t="shared" si="116"/>
        <v>0.95512005735975225</v>
      </c>
      <c r="AI177" s="38">
        <f t="shared" si="117"/>
        <v>1.662852320777146E-3</v>
      </c>
      <c r="AJ177" s="38">
        <f t="shared" si="118"/>
        <v>1.6525884756203531E-4</v>
      </c>
      <c r="AK177" s="38">
        <f t="shared" si="119"/>
        <v>1.0321501230538057</v>
      </c>
      <c r="AL177" s="38">
        <f t="shared" si="120"/>
        <v>1.4627497331609835E-2</v>
      </c>
      <c r="AM177" s="38">
        <f t="shared" si="121"/>
        <v>3.7824564463346914E-2</v>
      </c>
      <c r="AN177" s="38">
        <f t="shared" si="122"/>
        <v>1.2037053833374321E-3</v>
      </c>
      <c r="AO177" s="38">
        <f t="shared" si="123"/>
        <v>0</v>
      </c>
      <c r="AP177" s="38">
        <f t="shared" si="124"/>
        <v>3.333027102037387E-4</v>
      </c>
      <c r="AQ177" s="38">
        <f t="shared" si="125"/>
        <v>0</v>
      </c>
      <c r="AR177" s="38">
        <f t="shared" si="126"/>
        <v>0</v>
      </c>
      <c r="AS177" s="38">
        <f t="shared" si="127"/>
        <v>0</v>
      </c>
      <c r="AT177" s="39">
        <f t="shared" si="128"/>
        <v>2.0436099499407874</v>
      </c>
      <c r="AU177" s="38">
        <f t="shared" si="129"/>
        <v>2.1854407911698253E-3</v>
      </c>
      <c r="AV177" s="38">
        <f t="shared" si="130"/>
        <v>1.5370080935411708E-3</v>
      </c>
      <c r="AW177" s="40"/>
      <c r="AX177" s="38">
        <f t="shared" si="131"/>
        <v>5.1143660795722903E-4</v>
      </c>
      <c r="AY177" s="38">
        <f t="shared" si="132"/>
        <v>0.93473811613358626</v>
      </c>
      <c r="AZ177" s="38">
        <f t="shared" si="133"/>
        <v>1.6273676107569609E-3</v>
      </c>
      <c r="BA177" s="38">
        <f t="shared" si="134"/>
        <v>1.6173227926084775E-4</v>
      </c>
      <c r="BB177" s="38">
        <f t="shared" si="135"/>
        <v>0.8820864013287455</v>
      </c>
      <c r="BC177" s="38">
        <f t="shared" si="136"/>
        <v>0.12803798476920991</v>
      </c>
      <c r="BD177" s="38">
        <f t="shared" si="137"/>
        <v>1.4315351451517114E-2</v>
      </c>
      <c r="BE177" s="38">
        <f t="shared" si="138"/>
        <v>3.701740096190357E-2</v>
      </c>
      <c r="BF177" s="38">
        <f t="shared" si="139"/>
        <v>1.1780187147477029E-3</v>
      </c>
      <c r="BG177" s="38">
        <f t="shared" si="140"/>
        <v>0</v>
      </c>
      <c r="BH177" s="38">
        <f t="shared" si="141"/>
        <v>3.2619014231497151E-4</v>
      </c>
      <c r="BI177" s="38">
        <f t="shared" si="142"/>
        <v>0</v>
      </c>
      <c r="BJ177" s="38">
        <f t="shared" si="143"/>
        <v>0</v>
      </c>
      <c r="BK177" s="38">
        <f t="shared" si="144"/>
        <v>0</v>
      </c>
      <c r="BL177" s="41">
        <f t="shared" si="145"/>
        <v>2</v>
      </c>
      <c r="BM177" s="42">
        <f t="shared" si="168"/>
        <v>3</v>
      </c>
      <c r="BN177" s="38">
        <f t="shared" si="146"/>
        <v>2.1388042187141898E-3</v>
      </c>
      <c r="BO177" s="38">
        <f t="shared" si="147"/>
        <v>1.5042088570626745E-3</v>
      </c>
      <c r="BQ177" s="38">
        <f t="shared" si="148"/>
        <v>3.3288948069241014E-4</v>
      </c>
      <c r="BR177" s="38">
        <f t="shared" si="149"/>
        <v>0.6084126189283926</v>
      </c>
      <c r="BS177" s="38">
        <f t="shared" si="150"/>
        <v>1.0592389172224403E-3</v>
      </c>
      <c r="BT177" s="38">
        <f t="shared" si="151"/>
        <v>1.0527008355812881E-4</v>
      </c>
      <c r="BU177" s="38">
        <f t="shared" si="152"/>
        <v>0.65748086290883789</v>
      </c>
      <c r="BV177" s="38">
        <f t="shared" si="153"/>
        <v>9.3177332957428815E-3</v>
      </c>
      <c r="BW177" s="38">
        <f t="shared" si="154"/>
        <v>2.4094292803970224E-2</v>
      </c>
      <c r="BX177" s="38">
        <f t="shared" si="155"/>
        <v>7.6676176890156918E-4</v>
      </c>
      <c r="BY177" s="38">
        <f t="shared" si="156"/>
        <v>0</v>
      </c>
      <c r="BZ177" s="38">
        <f t="shared" si="157"/>
        <v>2.1231422505307856E-4</v>
      </c>
      <c r="CA177" s="38">
        <f t="shared" si="158"/>
        <v>0</v>
      </c>
      <c r="CB177" s="38">
        <f t="shared" si="159"/>
        <v>0</v>
      </c>
      <c r="CC177" s="38">
        <f t="shared" si="160"/>
        <v>0</v>
      </c>
      <c r="CD177" s="38">
        <f t="shared" si="161"/>
        <v>1.3017819824123711</v>
      </c>
      <c r="CE177" s="38">
        <f t="shared" si="162"/>
        <v>1.9110035882093197</v>
      </c>
      <c r="CF177" s="38">
        <f t="shared" si="163"/>
        <v>1.5363555703035159</v>
      </c>
      <c r="CG177" s="38">
        <f t="shared" si="164"/>
        <v>2.9359810076153945</v>
      </c>
    </row>
    <row r="178" spans="1:129" ht="15" customHeight="1" x14ac:dyDescent="0.25">
      <c r="A178" s="35" t="s">
        <v>88</v>
      </c>
      <c r="B178" s="15">
        <v>892</v>
      </c>
      <c r="C178" s="102" t="s">
        <v>100</v>
      </c>
      <c r="D178" s="103" t="s">
        <v>104</v>
      </c>
      <c r="E178" s="15">
        <v>50</v>
      </c>
      <c r="F178" s="15" t="s">
        <v>270</v>
      </c>
      <c r="G178" s="16">
        <v>54.7</v>
      </c>
      <c r="H178" s="16">
        <v>0.22</v>
      </c>
      <c r="I178" s="16">
        <v>1.1919999999999999</v>
      </c>
      <c r="J178" s="16">
        <v>0</v>
      </c>
      <c r="K178" s="16">
        <v>10.57</v>
      </c>
      <c r="L178" s="16">
        <v>0.21</v>
      </c>
      <c r="M178" s="16">
        <v>17.850000000000001</v>
      </c>
      <c r="N178" s="16">
        <v>10.98</v>
      </c>
      <c r="O178" s="16">
        <v>0.48899999999999999</v>
      </c>
      <c r="P178" s="16">
        <v>0.17100000000000001</v>
      </c>
      <c r="Q178" s="16">
        <v>0</v>
      </c>
      <c r="R178" s="16">
        <v>0</v>
      </c>
      <c r="S178" s="16">
        <v>0</v>
      </c>
      <c r="T178" s="16">
        <f t="shared" si="114"/>
        <v>96.382000000000005</v>
      </c>
      <c r="U178" s="16"/>
      <c r="V178" s="16">
        <f t="shared" si="165"/>
        <v>10.57</v>
      </c>
      <c r="W178" s="16">
        <f t="shared" si="166"/>
        <v>0</v>
      </c>
      <c r="X178" s="16">
        <f t="shared" si="167"/>
        <v>96.382000000000005</v>
      </c>
      <c r="AD178" s="15">
        <v>6</v>
      </c>
      <c r="AE178" s="15">
        <v>4</v>
      </c>
      <c r="AG178" s="38">
        <f t="shared" si="115"/>
        <v>2.0536656820520931</v>
      </c>
      <c r="AH178" s="38">
        <f t="shared" si="116"/>
        <v>6.2123650556025409E-3</v>
      </c>
      <c r="AI178" s="38">
        <f t="shared" si="117"/>
        <v>5.2741049520730492E-2</v>
      </c>
      <c r="AJ178" s="38">
        <f t="shared" si="118"/>
        <v>0</v>
      </c>
      <c r="AK178" s="38">
        <f t="shared" si="119"/>
        <v>0.33183375258942133</v>
      </c>
      <c r="AL178" s="38">
        <f t="shared" si="120"/>
        <v>6.677293316677442E-3</v>
      </c>
      <c r="AM178" s="38">
        <f t="shared" si="121"/>
        <v>0.99909208362861823</v>
      </c>
      <c r="AN178" s="38">
        <f t="shared" si="122"/>
        <v>0.44163824833387455</v>
      </c>
      <c r="AO178" s="38">
        <f t="shared" si="123"/>
        <v>3.5592592829609061E-2</v>
      </c>
      <c r="AP178" s="38">
        <f t="shared" si="124"/>
        <v>8.1893144402337189E-3</v>
      </c>
      <c r="AQ178" s="38">
        <f t="shared" si="125"/>
        <v>0</v>
      </c>
      <c r="AR178" s="38">
        <f t="shared" si="126"/>
        <v>0</v>
      </c>
      <c r="AS178" s="38">
        <f t="shared" si="127"/>
        <v>0</v>
      </c>
      <c r="AT178" s="39">
        <f t="shared" si="128"/>
        <v>3.9356423817668609</v>
      </c>
      <c r="AU178" s="38">
        <f t="shared" si="129"/>
        <v>2.1064067315728234</v>
      </c>
      <c r="AV178" s="38">
        <f t="shared" si="130"/>
        <v>0.48542015560371737</v>
      </c>
      <c r="AW178" s="40"/>
      <c r="AX178" s="38">
        <f t="shared" si="131"/>
        <v>2.0872482637816536</v>
      </c>
      <c r="AY178" s="38">
        <f t="shared" si="132"/>
        <v>6.3139527965074636E-3</v>
      </c>
      <c r="AZ178" s="38">
        <f t="shared" si="133"/>
        <v>5.3603497883924114E-2</v>
      </c>
      <c r="BA178" s="38">
        <f t="shared" si="134"/>
        <v>0</v>
      </c>
      <c r="BB178" s="38">
        <f t="shared" si="135"/>
        <v>0.33726006623645355</v>
      </c>
      <c r="BC178" s="38">
        <f t="shared" si="136"/>
        <v>0</v>
      </c>
      <c r="BD178" s="38">
        <f t="shared" si="137"/>
        <v>6.7864838000649321E-3</v>
      </c>
      <c r="BE178" s="38">
        <f t="shared" si="138"/>
        <v>1.0154297435734874</v>
      </c>
      <c r="BF178" s="38">
        <f t="shared" si="139"/>
        <v>0.44886014072813818</v>
      </c>
      <c r="BG178" s="38">
        <f t="shared" si="140"/>
        <v>3.6174620940666036E-2</v>
      </c>
      <c r="BH178" s="38">
        <f t="shared" si="141"/>
        <v>8.3232302591042043E-3</v>
      </c>
      <c r="BI178" s="38">
        <f t="shared" si="142"/>
        <v>0</v>
      </c>
      <c r="BJ178" s="38">
        <f t="shared" si="143"/>
        <v>0</v>
      </c>
      <c r="BK178" s="38">
        <f t="shared" si="144"/>
        <v>0</v>
      </c>
      <c r="BL178" s="41">
        <f t="shared" si="145"/>
        <v>3.9999999999999991</v>
      </c>
      <c r="BM178" s="42">
        <f t="shared" si="168"/>
        <v>6.0981150399202368</v>
      </c>
      <c r="BN178" s="38">
        <f t="shared" si="146"/>
        <v>2.1408517616655778</v>
      </c>
      <c r="BO178" s="38">
        <f t="shared" si="147"/>
        <v>0.49335799192790841</v>
      </c>
      <c r="BQ178" s="38">
        <f t="shared" si="148"/>
        <v>0.9104527296937418</v>
      </c>
      <c r="BR178" s="38">
        <f t="shared" si="149"/>
        <v>2.7541311967951929E-3</v>
      </c>
      <c r="BS178" s="38">
        <f t="shared" si="150"/>
        <v>2.3381718320910162E-2</v>
      </c>
      <c r="BT178" s="38">
        <f t="shared" si="151"/>
        <v>0</v>
      </c>
      <c r="BU178" s="38">
        <f t="shared" si="152"/>
        <v>0.14711203897007658</v>
      </c>
      <c r="BV178" s="38">
        <f t="shared" si="153"/>
        <v>2.9602480969833662E-3</v>
      </c>
      <c r="BW178" s="38">
        <f t="shared" si="154"/>
        <v>0.44292803970223332</v>
      </c>
      <c r="BX178" s="38">
        <f t="shared" si="155"/>
        <v>0.1957917261055635</v>
      </c>
      <c r="BY178" s="38">
        <f t="shared" si="156"/>
        <v>1.5779283639883835E-2</v>
      </c>
      <c r="BZ178" s="38">
        <f t="shared" si="157"/>
        <v>3.6305732484076436E-3</v>
      </c>
      <c r="CA178" s="38">
        <f t="shared" si="158"/>
        <v>0</v>
      </c>
      <c r="CB178" s="38">
        <f t="shared" si="159"/>
        <v>0</v>
      </c>
      <c r="CC178" s="38">
        <f t="shared" si="160"/>
        <v>0</v>
      </c>
      <c r="CD178" s="38">
        <f t="shared" si="161"/>
        <v>1.7447904889745955</v>
      </c>
      <c r="CE178" s="38">
        <f t="shared" si="162"/>
        <v>2.6599832805814416</v>
      </c>
      <c r="CF178" s="38">
        <f t="shared" si="163"/>
        <v>2.2925388608409825</v>
      </c>
      <c r="CG178" s="38">
        <f t="shared" si="164"/>
        <v>6.0981150399202377</v>
      </c>
    </row>
    <row r="179" spans="1:129" ht="15" customHeight="1" x14ac:dyDescent="0.25">
      <c r="A179" s="35" t="s">
        <v>88</v>
      </c>
      <c r="B179" s="15">
        <v>893</v>
      </c>
      <c r="C179" s="102" t="s">
        <v>100</v>
      </c>
      <c r="D179" s="103" t="s">
        <v>104</v>
      </c>
      <c r="E179" s="15">
        <v>51</v>
      </c>
      <c r="F179" s="15" t="s">
        <v>270</v>
      </c>
      <c r="G179" s="16">
        <v>54.49</v>
      </c>
      <c r="H179" s="16">
        <v>0.307</v>
      </c>
      <c r="I179" s="16">
        <v>1.0589999999999999</v>
      </c>
      <c r="J179" s="16">
        <v>0</v>
      </c>
      <c r="K179" s="16">
        <v>16.260000000000002</v>
      </c>
      <c r="L179" s="16">
        <v>0.35499999999999998</v>
      </c>
      <c r="M179" s="16">
        <v>14.12</v>
      </c>
      <c r="N179" s="16">
        <v>11.18</v>
      </c>
      <c r="O179" s="16">
        <v>0.499</v>
      </c>
      <c r="P179" s="16">
        <v>9.6000000000000002E-2</v>
      </c>
      <c r="Q179" s="16">
        <v>0</v>
      </c>
      <c r="R179" s="16">
        <v>0</v>
      </c>
      <c r="S179" s="16">
        <v>0.111</v>
      </c>
      <c r="T179" s="16">
        <f t="shared" si="114"/>
        <v>98.477000000000018</v>
      </c>
      <c r="U179" s="16"/>
      <c r="V179" s="16">
        <f t="shared" si="165"/>
        <v>16.260000000000002</v>
      </c>
      <c r="W179" s="16">
        <f t="shared" si="166"/>
        <v>0</v>
      </c>
      <c r="X179" s="16">
        <f t="shared" si="167"/>
        <v>98.477000000000004</v>
      </c>
      <c r="AD179" s="15">
        <v>6</v>
      </c>
      <c r="AE179" s="15">
        <v>4</v>
      </c>
      <c r="AG179" s="38">
        <f t="shared" si="115"/>
        <v>2.0602488499926039</v>
      </c>
      <c r="AH179" s="38">
        <f t="shared" si="116"/>
        <v>8.7303793662184357E-3</v>
      </c>
      <c r="AI179" s="38">
        <f t="shared" si="117"/>
        <v>4.7187712579127718E-2</v>
      </c>
      <c r="AJ179" s="38">
        <f t="shared" si="118"/>
        <v>0</v>
      </c>
      <c r="AK179" s="38">
        <f t="shared" si="119"/>
        <v>0.51407509597934442</v>
      </c>
      <c r="AL179" s="38">
        <f t="shared" si="120"/>
        <v>1.1367630940107329E-2</v>
      </c>
      <c r="AM179" s="38">
        <f t="shared" si="121"/>
        <v>0.79590722490783494</v>
      </c>
      <c r="AN179" s="38">
        <f t="shared" si="122"/>
        <v>0.45286274541418559</v>
      </c>
      <c r="AO179" s="38">
        <f t="shared" si="123"/>
        <v>3.6577310236988375E-2</v>
      </c>
      <c r="AP179" s="38">
        <f t="shared" si="124"/>
        <v>4.6300227226193317E-3</v>
      </c>
      <c r="AQ179" s="38">
        <f t="shared" si="125"/>
        <v>0</v>
      </c>
      <c r="AR179" s="38">
        <f t="shared" si="126"/>
        <v>0</v>
      </c>
      <c r="AS179" s="38">
        <f t="shared" si="127"/>
        <v>7.1127826152227692E-3</v>
      </c>
      <c r="AT179" s="39">
        <f t="shared" si="128"/>
        <v>3.93158697213903</v>
      </c>
      <c r="AU179" s="38">
        <f t="shared" si="129"/>
        <v>2.1074365625717317</v>
      </c>
      <c r="AV179" s="38">
        <f t="shared" si="130"/>
        <v>0.4940700783737933</v>
      </c>
      <c r="AW179" s="40"/>
      <c r="AX179" s="38">
        <f t="shared" si="131"/>
        <v>2.0960989692889327</v>
      </c>
      <c r="AY179" s="38">
        <f t="shared" si="132"/>
        <v>8.88229554944177E-3</v>
      </c>
      <c r="AZ179" s="38">
        <f t="shared" si="133"/>
        <v>4.8008819760082429E-2</v>
      </c>
      <c r="BA179" s="38">
        <f t="shared" si="134"/>
        <v>0</v>
      </c>
      <c r="BB179" s="38">
        <f t="shared" si="135"/>
        <v>0.52302044911869805</v>
      </c>
      <c r="BC179" s="38">
        <f t="shared" si="136"/>
        <v>0</v>
      </c>
      <c r="BD179" s="38">
        <f t="shared" si="137"/>
        <v>1.1565437591144144E-2</v>
      </c>
      <c r="BE179" s="38">
        <f t="shared" si="138"/>
        <v>0.80975670185905779</v>
      </c>
      <c r="BF179" s="38">
        <f t="shared" si="139"/>
        <v>0.46074295049136343</v>
      </c>
      <c r="BG179" s="38">
        <f t="shared" si="140"/>
        <v>3.721378720215672E-2</v>
      </c>
      <c r="BH179" s="38">
        <f t="shared" si="141"/>
        <v>4.7105891391234405E-3</v>
      </c>
      <c r="BI179" s="38">
        <f t="shared" si="142"/>
        <v>0</v>
      </c>
      <c r="BJ179" s="38">
        <f t="shared" si="143"/>
        <v>0</v>
      </c>
      <c r="BK179" s="38">
        <f t="shared" si="144"/>
        <v>7.2365512101114429E-3</v>
      </c>
      <c r="BL179" s="41">
        <f t="shared" si="145"/>
        <v>4</v>
      </c>
      <c r="BM179" s="42">
        <f t="shared" si="168"/>
        <v>6.10440521094272</v>
      </c>
      <c r="BN179" s="38">
        <f t="shared" si="146"/>
        <v>2.144107789049015</v>
      </c>
      <c r="BO179" s="38">
        <f t="shared" si="147"/>
        <v>0.50266732683264359</v>
      </c>
      <c r="BQ179" s="38">
        <f t="shared" si="148"/>
        <v>0.90695739014647148</v>
      </c>
      <c r="BR179" s="38">
        <f t="shared" si="149"/>
        <v>3.843264897346019E-3</v>
      </c>
      <c r="BS179" s="38">
        <f t="shared" si="150"/>
        <v>2.0772852098862298E-2</v>
      </c>
      <c r="BT179" s="38">
        <f t="shared" si="151"/>
        <v>0</v>
      </c>
      <c r="BU179" s="38">
        <f t="shared" si="152"/>
        <v>0.22630480167014619</v>
      </c>
      <c r="BV179" s="38">
        <f t="shared" si="153"/>
        <v>5.0042289258528331E-3</v>
      </c>
      <c r="BW179" s="38">
        <f t="shared" si="154"/>
        <v>0.35037220843672456</v>
      </c>
      <c r="BX179" s="38">
        <f t="shared" si="155"/>
        <v>0.199358059914408</v>
      </c>
      <c r="BY179" s="38">
        <f t="shared" si="156"/>
        <v>1.6101968376895773E-2</v>
      </c>
      <c r="BZ179" s="38">
        <f t="shared" si="157"/>
        <v>2.0382165605095539E-3</v>
      </c>
      <c r="CA179" s="38">
        <f t="shared" si="158"/>
        <v>0</v>
      </c>
      <c r="CB179" s="38">
        <f t="shared" si="159"/>
        <v>0</v>
      </c>
      <c r="CC179" s="38">
        <f t="shared" si="160"/>
        <v>3.1311706629055004E-3</v>
      </c>
      <c r="CD179" s="38">
        <f t="shared" si="161"/>
        <v>1.7307529910272164</v>
      </c>
      <c r="CE179" s="38">
        <f t="shared" si="162"/>
        <v>2.6413043943203096</v>
      </c>
      <c r="CF179" s="38">
        <f t="shared" si="163"/>
        <v>2.3111327963824384</v>
      </c>
      <c r="CG179" s="38">
        <f t="shared" si="164"/>
        <v>6.10440521094272</v>
      </c>
    </row>
    <row r="180" spans="1:129" ht="15" customHeight="1" x14ac:dyDescent="0.25">
      <c r="A180" s="35" t="s">
        <v>88</v>
      </c>
      <c r="B180" s="15">
        <v>895</v>
      </c>
      <c r="C180" s="102" t="s">
        <v>100</v>
      </c>
      <c r="D180" s="103" t="s">
        <v>104</v>
      </c>
      <c r="E180" s="15">
        <v>53</v>
      </c>
      <c r="F180" s="15" t="s">
        <v>270</v>
      </c>
      <c r="G180" s="16">
        <v>53.24</v>
      </c>
      <c r="H180" s="16">
        <v>0.44</v>
      </c>
      <c r="I180" s="16">
        <v>2.33</v>
      </c>
      <c r="J180" s="16">
        <v>3.6999999999999998E-2</v>
      </c>
      <c r="K180" s="16">
        <v>13.72</v>
      </c>
      <c r="L180" s="16">
        <v>0.26300000000000001</v>
      </c>
      <c r="M180" s="16">
        <v>15.62</v>
      </c>
      <c r="N180" s="16">
        <v>11.06</v>
      </c>
      <c r="O180" s="16">
        <v>0.96399999999999997</v>
      </c>
      <c r="P180" s="16">
        <v>0.19</v>
      </c>
      <c r="Q180" s="16">
        <v>0</v>
      </c>
      <c r="R180" s="16">
        <v>0</v>
      </c>
      <c r="S180" s="16">
        <v>0.152</v>
      </c>
      <c r="T180" s="16">
        <f t="shared" si="114"/>
        <v>98.016000000000005</v>
      </c>
      <c r="U180" s="16"/>
      <c r="V180" s="16">
        <f t="shared" si="165"/>
        <v>13.72</v>
      </c>
      <c r="W180" s="16">
        <f t="shared" si="166"/>
        <v>0</v>
      </c>
      <c r="X180" s="16">
        <f t="shared" si="167"/>
        <v>98.015999999999991</v>
      </c>
      <c r="AD180" s="15">
        <v>6</v>
      </c>
      <c r="AE180" s="15">
        <v>4</v>
      </c>
      <c r="AG180" s="38">
        <f t="shared" si="115"/>
        <v>2.0082720098904456</v>
      </c>
      <c r="AH180" s="38">
        <f t="shared" si="116"/>
        <v>1.2483289226631059E-2</v>
      </c>
      <c r="AI180" s="38">
        <f t="shared" si="117"/>
        <v>0.10357871108885228</v>
      </c>
      <c r="AJ180" s="38">
        <f t="shared" si="118"/>
        <v>1.1033952684285954E-3</v>
      </c>
      <c r="AK180" s="38">
        <f t="shared" si="119"/>
        <v>0.43275465830858245</v>
      </c>
      <c r="AL180" s="38">
        <f t="shared" si="120"/>
        <v>8.4019284132661725E-3</v>
      </c>
      <c r="AM180" s="38">
        <f t="shared" si="121"/>
        <v>0.87839609408254982</v>
      </c>
      <c r="AN180" s="38">
        <f t="shared" si="122"/>
        <v>0.44695266851987325</v>
      </c>
      <c r="AO180" s="38">
        <f t="shared" si="123"/>
        <v>7.0496875697442757E-2</v>
      </c>
      <c r="AP180" s="38">
        <f t="shared" si="124"/>
        <v>9.1421239746393018E-3</v>
      </c>
      <c r="AQ180" s="38">
        <f t="shared" si="125"/>
        <v>0</v>
      </c>
      <c r="AR180" s="38">
        <f t="shared" si="126"/>
        <v>0</v>
      </c>
      <c r="AS180" s="38">
        <f t="shared" si="127"/>
        <v>9.7172138607731686E-3</v>
      </c>
      <c r="AT180" s="39">
        <f t="shared" si="128"/>
        <v>3.9715817544707117</v>
      </c>
      <c r="AU180" s="38">
        <f t="shared" si="129"/>
        <v>2.111850720979298</v>
      </c>
      <c r="AV180" s="38">
        <f t="shared" si="130"/>
        <v>0.52659166819195535</v>
      </c>
      <c r="AW180" s="40"/>
      <c r="AX180" s="38">
        <f t="shared" si="131"/>
        <v>2.0226419940919342</v>
      </c>
      <c r="AY180" s="38">
        <f t="shared" si="132"/>
        <v>1.2572612121182124E-2</v>
      </c>
      <c r="AZ180" s="38">
        <f t="shared" si="133"/>
        <v>0.10431985792286037</v>
      </c>
      <c r="BA180" s="38">
        <f t="shared" si="134"/>
        <v>1.1112904999994329E-3</v>
      </c>
      <c r="BB180" s="38">
        <f t="shared" si="135"/>
        <v>0.43585118984036147</v>
      </c>
      <c r="BC180" s="38">
        <f t="shared" si="136"/>
        <v>0</v>
      </c>
      <c r="BD180" s="38">
        <f t="shared" si="137"/>
        <v>8.4620475495017361E-3</v>
      </c>
      <c r="BE180" s="38">
        <f t="shared" si="138"/>
        <v>0.88468136715932999</v>
      </c>
      <c r="BF180" s="38">
        <f t="shared" si="139"/>
        <v>0.45015079245617912</v>
      </c>
      <c r="BG180" s="38">
        <f t="shared" si="140"/>
        <v>7.1001308854424239E-2</v>
      </c>
      <c r="BH180" s="38">
        <f t="shared" si="141"/>
        <v>9.2075395042272405E-3</v>
      </c>
      <c r="BI180" s="38">
        <f t="shared" si="142"/>
        <v>0</v>
      </c>
      <c r="BJ180" s="38">
        <f t="shared" si="143"/>
        <v>0</v>
      </c>
      <c r="BK180" s="38">
        <f t="shared" si="144"/>
        <v>9.7867443870037346E-3</v>
      </c>
      <c r="BL180" s="41">
        <f t="shared" si="145"/>
        <v>4.0000000000000009</v>
      </c>
      <c r="BM180" s="42">
        <f t="shared" si="168"/>
        <v>6.0429323840517188</v>
      </c>
      <c r="BN180" s="38">
        <f t="shared" si="146"/>
        <v>2.1269618520147948</v>
      </c>
      <c r="BO180" s="38">
        <f t="shared" si="147"/>
        <v>0.53035964081483056</v>
      </c>
      <c r="BQ180" s="38">
        <f t="shared" si="148"/>
        <v>0.88615179760319585</v>
      </c>
      <c r="BR180" s="38">
        <f t="shared" si="149"/>
        <v>5.5082623935903859E-3</v>
      </c>
      <c r="BS180" s="38">
        <f t="shared" si="150"/>
        <v>4.5704197724597884E-2</v>
      </c>
      <c r="BT180" s="38">
        <f t="shared" si="151"/>
        <v>4.8687413645634578E-4</v>
      </c>
      <c r="BU180" s="38">
        <f t="shared" si="152"/>
        <v>0.19095337508698682</v>
      </c>
      <c r="BV180" s="38">
        <f t="shared" si="153"/>
        <v>3.7073583309839304E-3</v>
      </c>
      <c r="BW180" s="38">
        <f t="shared" si="154"/>
        <v>0.38759305210918116</v>
      </c>
      <c r="BX180" s="38">
        <f t="shared" si="155"/>
        <v>0.19721825962910131</v>
      </c>
      <c r="BY180" s="38">
        <f t="shared" si="156"/>
        <v>3.1106808647950953E-2</v>
      </c>
      <c r="BZ180" s="38">
        <f t="shared" si="157"/>
        <v>4.0339702760084925E-3</v>
      </c>
      <c r="CA180" s="38">
        <f t="shared" si="158"/>
        <v>0</v>
      </c>
      <c r="CB180" s="38">
        <f t="shared" si="159"/>
        <v>0</v>
      </c>
      <c r="CC180" s="38">
        <f t="shared" si="160"/>
        <v>4.2877291960507751E-3</v>
      </c>
      <c r="CD180" s="38">
        <f t="shared" si="161"/>
        <v>1.752463955938053</v>
      </c>
      <c r="CE180" s="38">
        <f t="shared" si="162"/>
        <v>2.647505297805361</v>
      </c>
      <c r="CF180" s="38">
        <f t="shared" si="163"/>
        <v>2.2825005823637001</v>
      </c>
      <c r="CG180" s="38">
        <f t="shared" si="164"/>
        <v>6.042932384051718</v>
      </c>
      <c r="CI180" s="16">
        <v>3.163126552098944</v>
      </c>
      <c r="CJ180" s="13">
        <v>4907.3410510331978</v>
      </c>
      <c r="CK180" s="13">
        <v>97838.768254391485</v>
      </c>
      <c r="CL180" s="13">
        <v>7539.0953967390606</v>
      </c>
      <c r="CM180" s="13">
        <v>252195.56067151131</v>
      </c>
      <c r="CN180" s="13">
        <v>73973.16796133708</v>
      </c>
      <c r="CO180" s="16">
        <v>68.541154314198465</v>
      </c>
      <c r="CP180" s="13">
        <v>1536.9357225064209</v>
      </c>
      <c r="CQ180" s="16">
        <v>184.00697868883225</v>
      </c>
      <c r="CR180" s="16">
        <v>38.284362513465005</v>
      </c>
      <c r="CS180" s="13">
        <v>1967.097864956967</v>
      </c>
      <c r="CT180" s="16">
        <v>53.582599834838838</v>
      </c>
      <c r="CU180" s="16">
        <v>62.938450305173085</v>
      </c>
      <c r="CV180" s="16">
        <v>0</v>
      </c>
      <c r="CW180" s="16">
        <v>49.284152703999133</v>
      </c>
      <c r="CX180" s="16">
        <v>0.20922914387192562</v>
      </c>
      <c r="CY180" s="16">
        <v>9.4694080277264909</v>
      </c>
      <c r="CZ180" s="16">
        <v>10.735160099608915</v>
      </c>
      <c r="DA180" s="16">
        <v>117.50948501618741</v>
      </c>
      <c r="DB180" s="16">
        <v>8.5915977701876667</v>
      </c>
      <c r="DC180" s="16">
        <v>0.76301016426764279</v>
      </c>
      <c r="DD180" s="16">
        <v>0</v>
      </c>
      <c r="DE180" s="16">
        <v>0.2995902012524162</v>
      </c>
      <c r="DF180" s="16">
        <v>4.5052798977441855</v>
      </c>
      <c r="DG180" s="16">
        <v>25.058969998985809</v>
      </c>
      <c r="DH180" s="16">
        <v>5.2494290984342031</v>
      </c>
      <c r="DI180" s="16">
        <v>28.198344588466519</v>
      </c>
      <c r="DJ180" s="16">
        <v>10.668335924498539</v>
      </c>
      <c r="DK180" s="16">
        <v>0.53765031006191866</v>
      </c>
      <c r="DL180" s="16">
        <v>13.87670139101075</v>
      </c>
      <c r="DM180" s="16">
        <v>2.7351301074643133</v>
      </c>
      <c r="DN180" s="16">
        <v>18.44261762875032</v>
      </c>
      <c r="DO180" s="16">
        <v>4.3395466012508113</v>
      </c>
      <c r="DP180" s="16">
        <v>13.293632861495649</v>
      </c>
      <c r="DQ180" s="16">
        <v>1.9345878305440738</v>
      </c>
      <c r="DR180" s="16">
        <v>14.144384938747177</v>
      </c>
      <c r="DS180" s="16">
        <v>1.869261964350156</v>
      </c>
      <c r="DT180" s="16">
        <v>0.99549815124928198</v>
      </c>
      <c r="DU180" s="16">
        <v>5.9392123762602313E-2</v>
      </c>
      <c r="DV180" s="16">
        <v>8.1624999543008434E-2</v>
      </c>
      <c r="DW180" s="16">
        <v>1.6667236408135742E-2</v>
      </c>
      <c r="DX180" s="16">
        <v>2.4776762957838334E-2</v>
      </c>
      <c r="DY180" s="16">
        <f>(DK180/0.05883)/SQRT((DJ180/0.1536)*(DL180/0.2069))</f>
        <v>0.13390150020308939</v>
      </c>
    </row>
    <row r="181" spans="1:129" ht="15" customHeight="1" x14ac:dyDescent="0.25">
      <c r="A181" s="35" t="s">
        <v>88</v>
      </c>
      <c r="B181" s="15">
        <v>898</v>
      </c>
      <c r="C181" s="102" t="s">
        <v>100</v>
      </c>
      <c r="D181" s="103" t="s">
        <v>104</v>
      </c>
      <c r="E181" s="15">
        <v>56</v>
      </c>
      <c r="F181" s="15" t="s">
        <v>270</v>
      </c>
      <c r="G181" s="16">
        <v>51.45</v>
      </c>
      <c r="H181" s="16">
        <v>0.57099999999999995</v>
      </c>
      <c r="I181" s="16">
        <v>3.31</v>
      </c>
      <c r="J181" s="16">
        <v>0</v>
      </c>
      <c r="K181" s="16">
        <v>13.78</v>
      </c>
      <c r="L181" s="16">
        <v>0.318</v>
      </c>
      <c r="M181" s="16">
        <v>14.79</v>
      </c>
      <c r="N181" s="16">
        <v>11.56</v>
      </c>
      <c r="O181" s="16">
        <v>1.08</v>
      </c>
      <c r="P181" s="16">
        <v>0.39100000000000001</v>
      </c>
      <c r="Q181" s="16">
        <v>0</v>
      </c>
      <c r="R181" s="16">
        <v>0</v>
      </c>
      <c r="S181" s="16">
        <v>0</v>
      </c>
      <c r="T181" s="16">
        <f t="shared" si="114"/>
        <v>97.25</v>
      </c>
      <c r="U181" s="16"/>
      <c r="V181" s="16">
        <f t="shared" si="165"/>
        <v>13.78</v>
      </c>
      <c r="W181" s="16">
        <f t="shared" si="166"/>
        <v>0</v>
      </c>
      <c r="X181" s="16">
        <f t="shared" si="167"/>
        <v>97.25</v>
      </c>
      <c r="AD181" s="15">
        <v>6</v>
      </c>
      <c r="AE181" s="15">
        <v>4</v>
      </c>
      <c r="AG181" s="38">
        <f t="shared" si="115"/>
        <v>1.9645880995282778</v>
      </c>
      <c r="AH181" s="38">
        <f t="shared" si="116"/>
        <v>1.6398876904819143E-2</v>
      </c>
      <c r="AI181" s="38">
        <f t="shared" si="117"/>
        <v>0.14895127207227021</v>
      </c>
      <c r="AJ181" s="38">
        <f t="shared" si="118"/>
        <v>0</v>
      </c>
      <c r="AK181" s="38">
        <f t="shared" si="119"/>
        <v>0.43998563647565081</v>
      </c>
      <c r="AL181" s="38">
        <f t="shared" si="120"/>
        <v>1.028376135220734E-2</v>
      </c>
      <c r="AM181" s="38">
        <f t="shared" si="121"/>
        <v>0.84193619773986439</v>
      </c>
      <c r="AN181" s="38">
        <f t="shared" si="122"/>
        <v>0.47289626401657819</v>
      </c>
      <c r="AO181" s="38">
        <f t="shared" si="123"/>
        <v>7.9949956747219719E-2</v>
      </c>
      <c r="AP181" s="38">
        <f t="shared" si="124"/>
        <v>1.9044602134980118E-2</v>
      </c>
      <c r="AQ181" s="38">
        <f t="shared" si="125"/>
        <v>0</v>
      </c>
      <c r="AR181" s="38">
        <f t="shared" si="126"/>
        <v>0</v>
      </c>
      <c r="AS181" s="38">
        <f t="shared" si="127"/>
        <v>0</v>
      </c>
      <c r="AT181" s="39">
        <f t="shared" si="128"/>
        <v>3.994034666971868</v>
      </c>
      <c r="AU181" s="38">
        <f t="shared" si="129"/>
        <v>2.1135393716005479</v>
      </c>
      <c r="AV181" s="38">
        <f t="shared" si="130"/>
        <v>0.57189082289877802</v>
      </c>
      <c r="AW181" s="40"/>
      <c r="AX181" s="38">
        <f t="shared" si="131"/>
        <v>1.9675223310144747</v>
      </c>
      <c r="AY181" s="38">
        <f t="shared" si="132"/>
        <v>1.6423369622129171E-2</v>
      </c>
      <c r="AZ181" s="38">
        <f t="shared" si="133"/>
        <v>0.14917373983155699</v>
      </c>
      <c r="BA181" s="38">
        <f t="shared" si="134"/>
        <v>0</v>
      </c>
      <c r="BB181" s="38">
        <f t="shared" si="135"/>
        <v>0.44064278171048715</v>
      </c>
      <c r="BC181" s="38">
        <f t="shared" si="136"/>
        <v>0</v>
      </c>
      <c r="BD181" s="38">
        <f t="shared" si="137"/>
        <v>1.0299120773535113E-2</v>
      </c>
      <c r="BE181" s="38">
        <f t="shared" si="138"/>
        <v>0.84319368051774046</v>
      </c>
      <c r="BF181" s="38">
        <f t="shared" si="139"/>
        <v>0.47360256326979849</v>
      </c>
      <c r="BG181" s="38">
        <f t="shared" si="140"/>
        <v>8.006936685688297E-2</v>
      </c>
      <c r="BH181" s="38">
        <f t="shared" si="141"/>
        <v>1.9073046403394432E-2</v>
      </c>
      <c r="BI181" s="38">
        <f t="shared" si="142"/>
        <v>0</v>
      </c>
      <c r="BJ181" s="38">
        <f t="shared" si="143"/>
        <v>0</v>
      </c>
      <c r="BK181" s="38">
        <f t="shared" si="144"/>
        <v>0</v>
      </c>
      <c r="BL181" s="41">
        <f t="shared" si="145"/>
        <v>3.9999999999999996</v>
      </c>
      <c r="BM181" s="42">
        <f t="shared" si="168"/>
        <v>6.0089613639222428</v>
      </c>
      <c r="BN181" s="38">
        <f t="shared" si="146"/>
        <v>2.1166960708460318</v>
      </c>
      <c r="BO181" s="38">
        <f t="shared" si="147"/>
        <v>0.57274497653007594</v>
      </c>
      <c r="BQ181" s="38">
        <f t="shared" si="148"/>
        <v>0.85635818908122507</v>
      </c>
      <c r="BR181" s="38">
        <f t="shared" si="149"/>
        <v>7.1482223335002501E-3</v>
      </c>
      <c r="BS181" s="38">
        <f t="shared" si="150"/>
        <v>6.4927422518634759E-2</v>
      </c>
      <c r="BT181" s="38">
        <f t="shared" si="151"/>
        <v>0</v>
      </c>
      <c r="BU181" s="38">
        <f t="shared" si="152"/>
        <v>0.19178844815588031</v>
      </c>
      <c r="BV181" s="38">
        <f t="shared" si="153"/>
        <v>4.4826614040033835E-3</v>
      </c>
      <c r="BW181" s="38">
        <f t="shared" si="154"/>
        <v>0.36699751861042185</v>
      </c>
      <c r="BX181" s="38">
        <f t="shared" si="155"/>
        <v>0.20613409415121256</v>
      </c>
      <c r="BY181" s="38">
        <f t="shared" si="156"/>
        <v>3.4849951597289451E-2</v>
      </c>
      <c r="BZ181" s="38">
        <f t="shared" si="157"/>
        <v>8.3014861995753721E-3</v>
      </c>
      <c r="CA181" s="38">
        <f t="shared" si="158"/>
        <v>0</v>
      </c>
      <c r="CB181" s="38">
        <f t="shared" si="159"/>
        <v>0</v>
      </c>
      <c r="CC181" s="38">
        <f t="shared" si="160"/>
        <v>0</v>
      </c>
      <c r="CD181" s="38">
        <f t="shared" si="161"/>
        <v>1.7409879940517432</v>
      </c>
      <c r="CE181" s="38">
        <f t="shared" si="162"/>
        <v>2.6153823978273532</v>
      </c>
      <c r="CF181" s="38">
        <f t="shared" si="163"/>
        <v>2.2975459989766693</v>
      </c>
      <c r="CG181" s="38">
        <f t="shared" si="164"/>
        <v>6.0089613639222428</v>
      </c>
    </row>
    <row r="182" spans="1:129" ht="15" customHeight="1" x14ac:dyDescent="0.25">
      <c r="A182" s="35" t="s">
        <v>88</v>
      </c>
      <c r="B182" s="15">
        <v>899</v>
      </c>
      <c r="C182" s="102" t="s">
        <v>100</v>
      </c>
      <c r="D182" s="103" t="s">
        <v>104</v>
      </c>
      <c r="E182" s="15">
        <v>57</v>
      </c>
      <c r="F182" s="15" t="s">
        <v>280</v>
      </c>
      <c r="G182" s="16">
        <v>38.61</v>
      </c>
      <c r="H182" s="16">
        <v>4.17</v>
      </c>
      <c r="I182" s="16">
        <v>11.03</v>
      </c>
      <c r="J182" s="16">
        <v>3.5000000000000003E-2</v>
      </c>
      <c r="K182" s="16">
        <v>16.8</v>
      </c>
      <c r="L182" s="16">
        <v>0.11</v>
      </c>
      <c r="M182" s="16">
        <v>13.6</v>
      </c>
      <c r="N182" s="16">
        <v>0.28000000000000003</v>
      </c>
      <c r="O182" s="16">
        <v>0.28799999999999998</v>
      </c>
      <c r="P182" s="16">
        <v>6.27</v>
      </c>
      <c r="Q182" s="16">
        <v>0</v>
      </c>
      <c r="R182" s="16">
        <v>0</v>
      </c>
      <c r="S182" s="16">
        <v>0</v>
      </c>
      <c r="T182" s="16">
        <f t="shared" si="114"/>
        <v>91.192999999999984</v>
      </c>
      <c r="U182" s="16"/>
      <c r="V182" s="16">
        <f t="shared" si="165"/>
        <v>0</v>
      </c>
      <c r="W182" s="16">
        <f t="shared" si="166"/>
        <v>18.669840000000001</v>
      </c>
      <c r="X182" s="16">
        <f t="shared" si="167"/>
        <v>93.062839999999994</v>
      </c>
      <c r="AB182" s="15" t="s">
        <v>185</v>
      </c>
      <c r="AD182" s="15">
        <v>11</v>
      </c>
      <c r="AE182" s="15">
        <v>7</v>
      </c>
      <c r="AG182" s="38">
        <f t="shared" si="115"/>
        <v>2.9903492635777482</v>
      </c>
      <c r="AH182" s="38">
        <f t="shared" si="116"/>
        <v>0.24291259677053856</v>
      </c>
      <c r="AI182" s="38">
        <f t="shared" si="117"/>
        <v>1.0067640965010858</v>
      </c>
      <c r="AJ182" s="38">
        <f t="shared" si="118"/>
        <v>2.1430636151945235E-3</v>
      </c>
      <c r="AK182" s="38">
        <f t="shared" si="119"/>
        <v>1.0880141590761274</v>
      </c>
      <c r="AL182" s="38">
        <f t="shared" si="120"/>
        <v>7.2152858101566155E-3</v>
      </c>
      <c r="AM182" s="38">
        <f t="shared" si="121"/>
        <v>1.5703118215804512</v>
      </c>
      <c r="AN182" s="38">
        <f t="shared" si="122"/>
        <v>2.3232827309088138E-2</v>
      </c>
      <c r="AO182" s="38">
        <f t="shared" si="123"/>
        <v>4.3243710319247543E-2</v>
      </c>
      <c r="AP182" s="38">
        <f t="shared" si="124"/>
        <v>0.61943918038711443</v>
      </c>
      <c r="AQ182" s="38">
        <f t="shared" si="125"/>
        <v>0</v>
      </c>
      <c r="AR182" s="38">
        <f t="shared" si="126"/>
        <v>0</v>
      </c>
      <c r="AS182" s="38">
        <f t="shared" si="127"/>
        <v>0</v>
      </c>
      <c r="AT182" s="39">
        <f t="shared" si="128"/>
        <v>7.593626004946751</v>
      </c>
      <c r="AU182" s="38">
        <f t="shared" si="129"/>
        <v>3.997113360078834</v>
      </c>
      <c r="AV182" s="38">
        <f t="shared" si="130"/>
        <v>0.68591571801545015</v>
      </c>
      <c r="AW182" s="40"/>
      <c r="AX182" s="38">
        <f t="shared" si="131"/>
        <v>2.7565809576884766</v>
      </c>
      <c r="AY182" s="38">
        <f t="shared" si="132"/>
        <v>0.22392308711096356</v>
      </c>
      <c r="AZ182" s="38">
        <f t="shared" si="133"/>
        <v>0.92806107002329474</v>
      </c>
      <c r="BA182" s="38">
        <f t="shared" si="134"/>
        <v>1.9755312279784655E-3</v>
      </c>
      <c r="BB182" s="38">
        <f t="shared" si="135"/>
        <v>0</v>
      </c>
      <c r="BC182" s="38">
        <f t="shared" si="136"/>
        <v>1.0029594700307205</v>
      </c>
      <c r="BD182" s="38">
        <f t="shared" si="137"/>
        <v>6.6512362655461689E-3</v>
      </c>
      <c r="BE182" s="38">
        <f t="shared" si="138"/>
        <v>1.4475538753031119</v>
      </c>
      <c r="BF182" s="38">
        <f t="shared" si="139"/>
        <v>2.1416618497892084E-2</v>
      </c>
      <c r="BG182" s="38">
        <f t="shared" si="140"/>
        <v>3.9863165770547514E-2</v>
      </c>
      <c r="BH182" s="38">
        <f t="shared" si="141"/>
        <v>0.57101498808146878</v>
      </c>
      <c r="BI182" s="38">
        <f t="shared" si="142"/>
        <v>0</v>
      </c>
      <c r="BJ182" s="38">
        <f t="shared" si="143"/>
        <v>0</v>
      </c>
      <c r="BK182" s="38">
        <f t="shared" si="144"/>
        <v>0</v>
      </c>
      <c r="BL182" s="41">
        <f t="shared" si="145"/>
        <v>7.0000000000000009</v>
      </c>
      <c r="BM182" s="42">
        <f t="shared" si="168"/>
        <v>10.641563003514429</v>
      </c>
      <c r="BN182" s="38">
        <f t="shared" si="146"/>
        <v>3.6846420277117713</v>
      </c>
      <c r="BO182" s="38">
        <f t="shared" si="147"/>
        <v>0.63229477234990838</v>
      </c>
      <c r="BQ182" s="38">
        <f t="shared" si="148"/>
        <v>0.64264314247669774</v>
      </c>
      <c r="BR182" s="38">
        <f t="shared" si="149"/>
        <v>5.2203304957436157E-2</v>
      </c>
      <c r="BS182" s="38">
        <f t="shared" si="150"/>
        <v>0.21635935661043545</v>
      </c>
      <c r="BT182" s="38">
        <f t="shared" si="151"/>
        <v>4.605566155668136E-4</v>
      </c>
      <c r="BU182" s="38">
        <f t="shared" si="152"/>
        <v>0.23382045929018791</v>
      </c>
      <c r="BV182" s="38">
        <f t="shared" si="153"/>
        <v>1.5506061460389062E-3</v>
      </c>
      <c r="BW182" s="38">
        <f t="shared" si="154"/>
        <v>0.33746898263027297</v>
      </c>
      <c r="BX182" s="38">
        <f t="shared" si="155"/>
        <v>4.9928673323823116E-3</v>
      </c>
      <c r="BY182" s="38">
        <f t="shared" si="156"/>
        <v>9.2933204259438521E-3</v>
      </c>
      <c r="BZ182" s="38">
        <f t="shared" si="157"/>
        <v>0.13312101910828025</v>
      </c>
      <c r="CA182" s="38">
        <f t="shared" si="158"/>
        <v>0</v>
      </c>
      <c r="CB182" s="38">
        <f t="shared" si="159"/>
        <v>0</v>
      </c>
      <c r="CC182" s="38">
        <f t="shared" si="160"/>
        <v>0</v>
      </c>
      <c r="CD182" s="38">
        <f t="shared" si="161"/>
        <v>1.6319136155932423</v>
      </c>
      <c r="CE182" s="38">
        <f t="shared" si="162"/>
        <v>2.3639628498732654</v>
      </c>
      <c r="CF182" s="38">
        <f t="shared" si="163"/>
        <v>4.2894427334349565</v>
      </c>
      <c r="CG182" s="38">
        <f t="shared" si="164"/>
        <v>10.140083268499069</v>
      </c>
    </row>
    <row r="183" spans="1:129" ht="15" customHeight="1" x14ac:dyDescent="0.25">
      <c r="A183" s="35" t="s">
        <v>88</v>
      </c>
      <c r="B183" s="15">
        <v>900</v>
      </c>
      <c r="C183" s="102" t="s">
        <v>100</v>
      </c>
      <c r="D183" s="103" t="s">
        <v>104</v>
      </c>
      <c r="E183" s="15">
        <v>58</v>
      </c>
      <c r="F183" s="15" t="s">
        <v>280</v>
      </c>
      <c r="G183" s="16">
        <v>38</v>
      </c>
      <c r="H183" s="16">
        <v>4.2300000000000004</v>
      </c>
      <c r="I183" s="16">
        <v>10.61</v>
      </c>
      <c r="J183" s="16">
        <v>0</v>
      </c>
      <c r="K183" s="16">
        <v>19.260000000000002</v>
      </c>
      <c r="L183" s="16">
        <v>0.105</v>
      </c>
      <c r="M183" s="16">
        <v>11.58</v>
      </c>
      <c r="N183" s="16">
        <v>0.30199999999999999</v>
      </c>
      <c r="O183" s="16">
        <v>0.317</v>
      </c>
      <c r="P183" s="16">
        <v>6.25</v>
      </c>
      <c r="Q183" s="16">
        <v>0</v>
      </c>
      <c r="R183" s="16">
        <v>0</v>
      </c>
      <c r="S183" s="16">
        <v>0</v>
      </c>
      <c r="T183" s="16">
        <f t="shared" si="114"/>
        <v>90.654000000000011</v>
      </c>
      <c r="U183" s="16"/>
      <c r="V183" s="16">
        <f t="shared" si="165"/>
        <v>0</v>
      </c>
      <c r="W183" s="16">
        <f t="shared" si="166"/>
        <v>21.403638000000001</v>
      </c>
      <c r="X183" s="16">
        <f t="shared" si="167"/>
        <v>92.797638000000006</v>
      </c>
      <c r="AB183" s="15" t="s">
        <v>185</v>
      </c>
      <c r="AD183" s="15">
        <v>11</v>
      </c>
      <c r="AE183" s="15">
        <v>7</v>
      </c>
      <c r="AG183" s="38">
        <f t="shared" si="115"/>
        <v>3.0030151567111902</v>
      </c>
      <c r="AH183" s="38">
        <f t="shared" si="116"/>
        <v>0.25142367073713573</v>
      </c>
      <c r="AI183" s="38">
        <f t="shared" si="117"/>
        <v>0.98814210321248808</v>
      </c>
      <c r="AJ183" s="38">
        <f t="shared" si="118"/>
        <v>0</v>
      </c>
      <c r="AK183" s="38">
        <f t="shared" si="119"/>
        <v>1.2727214448408279</v>
      </c>
      <c r="AL183" s="38">
        <f t="shared" si="120"/>
        <v>7.0275179968976274E-3</v>
      </c>
      <c r="AM183" s="38">
        <f t="shared" si="121"/>
        <v>1.3642921014262195</v>
      </c>
      <c r="AN183" s="38">
        <f t="shared" si="122"/>
        <v>2.5568355115714821E-2</v>
      </c>
      <c r="AO183" s="38">
        <f t="shared" si="123"/>
        <v>4.8567029045890053E-2</v>
      </c>
      <c r="AP183" s="38">
        <f t="shared" si="124"/>
        <v>0.63003251276402505</v>
      </c>
      <c r="AQ183" s="38">
        <f t="shared" si="125"/>
        <v>0</v>
      </c>
      <c r="AR183" s="38">
        <f t="shared" si="126"/>
        <v>0</v>
      </c>
      <c r="AS183" s="38">
        <f t="shared" si="127"/>
        <v>0</v>
      </c>
      <c r="AT183" s="39">
        <f t="shared" si="128"/>
        <v>7.5907898918503882</v>
      </c>
      <c r="AU183" s="38">
        <f t="shared" si="129"/>
        <v>3.9911572599236784</v>
      </c>
      <c r="AV183" s="38">
        <f t="shared" si="130"/>
        <v>0.70416789692562998</v>
      </c>
      <c r="AW183" s="40"/>
      <c r="AX183" s="38">
        <f t="shared" si="131"/>
        <v>2.7692909955980967</v>
      </c>
      <c r="AY183" s="38">
        <f t="shared" si="132"/>
        <v>0.23185540902001273</v>
      </c>
      <c r="AZ183" s="38">
        <f t="shared" si="133"/>
        <v>0.91123517065248083</v>
      </c>
      <c r="BA183" s="38">
        <f t="shared" si="134"/>
        <v>0</v>
      </c>
      <c r="BB183" s="38">
        <f t="shared" si="135"/>
        <v>0</v>
      </c>
      <c r="BC183" s="38">
        <f t="shared" si="136"/>
        <v>1.1736657503128516</v>
      </c>
      <c r="BD183" s="38">
        <f t="shared" si="137"/>
        <v>6.4805674612463584E-3</v>
      </c>
      <c r="BE183" s="38">
        <f t="shared" si="138"/>
        <v>1.258109478202873</v>
      </c>
      <c r="BF183" s="38">
        <f t="shared" si="139"/>
        <v>2.3578374366830825E-2</v>
      </c>
      <c r="BG183" s="38">
        <f t="shared" si="140"/>
        <v>4.47870653996401E-2</v>
      </c>
      <c r="BH183" s="38">
        <f t="shared" si="141"/>
        <v>0.58099718898596786</v>
      </c>
      <c r="BI183" s="38">
        <f t="shared" si="142"/>
        <v>0</v>
      </c>
      <c r="BJ183" s="38">
        <f t="shared" si="143"/>
        <v>0</v>
      </c>
      <c r="BK183" s="38">
        <f t="shared" si="144"/>
        <v>0</v>
      </c>
      <c r="BL183" s="41">
        <f t="shared" si="145"/>
        <v>7</v>
      </c>
      <c r="BM183" s="42">
        <f t="shared" si="168"/>
        <v>10.730704737907971</v>
      </c>
      <c r="BN183" s="38">
        <f t="shared" si="146"/>
        <v>3.6805261662505773</v>
      </c>
      <c r="BO183" s="38">
        <f t="shared" si="147"/>
        <v>0.64936262875243878</v>
      </c>
      <c r="BQ183" s="38">
        <f t="shared" si="148"/>
        <v>0.63249001331557919</v>
      </c>
      <c r="BR183" s="38">
        <f t="shared" si="149"/>
        <v>5.2954431647471212E-2</v>
      </c>
      <c r="BS183" s="38">
        <f t="shared" si="150"/>
        <v>0.20812083169870538</v>
      </c>
      <c r="BT183" s="38">
        <f t="shared" si="151"/>
        <v>0</v>
      </c>
      <c r="BU183" s="38">
        <f t="shared" si="152"/>
        <v>0.26805845511482257</v>
      </c>
      <c r="BV183" s="38">
        <f t="shared" si="153"/>
        <v>1.4801240484916831E-3</v>
      </c>
      <c r="BW183" s="38">
        <f t="shared" si="154"/>
        <v>0.28734491315136479</v>
      </c>
      <c r="BX183" s="38">
        <f t="shared" si="155"/>
        <v>5.385164051355207E-3</v>
      </c>
      <c r="BY183" s="38">
        <f t="shared" si="156"/>
        <v>1.0229106163278478E-2</v>
      </c>
      <c r="BZ183" s="38">
        <f t="shared" si="157"/>
        <v>0.1326963906581741</v>
      </c>
      <c r="CA183" s="38">
        <f t="shared" si="158"/>
        <v>0</v>
      </c>
      <c r="CB183" s="38">
        <f t="shared" si="159"/>
        <v>0</v>
      </c>
      <c r="CC183" s="38">
        <f t="shared" si="160"/>
        <v>0</v>
      </c>
      <c r="CD183" s="38">
        <f t="shared" si="161"/>
        <v>1.5987594298492425</v>
      </c>
      <c r="CE183" s="38">
        <f t="shared" si="162"/>
        <v>2.3168015422509192</v>
      </c>
      <c r="CF183" s="38">
        <f t="shared" si="163"/>
        <v>4.378394816198254</v>
      </c>
      <c r="CG183" s="38">
        <f t="shared" si="164"/>
        <v>10.143871862751544</v>
      </c>
    </row>
    <row r="184" spans="1:129" ht="15" customHeight="1" x14ac:dyDescent="0.25">
      <c r="A184" s="35" t="s">
        <v>88</v>
      </c>
      <c r="B184" s="15">
        <v>901</v>
      </c>
      <c r="C184" s="102" t="s">
        <v>100</v>
      </c>
      <c r="D184" s="103" t="s">
        <v>104</v>
      </c>
      <c r="E184" s="15">
        <v>59</v>
      </c>
      <c r="F184" s="15" t="s">
        <v>270</v>
      </c>
      <c r="G184" s="16">
        <v>48.87</v>
      </c>
      <c r="H184" s="16">
        <v>1.234</v>
      </c>
      <c r="I184" s="16">
        <v>5.04</v>
      </c>
      <c r="J184" s="16">
        <v>0</v>
      </c>
      <c r="K184" s="16">
        <v>16.62</v>
      </c>
      <c r="L184" s="16">
        <v>0.38200000000000001</v>
      </c>
      <c r="M184" s="16">
        <v>13.01</v>
      </c>
      <c r="N184" s="16">
        <v>10.47</v>
      </c>
      <c r="O184" s="16">
        <v>1.72</v>
      </c>
      <c r="P184" s="16">
        <v>0.56599999999999995</v>
      </c>
      <c r="Q184" s="16">
        <v>0</v>
      </c>
      <c r="R184" s="16">
        <v>0</v>
      </c>
      <c r="S184" s="16">
        <v>0.254</v>
      </c>
      <c r="T184" s="16">
        <f t="shared" si="114"/>
        <v>98.166000000000011</v>
      </c>
      <c r="U184" s="16"/>
      <c r="V184" s="16">
        <f t="shared" si="165"/>
        <v>12.340229316349198</v>
      </c>
      <c r="W184" s="16">
        <f t="shared" si="166"/>
        <v>4.7561091607411372</v>
      </c>
      <c r="X184" s="16">
        <f t="shared" si="167"/>
        <v>98.642338477090334</v>
      </c>
      <c r="AD184" s="15">
        <v>6</v>
      </c>
      <c r="AE184" s="15">
        <v>4</v>
      </c>
      <c r="AG184" s="38">
        <f t="shared" si="115"/>
        <v>1.889888222569079</v>
      </c>
      <c r="AH184" s="38">
        <f t="shared" si="116"/>
        <v>3.5892260163405187E-2</v>
      </c>
      <c r="AI184" s="38">
        <f t="shared" si="117"/>
        <v>0.22969651649291623</v>
      </c>
      <c r="AJ184" s="38">
        <f t="shared" si="118"/>
        <v>0</v>
      </c>
      <c r="AK184" s="38">
        <f t="shared" si="119"/>
        <v>0.53743748049740814</v>
      </c>
      <c r="AL184" s="38">
        <f t="shared" si="120"/>
        <v>1.2511111147272309E-2</v>
      </c>
      <c r="AM184" s="38">
        <f t="shared" si="121"/>
        <v>0.75005991090936708</v>
      </c>
      <c r="AN184" s="38">
        <f t="shared" si="122"/>
        <v>0.43377286437872503</v>
      </c>
      <c r="AO184" s="38">
        <f t="shared" si="123"/>
        <v>0.12895273991732645</v>
      </c>
      <c r="AP184" s="38">
        <f t="shared" si="124"/>
        <v>2.7920245174560283E-2</v>
      </c>
      <c r="AQ184" s="38">
        <f t="shared" si="125"/>
        <v>0</v>
      </c>
      <c r="AR184" s="38">
        <f t="shared" si="126"/>
        <v>0</v>
      </c>
      <c r="AS184" s="38">
        <f t="shared" si="127"/>
        <v>1.6647199366117336E-2</v>
      </c>
      <c r="AT184" s="39">
        <f t="shared" si="128"/>
        <v>4.0461313512500592</v>
      </c>
      <c r="AU184" s="38">
        <f t="shared" si="129"/>
        <v>2.1195847390619953</v>
      </c>
      <c r="AV184" s="38">
        <f t="shared" si="130"/>
        <v>0.59064584947061172</v>
      </c>
      <c r="AW184" s="40"/>
      <c r="AX184" s="38">
        <f t="shared" si="131"/>
        <v>1.8683409494209273</v>
      </c>
      <c r="AY184" s="38">
        <f t="shared" si="132"/>
        <v>3.5483040017785093E-2</v>
      </c>
      <c r="AZ184" s="38">
        <f t="shared" si="133"/>
        <v>0.22707766659325193</v>
      </c>
      <c r="BA184" s="38">
        <f t="shared" si="134"/>
        <v>0</v>
      </c>
      <c r="BB184" s="38">
        <f t="shared" si="135"/>
        <v>0.39449379380523075</v>
      </c>
      <c r="BC184" s="38">
        <f t="shared" si="136"/>
        <v>0.13681617499384524</v>
      </c>
      <c r="BD184" s="38">
        <f t="shared" si="137"/>
        <v>1.2368467616264587E-2</v>
      </c>
      <c r="BE184" s="38">
        <f t="shared" si="138"/>
        <v>0.74150821690713009</v>
      </c>
      <c r="BF184" s="38">
        <f t="shared" si="139"/>
        <v>0.42882726903535662</v>
      </c>
      <c r="BG184" s="38">
        <f t="shared" si="140"/>
        <v>0.12748250486478771</v>
      </c>
      <c r="BH184" s="38">
        <f t="shared" si="141"/>
        <v>2.7601916745420806E-2</v>
      </c>
      <c r="BI184" s="38">
        <f t="shared" si="142"/>
        <v>0</v>
      </c>
      <c r="BJ184" s="38">
        <f t="shared" si="143"/>
        <v>0</v>
      </c>
      <c r="BK184" s="38">
        <f t="shared" si="144"/>
        <v>1.6457398854314655E-2</v>
      </c>
      <c r="BL184" s="41">
        <f t="shared" si="145"/>
        <v>4.0000000000000009</v>
      </c>
      <c r="BM184" s="42">
        <f t="shared" si="168"/>
        <v>6</v>
      </c>
      <c r="BN184" s="38">
        <f t="shared" si="146"/>
        <v>2.0954186160141792</v>
      </c>
      <c r="BO184" s="38">
        <f t="shared" si="147"/>
        <v>0.58391169064556514</v>
      </c>
      <c r="BQ184" s="38">
        <f t="shared" si="148"/>
        <v>0.81341544607190408</v>
      </c>
      <c r="BR184" s="38">
        <f t="shared" si="149"/>
        <v>1.5448172258387582E-2</v>
      </c>
      <c r="BS184" s="38">
        <f t="shared" si="150"/>
        <v>9.8862298940761095E-2</v>
      </c>
      <c r="BT184" s="38">
        <f t="shared" si="151"/>
        <v>0</v>
      </c>
      <c r="BU184" s="38">
        <f t="shared" si="152"/>
        <v>0.23131524008350735</v>
      </c>
      <c r="BV184" s="38">
        <f t="shared" si="153"/>
        <v>5.3848322526078383E-3</v>
      </c>
      <c r="BW184" s="38">
        <f t="shared" si="154"/>
        <v>0.3228287841191067</v>
      </c>
      <c r="BX184" s="38">
        <f t="shared" si="155"/>
        <v>0.18669757489301</v>
      </c>
      <c r="BY184" s="38">
        <f t="shared" si="156"/>
        <v>5.5501774766053565E-2</v>
      </c>
      <c r="BZ184" s="38">
        <f t="shared" si="157"/>
        <v>1.2016985138004244E-2</v>
      </c>
      <c r="CA184" s="38">
        <f t="shared" si="158"/>
        <v>0</v>
      </c>
      <c r="CB184" s="38">
        <f t="shared" si="159"/>
        <v>0</v>
      </c>
      <c r="CC184" s="38">
        <f t="shared" si="160"/>
        <v>7.1650211565585323E-3</v>
      </c>
      <c r="CD184" s="38">
        <f t="shared" si="161"/>
        <v>1.7414711085233425</v>
      </c>
      <c r="CE184" s="38">
        <f t="shared" si="162"/>
        <v>2.5824239857937066</v>
      </c>
      <c r="CF184" s="38">
        <f t="shared" si="163"/>
        <v>2.2969086196277742</v>
      </c>
      <c r="CG184" s="38">
        <f t="shared" si="164"/>
        <v>5.9315919125030776</v>
      </c>
    </row>
    <row r="185" spans="1:129" ht="15" customHeight="1" x14ac:dyDescent="0.25">
      <c r="A185" s="35" t="s">
        <v>88</v>
      </c>
      <c r="B185" s="15">
        <v>902</v>
      </c>
      <c r="C185" s="102" t="s">
        <v>100</v>
      </c>
      <c r="D185" s="103" t="s">
        <v>104</v>
      </c>
      <c r="E185" s="15">
        <v>60</v>
      </c>
      <c r="F185" s="15" t="s">
        <v>270</v>
      </c>
      <c r="G185" s="16">
        <v>55.9</v>
      </c>
      <c r="H185" s="16">
        <v>0.111</v>
      </c>
      <c r="I185" s="16">
        <v>0.96699999999999997</v>
      </c>
      <c r="J185" s="16">
        <v>0</v>
      </c>
      <c r="K185" s="16">
        <v>10.91</v>
      </c>
      <c r="L185" s="16">
        <v>0.186</v>
      </c>
      <c r="M185" s="16">
        <v>17.63</v>
      </c>
      <c r="N185" s="16">
        <v>12.39</v>
      </c>
      <c r="O185" s="16">
        <v>0.33800000000000002</v>
      </c>
      <c r="P185" s="16">
        <v>0.13200000000000001</v>
      </c>
      <c r="Q185" s="16">
        <v>0</v>
      </c>
      <c r="R185" s="16">
        <v>0</v>
      </c>
      <c r="S185" s="16">
        <v>0</v>
      </c>
      <c r="T185" s="16">
        <f t="shared" si="114"/>
        <v>98.563999999999993</v>
      </c>
      <c r="U185" s="16"/>
      <c r="V185" s="16">
        <f t="shared" si="165"/>
        <v>10.91</v>
      </c>
      <c r="W185" s="16">
        <f t="shared" si="166"/>
        <v>0</v>
      </c>
      <c r="X185" s="16">
        <f t="shared" si="167"/>
        <v>98.563999999999993</v>
      </c>
      <c r="AD185" s="15">
        <v>6</v>
      </c>
      <c r="AE185" s="15">
        <v>4</v>
      </c>
      <c r="AG185" s="38">
        <f t="shared" si="115"/>
        <v>2.0586107429151776</v>
      </c>
      <c r="AH185" s="38">
        <f t="shared" si="116"/>
        <v>3.0745196531855412E-3</v>
      </c>
      <c r="AI185" s="38">
        <f t="shared" si="117"/>
        <v>4.1968069638663778E-2</v>
      </c>
      <c r="AJ185" s="38">
        <f t="shared" si="118"/>
        <v>0</v>
      </c>
      <c r="AK185" s="38">
        <f t="shared" si="119"/>
        <v>0.33596213234157624</v>
      </c>
      <c r="AL185" s="38">
        <f t="shared" si="120"/>
        <v>5.8011502120484705E-3</v>
      </c>
      <c r="AM185" s="38">
        <f t="shared" si="121"/>
        <v>0.96792034182250408</v>
      </c>
      <c r="AN185" s="38">
        <f t="shared" si="122"/>
        <v>0.48882752509560862</v>
      </c>
      <c r="AO185" s="38">
        <f t="shared" si="123"/>
        <v>2.4131675403865772E-2</v>
      </c>
      <c r="AP185" s="38">
        <f t="shared" si="124"/>
        <v>6.2007664632147148E-3</v>
      </c>
      <c r="AQ185" s="38">
        <f t="shared" si="125"/>
        <v>0</v>
      </c>
      <c r="AR185" s="38">
        <f t="shared" si="126"/>
        <v>0</v>
      </c>
      <c r="AS185" s="38">
        <f t="shared" si="127"/>
        <v>0</v>
      </c>
      <c r="AT185" s="39">
        <f t="shared" si="128"/>
        <v>3.9324969235458451</v>
      </c>
      <c r="AU185" s="38">
        <f t="shared" si="129"/>
        <v>2.1005788125538416</v>
      </c>
      <c r="AV185" s="38">
        <f t="shared" si="130"/>
        <v>0.51915996696268918</v>
      </c>
      <c r="AW185" s="40"/>
      <c r="AX185" s="38">
        <f t="shared" si="131"/>
        <v>2.093947721193866</v>
      </c>
      <c r="AY185" s="38">
        <f t="shared" si="132"/>
        <v>3.1272951643286371E-3</v>
      </c>
      <c r="AZ185" s="38">
        <f t="shared" si="133"/>
        <v>4.2688470409097845E-2</v>
      </c>
      <c r="BA185" s="38">
        <f t="shared" si="134"/>
        <v>0</v>
      </c>
      <c r="BB185" s="38">
        <f t="shared" si="135"/>
        <v>0.34172907328166108</v>
      </c>
      <c r="BC185" s="38">
        <f t="shared" si="136"/>
        <v>0</v>
      </c>
      <c r="BD185" s="38">
        <f t="shared" si="137"/>
        <v>5.9007295617337207E-3</v>
      </c>
      <c r="BE185" s="38">
        <f t="shared" si="138"/>
        <v>0.98453512934957543</v>
      </c>
      <c r="BF185" s="38">
        <f t="shared" si="139"/>
        <v>0.49721846918048562</v>
      </c>
      <c r="BG185" s="38">
        <f t="shared" si="140"/>
        <v>2.4545906453863696E-2</v>
      </c>
      <c r="BH185" s="38">
        <f t="shared" si="141"/>
        <v>6.3072054053877015E-3</v>
      </c>
      <c r="BI185" s="38">
        <f t="shared" si="142"/>
        <v>0</v>
      </c>
      <c r="BJ185" s="38">
        <f t="shared" si="143"/>
        <v>0</v>
      </c>
      <c r="BK185" s="38">
        <f t="shared" si="144"/>
        <v>0</v>
      </c>
      <c r="BL185" s="41">
        <f t="shared" si="145"/>
        <v>4</v>
      </c>
      <c r="BM185" s="42">
        <f t="shared" si="168"/>
        <v>6.1029926956331177</v>
      </c>
      <c r="BN185" s="38">
        <f t="shared" si="146"/>
        <v>2.1366361916029639</v>
      </c>
      <c r="BO185" s="38">
        <f t="shared" si="147"/>
        <v>0.52807158103973695</v>
      </c>
      <c r="BQ185" s="38">
        <f t="shared" si="148"/>
        <v>0.93042609853528624</v>
      </c>
      <c r="BR185" s="38">
        <f t="shared" si="149"/>
        <v>1.3895843765648474E-3</v>
      </c>
      <c r="BS185" s="38">
        <f t="shared" si="150"/>
        <v>1.8968222832483329E-2</v>
      </c>
      <c r="BT185" s="38">
        <f t="shared" si="151"/>
        <v>0</v>
      </c>
      <c r="BU185" s="38">
        <f t="shared" si="152"/>
        <v>0.15184411969380657</v>
      </c>
      <c r="BV185" s="38">
        <f t="shared" si="153"/>
        <v>2.6219340287566961E-3</v>
      </c>
      <c r="BW185" s="38">
        <f t="shared" si="154"/>
        <v>0.43746898263027295</v>
      </c>
      <c r="BX185" s="38">
        <f t="shared" si="155"/>
        <v>0.22093437945791727</v>
      </c>
      <c r="BY185" s="38">
        <f t="shared" si="156"/>
        <v>1.0906744111003551E-2</v>
      </c>
      <c r="BZ185" s="38">
        <f t="shared" si="157"/>
        <v>2.8025477707006368E-3</v>
      </c>
      <c r="CA185" s="38">
        <f t="shared" si="158"/>
        <v>0</v>
      </c>
      <c r="CB185" s="38">
        <f t="shared" si="159"/>
        <v>0</v>
      </c>
      <c r="CC185" s="38">
        <f t="shared" si="160"/>
        <v>0</v>
      </c>
      <c r="CD185" s="38">
        <f t="shared" si="161"/>
        <v>1.7773626134367921</v>
      </c>
      <c r="CE185" s="38">
        <f t="shared" si="162"/>
        <v>2.711807761824033</v>
      </c>
      <c r="CF185" s="38">
        <f t="shared" si="163"/>
        <v>2.2505255651042479</v>
      </c>
      <c r="CG185" s="38">
        <f t="shared" si="164"/>
        <v>6.1029926956331177</v>
      </c>
    </row>
    <row r="186" spans="1:129" ht="15" customHeight="1" x14ac:dyDescent="0.25">
      <c r="A186" s="35" t="s">
        <v>88</v>
      </c>
      <c r="B186" s="15">
        <v>903</v>
      </c>
      <c r="C186" s="102" t="s">
        <v>100</v>
      </c>
      <c r="D186" s="103" t="s">
        <v>104</v>
      </c>
      <c r="E186" s="15">
        <v>61</v>
      </c>
      <c r="F186" s="15" t="s">
        <v>280</v>
      </c>
      <c r="G186" s="16">
        <v>39.72</v>
      </c>
      <c r="H186" s="16">
        <v>3.57</v>
      </c>
      <c r="I186" s="16">
        <v>11.74</v>
      </c>
      <c r="J186" s="16">
        <v>0</v>
      </c>
      <c r="K186" s="16">
        <v>15.99</v>
      </c>
      <c r="L186" s="16">
        <v>8.2000000000000003E-2</v>
      </c>
      <c r="M186" s="16">
        <v>12.68</v>
      </c>
      <c r="N186" s="16">
        <v>0.45200000000000001</v>
      </c>
      <c r="O186" s="16">
        <v>0.53900000000000003</v>
      </c>
      <c r="P186" s="16">
        <v>6.13</v>
      </c>
      <c r="Q186" s="16">
        <v>0</v>
      </c>
      <c r="R186" s="16">
        <v>0</v>
      </c>
      <c r="S186" s="16">
        <v>0.41699999999999998</v>
      </c>
      <c r="T186" s="16">
        <f t="shared" si="114"/>
        <v>91.319999999999979</v>
      </c>
      <c r="U186" s="16"/>
      <c r="V186" s="16">
        <f t="shared" si="165"/>
        <v>0</v>
      </c>
      <c r="W186" s="16">
        <f t="shared" si="166"/>
        <v>17.769687000000001</v>
      </c>
      <c r="X186" s="16">
        <f t="shared" si="167"/>
        <v>93.099687000000003</v>
      </c>
      <c r="AB186" s="15" t="s">
        <v>185</v>
      </c>
      <c r="AD186" s="15">
        <v>11</v>
      </c>
      <c r="AE186" s="15">
        <v>7</v>
      </c>
      <c r="AG186" s="38">
        <f t="shared" si="115"/>
        <v>3.0667449582542154</v>
      </c>
      <c r="AH186" s="38">
        <f t="shared" si="116"/>
        <v>0.20731393931851028</v>
      </c>
      <c r="AI186" s="38">
        <f t="shared" si="117"/>
        <v>1.0682345244976221</v>
      </c>
      <c r="AJ186" s="38">
        <f t="shared" si="118"/>
        <v>0</v>
      </c>
      <c r="AK186" s="38">
        <f t="shared" si="119"/>
        <v>1.032333534848215</v>
      </c>
      <c r="AL186" s="38">
        <f t="shared" si="120"/>
        <v>5.3619284248042224E-3</v>
      </c>
      <c r="AM186" s="38">
        <f t="shared" si="121"/>
        <v>1.4595284049921788</v>
      </c>
      <c r="AN186" s="38">
        <f t="shared" si="122"/>
        <v>3.7387702130653164E-2</v>
      </c>
      <c r="AO186" s="38">
        <f t="shared" si="123"/>
        <v>8.0679933780202356E-2</v>
      </c>
      <c r="AP186" s="38">
        <f t="shared" si="124"/>
        <v>0.60372326421544675</v>
      </c>
      <c r="AQ186" s="38">
        <f t="shared" si="125"/>
        <v>0</v>
      </c>
      <c r="AR186" s="38">
        <f t="shared" si="126"/>
        <v>0</v>
      </c>
      <c r="AS186" s="38">
        <f t="shared" si="127"/>
        <v>5.4565502571120438E-2</v>
      </c>
      <c r="AT186" s="39">
        <f t="shared" si="128"/>
        <v>7.5613081904618484</v>
      </c>
      <c r="AU186" s="38">
        <f t="shared" si="129"/>
        <v>4.134979482751838</v>
      </c>
      <c r="AV186" s="38">
        <f t="shared" si="130"/>
        <v>0.72179090012630231</v>
      </c>
      <c r="AW186" s="40"/>
      <c r="AX186" s="38">
        <f t="shared" si="131"/>
        <v>2.8390873863413155</v>
      </c>
      <c r="AY186" s="38">
        <f t="shared" si="132"/>
        <v>0.1919241404629127</v>
      </c>
      <c r="AZ186" s="38">
        <f t="shared" si="133"/>
        <v>0.98893491484925422</v>
      </c>
      <c r="BA186" s="38">
        <f t="shared" si="134"/>
        <v>0</v>
      </c>
      <c r="BB186" s="38">
        <f t="shared" si="135"/>
        <v>0</v>
      </c>
      <c r="BC186" s="38">
        <f t="shared" si="136"/>
        <v>0.95569900894307003</v>
      </c>
      <c r="BD186" s="38">
        <f t="shared" si="137"/>
        <v>4.9638895847382465E-3</v>
      </c>
      <c r="BE186" s="38">
        <f t="shared" si="138"/>
        <v>1.3511813799407126</v>
      </c>
      <c r="BF186" s="38">
        <f t="shared" si="139"/>
        <v>3.4612253372334319E-2</v>
      </c>
      <c r="BG186" s="38">
        <f t="shared" si="140"/>
        <v>7.4690717827614536E-2</v>
      </c>
      <c r="BH186" s="38">
        <f t="shared" si="141"/>
        <v>0.5589063086780488</v>
      </c>
      <c r="BI186" s="38">
        <f t="shared" si="142"/>
        <v>0</v>
      </c>
      <c r="BJ186" s="38">
        <f t="shared" si="143"/>
        <v>0</v>
      </c>
      <c r="BK186" s="38">
        <f t="shared" si="144"/>
        <v>5.051487234439956E-2</v>
      </c>
      <c r="BL186" s="41">
        <f t="shared" si="145"/>
        <v>7.0000000000000027</v>
      </c>
      <c r="BM186" s="42">
        <f t="shared" ref="BM186:BM215" si="169">(AX186+AY186)*2+(AZ186+BA186+BC186)*1.5+BB186+BD186+BE186+BF186+(BG186+BH186)*0.5+BI186*2.5+BJ186*3  -(0.5*(BK186))</f>
        <v>10.661272539275357</v>
      </c>
      <c r="BN186" s="38">
        <f t="shared" si="146"/>
        <v>3.8280223011905696</v>
      </c>
      <c r="BO186" s="38">
        <f t="shared" si="147"/>
        <v>0.66820927987799772</v>
      </c>
      <c r="BQ186" s="38">
        <f t="shared" si="148"/>
        <v>0.66111850865512645</v>
      </c>
      <c r="BR186" s="38">
        <f t="shared" si="149"/>
        <v>4.4692038057085631E-2</v>
      </c>
      <c r="BS186" s="38">
        <f t="shared" si="150"/>
        <v>0.23028638681836017</v>
      </c>
      <c r="BT186" s="38">
        <f t="shared" si="151"/>
        <v>0</v>
      </c>
      <c r="BU186" s="38">
        <f t="shared" si="152"/>
        <v>0.22254697286012529</v>
      </c>
      <c r="BV186" s="38">
        <f t="shared" si="153"/>
        <v>1.1559063997744574E-3</v>
      </c>
      <c r="BW186" s="38">
        <f t="shared" si="154"/>
        <v>0.31464019851116626</v>
      </c>
      <c r="BX186" s="38">
        <f t="shared" si="155"/>
        <v>8.0599144079885887E-3</v>
      </c>
      <c r="BY186" s="38">
        <f t="shared" si="156"/>
        <v>1.7392707324943531E-2</v>
      </c>
      <c r="BZ186" s="38">
        <f t="shared" si="157"/>
        <v>0.13014861995753715</v>
      </c>
      <c r="CA186" s="38">
        <f t="shared" si="158"/>
        <v>0</v>
      </c>
      <c r="CB186" s="38">
        <f t="shared" si="159"/>
        <v>0</v>
      </c>
      <c r="CC186" s="38">
        <f t="shared" si="160"/>
        <v>1.1763046544428772E-2</v>
      </c>
      <c r="CD186" s="38">
        <f t="shared" si="161"/>
        <v>1.6300412529921073</v>
      </c>
      <c r="CE186" s="38">
        <f t="shared" si="162"/>
        <v>2.3713428062000448</v>
      </c>
      <c r="CF186" s="38">
        <f t="shared" si="163"/>
        <v>4.2943698431869652</v>
      </c>
      <c r="CG186" s="38">
        <f t="shared" si="164"/>
        <v>10.183423034803825</v>
      </c>
    </row>
    <row r="187" spans="1:129" ht="15" customHeight="1" x14ac:dyDescent="0.25">
      <c r="A187" s="35" t="s">
        <v>88</v>
      </c>
      <c r="B187" s="15">
        <v>904</v>
      </c>
      <c r="C187" s="102" t="s">
        <v>100</v>
      </c>
      <c r="D187" s="103" t="s">
        <v>104</v>
      </c>
      <c r="E187" s="15">
        <v>62</v>
      </c>
      <c r="F187" s="15" t="s">
        <v>270</v>
      </c>
      <c r="G187" s="16">
        <v>48.22</v>
      </c>
      <c r="H187" s="16">
        <v>1.139</v>
      </c>
      <c r="I187" s="16">
        <v>5.12</v>
      </c>
      <c r="J187" s="16">
        <v>0</v>
      </c>
      <c r="K187" s="16">
        <v>15.68</v>
      </c>
      <c r="L187" s="16">
        <v>0.32500000000000001</v>
      </c>
      <c r="M187" s="16">
        <v>13.13</v>
      </c>
      <c r="N187" s="16">
        <v>10.71</v>
      </c>
      <c r="O187" s="16">
        <v>1.97</v>
      </c>
      <c r="P187" s="16">
        <v>0.65800000000000003</v>
      </c>
      <c r="Q187" s="16">
        <v>0</v>
      </c>
      <c r="R187" s="16">
        <v>0</v>
      </c>
      <c r="S187" s="16">
        <v>0</v>
      </c>
      <c r="T187" s="16">
        <f t="shared" si="114"/>
        <v>96.951999999999984</v>
      </c>
      <c r="U187" s="16"/>
      <c r="V187" s="16">
        <f t="shared" si="165"/>
        <v>10.08861114281839</v>
      </c>
      <c r="W187" s="16">
        <f t="shared" si="166"/>
        <v>6.213710436985922</v>
      </c>
      <c r="X187" s="16">
        <f t="shared" si="167"/>
        <v>97.574321579804305</v>
      </c>
      <c r="AD187" s="15">
        <v>6</v>
      </c>
      <c r="AE187" s="15">
        <v>4</v>
      </c>
      <c r="AG187" s="38">
        <f t="shared" si="115"/>
        <v>1.8790853333894277</v>
      </c>
      <c r="AH187" s="38">
        <f t="shared" si="116"/>
        <v>3.3383732260411553E-2</v>
      </c>
      <c r="AI187" s="38">
        <f t="shared" si="117"/>
        <v>0.2351361216342957</v>
      </c>
      <c r="AJ187" s="38">
        <f t="shared" si="118"/>
        <v>0</v>
      </c>
      <c r="AK187" s="38">
        <f t="shared" si="119"/>
        <v>0.51093835644128682</v>
      </c>
      <c r="AL187" s="38">
        <f t="shared" si="120"/>
        <v>1.0726089034576503E-2</v>
      </c>
      <c r="AM187" s="38">
        <f t="shared" si="121"/>
        <v>0.76279686717020911</v>
      </c>
      <c r="AN187" s="38">
        <f t="shared" si="122"/>
        <v>0.44712678470145395</v>
      </c>
      <c r="AO187" s="38">
        <f t="shared" si="123"/>
        <v>0.14883116137139307</v>
      </c>
      <c r="AP187" s="38">
        <f t="shared" si="124"/>
        <v>3.2708016431308835E-2</v>
      </c>
      <c r="AQ187" s="38">
        <f t="shared" si="125"/>
        <v>0</v>
      </c>
      <c r="AR187" s="38">
        <f t="shared" si="126"/>
        <v>0</v>
      </c>
      <c r="AS187" s="38">
        <f t="shared" si="127"/>
        <v>0</v>
      </c>
      <c r="AT187" s="39">
        <f t="shared" si="128"/>
        <v>4.0607324624343644</v>
      </c>
      <c r="AU187" s="38">
        <f t="shared" si="129"/>
        <v>2.1142214550237233</v>
      </c>
      <c r="AV187" s="38">
        <f t="shared" si="130"/>
        <v>0.62866596250415585</v>
      </c>
      <c r="AW187" s="40"/>
      <c r="AX187" s="38">
        <f t="shared" si="131"/>
        <v>1.8509816647836357</v>
      </c>
      <c r="AY187" s="38">
        <f t="shared" si="132"/>
        <v>3.2884443946251389E-2</v>
      </c>
      <c r="AZ187" s="38">
        <f t="shared" si="133"/>
        <v>0.23161941724506938</v>
      </c>
      <c r="BA187" s="38">
        <f t="shared" si="134"/>
        <v>0</v>
      </c>
      <c r="BB187" s="38">
        <f t="shared" si="135"/>
        <v>0.3238243072444299</v>
      </c>
      <c r="BC187" s="38">
        <f t="shared" si="136"/>
        <v>0.1794724365503928</v>
      </c>
      <c r="BD187" s="38">
        <f t="shared" si="137"/>
        <v>1.0565669256768846E-2</v>
      </c>
      <c r="BE187" s="38">
        <f t="shared" si="138"/>
        <v>0.75138844947487227</v>
      </c>
      <c r="BF187" s="38">
        <f t="shared" si="139"/>
        <v>0.44043954024334464</v>
      </c>
      <c r="BG187" s="38">
        <f t="shared" si="140"/>
        <v>0.14660523710756407</v>
      </c>
      <c r="BH187" s="38">
        <f t="shared" si="141"/>
        <v>3.2218834147670732E-2</v>
      </c>
      <c r="BI187" s="38">
        <f t="shared" si="142"/>
        <v>0</v>
      </c>
      <c r="BJ187" s="38">
        <f t="shared" si="143"/>
        <v>0</v>
      </c>
      <c r="BK187" s="38">
        <f t="shared" si="144"/>
        <v>0</v>
      </c>
      <c r="BL187" s="41">
        <f t="shared" si="145"/>
        <v>4</v>
      </c>
      <c r="BM187" s="42">
        <f t="shared" si="169"/>
        <v>6.0000000000000009</v>
      </c>
      <c r="BN187" s="38">
        <f t="shared" si="146"/>
        <v>2.0826010820287051</v>
      </c>
      <c r="BO187" s="38">
        <f t="shared" si="147"/>
        <v>0.61926361149857934</v>
      </c>
      <c r="BQ187" s="38">
        <f t="shared" si="148"/>
        <v>0.80259653794940078</v>
      </c>
      <c r="BR187" s="38">
        <f t="shared" si="149"/>
        <v>1.425888833249875E-2</v>
      </c>
      <c r="BS187" s="38">
        <f t="shared" si="150"/>
        <v>0.10043154178109064</v>
      </c>
      <c r="BT187" s="38">
        <f t="shared" si="151"/>
        <v>0</v>
      </c>
      <c r="BU187" s="38">
        <f t="shared" si="152"/>
        <v>0.21823242867084205</v>
      </c>
      <c r="BV187" s="38">
        <f t="shared" si="153"/>
        <v>4.5813363405694954E-3</v>
      </c>
      <c r="BW187" s="38">
        <f t="shared" si="154"/>
        <v>0.32580645161290328</v>
      </c>
      <c r="BX187" s="38">
        <f t="shared" si="155"/>
        <v>0.19097717546362342</v>
      </c>
      <c r="BY187" s="38">
        <f t="shared" si="156"/>
        <v>6.3568893191352047E-2</v>
      </c>
      <c r="BZ187" s="38">
        <f t="shared" si="157"/>
        <v>1.397027600849257E-2</v>
      </c>
      <c r="CA187" s="38">
        <f t="shared" si="158"/>
        <v>0</v>
      </c>
      <c r="CB187" s="38">
        <f t="shared" si="159"/>
        <v>0</v>
      </c>
      <c r="CC187" s="38">
        <f t="shared" si="160"/>
        <v>0</v>
      </c>
      <c r="CD187" s="38">
        <f t="shared" si="161"/>
        <v>1.734423529350773</v>
      </c>
      <c r="CE187" s="38">
        <f t="shared" si="162"/>
        <v>2.5627251419232957</v>
      </c>
      <c r="CF187" s="38">
        <f t="shared" si="163"/>
        <v>2.3062417756159443</v>
      </c>
      <c r="CG187" s="38">
        <f t="shared" si="164"/>
        <v>5.9102637817248045</v>
      </c>
    </row>
    <row r="188" spans="1:129" ht="15" customHeight="1" x14ac:dyDescent="0.25">
      <c r="A188" s="35" t="s">
        <v>88</v>
      </c>
      <c r="B188" s="15">
        <v>905</v>
      </c>
      <c r="C188" s="102" t="s">
        <v>100</v>
      </c>
      <c r="D188" s="103" t="s">
        <v>104</v>
      </c>
      <c r="E188" s="15">
        <v>63</v>
      </c>
      <c r="F188" s="15" t="s">
        <v>280</v>
      </c>
      <c r="G188" s="16">
        <v>40.86</v>
      </c>
      <c r="H188" s="16">
        <v>1.3839999999999999</v>
      </c>
      <c r="I188" s="16">
        <v>10.29</v>
      </c>
      <c r="J188" s="16">
        <v>2.3E-2</v>
      </c>
      <c r="K188" s="16">
        <v>17.46</v>
      </c>
      <c r="L188" s="16">
        <v>6.3E-2</v>
      </c>
      <c r="M188" s="16">
        <v>14.11</v>
      </c>
      <c r="N188" s="16">
        <v>0.39100000000000001</v>
      </c>
      <c r="O188" s="16">
        <v>0.28399999999999997</v>
      </c>
      <c r="P188" s="16">
        <v>6.93</v>
      </c>
      <c r="Q188" s="16">
        <v>0</v>
      </c>
      <c r="R188" s="16">
        <v>0</v>
      </c>
      <c r="S188" s="16">
        <v>0</v>
      </c>
      <c r="T188" s="16">
        <f t="shared" si="114"/>
        <v>91.795000000000016</v>
      </c>
      <c r="U188" s="16"/>
      <c r="V188" s="16">
        <f t="shared" si="165"/>
        <v>0</v>
      </c>
      <c r="W188" s="16">
        <f t="shared" si="166"/>
        <v>19.403297999999999</v>
      </c>
      <c r="X188" s="16">
        <f t="shared" si="167"/>
        <v>93.738298000000015</v>
      </c>
      <c r="AB188" s="15" t="s">
        <v>185</v>
      </c>
      <c r="AD188" s="15">
        <v>11</v>
      </c>
      <c r="AE188" s="15">
        <v>7</v>
      </c>
      <c r="AG188" s="38">
        <f t="shared" si="115"/>
        <v>3.1469932536853364</v>
      </c>
      <c r="AH188" s="38">
        <f t="shared" si="116"/>
        <v>8.017249653208347E-2</v>
      </c>
      <c r="AI188" s="38">
        <f t="shared" si="117"/>
        <v>0.93399148575908308</v>
      </c>
      <c r="AJ188" s="38">
        <f t="shared" si="118"/>
        <v>1.4004583273143259E-3</v>
      </c>
      <c r="AK188" s="38">
        <f t="shared" si="119"/>
        <v>1.1244621475907197</v>
      </c>
      <c r="AL188" s="38">
        <f t="shared" si="120"/>
        <v>4.1093841254752272E-3</v>
      </c>
      <c r="AM188" s="38">
        <f t="shared" si="121"/>
        <v>1.6201280499987039</v>
      </c>
      <c r="AN188" s="38">
        <f t="shared" si="122"/>
        <v>3.2262359485240512E-2</v>
      </c>
      <c r="AO188" s="38">
        <f t="shared" si="123"/>
        <v>4.2405690315147418E-2</v>
      </c>
      <c r="AP188" s="38">
        <f t="shared" si="124"/>
        <v>0.68083159415569816</v>
      </c>
      <c r="AQ188" s="38">
        <f t="shared" si="125"/>
        <v>0</v>
      </c>
      <c r="AR188" s="38">
        <f t="shared" si="126"/>
        <v>0</v>
      </c>
      <c r="AS188" s="38">
        <f t="shared" si="127"/>
        <v>0</v>
      </c>
      <c r="AT188" s="39">
        <f t="shared" si="128"/>
        <v>7.6667569199748034</v>
      </c>
      <c r="AU188" s="38">
        <f t="shared" si="129"/>
        <v>4.0809847394444194</v>
      </c>
      <c r="AV188" s="38">
        <f t="shared" si="130"/>
        <v>0.75549964395608615</v>
      </c>
      <c r="AW188" s="40"/>
      <c r="AX188" s="38">
        <f t="shared" si="131"/>
        <v>2.8733078413381805</v>
      </c>
      <c r="AY188" s="38">
        <f t="shared" si="132"/>
        <v>7.3200113370286535E-2</v>
      </c>
      <c r="AZ188" s="38">
        <f t="shared" si="133"/>
        <v>0.85276479593082877</v>
      </c>
      <c r="BA188" s="38">
        <f t="shared" si="134"/>
        <v>1.2786642896762796E-3</v>
      </c>
      <c r="BB188" s="38">
        <f t="shared" si="135"/>
        <v>0</v>
      </c>
      <c r="BC188" s="38">
        <f t="shared" si="136"/>
        <v>1.0266707442657395</v>
      </c>
      <c r="BD188" s="38">
        <f t="shared" si="137"/>
        <v>3.7520022062237407E-3</v>
      </c>
      <c r="BE188" s="38">
        <f t="shared" si="138"/>
        <v>1.4792299362516115</v>
      </c>
      <c r="BF188" s="38">
        <f t="shared" si="139"/>
        <v>2.9456590153301196E-2</v>
      </c>
      <c r="BG188" s="38">
        <f t="shared" si="140"/>
        <v>3.871778319104547E-2</v>
      </c>
      <c r="BH188" s="38">
        <f t="shared" si="141"/>
        <v>0.62162152900310685</v>
      </c>
      <c r="BI188" s="38">
        <f t="shared" si="142"/>
        <v>0</v>
      </c>
      <c r="BJ188" s="38">
        <f t="shared" si="143"/>
        <v>0</v>
      </c>
      <c r="BK188" s="38">
        <f t="shared" si="144"/>
        <v>0</v>
      </c>
      <c r="BL188" s="41">
        <f t="shared" si="145"/>
        <v>7</v>
      </c>
      <c r="BM188" s="42">
        <f t="shared" si="169"/>
        <v>10.556695400854514</v>
      </c>
      <c r="BN188" s="38">
        <f t="shared" si="146"/>
        <v>3.7260726372690094</v>
      </c>
      <c r="BO188" s="38">
        <f t="shared" si="147"/>
        <v>0.68979590234745358</v>
      </c>
      <c r="BQ188" s="38">
        <f t="shared" si="148"/>
        <v>0.68009320905459392</v>
      </c>
      <c r="BR188" s="38">
        <f t="shared" si="149"/>
        <v>1.7325988983475211E-2</v>
      </c>
      <c r="BS188" s="38">
        <f t="shared" si="150"/>
        <v>0.20184386033738722</v>
      </c>
      <c r="BT188" s="38">
        <f t="shared" si="151"/>
        <v>3.0265149022962033E-4</v>
      </c>
      <c r="BU188" s="38">
        <f t="shared" si="152"/>
        <v>0.24300626304801673</v>
      </c>
      <c r="BV188" s="38">
        <f t="shared" si="153"/>
        <v>8.8807442909500994E-4</v>
      </c>
      <c r="BW188" s="38">
        <f t="shared" si="154"/>
        <v>0.35012406947890817</v>
      </c>
      <c r="BX188" s="38">
        <f t="shared" si="155"/>
        <v>6.9721825962910135E-3</v>
      </c>
      <c r="BY188" s="38">
        <f t="shared" si="156"/>
        <v>9.1642465311390763E-3</v>
      </c>
      <c r="BZ188" s="38">
        <f t="shared" si="157"/>
        <v>0.14713375796178343</v>
      </c>
      <c r="CA188" s="38">
        <f t="shared" si="158"/>
        <v>0</v>
      </c>
      <c r="CB188" s="38">
        <f t="shared" si="159"/>
        <v>0</v>
      </c>
      <c r="CC188" s="38">
        <f t="shared" si="160"/>
        <v>0</v>
      </c>
      <c r="CD188" s="38">
        <f t="shared" si="161"/>
        <v>1.6568543039109194</v>
      </c>
      <c r="CE188" s="38">
        <f t="shared" si="162"/>
        <v>2.377197755616336</v>
      </c>
      <c r="CF188" s="38">
        <f t="shared" si="163"/>
        <v>4.2248735953890817</v>
      </c>
      <c r="CG188" s="38">
        <f t="shared" si="164"/>
        <v>10.043360028721645</v>
      </c>
    </row>
    <row r="189" spans="1:129" ht="15" customHeight="1" x14ac:dyDescent="0.25">
      <c r="A189" s="35" t="s">
        <v>88</v>
      </c>
      <c r="B189" s="15">
        <v>957</v>
      </c>
      <c r="C189" s="102" t="s">
        <v>100</v>
      </c>
      <c r="D189" s="103" t="s">
        <v>104</v>
      </c>
      <c r="E189" s="15">
        <v>115</v>
      </c>
      <c r="F189" s="15" t="s">
        <v>270</v>
      </c>
      <c r="G189" s="16">
        <v>53</v>
      </c>
      <c r="H189" s="16">
        <v>0.20499999999999999</v>
      </c>
      <c r="I189" s="16">
        <v>1.669</v>
      </c>
      <c r="J189" s="16">
        <v>0</v>
      </c>
      <c r="K189" s="16">
        <v>16.329999999999998</v>
      </c>
      <c r="L189" s="16">
        <v>0.38700000000000001</v>
      </c>
      <c r="M189" s="16">
        <v>13.88</v>
      </c>
      <c r="N189" s="16">
        <v>11.61</v>
      </c>
      <c r="O189" s="16">
        <v>0.55500000000000005</v>
      </c>
      <c r="P189" s="16">
        <v>9.9000000000000005E-2</v>
      </c>
      <c r="Q189" s="16">
        <v>0</v>
      </c>
      <c r="R189" s="16">
        <v>0</v>
      </c>
      <c r="S189" s="16">
        <v>0</v>
      </c>
      <c r="T189" s="16">
        <f t="shared" si="114"/>
        <v>97.734999999999999</v>
      </c>
      <c r="U189" s="16"/>
      <c r="V189" s="16">
        <f t="shared" si="165"/>
        <v>16.329999999999998</v>
      </c>
      <c r="W189" s="16">
        <f t="shared" si="166"/>
        <v>0</v>
      </c>
      <c r="X189" s="16">
        <f t="shared" si="167"/>
        <v>97.734999999999999</v>
      </c>
      <c r="Y189" s="15">
        <v>4</v>
      </c>
      <c r="Z189" s="15">
        <v>24</v>
      </c>
      <c r="AB189" s="15" t="s">
        <v>277</v>
      </c>
      <c r="AD189" s="15">
        <v>6</v>
      </c>
      <c r="AE189" s="15">
        <v>4</v>
      </c>
      <c r="AG189" s="38">
        <f t="shared" si="115"/>
        <v>2.0258231564666662</v>
      </c>
      <c r="AH189" s="38">
        <f t="shared" si="116"/>
        <v>5.8934742501266157E-3</v>
      </c>
      <c r="AI189" s="38">
        <f t="shared" si="117"/>
        <v>7.5181691227941175E-2</v>
      </c>
      <c r="AJ189" s="38">
        <f t="shared" si="118"/>
        <v>0</v>
      </c>
      <c r="AK189" s="38">
        <f t="shared" si="119"/>
        <v>0.52193328976185904</v>
      </c>
      <c r="AL189" s="38">
        <f t="shared" si="120"/>
        <v>1.2527816006638669E-2</v>
      </c>
      <c r="AM189" s="38">
        <f t="shared" si="121"/>
        <v>0.79093356371477141</v>
      </c>
      <c r="AN189" s="38">
        <f t="shared" si="122"/>
        <v>0.47542257534465782</v>
      </c>
      <c r="AO189" s="38">
        <f t="shared" si="123"/>
        <v>4.1126996327778956E-2</v>
      </c>
      <c r="AP189" s="38">
        <f t="shared" si="124"/>
        <v>4.8269174653732374E-3</v>
      </c>
      <c r="AQ189" s="38">
        <f t="shared" si="125"/>
        <v>0</v>
      </c>
      <c r="AR189" s="38">
        <f t="shared" si="126"/>
        <v>0</v>
      </c>
      <c r="AS189" s="38">
        <f t="shared" si="127"/>
        <v>0</v>
      </c>
      <c r="AT189" s="39">
        <f t="shared" si="128"/>
        <v>3.9536694805658135</v>
      </c>
      <c r="AU189" s="38">
        <f t="shared" si="129"/>
        <v>2.1010048476946075</v>
      </c>
      <c r="AV189" s="38">
        <f t="shared" si="130"/>
        <v>0.52137648913780998</v>
      </c>
      <c r="AW189" s="40"/>
      <c r="AX189" s="38">
        <f t="shared" si="131"/>
        <v>2.0495624800449925</v>
      </c>
      <c r="AY189" s="38">
        <f t="shared" si="132"/>
        <v>5.9625360987769736E-3</v>
      </c>
      <c r="AZ189" s="38">
        <f t="shared" si="133"/>
        <v>7.6062697296772383E-2</v>
      </c>
      <c r="BA189" s="38">
        <f t="shared" si="134"/>
        <v>0</v>
      </c>
      <c r="BB189" s="38">
        <f t="shared" si="135"/>
        <v>0.52804949156970482</v>
      </c>
      <c r="BC189" s="38">
        <f t="shared" si="136"/>
        <v>0</v>
      </c>
      <c r="BD189" s="38">
        <f t="shared" si="137"/>
        <v>1.2674621455555564E-2</v>
      </c>
      <c r="BE189" s="38">
        <f t="shared" si="138"/>
        <v>0.80020200737830049</v>
      </c>
      <c r="BF189" s="38">
        <f t="shared" si="139"/>
        <v>0.48099374789075156</v>
      </c>
      <c r="BG189" s="38">
        <f t="shared" si="140"/>
        <v>4.1608937246715161E-2</v>
      </c>
      <c r="BH189" s="38">
        <f t="shared" si="141"/>
        <v>4.8834810184309628E-3</v>
      </c>
      <c r="BI189" s="38">
        <f t="shared" si="142"/>
        <v>0</v>
      </c>
      <c r="BJ189" s="38">
        <f t="shared" si="143"/>
        <v>0</v>
      </c>
      <c r="BK189" s="38">
        <f t="shared" si="144"/>
        <v>0</v>
      </c>
      <c r="BL189" s="41">
        <f t="shared" si="145"/>
        <v>4</v>
      </c>
      <c r="BM189" s="42">
        <f t="shared" si="169"/>
        <v>6.070310155659584</v>
      </c>
      <c r="BN189" s="38">
        <f t="shared" si="146"/>
        <v>2.1256251773417647</v>
      </c>
      <c r="BO189" s="38">
        <f t="shared" si="147"/>
        <v>0.52748616615589772</v>
      </c>
      <c r="BQ189" s="38">
        <f t="shared" si="148"/>
        <v>0.88215712383488687</v>
      </c>
      <c r="BR189" s="38">
        <f t="shared" si="149"/>
        <v>2.5663495242864297E-3</v>
      </c>
      <c r="BS189" s="38">
        <f t="shared" si="150"/>
        <v>3.273832875637505E-2</v>
      </c>
      <c r="BT189" s="38">
        <f t="shared" si="151"/>
        <v>0</v>
      </c>
      <c r="BU189" s="38">
        <f t="shared" si="152"/>
        <v>0.22727905358385525</v>
      </c>
      <c r="BV189" s="38">
        <f t="shared" si="153"/>
        <v>5.4553143501550614E-3</v>
      </c>
      <c r="BW189" s="38">
        <f t="shared" si="154"/>
        <v>0.34441687344913158</v>
      </c>
      <c r="BX189" s="38">
        <f t="shared" si="155"/>
        <v>0.20702567760342366</v>
      </c>
      <c r="BY189" s="38">
        <f t="shared" si="156"/>
        <v>1.7909002904162634E-2</v>
      </c>
      <c r="BZ189" s="38">
        <f t="shared" si="157"/>
        <v>2.1019108280254778E-3</v>
      </c>
      <c r="CA189" s="38">
        <f t="shared" si="158"/>
        <v>0</v>
      </c>
      <c r="CB189" s="38">
        <f t="shared" si="159"/>
        <v>0</v>
      </c>
      <c r="CC189" s="38">
        <f t="shared" si="160"/>
        <v>0</v>
      </c>
      <c r="CD189" s="38">
        <f t="shared" si="161"/>
        <v>1.721649634834302</v>
      </c>
      <c r="CE189" s="38">
        <f t="shared" si="162"/>
        <v>2.6127368157055688</v>
      </c>
      <c r="CF189" s="38">
        <f t="shared" si="163"/>
        <v>2.3233530905868518</v>
      </c>
      <c r="CG189" s="38">
        <f t="shared" si="164"/>
        <v>6.0703101556595831</v>
      </c>
    </row>
    <row r="190" spans="1:129" ht="15" customHeight="1" x14ac:dyDescent="0.25">
      <c r="A190" s="35" t="s">
        <v>88</v>
      </c>
      <c r="B190" s="15">
        <v>958</v>
      </c>
      <c r="C190" s="102" t="s">
        <v>100</v>
      </c>
      <c r="D190" s="103" t="s">
        <v>104</v>
      </c>
      <c r="E190" s="15">
        <v>116</v>
      </c>
      <c r="F190" s="15" t="s">
        <v>270</v>
      </c>
      <c r="G190" s="16">
        <v>54.5</v>
      </c>
      <c r="H190" s="16">
        <v>0.27300000000000002</v>
      </c>
      <c r="I190" s="16">
        <v>1.1930000000000001</v>
      </c>
      <c r="J190" s="16">
        <v>0</v>
      </c>
      <c r="K190" s="16">
        <v>13.88</v>
      </c>
      <c r="L190" s="16">
        <v>0.314</v>
      </c>
      <c r="M190" s="16">
        <v>15.36</v>
      </c>
      <c r="N190" s="16">
        <v>11.52</v>
      </c>
      <c r="O190" s="16">
        <v>0.44900000000000001</v>
      </c>
      <c r="P190" s="16">
        <v>0.17599999999999999</v>
      </c>
      <c r="Q190" s="16">
        <v>0</v>
      </c>
      <c r="R190" s="16">
        <v>0</v>
      </c>
      <c r="S190" s="16">
        <v>0</v>
      </c>
      <c r="T190" s="16">
        <f t="shared" si="114"/>
        <v>97.664999999999992</v>
      </c>
      <c r="U190" s="16"/>
      <c r="V190" s="16">
        <f t="shared" si="165"/>
        <v>13.88</v>
      </c>
      <c r="W190" s="16">
        <f t="shared" si="166"/>
        <v>0</v>
      </c>
      <c r="X190" s="16">
        <f t="shared" si="167"/>
        <v>97.664999999999992</v>
      </c>
      <c r="Y190" s="15">
        <v>4</v>
      </c>
      <c r="Z190" s="15">
        <v>25</v>
      </c>
      <c r="AB190" s="15" t="s">
        <v>277</v>
      </c>
      <c r="AD190" s="15">
        <v>6</v>
      </c>
      <c r="AE190" s="15">
        <v>4</v>
      </c>
      <c r="AG190" s="38">
        <f t="shared" si="115"/>
        <v>2.0542789796484779</v>
      </c>
      <c r="AH190" s="38">
        <f t="shared" si="116"/>
        <v>7.7395807333839285E-3</v>
      </c>
      <c r="AI190" s="38">
        <f t="shared" si="117"/>
        <v>5.299482428765219E-2</v>
      </c>
      <c r="AJ190" s="38">
        <f t="shared" si="118"/>
        <v>0</v>
      </c>
      <c r="AK190" s="38">
        <f t="shared" si="119"/>
        <v>0.43747731464768075</v>
      </c>
      <c r="AL190" s="38">
        <f t="shared" si="120"/>
        <v>1.0023774960244501E-2</v>
      </c>
      <c r="AM190" s="38">
        <f t="shared" si="121"/>
        <v>0.86313556839949435</v>
      </c>
      <c r="AN190" s="38">
        <f t="shared" si="122"/>
        <v>0.46519744213399994</v>
      </c>
      <c r="AO190" s="38">
        <f t="shared" si="123"/>
        <v>3.2810859621883931E-2</v>
      </c>
      <c r="AP190" s="38">
        <f t="shared" si="124"/>
        <v>8.4622257048720777E-3</v>
      </c>
      <c r="AQ190" s="38">
        <f t="shared" si="125"/>
        <v>0</v>
      </c>
      <c r="AR190" s="38">
        <f t="shared" si="126"/>
        <v>0</v>
      </c>
      <c r="AS190" s="38">
        <f t="shared" si="127"/>
        <v>0</v>
      </c>
      <c r="AT190" s="39">
        <f t="shared" si="128"/>
        <v>3.9321205701376893</v>
      </c>
      <c r="AU190" s="38">
        <f t="shared" si="129"/>
        <v>2.1072738039361303</v>
      </c>
      <c r="AV190" s="38">
        <f t="shared" si="130"/>
        <v>0.50647052746075594</v>
      </c>
      <c r="AW190" s="40"/>
      <c r="AX190" s="38">
        <f t="shared" si="131"/>
        <v>2.0897415966840955</v>
      </c>
      <c r="AY190" s="38">
        <f t="shared" si="132"/>
        <v>7.8731876048377791E-3</v>
      </c>
      <c r="AZ190" s="38">
        <f t="shared" si="133"/>
        <v>5.3909663594874452E-2</v>
      </c>
      <c r="BA190" s="38">
        <f t="shared" si="134"/>
        <v>0</v>
      </c>
      <c r="BB190" s="38">
        <f t="shared" si="135"/>
        <v>0.4450294001359798</v>
      </c>
      <c r="BC190" s="38">
        <f t="shared" si="136"/>
        <v>0</v>
      </c>
      <c r="BD190" s="38">
        <f t="shared" si="137"/>
        <v>1.0196813430767717E-2</v>
      </c>
      <c r="BE190" s="38">
        <f t="shared" si="138"/>
        <v>0.87803570923489793</v>
      </c>
      <c r="BF190" s="38">
        <f t="shared" si="139"/>
        <v>0.47322805477219665</v>
      </c>
      <c r="BG190" s="38">
        <f t="shared" si="140"/>
        <v>3.3377267086939812E-2</v>
      </c>
      <c r="BH190" s="38">
        <f t="shared" si="141"/>
        <v>8.6083074554102589E-3</v>
      </c>
      <c r="BI190" s="38">
        <f t="shared" si="142"/>
        <v>0</v>
      </c>
      <c r="BJ190" s="38">
        <f t="shared" si="143"/>
        <v>0</v>
      </c>
      <c r="BK190" s="38">
        <f t="shared" si="144"/>
        <v>0</v>
      </c>
      <c r="BL190" s="41">
        <f t="shared" si="145"/>
        <v>4.0000000000000009</v>
      </c>
      <c r="BM190" s="42">
        <f t="shared" si="169"/>
        <v>6.1035768288151955</v>
      </c>
      <c r="BN190" s="38">
        <f t="shared" si="146"/>
        <v>2.1436512602789701</v>
      </c>
      <c r="BO190" s="38">
        <f t="shared" si="147"/>
        <v>0.51521362931454673</v>
      </c>
      <c r="BQ190" s="38">
        <f t="shared" si="148"/>
        <v>0.90712383488681758</v>
      </c>
      <c r="BR190" s="38">
        <f t="shared" si="149"/>
        <v>3.4176264396594898E-3</v>
      </c>
      <c r="BS190" s="38">
        <f t="shared" si="150"/>
        <v>2.3401333856414283E-2</v>
      </c>
      <c r="BT190" s="38">
        <f t="shared" si="151"/>
        <v>0</v>
      </c>
      <c r="BU190" s="38">
        <f t="shared" si="152"/>
        <v>0.19318023660403622</v>
      </c>
      <c r="BV190" s="38">
        <f t="shared" si="153"/>
        <v>4.4262757259656048E-3</v>
      </c>
      <c r="BW190" s="38">
        <f t="shared" si="154"/>
        <v>0.38114143920595533</v>
      </c>
      <c r="BX190" s="38">
        <f t="shared" si="155"/>
        <v>0.20542082738944364</v>
      </c>
      <c r="BY190" s="38">
        <f t="shared" si="156"/>
        <v>1.4488544691836077E-2</v>
      </c>
      <c r="BZ190" s="38">
        <f t="shared" si="157"/>
        <v>3.7367303609341825E-3</v>
      </c>
      <c r="CA190" s="38">
        <f t="shared" si="158"/>
        <v>0</v>
      </c>
      <c r="CB190" s="38">
        <f t="shared" si="159"/>
        <v>0</v>
      </c>
      <c r="CC190" s="38">
        <f t="shared" si="160"/>
        <v>0</v>
      </c>
      <c r="CD190" s="38">
        <f t="shared" si="161"/>
        <v>1.7363368491610625</v>
      </c>
      <c r="CE190" s="38">
        <f t="shared" si="162"/>
        <v>2.6494663398893614</v>
      </c>
      <c r="CF190" s="38">
        <f t="shared" si="163"/>
        <v>2.3037004610785408</v>
      </c>
      <c r="CG190" s="38">
        <f t="shared" si="164"/>
        <v>6.1035768288151955</v>
      </c>
    </row>
    <row r="191" spans="1:129" ht="15" customHeight="1" x14ac:dyDescent="0.25">
      <c r="A191" s="35" t="s">
        <v>83</v>
      </c>
      <c r="B191" s="15">
        <v>70</v>
      </c>
      <c r="C191" s="102" t="s">
        <v>96</v>
      </c>
      <c r="D191" s="103" t="s">
        <v>103</v>
      </c>
      <c r="E191" s="15">
        <v>101</v>
      </c>
      <c r="F191" s="15" t="s">
        <v>270</v>
      </c>
      <c r="G191" s="16">
        <v>50.09</v>
      </c>
      <c r="H191" s="16">
        <v>0.97499999999999998</v>
      </c>
      <c r="I191" s="16">
        <v>3.75</v>
      </c>
      <c r="J191" s="16">
        <v>3.4000000000000002E-2</v>
      </c>
      <c r="K191" s="16">
        <v>15.55</v>
      </c>
      <c r="L191" s="16">
        <v>0.45200000000000001</v>
      </c>
      <c r="M191" s="16">
        <v>17.36</v>
      </c>
      <c r="N191" s="16">
        <v>10.66</v>
      </c>
      <c r="O191" s="16">
        <v>0.19400000000000001</v>
      </c>
      <c r="P191" s="16">
        <v>0</v>
      </c>
      <c r="Q191" s="16">
        <v>0</v>
      </c>
      <c r="R191" s="16">
        <v>0</v>
      </c>
      <c r="S191" s="16">
        <v>0</v>
      </c>
      <c r="T191" s="16">
        <f t="shared" si="114"/>
        <v>99.064999999999998</v>
      </c>
      <c r="U191" s="16"/>
      <c r="V191" s="16">
        <f t="shared" si="165"/>
        <v>14.814100604544096</v>
      </c>
      <c r="W191" s="16">
        <f t="shared" si="166"/>
        <v>0.81780499817014729</v>
      </c>
      <c r="X191" s="16">
        <f t="shared" si="167"/>
        <v>99.146905602714241</v>
      </c>
      <c r="AB191" s="15" t="s">
        <v>271</v>
      </c>
      <c r="AD191" s="15">
        <v>6</v>
      </c>
      <c r="AE191" s="15">
        <v>4</v>
      </c>
      <c r="AG191" s="38">
        <f t="shared" si="115"/>
        <v>1.8879260763162196</v>
      </c>
      <c r="AH191" s="38">
        <f t="shared" si="116"/>
        <v>2.7639516196447673E-2</v>
      </c>
      <c r="AI191" s="38">
        <f t="shared" si="117"/>
        <v>0.16656943550806047</v>
      </c>
      <c r="AJ191" s="38">
        <f t="shared" si="118"/>
        <v>1.0131127362057377E-3</v>
      </c>
      <c r="AK191" s="38">
        <f t="shared" si="119"/>
        <v>0.49008058542416838</v>
      </c>
      <c r="AL191" s="38">
        <f t="shared" si="120"/>
        <v>1.4428165922882501E-2</v>
      </c>
      <c r="AM191" s="38">
        <f t="shared" si="121"/>
        <v>0.97545794880667014</v>
      </c>
      <c r="AN191" s="38">
        <f t="shared" si="122"/>
        <v>0.43044045033124989</v>
      </c>
      <c r="AO191" s="38">
        <f t="shared" si="123"/>
        <v>1.4175684246591195E-2</v>
      </c>
      <c r="AP191" s="38">
        <f t="shared" si="124"/>
        <v>0</v>
      </c>
      <c r="AQ191" s="38">
        <f t="shared" si="125"/>
        <v>0</v>
      </c>
      <c r="AR191" s="38">
        <f t="shared" si="126"/>
        <v>0</v>
      </c>
      <c r="AS191" s="38">
        <f t="shared" si="127"/>
        <v>0</v>
      </c>
      <c r="AT191" s="39">
        <f t="shared" si="128"/>
        <v>4.0077309754884958</v>
      </c>
      <c r="AU191" s="38">
        <f t="shared" si="129"/>
        <v>2.05449551182428</v>
      </c>
      <c r="AV191" s="38">
        <f t="shared" si="130"/>
        <v>0.4446161345778411</v>
      </c>
      <c r="AW191" s="40"/>
      <c r="AX191" s="38">
        <f t="shared" si="131"/>
        <v>1.8842842375028463</v>
      </c>
      <c r="AY191" s="38">
        <f t="shared" si="132"/>
        <v>2.7586199139106378E-2</v>
      </c>
      <c r="AZ191" s="38">
        <f t="shared" si="133"/>
        <v>0.16624812047196619</v>
      </c>
      <c r="BA191" s="38">
        <f t="shared" si="134"/>
        <v>1.0111584259542281E-3</v>
      </c>
      <c r="BB191" s="38">
        <f t="shared" si="135"/>
        <v>0.46598702539086806</v>
      </c>
      <c r="BC191" s="38">
        <f t="shared" si="136"/>
        <v>2.3148186949010441E-2</v>
      </c>
      <c r="BD191" s="38">
        <f t="shared" si="137"/>
        <v>1.440033376603965E-2</v>
      </c>
      <c r="BE191" s="38">
        <f t="shared" si="138"/>
        <v>0.97357627522668067</v>
      </c>
      <c r="BF191" s="38">
        <f t="shared" si="139"/>
        <v>0.42961012399669291</v>
      </c>
      <c r="BG191" s="38">
        <f t="shared" si="140"/>
        <v>1.4148339130835342E-2</v>
      </c>
      <c r="BH191" s="38">
        <f t="shared" si="141"/>
        <v>0</v>
      </c>
      <c r="BI191" s="38">
        <f t="shared" si="142"/>
        <v>0</v>
      </c>
      <c r="BJ191" s="38">
        <f t="shared" si="143"/>
        <v>0</v>
      </c>
      <c r="BK191" s="38">
        <f t="shared" si="144"/>
        <v>0</v>
      </c>
      <c r="BL191" s="41">
        <f t="shared" si="145"/>
        <v>4</v>
      </c>
      <c r="BM191" s="42">
        <f t="shared" si="169"/>
        <v>6.0000000000000018</v>
      </c>
      <c r="BN191" s="38">
        <f t="shared" si="146"/>
        <v>2.0505323579748125</v>
      </c>
      <c r="BO191" s="38">
        <f t="shared" si="147"/>
        <v>0.44375846312752826</v>
      </c>
      <c r="BQ191" s="38">
        <f t="shared" si="148"/>
        <v>0.83372170439414117</v>
      </c>
      <c r="BR191" s="38">
        <f t="shared" si="149"/>
        <v>1.2205808713069605E-2</v>
      </c>
      <c r="BS191" s="38">
        <f t="shared" si="150"/>
        <v>7.3558258140447239E-2</v>
      </c>
      <c r="BT191" s="38">
        <f t="shared" si="151"/>
        <v>4.4739785512204748E-4</v>
      </c>
      <c r="BU191" s="38">
        <f t="shared" si="152"/>
        <v>0.21642310368823942</v>
      </c>
      <c r="BV191" s="38">
        <f t="shared" si="153"/>
        <v>6.3715816182689598E-3</v>
      </c>
      <c r="BW191" s="38">
        <f t="shared" si="154"/>
        <v>0.43076923076923079</v>
      </c>
      <c r="BX191" s="38">
        <f t="shared" si="155"/>
        <v>0.19008559201141229</v>
      </c>
      <c r="BY191" s="38">
        <f t="shared" si="156"/>
        <v>6.2600838980316235E-3</v>
      </c>
      <c r="BZ191" s="38">
        <f t="shared" si="157"/>
        <v>0</v>
      </c>
      <c r="CA191" s="38">
        <f t="shared" si="158"/>
        <v>0</v>
      </c>
      <c r="CB191" s="38">
        <f t="shared" si="159"/>
        <v>0</v>
      </c>
      <c r="CC191" s="38">
        <f t="shared" si="160"/>
        <v>0</v>
      </c>
      <c r="CD191" s="38">
        <f t="shared" si="161"/>
        <v>1.7698427610879632</v>
      </c>
      <c r="CE191" s="38">
        <f t="shared" si="162"/>
        <v>2.6496430602439429</v>
      </c>
      <c r="CF191" s="38">
        <f t="shared" si="163"/>
        <v>2.2600877817762228</v>
      </c>
      <c r="CG191" s="38">
        <f t="shared" si="164"/>
        <v>5.9884259065254959</v>
      </c>
    </row>
    <row r="192" spans="1:129" ht="15" customHeight="1" x14ac:dyDescent="0.25">
      <c r="A192" s="35" t="s">
        <v>83</v>
      </c>
      <c r="B192" s="15">
        <v>72</v>
      </c>
      <c r="C192" s="102" t="s">
        <v>96</v>
      </c>
      <c r="D192" s="103" t="s">
        <v>103</v>
      </c>
      <c r="E192" s="15">
        <v>103</v>
      </c>
      <c r="F192" s="15" t="s">
        <v>270</v>
      </c>
      <c r="G192" s="16">
        <v>50.26</v>
      </c>
      <c r="H192" s="16">
        <v>0.97299999999999998</v>
      </c>
      <c r="I192" s="16">
        <v>4.18</v>
      </c>
      <c r="J192" s="16">
        <v>0</v>
      </c>
      <c r="K192" s="16">
        <v>15.38</v>
      </c>
      <c r="L192" s="16">
        <v>0.38600000000000001</v>
      </c>
      <c r="M192" s="16">
        <v>19.12</v>
      </c>
      <c r="N192" s="16">
        <v>8.89</v>
      </c>
      <c r="O192" s="16">
        <v>0.16300000000000001</v>
      </c>
      <c r="P192" s="16">
        <v>0</v>
      </c>
      <c r="Q192" s="16">
        <v>0</v>
      </c>
      <c r="R192" s="16">
        <v>0</v>
      </c>
      <c r="S192" s="16">
        <v>0</v>
      </c>
      <c r="T192" s="16">
        <f t="shared" si="114"/>
        <v>99.35199999999999</v>
      </c>
      <c r="U192" s="16"/>
      <c r="V192" s="16">
        <f t="shared" si="165"/>
        <v>14.356066174871488</v>
      </c>
      <c r="W192" s="16">
        <f t="shared" si="166"/>
        <v>1.1378976598653154</v>
      </c>
      <c r="X192" s="16">
        <f t="shared" si="167"/>
        <v>99.465963834736797</v>
      </c>
      <c r="AB192" s="15" t="s">
        <v>271</v>
      </c>
      <c r="AD192" s="15">
        <v>6</v>
      </c>
      <c r="AE192" s="15">
        <v>4</v>
      </c>
      <c r="AG192" s="38">
        <f t="shared" si="115"/>
        <v>1.8759931481608134</v>
      </c>
      <c r="AH192" s="38">
        <f t="shared" si="116"/>
        <v>2.7315771532418286E-2</v>
      </c>
      <c r="AI192" s="38">
        <f t="shared" si="117"/>
        <v>0.18387180450104998</v>
      </c>
      <c r="AJ192" s="38">
        <f t="shared" si="118"/>
        <v>0</v>
      </c>
      <c r="AK192" s="38">
        <f t="shared" si="119"/>
        <v>0.48002985701694151</v>
      </c>
      <c r="AL192" s="38">
        <f t="shared" si="120"/>
        <v>1.2202106413388369E-2</v>
      </c>
      <c r="AM192" s="38">
        <f t="shared" si="121"/>
        <v>1.0639507606054039</v>
      </c>
      <c r="AN192" s="38">
        <f t="shared" si="122"/>
        <v>0.35549413788526124</v>
      </c>
      <c r="AO192" s="38">
        <f t="shared" si="123"/>
        <v>1.1795183881932554E-2</v>
      </c>
      <c r="AP192" s="38">
        <f t="shared" si="124"/>
        <v>0</v>
      </c>
      <c r="AQ192" s="38">
        <f t="shared" si="125"/>
        <v>0</v>
      </c>
      <c r="AR192" s="38">
        <f t="shared" si="126"/>
        <v>0</v>
      </c>
      <c r="AS192" s="38">
        <f t="shared" si="127"/>
        <v>0</v>
      </c>
      <c r="AT192" s="39">
        <f t="shared" si="128"/>
        <v>4.0106527699972094</v>
      </c>
      <c r="AU192" s="38">
        <f t="shared" si="129"/>
        <v>2.0598649526618633</v>
      </c>
      <c r="AV192" s="38">
        <f t="shared" si="130"/>
        <v>0.36728932176719381</v>
      </c>
      <c r="AW192" s="40"/>
      <c r="AX192" s="38">
        <f t="shared" si="131"/>
        <v>1.8710102875967682</v>
      </c>
      <c r="AY192" s="38">
        <f t="shared" si="132"/>
        <v>2.7243217599650035E-2</v>
      </c>
      <c r="AZ192" s="38">
        <f t="shared" si="133"/>
        <v>0.18338341915466089</v>
      </c>
      <c r="BA192" s="38">
        <f t="shared" si="134"/>
        <v>0</v>
      </c>
      <c r="BB192" s="38">
        <f t="shared" si="135"/>
        <v>0.4468814157907014</v>
      </c>
      <c r="BC192" s="38">
        <f t="shared" si="136"/>
        <v>3.1873424925440208E-2</v>
      </c>
      <c r="BD192" s="38">
        <f t="shared" si="137"/>
        <v>1.2169696169830088E-2</v>
      </c>
      <c r="BE192" s="38">
        <f t="shared" si="138"/>
        <v>1.0611247810476938</v>
      </c>
      <c r="BF192" s="38">
        <f t="shared" si="139"/>
        <v>0.35454990324231789</v>
      </c>
      <c r="BG192" s="38">
        <f t="shared" si="140"/>
        <v>1.1763854472937343E-2</v>
      </c>
      <c r="BH192" s="38">
        <f t="shared" si="141"/>
        <v>0</v>
      </c>
      <c r="BI192" s="38">
        <f t="shared" si="142"/>
        <v>0</v>
      </c>
      <c r="BJ192" s="38">
        <f t="shared" si="143"/>
        <v>0</v>
      </c>
      <c r="BK192" s="38">
        <f t="shared" si="144"/>
        <v>0</v>
      </c>
      <c r="BL192" s="41">
        <f t="shared" si="145"/>
        <v>3.9999999999999996</v>
      </c>
      <c r="BM192" s="42">
        <f t="shared" si="169"/>
        <v>6</v>
      </c>
      <c r="BN192" s="38">
        <f t="shared" si="146"/>
        <v>2.0543937067514291</v>
      </c>
      <c r="BO192" s="38">
        <f t="shared" si="147"/>
        <v>0.36631375771525521</v>
      </c>
      <c r="BQ192" s="38">
        <f t="shared" si="148"/>
        <v>0.83655126498002663</v>
      </c>
      <c r="BR192" s="38">
        <f t="shared" si="149"/>
        <v>1.2180771156735102E-2</v>
      </c>
      <c r="BS192" s="38">
        <f t="shared" si="150"/>
        <v>8.199293840721851E-2</v>
      </c>
      <c r="BT192" s="38">
        <f t="shared" si="151"/>
        <v>0</v>
      </c>
      <c r="BU192" s="38">
        <f t="shared" si="152"/>
        <v>0.21405706332637442</v>
      </c>
      <c r="BV192" s="38">
        <f t="shared" si="153"/>
        <v>5.4412179306456161E-3</v>
      </c>
      <c r="BW192" s="38">
        <f t="shared" si="154"/>
        <v>0.47444168734491321</v>
      </c>
      <c r="BX192" s="38">
        <f t="shared" si="155"/>
        <v>0.15852353780313838</v>
      </c>
      <c r="BY192" s="38">
        <f t="shared" si="156"/>
        <v>5.259761213294612E-3</v>
      </c>
      <c r="BZ192" s="38">
        <f t="shared" si="157"/>
        <v>0</v>
      </c>
      <c r="CA192" s="38">
        <f t="shared" si="158"/>
        <v>0</v>
      </c>
      <c r="CB192" s="38">
        <f t="shared" si="159"/>
        <v>0</v>
      </c>
      <c r="CC192" s="38">
        <f t="shared" si="160"/>
        <v>0</v>
      </c>
      <c r="CD192" s="38">
        <f t="shared" si="161"/>
        <v>1.7884482421623464</v>
      </c>
      <c r="CE192" s="38">
        <f t="shared" si="162"/>
        <v>2.6755468668960702</v>
      </c>
      <c r="CF192" s="38">
        <f t="shared" si="163"/>
        <v>2.2365757675848355</v>
      </c>
      <c r="CG192" s="38">
        <f t="shared" si="164"/>
        <v>5.9840632875372801</v>
      </c>
    </row>
    <row r="193" spans="1:85" ht="15" customHeight="1" x14ac:dyDescent="0.25">
      <c r="A193" s="35" t="s">
        <v>83</v>
      </c>
      <c r="B193" s="15">
        <v>102</v>
      </c>
      <c r="C193" s="102" t="s">
        <v>96</v>
      </c>
      <c r="D193" s="103" t="s">
        <v>103</v>
      </c>
      <c r="E193" s="15">
        <v>133</v>
      </c>
      <c r="F193" s="15" t="s">
        <v>272</v>
      </c>
      <c r="G193" s="16">
        <v>0.308</v>
      </c>
      <c r="H193" s="16">
        <v>11.46</v>
      </c>
      <c r="I193" s="16">
        <v>4.1500000000000004</v>
      </c>
      <c r="J193" s="16">
        <v>8.9999999999999993E-3</v>
      </c>
      <c r="K193" s="16">
        <v>73.930000000000007</v>
      </c>
      <c r="L193" s="16">
        <v>0.432</v>
      </c>
      <c r="M193" s="16">
        <v>2.87</v>
      </c>
      <c r="N193" s="16">
        <v>0.39400000000000002</v>
      </c>
      <c r="O193" s="16">
        <v>0</v>
      </c>
      <c r="P193" s="16">
        <v>0</v>
      </c>
      <c r="Q193" s="16">
        <v>0</v>
      </c>
      <c r="T193" s="16">
        <f t="shared" si="114"/>
        <v>93.553000000000026</v>
      </c>
      <c r="U193" s="16"/>
      <c r="V193" s="16">
        <f t="shared" si="165"/>
        <v>36.791426232700772</v>
      </c>
      <c r="W193" s="16">
        <f t="shared" si="166"/>
        <v>41.272097027599635</v>
      </c>
      <c r="X193" s="16">
        <f t="shared" si="167"/>
        <v>97.686523260300405</v>
      </c>
      <c r="AD193" s="15">
        <v>4</v>
      </c>
      <c r="AE193" s="15">
        <v>3</v>
      </c>
      <c r="AG193" s="38">
        <f t="shared" si="115"/>
        <v>1.3378578826606351E-2</v>
      </c>
      <c r="AH193" s="38">
        <f t="shared" si="116"/>
        <v>0.37439992302751052</v>
      </c>
      <c r="AI193" s="38">
        <f t="shared" si="117"/>
        <v>0.21244056849359158</v>
      </c>
      <c r="AJ193" s="38">
        <f t="shared" si="118"/>
        <v>3.0906276058500885E-4</v>
      </c>
      <c r="AK193" s="38">
        <f t="shared" si="119"/>
        <v>2.6852400937049836</v>
      </c>
      <c r="AL193" s="38">
        <f t="shared" si="120"/>
        <v>1.5892116937575022E-2</v>
      </c>
      <c r="AM193" s="38">
        <f t="shared" si="121"/>
        <v>0.1858514868712097</v>
      </c>
      <c r="AN193" s="38">
        <f t="shared" si="122"/>
        <v>1.8334851896733149E-2</v>
      </c>
      <c r="AO193" s="38">
        <f t="shared" si="123"/>
        <v>0</v>
      </c>
      <c r="AP193" s="38">
        <f t="shared" si="124"/>
        <v>0</v>
      </c>
      <c r="AQ193" s="38">
        <f t="shared" si="125"/>
        <v>0</v>
      </c>
      <c r="AR193" s="38">
        <f t="shared" si="126"/>
        <v>0</v>
      </c>
      <c r="AS193" s="38">
        <f t="shared" si="127"/>
        <v>0</v>
      </c>
      <c r="AT193" s="39">
        <f t="shared" si="128"/>
        <v>3.5058466825187948</v>
      </c>
      <c r="AU193" s="38">
        <f t="shared" si="129"/>
        <v>0.22581914732019792</v>
      </c>
      <c r="AV193" s="38">
        <f t="shared" si="130"/>
        <v>1.8334851896733149E-2</v>
      </c>
      <c r="AW193" s="40"/>
      <c r="AX193" s="38">
        <f t="shared" si="131"/>
        <v>1.144822923373914E-2</v>
      </c>
      <c r="AY193" s="38">
        <f t="shared" si="132"/>
        <v>0.32037903274069085</v>
      </c>
      <c r="AZ193" s="38">
        <f t="shared" si="133"/>
        <v>0.1817882420981648</v>
      </c>
      <c r="BA193" s="38">
        <f t="shared" si="134"/>
        <v>2.6446914703323046E-4</v>
      </c>
      <c r="BB193" s="38">
        <f t="shared" si="135"/>
        <v>1.1435031774077298</v>
      </c>
      <c r="BC193" s="38">
        <f t="shared" si="136"/>
        <v>1.154292764805942</v>
      </c>
      <c r="BD193" s="38">
        <f t="shared" si="137"/>
        <v>1.3599097487763417E-2</v>
      </c>
      <c r="BE193" s="38">
        <f t="shared" si="138"/>
        <v>0.15903560854322668</v>
      </c>
      <c r="BF193" s="38">
        <f t="shared" si="139"/>
        <v>1.5689378535709699E-2</v>
      </c>
      <c r="BG193" s="38">
        <f t="shared" si="140"/>
        <v>0</v>
      </c>
      <c r="BH193" s="38">
        <f t="shared" si="141"/>
        <v>0</v>
      </c>
      <c r="BI193" s="38">
        <f t="shared" si="142"/>
        <v>0</v>
      </c>
      <c r="BJ193" s="38">
        <f t="shared" si="143"/>
        <v>0</v>
      </c>
      <c r="BK193" s="38">
        <f t="shared" si="144"/>
        <v>0</v>
      </c>
      <c r="BL193" s="41">
        <f t="shared" si="145"/>
        <v>2.9999999999999996</v>
      </c>
      <c r="BM193" s="42">
        <f t="shared" si="169"/>
        <v>3.9999999999999996</v>
      </c>
      <c r="BN193" s="38">
        <f t="shared" si="146"/>
        <v>0.19323647133190394</v>
      </c>
      <c r="BO193" s="38">
        <f t="shared" si="147"/>
        <v>1.5689378535709699E-2</v>
      </c>
      <c r="BQ193" s="38">
        <f t="shared" si="148"/>
        <v>5.1264980026631156E-3</v>
      </c>
      <c r="BR193" s="38">
        <f t="shared" si="149"/>
        <v>0.14346519779669506</v>
      </c>
      <c r="BS193" s="38">
        <f t="shared" si="150"/>
        <v>8.1404472342094955E-2</v>
      </c>
      <c r="BT193" s="38">
        <f t="shared" si="151"/>
        <v>1.1842884400289492E-4</v>
      </c>
      <c r="BU193" s="38">
        <f t="shared" si="152"/>
        <v>1.0289491997216424</v>
      </c>
      <c r="BV193" s="38">
        <f t="shared" si="153"/>
        <v>6.0896532280800674E-3</v>
      </c>
      <c r="BW193" s="38">
        <f t="shared" si="154"/>
        <v>7.1215880893300262E-2</v>
      </c>
      <c r="BX193" s="38">
        <f t="shared" si="155"/>
        <v>7.025677603423681E-3</v>
      </c>
      <c r="BY193" s="38">
        <f t="shared" si="156"/>
        <v>0</v>
      </c>
      <c r="BZ193" s="38">
        <f t="shared" si="157"/>
        <v>0</v>
      </c>
      <c r="CA193" s="38">
        <f t="shared" si="158"/>
        <v>0</v>
      </c>
      <c r="CB193" s="38">
        <f t="shared" si="159"/>
        <v>0</v>
      </c>
      <c r="CC193" s="38">
        <f t="shared" si="160"/>
        <v>0</v>
      </c>
      <c r="CD193" s="38">
        <f t="shared" si="161"/>
        <v>1.3433950084319026</v>
      </c>
      <c r="CE193" s="38">
        <f t="shared" si="162"/>
        <v>1.5327481548243096</v>
      </c>
      <c r="CF193" s="38">
        <f t="shared" si="163"/>
        <v>2.2331480920878168</v>
      </c>
      <c r="CG193" s="38">
        <f t="shared" si="164"/>
        <v>3.4228536175970286</v>
      </c>
    </row>
    <row r="194" spans="1:85" ht="15" customHeight="1" x14ac:dyDescent="0.25">
      <c r="A194" s="35" t="s">
        <v>86</v>
      </c>
      <c r="B194" s="15">
        <v>511</v>
      </c>
      <c r="C194" s="102" t="s">
        <v>96</v>
      </c>
      <c r="D194" s="103" t="s">
        <v>105</v>
      </c>
      <c r="E194" s="15">
        <v>22</v>
      </c>
      <c r="F194" s="15" t="s">
        <v>279</v>
      </c>
      <c r="G194" s="16">
        <v>4.8000000000000001E-2</v>
      </c>
      <c r="H194" s="16">
        <v>44.89</v>
      </c>
      <c r="I194" s="16">
        <v>3.7999999999999999E-2</v>
      </c>
      <c r="J194" s="16">
        <v>1.2999999999999999E-2</v>
      </c>
      <c r="K194" s="16">
        <v>46.62</v>
      </c>
      <c r="L194" s="16">
        <v>2.23</v>
      </c>
      <c r="M194" s="16">
        <v>1.163</v>
      </c>
      <c r="N194" s="16">
        <v>9.7000000000000003E-2</v>
      </c>
      <c r="O194" s="16">
        <v>8.9999999999999993E-3</v>
      </c>
      <c r="P194" s="16">
        <v>0.01</v>
      </c>
      <c r="T194" s="16">
        <f t="shared" ref="T194:T257" si="170">SUM(G194:S194)</f>
        <v>95.117999999999995</v>
      </c>
      <c r="U194" s="16"/>
      <c r="V194" s="16">
        <f t="shared" si="165"/>
        <v>35.906188053908807</v>
      </c>
      <c r="W194" s="16">
        <f t="shared" si="166"/>
        <v>11.90625921569114</v>
      </c>
      <c r="X194" s="16">
        <f t="shared" si="167"/>
        <v>96.310447269599933</v>
      </c>
      <c r="Y194" s="15">
        <v>23</v>
      </c>
      <c r="AD194" s="15">
        <v>3</v>
      </c>
      <c r="AE194" s="15">
        <v>2</v>
      </c>
      <c r="AG194" s="38">
        <f t="shared" ref="AG194:AG257" si="171">BQ194*($AD194/$CE194)</f>
        <v>1.3040037138148156E-3</v>
      </c>
      <c r="AH194" s="38">
        <f t="shared" ref="AH194:AH257" si="172">BR194*($AD194/$CE194)</f>
        <v>0.91723171760919397</v>
      </c>
      <c r="AI194" s="38">
        <f t="shared" ref="AI194:AI257" si="173">BS194*($AD194/$CE194)</f>
        <v>1.2166097157332027E-3</v>
      </c>
      <c r="AJ194" s="38">
        <f t="shared" ref="AJ194:AJ257" si="174">BT194*($AD194/$CE194)</f>
        <v>2.7920670785301757E-4</v>
      </c>
      <c r="AK194" s="38">
        <f t="shared" ref="AK194:AK257" si="175">BU194*($AD194/$CE194)</f>
        <v>1.0590415798346804</v>
      </c>
      <c r="AL194" s="38">
        <f t="shared" ref="AL194:AL257" si="176">BV194*($AD194/$CE194)</f>
        <v>5.1307540166269289E-2</v>
      </c>
      <c r="AM194" s="38">
        <f t="shared" ref="AM194:AM257" si="177">BW194*($AD194/$CE194)</f>
        <v>4.710230751423241E-2</v>
      </c>
      <c r="AN194" s="38">
        <f t="shared" ref="AN194:AN257" si="178">BX194*($AD194/$CE194)</f>
        <v>2.823132386479668E-3</v>
      </c>
      <c r="AO194" s="38">
        <f t="shared" ref="AO194:AO257" si="179">BY194*($AD194/$CE194)</f>
        <v>4.7401103052997404E-4</v>
      </c>
      <c r="AP194" s="38">
        <f t="shared" ref="AP194:AP257" si="180">BZ194*($AD194/$CE194)</f>
        <v>3.4653460335276945E-4</v>
      </c>
      <c r="AQ194" s="38">
        <f t="shared" ref="AQ194:AQ257" si="181">CA194*($AD194/$CE194)</f>
        <v>0</v>
      </c>
      <c r="AR194" s="38">
        <f t="shared" ref="AR194:AR257" si="182">CB194*($AD194/$CE194)</f>
        <v>0</v>
      </c>
      <c r="AS194" s="38">
        <f t="shared" ref="AS194:AS257" si="183">CC194*($AD194/$CE194)</f>
        <v>0</v>
      </c>
      <c r="AT194" s="39">
        <f t="shared" ref="AT194:AT257" si="184">SUM(AG194:AR194)</f>
        <v>2.0811266432821398</v>
      </c>
      <c r="AU194" s="38">
        <f t="shared" ref="AU194:AU257" si="185">AG194+AI194</f>
        <v>2.5206134295480184E-3</v>
      </c>
      <c r="AV194" s="38">
        <f t="shared" ref="AV194:AV257" si="186">SUM(AN194:AP194)</f>
        <v>3.6436780203624114E-3</v>
      </c>
      <c r="AW194" s="40"/>
      <c r="AX194" s="38">
        <f t="shared" ref="AX194:AX257" si="187">IF($AE194&gt;0,BQ194*$CF194,"")</f>
        <v>1.2531709379860463E-3</v>
      </c>
      <c r="AY194" s="38">
        <f t="shared" ref="AY194:AY257" si="188">IF($AE194&gt;0,BR194*$CF194,"")</f>
        <v>0.88147611830352635</v>
      </c>
      <c r="AZ194" s="38">
        <f t="shared" ref="AZ194:AZ257" si="189">IF($AE194&gt;0,BS194*$CF194,"")</f>
        <v>1.1691837396444944E-3</v>
      </c>
      <c r="BA194" s="38">
        <f t="shared" ref="BA194:BA257" si="190">IF($AE194&gt;0,BT194*$CF194,"")</f>
        <v>2.6832264990147968E-4</v>
      </c>
      <c r="BB194" s="38">
        <f t="shared" ref="BB194:BB257" si="191">IF($AE194&gt;0 +N("so a blank cell if no ideal cations set"),                         BU194*CF194-BC194,"")</f>
        <v>0.78386546308578575</v>
      </c>
      <c r="BC194" s="38">
        <f t="shared" ref="BC194:BC257" si="192">IF($AE194&gt;0 +N("so a blank cell if no ideal cations set"),                                                                     IF(AT194&gt;AE194,                          IF(  2*AD194*(1-(AE194/AT194))   &lt;   BU194*CF194,    2*AD194*(1-(AE194/AT194)),    BU194*CF194),0),"")</f>
        <v>0.23389247418656445</v>
      </c>
      <c r="BD194" s="38">
        <f t="shared" ref="BD194:BD257" si="193">IF($AE194&gt;0,BV194*$CF194,"")</f>
        <v>4.9307465580616751E-2</v>
      </c>
      <c r="BE194" s="38">
        <f t="shared" ref="BE194:BE257" si="194">IF($AE194&gt;0,BW194*$CF194,"")</f>
        <v>4.5266161640165711E-2</v>
      </c>
      <c r="BF194" s="38">
        <f t="shared" ref="BF194:BF257" si="195">IF($AE194&gt;0,BX194*$CF194,"")</f>
        <v>2.7130808166746768E-3</v>
      </c>
      <c r="BG194" s="38">
        <f t="shared" ref="BG194:BG257" si="196">IF($AE194&gt;0,BY194*$CF194,"")</f>
        <v>4.5553309507624429E-4</v>
      </c>
      <c r="BH194" s="38">
        <f t="shared" ref="BH194:BH257" si="197">IF($AE194&gt;0,BZ194*$CF194,"")</f>
        <v>3.3302596405786298E-4</v>
      </c>
      <c r="BI194" s="38">
        <f t="shared" ref="BI194:BI257" si="198">IF($AE194&gt;0,CA194*$CF194,"")</f>
        <v>0</v>
      </c>
      <c r="BJ194" s="38">
        <f t="shared" ref="BJ194:BJ257" si="199">IF($AE194&gt;0,CB194*$CF194,"")</f>
        <v>0</v>
      </c>
      <c r="BK194" s="38">
        <f t="shared" ref="BK194:BK257" si="200">IF($AE194&gt;0,CC194*$CF194,"")</f>
        <v>0</v>
      </c>
      <c r="BL194" s="41">
        <f t="shared" ref="BL194:BL257" si="201">IF(AE194&gt;0,SUM(AX194:BJ194),"")</f>
        <v>1.9999999999999998</v>
      </c>
      <c r="BM194" s="42">
        <f t="shared" si="169"/>
        <v>3.0000000000000004</v>
      </c>
      <c r="BN194" s="38">
        <f t="shared" ref="BN194:BN257" si="202">IF(AE194&gt;0,AX194+AZ194,"")</f>
        <v>2.4223546776305409E-3</v>
      </c>
      <c r="BO194" s="38">
        <f t="shared" ref="BO194:BO257" si="203">IF(AE194&gt;0,SUM(BF194:BH194),"")</f>
        <v>3.501639875808784E-3</v>
      </c>
      <c r="BQ194" s="38">
        <f t="shared" ref="BQ194:BQ257" si="204">G194/60.08</f>
        <v>7.989347536617843E-4</v>
      </c>
      <c r="BR194" s="38">
        <f t="shared" ref="BR194:BR257" si="205">H194/79.88</f>
        <v>0.56196795192789184</v>
      </c>
      <c r="BS194" s="38">
        <f t="shared" ref="BS194:BS257" si="206">I194/101.96*2</f>
        <v>7.4539034915653199E-4</v>
      </c>
      <c r="BT194" s="38">
        <f t="shared" ref="BT194:BT257" si="207">J194/151.99*2</f>
        <v>1.7106388578195931E-4</v>
      </c>
      <c r="BU194" s="38">
        <f t="shared" ref="BU194:BU257" si="208">K194/71.85</f>
        <v>0.64885177453027143</v>
      </c>
      <c r="BV194" s="38">
        <f t="shared" ref="BV194:BV257" si="209">L194/70.94</f>
        <v>3.143501550606146E-2</v>
      </c>
      <c r="BW194" s="38">
        <f t="shared" ref="BW194:BW257" si="210">M194/40.3</f>
        <v>2.8858560794044669E-2</v>
      </c>
      <c r="BX194" s="38">
        <f t="shared" ref="BX194:BX257" si="211">N194/56.08</f>
        <v>1.7296718972895865E-3</v>
      </c>
      <c r="BY194" s="38">
        <f t="shared" ref="BY194:BY257" si="212">O194/61.98*2</f>
        <v>2.9041626331074538E-4</v>
      </c>
      <c r="BZ194" s="38">
        <f t="shared" ref="BZ194:BZ257" si="213">P194/94.2*2</f>
        <v>2.1231422505307856E-4</v>
      </c>
      <c r="CA194" s="38">
        <f t="shared" ref="CA194:CA257" si="214">Q194/141.94*2</f>
        <v>0</v>
      </c>
      <c r="CB194" s="38">
        <f t="shared" ref="CB194:CB257" si="215">R194/80.06</f>
        <v>0</v>
      </c>
      <c r="CC194" s="38">
        <f t="shared" ref="CC194:CC257" si="216">S194/35.45</f>
        <v>0</v>
      </c>
      <c r="CD194" s="38">
        <f t="shared" ref="CD194:CD257" si="217">SUM(BQ194:CB194)</f>
        <v>1.2750610941325231</v>
      </c>
      <c r="CE194" s="38">
        <f t="shared" ref="CE194:CE257" si="218">(BQ194+BR194)*2+(BS194+BT194)*1.5+BU194+BV194+BW194+BX194+(BY194+BZ194)*0.5+CA194*2.5+CB194*3+     -(0.5*(CC194))</f>
        <v>1.8380348426873641</v>
      </c>
      <c r="CF194" s="38">
        <f t="shared" ref="CF194:CF257" si="219">AE194/CD194</f>
        <v>1.5685522907125347</v>
      </c>
      <c r="CG194" s="38">
        <f t="shared" ref="CG194:CG257" si="220">CE194*CF194</f>
        <v>2.8830537629067181</v>
      </c>
    </row>
    <row r="195" spans="1:85" ht="15" customHeight="1" x14ac:dyDescent="0.25">
      <c r="A195" s="35" t="s">
        <v>86</v>
      </c>
      <c r="B195" s="15">
        <v>512</v>
      </c>
      <c r="C195" s="102" t="s">
        <v>96</v>
      </c>
      <c r="D195" s="103" t="s">
        <v>105</v>
      </c>
      <c r="E195" s="15">
        <v>23</v>
      </c>
      <c r="F195" s="15" t="s">
        <v>272</v>
      </c>
      <c r="G195" s="16">
        <v>6.8000000000000005E-2</v>
      </c>
      <c r="H195" s="16">
        <v>5.47</v>
      </c>
      <c r="I195" s="16">
        <v>0.52200000000000002</v>
      </c>
      <c r="J195" s="16">
        <v>2.1000000000000001E-2</v>
      </c>
      <c r="K195" s="16">
        <v>83.97</v>
      </c>
      <c r="L195" s="16">
        <v>0.89</v>
      </c>
      <c r="M195" s="16">
        <v>0.42</v>
      </c>
      <c r="N195" s="16">
        <v>8.5999999999999993E-2</v>
      </c>
      <c r="O195" s="16">
        <v>0</v>
      </c>
      <c r="P195" s="16">
        <v>0</v>
      </c>
      <c r="T195" s="16">
        <f t="shared" si="170"/>
        <v>91.447000000000003</v>
      </c>
      <c r="U195" s="16"/>
      <c r="V195" s="16">
        <f t="shared" si="165"/>
        <v>33.736837478504675</v>
      </c>
      <c r="W195" s="16">
        <f t="shared" si="166"/>
        <v>55.824113510137757</v>
      </c>
      <c r="X195" s="16">
        <f t="shared" si="167"/>
        <v>97.037950988642436</v>
      </c>
      <c r="Y195" s="15">
        <v>22</v>
      </c>
      <c r="AD195" s="15">
        <v>4</v>
      </c>
      <c r="AE195" s="15">
        <v>3</v>
      </c>
      <c r="AG195" s="38">
        <f t="shared" si="171"/>
        <v>3.358084263213882E-3</v>
      </c>
      <c r="AH195" s="38">
        <f t="shared" si="172"/>
        <v>0.20317107147124702</v>
      </c>
      <c r="AI195" s="38">
        <f t="shared" si="173"/>
        <v>3.037968543681796E-2</v>
      </c>
      <c r="AJ195" s="38">
        <f t="shared" si="174"/>
        <v>8.1987355073895925E-4</v>
      </c>
      <c r="AK195" s="38">
        <f t="shared" si="175"/>
        <v>3.4674481971776872</v>
      </c>
      <c r="AL195" s="38">
        <f t="shared" si="176"/>
        <v>3.7223004373033164E-2</v>
      </c>
      <c r="AM195" s="38">
        <f t="shared" si="177"/>
        <v>3.0921235974395642E-2</v>
      </c>
      <c r="AN195" s="38">
        <f t="shared" si="178"/>
        <v>4.5499125246272502E-3</v>
      </c>
      <c r="AO195" s="38">
        <f t="shared" si="179"/>
        <v>0</v>
      </c>
      <c r="AP195" s="38">
        <f t="shared" si="180"/>
        <v>0</v>
      </c>
      <c r="AQ195" s="38">
        <f t="shared" si="181"/>
        <v>0</v>
      </c>
      <c r="AR195" s="38">
        <f t="shared" si="182"/>
        <v>0</v>
      </c>
      <c r="AS195" s="38">
        <f t="shared" si="183"/>
        <v>0</v>
      </c>
      <c r="AT195" s="39">
        <f t="shared" si="184"/>
        <v>3.777871064771761</v>
      </c>
      <c r="AU195" s="38">
        <f t="shared" si="185"/>
        <v>3.3737769700031839E-2</v>
      </c>
      <c r="AV195" s="38">
        <f t="shared" si="186"/>
        <v>4.5499125246272502E-3</v>
      </c>
      <c r="AW195" s="40"/>
      <c r="AX195" s="38">
        <f t="shared" si="187"/>
        <v>2.6666481245437314E-3</v>
      </c>
      <c r="AY195" s="38">
        <f t="shared" si="188"/>
        <v>0.16133774921473254</v>
      </c>
      <c r="AZ195" s="38">
        <f t="shared" si="189"/>
        <v>2.4124448597601891E-2</v>
      </c>
      <c r="BA195" s="38">
        <f t="shared" si="190"/>
        <v>6.5105997797346084E-4</v>
      </c>
      <c r="BB195" s="38">
        <f t="shared" si="191"/>
        <v>1.1062781131762813</v>
      </c>
      <c r="BC195" s="38">
        <f t="shared" si="192"/>
        <v>1.6472156967458726</v>
      </c>
      <c r="BD195" s="38">
        <f t="shared" si="193"/>
        <v>2.95587147376206E-2</v>
      </c>
      <c r="BE195" s="38">
        <f t="shared" si="194"/>
        <v>2.4554492816919682E-2</v>
      </c>
      <c r="BF195" s="38">
        <f t="shared" si="195"/>
        <v>3.613076608453919E-3</v>
      </c>
      <c r="BG195" s="38">
        <f t="shared" si="196"/>
        <v>0</v>
      </c>
      <c r="BH195" s="38">
        <f t="shared" si="197"/>
        <v>0</v>
      </c>
      <c r="BI195" s="38">
        <f t="shared" si="198"/>
        <v>0</v>
      </c>
      <c r="BJ195" s="38">
        <f t="shared" si="199"/>
        <v>0</v>
      </c>
      <c r="BK195" s="38">
        <f t="shared" si="200"/>
        <v>0</v>
      </c>
      <c r="BL195" s="41">
        <f t="shared" si="201"/>
        <v>2.9999999999999996</v>
      </c>
      <c r="BM195" s="42">
        <f t="shared" si="169"/>
        <v>3.9999999999999996</v>
      </c>
      <c r="BN195" s="38">
        <f t="shared" si="202"/>
        <v>2.6791096722145621E-2</v>
      </c>
      <c r="BO195" s="38">
        <f t="shared" si="203"/>
        <v>3.613076608453919E-3</v>
      </c>
      <c r="BQ195" s="38">
        <f t="shared" si="204"/>
        <v>1.1318242343541945E-3</v>
      </c>
      <c r="BR195" s="38">
        <f t="shared" si="205"/>
        <v>6.8477716574862291E-2</v>
      </c>
      <c r="BS195" s="38">
        <f t="shared" si="206"/>
        <v>1.0239309533150257E-2</v>
      </c>
      <c r="BT195" s="38">
        <f t="shared" si="207"/>
        <v>2.7633396934008815E-4</v>
      </c>
      <c r="BU195" s="38">
        <f t="shared" si="208"/>
        <v>1.1686847599164927</v>
      </c>
      <c r="BV195" s="38">
        <f t="shared" si="209"/>
        <v>1.2545813363405696E-2</v>
      </c>
      <c r="BW195" s="38">
        <f t="shared" si="210"/>
        <v>1.0421836228287842E-2</v>
      </c>
      <c r="BX195" s="38">
        <f t="shared" si="211"/>
        <v>1.5335235378031384E-3</v>
      </c>
      <c r="BY195" s="38">
        <f t="shared" si="212"/>
        <v>0</v>
      </c>
      <c r="BZ195" s="38">
        <f t="shared" si="213"/>
        <v>0</v>
      </c>
      <c r="CA195" s="38">
        <f t="shared" si="214"/>
        <v>0</v>
      </c>
      <c r="CB195" s="38">
        <f t="shared" si="215"/>
        <v>0</v>
      </c>
      <c r="CC195" s="38">
        <f t="shared" si="216"/>
        <v>0</v>
      </c>
      <c r="CD195" s="38">
        <f t="shared" si="217"/>
        <v>1.2733111173576961</v>
      </c>
      <c r="CE195" s="38">
        <f t="shared" si="218"/>
        <v>1.3481784799181578</v>
      </c>
      <c r="CF195" s="38">
        <f t="shared" si="219"/>
        <v>2.3560620488615789</v>
      </c>
      <c r="CG195" s="38">
        <f t="shared" si="220"/>
        <v>3.1763921516270637</v>
      </c>
    </row>
    <row r="196" spans="1:85" ht="15" customHeight="1" x14ac:dyDescent="0.25">
      <c r="A196" s="35" t="s">
        <v>86</v>
      </c>
      <c r="B196" s="15">
        <v>514</v>
      </c>
      <c r="C196" s="102" t="s">
        <v>96</v>
      </c>
      <c r="D196" s="103" t="s">
        <v>105</v>
      </c>
      <c r="E196" s="15">
        <v>25</v>
      </c>
      <c r="F196" s="15" t="s">
        <v>279</v>
      </c>
      <c r="G196" s="16">
        <v>0.38400000000000001</v>
      </c>
      <c r="H196" s="16">
        <v>46.46</v>
      </c>
      <c r="I196" s="16">
        <v>6.4000000000000001E-2</v>
      </c>
      <c r="J196" s="16">
        <v>0</v>
      </c>
      <c r="K196" s="16">
        <v>45</v>
      </c>
      <c r="L196" s="16">
        <v>2.21</v>
      </c>
      <c r="M196" s="16">
        <v>1.1830000000000001</v>
      </c>
      <c r="N196" s="16">
        <v>4.4999999999999998E-2</v>
      </c>
      <c r="O196" s="16">
        <v>0</v>
      </c>
      <c r="P196" s="16">
        <v>1.2999999999999999E-2</v>
      </c>
      <c r="T196" s="16">
        <f t="shared" si="170"/>
        <v>95.359000000000009</v>
      </c>
      <c r="U196" s="16"/>
      <c r="V196" s="16">
        <f t="shared" si="165"/>
        <v>37.803988419306307</v>
      </c>
      <c r="W196" s="16">
        <f t="shared" si="166"/>
        <v>7.9969276696249016</v>
      </c>
      <c r="X196" s="16">
        <f t="shared" si="167"/>
        <v>96.159916088931212</v>
      </c>
      <c r="AD196" s="15">
        <v>3</v>
      </c>
      <c r="AE196" s="15">
        <v>2</v>
      </c>
      <c r="AG196" s="38">
        <f t="shared" si="171"/>
        <v>1.0277538373381983E-2</v>
      </c>
      <c r="AH196" s="38">
        <f t="shared" si="172"/>
        <v>0.93525266820366626</v>
      </c>
      <c r="AI196" s="38">
        <f t="shared" si="173"/>
        <v>2.0186821808316647E-3</v>
      </c>
      <c r="AJ196" s="38">
        <f t="shared" si="174"/>
        <v>0</v>
      </c>
      <c r="AK196" s="38">
        <f t="shared" si="175"/>
        <v>1.0071022075169456</v>
      </c>
      <c r="AL196" s="38">
        <f t="shared" si="176"/>
        <v>5.0094367345896208E-2</v>
      </c>
      <c r="AM196" s="38">
        <f t="shared" si="177"/>
        <v>4.7202772175759286E-2</v>
      </c>
      <c r="AN196" s="38">
        <f t="shared" si="178"/>
        <v>1.2903048075979407E-3</v>
      </c>
      <c r="AO196" s="38">
        <f t="shared" si="179"/>
        <v>0</v>
      </c>
      <c r="AP196" s="38">
        <f t="shared" si="180"/>
        <v>4.4382345691493404E-4</v>
      </c>
      <c r="AQ196" s="38">
        <f t="shared" si="181"/>
        <v>0</v>
      </c>
      <c r="AR196" s="38">
        <f t="shared" si="182"/>
        <v>0</v>
      </c>
      <c r="AS196" s="38">
        <f t="shared" si="183"/>
        <v>0</v>
      </c>
      <c r="AT196" s="39">
        <f t="shared" si="184"/>
        <v>2.0536823640609936</v>
      </c>
      <c r="AU196" s="38">
        <f t="shared" si="185"/>
        <v>1.2296220554213647E-2</v>
      </c>
      <c r="AV196" s="38">
        <f t="shared" si="186"/>
        <v>1.7341282645128749E-3</v>
      </c>
      <c r="AW196" s="40"/>
      <c r="AX196" s="38">
        <f t="shared" si="187"/>
        <v>1.0008887988947782E-2</v>
      </c>
      <c r="AY196" s="38">
        <f t="shared" si="188"/>
        <v>0.91080557010216368</v>
      </c>
      <c r="AZ196" s="38">
        <f t="shared" si="189"/>
        <v>1.9659147063423002E-3</v>
      </c>
      <c r="BA196" s="38">
        <f t="shared" si="190"/>
        <v>0</v>
      </c>
      <c r="BB196" s="38">
        <f t="shared" si="191"/>
        <v>0.82393960248162068</v>
      </c>
      <c r="BC196" s="38">
        <f t="shared" si="192"/>
        <v>0.15683739121615936</v>
      </c>
      <c r="BD196" s="38">
        <f t="shared" si="193"/>
        <v>4.8784922364370487E-2</v>
      </c>
      <c r="BE196" s="38">
        <f t="shared" si="194"/>
        <v>4.5968912234723151E-2</v>
      </c>
      <c r="BF196" s="38">
        <f t="shared" si="195"/>
        <v>1.2565768009483859E-3</v>
      </c>
      <c r="BG196" s="38">
        <f t="shared" si="196"/>
        <v>0</v>
      </c>
      <c r="BH196" s="38">
        <f t="shared" si="197"/>
        <v>4.3222210472442136E-4</v>
      </c>
      <c r="BI196" s="38">
        <f t="shared" si="198"/>
        <v>0</v>
      </c>
      <c r="BJ196" s="38">
        <f t="shared" si="199"/>
        <v>0</v>
      </c>
      <c r="BK196" s="38">
        <f t="shared" si="200"/>
        <v>0</v>
      </c>
      <c r="BL196" s="41">
        <f t="shared" si="201"/>
        <v>2.0000000000000004</v>
      </c>
      <c r="BM196" s="42">
        <f t="shared" si="169"/>
        <v>3.0000000000000009</v>
      </c>
      <c r="BN196" s="38">
        <f t="shared" si="202"/>
        <v>1.1974802695290082E-2</v>
      </c>
      <c r="BO196" s="38">
        <f t="shared" si="203"/>
        <v>1.6887989056728072E-3</v>
      </c>
      <c r="BQ196" s="38">
        <f t="shared" si="204"/>
        <v>6.3914780292942744E-3</v>
      </c>
      <c r="BR196" s="38">
        <f t="shared" si="205"/>
        <v>0.58162243365047572</v>
      </c>
      <c r="BS196" s="38">
        <f t="shared" si="206"/>
        <v>1.2553942722636328E-3</v>
      </c>
      <c r="BT196" s="38">
        <f t="shared" si="207"/>
        <v>0</v>
      </c>
      <c r="BU196" s="38">
        <f t="shared" si="208"/>
        <v>0.62630480167014624</v>
      </c>
      <c r="BV196" s="38">
        <f t="shared" si="209"/>
        <v>3.1153087115872568E-2</v>
      </c>
      <c r="BW196" s="38">
        <f t="shared" si="210"/>
        <v>2.9354838709677422E-2</v>
      </c>
      <c r="BX196" s="38">
        <f t="shared" si="211"/>
        <v>8.0242510699001424E-4</v>
      </c>
      <c r="BY196" s="38">
        <f t="shared" si="212"/>
        <v>0</v>
      </c>
      <c r="BZ196" s="38">
        <f t="shared" si="213"/>
        <v>2.7600849256900208E-4</v>
      </c>
      <c r="CA196" s="38">
        <f t="shared" si="214"/>
        <v>0</v>
      </c>
      <c r="CB196" s="38">
        <f t="shared" si="215"/>
        <v>0</v>
      </c>
      <c r="CC196" s="38">
        <f t="shared" si="216"/>
        <v>0</v>
      </c>
      <c r="CD196" s="38">
        <f t="shared" si="217"/>
        <v>1.2771604670472887</v>
      </c>
      <c r="CE196" s="38">
        <f t="shared" si="218"/>
        <v>1.865664071616906</v>
      </c>
      <c r="CF196" s="38">
        <f t="shared" si="219"/>
        <v>1.5659739332707885</v>
      </c>
      <c r="CG196" s="38">
        <f t="shared" si="220"/>
        <v>2.9215813043919203</v>
      </c>
    </row>
    <row r="197" spans="1:85" ht="15" customHeight="1" x14ac:dyDescent="0.25">
      <c r="A197" s="35" t="s">
        <v>86</v>
      </c>
      <c r="B197" s="15">
        <v>515</v>
      </c>
      <c r="C197" s="102" t="s">
        <v>96</v>
      </c>
      <c r="D197" s="103" t="s">
        <v>105</v>
      </c>
      <c r="E197" s="15">
        <v>26</v>
      </c>
      <c r="F197" s="15" t="s">
        <v>272</v>
      </c>
      <c r="G197" s="16">
        <v>0.20300000000000001</v>
      </c>
      <c r="H197" s="16">
        <v>4.8899999999999997</v>
      </c>
      <c r="I197" s="16">
        <v>0.53</v>
      </c>
      <c r="J197" s="16">
        <v>0.01</v>
      </c>
      <c r="K197" s="16">
        <v>83.4</v>
      </c>
      <c r="L197" s="16">
        <v>0.91600000000000004</v>
      </c>
      <c r="M197" s="16">
        <v>0.47599999999999998</v>
      </c>
      <c r="N197" s="16">
        <v>0.126</v>
      </c>
      <c r="O197" s="16">
        <v>0</v>
      </c>
      <c r="P197" s="16">
        <v>0</v>
      </c>
      <c r="T197" s="16">
        <f t="shared" si="170"/>
        <v>90.551000000000002</v>
      </c>
      <c r="U197" s="16"/>
      <c r="V197" s="16">
        <f t="shared" si="165"/>
        <v>32.948516779482283</v>
      </c>
      <c r="W197" s="16">
        <f t="shared" si="166"/>
        <v>56.066733302961353</v>
      </c>
      <c r="X197" s="16">
        <f t="shared" si="167"/>
        <v>96.166250082443625</v>
      </c>
      <c r="AD197" s="15">
        <v>4</v>
      </c>
      <c r="AE197" s="15">
        <v>3</v>
      </c>
      <c r="AG197" s="38">
        <f t="shared" si="171"/>
        <v>1.0141262769984548E-2</v>
      </c>
      <c r="AH197" s="38">
        <f t="shared" si="172"/>
        <v>0.18373704391002044</v>
      </c>
      <c r="AI197" s="38">
        <f t="shared" si="173"/>
        <v>3.1203403017792734E-2</v>
      </c>
      <c r="AJ197" s="38">
        <f t="shared" si="174"/>
        <v>3.9494889456408459E-4</v>
      </c>
      <c r="AK197" s="38">
        <f t="shared" si="175"/>
        <v>3.483896144211498</v>
      </c>
      <c r="AL197" s="38">
        <f t="shared" si="176"/>
        <v>3.8755220437040057E-2</v>
      </c>
      <c r="AM197" s="38">
        <f t="shared" si="177"/>
        <v>3.5450945983576336E-2</v>
      </c>
      <c r="AN197" s="38">
        <f t="shared" si="178"/>
        <v>6.7435481393404058E-3</v>
      </c>
      <c r="AO197" s="38">
        <f t="shared" si="179"/>
        <v>0</v>
      </c>
      <c r="AP197" s="38">
        <f t="shared" si="180"/>
        <v>0</v>
      </c>
      <c r="AQ197" s="38">
        <f t="shared" si="181"/>
        <v>0</v>
      </c>
      <c r="AR197" s="38">
        <f t="shared" si="182"/>
        <v>0</v>
      </c>
      <c r="AS197" s="38">
        <f t="shared" si="183"/>
        <v>0</v>
      </c>
      <c r="AT197" s="39">
        <f t="shared" si="184"/>
        <v>3.7903225173638169</v>
      </c>
      <c r="AU197" s="38">
        <f t="shared" si="185"/>
        <v>4.1344665787777284E-2</v>
      </c>
      <c r="AV197" s="38">
        <f t="shared" si="186"/>
        <v>6.7435481393404058E-3</v>
      </c>
      <c r="AW197" s="40"/>
      <c r="AX197" s="38">
        <f t="shared" si="187"/>
        <v>8.026701730678449E-3</v>
      </c>
      <c r="AY197" s="38">
        <f t="shared" si="188"/>
        <v>0.14542591803333685</v>
      </c>
      <c r="AZ197" s="38">
        <f t="shared" si="189"/>
        <v>2.4697161949818573E-2</v>
      </c>
      <c r="BA197" s="38">
        <f t="shared" si="190"/>
        <v>3.1259785368246686E-4</v>
      </c>
      <c r="BB197" s="38">
        <f t="shared" si="191"/>
        <v>1.0893817807872912</v>
      </c>
      <c r="BC197" s="38">
        <f t="shared" si="192"/>
        <v>1.6680850006684684</v>
      </c>
      <c r="BD197" s="38">
        <f t="shared" si="193"/>
        <v>3.0674345198461732E-2</v>
      </c>
      <c r="BE197" s="38">
        <f t="shared" si="194"/>
        <v>2.805904707673737E-2</v>
      </c>
      <c r="BF197" s="38">
        <f t="shared" si="195"/>
        <v>5.3374467015254697E-3</v>
      </c>
      <c r="BG197" s="38">
        <f t="shared" si="196"/>
        <v>0</v>
      </c>
      <c r="BH197" s="38">
        <f t="shared" si="197"/>
        <v>0</v>
      </c>
      <c r="BI197" s="38">
        <f t="shared" si="198"/>
        <v>0</v>
      </c>
      <c r="BJ197" s="38">
        <f t="shared" si="199"/>
        <v>0</v>
      </c>
      <c r="BK197" s="38">
        <f t="shared" si="200"/>
        <v>0</v>
      </c>
      <c r="BL197" s="41">
        <f t="shared" si="201"/>
        <v>3.0000000000000009</v>
      </c>
      <c r="BM197" s="42">
        <f t="shared" si="169"/>
        <v>4.0000000000000009</v>
      </c>
      <c r="BN197" s="38">
        <f t="shared" si="202"/>
        <v>3.2723863680497026E-2</v>
      </c>
      <c r="BO197" s="38">
        <f t="shared" si="203"/>
        <v>5.3374467015254697E-3</v>
      </c>
      <c r="BQ197" s="38">
        <f t="shared" si="204"/>
        <v>3.3788282290279632E-3</v>
      </c>
      <c r="BR197" s="38">
        <f t="shared" si="205"/>
        <v>6.1216825237856785E-2</v>
      </c>
      <c r="BS197" s="38">
        <f t="shared" si="206"/>
        <v>1.039623381718321E-2</v>
      </c>
      <c r="BT197" s="38">
        <f t="shared" si="207"/>
        <v>1.3158760444766102E-4</v>
      </c>
      <c r="BU197" s="38">
        <f t="shared" si="208"/>
        <v>1.1607515657620044</v>
      </c>
      <c r="BV197" s="38">
        <f t="shared" si="209"/>
        <v>1.2912320270651256E-2</v>
      </c>
      <c r="BW197" s="38">
        <f t="shared" si="210"/>
        <v>1.1811414392059554E-2</v>
      </c>
      <c r="BX197" s="38">
        <f t="shared" si="211"/>
        <v>2.2467902995720402E-3</v>
      </c>
      <c r="BY197" s="38">
        <f t="shared" si="212"/>
        <v>0</v>
      </c>
      <c r="BZ197" s="38">
        <f t="shared" si="213"/>
        <v>0</v>
      </c>
      <c r="CA197" s="38">
        <f t="shared" si="214"/>
        <v>0</v>
      </c>
      <c r="CB197" s="38">
        <f t="shared" si="215"/>
        <v>0</v>
      </c>
      <c r="CC197" s="38">
        <f t="shared" si="216"/>
        <v>0</v>
      </c>
      <c r="CD197" s="38">
        <f t="shared" si="217"/>
        <v>1.2628455656128028</v>
      </c>
      <c r="CE197" s="38">
        <f t="shared" si="218"/>
        <v>1.332705129790503</v>
      </c>
      <c r="CF197" s="38">
        <f t="shared" si="219"/>
        <v>2.3755873890599073</v>
      </c>
      <c r="CG197" s="38">
        <f t="shared" si="220"/>
        <v>3.1659574996657658</v>
      </c>
    </row>
    <row r="198" spans="1:85" ht="15" customHeight="1" x14ac:dyDescent="0.25">
      <c r="A198" s="35" t="s">
        <v>86</v>
      </c>
      <c r="B198" s="15">
        <v>516</v>
      </c>
      <c r="C198" s="102" t="s">
        <v>96</v>
      </c>
      <c r="D198" s="103" t="s">
        <v>105</v>
      </c>
      <c r="E198" s="15">
        <v>27</v>
      </c>
      <c r="F198" s="15" t="s">
        <v>272</v>
      </c>
      <c r="G198" s="16">
        <v>0.152</v>
      </c>
      <c r="H198" s="16">
        <v>5.64</v>
      </c>
      <c r="I198" s="16">
        <v>0.54300000000000004</v>
      </c>
      <c r="J198" s="16">
        <v>0</v>
      </c>
      <c r="K198" s="16">
        <v>83.82</v>
      </c>
      <c r="L198" s="16">
        <v>0.66300000000000003</v>
      </c>
      <c r="M198" s="16">
        <v>0.38</v>
      </c>
      <c r="N198" s="16">
        <v>0.03</v>
      </c>
      <c r="O198" s="16">
        <v>5.7000000000000002E-2</v>
      </c>
      <c r="P198" s="16">
        <v>0</v>
      </c>
      <c r="T198" s="16">
        <f t="shared" si="170"/>
        <v>91.284999999999982</v>
      </c>
      <c r="U198" s="16"/>
      <c r="V198" s="16">
        <f t="shared" si="165"/>
        <v>34.056300303452012</v>
      </c>
      <c r="W198" s="16">
        <f t="shared" si="166"/>
        <v>55.302399472773772</v>
      </c>
      <c r="X198" s="16">
        <f t="shared" si="167"/>
        <v>96.823699776225794</v>
      </c>
      <c r="Y198" s="15">
        <v>28</v>
      </c>
      <c r="AD198" s="15">
        <v>4</v>
      </c>
      <c r="AE198" s="15">
        <v>3</v>
      </c>
      <c r="AG198" s="38">
        <f t="shared" si="171"/>
        <v>7.5013150759254471E-3</v>
      </c>
      <c r="AH198" s="38">
        <f t="shared" si="172"/>
        <v>0.2093460598014974</v>
      </c>
      <c r="AI198" s="38">
        <f t="shared" si="173"/>
        <v>3.1580844694068536E-2</v>
      </c>
      <c r="AJ198" s="38">
        <f t="shared" si="174"/>
        <v>0</v>
      </c>
      <c r="AK198" s="38">
        <f t="shared" si="175"/>
        <v>3.4589527339685553</v>
      </c>
      <c r="AL198" s="38">
        <f t="shared" si="176"/>
        <v>2.7710610103417771E-2</v>
      </c>
      <c r="AM198" s="38">
        <f t="shared" si="177"/>
        <v>2.7957754947990132E-2</v>
      </c>
      <c r="AN198" s="38">
        <f t="shared" si="178"/>
        <v>1.5861234764302907E-3</v>
      </c>
      <c r="AO198" s="38">
        <f t="shared" si="179"/>
        <v>5.4535214153146284E-3</v>
      </c>
      <c r="AP198" s="38">
        <f t="shared" si="180"/>
        <v>0</v>
      </c>
      <c r="AQ198" s="38">
        <f t="shared" si="181"/>
        <v>0</v>
      </c>
      <c r="AR198" s="38">
        <f t="shared" si="182"/>
        <v>0</v>
      </c>
      <c r="AS198" s="38">
        <f t="shared" si="183"/>
        <v>0</v>
      </c>
      <c r="AT198" s="39">
        <f t="shared" si="184"/>
        <v>3.7700889634831998</v>
      </c>
      <c r="AU198" s="38">
        <f t="shared" si="185"/>
        <v>3.9082159769993984E-2</v>
      </c>
      <c r="AV198" s="38">
        <f t="shared" si="186"/>
        <v>7.0396448917449186E-3</v>
      </c>
      <c r="AW198" s="40"/>
      <c r="AX198" s="38">
        <f t="shared" si="187"/>
        <v>5.9690753840951436E-3</v>
      </c>
      <c r="AY198" s="38">
        <f t="shared" si="188"/>
        <v>0.16658444548328255</v>
      </c>
      <c r="AZ198" s="38">
        <f t="shared" si="189"/>
        <v>2.5130052632676505E-2</v>
      </c>
      <c r="BA198" s="38">
        <f t="shared" si="190"/>
        <v>0</v>
      </c>
      <c r="BB198" s="38">
        <f t="shared" si="191"/>
        <v>1.1183148553992619</v>
      </c>
      <c r="BC198" s="38">
        <f t="shared" si="192"/>
        <v>1.6341024754423019</v>
      </c>
      <c r="BD198" s="38">
        <f t="shared" si="193"/>
        <v>2.2050363032666345E-2</v>
      </c>
      <c r="BE198" s="38">
        <f t="shared" si="194"/>
        <v>2.2247025376950141E-2</v>
      </c>
      <c r="BF198" s="38">
        <f t="shared" si="195"/>
        <v>1.262137439031305E-3</v>
      </c>
      <c r="BG198" s="38">
        <f t="shared" si="196"/>
        <v>4.3395698097342247E-3</v>
      </c>
      <c r="BH198" s="38">
        <f t="shared" si="197"/>
        <v>0</v>
      </c>
      <c r="BI198" s="38">
        <f t="shared" si="198"/>
        <v>0</v>
      </c>
      <c r="BJ198" s="38">
        <f t="shared" si="199"/>
        <v>0</v>
      </c>
      <c r="BK198" s="38">
        <f t="shared" si="200"/>
        <v>0</v>
      </c>
      <c r="BL198" s="41">
        <f t="shared" si="201"/>
        <v>3</v>
      </c>
      <c r="BM198" s="42">
        <f t="shared" si="169"/>
        <v>3.9999999999999996</v>
      </c>
      <c r="BN198" s="38">
        <f t="shared" si="202"/>
        <v>3.109912801677165E-2</v>
      </c>
      <c r="BO198" s="38">
        <f t="shared" si="203"/>
        <v>5.6017072487655299E-3</v>
      </c>
      <c r="BQ198" s="38">
        <f t="shared" si="204"/>
        <v>2.5299600532623168E-3</v>
      </c>
      <c r="BR198" s="38">
        <f t="shared" si="205"/>
        <v>7.0605908863294944E-2</v>
      </c>
      <c r="BS198" s="38">
        <f t="shared" si="206"/>
        <v>1.0651235778736761E-2</v>
      </c>
      <c r="BT198" s="38">
        <f t="shared" si="207"/>
        <v>0</v>
      </c>
      <c r="BU198" s="38">
        <f t="shared" si="208"/>
        <v>1.1665970772442589</v>
      </c>
      <c r="BV198" s="38">
        <f t="shared" si="209"/>
        <v>9.3459261347617721E-3</v>
      </c>
      <c r="BW198" s="38">
        <f t="shared" si="210"/>
        <v>9.4292803970223334E-3</v>
      </c>
      <c r="BX198" s="38">
        <f t="shared" si="211"/>
        <v>5.3495007132667619E-4</v>
      </c>
      <c r="BY198" s="38">
        <f t="shared" si="212"/>
        <v>1.8393030009680544E-3</v>
      </c>
      <c r="BZ198" s="38">
        <f t="shared" si="213"/>
        <v>0</v>
      </c>
      <c r="CA198" s="38">
        <f t="shared" si="214"/>
        <v>0</v>
      </c>
      <c r="CB198" s="38">
        <f t="shared" si="215"/>
        <v>0</v>
      </c>
      <c r="CC198" s="38">
        <f t="shared" si="216"/>
        <v>0</v>
      </c>
      <c r="CD198" s="38">
        <f t="shared" si="217"/>
        <v>1.2715336415436318</v>
      </c>
      <c r="CE198" s="38">
        <f t="shared" si="218"/>
        <v>1.3490754768490736</v>
      </c>
      <c r="CF198" s="38">
        <f t="shared" si="219"/>
        <v>2.3593555860291859</v>
      </c>
      <c r="CG198" s="38">
        <f t="shared" si="220"/>
        <v>3.1829487622788495</v>
      </c>
    </row>
    <row r="199" spans="1:85" ht="15" customHeight="1" x14ac:dyDescent="0.25">
      <c r="A199" s="35" t="s">
        <v>86</v>
      </c>
      <c r="B199" s="15">
        <v>517</v>
      </c>
      <c r="C199" s="102" t="s">
        <v>96</v>
      </c>
      <c r="D199" s="103" t="s">
        <v>105</v>
      </c>
      <c r="E199" s="15">
        <v>28</v>
      </c>
      <c r="F199" s="15" t="s">
        <v>279</v>
      </c>
      <c r="G199" s="16">
        <v>0.22600000000000001</v>
      </c>
      <c r="H199" s="16">
        <v>46.45</v>
      </c>
      <c r="I199" s="16">
        <v>5.0999999999999997E-2</v>
      </c>
      <c r="J199" s="16">
        <v>0.01</v>
      </c>
      <c r="K199" s="16">
        <v>46.27</v>
      </c>
      <c r="L199" s="16">
        <v>1.69</v>
      </c>
      <c r="M199" s="16">
        <v>1.222</v>
      </c>
      <c r="N199" s="16">
        <v>0.20799999999999999</v>
      </c>
      <c r="O199" s="16">
        <v>0</v>
      </c>
      <c r="P199" s="16">
        <v>0</v>
      </c>
      <c r="T199" s="16">
        <f t="shared" si="170"/>
        <v>96.126999999999995</v>
      </c>
      <c r="U199" s="16"/>
      <c r="V199" s="16">
        <f t="shared" si="165"/>
        <v>37.894004719044631</v>
      </c>
      <c r="W199" s="16">
        <f t="shared" si="166"/>
        <v>9.3082435557257082</v>
      </c>
      <c r="X199" s="16">
        <f t="shared" si="167"/>
        <v>97.05924827477034</v>
      </c>
      <c r="Y199" s="15">
        <v>27</v>
      </c>
      <c r="AD199" s="15">
        <v>3</v>
      </c>
      <c r="AE199" s="15">
        <v>2</v>
      </c>
      <c r="AG199" s="38">
        <f t="shared" si="171"/>
        <v>6.0216902454776717E-3</v>
      </c>
      <c r="AH199" s="38">
        <f t="shared" si="172"/>
        <v>0.93086683759591071</v>
      </c>
      <c r="AI199" s="38">
        <f t="shared" si="173"/>
        <v>1.6014384130652677E-3</v>
      </c>
      <c r="AJ199" s="38">
        <f t="shared" si="174"/>
        <v>2.1064680544790058E-4</v>
      </c>
      <c r="AK199" s="38">
        <f t="shared" si="175"/>
        <v>1.0308907044609759</v>
      </c>
      <c r="AL199" s="38">
        <f t="shared" si="176"/>
        <v>3.8136024423769836E-2</v>
      </c>
      <c r="AM199" s="38">
        <f t="shared" si="177"/>
        <v>4.8540702391007787E-2</v>
      </c>
      <c r="AN199" s="38">
        <f t="shared" si="178"/>
        <v>5.9373852136996204E-3</v>
      </c>
      <c r="AO199" s="38">
        <f t="shared" si="179"/>
        <v>0</v>
      </c>
      <c r="AP199" s="38">
        <f t="shared" si="180"/>
        <v>0</v>
      </c>
      <c r="AQ199" s="38">
        <f t="shared" si="181"/>
        <v>0</v>
      </c>
      <c r="AR199" s="38">
        <f t="shared" si="182"/>
        <v>0</v>
      </c>
      <c r="AS199" s="38">
        <f t="shared" si="183"/>
        <v>0</v>
      </c>
      <c r="AT199" s="39">
        <f t="shared" si="184"/>
        <v>2.0622054295493544</v>
      </c>
      <c r="AU199" s="38">
        <f t="shared" si="185"/>
        <v>7.6231286585429396E-3</v>
      </c>
      <c r="AV199" s="38">
        <f t="shared" si="186"/>
        <v>5.9373852136996204E-3</v>
      </c>
      <c r="AW199" s="40"/>
      <c r="AX199" s="38">
        <f t="shared" si="187"/>
        <v>5.84004887116757E-3</v>
      </c>
      <c r="AY199" s="38">
        <f t="shared" si="188"/>
        <v>0.90278768958466882</v>
      </c>
      <c r="AZ199" s="38">
        <f t="shared" si="189"/>
        <v>1.5531317977522962E-3</v>
      </c>
      <c r="BA199" s="38">
        <f t="shared" si="190"/>
        <v>2.04292746425299E-4</v>
      </c>
      <c r="BB199" s="38">
        <f t="shared" si="191"/>
        <v>0.81880728633073985</v>
      </c>
      <c r="BC199" s="38">
        <f t="shared" si="192"/>
        <v>0.18098709854414841</v>
      </c>
      <c r="BD199" s="38">
        <f t="shared" si="193"/>
        <v>3.6985669688692012E-2</v>
      </c>
      <c r="BE199" s="38">
        <f t="shared" si="194"/>
        <v>4.7076495576500531E-2</v>
      </c>
      <c r="BF199" s="38">
        <f t="shared" si="195"/>
        <v>5.7582868599052152E-3</v>
      </c>
      <c r="BG199" s="38">
        <f t="shared" si="196"/>
        <v>0</v>
      </c>
      <c r="BH199" s="38">
        <f t="shared" si="197"/>
        <v>0</v>
      </c>
      <c r="BI199" s="38">
        <f t="shared" si="198"/>
        <v>0</v>
      </c>
      <c r="BJ199" s="38">
        <f t="shared" si="199"/>
        <v>0</v>
      </c>
      <c r="BK199" s="38">
        <f t="shared" si="200"/>
        <v>0</v>
      </c>
      <c r="BL199" s="41">
        <f t="shared" si="201"/>
        <v>2</v>
      </c>
      <c r="BM199" s="42">
        <f t="shared" si="169"/>
        <v>3</v>
      </c>
      <c r="BN199" s="38">
        <f t="shared" si="202"/>
        <v>7.3931806689198666E-3</v>
      </c>
      <c r="BO199" s="38">
        <f t="shared" si="203"/>
        <v>5.7582868599052152E-3</v>
      </c>
      <c r="BQ199" s="38">
        <f t="shared" si="204"/>
        <v>3.7616511318242347E-3</v>
      </c>
      <c r="BR199" s="38">
        <f t="shared" si="205"/>
        <v>0.58149724586880325</v>
      </c>
      <c r="BS199" s="38">
        <f t="shared" si="206"/>
        <v>1.0003923107100824E-3</v>
      </c>
      <c r="BT199" s="38">
        <f t="shared" si="207"/>
        <v>1.3158760444766102E-4</v>
      </c>
      <c r="BU199" s="38">
        <f t="shared" si="208"/>
        <v>0.64398051496172593</v>
      </c>
      <c r="BV199" s="38">
        <f t="shared" si="209"/>
        <v>2.3822948970961377E-2</v>
      </c>
      <c r="BW199" s="38">
        <f t="shared" si="210"/>
        <v>3.0322580645161291E-2</v>
      </c>
      <c r="BX199" s="38">
        <f t="shared" si="211"/>
        <v>3.7089871611982882E-3</v>
      </c>
      <c r="BY199" s="38">
        <f t="shared" si="212"/>
        <v>0</v>
      </c>
      <c r="BZ199" s="38">
        <f t="shared" si="213"/>
        <v>0</v>
      </c>
      <c r="CA199" s="38">
        <f t="shared" si="214"/>
        <v>0</v>
      </c>
      <c r="CB199" s="38">
        <f t="shared" si="215"/>
        <v>0</v>
      </c>
      <c r="CC199" s="38">
        <f t="shared" si="216"/>
        <v>0</v>
      </c>
      <c r="CD199" s="38">
        <f t="shared" si="217"/>
        <v>1.2882259086548322</v>
      </c>
      <c r="CE199" s="38">
        <f t="shared" si="218"/>
        <v>1.8740507956130386</v>
      </c>
      <c r="CF199" s="38">
        <f t="shared" si="219"/>
        <v>1.55252272645906</v>
      </c>
      <c r="CG199" s="38">
        <f t="shared" si="220"/>
        <v>2.9095064507279251</v>
      </c>
    </row>
    <row r="200" spans="1:85" ht="15" customHeight="1" x14ac:dyDescent="0.25">
      <c r="A200" s="35" t="s">
        <v>86</v>
      </c>
      <c r="B200" s="15">
        <v>518</v>
      </c>
      <c r="C200" s="102" t="s">
        <v>96</v>
      </c>
      <c r="D200" s="103" t="s">
        <v>105</v>
      </c>
      <c r="E200" s="15">
        <v>29</v>
      </c>
      <c r="F200" s="15" t="s">
        <v>279</v>
      </c>
      <c r="G200" s="16">
        <v>7.3999999999999996E-2</v>
      </c>
      <c r="H200" s="16">
        <v>46.45</v>
      </c>
      <c r="I200" s="16">
        <v>4.8000000000000001E-2</v>
      </c>
      <c r="J200" s="16">
        <v>0</v>
      </c>
      <c r="K200" s="16">
        <v>46.44</v>
      </c>
      <c r="L200" s="16">
        <v>1.72</v>
      </c>
      <c r="M200" s="16">
        <v>1.1930000000000001</v>
      </c>
      <c r="N200" s="16">
        <v>0.12</v>
      </c>
      <c r="O200" s="16">
        <v>5.5E-2</v>
      </c>
      <c r="P200" s="16">
        <v>1.7000000000000001E-2</v>
      </c>
      <c r="T200" s="16">
        <f t="shared" si="170"/>
        <v>96.117000000000004</v>
      </c>
      <c r="U200" s="16"/>
      <c r="V200" s="16">
        <f t="shared" si="165"/>
        <v>37.539391684007732</v>
      </c>
      <c r="W200" s="16">
        <f t="shared" si="166"/>
        <v>9.8912460215622087</v>
      </c>
      <c r="X200" s="16">
        <f t="shared" si="167"/>
        <v>97.107637705569942</v>
      </c>
      <c r="AD200" s="15">
        <v>3</v>
      </c>
      <c r="AE200" s="15">
        <v>2</v>
      </c>
      <c r="AG200" s="38">
        <f t="shared" si="171"/>
        <v>1.9756863335823717E-3</v>
      </c>
      <c r="AH200" s="38">
        <f t="shared" si="172"/>
        <v>0.93274700261704435</v>
      </c>
      <c r="AI200" s="38">
        <f t="shared" si="173"/>
        <v>1.5102804693515708E-3</v>
      </c>
      <c r="AJ200" s="38">
        <f t="shared" si="174"/>
        <v>0</v>
      </c>
      <c r="AK200" s="38">
        <f t="shared" si="175"/>
        <v>1.0367681298802773</v>
      </c>
      <c r="AL200" s="38">
        <f t="shared" si="176"/>
        <v>3.8891389766990324E-2</v>
      </c>
      <c r="AM200" s="38">
        <f t="shared" si="177"/>
        <v>4.7484470277480817E-2</v>
      </c>
      <c r="AN200" s="38">
        <f t="shared" si="178"/>
        <v>3.4323331993376905E-3</v>
      </c>
      <c r="AO200" s="38">
        <f t="shared" si="179"/>
        <v>2.8468023340962605E-3</v>
      </c>
      <c r="AP200" s="38">
        <f t="shared" si="180"/>
        <v>5.789542071692464E-4</v>
      </c>
      <c r="AQ200" s="38">
        <f t="shared" si="181"/>
        <v>0</v>
      </c>
      <c r="AR200" s="38">
        <f t="shared" si="182"/>
        <v>0</v>
      </c>
      <c r="AS200" s="38">
        <f t="shared" si="183"/>
        <v>0</v>
      </c>
      <c r="AT200" s="39">
        <f t="shared" si="184"/>
        <v>2.0662350490853298</v>
      </c>
      <c r="AU200" s="38">
        <f t="shared" si="185"/>
        <v>3.4859668029339425E-3</v>
      </c>
      <c r="AV200" s="38">
        <f t="shared" si="186"/>
        <v>6.8580897406031981E-3</v>
      </c>
      <c r="AW200" s="40"/>
      <c r="AX200" s="38">
        <f t="shared" si="187"/>
        <v>1.9123539061608292E-3</v>
      </c>
      <c r="AY200" s="38">
        <f t="shared" si="188"/>
        <v>0.90284694670139076</v>
      </c>
      <c r="AZ200" s="38">
        <f t="shared" si="189"/>
        <v>1.4618670513987589E-3</v>
      </c>
      <c r="BA200" s="38">
        <f t="shared" si="190"/>
        <v>0</v>
      </c>
      <c r="BB200" s="38">
        <f t="shared" si="191"/>
        <v>0.81119810932960124</v>
      </c>
      <c r="BC200" s="38">
        <f t="shared" si="192"/>
        <v>0.19233547252424277</v>
      </c>
      <c r="BD200" s="38">
        <f t="shared" si="193"/>
        <v>3.7644690795663883E-2</v>
      </c>
      <c r="BE200" s="38">
        <f t="shared" si="194"/>
        <v>4.5962312272750369E-2</v>
      </c>
      <c r="BF200" s="38">
        <f t="shared" si="195"/>
        <v>3.3223066280451464E-3</v>
      </c>
      <c r="BG200" s="38">
        <f t="shared" si="196"/>
        <v>2.7555454887443396E-3</v>
      </c>
      <c r="BH200" s="38">
        <f t="shared" si="197"/>
        <v>5.603953020016137E-4</v>
      </c>
      <c r="BI200" s="38">
        <f t="shared" si="198"/>
        <v>0</v>
      </c>
      <c r="BJ200" s="38">
        <f t="shared" si="199"/>
        <v>0</v>
      </c>
      <c r="BK200" s="38">
        <f t="shared" si="200"/>
        <v>0</v>
      </c>
      <c r="BL200" s="41">
        <f t="shared" si="201"/>
        <v>1.9999999999999998</v>
      </c>
      <c r="BM200" s="42">
        <f t="shared" si="169"/>
        <v>2.9999999999999996</v>
      </c>
      <c r="BN200" s="38">
        <f t="shared" si="202"/>
        <v>3.3742209575595879E-3</v>
      </c>
      <c r="BO200" s="38">
        <f t="shared" si="203"/>
        <v>6.6382474187910998E-3</v>
      </c>
      <c r="BQ200" s="38">
        <f t="shared" si="204"/>
        <v>1.2316910785619174E-3</v>
      </c>
      <c r="BR200" s="38">
        <f t="shared" si="205"/>
        <v>0.58149724586880325</v>
      </c>
      <c r="BS200" s="38">
        <f t="shared" si="206"/>
        <v>9.4154570419772467E-4</v>
      </c>
      <c r="BT200" s="38">
        <f t="shared" si="207"/>
        <v>0</v>
      </c>
      <c r="BU200" s="38">
        <f t="shared" si="208"/>
        <v>0.64634655532359087</v>
      </c>
      <c r="BV200" s="38">
        <f t="shared" si="209"/>
        <v>2.4245841556244714E-2</v>
      </c>
      <c r="BW200" s="38">
        <f t="shared" si="210"/>
        <v>2.9602977667493799E-2</v>
      </c>
      <c r="BX200" s="38">
        <f t="shared" si="211"/>
        <v>2.1398002853067048E-3</v>
      </c>
      <c r="BY200" s="38">
        <f t="shared" si="212"/>
        <v>1.7747660535656665E-3</v>
      </c>
      <c r="BZ200" s="38">
        <f t="shared" si="213"/>
        <v>3.6093418259023355E-4</v>
      </c>
      <c r="CA200" s="38">
        <f t="shared" si="214"/>
        <v>0</v>
      </c>
      <c r="CB200" s="38">
        <f t="shared" si="215"/>
        <v>0</v>
      </c>
      <c r="CC200" s="38">
        <f t="shared" si="216"/>
        <v>0</v>
      </c>
      <c r="CD200" s="38">
        <f t="shared" si="217"/>
        <v>1.2881413577203551</v>
      </c>
      <c r="CE200" s="38">
        <f t="shared" si="218"/>
        <v>1.8702732174017411</v>
      </c>
      <c r="CF200" s="38">
        <f t="shared" si="219"/>
        <v>1.5526246308397651</v>
      </c>
      <c r="CG200" s="38">
        <f t="shared" si="220"/>
        <v>2.9038322637378782</v>
      </c>
    </row>
    <row r="201" spans="1:85" ht="15" customHeight="1" x14ac:dyDescent="0.25">
      <c r="A201" s="35" t="s">
        <v>86</v>
      </c>
      <c r="B201" s="15">
        <v>519</v>
      </c>
      <c r="C201" s="102" t="s">
        <v>96</v>
      </c>
      <c r="D201" s="103" t="s">
        <v>105</v>
      </c>
      <c r="E201" s="15">
        <v>30</v>
      </c>
      <c r="F201" s="15" t="s">
        <v>270</v>
      </c>
      <c r="G201" s="16">
        <v>49.54</v>
      </c>
      <c r="H201" s="16">
        <v>0.80200000000000005</v>
      </c>
      <c r="I201" s="16">
        <v>3.69</v>
      </c>
      <c r="J201" s="16">
        <v>0</v>
      </c>
      <c r="K201" s="16">
        <v>17.86</v>
      </c>
      <c r="L201" s="16">
        <v>0.89500000000000002</v>
      </c>
      <c r="M201" s="16">
        <v>12.44</v>
      </c>
      <c r="N201" s="16">
        <v>9.31</v>
      </c>
      <c r="O201" s="16">
        <v>2.1800000000000002</v>
      </c>
      <c r="P201" s="16">
        <v>0.51600000000000001</v>
      </c>
      <c r="S201" s="16">
        <v>0</v>
      </c>
      <c r="T201" s="16">
        <f t="shared" si="170"/>
        <v>97.233000000000004</v>
      </c>
      <c r="U201" s="16"/>
      <c r="V201" s="16">
        <f t="shared" ref="V201:V264" si="221">K201*BB201/(BB201+BC201)</f>
        <v>13.270115358482105</v>
      </c>
      <c r="W201" s="16">
        <f t="shared" ref="W201:W264" si="222">1.1113*K201*BC201/(BB201+BC201)</f>
        <v>5.100738802118836</v>
      </c>
      <c r="X201" s="16">
        <f t="shared" ref="X201:X264" si="223">SUM(G201:J201)+SUM(L201:S201)+SUM(V201:W201)</f>
        <v>97.743854160600932</v>
      </c>
      <c r="Y201" s="15">
        <v>1</v>
      </c>
      <c r="AD201" s="15">
        <v>6</v>
      </c>
      <c r="AE201" s="15">
        <v>4</v>
      </c>
      <c r="AG201" s="38">
        <f t="shared" si="171"/>
        <v>1.9368736211236721</v>
      </c>
      <c r="AH201" s="38">
        <f t="shared" si="172"/>
        <v>2.3583677004202917E-2</v>
      </c>
      <c r="AI201" s="38">
        <f t="shared" si="173"/>
        <v>0.17002067701145429</v>
      </c>
      <c r="AJ201" s="38">
        <f t="shared" si="174"/>
        <v>0</v>
      </c>
      <c r="AK201" s="38">
        <f t="shared" si="175"/>
        <v>0.58388845504626941</v>
      </c>
      <c r="AL201" s="38">
        <f t="shared" si="176"/>
        <v>2.9635145055859735E-2</v>
      </c>
      <c r="AM201" s="38">
        <f t="shared" si="177"/>
        <v>0.72508770386536348</v>
      </c>
      <c r="AN201" s="38">
        <f t="shared" si="178"/>
        <v>0.38995714504709239</v>
      </c>
      <c r="AO201" s="38">
        <f t="shared" si="179"/>
        <v>0.16523807372616736</v>
      </c>
      <c r="AP201" s="38">
        <f t="shared" si="180"/>
        <v>2.5733804698799604E-2</v>
      </c>
      <c r="AQ201" s="38">
        <f t="shared" si="181"/>
        <v>0</v>
      </c>
      <c r="AR201" s="38">
        <f t="shared" si="182"/>
        <v>0</v>
      </c>
      <c r="AS201" s="38">
        <f t="shared" si="183"/>
        <v>0</v>
      </c>
      <c r="AT201" s="39">
        <f t="shared" si="184"/>
        <v>4.0500183025788816</v>
      </c>
      <c r="AU201" s="38">
        <f t="shared" si="185"/>
        <v>2.1068942981351264</v>
      </c>
      <c r="AV201" s="38">
        <f t="shared" si="186"/>
        <v>0.58092902347205932</v>
      </c>
      <c r="AW201" s="40"/>
      <c r="AX201" s="38">
        <f t="shared" si="187"/>
        <v>1.9129529561783487</v>
      </c>
      <c r="AY201" s="38">
        <f t="shared" si="188"/>
        <v>2.3292415235936906E-2</v>
      </c>
      <c r="AZ201" s="38">
        <f t="shared" si="189"/>
        <v>0.16792089744699895</v>
      </c>
      <c r="BA201" s="38">
        <f t="shared" si="190"/>
        <v>0</v>
      </c>
      <c r="BB201" s="38">
        <f t="shared" si="191"/>
        <v>0.42847564124179616</v>
      </c>
      <c r="BC201" s="38">
        <f t="shared" si="192"/>
        <v>0.14820170826496915</v>
      </c>
      <c r="BD201" s="38">
        <f t="shared" si="193"/>
        <v>2.9269146795696525E-2</v>
      </c>
      <c r="BE201" s="38">
        <f t="shared" si="194"/>
        <v>0.71613276750246591</v>
      </c>
      <c r="BF201" s="38">
        <f t="shared" si="195"/>
        <v>0.38514111879324997</v>
      </c>
      <c r="BG201" s="38">
        <f t="shared" si="196"/>
        <v>0.1631973599931148</v>
      </c>
      <c r="BH201" s="38">
        <f t="shared" si="197"/>
        <v>2.5415988547423007E-2</v>
      </c>
      <c r="BI201" s="38">
        <f t="shared" si="198"/>
        <v>0</v>
      </c>
      <c r="BJ201" s="38">
        <f t="shared" si="199"/>
        <v>0</v>
      </c>
      <c r="BK201" s="38">
        <f t="shared" si="200"/>
        <v>0</v>
      </c>
      <c r="BL201" s="41">
        <f t="shared" si="201"/>
        <v>4</v>
      </c>
      <c r="BM201" s="42">
        <f t="shared" si="169"/>
        <v>6.0000000000000009</v>
      </c>
      <c r="BN201" s="38">
        <f t="shared" si="202"/>
        <v>2.0808738536253477</v>
      </c>
      <c r="BO201" s="38">
        <f t="shared" si="203"/>
        <v>0.57375446733378777</v>
      </c>
      <c r="BQ201" s="38">
        <f t="shared" si="204"/>
        <v>0.82456724367509993</v>
      </c>
      <c r="BR201" s="38">
        <f t="shared" si="205"/>
        <v>1.0040060090135205E-2</v>
      </c>
      <c r="BS201" s="38">
        <f t="shared" si="206"/>
        <v>7.2381326010200087E-2</v>
      </c>
      <c r="BT201" s="38">
        <f t="shared" si="207"/>
        <v>0</v>
      </c>
      <c r="BU201" s="38">
        <f t="shared" si="208"/>
        <v>0.24857341684064024</v>
      </c>
      <c r="BV201" s="38">
        <f t="shared" si="209"/>
        <v>1.2616295460952918E-2</v>
      </c>
      <c r="BW201" s="38">
        <f t="shared" si="210"/>
        <v>0.30868486352357322</v>
      </c>
      <c r="BX201" s="38">
        <f t="shared" si="211"/>
        <v>0.16601283880171186</v>
      </c>
      <c r="BY201" s="38">
        <f t="shared" si="212"/>
        <v>7.0345272668602785E-2</v>
      </c>
      <c r="BZ201" s="38">
        <f t="shared" si="213"/>
        <v>1.0955414012738853E-2</v>
      </c>
      <c r="CA201" s="38">
        <f t="shared" si="214"/>
        <v>0</v>
      </c>
      <c r="CB201" s="38">
        <f t="shared" si="215"/>
        <v>0</v>
      </c>
      <c r="CC201" s="38">
        <f t="shared" si="216"/>
        <v>0</v>
      </c>
      <c r="CD201" s="38">
        <f t="shared" si="217"/>
        <v>1.7241767310836551</v>
      </c>
      <c r="CE201" s="38">
        <f t="shared" si="218"/>
        <v>2.5543243545133194</v>
      </c>
      <c r="CF201" s="38">
        <f t="shared" si="219"/>
        <v>2.3199477918287279</v>
      </c>
      <c r="CG201" s="38">
        <f t="shared" si="220"/>
        <v>5.9258991458675165</v>
      </c>
    </row>
    <row r="202" spans="1:85" ht="15" customHeight="1" x14ac:dyDescent="0.25">
      <c r="A202" s="35" t="s">
        <v>86</v>
      </c>
      <c r="B202" s="15">
        <v>522</v>
      </c>
      <c r="C202" s="102" t="s">
        <v>96</v>
      </c>
      <c r="D202" s="103" t="s">
        <v>105</v>
      </c>
      <c r="E202" s="15">
        <v>33</v>
      </c>
      <c r="F202" s="15" t="s">
        <v>270</v>
      </c>
      <c r="G202" s="16">
        <v>49.66</v>
      </c>
      <c r="H202" s="16">
        <v>0.999</v>
      </c>
      <c r="I202" s="16">
        <v>3.9</v>
      </c>
      <c r="J202" s="16">
        <v>1.4E-2</v>
      </c>
      <c r="K202" s="16">
        <v>15.28</v>
      </c>
      <c r="L202" s="16">
        <v>0.63900000000000001</v>
      </c>
      <c r="M202" s="16">
        <v>13.28</v>
      </c>
      <c r="N202" s="16">
        <v>10.199999999999999</v>
      </c>
      <c r="O202" s="16">
        <v>1.99</v>
      </c>
      <c r="P202" s="16">
        <v>0.54700000000000004</v>
      </c>
      <c r="S202" s="16">
        <v>0</v>
      </c>
      <c r="T202" s="16">
        <f t="shared" si="170"/>
        <v>96.508999999999986</v>
      </c>
      <c r="U202" s="16"/>
      <c r="V202" s="16">
        <f t="shared" si="221"/>
        <v>11.998660164215126</v>
      </c>
      <c r="W202" s="16">
        <f t="shared" si="222"/>
        <v>3.64655295950773</v>
      </c>
      <c r="X202" s="16">
        <f t="shared" si="223"/>
        <v>96.874213123722853</v>
      </c>
      <c r="AD202" s="15">
        <v>6</v>
      </c>
      <c r="AE202" s="15">
        <v>4</v>
      </c>
      <c r="AG202" s="38">
        <f t="shared" si="171"/>
        <v>1.934112311261263</v>
      </c>
      <c r="AH202" s="38">
        <f t="shared" si="172"/>
        <v>2.9263908496886523E-2</v>
      </c>
      <c r="AI202" s="38">
        <f t="shared" si="173"/>
        <v>0.1790068597795923</v>
      </c>
      <c r="AJ202" s="38">
        <f t="shared" si="174"/>
        <v>4.310701141333205E-4</v>
      </c>
      <c r="AK202" s="38">
        <f t="shared" si="175"/>
        <v>0.49762418568846079</v>
      </c>
      <c r="AL202" s="38">
        <f t="shared" si="176"/>
        <v>2.107728035135922E-2</v>
      </c>
      <c r="AM202" s="38">
        <f t="shared" si="177"/>
        <v>0.77107731608808816</v>
      </c>
      <c r="AN202" s="38">
        <f t="shared" si="178"/>
        <v>0.42559553686102669</v>
      </c>
      <c r="AO202" s="38">
        <f t="shared" si="179"/>
        <v>0.15025758289284047</v>
      </c>
      <c r="AP202" s="38">
        <f t="shared" si="180"/>
        <v>2.7175110415511447E-2</v>
      </c>
      <c r="AQ202" s="38">
        <f t="shared" si="181"/>
        <v>0</v>
      </c>
      <c r="AR202" s="38">
        <f t="shared" si="182"/>
        <v>0</v>
      </c>
      <c r="AS202" s="38">
        <f t="shared" si="183"/>
        <v>0</v>
      </c>
      <c r="AT202" s="39">
        <f t="shared" si="184"/>
        <v>4.0356211619491615</v>
      </c>
      <c r="AU202" s="38">
        <f t="shared" si="185"/>
        <v>2.1131191710408554</v>
      </c>
      <c r="AV202" s="38">
        <f t="shared" si="186"/>
        <v>0.60302823016937868</v>
      </c>
      <c r="AW202" s="40"/>
      <c r="AX202" s="38">
        <f t="shared" si="187"/>
        <v>1.9170405086557805</v>
      </c>
      <c r="AY202" s="38">
        <f t="shared" si="188"/>
        <v>2.9005605157201988E-2</v>
      </c>
      <c r="AZ202" s="38">
        <f t="shared" si="189"/>
        <v>0.17742682238600802</v>
      </c>
      <c r="BA202" s="38">
        <f t="shared" si="190"/>
        <v>4.2726519347035857E-4</v>
      </c>
      <c r="BB202" s="38">
        <f t="shared" si="191"/>
        <v>0.38731157773218094</v>
      </c>
      <c r="BC202" s="38">
        <f t="shared" si="192"/>
        <v>0.10592023538291695</v>
      </c>
      <c r="BD202" s="38">
        <f t="shared" si="193"/>
        <v>2.0891237810021911E-2</v>
      </c>
      <c r="BE202" s="38">
        <f t="shared" si="194"/>
        <v>0.76427125851988154</v>
      </c>
      <c r="BF202" s="38">
        <f t="shared" si="195"/>
        <v>0.42183893857417337</v>
      </c>
      <c r="BG202" s="38">
        <f t="shared" si="196"/>
        <v>0.14893130634716731</v>
      </c>
      <c r="BH202" s="38">
        <f t="shared" si="197"/>
        <v>2.6935244241197465E-2</v>
      </c>
      <c r="BI202" s="38">
        <f t="shared" si="198"/>
        <v>0</v>
      </c>
      <c r="BJ202" s="38">
        <f t="shared" si="199"/>
        <v>0</v>
      </c>
      <c r="BK202" s="38">
        <f t="shared" si="200"/>
        <v>0</v>
      </c>
      <c r="BL202" s="41">
        <f t="shared" si="201"/>
        <v>4</v>
      </c>
      <c r="BM202" s="42">
        <f t="shared" si="169"/>
        <v>5.9999999999999982</v>
      </c>
      <c r="BN202" s="38">
        <f t="shared" si="202"/>
        <v>2.0944673310417885</v>
      </c>
      <c r="BO202" s="38">
        <f t="shared" si="203"/>
        <v>0.59770548916253807</v>
      </c>
      <c r="BQ202" s="38">
        <f t="shared" si="204"/>
        <v>0.8265645805592543</v>
      </c>
      <c r="BR202" s="38">
        <f t="shared" si="205"/>
        <v>1.2506259389083627E-2</v>
      </c>
      <c r="BS202" s="38">
        <f t="shared" si="206"/>
        <v>7.6500588466065125E-2</v>
      </c>
      <c r="BT202" s="38">
        <f t="shared" si="207"/>
        <v>1.8422264622672542E-4</v>
      </c>
      <c r="BU202" s="38">
        <f t="shared" si="208"/>
        <v>0.21266527487821851</v>
      </c>
      <c r="BV202" s="38">
        <f t="shared" si="209"/>
        <v>9.0076120665351003E-3</v>
      </c>
      <c r="BW202" s="38">
        <f t="shared" si="210"/>
        <v>0.32952853598014892</v>
      </c>
      <c r="BX202" s="38">
        <f t="shared" si="211"/>
        <v>0.18188302425106989</v>
      </c>
      <c r="BY202" s="38">
        <f t="shared" si="212"/>
        <v>6.4214262665375929E-2</v>
      </c>
      <c r="BZ202" s="38">
        <f t="shared" si="213"/>
        <v>1.1613588110403398E-2</v>
      </c>
      <c r="CA202" s="38">
        <f t="shared" si="214"/>
        <v>0</v>
      </c>
      <c r="CB202" s="38">
        <f t="shared" si="215"/>
        <v>0</v>
      </c>
      <c r="CC202" s="38">
        <f t="shared" si="216"/>
        <v>0</v>
      </c>
      <c r="CD202" s="38">
        <f t="shared" si="217"/>
        <v>1.7246679490123815</v>
      </c>
      <c r="CE202" s="38">
        <f t="shared" si="218"/>
        <v>2.5641672691289763</v>
      </c>
      <c r="CF202" s="38">
        <f t="shared" si="219"/>
        <v>2.3192870269842789</v>
      </c>
      <c r="CG202" s="38">
        <f t="shared" si="220"/>
        <v>5.9470398823085411</v>
      </c>
    </row>
    <row r="203" spans="1:85" ht="15" customHeight="1" x14ac:dyDescent="0.25">
      <c r="A203" s="35" t="s">
        <v>86</v>
      </c>
      <c r="B203" s="15">
        <v>523</v>
      </c>
      <c r="C203" s="102" t="s">
        <v>96</v>
      </c>
      <c r="D203" s="103" t="s">
        <v>105</v>
      </c>
      <c r="E203" s="15">
        <v>34</v>
      </c>
      <c r="F203" s="15" t="s">
        <v>270</v>
      </c>
      <c r="G203" s="16">
        <v>49.56</v>
      </c>
      <c r="H203" s="16">
        <v>0.92100000000000004</v>
      </c>
      <c r="I203" s="16">
        <v>3.88</v>
      </c>
      <c r="J203" s="16">
        <v>1.7000000000000001E-2</v>
      </c>
      <c r="K203" s="16">
        <v>15.82</v>
      </c>
      <c r="L203" s="16">
        <v>0.61299999999999999</v>
      </c>
      <c r="M203" s="16">
        <v>13.26</v>
      </c>
      <c r="N203" s="16">
        <v>10.220000000000001</v>
      </c>
      <c r="O203" s="16">
        <v>2.12</v>
      </c>
      <c r="P203" s="16">
        <v>0.55100000000000005</v>
      </c>
      <c r="S203" s="16">
        <v>0</v>
      </c>
      <c r="T203" s="16">
        <f t="shared" si="170"/>
        <v>96.962000000000018</v>
      </c>
      <c r="U203" s="16"/>
      <c r="V203" s="16">
        <f t="shared" si="221"/>
        <v>11.23026643203271</v>
      </c>
      <c r="W203" s="16">
        <f t="shared" si="222"/>
        <v>5.1005709140820485</v>
      </c>
      <c r="X203" s="16">
        <f t="shared" si="223"/>
        <v>97.472837346114773</v>
      </c>
      <c r="AD203" s="15">
        <v>6</v>
      </c>
      <c r="AE203" s="15">
        <v>4</v>
      </c>
      <c r="AG203" s="38">
        <f t="shared" si="171"/>
        <v>1.9277078786837782</v>
      </c>
      <c r="AH203" s="38">
        <f t="shared" si="172"/>
        <v>2.6943959849319733E-2</v>
      </c>
      <c r="AI203" s="38">
        <f t="shared" si="173"/>
        <v>0.177857319651508</v>
      </c>
      <c r="AJ203" s="38">
        <f t="shared" si="174"/>
        <v>5.2276168687568269E-4</v>
      </c>
      <c r="AK203" s="38">
        <f t="shared" si="175"/>
        <v>0.51454048951241471</v>
      </c>
      <c r="AL203" s="38">
        <f t="shared" si="176"/>
        <v>2.0193385631265885E-2</v>
      </c>
      <c r="AM203" s="38">
        <f t="shared" si="177"/>
        <v>0.76891498827324201</v>
      </c>
      <c r="AN203" s="38">
        <f t="shared" si="178"/>
        <v>0.42587558142556953</v>
      </c>
      <c r="AO203" s="38">
        <f t="shared" si="179"/>
        <v>0.15986527288789387</v>
      </c>
      <c r="AP203" s="38">
        <f t="shared" si="180"/>
        <v>2.7338239279578801E-2</v>
      </c>
      <c r="AQ203" s="38">
        <f t="shared" si="181"/>
        <v>0</v>
      </c>
      <c r="AR203" s="38">
        <f t="shared" si="182"/>
        <v>0</v>
      </c>
      <c r="AS203" s="38">
        <f t="shared" si="183"/>
        <v>0</v>
      </c>
      <c r="AT203" s="39">
        <f t="shared" si="184"/>
        <v>4.0497598768814465</v>
      </c>
      <c r="AU203" s="38">
        <f t="shared" si="185"/>
        <v>2.1055651983352863</v>
      </c>
      <c r="AV203" s="38">
        <f t="shared" si="186"/>
        <v>0.61307909359304225</v>
      </c>
      <c r="AW203" s="40"/>
      <c r="AX203" s="38">
        <f t="shared" si="187"/>
        <v>1.9040219047932558</v>
      </c>
      <c r="AY203" s="38">
        <f t="shared" si="188"/>
        <v>2.6612896239238924E-2</v>
      </c>
      <c r="AZ203" s="38">
        <f t="shared" si="189"/>
        <v>0.1756719658040255</v>
      </c>
      <c r="BA203" s="38">
        <f t="shared" si="190"/>
        <v>5.1633845242028513E-4</v>
      </c>
      <c r="BB203" s="38">
        <f t="shared" si="191"/>
        <v>0.36077285564826878</v>
      </c>
      <c r="BC203" s="38">
        <f t="shared" si="192"/>
        <v>0.1474454142296393</v>
      </c>
      <c r="BD203" s="38">
        <f t="shared" si="193"/>
        <v>1.9945267122174148E-2</v>
      </c>
      <c r="BE203" s="38">
        <f t="shared" si="194"/>
        <v>0.75946723919379822</v>
      </c>
      <c r="BF203" s="38">
        <f t="shared" si="195"/>
        <v>0.42064279796610438</v>
      </c>
      <c r="BG203" s="38">
        <f t="shared" si="196"/>
        <v>0.15790098943940303</v>
      </c>
      <c r="BH203" s="38">
        <f t="shared" si="197"/>
        <v>2.7002331111671593E-2</v>
      </c>
      <c r="BI203" s="38">
        <f t="shared" si="198"/>
        <v>0</v>
      </c>
      <c r="BJ203" s="38">
        <f t="shared" si="199"/>
        <v>0</v>
      </c>
      <c r="BK203" s="38">
        <f t="shared" si="200"/>
        <v>0</v>
      </c>
      <c r="BL203" s="41">
        <f t="shared" si="201"/>
        <v>3.9999999999999991</v>
      </c>
      <c r="BM203" s="42">
        <f t="shared" si="169"/>
        <v>5.9999999999999991</v>
      </c>
      <c r="BN203" s="38">
        <f t="shared" si="202"/>
        <v>2.0796938705972812</v>
      </c>
      <c r="BO203" s="38">
        <f t="shared" si="203"/>
        <v>0.60554611851717899</v>
      </c>
      <c r="BQ203" s="38">
        <f t="shared" si="204"/>
        <v>0.82490013315579236</v>
      </c>
      <c r="BR203" s="38">
        <f t="shared" si="205"/>
        <v>1.1529794692038058E-2</v>
      </c>
      <c r="BS203" s="38">
        <f t="shared" si="206"/>
        <v>7.6108277755982737E-2</v>
      </c>
      <c r="BT203" s="38">
        <f t="shared" si="207"/>
        <v>2.2369892756102374E-4</v>
      </c>
      <c r="BU203" s="38">
        <f t="shared" si="208"/>
        <v>0.22018093249826029</v>
      </c>
      <c r="BV203" s="38">
        <f t="shared" si="209"/>
        <v>8.6411051592895412E-3</v>
      </c>
      <c r="BW203" s="38">
        <f t="shared" si="210"/>
        <v>0.32903225806451614</v>
      </c>
      <c r="BX203" s="38">
        <f t="shared" si="211"/>
        <v>0.18223965763195438</v>
      </c>
      <c r="BY203" s="38">
        <f t="shared" si="212"/>
        <v>6.8409164246531151E-2</v>
      </c>
      <c r="BZ203" s="38">
        <f t="shared" si="213"/>
        <v>1.1698513800424628E-2</v>
      </c>
      <c r="CA203" s="38">
        <f t="shared" si="214"/>
        <v>0</v>
      </c>
      <c r="CB203" s="38">
        <f t="shared" si="215"/>
        <v>0</v>
      </c>
      <c r="CC203" s="38">
        <f t="shared" si="216"/>
        <v>0</v>
      </c>
      <c r="CD203" s="38">
        <f t="shared" si="217"/>
        <v>1.7329635359323503</v>
      </c>
      <c r="CE203" s="38">
        <f t="shared" si="218"/>
        <v>2.5675056130984748</v>
      </c>
      <c r="CF203" s="38">
        <f t="shared" si="219"/>
        <v>2.3081847465693865</v>
      </c>
      <c r="CG203" s="38">
        <f t="shared" si="220"/>
        <v>5.9262772928851808</v>
      </c>
    </row>
    <row r="204" spans="1:85" ht="15" customHeight="1" x14ac:dyDescent="0.25">
      <c r="A204" s="35" t="s">
        <v>86</v>
      </c>
      <c r="B204" s="15">
        <v>527</v>
      </c>
      <c r="C204" s="102" t="s">
        <v>96</v>
      </c>
      <c r="D204" s="103" t="s">
        <v>105</v>
      </c>
      <c r="E204" s="15">
        <v>38</v>
      </c>
      <c r="F204" s="15" t="s">
        <v>270</v>
      </c>
      <c r="G204" s="16">
        <v>46.18</v>
      </c>
      <c r="H204" s="16">
        <v>2.4500000000000002</v>
      </c>
      <c r="I204" s="16">
        <v>6.76</v>
      </c>
      <c r="J204" s="16">
        <v>0</v>
      </c>
      <c r="K204" s="16">
        <v>16.64</v>
      </c>
      <c r="L204" s="16">
        <v>0.55200000000000005</v>
      </c>
      <c r="M204" s="16">
        <v>12.01</v>
      </c>
      <c r="N204" s="16">
        <v>10.26</v>
      </c>
      <c r="O204" s="16">
        <v>2.44</v>
      </c>
      <c r="P204" s="16">
        <v>0.373</v>
      </c>
      <c r="S204" s="16">
        <v>0</v>
      </c>
      <c r="T204" s="16">
        <f t="shared" si="170"/>
        <v>97.66500000000002</v>
      </c>
      <c r="U204" s="16"/>
      <c r="V204" s="16">
        <f t="shared" si="221"/>
        <v>9.8617709077275499</v>
      </c>
      <c r="W204" s="16">
        <f t="shared" si="222"/>
        <v>7.5326459902423739</v>
      </c>
      <c r="X204" s="16">
        <f t="shared" si="223"/>
        <v>98.419416897969938</v>
      </c>
      <c r="Y204" s="15">
        <v>2</v>
      </c>
      <c r="AD204" s="15">
        <v>6</v>
      </c>
      <c r="AE204" s="15">
        <v>4</v>
      </c>
      <c r="AG204" s="38">
        <f t="shared" si="171"/>
        <v>1.8006622960418013</v>
      </c>
      <c r="AH204" s="38">
        <f t="shared" si="172"/>
        <v>7.1851575362222905E-2</v>
      </c>
      <c r="AI204" s="38">
        <f t="shared" si="173"/>
        <v>0.31063839327112114</v>
      </c>
      <c r="AJ204" s="38">
        <f t="shared" si="174"/>
        <v>0</v>
      </c>
      <c r="AK204" s="38">
        <f t="shared" si="175"/>
        <v>0.54254381376454819</v>
      </c>
      <c r="AL204" s="38">
        <f t="shared" si="176"/>
        <v>1.8228719410158453E-2</v>
      </c>
      <c r="AM204" s="38">
        <f t="shared" si="177"/>
        <v>0.69814595753898534</v>
      </c>
      <c r="AN204" s="38">
        <f t="shared" si="178"/>
        <v>0.42859551513673311</v>
      </c>
      <c r="AO204" s="38">
        <f t="shared" si="179"/>
        <v>0.18444908982410191</v>
      </c>
      <c r="AP204" s="38">
        <f t="shared" si="180"/>
        <v>1.8552233045587053E-2</v>
      </c>
      <c r="AQ204" s="38">
        <f t="shared" si="181"/>
        <v>0</v>
      </c>
      <c r="AR204" s="38">
        <f t="shared" si="182"/>
        <v>0</v>
      </c>
      <c r="AS204" s="38">
        <f t="shared" si="183"/>
        <v>0</v>
      </c>
      <c r="AT204" s="39">
        <f t="shared" si="184"/>
        <v>4.0736675933952586</v>
      </c>
      <c r="AU204" s="38">
        <f t="shared" si="185"/>
        <v>2.1113006893129223</v>
      </c>
      <c r="AV204" s="38">
        <f t="shared" si="186"/>
        <v>0.63159683800642208</v>
      </c>
      <c r="AW204" s="40"/>
      <c r="AX204" s="38">
        <f t="shared" si="187"/>
        <v>1.7680993893181276</v>
      </c>
      <c r="AY204" s="38">
        <f t="shared" si="188"/>
        <v>7.0552222256639374E-2</v>
      </c>
      <c r="AZ204" s="38">
        <f t="shared" si="189"/>
        <v>0.30502085518687583</v>
      </c>
      <c r="BA204" s="38">
        <f t="shared" si="190"/>
        <v>0</v>
      </c>
      <c r="BB204" s="38">
        <f t="shared" si="191"/>
        <v>0.31572633378343895</v>
      </c>
      <c r="BC204" s="38">
        <f t="shared" si="192"/>
        <v>0.21700619907632435</v>
      </c>
      <c r="BD204" s="38">
        <f t="shared" si="193"/>
        <v>1.7899073984056171E-2</v>
      </c>
      <c r="BE204" s="38">
        <f t="shared" si="194"/>
        <v>0.68552079081848205</v>
      </c>
      <c r="BF204" s="38">
        <f t="shared" si="195"/>
        <v>0.42084485816331785</v>
      </c>
      <c r="BG204" s="38">
        <f t="shared" si="196"/>
        <v>0.18111354016528386</v>
      </c>
      <c r="BH204" s="38">
        <f t="shared" si="197"/>
        <v>1.8216737247453631E-2</v>
      </c>
      <c r="BI204" s="38">
        <f t="shared" si="198"/>
        <v>0</v>
      </c>
      <c r="BJ204" s="38">
        <f t="shared" si="199"/>
        <v>0</v>
      </c>
      <c r="BK204" s="38">
        <f t="shared" si="200"/>
        <v>0</v>
      </c>
      <c r="BL204" s="41">
        <f t="shared" si="201"/>
        <v>3.9999999999999996</v>
      </c>
      <c r="BM204" s="42">
        <f t="shared" si="169"/>
        <v>5.9999999999999982</v>
      </c>
      <c r="BN204" s="38">
        <f t="shared" si="202"/>
        <v>2.0731202445050032</v>
      </c>
      <c r="BO204" s="38">
        <f t="shared" si="203"/>
        <v>0.6201751355760553</v>
      </c>
      <c r="BQ204" s="38">
        <f t="shared" si="204"/>
        <v>0.76864181091877504</v>
      </c>
      <c r="BR204" s="38">
        <f t="shared" si="205"/>
        <v>3.0671006509764651E-2</v>
      </c>
      <c r="BS204" s="38">
        <f t="shared" si="206"/>
        <v>0.13260102000784621</v>
      </c>
      <c r="BT204" s="38">
        <f t="shared" si="207"/>
        <v>0</v>
      </c>
      <c r="BU204" s="38">
        <f t="shared" si="208"/>
        <v>0.23159359777313851</v>
      </c>
      <c r="BV204" s="38">
        <f t="shared" si="209"/>
        <v>7.7812235692134206E-3</v>
      </c>
      <c r="BW204" s="38">
        <f t="shared" si="210"/>
        <v>0.29801488833746897</v>
      </c>
      <c r="BX204" s="38">
        <f t="shared" si="211"/>
        <v>0.18295292439372327</v>
      </c>
      <c r="BY204" s="38">
        <f t="shared" si="212"/>
        <v>7.8735075830913201E-2</v>
      </c>
      <c r="BZ204" s="38">
        <f t="shared" si="213"/>
        <v>7.9193205944798305E-3</v>
      </c>
      <c r="CA204" s="38">
        <f t="shared" si="214"/>
        <v>0</v>
      </c>
      <c r="CB204" s="38">
        <f t="shared" si="215"/>
        <v>0</v>
      </c>
      <c r="CC204" s="38">
        <f t="shared" si="216"/>
        <v>0</v>
      </c>
      <c r="CD204" s="38">
        <f t="shared" si="217"/>
        <v>1.7389108679353231</v>
      </c>
      <c r="CE204" s="38">
        <f t="shared" si="218"/>
        <v>2.5611969971550894</v>
      </c>
      <c r="CF204" s="38">
        <f t="shared" si="219"/>
        <v>2.300290413820552</v>
      </c>
      <c r="CG204" s="38">
        <f t="shared" si="220"/>
        <v>5.8914969004618358</v>
      </c>
    </row>
    <row r="205" spans="1:85" ht="15" customHeight="1" x14ac:dyDescent="0.25">
      <c r="A205" s="35" t="s">
        <v>86</v>
      </c>
      <c r="B205" s="15">
        <v>537</v>
      </c>
      <c r="C205" s="102" t="s">
        <v>96</v>
      </c>
      <c r="D205" s="103" t="s">
        <v>105</v>
      </c>
      <c r="E205" s="15">
        <v>48</v>
      </c>
      <c r="F205" s="15" t="s">
        <v>270</v>
      </c>
      <c r="G205" s="16">
        <v>49.81</v>
      </c>
      <c r="H205" s="16">
        <v>0.96799999999999997</v>
      </c>
      <c r="I205" s="16">
        <v>3.6</v>
      </c>
      <c r="J205" s="16">
        <v>0</v>
      </c>
      <c r="K205" s="16">
        <v>18.07</v>
      </c>
      <c r="L205" s="16">
        <v>0.98</v>
      </c>
      <c r="M205" s="16">
        <v>12.54</v>
      </c>
      <c r="N205" s="16">
        <v>9.09</v>
      </c>
      <c r="O205" s="16">
        <v>2.2799999999999998</v>
      </c>
      <c r="P205" s="16">
        <v>0.53</v>
      </c>
      <c r="S205" s="16">
        <v>0</v>
      </c>
      <c r="T205" s="16">
        <f t="shared" si="170"/>
        <v>97.868000000000023</v>
      </c>
      <c r="U205" s="16"/>
      <c r="V205" s="16">
        <f t="shared" si="221"/>
        <v>13.253398202055061</v>
      </c>
      <c r="W205" s="16">
        <f t="shared" si="222"/>
        <v>5.3526895780562107</v>
      </c>
      <c r="X205" s="16">
        <f t="shared" si="223"/>
        <v>98.404087780111269</v>
      </c>
      <c r="AD205" s="15">
        <v>6</v>
      </c>
      <c r="AE205" s="15">
        <v>4</v>
      </c>
      <c r="AG205" s="38">
        <f t="shared" si="171"/>
        <v>1.9361075885727657</v>
      </c>
      <c r="AH205" s="38">
        <f t="shared" si="172"/>
        <v>2.8299591757633764E-2</v>
      </c>
      <c r="AI205" s="38">
        <f t="shared" si="173"/>
        <v>0.16490944841761043</v>
      </c>
      <c r="AJ205" s="38">
        <f t="shared" si="174"/>
        <v>0</v>
      </c>
      <c r="AK205" s="38">
        <f t="shared" si="175"/>
        <v>0.58731926893821662</v>
      </c>
      <c r="AL205" s="38">
        <f t="shared" si="176"/>
        <v>3.2260995233543151E-2</v>
      </c>
      <c r="AM205" s="38">
        <f t="shared" si="177"/>
        <v>0.72666686897804955</v>
      </c>
      <c r="AN205" s="38">
        <f t="shared" si="178"/>
        <v>0.37852864288218069</v>
      </c>
      <c r="AO205" s="38">
        <f t="shared" si="179"/>
        <v>0.17181304714022352</v>
      </c>
      <c r="AP205" s="38">
        <f t="shared" si="180"/>
        <v>2.6278334221365791E-2</v>
      </c>
      <c r="AQ205" s="38">
        <f t="shared" si="181"/>
        <v>0</v>
      </c>
      <c r="AR205" s="38">
        <f t="shared" si="182"/>
        <v>0</v>
      </c>
      <c r="AS205" s="38">
        <f t="shared" si="183"/>
        <v>0</v>
      </c>
      <c r="AT205" s="39">
        <f t="shared" si="184"/>
        <v>4.0521837861415886</v>
      </c>
      <c r="AU205" s="38">
        <f t="shared" si="185"/>
        <v>2.1010170369903762</v>
      </c>
      <c r="AV205" s="38">
        <f t="shared" si="186"/>
        <v>0.57662002424377001</v>
      </c>
      <c r="AW205" s="40"/>
      <c r="AX205" s="38">
        <f t="shared" si="187"/>
        <v>1.9111745081200173</v>
      </c>
      <c r="AY205" s="38">
        <f t="shared" si="188"/>
        <v>2.7935151267736633E-2</v>
      </c>
      <c r="AZ205" s="38">
        <f t="shared" si="189"/>
        <v>0.1627857541719587</v>
      </c>
      <c r="BA205" s="38">
        <f t="shared" si="190"/>
        <v>0</v>
      </c>
      <c r="BB205" s="38">
        <f t="shared" si="191"/>
        <v>0.42522050651964083</v>
      </c>
      <c r="BC205" s="38">
        <f t="shared" si="192"/>
        <v>0.15453529917391151</v>
      </c>
      <c r="BD205" s="38">
        <f t="shared" si="193"/>
        <v>3.184554002103783E-2</v>
      </c>
      <c r="BE205" s="38">
        <f t="shared" si="194"/>
        <v>0.71730889547827492</v>
      </c>
      <c r="BF205" s="38">
        <f t="shared" si="195"/>
        <v>0.37365397312603954</v>
      </c>
      <c r="BG205" s="38">
        <f t="shared" si="196"/>
        <v>0.16960044875340716</v>
      </c>
      <c r="BH205" s="38">
        <f t="shared" si="197"/>
        <v>2.5939923367974883E-2</v>
      </c>
      <c r="BI205" s="38">
        <f t="shared" si="198"/>
        <v>0</v>
      </c>
      <c r="BJ205" s="38">
        <f t="shared" si="199"/>
        <v>0</v>
      </c>
      <c r="BK205" s="38">
        <f t="shared" si="200"/>
        <v>0</v>
      </c>
      <c r="BL205" s="41">
        <f t="shared" si="201"/>
        <v>3.9999999999999991</v>
      </c>
      <c r="BM205" s="42">
        <f t="shared" si="169"/>
        <v>5.9999999999999973</v>
      </c>
      <c r="BN205" s="38">
        <f t="shared" si="202"/>
        <v>2.0739602622919762</v>
      </c>
      <c r="BO205" s="38">
        <f t="shared" si="203"/>
        <v>0.56919434524742163</v>
      </c>
      <c r="BQ205" s="38">
        <f t="shared" si="204"/>
        <v>0.82906125166444744</v>
      </c>
      <c r="BR205" s="38">
        <f t="shared" si="205"/>
        <v>1.2118177265898849E-2</v>
      </c>
      <c r="BS205" s="38">
        <f t="shared" si="206"/>
        <v>7.0615927814829352E-2</v>
      </c>
      <c r="BT205" s="38">
        <f t="shared" si="207"/>
        <v>0</v>
      </c>
      <c r="BU205" s="38">
        <f t="shared" si="208"/>
        <v>0.2514961725817676</v>
      </c>
      <c r="BV205" s="38">
        <f t="shared" si="209"/>
        <v>1.3814491119255709E-2</v>
      </c>
      <c r="BW205" s="38">
        <f t="shared" si="210"/>
        <v>0.31116625310173696</v>
      </c>
      <c r="BX205" s="38">
        <f t="shared" si="211"/>
        <v>0.16208987161198288</v>
      </c>
      <c r="BY205" s="38">
        <f t="shared" si="212"/>
        <v>7.3572120038722169E-2</v>
      </c>
      <c r="BZ205" s="38">
        <f t="shared" si="213"/>
        <v>1.1252653927813164E-2</v>
      </c>
      <c r="CA205" s="38">
        <f t="shared" si="214"/>
        <v>0</v>
      </c>
      <c r="CB205" s="38">
        <f t="shared" si="215"/>
        <v>0</v>
      </c>
      <c r="CC205" s="38">
        <f t="shared" si="216"/>
        <v>0</v>
      </c>
      <c r="CD205" s="38">
        <f t="shared" si="217"/>
        <v>1.7351869191264544</v>
      </c>
      <c r="CE205" s="38">
        <f t="shared" si="218"/>
        <v>2.5692619249809479</v>
      </c>
      <c r="CF205" s="38">
        <f t="shared" si="219"/>
        <v>2.3052271521351262</v>
      </c>
      <c r="CG205" s="38">
        <f t="shared" si="220"/>
        <v>5.9227323504130425</v>
      </c>
    </row>
    <row r="206" spans="1:85" ht="15" customHeight="1" x14ac:dyDescent="0.25">
      <c r="A206" s="35" t="s">
        <v>86</v>
      </c>
      <c r="B206" s="15">
        <v>538</v>
      </c>
      <c r="C206" s="102" t="s">
        <v>96</v>
      </c>
      <c r="D206" s="103" t="s">
        <v>105</v>
      </c>
      <c r="E206" s="15">
        <v>49</v>
      </c>
      <c r="F206" s="15" t="s">
        <v>270</v>
      </c>
      <c r="G206" s="16">
        <v>51.97</v>
      </c>
      <c r="H206" s="16">
        <v>0.48099999999999998</v>
      </c>
      <c r="I206" s="16">
        <v>2.4500000000000002</v>
      </c>
      <c r="J206" s="16">
        <v>0</v>
      </c>
      <c r="K206" s="16">
        <v>14.83</v>
      </c>
      <c r="L206" s="16">
        <v>0.76100000000000001</v>
      </c>
      <c r="M206" s="16">
        <v>14.27</v>
      </c>
      <c r="N206" s="16">
        <v>10.34</v>
      </c>
      <c r="O206" s="16">
        <v>1.74</v>
      </c>
      <c r="P206" s="16">
        <v>0.36699999999999999</v>
      </c>
      <c r="S206" s="16">
        <v>0</v>
      </c>
      <c r="T206" s="16">
        <f t="shared" si="170"/>
        <v>97.209000000000003</v>
      </c>
      <c r="U206" s="16"/>
      <c r="V206" s="16">
        <f t="shared" si="221"/>
        <v>13.93570765497415</v>
      </c>
      <c r="W206" s="16">
        <f t="shared" si="222"/>
        <v>0.99382708302722667</v>
      </c>
      <c r="X206" s="16">
        <f t="shared" si="223"/>
        <v>97.308534738001384</v>
      </c>
      <c r="Y206" s="15">
        <v>3</v>
      </c>
      <c r="AD206" s="15">
        <v>6</v>
      </c>
      <c r="AE206" s="15">
        <v>4</v>
      </c>
      <c r="AG206" s="38">
        <f t="shared" si="171"/>
        <v>1.994857472683139</v>
      </c>
      <c r="AH206" s="38">
        <f t="shared" si="172"/>
        <v>1.3886605542618391E-2</v>
      </c>
      <c r="AI206" s="38">
        <f t="shared" si="173"/>
        <v>0.11082948938125323</v>
      </c>
      <c r="AJ206" s="38">
        <f t="shared" si="174"/>
        <v>0</v>
      </c>
      <c r="AK206" s="38">
        <f t="shared" si="175"/>
        <v>0.47599616932766831</v>
      </c>
      <c r="AL206" s="38">
        <f t="shared" si="176"/>
        <v>2.4739023420467056E-2</v>
      </c>
      <c r="AM206" s="38">
        <f t="shared" si="177"/>
        <v>0.81659742493265053</v>
      </c>
      <c r="AN206" s="38">
        <f t="shared" si="178"/>
        <v>0.42520818212980022</v>
      </c>
      <c r="AO206" s="38">
        <f t="shared" si="179"/>
        <v>0.12948419202325889</v>
      </c>
      <c r="AP206" s="38">
        <f t="shared" si="180"/>
        <v>1.7969427308781646E-2</v>
      </c>
      <c r="AQ206" s="38">
        <f t="shared" si="181"/>
        <v>0</v>
      </c>
      <c r="AR206" s="38">
        <f t="shared" si="182"/>
        <v>0</v>
      </c>
      <c r="AS206" s="38">
        <f t="shared" si="183"/>
        <v>0</v>
      </c>
      <c r="AT206" s="39">
        <f t="shared" si="184"/>
        <v>4.0095679867496372</v>
      </c>
      <c r="AU206" s="38">
        <f t="shared" si="185"/>
        <v>2.1056869620643921</v>
      </c>
      <c r="AV206" s="38">
        <f t="shared" si="186"/>
        <v>0.57266180146184076</v>
      </c>
      <c r="AW206" s="40"/>
      <c r="AX206" s="38">
        <f t="shared" si="187"/>
        <v>1.9900971668524052</v>
      </c>
      <c r="AY206" s="38">
        <f t="shared" si="188"/>
        <v>1.3853468092831209E-2</v>
      </c>
      <c r="AZ206" s="38">
        <f t="shared" si="189"/>
        <v>0.11056501822391827</v>
      </c>
      <c r="BA206" s="38">
        <f t="shared" si="190"/>
        <v>0</v>
      </c>
      <c r="BB206" s="38">
        <f t="shared" si="191"/>
        <v>0.44622484073787178</v>
      </c>
      <c r="BC206" s="38">
        <f t="shared" si="192"/>
        <v>2.8635464313132353E-2</v>
      </c>
      <c r="BD206" s="38">
        <f t="shared" si="193"/>
        <v>2.4679988968608846E-2</v>
      </c>
      <c r="BE206" s="38">
        <f t="shared" si="194"/>
        <v>0.81464878773099592</v>
      </c>
      <c r="BF206" s="38">
        <f t="shared" si="195"/>
        <v>0.42419351265271438</v>
      </c>
      <c r="BG206" s="38">
        <f t="shared" si="196"/>
        <v>0.12917520535994248</v>
      </c>
      <c r="BH206" s="38">
        <f t="shared" si="197"/>
        <v>1.7926547067579308E-2</v>
      </c>
      <c r="BI206" s="38">
        <f t="shared" si="198"/>
        <v>0</v>
      </c>
      <c r="BJ206" s="38">
        <f t="shared" si="199"/>
        <v>0</v>
      </c>
      <c r="BK206" s="38">
        <f t="shared" si="200"/>
        <v>0</v>
      </c>
      <c r="BL206" s="41">
        <f t="shared" si="201"/>
        <v>3.9999999999999996</v>
      </c>
      <c r="BM206" s="42">
        <f t="shared" si="169"/>
        <v>6.0000000000000018</v>
      </c>
      <c r="BN206" s="38">
        <f t="shared" si="202"/>
        <v>2.1006621850763234</v>
      </c>
      <c r="BO206" s="38">
        <f t="shared" si="203"/>
        <v>0.5712952650802362</v>
      </c>
      <c r="BQ206" s="38">
        <f t="shared" si="204"/>
        <v>0.86501331557922767</v>
      </c>
      <c r="BR206" s="38">
        <f t="shared" si="205"/>
        <v>6.0215322984476715E-3</v>
      </c>
      <c r="BS206" s="38">
        <f t="shared" si="206"/>
        <v>4.8058061985092201E-2</v>
      </c>
      <c r="BT206" s="38">
        <f t="shared" si="207"/>
        <v>0</v>
      </c>
      <c r="BU206" s="38">
        <f t="shared" si="208"/>
        <v>0.20640222686151707</v>
      </c>
      <c r="BV206" s="38">
        <f t="shared" si="209"/>
        <v>1.0727375246687341E-2</v>
      </c>
      <c r="BW206" s="38">
        <f t="shared" si="210"/>
        <v>0.35409429280397026</v>
      </c>
      <c r="BX206" s="38">
        <f t="shared" si="211"/>
        <v>0.18437945791726107</v>
      </c>
      <c r="BY206" s="38">
        <f t="shared" si="212"/>
        <v>5.6147144240077447E-2</v>
      </c>
      <c r="BZ206" s="38">
        <f t="shared" si="213"/>
        <v>7.7919320594479827E-3</v>
      </c>
      <c r="CA206" s="38">
        <f t="shared" si="214"/>
        <v>0</v>
      </c>
      <c r="CB206" s="38">
        <f t="shared" si="215"/>
        <v>0</v>
      </c>
      <c r="CC206" s="38">
        <f t="shared" si="216"/>
        <v>0</v>
      </c>
      <c r="CD206" s="38">
        <f t="shared" si="217"/>
        <v>1.7386353389917288</v>
      </c>
      <c r="CE206" s="38">
        <f t="shared" si="218"/>
        <v>2.6017296797121872</v>
      </c>
      <c r="CF206" s="38">
        <f t="shared" si="219"/>
        <v>2.3006549506348377</v>
      </c>
      <c r="CG206" s="38">
        <f t="shared" si="220"/>
        <v>5.9856822678434343</v>
      </c>
    </row>
    <row r="207" spans="1:85" ht="15" customHeight="1" x14ac:dyDescent="0.25">
      <c r="A207" s="35" t="s">
        <v>86</v>
      </c>
      <c r="B207" s="15">
        <v>539</v>
      </c>
      <c r="C207" s="102" t="s">
        <v>96</v>
      </c>
      <c r="D207" s="103" t="s">
        <v>105</v>
      </c>
      <c r="E207" s="15">
        <v>50</v>
      </c>
      <c r="F207" s="15" t="s">
        <v>270</v>
      </c>
      <c r="G207" s="16">
        <v>49.02</v>
      </c>
      <c r="H207" s="16">
        <v>0.89500000000000002</v>
      </c>
      <c r="I207" s="16">
        <v>3.64</v>
      </c>
      <c r="J207" s="16">
        <v>8.9999999999999993E-3</v>
      </c>
      <c r="K207" s="16">
        <v>17.920000000000002</v>
      </c>
      <c r="L207" s="16">
        <v>0.89500000000000002</v>
      </c>
      <c r="M207" s="16">
        <v>12.07</v>
      </c>
      <c r="N207" s="16">
        <v>9.61</v>
      </c>
      <c r="O207" s="16">
        <v>2.11</v>
      </c>
      <c r="P207" s="16">
        <v>0.54100000000000004</v>
      </c>
      <c r="S207" s="16">
        <v>0</v>
      </c>
      <c r="T207" s="16">
        <f t="shared" si="170"/>
        <v>96.710000000000008</v>
      </c>
      <c r="U207" s="16"/>
      <c r="V207" s="16">
        <f t="shared" si="221"/>
        <v>13.255513699021886</v>
      </c>
      <c r="W207" s="16">
        <f t="shared" si="222"/>
        <v>5.1836436262769787</v>
      </c>
      <c r="X207" s="16">
        <f t="shared" si="223"/>
        <v>97.229157325298871</v>
      </c>
      <c r="AD207" s="15">
        <v>6</v>
      </c>
      <c r="AE207" s="15">
        <v>4</v>
      </c>
      <c r="AG207" s="38">
        <f t="shared" si="171"/>
        <v>1.9317713348141194</v>
      </c>
      <c r="AH207" s="38">
        <f t="shared" si="172"/>
        <v>2.6527560492894304E-2</v>
      </c>
      <c r="AI207" s="38">
        <f t="shared" si="173"/>
        <v>0.16904949858981888</v>
      </c>
      <c r="AJ207" s="38">
        <f t="shared" si="174"/>
        <v>2.8039471561164259E-4</v>
      </c>
      <c r="AK207" s="38">
        <f t="shared" si="175"/>
        <v>0.59050498371497662</v>
      </c>
      <c r="AL207" s="38">
        <f t="shared" si="176"/>
        <v>2.9870616467048163E-2</v>
      </c>
      <c r="AM207" s="38">
        <f t="shared" si="177"/>
        <v>0.709111548673242</v>
      </c>
      <c r="AN207" s="38">
        <f t="shared" si="178"/>
        <v>0.40572121478846523</v>
      </c>
      <c r="AO207" s="38">
        <f t="shared" si="179"/>
        <v>0.16120303478266576</v>
      </c>
      <c r="AP207" s="38">
        <f t="shared" si="180"/>
        <v>2.7194976785521512E-2</v>
      </c>
      <c r="AQ207" s="38">
        <f t="shared" si="181"/>
        <v>0</v>
      </c>
      <c r="AR207" s="38">
        <f t="shared" si="182"/>
        <v>0</v>
      </c>
      <c r="AS207" s="38">
        <f t="shared" si="183"/>
        <v>0</v>
      </c>
      <c r="AT207" s="39">
        <f t="shared" si="184"/>
        <v>4.051235163824364</v>
      </c>
      <c r="AU207" s="38">
        <f t="shared" si="185"/>
        <v>2.1008208334039384</v>
      </c>
      <c r="AV207" s="38">
        <f t="shared" si="186"/>
        <v>0.59411922635665249</v>
      </c>
      <c r="AW207" s="40"/>
      <c r="AX207" s="38">
        <f t="shared" si="187"/>
        <v>1.9073406076881783</v>
      </c>
      <c r="AY207" s="38">
        <f t="shared" si="188"/>
        <v>2.6192071721506584E-2</v>
      </c>
      <c r="AZ207" s="38">
        <f t="shared" si="189"/>
        <v>0.16691156326776771</v>
      </c>
      <c r="BA207" s="38">
        <f t="shared" si="190"/>
        <v>2.768486195177573E-4</v>
      </c>
      <c r="BB207" s="38">
        <f t="shared" si="191"/>
        <v>0.4312753761048479</v>
      </c>
      <c r="BC207" s="38">
        <f t="shared" si="192"/>
        <v>0.15176160875143507</v>
      </c>
      <c r="BD207" s="38">
        <f t="shared" si="193"/>
        <v>2.9492848732928473E-2</v>
      </c>
      <c r="BE207" s="38">
        <f t="shared" si="194"/>
        <v>0.70014355622233604</v>
      </c>
      <c r="BF207" s="38">
        <f t="shared" si="195"/>
        <v>0.40059013943339161</v>
      </c>
      <c r="BG207" s="38">
        <f t="shared" si="196"/>
        <v>0.15916433212481321</v>
      </c>
      <c r="BH207" s="38">
        <f t="shared" si="197"/>
        <v>2.6851047333277461E-2</v>
      </c>
      <c r="BI207" s="38">
        <f t="shared" si="198"/>
        <v>0</v>
      </c>
      <c r="BJ207" s="38">
        <f t="shared" si="199"/>
        <v>0</v>
      </c>
      <c r="BK207" s="38">
        <f t="shared" si="200"/>
        <v>0</v>
      </c>
      <c r="BL207" s="41">
        <f t="shared" si="201"/>
        <v>4</v>
      </c>
      <c r="BM207" s="42">
        <f t="shared" si="169"/>
        <v>6</v>
      </c>
      <c r="BN207" s="38">
        <f t="shared" si="202"/>
        <v>2.0742521709559458</v>
      </c>
      <c r="BO207" s="38">
        <f t="shared" si="203"/>
        <v>0.58660551889148227</v>
      </c>
      <c r="BQ207" s="38">
        <f t="shared" si="204"/>
        <v>0.81591211717709733</v>
      </c>
      <c r="BR207" s="38">
        <f t="shared" si="205"/>
        <v>1.1204306459689535E-2</v>
      </c>
      <c r="BS207" s="38">
        <f t="shared" si="206"/>
        <v>7.1400549234994129E-2</v>
      </c>
      <c r="BT207" s="38">
        <f t="shared" si="207"/>
        <v>1.1842884400289492E-4</v>
      </c>
      <c r="BU207" s="38">
        <f t="shared" si="208"/>
        <v>0.24940848990953379</v>
      </c>
      <c r="BV207" s="38">
        <f t="shared" si="209"/>
        <v>1.2616295460952918E-2</v>
      </c>
      <c r="BW207" s="38">
        <f t="shared" si="210"/>
        <v>0.29950372208436726</v>
      </c>
      <c r="BX207" s="38">
        <f t="shared" si="211"/>
        <v>0.17136233951497859</v>
      </c>
      <c r="BY207" s="38">
        <f t="shared" si="212"/>
        <v>6.8086479509519196E-2</v>
      </c>
      <c r="BZ207" s="38">
        <f t="shared" si="213"/>
        <v>1.148619957537155E-2</v>
      </c>
      <c r="CA207" s="38">
        <f t="shared" si="214"/>
        <v>0</v>
      </c>
      <c r="CB207" s="38">
        <f t="shared" si="215"/>
        <v>0</v>
      </c>
      <c r="CC207" s="38">
        <f t="shared" si="216"/>
        <v>0</v>
      </c>
      <c r="CD207" s="38">
        <f t="shared" si="217"/>
        <v>1.7110989277705073</v>
      </c>
      <c r="CE207" s="38">
        <f t="shared" si="218"/>
        <v>2.5341885009043477</v>
      </c>
      <c r="CF207" s="38">
        <f t="shared" si="219"/>
        <v>2.3376789822502189</v>
      </c>
      <c r="CG207" s="38">
        <f t="shared" si="220"/>
        <v>5.9241191956242831</v>
      </c>
    </row>
    <row r="208" spans="1:85" ht="15" customHeight="1" x14ac:dyDescent="0.25">
      <c r="A208" s="35" t="s">
        <v>86</v>
      </c>
      <c r="B208" s="15">
        <v>544</v>
      </c>
      <c r="C208" s="102" t="s">
        <v>96</v>
      </c>
      <c r="D208" s="103" t="s">
        <v>105</v>
      </c>
      <c r="E208" s="15">
        <v>55</v>
      </c>
      <c r="F208" s="15" t="s">
        <v>270</v>
      </c>
      <c r="G208" s="16">
        <v>49.26</v>
      </c>
      <c r="H208" s="16">
        <v>0.81399999999999995</v>
      </c>
      <c r="I208" s="16">
        <v>3.99</v>
      </c>
      <c r="J208" s="16">
        <v>2.1000000000000001E-2</v>
      </c>
      <c r="K208" s="16">
        <v>16.149999999999999</v>
      </c>
      <c r="L208" s="16">
        <v>0.74199999999999999</v>
      </c>
      <c r="M208" s="16">
        <v>13.28</v>
      </c>
      <c r="N208" s="16">
        <v>9.8800000000000008</v>
      </c>
      <c r="O208" s="16">
        <v>2.33</v>
      </c>
      <c r="P208" s="16">
        <v>0.57199999999999995</v>
      </c>
      <c r="S208" s="16">
        <v>0</v>
      </c>
      <c r="T208" s="16">
        <f t="shared" si="170"/>
        <v>97.039000000000001</v>
      </c>
      <c r="U208" s="16"/>
      <c r="V208" s="16">
        <f t="shared" si="221"/>
        <v>10.00671275518734</v>
      </c>
      <c r="W208" s="16">
        <f t="shared" si="222"/>
        <v>6.8270351151603066</v>
      </c>
      <c r="X208" s="16">
        <f t="shared" si="223"/>
        <v>97.722747870347646</v>
      </c>
      <c r="AD208" s="15">
        <v>6</v>
      </c>
      <c r="AE208" s="15">
        <v>4</v>
      </c>
      <c r="AG208" s="38">
        <f t="shared" si="171"/>
        <v>1.9196983018970408</v>
      </c>
      <c r="AH208" s="38">
        <f t="shared" si="172"/>
        <v>2.3859143317613195E-2</v>
      </c>
      <c r="AI208" s="38">
        <f t="shared" si="173"/>
        <v>0.18324897823691663</v>
      </c>
      <c r="AJ208" s="38">
        <f t="shared" si="174"/>
        <v>6.4699775335067119E-4</v>
      </c>
      <c r="AK208" s="38">
        <f t="shared" si="175"/>
        <v>0.52627683162277938</v>
      </c>
      <c r="AL208" s="38">
        <f t="shared" si="176"/>
        <v>2.4489573311642379E-2</v>
      </c>
      <c r="AM208" s="38">
        <f t="shared" si="177"/>
        <v>0.77154547069708501</v>
      </c>
      <c r="AN208" s="38">
        <f t="shared" si="178"/>
        <v>0.41249381100718063</v>
      </c>
      <c r="AO208" s="38">
        <f t="shared" si="179"/>
        <v>0.17603654733402532</v>
      </c>
      <c r="AP208" s="38">
        <f t="shared" si="180"/>
        <v>2.8434370559180865E-2</v>
      </c>
      <c r="AQ208" s="38">
        <f t="shared" si="181"/>
        <v>0</v>
      </c>
      <c r="AR208" s="38">
        <f t="shared" si="182"/>
        <v>0</v>
      </c>
      <c r="AS208" s="38">
        <f t="shared" si="183"/>
        <v>0</v>
      </c>
      <c r="AT208" s="39">
        <f t="shared" si="184"/>
        <v>4.0667300257368142</v>
      </c>
      <c r="AU208" s="38">
        <f t="shared" si="185"/>
        <v>2.1029472801339573</v>
      </c>
      <c r="AV208" s="38">
        <f t="shared" si="186"/>
        <v>0.61696472890038678</v>
      </c>
      <c r="AW208" s="40"/>
      <c r="AX208" s="38">
        <f t="shared" si="187"/>
        <v>1.888198419612797</v>
      </c>
      <c r="AY208" s="38">
        <f t="shared" si="188"/>
        <v>2.3467644192378241E-2</v>
      </c>
      <c r="AZ208" s="38">
        <f t="shared" si="189"/>
        <v>0.18024208843685449</v>
      </c>
      <c r="BA208" s="38">
        <f t="shared" si="190"/>
        <v>6.3638131791986599E-4</v>
      </c>
      <c r="BB208" s="38">
        <f t="shared" si="191"/>
        <v>0.32073607281393757</v>
      </c>
      <c r="BC208" s="38">
        <f t="shared" si="192"/>
        <v>0.19690520486338059</v>
      </c>
      <c r="BD208" s="38">
        <f t="shared" si="193"/>
        <v>2.4087729607480231E-2</v>
      </c>
      <c r="BE208" s="38">
        <f t="shared" si="194"/>
        <v>0.75888536078299951</v>
      </c>
      <c r="BF208" s="38">
        <f t="shared" si="195"/>
        <v>0.40572529614374342</v>
      </c>
      <c r="BG208" s="38">
        <f t="shared" si="196"/>
        <v>0.17314800463267124</v>
      </c>
      <c r="BH208" s="38">
        <f t="shared" si="197"/>
        <v>2.7967797595837791E-2</v>
      </c>
      <c r="BI208" s="38">
        <f t="shared" si="198"/>
        <v>0</v>
      </c>
      <c r="BJ208" s="38">
        <f t="shared" si="199"/>
        <v>0</v>
      </c>
      <c r="BK208" s="38">
        <f t="shared" si="200"/>
        <v>0</v>
      </c>
      <c r="BL208" s="41">
        <f t="shared" si="201"/>
        <v>4.0000000000000009</v>
      </c>
      <c r="BM208" s="42">
        <f t="shared" si="169"/>
        <v>5.9999999999999973</v>
      </c>
      <c r="BN208" s="38">
        <f t="shared" si="202"/>
        <v>2.0684405080496515</v>
      </c>
      <c r="BO208" s="38">
        <f t="shared" si="203"/>
        <v>0.60684109837225242</v>
      </c>
      <c r="BQ208" s="38">
        <f t="shared" si="204"/>
        <v>0.81990679094540608</v>
      </c>
      <c r="BR208" s="38">
        <f t="shared" si="205"/>
        <v>1.0190285428142213E-2</v>
      </c>
      <c r="BS208" s="38">
        <f t="shared" si="206"/>
        <v>7.826598666143586E-2</v>
      </c>
      <c r="BT208" s="38">
        <f t="shared" si="207"/>
        <v>2.7633396934008815E-4</v>
      </c>
      <c r="BU208" s="38">
        <f t="shared" si="208"/>
        <v>0.22477383437717466</v>
      </c>
      <c r="BV208" s="38">
        <f t="shared" si="209"/>
        <v>1.0459543276007894E-2</v>
      </c>
      <c r="BW208" s="38">
        <f t="shared" si="210"/>
        <v>0.32952853598014892</v>
      </c>
      <c r="BX208" s="38">
        <f t="shared" si="211"/>
        <v>0.1761768901569187</v>
      </c>
      <c r="BY208" s="38">
        <f t="shared" si="212"/>
        <v>7.5185543723781875E-2</v>
      </c>
      <c r="BZ208" s="38">
        <f t="shared" si="213"/>
        <v>1.2144373673036092E-2</v>
      </c>
      <c r="CA208" s="38">
        <f t="shared" si="214"/>
        <v>0</v>
      </c>
      <c r="CB208" s="38">
        <f t="shared" si="215"/>
        <v>0</v>
      </c>
      <c r="CC208" s="38">
        <f t="shared" si="216"/>
        <v>0</v>
      </c>
      <c r="CD208" s="38">
        <f t="shared" si="217"/>
        <v>1.7369081181913923</v>
      </c>
      <c r="CE208" s="38">
        <f t="shared" si="218"/>
        <v>2.5626113961819197</v>
      </c>
      <c r="CF208" s="38">
        <f t="shared" si="219"/>
        <v>2.3029427740628674</v>
      </c>
      <c r="CG208" s="38">
        <f t="shared" si="220"/>
        <v>5.9015473975683079</v>
      </c>
    </row>
    <row r="209" spans="1:129" ht="15" customHeight="1" x14ac:dyDescent="0.25">
      <c r="A209" s="35" t="s">
        <v>86</v>
      </c>
      <c r="B209" s="15">
        <v>546</v>
      </c>
      <c r="C209" s="102" t="s">
        <v>96</v>
      </c>
      <c r="D209" s="103" t="s">
        <v>105</v>
      </c>
      <c r="E209" s="15">
        <v>57</v>
      </c>
      <c r="F209" s="15" t="s">
        <v>270</v>
      </c>
      <c r="G209" s="16">
        <v>49.81</v>
      </c>
      <c r="H209" s="16">
        <v>0.89600000000000002</v>
      </c>
      <c r="I209" s="16">
        <v>3.37</v>
      </c>
      <c r="J209" s="16">
        <v>1.6E-2</v>
      </c>
      <c r="K209" s="16">
        <v>17.62</v>
      </c>
      <c r="L209" s="16">
        <v>0.875</v>
      </c>
      <c r="M209" s="16">
        <v>12.65</v>
      </c>
      <c r="N209" s="16">
        <v>9.51</v>
      </c>
      <c r="O209" s="16">
        <v>2.06</v>
      </c>
      <c r="P209" s="16">
        <v>0.496</v>
      </c>
      <c r="S209" s="16">
        <v>0</v>
      </c>
      <c r="T209" s="16">
        <f t="shared" si="170"/>
        <v>97.303000000000011</v>
      </c>
      <c r="U209" s="16"/>
      <c r="V209" s="16">
        <f t="shared" si="221"/>
        <v>13.684628081332574</v>
      </c>
      <c r="W209" s="16">
        <f t="shared" si="222"/>
        <v>4.3733788132151119</v>
      </c>
      <c r="X209" s="16">
        <f t="shared" si="223"/>
        <v>97.741006894547681</v>
      </c>
      <c r="AD209" s="15">
        <v>6</v>
      </c>
      <c r="AE209" s="15">
        <v>4</v>
      </c>
      <c r="AG209" s="38">
        <f t="shared" si="171"/>
        <v>1.9434365720386615</v>
      </c>
      <c r="AH209" s="38">
        <f t="shared" si="172"/>
        <v>2.6293821289624202E-2</v>
      </c>
      <c r="AI209" s="38">
        <f t="shared" si="173"/>
        <v>0.15495793602430666</v>
      </c>
      <c r="AJ209" s="38">
        <f t="shared" si="174"/>
        <v>4.9353586340623466E-4</v>
      </c>
      <c r="AK209" s="38">
        <f t="shared" si="175"/>
        <v>0.57486105157880218</v>
      </c>
      <c r="AL209" s="38">
        <f t="shared" si="176"/>
        <v>2.8913497054828204E-2</v>
      </c>
      <c r="AM209" s="38">
        <f t="shared" si="177"/>
        <v>0.73581600951518855</v>
      </c>
      <c r="AN209" s="38">
        <f t="shared" si="178"/>
        <v>0.39751751181925954</v>
      </c>
      <c r="AO209" s="38">
        <f t="shared" si="179"/>
        <v>0.15582222361142106</v>
      </c>
      <c r="AP209" s="38">
        <f t="shared" si="180"/>
        <v>2.4685647476141419E-2</v>
      </c>
      <c r="AQ209" s="38">
        <f t="shared" si="181"/>
        <v>0</v>
      </c>
      <c r="AR209" s="38">
        <f t="shared" si="182"/>
        <v>0</v>
      </c>
      <c r="AS209" s="38">
        <f t="shared" si="183"/>
        <v>0</v>
      </c>
      <c r="AT209" s="39">
        <f t="shared" si="184"/>
        <v>4.042797806271639</v>
      </c>
      <c r="AU209" s="38">
        <f t="shared" si="185"/>
        <v>2.098394508062968</v>
      </c>
      <c r="AV209" s="38">
        <f t="shared" si="186"/>
        <v>0.57802538290682204</v>
      </c>
      <c r="AW209" s="40"/>
      <c r="AX209" s="38">
        <f t="shared" si="187"/>
        <v>1.9228629925778482</v>
      </c>
      <c r="AY209" s="38">
        <f t="shared" si="188"/>
        <v>2.6015470028042741E-2</v>
      </c>
      <c r="AZ209" s="38">
        <f t="shared" si="189"/>
        <v>0.15331752261655882</v>
      </c>
      <c r="BA209" s="38">
        <f t="shared" si="190"/>
        <v>4.8831120135724485E-4</v>
      </c>
      <c r="BB209" s="38">
        <f t="shared" si="191"/>
        <v>0.44174124372114199</v>
      </c>
      <c r="BC209" s="38">
        <f t="shared" si="192"/>
        <v>0.12703422230588846</v>
      </c>
      <c r="BD209" s="38">
        <f t="shared" si="193"/>
        <v>2.8607413420452889E-2</v>
      </c>
      <c r="BE209" s="38">
        <f t="shared" si="194"/>
        <v>0.72802652497110631</v>
      </c>
      <c r="BF209" s="38">
        <f t="shared" si="195"/>
        <v>0.39330931782201517</v>
      </c>
      <c r="BG209" s="38">
        <f t="shared" si="196"/>
        <v>0.15417266069521676</v>
      </c>
      <c r="BH209" s="38">
        <f t="shared" si="197"/>
        <v>2.4424320640370669E-2</v>
      </c>
      <c r="BI209" s="38">
        <f t="shared" si="198"/>
        <v>0</v>
      </c>
      <c r="BJ209" s="38">
        <f t="shared" si="199"/>
        <v>0</v>
      </c>
      <c r="BK209" s="38">
        <f t="shared" si="200"/>
        <v>0</v>
      </c>
      <c r="BL209" s="41">
        <f t="shared" si="201"/>
        <v>3.9999999999999996</v>
      </c>
      <c r="BM209" s="42">
        <f t="shared" si="169"/>
        <v>5.9999999999999991</v>
      </c>
      <c r="BN209" s="38">
        <f t="shared" si="202"/>
        <v>2.0761805151944071</v>
      </c>
      <c r="BO209" s="38">
        <f t="shared" si="203"/>
        <v>0.5719062991576026</v>
      </c>
      <c r="BQ209" s="38">
        <f t="shared" si="204"/>
        <v>0.82906125166444744</v>
      </c>
      <c r="BR209" s="38">
        <f t="shared" si="205"/>
        <v>1.1216825237856786E-2</v>
      </c>
      <c r="BS209" s="38">
        <f t="shared" si="206"/>
        <v>6.6104354648881924E-2</v>
      </c>
      <c r="BT209" s="38">
        <f t="shared" si="207"/>
        <v>2.1054016711625763E-4</v>
      </c>
      <c r="BU209" s="38">
        <f t="shared" si="208"/>
        <v>0.24523312456506613</v>
      </c>
      <c r="BV209" s="38">
        <f t="shared" si="209"/>
        <v>1.2334367070764027E-2</v>
      </c>
      <c r="BW209" s="38">
        <f t="shared" si="210"/>
        <v>0.31389578163771714</v>
      </c>
      <c r="BX209" s="38">
        <f t="shared" si="211"/>
        <v>0.16957917261055636</v>
      </c>
      <c r="BY209" s="38">
        <f t="shared" si="212"/>
        <v>6.6473055824459504E-2</v>
      </c>
      <c r="BZ209" s="38">
        <f t="shared" si="213"/>
        <v>1.0530785562632696E-2</v>
      </c>
      <c r="CA209" s="38">
        <f t="shared" si="214"/>
        <v>0</v>
      </c>
      <c r="CB209" s="38">
        <f t="shared" si="215"/>
        <v>0</v>
      </c>
      <c r="CC209" s="38">
        <f t="shared" si="216"/>
        <v>0</v>
      </c>
      <c r="CD209" s="38">
        <f t="shared" si="217"/>
        <v>1.7246392589894985</v>
      </c>
      <c r="CE209" s="38">
        <f t="shared" si="218"/>
        <v>2.5595728626062555</v>
      </c>
      <c r="CF209" s="38">
        <f t="shared" si="219"/>
        <v>2.3193256091964889</v>
      </c>
      <c r="CG209" s="38">
        <f t="shared" si="220"/>
        <v>5.9364828888470544</v>
      </c>
      <c r="CI209" s="16">
        <v>50.873423342730298</v>
      </c>
      <c r="CJ209" s="13">
        <v>14706.778596210506</v>
      </c>
      <c r="CK209" s="13">
        <v>76892.73466135333</v>
      </c>
      <c r="CL209" s="13">
        <v>20478.26181403689</v>
      </c>
      <c r="CM209" s="13">
        <v>232981.06902385468</v>
      </c>
      <c r="CN209" s="13">
        <v>67757.931063586409</v>
      </c>
      <c r="CO209" s="16">
        <v>174.80481665763489</v>
      </c>
      <c r="CP209" s="13">
        <v>5264.6800425285783</v>
      </c>
      <c r="CQ209" s="16">
        <v>24.258864400464827</v>
      </c>
      <c r="CR209" s="16">
        <v>0.71144490976245423</v>
      </c>
      <c r="CS209" s="13">
        <v>7029.3389788935065</v>
      </c>
      <c r="CT209" s="16">
        <v>30.981674860368653</v>
      </c>
      <c r="CU209" s="16">
        <v>0</v>
      </c>
      <c r="CV209" s="16">
        <v>2.4328643238553771</v>
      </c>
      <c r="CW209" s="16">
        <v>363.1148910237909</v>
      </c>
      <c r="CX209" s="16">
        <v>3.7732363820249639</v>
      </c>
      <c r="CY209" s="16">
        <v>0</v>
      </c>
      <c r="CZ209" s="16">
        <v>1.0499890418641824</v>
      </c>
      <c r="DA209" s="16">
        <v>317.82930135370304</v>
      </c>
      <c r="DB209" s="16">
        <v>1176.9316291727096</v>
      </c>
      <c r="DC209" s="16">
        <v>15.752605171486675</v>
      </c>
      <c r="DD209" s="16">
        <v>5.5947500787208435E-2</v>
      </c>
      <c r="DE209" s="16">
        <v>1.5388804359660935</v>
      </c>
      <c r="DF209" s="16">
        <v>92.554517979786013</v>
      </c>
      <c r="DG209" s="16">
        <v>301.92224877585306</v>
      </c>
      <c r="DH209" s="16">
        <v>43.396363094561373</v>
      </c>
      <c r="DI209" s="16">
        <v>167.47189969502364</v>
      </c>
      <c r="DJ209" s="16">
        <v>35.353277603683829</v>
      </c>
      <c r="DK209" s="16">
        <v>0.37904396084229547</v>
      </c>
      <c r="DL209" s="16">
        <v>37.079381593718743</v>
      </c>
      <c r="DM209" s="16">
        <v>6.3798471458183208</v>
      </c>
      <c r="DN209" s="16">
        <v>44.306353908151202</v>
      </c>
      <c r="DO209" s="16">
        <v>9.5095912647866321</v>
      </c>
      <c r="DP209" s="16">
        <v>30.242710135163129</v>
      </c>
      <c r="DQ209" s="16">
        <v>4.7918411473697207</v>
      </c>
      <c r="DR209" s="16">
        <v>37.702593402368798</v>
      </c>
      <c r="DS209" s="16">
        <v>6.5293789940412745</v>
      </c>
      <c r="DT209" s="16">
        <v>52.498049280470092</v>
      </c>
      <c r="DU209" s="16">
        <v>0.79350507106528856</v>
      </c>
      <c r="DV209" s="16">
        <v>1.4751974165056621</v>
      </c>
      <c r="DW209" s="16">
        <v>0.38030416684281415</v>
      </c>
      <c r="DX209" s="16">
        <v>6.5313712215910188E-2</v>
      </c>
      <c r="DY209" s="16">
        <f>(DK209/0.05883)/SQRT((DJ209/0.1536)*(DL209/0.2069))</f>
        <v>3.1723821929023698E-2</v>
      </c>
    </row>
    <row r="210" spans="1:129" ht="15" customHeight="1" x14ac:dyDescent="0.25">
      <c r="A210" s="35" t="s">
        <v>86</v>
      </c>
      <c r="B210" s="15">
        <v>547</v>
      </c>
      <c r="C210" s="102" t="s">
        <v>96</v>
      </c>
      <c r="D210" s="103" t="s">
        <v>105</v>
      </c>
      <c r="E210" s="15">
        <v>58</v>
      </c>
      <c r="F210" s="15" t="s">
        <v>280</v>
      </c>
      <c r="G210" s="16">
        <v>40.47</v>
      </c>
      <c r="H210" s="16">
        <v>2.67</v>
      </c>
      <c r="I210" s="16">
        <v>10.7</v>
      </c>
      <c r="J210" s="16">
        <v>0</v>
      </c>
      <c r="K210" s="16">
        <v>14.06</v>
      </c>
      <c r="L210" s="16">
        <v>0.252</v>
      </c>
      <c r="M210" s="16">
        <v>16.52</v>
      </c>
      <c r="N210" s="16">
        <v>0.28100000000000003</v>
      </c>
      <c r="O210" s="16">
        <v>0.435</v>
      </c>
      <c r="P210" s="16">
        <v>7.38</v>
      </c>
      <c r="S210" s="16">
        <v>0.26200000000000001</v>
      </c>
      <c r="T210" s="16">
        <f t="shared" si="170"/>
        <v>93.03</v>
      </c>
      <c r="U210" s="16"/>
      <c r="V210" s="16">
        <f t="shared" si="221"/>
        <v>0</v>
      </c>
      <c r="W210" s="16">
        <f t="shared" si="222"/>
        <v>15.624878000000001</v>
      </c>
      <c r="X210" s="16">
        <f t="shared" si="223"/>
        <v>94.594877999999994</v>
      </c>
      <c r="AB210" s="15" t="s">
        <v>185</v>
      </c>
      <c r="AD210" s="15">
        <v>11</v>
      </c>
      <c r="AE210" s="15">
        <v>7</v>
      </c>
      <c r="AG210" s="38">
        <f t="shared" si="171"/>
        <v>3.0558609632196054</v>
      </c>
      <c r="AH210" s="38">
        <f t="shared" si="172"/>
        <v>0.15163641750292983</v>
      </c>
      <c r="AI210" s="38">
        <f t="shared" si="173"/>
        <v>0.95216947986089995</v>
      </c>
      <c r="AJ210" s="38">
        <f t="shared" si="174"/>
        <v>0</v>
      </c>
      <c r="AK210" s="38">
        <f t="shared" si="175"/>
        <v>0.88774627458726985</v>
      </c>
      <c r="AL210" s="38">
        <f t="shared" si="176"/>
        <v>1.611534720797856E-2</v>
      </c>
      <c r="AM210" s="38">
        <f t="shared" si="177"/>
        <v>1.8596675248168166</v>
      </c>
      <c r="AN210" s="38">
        <f t="shared" si="178"/>
        <v>2.2731527763091678E-2</v>
      </c>
      <c r="AO210" s="38">
        <f t="shared" si="179"/>
        <v>6.3679257512188975E-2</v>
      </c>
      <c r="AP210" s="38">
        <f t="shared" si="180"/>
        <v>0.71083002681671148</v>
      </c>
      <c r="AQ210" s="38">
        <f t="shared" si="181"/>
        <v>0</v>
      </c>
      <c r="AR210" s="38">
        <f t="shared" si="182"/>
        <v>0</v>
      </c>
      <c r="AS210" s="38">
        <f t="shared" si="183"/>
        <v>3.352859555205271E-2</v>
      </c>
      <c r="AT210" s="39">
        <f t="shared" si="184"/>
        <v>7.7204368192874924</v>
      </c>
      <c r="AU210" s="38">
        <f t="shared" si="185"/>
        <v>4.0080304430805054</v>
      </c>
      <c r="AV210" s="38">
        <f t="shared" si="186"/>
        <v>0.79724081209199216</v>
      </c>
      <c r="AW210" s="40"/>
      <c r="AX210" s="38">
        <f t="shared" si="187"/>
        <v>2.7707016122581756</v>
      </c>
      <c r="AY210" s="38">
        <f t="shared" si="188"/>
        <v>0.13748638158254742</v>
      </c>
      <c r="AZ210" s="38">
        <f t="shared" si="189"/>
        <v>0.86331725976632245</v>
      </c>
      <c r="BA210" s="38">
        <f t="shared" si="190"/>
        <v>0</v>
      </c>
      <c r="BB210" s="38">
        <f t="shared" si="191"/>
        <v>0</v>
      </c>
      <c r="BC210" s="38">
        <f t="shared" si="192"/>
        <v>0.8049057414194849</v>
      </c>
      <c r="BD210" s="38">
        <f t="shared" si="193"/>
        <v>1.4611534696330919E-2</v>
      </c>
      <c r="BE210" s="38">
        <f t="shared" si="194"/>
        <v>1.6861316242102344</v>
      </c>
      <c r="BF210" s="38">
        <f t="shared" si="195"/>
        <v>2.061032271439879E-2</v>
      </c>
      <c r="BG210" s="38">
        <f t="shared" si="196"/>
        <v>5.7736992481011051E-2</v>
      </c>
      <c r="BH210" s="38">
        <f t="shared" si="197"/>
        <v>0.64449853087149422</v>
      </c>
      <c r="BI210" s="38">
        <f t="shared" si="198"/>
        <v>0</v>
      </c>
      <c r="BJ210" s="38">
        <f t="shared" si="199"/>
        <v>0</v>
      </c>
      <c r="BK210" s="38">
        <f t="shared" si="200"/>
        <v>3.0399856168504869E-2</v>
      </c>
      <c r="BL210" s="41">
        <f t="shared" si="201"/>
        <v>7</v>
      </c>
      <c r="BM210" s="42">
        <f t="shared" si="169"/>
        <v>10.375981804673122</v>
      </c>
      <c r="BN210" s="38">
        <f t="shared" si="202"/>
        <v>3.6340188720244981</v>
      </c>
      <c r="BO210" s="38">
        <f t="shared" si="203"/>
        <v>0.72284584606690405</v>
      </c>
      <c r="BQ210" s="38">
        <f t="shared" si="204"/>
        <v>0.67360186418109191</v>
      </c>
      <c r="BR210" s="38">
        <f t="shared" si="205"/>
        <v>3.3425137706559839E-2</v>
      </c>
      <c r="BS210" s="38">
        <f t="shared" si="206"/>
        <v>0.2098862298940761</v>
      </c>
      <c r="BT210" s="38">
        <f t="shared" si="207"/>
        <v>0</v>
      </c>
      <c r="BU210" s="38">
        <f t="shared" si="208"/>
        <v>0.19568545581071678</v>
      </c>
      <c r="BV210" s="38">
        <f t="shared" si="209"/>
        <v>3.5522977163800398E-3</v>
      </c>
      <c r="BW210" s="38">
        <f t="shared" si="210"/>
        <v>0.40992555831265509</v>
      </c>
      <c r="BX210" s="38">
        <f t="shared" si="211"/>
        <v>5.0106990014265338E-3</v>
      </c>
      <c r="BY210" s="38">
        <f t="shared" si="212"/>
        <v>1.4036786060019362E-2</v>
      </c>
      <c r="BZ210" s="38">
        <f t="shared" si="213"/>
        <v>0.15668789808917197</v>
      </c>
      <c r="CA210" s="38">
        <f t="shared" si="214"/>
        <v>0</v>
      </c>
      <c r="CB210" s="38">
        <f t="shared" si="215"/>
        <v>0</v>
      </c>
      <c r="CC210" s="38">
        <f t="shared" si="216"/>
        <v>7.3906911142454157E-3</v>
      </c>
      <c r="CD210" s="38">
        <f t="shared" si="217"/>
        <v>1.7018119267720977</v>
      </c>
      <c r="CE210" s="38">
        <f t="shared" si="218"/>
        <v>2.4247243559750689</v>
      </c>
      <c r="CF210" s="38">
        <f t="shared" si="219"/>
        <v>4.1132629815782353</v>
      </c>
      <c r="CG210" s="38">
        <f t="shared" si="220"/>
        <v>9.9735289339633777</v>
      </c>
    </row>
    <row r="211" spans="1:129" ht="15" customHeight="1" x14ac:dyDescent="0.25">
      <c r="A211" s="35" t="s">
        <v>86</v>
      </c>
      <c r="B211" s="15">
        <v>548</v>
      </c>
      <c r="C211" s="102" t="s">
        <v>96</v>
      </c>
      <c r="D211" s="103" t="s">
        <v>105</v>
      </c>
      <c r="E211" s="15">
        <v>59</v>
      </c>
      <c r="F211" s="15" t="s">
        <v>280</v>
      </c>
      <c r="G211" s="16">
        <v>40.4</v>
      </c>
      <c r="H211" s="16">
        <v>2.85</v>
      </c>
      <c r="I211" s="16">
        <v>10.199999999999999</v>
      </c>
      <c r="J211" s="16">
        <v>0</v>
      </c>
      <c r="K211" s="16">
        <v>13.23</v>
      </c>
      <c r="L211" s="16">
        <v>0.24299999999999999</v>
      </c>
      <c r="M211" s="16">
        <v>16.149999999999999</v>
      </c>
      <c r="N211" s="16">
        <v>0.56699999999999995</v>
      </c>
      <c r="O211" s="16">
        <v>0.191</v>
      </c>
      <c r="P211" s="16">
        <v>7.2</v>
      </c>
      <c r="S211" s="16">
        <v>0.308</v>
      </c>
      <c r="T211" s="16">
        <f t="shared" si="170"/>
        <v>91.339000000000013</v>
      </c>
      <c r="U211" s="16"/>
      <c r="V211" s="16">
        <f t="shared" si="221"/>
        <v>0</v>
      </c>
      <c r="W211" s="16">
        <f t="shared" si="222"/>
        <v>14.702498999999998</v>
      </c>
      <c r="X211" s="16">
        <f t="shared" si="223"/>
        <v>92.811498999999998</v>
      </c>
      <c r="AB211" s="15" t="s">
        <v>185</v>
      </c>
      <c r="AD211" s="15">
        <v>11</v>
      </c>
      <c r="AE211" s="15">
        <v>7</v>
      </c>
      <c r="AG211" s="38">
        <f t="shared" si="171"/>
        <v>3.0949841258281099</v>
      </c>
      <c r="AH211" s="38">
        <f t="shared" si="172"/>
        <v>0.16421536447533172</v>
      </c>
      <c r="AI211" s="38">
        <f t="shared" si="173"/>
        <v>0.92088908485441723</v>
      </c>
      <c r="AJ211" s="38">
        <f t="shared" si="174"/>
        <v>0</v>
      </c>
      <c r="AK211" s="38">
        <f t="shared" si="175"/>
        <v>0.84750068221099051</v>
      </c>
      <c r="AL211" s="38">
        <f t="shared" si="176"/>
        <v>1.5766020038541825E-2</v>
      </c>
      <c r="AM211" s="38">
        <f t="shared" si="177"/>
        <v>1.8444821864592342</v>
      </c>
      <c r="AN211" s="38">
        <f t="shared" si="178"/>
        <v>4.6535248637298493E-2</v>
      </c>
      <c r="AO211" s="38">
        <f t="shared" si="179"/>
        <v>2.836735056616219E-2</v>
      </c>
      <c r="AP211" s="38">
        <f t="shared" si="180"/>
        <v>0.70358824347513216</v>
      </c>
      <c r="AQ211" s="38">
        <f t="shared" si="181"/>
        <v>0</v>
      </c>
      <c r="AR211" s="38">
        <f t="shared" si="182"/>
        <v>0</v>
      </c>
      <c r="AS211" s="38">
        <f t="shared" si="183"/>
        <v>3.9989084510441329E-2</v>
      </c>
      <c r="AT211" s="39">
        <f t="shared" si="184"/>
        <v>7.6663283065452177</v>
      </c>
      <c r="AU211" s="38">
        <f t="shared" si="185"/>
        <v>4.0158732106825274</v>
      </c>
      <c r="AV211" s="38">
        <f t="shared" si="186"/>
        <v>0.77849084267859281</v>
      </c>
      <c r="AW211" s="40"/>
      <c r="AX211" s="38">
        <f t="shared" si="187"/>
        <v>2.8259797929994881</v>
      </c>
      <c r="AY211" s="38">
        <f t="shared" si="188"/>
        <v>0.14994238511099461</v>
      </c>
      <c r="AZ211" s="38">
        <f t="shared" si="189"/>
        <v>0.84084888309275541</v>
      </c>
      <c r="BA211" s="38">
        <f t="shared" si="190"/>
        <v>0</v>
      </c>
      <c r="BB211" s="38">
        <f t="shared" si="191"/>
        <v>0</v>
      </c>
      <c r="BC211" s="38">
        <f t="shared" si="192"/>
        <v>0.77383912327521742</v>
      </c>
      <c r="BD211" s="38">
        <f t="shared" si="193"/>
        <v>1.4395697112993426E-2</v>
      </c>
      <c r="BE211" s="38">
        <f t="shared" si="194"/>
        <v>1.6841667600109693</v>
      </c>
      <c r="BF211" s="38">
        <f t="shared" si="195"/>
        <v>4.2490580553793837E-2</v>
      </c>
      <c r="BG211" s="38">
        <f t="shared" si="196"/>
        <v>2.5901767576742393E-2</v>
      </c>
      <c r="BH211" s="38">
        <f t="shared" si="197"/>
        <v>0.64243501026704641</v>
      </c>
      <c r="BI211" s="38">
        <f t="shared" si="198"/>
        <v>0</v>
      </c>
      <c r="BJ211" s="38">
        <f t="shared" si="199"/>
        <v>0</v>
      </c>
      <c r="BK211" s="38">
        <f t="shared" si="200"/>
        <v>3.6513384292986943E-2</v>
      </c>
      <c r="BL211" s="41">
        <f t="shared" si="201"/>
        <v>7.0000000000000009</v>
      </c>
      <c r="BM211" s="42">
        <f t="shared" si="169"/>
        <v>10.430841100226081</v>
      </c>
      <c r="BN211" s="38">
        <f t="shared" si="202"/>
        <v>3.6668286760922433</v>
      </c>
      <c r="BO211" s="38">
        <f t="shared" si="203"/>
        <v>0.7108273583975826</v>
      </c>
      <c r="BQ211" s="38">
        <f t="shared" si="204"/>
        <v>0.6724367509986684</v>
      </c>
      <c r="BR211" s="38">
        <f t="shared" si="205"/>
        <v>3.5678517776665003E-2</v>
      </c>
      <c r="BS211" s="38">
        <f t="shared" si="206"/>
        <v>0.20007846214201647</v>
      </c>
      <c r="BT211" s="38">
        <f t="shared" si="207"/>
        <v>0</v>
      </c>
      <c r="BU211" s="38">
        <f t="shared" si="208"/>
        <v>0.18413361169102299</v>
      </c>
      <c r="BV211" s="38">
        <f t="shared" si="209"/>
        <v>3.425429940795038E-3</v>
      </c>
      <c r="BW211" s="38">
        <f t="shared" si="210"/>
        <v>0.40074441687344914</v>
      </c>
      <c r="BX211" s="38">
        <f t="shared" si="211"/>
        <v>1.0110556348074179E-2</v>
      </c>
      <c r="BY211" s="38">
        <f t="shared" si="212"/>
        <v>6.1632784769280417E-3</v>
      </c>
      <c r="BZ211" s="38">
        <f t="shared" si="213"/>
        <v>0.15286624203821655</v>
      </c>
      <c r="CA211" s="38">
        <f t="shared" si="214"/>
        <v>0</v>
      </c>
      <c r="CB211" s="38">
        <f t="shared" si="215"/>
        <v>0</v>
      </c>
      <c r="CC211" s="38">
        <f t="shared" si="216"/>
        <v>8.6882933709449914E-3</v>
      </c>
      <c r="CD211" s="38">
        <f t="shared" si="217"/>
        <v>1.6656372662858356</v>
      </c>
      <c r="CE211" s="38">
        <f t="shared" si="218"/>
        <v>2.3899328591891327</v>
      </c>
      <c r="CF211" s="38">
        <f t="shared" si="219"/>
        <v>4.2025956921635954</v>
      </c>
      <c r="CG211" s="38">
        <f t="shared" si="220"/>
        <v>10.043921538588474</v>
      </c>
    </row>
    <row r="212" spans="1:129" ht="15" customHeight="1" x14ac:dyDescent="0.25">
      <c r="A212" s="35" t="s">
        <v>86</v>
      </c>
      <c r="B212" s="15">
        <v>549</v>
      </c>
      <c r="C212" s="102" t="s">
        <v>96</v>
      </c>
      <c r="D212" s="103" t="s">
        <v>105</v>
      </c>
      <c r="E212" s="15">
        <v>60</v>
      </c>
      <c r="F212" s="15" t="s">
        <v>270</v>
      </c>
      <c r="G212" s="16">
        <v>49.18</v>
      </c>
      <c r="H212" s="16">
        <v>0.88600000000000001</v>
      </c>
      <c r="I212" s="16">
        <v>3.99</v>
      </c>
      <c r="J212" s="16">
        <v>0.01</v>
      </c>
      <c r="K212" s="16">
        <v>15.9</v>
      </c>
      <c r="L212" s="16">
        <v>0.72799999999999998</v>
      </c>
      <c r="M212" s="16">
        <v>13.31</v>
      </c>
      <c r="N212" s="16">
        <v>10.24</v>
      </c>
      <c r="O212" s="16">
        <v>2.12</v>
      </c>
      <c r="P212" s="16">
        <v>0.55400000000000005</v>
      </c>
      <c r="S212" s="16">
        <v>0.183</v>
      </c>
      <c r="T212" s="16">
        <f t="shared" si="170"/>
        <v>97.101000000000013</v>
      </c>
      <c r="U212" s="16"/>
      <c r="V212" s="16">
        <f t="shared" si="221"/>
        <v>10.13304058424559</v>
      </c>
      <c r="W212" s="16">
        <f t="shared" si="222"/>
        <v>6.4088219987278752</v>
      </c>
      <c r="X212" s="16">
        <f t="shared" si="223"/>
        <v>97.742862582973459</v>
      </c>
      <c r="AD212" s="15">
        <v>6</v>
      </c>
      <c r="AE212" s="15">
        <v>4</v>
      </c>
      <c r="AG212" s="38">
        <f t="shared" si="171"/>
        <v>1.9193900642271957</v>
      </c>
      <c r="AH212" s="38">
        <f t="shared" si="172"/>
        <v>2.600760183129263E-2</v>
      </c>
      <c r="AI212" s="38">
        <f t="shared" si="173"/>
        <v>0.18351759386878988</v>
      </c>
      <c r="AJ212" s="38">
        <f t="shared" si="174"/>
        <v>3.0854578829569171E-4</v>
      </c>
      <c r="AK212" s="38">
        <f t="shared" si="175"/>
        <v>0.5188896328272018</v>
      </c>
      <c r="AL212" s="38">
        <f t="shared" si="176"/>
        <v>2.4062726625535154E-2</v>
      </c>
      <c r="AM212" s="38">
        <f t="shared" si="177"/>
        <v>0.7744219451269948</v>
      </c>
      <c r="AN212" s="38">
        <f t="shared" si="178"/>
        <v>0.42815063612496151</v>
      </c>
      <c r="AO212" s="38">
        <f t="shared" si="179"/>
        <v>0.16040537858937054</v>
      </c>
      <c r="AP212" s="38">
        <f t="shared" si="180"/>
        <v>2.757995158931683E-2</v>
      </c>
      <c r="AQ212" s="38">
        <f t="shared" si="181"/>
        <v>0</v>
      </c>
      <c r="AR212" s="38">
        <f t="shared" si="182"/>
        <v>0</v>
      </c>
      <c r="AS212" s="38">
        <f t="shared" si="183"/>
        <v>1.2104294793286854E-2</v>
      </c>
      <c r="AT212" s="39">
        <f t="shared" si="184"/>
        <v>4.0627340765989555</v>
      </c>
      <c r="AU212" s="38">
        <f t="shared" si="185"/>
        <v>2.1029076580959858</v>
      </c>
      <c r="AV212" s="38">
        <f t="shared" si="186"/>
        <v>0.61613596630364886</v>
      </c>
      <c r="AW212" s="40"/>
      <c r="AX212" s="38">
        <f t="shared" si="187"/>
        <v>1.8897521009634763</v>
      </c>
      <c r="AY212" s="38">
        <f t="shared" si="188"/>
        <v>2.5606009491090719E-2</v>
      </c>
      <c r="AZ212" s="38">
        <f t="shared" si="189"/>
        <v>0.18068383547506839</v>
      </c>
      <c r="BA212" s="38">
        <f t="shared" si="190"/>
        <v>3.0378142647621706E-4</v>
      </c>
      <c r="BB212" s="38">
        <f t="shared" si="191"/>
        <v>0.32558114490935541</v>
      </c>
      <c r="BC212" s="38">
        <f t="shared" si="192"/>
        <v>0.1852961343257955</v>
      </c>
      <c r="BD212" s="38">
        <f t="shared" si="193"/>
        <v>2.3691165773447653E-2</v>
      </c>
      <c r="BE212" s="38">
        <f t="shared" si="194"/>
        <v>0.76246382906290366</v>
      </c>
      <c r="BF212" s="38">
        <f t="shared" si="195"/>
        <v>0.42153941464303779</v>
      </c>
      <c r="BG212" s="38">
        <f t="shared" si="196"/>
        <v>0.15792850387456422</v>
      </c>
      <c r="BH212" s="38">
        <f t="shared" si="197"/>
        <v>2.7154080054784088E-2</v>
      </c>
      <c r="BI212" s="38">
        <f t="shared" si="198"/>
        <v>0</v>
      </c>
      <c r="BJ212" s="38">
        <f t="shared" si="199"/>
        <v>0</v>
      </c>
      <c r="BK212" s="38">
        <f t="shared" si="200"/>
        <v>1.1917388207125531E-2</v>
      </c>
      <c r="BL212" s="41">
        <f t="shared" si="201"/>
        <v>4</v>
      </c>
      <c r="BM212" s="42">
        <f t="shared" si="169"/>
        <v>6.0000000000000018</v>
      </c>
      <c r="BN212" s="38">
        <f t="shared" si="202"/>
        <v>2.0704359364385447</v>
      </c>
      <c r="BO212" s="38">
        <f t="shared" si="203"/>
        <v>0.60662199857238608</v>
      </c>
      <c r="BQ212" s="38">
        <f t="shared" si="204"/>
        <v>0.81857523302263646</v>
      </c>
      <c r="BR212" s="38">
        <f t="shared" si="205"/>
        <v>1.1091637456184278E-2</v>
      </c>
      <c r="BS212" s="38">
        <f t="shared" si="206"/>
        <v>7.826598666143586E-2</v>
      </c>
      <c r="BT212" s="38">
        <f t="shared" si="207"/>
        <v>1.3158760444766102E-4</v>
      </c>
      <c r="BU212" s="38">
        <f t="shared" si="208"/>
        <v>0.221294363256785</v>
      </c>
      <c r="BV212" s="38">
        <f t="shared" si="209"/>
        <v>1.026219340287567E-2</v>
      </c>
      <c r="BW212" s="38">
        <f t="shared" si="210"/>
        <v>0.33027295285359803</v>
      </c>
      <c r="BX212" s="38">
        <f t="shared" si="211"/>
        <v>0.18259629101283881</v>
      </c>
      <c r="BY212" s="38">
        <f t="shared" si="212"/>
        <v>6.8409164246531151E-2</v>
      </c>
      <c r="BZ212" s="38">
        <f t="shared" si="213"/>
        <v>1.1762208067940552E-2</v>
      </c>
      <c r="CA212" s="38">
        <f t="shared" si="214"/>
        <v>0</v>
      </c>
      <c r="CB212" s="38">
        <f t="shared" si="215"/>
        <v>0</v>
      </c>
      <c r="CC212" s="38">
        <f t="shared" si="216"/>
        <v>5.1622002820874468E-3</v>
      </c>
      <c r="CD212" s="38">
        <f t="shared" si="217"/>
        <v>1.7326616175852734</v>
      </c>
      <c r="CE212" s="38">
        <f t="shared" si="218"/>
        <v>2.5588604888987567</v>
      </c>
      <c r="CF212" s="38">
        <f t="shared" si="219"/>
        <v>2.3085869505060117</v>
      </c>
      <c r="CG212" s="38">
        <f t="shared" si="220"/>
        <v>5.9073519328371029</v>
      </c>
    </row>
    <row r="213" spans="1:129" ht="15" customHeight="1" x14ac:dyDescent="0.25">
      <c r="A213" s="35" t="s">
        <v>86</v>
      </c>
      <c r="B213" s="15">
        <v>552</v>
      </c>
      <c r="C213" s="102" t="s">
        <v>96</v>
      </c>
      <c r="D213" s="103" t="s">
        <v>105</v>
      </c>
      <c r="E213" s="15">
        <v>63</v>
      </c>
      <c r="F213" s="15" t="s">
        <v>276</v>
      </c>
      <c r="G213" s="16">
        <v>100.54</v>
      </c>
      <c r="H213" s="16">
        <v>0</v>
      </c>
      <c r="I213" s="16">
        <v>5.7000000000000002E-2</v>
      </c>
      <c r="J213" s="16">
        <v>0</v>
      </c>
      <c r="K213" s="16">
        <v>2.8795104832178533E-2</v>
      </c>
      <c r="L213" s="16">
        <v>0</v>
      </c>
      <c r="M213" s="16">
        <v>0</v>
      </c>
      <c r="N213" s="16">
        <v>0</v>
      </c>
      <c r="O213" s="16">
        <v>1.4E-2</v>
      </c>
      <c r="P213" s="16">
        <v>0</v>
      </c>
      <c r="T213" s="16">
        <f t="shared" si="170"/>
        <v>100.63979510483219</v>
      </c>
      <c r="U213" s="16"/>
      <c r="V213" s="16">
        <f t="shared" si="221"/>
        <v>0</v>
      </c>
      <c r="W213" s="16">
        <f t="shared" si="222"/>
        <v>3.2000000000000008E-2</v>
      </c>
      <c r="X213" s="16">
        <f t="shared" si="223"/>
        <v>100.643</v>
      </c>
      <c r="AB213" s="15" t="s">
        <v>277</v>
      </c>
      <c r="AD213" s="15">
        <v>2</v>
      </c>
      <c r="AE213" s="15">
        <v>1</v>
      </c>
      <c r="AG213" s="38">
        <f t="shared" si="171"/>
        <v>0.99931213662764429</v>
      </c>
      <c r="AH213" s="38">
        <f t="shared" si="172"/>
        <v>0</v>
      </c>
      <c r="AI213" s="38">
        <f t="shared" si="173"/>
        <v>6.6767825078619509E-4</v>
      </c>
      <c r="AJ213" s="38">
        <f t="shared" si="174"/>
        <v>0</v>
      </c>
      <c r="AK213" s="38">
        <f t="shared" si="175"/>
        <v>2.3932281170536735E-4</v>
      </c>
      <c r="AL213" s="38">
        <f t="shared" si="176"/>
        <v>0</v>
      </c>
      <c r="AM213" s="38">
        <f t="shared" si="177"/>
        <v>0</v>
      </c>
      <c r="AN213" s="38">
        <f t="shared" si="178"/>
        <v>0</v>
      </c>
      <c r="AO213" s="38">
        <f t="shared" si="179"/>
        <v>2.6977311365359685E-4</v>
      </c>
      <c r="AP213" s="38">
        <f t="shared" si="180"/>
        <v>0</v>
      </c>
      <c r="AQ213" s="38">
        <f t="shared" si="181"/>
        <v>0</v>
      </c>
      <c r="AR213" s="38">
        <f t="shared" si="182"/>
        <v>0</v>
      </c>
      <c r="AS213" s="38">
        <f t="shared" si="183"/>
        <v>0</v>
      </c>
      <c r="AT213" s="39">
        <f t="shared" si="184"/>
        <v>1.0004889108037895</v>
      </c>
      <c r="AU213" s="38">
        <f t="shared" si="185"/>
        <v>0.99997981487843046</v>
      </c>
      <c r="AV213" s="38">
        <f t="shared" si="186"/>
        <v>2.6977311365359685E-4</v>
      </c>
      <c r="AW213" s="40"/>
      <c r="AX213" s="38">
        <f t="shared" si="187"/>
        <v>0.99882380088031197</v>
      </c>
      <c r="AY213" s="38">
        <f t="shared" si="188"/>
        <v>0</v>
      </c>
      <c r="AZ213" s="38">
        <f t="shared" si="189"/>
        <v>6.6735197519559176E-4</v>
      </c>
      <c r="BA213" s="38">
        <f t="shared" si="190"/>
        <v>0</v>
      </c>
      <c r="BB213" s="38">
        <f t="shared" si="191"/>
        <v>0</v>
      </c>
      <c r="BC213" s="38">
        <f t="shared" si="192"/>
        <v>2.3920586137541117E-4</v>
      </c>
      <c r="BD213" s="38">
        <f t="shared" si="193"/>
        <v>0</v>
      </c>
      <c r="BE213" s="38">
        <f t="shared" si="194"/>
        <v>0</v>
      </c>
      <c r="BF213" s="38">
        <f t="shared" si="195"/>
        <v>0</v>
      </c>
      <c r="BG213" s="38">
        <f t="shared" si="196"/>
        <v>2.696412831171333E-4</v>
      </c>
      <c r="BH213" s="38">
        <f t="shared" si="197"/>
        <v>0</v>
      </c>
      <c r="BI213" s="38">
        <f t="shared" si="198"/>
        <v>0</v>
      </c>
      <c r="BJ213" s="38">
        <f t="shared" si="199"/>
        <v>0</v>
      </c>
      <c r="BK213" s="38">
        <f t="shared" si="200"/>
        <v>0</v>
      </c>
      <c r="BL213" s="41">
        <f t="shared" si="201"/>
        <v>1.0000000000000002</v>
      </c>
      <c r="BM213" s="42">
        <f t="shared" si="169"/>
        <v>1.9991422591570389</v>
      </c>
      <c r="BN213" s="38">
        <f t="shared" si="202"/>
        <v>0.9994911528555076</v>
      </c>
      <c r="BO213" s="38">
        <f t="shared" si="203"/>
        <v>2.696412831171333E-4</v>
      </c>
      <c r="BQ213" s="38">
        <f t="shared" si="204"/>
        <v>1.6734354194407459</v>
      </c>
      <c r="BR213" s="38">
        <f t="shared" si="205"/>
        <v>0</v>
      </c>
      <c r="BS213" s="38">
        <f t="shared" si="206"/>
        <v>1.1180855237347982E-3</v>
      </c>
      <c r="BT213" s="38">
        <f t="shared" si="207"/>
        <v>0</v>
      </c>
      <c r="BU213" s="38">
        <f t="shared" si="208"/>
        <v>4.0076694268863656E-4</v>
      </c>
      <c r="BV213" s="38">
        <f t="shared" si="209"/>
        <v>0</v>
      </c>
      <c r="BW213" s="38">
        <f t="shared" si="210"/>
        <v>0</v>
      </c>
      <c r="BX213" s="38">
        <f t="shared" si="211"/>
        <v>0</v>
      </c>
      <c r="BY213" s="38">
        <f t="shared" si="212"/>
        <v>4.5175863181671512E-4</v>
      </c>
      <c r="BZ213" s="38">
        <f t="shared" si="213"/>
        <v>0</v>
      </c>
      <c r="CA213" s="38">
        <f t="shared" si="214"/>
        <v>0</v>
      </c>
      <c r="CB213" s="38">
        <f t="shared" si="215"/>
        <v>0</v>
      </c>
      <c r="CC213" s="38">
        <f t="shared" si="216"/>
        <v>0</v>
      </c>
      <c r="CD213" s="38">
        <f t="shared" si="217"/>
        <v>1.675406030538986</v>
      </c>
      <c r="CE213" s="38">
        <f t="shared" si="218"/>
        <v>3.3491746134256908</v>
      </c>
      <c r="CF213" s="38">
        <f t="shared" si="219"/>
        <v>0.59687024027142566</v>
      </c>
      <c r="CG213" s="38">
        <f t="shared" si="220"/>
        <v>1.9990226562263511</v>
      </c>
    </row>
    <row r="214" spans="1:129" ht="15" customHeight="1" x14ac:dyDescent="0.25">
      <c r="A214" s="35" t="s">
        <v>86</v>
      </c>
      <c r="B214" s="15">
        <v>593</v>
      </c>
      <c r="C214" s="102" t="s">
        <v>96</v>
      </c>
      <c r="D214" s="103" t="s">
        <v>105</v>
      </c>
      <c r="E214" s="15">
        <v>104</v>
      </c>
      <c r="F214" s="15" t="s">
        <v>276</v>
      </c>
      <c r="G214" s="16">
        <v>100.66</v>
      </c>
      <c r="H214" s="16">
        <v>0</v>
      </c>
      <c r="I214" s="16">
        <v>5.6000000000000001E-2</v>
      </c>
      <c r="J214" s="16">
        <v>0</v>
      </c>
      <c r="K214" s="16">
        <v>3.9593269144245477E-2</v>
      </c>
      <c r="L214" s="16">
        <v>0</v>
      </c>
      <c r="M214" s="16">
        <v>0</v>
      </c>
      <c r="N214" s="16">
        <v>6.3E-2</v>
      </c>
      <c r="O214" s="16">
        <v>8.0000000000000002E-3</v>
      </c>
      <c r="P214" s="16">
        <v>2.7E-2</v>
      </c>
      <c r="T214" s="16">
        <f t="shared" si="170"/>
        <v>100.85359326914424</v>
      </c>
      <c r="U214" s="16"/>
      <c r="V214" s="16">
        <f t="shared" si="221"/>
        <v>0</v>
      </c>
      <c r="W214" s="16">
        <f t="shared" si="222"/>
        <v>4.3999999999999997E-2</v>
      </c>
      <c r="X214" s="16">
        <f t="shared" si="223"/>
        <v>100.85799999999999</v>
      </c>
      <c r="Y214" s="15">
        <v>2</v>
      </c>
      <c r="Z214" s="15">
        <v>16</v>
      </c>
      <c r="AB214" s="15" t="s">
        <v>277</v>
      </c>
      <c r="AD214" s="15">
        <v>2</v>
      </c>
      <c r="AE214" s="15">
        <v>1</v>
      </c>
      <c r="AG214" s="38">
        <f t="shared" si="171"/>
        <v>0.99888575418021752</v>
      </c>
      <c r="AH214" s="38">
        <f t="shared" si="172"/>
        <v>0</v>
      </c>
      <c r="AI214" s="38">
        <f t="shared" si="173"/>
        <v>6.5490305026921552E-4</v>
      </c>
      <c r="AJ214" s="38">
        <f t="shared" si="174"/>
        <v>0</v>
      </c>
      <c r="AK214" s="38">
        <f t="shared" si="175"/>
        <v>3.2853633420639757E-4</v>
      </c>
      <c r="AL214" s="38">
        <f t="shared" si="176"/>
        <v>0</v>
      </c>
      <c r="AM214" s="38">
        <f t="shared" si="177"/>
        <v>0</v>
      </c>
      <c r="AN214" s="38">
        <f t="shared" si="178"/>
        <v>6.6976332365487122E-4</v>
      </c>
      <c r="AO214" s="38">
        <f t="shared" si="179"/>
        <v>1.5390659430564976E-4</v>
      </c>
      <c r="AP214" s="38">
        <f t="shared" si="180"/>
        <v>3.4176821829449657E-4</v>
      </c>
      <c r="AQ214" s="38">
        <f t="shared" si="181"/>
        <v>0</v>
      </c>
      <c r="AR214" s="38">
        <f t="shared" si="182"/>
        <v>0</v>
      </c>
      <c r="AS214" s="38">
        <f t="shared" si="183"/>
        <v>0</v>
      </c>
      <c r="AT214" s="39">
        <f t="shared" si="184"/>
        <v>1.0010346317009482</v>
      </c>
      <c r="AU214" s="38">
        <f t="shared" si="185"/>
        <v>0.99954065723048668</v>
      </c>
      <c r="AV214" s="38">
        <f t="shared" si="186"/>
        <v>1.1654381362550174E-3</v>
      </c>
      <c r="AW214" s="40"/>
      <c r="AX214" s="38">
        <f t="shared" si="187"/>
        <v>0.99785334347815813</v>
      </c>
      <c r="AY214" s="38">
        <f t="shared" si="188"/>
        <v>0</v>
      </c>
      <c r="AZ214" s="38">
        <f t="shared" si="189"/>
        <v>6.5422616713710574E-4</v>
      </c>
      <c r="BA214" s="38">
        <f t="shared" si="190"/>
        <v>0</v>
      </c>
      <c r="BB214" s="38">
        <f t="shared" si="191"/>
        <v>0</v>
      </c>
      <c r="BC214" s="38">
        <f t="shared" si="192"/>
        <v>3.2819677142253501E-4</v>
      </c>
      <c r="BD214" s="38">
        <f t="shared" si="193"/>
        <v>0</v>
      </c>
      <c r="BE214" s="38">
        <f t="shared" si="194"/>
        <v>0</v>
      </c>
      <c r="BF214" s="38">
        <f t="shared" si="195"/>
        <v>6.6907108150375994E-4</v>
      </c>
      <c r="BG214" s="38">
        <f t="shared" si="196"/>
        <v>1.5374752224519268E-4</v>
      </c>
      <c r="BH214" s="38">
        <f t="shared" si="197"/>
        <v>3.4141497953349274E-4</v>
      </c>
      <c r="BI214" s="38">
        <f t="shared" si="198"/>
        <v>0</v>
      </c>
      <c r="BJ214" s="38">
        <f t="shared" si="199"/>
        <v>0</v>
      </c>
      <c r="BK214" s="38">
        <f t="shared" si="200"/>
        <v>0</v>
      </c>
      <c r="BL214" s="41">
        <f t="shared" si="201"/>
        <v>1</v>
      </c>
      <c r="BM214" s="42">
        <f t="shared" si="169"/>
        <v>1.9980969736965488</v>
      </c>
      <c r="BN214" s="38">
        <f t="shared" si="202"/>
        <v>0.99850756964529519</v>
      </c>
      <c r="BO214" s="38">
        <f t="shared" si="203"/>
        <v>1.1642335832824453E-3</v>
      </c>
      <c r="BQ214" s="38">
        <f t="shared" si="204"/>
        <v>1.6754327563249001</v>
      </c>
      <c r="BR214" s="38">
        <f t="shared" si="205"/>
        <v>0</v>
      </c>
      <c r="BS214" s="38">
        <f t="shared" si="206"/>
        <v>1.0984699882306789E-3</v>
      </c>
      <c r="BT214" s="38">
        <f t="shared" si="207"/>
        <v>0</v>
      </c>
      <c r="BU214" s="38">
        <f t="shared" si="208"/>
        <v>5.510545461968752E-4</v>
      </c>
      <c r="BV214" s="38">
        <f t="shared" si="209"/>
        <v>0</v>
      </c>
      <c r="BW214" s="38">
        <f t="shared" si="210"/>
        <v>0</v>
      </c>
      <c r="BX214" s="38">
        <f t="shared" si="211"/>
        <v>1.1233951497860201E-3</v>
      </c>
      <c r="BY214" s="38">
        <f t="shared" si="212"/>
        <v>2.5814778960955148E-4</v>
      </c>
      <c r="BZ214" s="38">
        <f t="shared" si="213"/>
        <v>5.7324840764331206E-4</v>
      </c>
      <c r="CA214" s="38">
        <f t="shared" si="214"/>
        <v>0</v>
      </c>
      <c r="CB214" s="38">
        <f t="shared" si="215"/>
        <v>0</v>
      </c>
      <c r="CC214" s="38">
        <f t="shared" si="216"/>
        <v>0</v>
      </c>
      <c r="CD214" s="38">
        <f t="shared" si="217"/>
        <v>1.6790370722063663</v>
      </c>
      <c r="CE214" s="38">
        <f t="shared" si="218"/>
        <v>3.3546033654267555</v>
      </c>
      <c r="CF214" s="38">
        <f t="shared" si="219"/>
        <v>0.59557946429731512</v>
      </c>
      <c r="CG214" s="38">
        <f t="shared" si="220"/>
        <v>1.9979328753108374</v>
      </c>
    </row>
    <row r="215" spans="1:129" ht="15" customHeight="1" x14ac:dyDescent="0.25">
      <c r="A215" s="35" t="s">
        <v>254</v>
      </c>
      <c r="B215" s="15">
        <v>701</v>
      </c>
      <c r="C215" s="102" t="s">
        <v>95</v>
      </c>
      <c r="D215" s="103" t="s">
        <v>106</v>
      </c>
      <c r="E215" s="15">
        <v>212</v>
      </c>
      <c r="F215" s="15" t="s">
        <v>270</v>
      </c>
      <c r="G215" s="16">
        <v>51.09</v>
      </c>
      <c r="H215" s="16">
        <v>1.1200000000000001</v>
      </c>
      <c r="I215" s="16">
        <v>3.74</v>
      </c>
      <c r="J215" s="16">
        <v>1.9E-2</v>
      </c>
      <c r="K215" s="16">
        <v>9.93</v>
      </c>
      <c r="L215" s="16">
        <v>0.25700000000000001</v>
      </c>
      <c r="M215" s="16">
        <v>17.48</v>
      </c>
      <c r="N215" s="16">
        <v>10.81</v>
      </c>
      <c r="O215" s="16">
        <v>2.0499999999999998</v>
      </c>
      <c r="P215" s="16">
        <v>0.41599999999999998</v>
      </c>
      <c r="Q215" s="16">
        <v>0</v>
      </c>
      <c r="S215" s="16">
        <v>0</v>
      </c>
      <c r="T215" s="16">
        <f t="shared" si="170"/>
        <v>96.912000000000006</v>
      </c>
      <c r="U215" s="16"/>
      <c r="V215" s="16">
        <f t="shared" si="221"/>
        <v>6.0563732903128118</v>
      </c>
      <c r="W215" s="16">
        <f t="shared" si="222"/>
        <v>4.3047613624753716</v>
      </c>
      <c r="X215" s="16">
        <f t="shared" si="223"/>
        <v>97.34313465278818</v>
      </c>
      <c r="AD215" s="15">
        <v>6</v>
      </c>
      <c r="AE215" s="15">
        <v>4</v>
      </c>
      <c r="AG215" s="38">
        <f t="shared" si="171"/>
        <v>1.9289834856760399</v>
      </c>
      <c r="AH215" s="38">
        <f t="shared" si="172"/>
        <v>3.180551977843122E-2</v>
      </c>
      <c r="AI215" s="38">
        <f t="shared" si="173"/>
        <v>0.16641570224370306</v>
      </c>
      <c r="AJ215" s="38">
        <f t="shared" si="174"/>
        <v>5.671410886773638E-4</v>
      </c>
      <c r="AK215" s="38">
        <f t="shared" si="175"/>
        <v>0.31350538640294484</v>
      </c>
      <c r="AL215" s="38">
        <f t="shared" si="176"/>
        <v>8.2179684594448407E-3</v>
      </c>
      <c r="AM215" s="38">
        <f t="shared" si="177"/>
        <v>0.98391801665789991</v>
      </c>
      <c r="AN215" s="38">
        <f t="shared" si="178"/>
        <v>0.43726047266868012</v>
      </c>
      <c r="AO215" s="38">
        <f t="shared" si="179"/>
        <v>0.15005650111202995</v>
      </c>
      <c r="AP215" s="38">
        <f t="shared" si="180"/>
        <v>2.0035258695004006E-2</v>
      </c>
      <c r="AQ215" s="38">
        <f t="shared" si="181"/>
        <v>0</v>
      </c>
      <c r="AR215" s="38">
        <f t="shared" si="182"/>
        <v>0</v>
      </c>
      <c r="AS215" s="38">
        <f t="shared" si="183"/>
        <v>0</v>
      </c>
      <c r="AT215" s="39">
        <f t="shared" si="184"/>
        <v>4.0407654527828551</v>
      </c>
      <c r="AU215" s="38">
        <f t="shared" si="185"/>
        <v>2.0953991879197429</v>
      </c>
      <c r="AV215" s="38">
        <f t="shared" si="186"/>
        <v>0.60735223247571402</v>
      </c>
      <c r="AW215" s="40"/>
      <c r="AX215" s="38">
        <f t="shared" si="187"/>
        <v>1.9095228448338257</v>
      </c>
      <c r="AY215" s="38">
        <f t="shared" si="188"/>
        <v>3.14846482925921E-2</v>
      </c>
      <c r="AZ215" s="38">
        <f t="shared" si="189"/>
        <v>0.16473680958551393</v>
      </c>
      <c r="BA215" s="38">
        <f t="shared" si="190"/>
        <v>5.6141945906489229E-4</v>
      </c>
      <c r="BB215" s="38">
        <f t="shared" si="191"/>
        <v>0.18928000675980361</v>
      </c>
      <c r="BC215" s="38">
        <f t="shared" si="192"/>
        <v>0.12106256577138375</v>
      </c>
      <c r="BD215" s="38">
        <f t="shared" si="193"/>
        <v>8.1350610971841139E-3</v>
      </c>
      <c r="BE215" s="38">
        <f t="shared" si="194"/>
        <v>0.97399171335745849</v>
      </c>
      <c r="BF215" s="38">
        <f t="shared" si="195"/>
        <v>0.43284914977437355</v>
      </c>
      <c r="BG215" s="38">
        <f t="shared" si="196"/>
        <v>0.14854264902575501</v>
      </c>
      <c r="BH215" s="38">
        <f t="shared" si="197"/>
        <v>1.9833132043044786E-2</v>
      </c>
      <c r="BI215" s="38">
        <f t="shared" si="198"/>
        <v>0</v>
      </c>
      <c r="BJ215" s="38">
        <f t="shared" si="199"/>
        <v>0</v>
      </c>
      <c r="BK215" s="38">
        <f t="shared" si="200"/>
        <v>0</v>
      </c>
      <c r="BL215" s="41">
        <f t="shared" si="201"/>
        <v>3.9999999999999996</v>
      </c>
      <c r="BM215" s="42">
        <f t="shared" si="169"/>
        <v>5.9999999999999991</v>
      </c>
      <c r="BN215" s="38">
        <f t="shared" si="202"/>
        <v>2.0742596544193397</v>
      </c>
      <c r="BO215" s="38">
        <f t="shared" si="203"/>
        <v>0.60122493084317341</v>
      </c>
      <c r="BQ215" s="38">
        <f t="shared" si="204"/>
        <v>0.85036617842876172</v>
      </c>
      <c r="BR215" s="38">
        <f t="shared" si="205"/>
        <v>1.4021031547320983E-2</v>
      </c>
      <c r="BS215" s="38">
        <f t="shared" si="206"/>
        <v>7.3362102785406044E-2</v>
      </c>
      <c r="BT215" s="38">
        <f t="shared" si="207"/>
        <v>2.5001644845055592E-4</v>
      </c>
      <c r="BU215" s="38">
        <f t="shared" si="208"/>
        <v>0.13820459290187892</v>
      </c>
      <c r="BV215" s="38">
        <f t="shared" si="209"/>
        <v>3.6227798139272628E-3</v>
      </c>
      <c r="BW215" s="38">
        <f t="shared" si="210"/>
        <v>0.43374689826302731</v>
      </c>
      <c r="BX215" s="38">
        <f t="shared" si="211"/>
        <v>0.19276034236804565</v>
      </c>
      <c r="BY215" s="38">
        <f t="shared" si="212"/>
        <v>6.6150371087447563E-2</v>
      </c>
      <c r="BZ215" s="38">
        <f t="shared" si="213"/>
        <v>8.8322717622080667E-3</v>
      </c>
      <c r="CA215" s="38">
        <f t="shared" si="214"/>
        <v>0</v>
      </c>
      <c r="CB215" s="38">
        <f t="shared" si="215"/>
        <v>0</v>
      </c>
      <c r="CC215" s="38">
        <f t="shared" si="216"/>
        <v>0</v>
      </c>
      <c r="CD215" s="38">
        <f t="shared" si="217"/>
        <v>1.7813165854064741</v>
      </c>
      <c r="CE215" s="38">
        <f t="shared" si="218"/>
        <v>2.6450185335746577</v>
      </c>
      <c r="CF215" s="38">
        <f t="shared" si="219"/>
        <v>2.2455300942966576</v>
      </c>
      <c r="CG215" s="38">
        <f t="shared" si="220"/>
        <v>5.9394687171143081</v>
      </c>
    </row>
    <row r="216" spans="1:129" ht="15" customHeight="1" x14ac:dyDescent="0.25">
      <c r="A216" s="35" t="s">
        <v>254</v>
      </c>
      <c r="B216" s="15">
        <v>705</v>
      </c>
      <c r="C216" s="102" t="s">
        <v>95</v>
      </c>
      <c r="D216" s="103" t="s">
        <v>106</v>
      </c>
      <c r="E216" s="15">
        <v>216</v>
      </c>
      <c r="F216" s="15" t="s">
        <v>278</v>
      </c>
      <c r="G216" s="16">
        <v>0.247</v>
      </c>
      <c r="H216" s="16">
        <v>0</v>
      </c>
      <c r="I216" s="16">
        <v>1.2999999999999999E-2</v>
      </c>
      <c r="J216" s="16">
        <v>0</v>
      </c>
      <c r="K216" s="16">
        <v>0.28799999999999998</v>
      </c>
      <c r="L216" s="16">
        <v>6.4000000000000001E-2</v>
      </c>
      <c r="M216" s="16">
        <v>0.13700000000000001</v>
      </c>
      <c r="N216" s="16">
        <v>53.62</v>
      </c>
      <c r="O216" s="16">
        <v>5.3999999999999999E-2</v>
      </c>
      <c r="P216" s="16">
        <v>2.1999999999999999E-2</v>
      </c>
      <c r="Q216" s="16">
        <v>0</v>
      </c>
      <c r="S216" s="16">
        <v>0</v>
      </c>
      <c r="T216" s="16">
        <f t="shared" si="170"/>
        <v>54.445</v>
      </c>
      <c r="U216" s="16"/>
      <c r="V216" s="16" t="e">
        <f t="shared" si="221"/>
        <v>#VALUE!</v>
      </c>
      <c r="W216" s="16" t="e">
        <f t="shared" si="222"/>
        <v>#VALUE!</v>
      </c>
      <c r="X216" s="16" t="e">
        <f t="shared" si="223"/>
        <v>#VALUE!</v>
      </c>
      <c r="AB216" s="15" t="s">
        <v>185</v>
      </c>
      <c r="AG216" s="38">
        <f t="shared" si="171"/>
        <v>0</v>
      </c>
      <c r="AH216" s="38">
        <f t="shared" si="172"/>
        <v>0</v>
      </c>
      <c r="AI216" s="38">
        <f t="shared" si="173"/>
        <v>0</v>
      </c>
      <c r="AJ216" s="38">
        <f t="shared" si="174"/>
        <v>0</v>
      </c>
      <c r="AK216" s="38">
        <f t="shared" si="175"/>
        <v>0</v>
      </c>
      <c r="AL216" s="38">
        <f t="shared" si="176"/>
        <v>0</v>
      </c>
      <c r="AM216" s="38">
        <f t="shared" si="177"/>
        <v>0</v>
      </c>
      <c r="AN216" s="38">
        <f t="shared" si="178"/>
        <v>0</v>
      </c>
      <c r="AO216" s="38">
        <f t="shared" si="179"/>
        <v>0</v>
      </c>
      <c r="AP216" s="38">
        <f t="shared" si="180"/>
        <v>0</v>
      </c>
      <c r="AQ216" s="38">
        <f t="shared" si="181"/>
        <v>0</v>
      </c>
      <c r="AR216" s="38">
        <f t="shared" si="182"/>
        <v>0</v>
      </c>
      <c r="AS216" s="38">
        <f t="shared" si="183"/>
        <v>0</v>
      </c>
      <c r="AT216" s="39">
        <f t="shared" si="184"/>
        <v>0</v>
      </c>
      <c r="AU216" s="38">
        <f t="shared" si="185"/>
        <v>0</v>
      </c>
      <c r="AV216" s="38">
        <f t="shared" si="186"/>
        <v>0</v>
      </c>
      <c r="AW216" s="40"/>
      <c r="AX216" s="38" t="str">
        <f t="shared" si="187"/>
        <v/>
      </c>
      <c r="AY216" s="38" t="str">
        <f t="shared" si="188"/>
        <v/>
      </c>
      <c r="AZ216" s="38" t="str">
        <f t="shared" si="189"/>
        <v/>
      </c>
      <c r="BA216" s="38" t="str">
        <f t="shared" si="190"/>
        <v/>
      </c>
      <c r="BB216" s="38" t="str">
        <f t="shared" si="191"/>
        <v/>
      </c>
      <c r="BC216" s="38" t="str">
        <f t="shared" si="192"/>
        <v/>
      </c>
      <c r="BD216" s="38" t="str">
        <f t="shared" si="193"/>
        <v/>
      </c>
      <c r="BE216" s="38" t="str">
        <f t="shared" si="194"/>
        <v/>
      </c>
      <c r="BF216" s="38" t="str">
        <f t="shared" si="195"/>
        <v/>
      </c>
      <c r="BG216" s="38" t="str">
        <f t="shared" si="196"/>
        <v/>
      </c>
      <c r="BH216" s="38" t="str">
        <f t="shared" si="197"/>
        <v/>
      </c>
      <c r="BI216" s="38" t="str">
        <f t="shared" si="198"/>
        <v/>
      </c>
      <c r="BJ216" s="38" t="str">
        <f t="shared" si="199"/>
        <v/>
      </c>
      <c r="BK216" s="38" t="str">
        <f t="shared" si="200"/>
        <v/>
      </c>
      <c r="BL216" s="41" t="str">
        <f t="shared" si="201"/>
        <v/>
      </c>
      <c r="BN216" s="38" t="str">
        <f t="shared" si="202"/>
        <v/>
      </c>
      <c r="BO216" s="38" t="str">
        <f t="shared" si="203"/>
        <v/>
      </c>
      <c r="BQ216" s="38">
        <f t="shared" si="204"/>
        <v>4.1111850865512651E-3</v>
      </c>
      <c r="BR216" s="38">
        <f t="shared" si="205"/>
        <v>0</v>
      </c>
      <c r="BS216" s="38">
        <f t="shared" si="206"/>
        <v>2.5500196155355041E-4</v>
      </c>
      <c r="BT216" s="38">
        <f t="shared" si="207"/>
        <v>0</v>
      </c>
      <c r="BU216" s="38">
        <f t="shared" si="208"/>
        <v>4.0083507306889355E-3</v>
      </c>
      <c r="BV216" s="38">
        <f t="shared" si="209"/>
        <v>9.0217084860445449E-4</v>
      </c>
      <c r="BW216" s="38">
        <f t="shared" si="210"/>
        <v>3.3995037220843679E-3</v>
      </c>
      <c r="BX216" s="38">
        <f t="shared" si="211"/>
        <v>0.95613409415121253</v>
      </c>
      <c r="BY216" s="38">
        <f t="shared" si="212"/>
        <v>1.7424975798644724E-3</v>
      </c>
      <c r="BZ216" s="38">
        <f t="shared" si="213"/>
        <v>4.6709129511677281E-4</v>
      </c>
      <c r="CA216" s="38">
        <f t="shared" si="214"/>
        <v>0</v>
      </c>
      <c r="CB216" s="38">
        <f t="shared" si="215"/>
        <v>0</v>
      </c>
      <c r="CC216" s="38">
        <f t="shared" si="216"/>
        <v>0</v>
      </c>
      <c r="CD216" s="38">
        <f t="shared" si="217"/>
        <v>0.97101989537567635</v>
      </c>
      <c r="CE216" s="38">
        <f t="shared" si="218"/>
        <v>0.9741537870055138</v>
      </c>
      <c r="CF216" s="38">
        <f t="shared" si="219"/>
        <v>0</v>
      </c>
      <c r="CG216" s="38">
        <f t="shared" si="220"/>
        <v>0</v>
      </c>
    </row>
    <row r="217" spans="1:129" ht="15" customHeight="1" x14ac:dyDescent="0.25">
      <c r="A217" s="35" t="s">
        <v>254</v>
      </c>
      <c r="B217" s="15">
        <v>706</v>
      </c>
      <c r="C217" s="102" t="s">
        <v>95</v>
      </c>
      <c r="D217" s="103" t="s">
        <v>106</v>
      </c>
      <c r="E217" s="15">
        <v>217</v>
      </c>
      <c r="F217" s="15" t="s">
        <v>279</v>
      </c>
      <c r="G217" s="16">
        <v>2.33</v>
      </c>
      <c r="H217" s="16">
        <v>44.06</v>
      </c>
      <c r="I217" s="16">
        <v>0.14000000000000001</v>
      </c>
      <c r="J217" s="16">
        <v>1.7000000000000001E-2</v>
      </c>
      <c r="K217" s="16">
        <v>41.29</v>
      </c>
      <c r="L217" s="16">
        <v>0.32800000000000001</v>
      </c>
      <c r="M217" s="16">
        <v>3.2</v>
      </c>
      <c r="N217" s="16">
        <v>5.6000000000000001E-2</v>
      </c>
      <c r="O217" s="16">
        <v>2.8000000000000001E-2</v>
      </c>
      <c r="P217" s="16">
        <v>2.3E-2</v>
      </c>
      <c r="Q217" s="16">
        <v>0</v>
      </c>
      <c r="T217" s="16">
        <f t="shared" si="170"/>
        <v>91.472000000000008</v>
      </c>
      <c r="U217" s="16"/>
      <c r="V217" s="16">
        <f t="shared" si="221"/>
        <v>36.108120144716644</v>
      </c>
      <c r="W217" s="16">
        <f t="shared" si="222"/>
        <v>5.7586230831763894</v>
      </c>
      <c r="X217" s="16">
        <f t="shared" si="223"/>
        <v>92.048743227893027</v>
      </c>
      <c r="AD217" s="15">
        <v>3</v>
      </c>
      <c r="AE217" s="15">
        <v>2</v>
      </c>
      <c r="AG217" s="38">
        <f t="shared" si="171"/>
        <v>6.3040252909448563E-2</v>
      </c>
      <c r="AH217" s="38">
        <f t="shared" si="172"/>
        <v>0.89659928129787747</v>
      </c>
      <c r="AI217" s="38">
        <f t="shared" si="173"/>
        <v>4.4639585604718656E-3</v>
      </c>
      <c r="AJ217" s="38">
        <f t="shared" si="174"/>
        <v>3.6362677300372644E-4</v>
      </c>
      <c r="AK217" s="38">
        <f t="shared" si="175"/>
        <v>0.93413589423171395</v>
      </c>
      <c r="AL217" s="38">
        <f t="shared" si="176"/>
        <v>7.5157895234822863E-3</v>
      </c>
      <c r="AM217" s="38">
        <f t="shared" si="177"/>
        <v>0.1290734391565293</v>
      </c>
      <c r="AN217" s="38">
        <f t="shared" si="178"/>
        <v>1.6231997675667312E-3</v>
      </c>
      <c r="AO217" s="38">
        <f t="shared" si="179"/>
        <v>1.4686841394827733E-3</v>
      </c>
      <c r="AP217" s="38">
        <f t="shared" si="180"/>
        <v>7.9377767220134684E-4</v>
      </c>
      <c r="AQ217" s="38">
        <f t="shared" si="181"/>
        <v>0</v>
      </c>
      <c r="AR217" s="38">
        <f t="shared" si="182"/>
        <v>0</v>
      </c>
      <c r="AS217" s="38">
        <f t="shared" si="183"/>
        <v>0</v>
      </c>
      <c r="AT217" s="39">
        <f t="shared" si="184"/>
        <v>2.0390779040317786</v>
      </c>
      <c r="AU217" s="38">
        <f t="shared" si="185"/>
        <v>6.750421146992043E-2</v>
      </c>
      <c r="AV217" s="38">
        <f t="shared" si="186"/>
        <v>3.8856615792508512E-3</v>
      </c>
      <c r="AW217" s="40"/>
      <c r="AX217" s="38">
        <f t="shared" si="187"/>
        <v>6.1832118120452265E-2</v>
      </c>
      <c r="AY217" s="38">
        <f t="shared" si="188"/>
        <v>0.87941640633256002</v>
      </c>
      <c r="AZ217" s="38">
        <f t="shared" si="189"/>
        <v>4.3784090364036403E-3</v>
      </c>
      <c r="BA217" s="38">
        <f t="shared" si="190"/>
        <v>3.5665804850785088E-4</v>
      </c>
      <c r="BB217" s="38">
        <f t="shared" si="191"/>
        <v>0.80124666205362116</v>
      </c>
      <c r="BC217" s="38">
        <f t="shared" si="192"/>
        <v>0.11498698687630804</v>
      </c>
      <c r="BD217" s="38">
        <f t="shared" si="193"/>
        <v>7.3717531915986631E-3</v>
      </c>
      <c r="BE217" s="38">
        <f t="shared" si="194"/>
        <v>0.12659981151413405</v>
      </c>
      <c r="BF217" s="38">
        <f t="shared" si="195"/>
        <v>1.5920919591715945E-3</v>
      </c>
      <c r="BG217" s="38">
        <f t="shared" si="196"/>
        <v>1.4405375455040824E-3</v>
      </c>
      <c r="BH217" s="38">
        <f t="shared" si="197"/>
        <v>7.7856532173865996E-4</v>
      </c>
      <c r="BI217" s="38">
        <f t="shared" si="198"/>
        <v>0</v>
      </c>
      <c r="BJ217" s="38">
        <f t="shared" si="199"/>
        <v>0</v>
      </c>
      <c r="BK217" s="38">
        <f t="shared" si="200"/>
        <v>0</v>
      </c>
      <c r="BL217" s="41">
        <f t="shared" si="201"/>
        <v>2</v>
      </c>
      <c r="BM217" s="42">
        <f t="shared" ref="BM217:BM248" si="224">(AX217+AY217)*2+(AZ217+BA217+BC217)*1.5+BB217+BD217+BE217+BF217+(BG217+BH217)*0.5+BI217*2.5+BJ217*3  -(0.5*(BK217))</f>
        <v>3.0000000000000013</v>
      </c>
      <c r="BN217" s="38">
        <f t="shared" si="202"/>
        <v>6.6210527156855908E-2</v>
      </c>
      <c r="BO217" s="38">
        <f t="shared" si="203"/>
        <v>3.8111948264143367E-3</v>
      </c>
      <c r="BQ217" s="38">
        <f t="shared" si="204"/>
        <v>3.878162450066578E-2</v>
      </c>
      <c r="BR217" s="38">
        <f t="shared" si="205"/>
        <v>0.5515773660490737</v>
      </c>
      <c r="BS217" s="38">
        <f t="shared" si="206"/>
        <v>2.7461749705766972E-3</v>
      </c>
      <c r="BT217" s="38">
        <f t="shared" si="207"/>
        <v>2.2369892756102374E-4</v>
      </c>
      <c r="BU217" s="38">
        <f t="shared" si="208"/>
        <v>0.57466945024356297</v>
      </c>
      <c r="BV217" s="38">
        <f t="shared" si="209"/>
        <v>4.6236255990978296E-3</v>
      </c>
      <c r="BW217" s="38">
        <f t="shared" si="210"/>
        <v>7.9404466501240709E-2</v>
      </c>
      <c r="BX217" s="38">
        <f t="shared" si="211"/>
        <v>9.9857346647646227E-4</v>
      </c>
      <c r="BY217" s="38">
        <f t="shared" si="212"/>
        <v>9.0351726363343025E-4</v>
      </c>
      <c r="BZ217" s="38">
        <f t="shared" si="213"/>
        <v>4.883227176220807E-4</v>
      </c>
      <c r="CA217" s="38">
        <f t="shared" si="214"/>
        <v>0</v>
      </c>
      <c r="CB217" s="38">
        <f t="shared" si="215"/>
        <v>0</v>
      </c>
      <c r="CC217" s="38">
        <f t="shared" si="216"/>
        <v>0</v>
      </c>
      <c r="CD217" s="38">
        <f t="shared" si="217"/>
        <v>1.2544168202395107</v>
      </c>
      <c r="CE217" s="38">
        <f t="shared" si="218"/>
        <v>1.8455648277476915</v>
      </c>
      <c r="CF217" s="38">
        <f t="shared" si="219"/>
        <v>1.5943663762561253</v>
      </c>
      <c r="CG217" s="38">
        <f t="shared" si="220"/>
        <v>2.942506506561847</v>
      </c>
    </row>
    <row r="218" spans="1:129" ht="15" customHeight="1" x14ac:dyDescent="0.25">
      <c r="A218" s="35" t="s">
        <v>254</v>
      </c>
      <c r="B218" s="15">
        <v>715</v>
      </c>
      <c r="C218" s="102" t="s">
        <v>95</v>
      </c>
      <c r="D218" s="103" t="s">
        <v>106</v>
      </c>
      <c r="E218" s="15">
        <v>226</v>
      </c>
      <c r="F218" s="15" t="s">
        <v>270</v>
      </c>
      <c r="G218" s="16">
        <v>54.24</v>
      </c>
      <c r="H218" s="16">
        <v>0.13600000000000001</v>
      </c>
      <c r="I218" s="16">
        <v>0.42799999999999999</v>
      </c>
      <c r="J218" s="16">
        <v>0</v>
      </c>
      <c r="K218" s="16">
        <v>13.64</v>
      </c>
      <c r="L218" s="16">
        <v>0.55600000000000005</v>
      </c>
      <c r="M218" s="16">
        <v>17.48</v>
      </c>
      <c r="N218" s="16">
        <v>12.26</v>
      </c>
      <c r="O218" s="16">
        <v>0.4</v>
      </c>
      <c r="P218" s="16">
        <v>0</v>
      </c>
      <c r="Q218" s="16">
        <v>0</v>
      </c>
      <c r="S218" s="16">
        <v>0</v>
      </c>
      <c r="T218" s="16">
        <f t="shared" si="170"/>
        <v>99.140000000000015</v>
      </c>
      <c r="U218" s="16"/>
      <c r="V218" s="16">
        <f t="shared" si="221"/>
        <v>13.64</v>
      </c>
      <c r="W218" s="16">
        <f t="shared" si="222"/>
        <v>0</v>
      </c>
      <c r="X218" s="16">
        <f t="shared" si="223"/>
        <v>99.14</v>
      </c>
      <c r="AD218" s="15">
        <v>6</v>
      </c>
      <c r="AE218" s="15">
        <v>4</v>
      </c>
      <c r="AG218" s="38">
        <f t="shared" si="171"/>
        <v>2.022630781678763</v>
      </c>
      <c r="AH218" s="38">
        <f t="shared" si="172"/>
        <v>3.8144129453313845E-3</v>
      </c>
      <c r="AI218" s="38">
        <f t="shared" si="173"/>
        <v>1.8809220311205428E-2</v>
      </c>
      <c r="AJ218" s="38">
        <f t="shared" si="174"/>
        <v>0</v>
      </c>
      <c r="AK218" s="38">
        <f t="shared" si="175"/>
        <v>0.42531867604452583</v>
      </c>
      <c r="AL218" s="38">
        <f t="shared" si="176"/>
        <v>1.755943197406129E-2</v>
      </c>
      <c r="AM218" s="38">
        <f t="shared" si="177"/>
        <v>0.97176944062131088</v>
      </c>
      <c r="AN218" s="38">
        <f t="shared" si="178"/>
        <v>0.48978933095261107</v>
      </c>
      <c r="AO218" s="38">
        <f t="shared" si="179"/>
        <v>2.891780138498861E-2</v>
      </c>
      <c r="AP218" s="38">
        <f t="shared" si="180"/>
        <v>0</v>
      </c>
      <c r="AQ218" s="38">
        <f t="shared" si="181"/>
        <v>0</v>
      </c>
      <c r="AR218" s="38">
        <f t="shared" si="182"/>
        <v>0</v>
      </c>
      <c r="AS218" s="38">
        <f t="shared" si="183"/>
        <v>0</v>
      </c>
      <c r="AT218" s="39">
        <f t="shared" si="184"/>
        <v>3.9786090959127973</v>
      </c>
      <c r="AU218" s="38">
        <f t="shared" si="185"/>
        <v>2.0414400019899683</v>
      </c>
      <c r="AV218" s="38">
        <f t="shared" si="186"/>
        <v>0.51870713233759969</v>
      </c>
      <c r="AW218" s="40"/>
      <c r="AX218" s="38">
        <f t="shared" si="187"/>
        <v>2.0335054114832243</v>
      </c>
      <c r="AY218" s="38">
        <f t="shared" si="188"/>
        <v>3.8349210524350427E-3</v>
      </c>
      <c r="AZ218" s="38">
        <f t="shared" si="189"/>
        <v>1.8910347669519014E-2</v>
      </c>
      <c r="BA218" s="38">
        <f t="shared" si="190"/>
        <v>0</v>
      </c>
      <c r="BB218" s="38">
        <f t="shared" si="191"/>
        <v>0.42760539252921664</v>
      </c>
      <c r="BC218" s="38">
        <f t="shared" si="192"/>
        <v>0</v>
      </c>
      <c r="BD218" s="38">
        <f t="shared" si="193"/>
        <v>1.7653839872934486E-2</v>
      </c>
      <c r="BE218" s="38">
        <f t="shared" si="194"/>
        <v>0.97699413759406939</v>
      </c>
      <c r="BF218" s="38">
        <f t="shared" si="195"/>
        <v>0.49242267249202126</v>
      </c>
      <c r="BG218" s="38">
        <f t="shared" si="196"/>
        <v>2.9073277306580037E-2</v>
      </c>
      <c r="BH218" s="38">
        <f t="shared" si="197"/>
        <v>0</v>
      </c>
      <c r="BI218" s="38">
        <f t="shared" si="198"/>
        <v>0</v>
      </c>
      <c r="BJ218" s="38">
        <f t="shared" si="199"/>
        <v>0</v>
      </c>
      <c r="BK218" s="38">
        <f t="shared" si="200"/>
        <v>0</v>
      </c>
      <c r="BL218" s="41">
        <f t="shared" si="201"/>
        <v>3.9999999999999996</v>
      </c>
      <c r="BM218" s="42">
        <f t="shared" si="224"/>
        <v>6.0322588677171298</v>
      </c>
      <c r="BN218" s="38">
        <f t="shared" si="202"/>
        <v>2.0524157591527432</v>
      </c>
      <c r="BO218" s="38">
        <f t="shared" si="203"/>
        <v>0.52149594979860125</v>
      </c>
      <c r="BQ218" s="38">
        <f t="shared" si="204"/>
        <v>0.90279627163781628</v>
      </c>
      <c r="BR218" s="38">
        <f t="shared" si="205"/>
        <v>1.7025538307461193E-3</v>
      </c>
      <c r="BS218" s="38">
        <f t="shared" si="206"/>
        <v>8.3954491957630439E-3</v>
      </c>
      <c r="BT218" s="38">
        <f t="shared" si="207"/>
        <v>0</v>
      </c>
      <c r="BU218" s="38">
        <f t="shared" si="208"/>
        <v>0.1898399443284621</v>
      </c>
      <c r="BV218" s="38">
        <f t="shared" si="209"/>
        <v>7.8376092472511993E-3</v>
      </c>
      <c r="BW218" s="38">
        <f t="shared" si="210"/>
        <v>0.43374689826302731</v>
      </c>
      <c r="BX218" s="38">
        <f t="shared" si="211"/>
        <v>0.21861626248216834</v>
      </c>
      <c r="BY218" s="38">
        <f t="shared" si="212"/>
        <v>1.2907389480477574E-2</v>
      </c>
      <c r="BZ218" s="38">
        <f t="shared" si="213"/>
        <v>0</v>
      </c>
      <c r="CA218" s="38">
        <f t="shared" si="214"/>
        <v>0</v>
      </c>
      <c r="CB218" s="38">
        <f t="shared" si="215"/>
        <v>0</v>
      </c>
      <c r="CC218" s="38">
        <f t="shared" si="216"/>
        <v>0</v>
      </c>
      <c r="CD218" s="38">
        <f t="shared" si="217"/>
        <v>1.775842378465712</v>
      </c>
      <c r="CE218" s="38">
        <f t="shared" si="218"/>
        <v>2.6780852337919172</v>
      </c>
      <c r="CF218" s="38">
        <f t="shared" si="219"/>
        <v>2.2524521593272882</v>
      </c>
      <c r="CG218" s="38">
        <f t="shared" si="220"/>
        <v>6.0322588677171289</v>
      </c>
    </row>
    <row r="219" spans="1:129" ht="15" customHeight="1" x14ac:dyDescent="0.25">
      <c r="A219" s="35" t="s">
        <v>254</v>
      </c>
      <c r="B219" s="15">
        <v>719</v>
      </c>
      <c r="C219" s="102" t="s">
        <v>95</v>
      </c>
      <c r="D219" s="103" t="s">
        <v>106</v>
      </c>
      <c r="E219" s="15">
        <v>230</v>
      </c>
      <c r="F219" s="15" t="s">
        <v>270</v>
      </c>
      <c r="G219" s="16">
        <v>54.37</v>
      </c>
      <c r="H219" s="16">
        <v>0.22900000000000001</v>
      </c>
      <c r="I219" s="16">
        <v>0.36399999999999999</v>
      </c>
      <c r="J219" s="16">
        <v>0</v>
      </c>
      <c r="K219" s="16">
        <v>15.39</v>
      </c>
      <c r="L219" s="16">
        <v>0.54300000000000004</v>
      </c>
      <c r="M219" s="16">
        <v>18.37</v>
      </c>
      <c r="N219" s="16">
        <v>12.08</v>
      </c>
      <c r="O219" s="16">
        <v>0.24299999999999999</v>
      </c>
      <c r="P219" s="16">
        <v>0</v>
      </c>
      <c r="Q219" s="16">
        <v>0</v>
      </c>
      <c r="S219" s="16">
        <v>0</v>
      </c>
      <c r="T219" s="16">
        <f t="shared" si="170"/>
        <v>101.589</v>
      </c>
      <c r="U219" s="16"/>
      <c r="V219" s="16">
        <f t="shared" si="221"/>
        <v>15.322169987103615</v>
      </c>
      <c r="W219" s="16">
        <f t="shared" si="222"/>
        <v>7.5379493331752326E-2</v>
      </c>
      <c r="X219" s="16">
        <f t="shared" si="223"/>
        <v>101.59654948043537</v>
      </c>
      <c r="AD219" s="15">
        <v>6</v>
      </c>
      <c r="AE219" s="15">
        <v>4</v>
      </c>
      <c r="AG219" s="38">
        <f t="shared" si="171"/>
        <v>1.9937631201290638</v>
      </c>
      <c r="AH219" s="38">
        <f t="shared" si="172"/>
        <v>6.3159920612328516E-3</v>
      </c>
      <c r="AI219" s="38">
        <f t="shared" si="173"/>
        <v>1.5730614993281551E-2</v>
      </c>
      <c r="AJ219" s="38">
        <f t="shared" si="174"/>
        <v>0</v>
      </c>
      <c r="AK219" s="38">
        <f t="shared" si="175"/>
        <v>0.47190654059440929</v>
      </c>
      <c r="AL219" s="38">
        <f t="shared" si="176"/>
        <v>1.6863697170574378E-2</v>
      </c>
      <c r="AM219" s="38">
        <f t="shared" si="177"/>
        <v>1.0042648434002641</v>
      </c>
      <c r="AN219" s="38">
        <f t="shared" si="178"/>
        <v>0.47457305735127797</v>
      </c>
      <c r="AO219" s="38">
        <f t="shared" si="179"/>
        <v>1.7275429225917512E-2</v>
      </c>
      <c r="AP219" s="38">
        <f t="shared" si="180"/>
        <v>0</v>
      </c>
      <c r="AQ219" s="38">
        <f t="shared" si="181"/>
        <v>0</v>
      </c>
      <c r="AR219" s="38">
        <f t="shared" si="182"/>
        <v>0</v>
      </c>
      <c r="AS219" s="38">
        <f t="shared" si="183"/>
        <v>0</v>
      </c>
      <c r="AT219" s="39">
        <f t="shared" si="184"/>
        <v>4.0006932949260214</v>
      </c>
      <c r="AU219" s="38">
        <f t="shared" si="185"/>
        <v>2.0094937351223452</v>
      </c>
      <c r="AV219" s="38">
        <f t="shared" si="186"/>
        <v>0.49184848657719549</v>
      </c>
      <c r="AW219" s="40"/>
      <c r="AX219" s="38">
        <f t="shared" si="187"/>
        <v>1.9934176135498349</v>
      </c>
      <c r="AY219" s="38">
        <f t="shared" si="188"/>
        <v>6.31489753962721E-3</v>
      </c>
      <c r="AZ219" s="38">
        <f t="shared" si="189"/>
        <v>1.5727888976875378E-2</v>
      </c>
      <c r="BA219" s="38">
        <f t="shared" si="190"/>
        <v>0</v>
      </c>
      <c r="BB219" s="38">
        <f t="shared" si="191"/>
        <v>0.46974523781886957</v>
      </c>
      <c r="BC219" s="38">
        <f t="shared" si="192"/>
        <v>2.0795243471445346E-3</v>
      </c>
      <c r="BD219" s="38">
        <f t="shared" si="193"/>
        <v>1.6860774798170289E-2</v>
      </c>
      <c r="BE219" s="38">
        <f t="shared" si="194"/>
        <v>1.0040908106341948</v>
      </c>
      <c r="BF219" s="38">
        <f t="shared" si="195"/>
        <v>0.47449081683233962</v>
      </c>
      <c r="BG219" s="38">
        <f t="shared" si="196"/>
        <v>1.7272435502943956E-2</v>
      </c>
      <c r="BH219" s="38">
        <f t="shared" si="197"/>
        <v>0</v>
      </c>
      <c r="BI219" s="38">
        <f t="shared" si="198"/>
        <v>0</v>
      </c>
      <c r="BJ219" s="38">
        <f t="shared" si="199"/>
        <v>0</v>
      </c>
      <c r="BK219" s="38">
        <f t="shared" si="200"/>
        <v>0</v>
      </c>
      <c r="BL219" s="41">
        <f t="shared" si="201"/>
        <v>4.0000000000000009</v>
      </c>
      <c r="BM219" s="42">
        <f t="shared" si="224"/>
        <v>6</v>
      </c>
      <c r="BN219" s="38">
        <f t="shared" si="202"/>
        <v>2.0091455025267102</v>
      </c>
      <c r="BO219" s="38">
        <f t="shared" si="203"/>
        <v>0.49176325233528356</v>
      </c>
      <c r="BQ219" s="38">
        <f t="shared" si="204"/>
        <v>0.90496005326231688</v>
      </c>
      <c r="BR219" s="38">
        <f t="shared" si="205"/>
        <v>2.8668002003004508E-3</v>
      </c>
      <c r="BS219" s="38">
        <f t="shared" si="206"/>
        <v>7.1400549234994122E-3</v>
      </c>
      <c r="BT219" s="38">
        <f t="shared" si="207"/>
        <v>0</v>
      </c>
      <c r="BU219" s="38">
        <f t="shared" si="208"/>
        <v>0.21419624217119002</v>
      </c>
      <c r="BV219" s="38">
        <f t="shared" si="209"/>
        <v>7.6543557936284189E-3</v>
      </c>
      <c r="BW219" s="38">
        <f t="shared" si="210"/>
        <v>0.45583126550868491</v>
      </c>
      <c r="BX219" s="38">
        <f t="shared" si="211"/>
        <v>0.21540656205420827</v>
      </c>
      <c r="BY219" s="38">
        <f t="shared" si="212"/>
        <v>7.8412391093901253E-3</v>
      </c>
      <c r="BZ219" s="38">
        <f t="shared" si="213"/>
        <v>0</v>
      </c>
      <c r="CA219" s="38">
        <f t="shared" si="214"/>
        <v>0</v>
      </c>
      <c r="CB219" s="38">
        <f t="shared" si="215"/>
        <v>0</v>
      </c>
      <c r="CC219" s="38">
        <f t="shared" si="216"/>
        <v>0</v>
      </c>
      <c r="CD219" s="38">
        <f t="shared" si="217"/>
        <v>1.8158965730232184</v>
      </c>
      <c r="CE219" s="38">
        <f t="shared" si="218"/>
        <v>2.7233728343928907</v>
      </c>
      <c r="CF219" s="38">
        <f t="shared" si="219"/>
        <v>2.2027686264865567</v>
      </c>
      <c r="CG219" s="38">
        <f t="shared" si="220"/>
        <v>5.9989602378264291</v>
      </c>
    </row>
    <row r="220" spans="1:129" ht="15" customHeight="1" x14ac:dyDescent="0.25">
      <c r="A220" s="35" t="s">
        <v>254</v>
      </c>
      <c r="B220" s="15">
        <v>722</v>
      </c>
      <c r="C220" s="102" t="s">
        <v>95</v>
      </c>
      <c r="D220" s="103" t="s">
        <v>106</v>
      </c>
      <c r="E220" s="15">
        <v>233</v>
      </c>
      <c r="F220" s="15" t="s">
        <v>279</v>
      </c>
      <c r="G220" s="16">
        <v>4.5999999999999999E-2</v>
      </c>
      <c r="H220" s="16">
        <v>43.79</v>
      </c>
      <c r="I220" s="16">
        <v>0.108</v>
      </c>
      <c r="J220" s="16">
        <v>3.7999999999999999E-2</v>
      </c>
      <c r="K220" s="16">
        <v>45.01</v>
      </c>
      <c r="L220" s="16">
        <v>0.48099999999999998</v>
      </c>
      <c r="M220" s="16">
        <v>2.48</v>
      </c>
      <c r="N220" s="16">
        <v>6.9000000000000006E-2</v>
      </c>
      <c r="O220" s="16">
        <v>2.1000000000000001E-2</v>
      </c>
      <c r="P220" s="16">
        <v>0</v>
      </c>
      <c r="Q220" s="16">
        <v>0</v>
      </c>
      <c r="T220" s="16">
        <f t="shared" si="170"/>
        <v>92.042999999999992</v>
      </c>
      <c r="U220" s="16"/>
      <c r="V220" s="16">
        <f t="shared" si="221"/>
        <v>34.348499012255061</v>
      </c>
      <c r="W220" s="16">
        <f t="shared" si="222"/>
        <v>11.84812604768095</v>
      </c>
      <c r="X220" s="16">
        <f t="shared" si="223"/>
        <v>93.229625059936012</v>
      </c>
      <c r="AD220" s="15">
        <v>3</v>
      </c>
      <c r="AE220" s="15">
        <v>2</v>
      </c>
      <c r="AG220" s="38">
        <f t="shared" si="171"/>
        <v>1.2773638732287485E-3</v>
      </c>
      <c r="AH220" s="38">
        <f t="shared" si="172"/>
        <v>0.91458402322013144</v>
      </c>
      <c r="AI220" s="38">
        <f t="shared" si="173"/>
        <v>3.5343588800326588E-3</v>
      </c>
      <c r="AJ220" s="38">
        <f t="shared" si="174"/>
        <v>8.3422903026691151E-4</v>
      </c>
      <c r="AK220" s="38">
        <f t="shared" si="175"/>
        <v>1.0451267459006628</v>
      </c>
      <c r="AL220" s="38">
        <f t="shared" si="176"/>
        <v>1.1312031705673969E-2</v>
      </c>
      <c r="AM220" s="38">
        <f t="shared" si="177"/>
        <v>0.10266758729576349</v>
      </c>
      <c r="AN220" s="38">
        <f t="shared" si="178"/>
        <v>2.0527109888618905E-3</v>
      </c>
      <c r="AO220" s="38">
        <f t="shared" si="179"/>
        <v>1.1305361137360212E-3</v>
      </c>
      <c r="AP220" s="38">
        <f t="shared" si="180"/>
        <v>0</v>
      </c>
      <c r="AQ220" s="38">
        <f t="shared" si="181"/>
        <v>0</v>
      </c>
      <c r="AR220" s="38">
        <f t="shared" si="182"/>
        <v>0</v>
      </c>
      <c r="AS220" s="38">
        <f t="shared" si="183"/>
        <v>0</v>
      </c>
      <c r="AT220" s="39">
        <f t="shared" si="184"/>
        <v>2.0825195870083579</v>
      </c>
      <c r="AU220" s="38">
        <f t="shared" si="185"/>
        <v>4.8117227532614073E-3</v>
      </c>
      <c r="AV220" s="38">
        <f t="shared" si="186"/>
        <v>3.1832471025979117E-3</v>
      </c>
      <c r="AW220" s="40"/>
      <c r="AX220" s="38">
        <f t="shared" si="187"/>
        <v>1.2267484840934864E-3</v>
      </c>
      <c r="AY220" s="38">
        <f t="shared" si="188"/>
        <v>0.87834374180746733</v>
      </c>
      <c r="AZ220" s="38">
        <f t="shared" si="189"/>
        <v>3.3943103364611699E-3</v>
      </c>
      <c r="BA220" s="38">
        <f t="shared" si="190"/>
        <v>8.0117280574087903E-4</v>
      </c>
      <c r="BB220" s="38">
        <f t="shared" si="191"/>
        <v>0.76596444984350387</v>
      </c>
      <c r="BC220" s="38">
        <f t="shared" si="192"/>
        <v>0.23774927503150556</v>
      </c>
      <c r="BD220" s="38">
        <f t="shared" si="193"/>
        <v>1.0863793816147735E-2</v>
      </c>
      <c r="BE220" s="38">
        <f t="shared" si="194"/>
        <v>9.8599396554296545E-2</v>
      </c>
      <c r="BF220" s="38">
        <f t="shared" si="195"/>
        <v>1.97137256395337E-3</v>
      </c>
      <c r="BG220" s="38">
        <f t="shared" si="196"/>
        <v>1.0857387568297418E-3</v>
      </c>
      <c r="BH220" s="38">
        <f t="shared" si="197"/>
        <v>0</v>
      </c>
      <c r="BI220" s="38">
        <f t="shared" si="198"/>
        <v>0</v>
      </c>
      <c r="BJ220" s="38">
        <f t="shared" si="199"/>
        <v>0</v>
      </c>
      <c r="BK220" s="38">
        <f t="shared" si="200"/>
        <v>0</v>
      </c>
      <c r="BL220" s="41">
        <f t="shared" si="201"/>
        <v>1.9999999999999998</v>
      </c>
      <c r="BM220" s="42">
        <f t="shared" si="224"/>
        <v>2.9999999999999987</v>
      </c>
      <c r="BN220" s="38">
        <f t="shared" si="202"/>
        <v>4.6210588205546563E-3</v>
      </c>
      <c r="BO220" s="38">
        <f t="shared" si="203"/>
        <v>3.0571113207831118E-3</v>
      </c>
      <c r="BQ220" s="38">
        <f t="shared" si="204"/>
        <v>7.6564580559254332E-4</v>
      </c>
      <c r="BR220" s="38">
        <f t="shared" si="205"/>
        <v>0.54819729594391586</v>
      </c>
      <c r="BS220" s="38">
        <f t="shared" si="206"/>
        <v>2.1184778344448805E-3</v>
      </c>
      <c r="BT220" s="38">
        <f t="shared" si="207"/>
        <v>5.0003289690111184E-4</v>
      </c>
      <c r="BU220" s="38">
        <f t="shared" si="208"/>
        <v>0.62644398051496175</v>
      </c>
      <c r="BV220" s="38">
        <f t="shared" si="209"/>
        <v>6.780377784042853E-3</v>
      </c>
      <c r="BW220" s="38">
        <f t="shared" si="210"/>
        <v>6.1538461538461542E-2</v>
      </c>
      <c r="BX220" s="38">
        <f t="shared" si="211"/>
        <v>1.2303851640513553E-3</v>
      </c>
      <c r="BY220" s="38">
        <f t="shared" si="212"/>
        <v>6.7763794772507271E-4</v>
      </c>
      <c r="BZ220" s="38">
        <f t="shared" si="213"/>
        <v>0</v>
      </c>
      <c r="CA220" s="38">
        <f t="shared" si="214"/>
        <v>0</v>
      </c>
      <c r="CB220" s="38">
        <f t="shared" si="215"/>
        <v>0</v>
      </c>
      <c r="CC220" s="38">
        <f t="shared" si="216"/>
        <v>0</v>
      </c>
      <c r="CD220" s="38">
        <f t="shared" si="217"/>
        <v>1.2482522954300972</v>
      </c>
      <c r="CE220" s="38">
        <f t="shared" si="218"/>
        <v>1.7981856735714159</v>
      </c>
      <c r="CF220" s="38">
        <f t="shared" si="219"/>
        <v>1.6022401940073188</v>
      </c>
      <c r="CG220" s="38">
        <f t="shared" si="220"/>
        <v>2.8811253624842466</v>
      </c>
    </row>
    <row r="221" spans="1:129" ht="15" customHeight="1" x14ac:dyDescent="0.25">
      <c r="A221" s="35" t="s">
        <v>254</v>
      </c>
      <c r="B221" s="15">
        <v>723</v>
      </c>
      <c r="C221" s="102" t="s">
        <v>95</v>
      </c>
      <c r="D221" s="103" t="s">
        <v>106</v>
      </c>
      <c r="E221" s="15">
        <v>234</v>
      </c>
      <c r="F221" s="15" t="s">
        <v>279</v>
      </c>
      <c r="G221" s="16">
        <v>1.2E-2</v>
      </c>
      <c r="H221" s="16">
        <v>42.92</v>
      </c>
      <c r="I221" s="16">
        <v>0.14000000000000001</v>
      </c>
      <c r="J221" s="16">
        <v>7.0000000000000007E-2</v>
      </c>
      <c r="K221" s="16">
        <v>47.91</v>
      </c>
      <c r="L221" s="16">
        <v>0.46700000000000003</v>
      </c>
      <c r="M221" s="16">
        <v>2.93</v>
      </c>
      <c r="N221" s="16">
        <v>1.6E-2</v>
      </c>
      <c r="O221" s="16">
        <v>0</v>
      </c>
      <c r="P221" s="16">
        <v>0</v>
      </c>
      <c r="Q221" s="16">
        <v>0</v>
      </c>
      <c r="T221" s="16">
        <f t="shared" si="170"/>
        <v>94.465000000000003</v>
      </c>
      <c r="U221" s="16"/>
      <c r="V221" s="16">
        <f t="shared" si="221"/>
        <v>32.902460426206815</v>
      </c>
      <c r="W221" s="16">
        <f t="shared" si="222"/>
        <v>16.677878728356362</v>
      </c>
      <c r="X221" s="16">
        <f t="shared" si="223"/>
        <v>96.135339154563184</v>
      </c>
      <c r="AD221" s="15">
        <v>3</v>
      </c>
      <c r="AE221" s="15">
        <v>2</v>
      </c>
      <c r="AG221" s="38">
        <f t="shared" si="171"/>
        <v>3.2798946166271787E-4</v>
      </c>
      <c r="AH221" s="38">
        <f t="shared" si="172"/>
        <v>0.88232833238336283</v>
      </c>
      <c r="AI221" s="38">
        <f t="shared" si="173"/>
        <v>4.5095870274902789E-3</v>
      </c>
      <c r="AJ221" s="38">
        <f t="shared" si="174"/>
        <v>1.5125912669350244E-3</v>
      </c>
      <c r="AK221" s="38">
        <f t="shared" si="175"/>
        <v>1.0949844867830081</v>
      </c>
      <c r="AL221" s="38">
        <f t="shared" si="176"/>
        <v>1.0810213328255186E-2</v>
      </c>
      <c r="AM221" s="38">
        <f t="shared" si="177"/>
        <v>0.11939087694400238</v>
      </c>
      <c r="AN221" s="38">
        <f t="shared" si="178"/>
        <v>4.6851181304555608E-4</v>
      </c>
      <c r="AO221" s="38">
        <f t="shared" si="179"/>
        <v>0</v>
      </c>
      <c r="AP221" s="38">
        <f t="shared" si="180"/>
        <v>0</v>
      </c>
      <c r="AQ221" s="38">
        <f t="shared" si="181"/>
        <v>0</v>
      </c>
      <c r="AR221" s="38">
        <f t="shared" si="182"/>
        <v>0</v>
      </c>
      <c r="AS221" s="38">
        <f t="shared" si="183"/>
        <v>0</v>
      </c>
      <c r="AT221" s="39">
        <f t="shared" si="184"/>
        <v>2.1143325890077618</v>
      </c>
      <c r="AU221" s="38">
        <f t="shared" si="185"/>
        <v>4.8375764891529964E-3</v>
      </c>
      <c r="AV221" s="38">
        <f t="shared" si="186"/>
        <v>4.6851181304555608E-4</v>
      </c>
      <c r="AW221" s="40"/>
      <c r="AX221" s="38">
        <f t="shared" si="187"/>
        <v>3.1025342310657048E-4</v>
      </c>
      <c r="AY221" s="38">
        <f t="shared" si="188"/>
        <v>0.83461640516777158</v>
      </c>
      <c r="AZ221" s="38">
        <f t="shared" si="189"/>
        <v>4.2657309932555018E-3</v>
      </c>
      <c r="BA221" s="38">
        <f t="shared" si="190"/>
        <v>1.4307978553599937E-3</v>
      </c>
      <c r="BB221" s="38">
        <f t="shared" si="191"/>
        <v>0.71132301859152958</v>
      </c>
      <c r="BC221" s="38">
        <f t="shared" si="192"/>
        <v>0.32445015396962829</v>
      </c>
      <c r="BD221" s="38">
        <f t="shared" si="193"/>
        <v>1.0225650765122364E-2</v>
      </c>
      <c r="BE221" s="38">
        <f t="shared" si="194"/>
        <v>0.11293481220949396</v>
      </c>
      <c r="BF221" s="38">
        <f t="shared" si="195"/>
        <v>4.4317702473235267E-4</v>
      </c>
      <c r="BG221" s="38">
        <f t="shared" si="196"/>
        <v>0</v>
      </c>
      <c r="BH221" s="38">
        <f t="shared" si="197"/>
        <v>0</v>
      </c>
      <c r="BI221" s="38">
        <f t="shared" si="198"/>
        <v>0</v>
      </c>
      <c r="BJ221" s="38">
        <f t="shared" si="199"/>
        <v>0</v>
      </c>
      <c r="BK221" s="38">
        <f t="shared" si="200"/>
        <v>0</v>
      </c>
      <c r="BL221" s="41">
        <f t="shared" si="201"/>
        <v>2.0000000000000004</v>
      </c>
      <c r="BM221" s="42">
        <f t="shared" si="224"/>
        <v>3</v>
      </c>
      <c r="BN221" s="38">
        <f t="shared" si="202"/>
        <v>4.5759844163620724E-3</v>
      </c>
      <c r="BO221" s="38">
        <f t="shared" si="203"/>
        <v>4.4317702473235267E-4</v>
      </c>
      <c r="BQ221" s="38">
        <f t="shared" si="204"/>
        <v>1.9973368841544607E-4</v>
      </c>
      <c r="BR221" s="38">
        <f t="shared" si="205"/>
        <v>0.53730595893840771</v>
      </c>
      <c r="BS221" s="38">
        <f t="shared" si="206"/>
        <v>2.7461749705766972E-3</v>
      </c>
      <c r="BT221" s="38">
        <f t="shared" si="207"/>
        <v>9.211132311336272E-4</v>
      </c>
      <c r="BU221" s="38">
        <f t="shared" si="208"/>
        <v>0.66680584551148225</v>
      </c>
      <c r="BV221" s="38">
        <f t="shared" si="209"/>
        <v>6.583027910910629E-3</v>
      </c>
      <c r="BW221" s="38">
        <f t="shared" si="210"/>
        <v>7.2704714640198523E-2</v>
      </c>
      <c r="BX221" s="38">
        <f t="shared" si="211"/>
        <v>2.8530670470756063E-4</v>
      </c>
      <c r="BY221" s="38">
        <f t="shared" si="212"/>
        <v>0</v>
      </c>
      <c r="BZ221" s="38">
        <f t="shared" si="213"/>
        <v>0</v>
      </c>
      <c r="CA221" s="38">
        <f t="shared" si="214"/>
        <v>0</v>
      </c>
      <c r="CB221" s="38">
        <f t="shared" si="215"/>
        <v>0</v>
      </c>
      <c r="CC221" s="38">
        <f t="shared" si="216"/>
        <v>0</v>
      </c>
      <c r="CD221" s="38">
        <f t="shared" si="217"/>
        <v>1.2875518755958324</v>
      </c>
      <c r="CE221" s="38">
        <f t="shared" si="218"/>
        <v>1.8268912123235106</v>
      </c>
      <c r="CF221" s="38">
        <f t="shared" si="219"/>
        <v>1.5533354716868961</v>
      </c>
      <c r="CG221" s="38">
        <f t="shared" si="220"/>
        <v>2.8377749230151856</v>
      </c>
    </row>
    <row r="222" spans="1:129" ht="15" customHeight="1" x14ac:dyDescent="0.25">
      <c r="A222" s="35" t="s">
        <v>254</v>
      </c>
      <c r="B222" s="15">
        <v>725</v>
      </c>
      <c r="C222" s="102" t="s">
        <v>95</v>
      </c>
      <c r="D222" s="103" t="s">
        <v>106</v>
      </c>
      <c r="E222" s="15">
        <v>236</v>
      </c>
      <c r="F222" s="15" t="s">
        <v>279</v>
      </c>
      <c r="G222" s="16">
        <v>0.32700000000000001</v>
      </c>
      <c r="H222" s="16">
        <v>43.19</v>
      </c>
      <c r="I222" s="16">
        <v>0.16200000000000001</v>
      </c>
      <c r="J222" s="16">
        <v>0</v>
      </c>
      <c r="K222" s="16">
        <v>43.94</v>
      </c>
      <c r="L222" s="16">
        <v>0.41899999999999998</v>
      </c>
      <c r="M222" s="16">
        <v>4.0999999999999996</v>
      </c>
      <c r="N222" s="16">
        <v>5.0999999999999997E-2</v>
      </c>
      <c r="O222" s="16">
        <v>0</v>
      </c>
      <c r="P222" s="16">
        <v>0</v>
      </c>
      <c r="Q222" s="16">
        <v>0</v>
      </c>
      <c r="T222" s="16">
        <f t="shared" si="170"/>
        <v>92.188999999999993</v>
      </c>
      <c r="U222" s="16"/>
      <c r="V222" s="16">
        <f t="shared" si="221"/>
        <v>31.439834482909159</v>
      </c>
      <c r="W222" s="16">
        <f t="shared" si="222"/>
        <v>13.891433939143047</v>
      </c>
      <c r="X222" s="16">
        <f t="shared" si="223"/>
        <v>93.5802684220522</v>
      </c>
      <c r="AD222" s="15">
        <v>3</v>
      </c>
      <c r="AE222" s="15">
        <v>2</v>
      </c>
      <c r="AG222" s="38">
        <f t="shared" si="171"/>
        <v>8.9857303833840996E-3</v>
      </c>
      <c r="AH222" s="38">
        <f t="shared" si="172"/>
        <v>0.89264895857250026</v>
      </c>
      <c r="AI222" s="38">
        <f t="shared" si="173"/>
        <v>5.2462712122078288E-3</v>
      </c>
      <c r="AJ222" s="38">
        <f t="shared" si="174"/>
        <v>0</v>
      </c>
      <c r="AK222" s="38">
        <f t="shared" si="175"/>
        <v>1.0096453162146553</v>
      </c>
      <c r="AL222" s="38">
        <f t="shared" si="176"/>
        <v>9.751207400177403E-3</v>
      </c>
      <c r="AM222" s="38">
        <f t="shared" si="177"/>
        <v>0.16796328711105837</v>
      </c>
      <c r="AN222" s="38">
        <f t="shared" si="178"/>
        <v>1.501404544028384E-3</v>
      </c>
      <c r="AO222" s="38">
        <f t="shared" si="179"/>
        <v>0</v>
      </c>
      <c r="AP222" s="38">
        <f t="shared" si="180"/>
        <v>0</v>
      </c>
      <c r="AQ222" s="38">
        <f t="shared" si="181"/>
        <v>0</v>
      </c>
      <c r="AR222" s="38">
        <f t="shared" si="182"/>
        <v>0</v>
      </c>
      <c r="AS222" s="38">
        <f t="shared" si="183"/>
        <v>0</v>
      </c>
      <c r="AT222" s="39">
        <f t="shared" si="184"/>
        <v>2.0957421754380117</v>
      </c>
      <c r="AU222" s="38">
        <f t="shared" si="185"/>
        <v>1.4232001595591928E-2</v>
      </c>
      <c r="AV222" s="38">
        <f t="shared" si="186"/>
        <v>1.501404544028384E-3</v>
      </c>
      <c r="AW222" s="40"/>
      <c r="AX222" s="38">
        <f t="shared" si="187"/>
        <v>8.5752250335908581E-3</v>
      </c>
      <c r="AY222" s="38">
        <f t="shared" si="188"/>
        <v>0.85186906007265517</v>
      </c>
      <c r="AZ222" s="38">
        <f t="shared" si="189"/>
        <v>5.0065998324544418E-3</v>
      </c>
      <c r="BA222" s="38">
        <f t="shared" si="190"/>
        <v>0</v>
      </c>
      <c r="BB222" s="38">
        <f t="shared" si="191"/>
        <v>0.68941570997361257</v>
      </c>
      <c r="BC222" s="38">
        <f t="shared" si="192"/>
        <v>0.2741048299550537</v>
      </c>
      <c r="BD222" s="38">
        <f t="shared" si="193"/>
        <v>9.3057318924637221E-3</v>
      </c>
      <c r="BE222" s="38">
        <f t="shared" si="194"/>
        <v>0.16029002906901363</v>
      </c>
      <c r="BF222" s="38">
        <f t="shared" si="195"/>
        <v>1.4328141711559433E-3</v>
      </c>
      <c r="BG222" s="38">
        <f t="shared" si="196"/>
        <v>0</v>
      </c>
      <c r="BH222" s="38">
        <f t="shared" si="197"/>
        <v>0</v>
      </c>
      <c r="BI222" s="38">
        <f t="shared" si="198"/>
        <v>0</v>
      </c>
      <c r="BJ222" s="38">
        <f t="shared" si="199"/>
        <v>0</v>
      </c>
      <c r="BK222" s="38">
        <f t="shared" si="200"/>
        <v>0</v>
      </c>
      <c r="BL222" s="41">
        <f t="shared" si="201"/>
        <v>2</v>
      </c>
      <c r="BM222" s="42">
        <f t="shared" si="224"/>
        <v>3.0000000000000009</v>
      </c>
      <c r="BN222" s="38">
        <f t="shared" si="202"/>
        <v>1.3581824866045301E-2</v>
      </c>
      <c r="BO222" s="38">
        <f t="shared" si="203"/>
        <v>1.4328141711559433E-3</v>
      </c>
      <c r="BQ222" s="38">
        <f t="shared" si="204"/>
        <v>5.4427430093209059E-3</v>
      </c>
      <c r="BR222" s="38">
        <f t="shared" si="205"/>
        <v>0.54068602904356533</v>
      </c>
      <c r="BS222" s="38">
        <f t="shared" si="206"/>
        <v>3.177716751667321E-3</v>
      </c>
      <c r="BT222" s="38">
        <f t="shared" si="207"/>
        <v>0</v>
      </c>
      <c r="BU222" s="38">
        <f t="shared" si="208"/>
        <v>0.61155184411969388</v>
      </c>
      <c r="BV222" s="38">
        <f t="shared" si="209"/>
        <v>5.9063997744572879E-3</v>
      </c>
      <c r="BW222" s="38">
        <f t="shared" si="210"/>
        <v>0.10173697270471464</v>
      </c>
      <c r="BX222" s="38">
        <f t="shared" si="211"/>
        <v>9.0941512125534952E-4</v>
      </c>
      <c r="BY222" s="38">
        <f t="shared" si="212"/>
        <v>0</v>
      </c>
      <c r="BZ222" s="38">
        <f t="shared" si="213"/>
        <v>0</v>
      </c>
      <c r="CA222" s="38">
        <f t="shared" si="214"/>
        <v>0</v>
      </c>
      <c r="CB222" s="38">
        <f t="shared" si="215"/>
        <v>0</v>
      </c>
      <c r="CC222" s="38">
        <f t="shared" si="216"/>
        <v>0</v>
      </c>
      <c r="CD222" s="38">
        <f t="shared" si="217"/>
        <v>1.2694111205246748</v>
      </c>
      <c r="CE222" s="38">
        <f t="shared" si="218"/>
        <v>1.8171287509533947</v>
      </c>
      <c r="CF222" s="38">
        <f t="shared" si="219"/>
        <v>1.5755337003612804</v>
      </c>
      <c r="CG222" s="38">
        <f t="shared" si="220"/>
        <v>2.8629475850224733</v>
      </c>
    </row>
    <row r="223" spans="1:129" ht="15" customHeight="1" x14ac:dyDescent="0.25">
      <c r="A223" s="35" t="s">
        <v>254</v>
      </c>
      <c r="B223" s="15">
        <v>726</v>
      </c>
      <c r="C223" s="102" t="s">
        <v>95</v>
      </c>
      <c r="D223" s="103" t="s">
        <v>106</v>
      </c>
      <c r="E223" s="15">
        <v>237</v>
      </c>
      <c r="F223" s="15" t="s">
        <v>279</v>
      </c>
      <c r="G223" s="16">
        <v>2.7E-2</v>
      </c>
      <c r="H223" s="16">
        <v>45.14</v>
      </c>
      <c r="I223" s="16">
        <v>9.1999999999999998E-2</v>
      </c>
      <c r="J223" s="16">
        <v>4.2999999999999997E-2</v>
      </c>
      <c r="K223" s="16">
        <v>42.81</v>
      </c>
      <c r="L223" s="16">
        <v>0.60199999999999998</v>
      </c>
      <c r="M223" s="16">
        <v>4.12</v>
      </c>
      <c r="N223" s="16">
        <v>7.4999999999999997E-2</v>
      </c>
      <c r="O223" s="16">
        <v>3.1E-2</v>
      </c>
      <c r="P223" s="16">
        <v>1.7000000000000001E-2</v>
      </c>
      <c r="Q223" s="16">
        <v>0</v>
      </c>
      <c r="T223" s="16">
        <f t="shared" si="170"/>
        <v>92.957000000000008</v>
      </c>
      <c r="U223" s="16"/>
      <c r="V223" s="16">
        <f t="shared" si="221"/>
        <v>32.38767097024715</v>
      </c>
      <c r="W223" s="16">
        <f t="shared" si="222"/>
        <v>11.582334250764347</v>
      </c>
      <c r="X223" s="16">
        <f t="shared" si="223"/>
        <v>94.117005221011496</v>
      </c>
      <c r="AD223" s="15">
        <v>3</v>
      </c>
      <c r="AE223" s="15">
        <v>2</v>
      </c>
      <c r="AG223" s="38">
        <f t="shared" si="171"/>
        <v>7.3144196517788856E-4</v>
      </c>
      <c r="AH223" s="38">
        <f t="shared" si="172"/>
        <v>0.91974943976726387</v>
      </c>
      <c r="AI223" s="38">
        <f t="shared" si="173"/>
        <v>2.9372034498973119E-3</v>
      </c>
      <c r="AJ223" s="38">
        <f t="shared" si="174"/>
        <v>9.2093604136683663E-4</v>
      </c>
      <c r="AK223" s="38">
        <f t="shared" si="175"/>
        <v>0.96976049599127101</v>
      </c>
      <c r="AL223" s="38">
        <f t="shared" si="176"/>
        <v>1.3811833697369871E-2</v>
      </c>
      <c r="AM223" s="38">
        <f t="shared" si="177"/>
        <v>0.16639420739242414</v>
      </c>
      <c r="AN223" s="38">
        <f t="shared" si="178"/>
        <v>2.1767035815842221E-3</v>
      </c>
      <c r="AO223" s="38">
        <f t="shared" si="179"/>
        <v>1.6281190244218733E-3</v>
      </c>
      <c r="AP223" s="38">
        <f t="shared" si="180"/>
        <v>5.874542467202078E-4</v>
      </c>
      <c r="AQ223" s="38">
        <f t="shared" si="181"/>
        <v>0</v>
      </c>
      <c r="AR223" s="38">
        <f t="shared" si="182"/>
        <v>0</v>
      </c>
      <c r="AS223" s="38">
        <f t="shared" si="183"/>
        <v>0</v>
      </c>
      <c r="AT223" s="39">
        <f t="shared" si="184"/>
        <v>2.078697835157497</v>
      </c>
      <c r="AU223" s="38">
        <f t="shared" si="185"/>
        <v>3.6686454150752007E-3</v>
      </c>
      <c r="AV223" s="38">
        <f t="shared" si="186"/>
        <v>4.3922768527263033E-3</v>
      </c>
      <c r="AW223" s="40"/>
      <c r="AX223" s="38">
        <f t="shared" si="187"/>
        <v>7.0375015820658623E-4</v>
      </c>
      <c r="AY223" s="38">
        <f t="shared" si="188"/>
        <v>0.88492846262821734</v>
      </c>
      <c r="AZ223" s="38">
        <f t="shared" si="189"/>
        <v>2.8260032797645818E-3</v>
      </c>
      <c r="BA223" s="38">
        <f t="shared" si="190"/>
        <v>8.8607014044160938E-4</v>
      </c>
      <c r="BB223" s="38">
        <f t="shared" si="191"/>
        <v>0.70589094587015022</v>
      </c>
      <c r="BC223" s="38">
        <f t="shared" si="192"/>
        <v>0.22715519444855059</v>
      </c>
      <c r="BD223" s="38">
        <f t="shared" si="193"/>
        <v>1.3288928735833686E-2</v>
      </c>
      <c r="BE223" s="38">
        <f t="shared" si="194"/>
        <v>0.16009465596986769</v>
      </c>
      <c r="BF223" s="38">
        <f t="shared" si="195"/>
        <v>2.0942953273622852E-3</v>
      </c>
      <c r="BG223" s="38">
        <f t="shared" si="196"/>
        <v>1.5664797421588838E-3</v>
      </c>
      <c r="BH223" s="38">
        <f t="shared" si="197"/>
        <v>5.6521369944631506E-4</v>
      </c>
      <c r="BI223" s="38">
        <f t="shared" si="198"/>
        <v>0</v>
      </c>
      <c r="BJ223" s="38">
        <f t="shared" si="199"/>
        <v>0</v>
      </c>
      <c r="BK223" s="38">
        <f t="shared" si="200"/>
        <v>0</v>
      </c>
      <c r="BL223" s="41">
        <f t="shared" si="201"/>
        <v>1.9999999999999998</v>
      </c>
      <c r="BM223" s="42">
        <f t="shared" si="224"/>
        <v>2.9999999999999996</v>
      </c>
      <c r="BN223" s="38">
        <f t="shared" si="202"/>
        <v>3.5297534379711681E-3</v>
      </c>
      <c r="BO223" s="38">
        <f t="shared" si="203"/>
        <v>4.2259887689674843E-3</v>
      </c>
      <c r="BQ223" s="38">
        <f t="shared" si="204"/>
        <v>4.4940079893475367E-4</v>
      </c>
      <c r="BR223" s="38">
        <f t="shared" si="205"/>
        <v>0.56509764646970462</v>
      </c>
      <c r="BS223" s="38">
        <f t="shared" si="206"/>
        <v>1.8046292663789721E-3</v>
      </c>
      <c r="BT223" s="38">
        <f t="shared" si="207"/>
        <v>5.6582669912494236E-4</v>
      </c>
      <c r="BU223" s="38">
        <f t="shared" si="208"/>
        <v>0.59582463465553248</v>
      </c>
      <c r="BV223" s="38">
        <f t="shared" si="209"/>
        <v>8.4860445446856506E-3</v>
      </c>
      <c r="BW223" s="38">
        <f t="shared" si="210"/>
        <v>0.10223325062034741</v>
      </c>
      <c r="BX223" s="38">
        <f t="shared" si="211"/>
        <v>1.3373751783166904E-3</v>
      </c>
      <c r="BY223" s="38">
        <f t="shared" si="212"/>
        <v>1.000322684737012E-3</v>
      </c>
      <c r="BZ223" s="38">
        <f t="shared" si="213"/>
        <v>3.6093418259023355E-4</v>
      </c>
      <c r="CA223" s="38">
        <f t="shared" si="214"/>
        <v>0</v>
      </c>
      <c r="CB223" s="38">
        <f t="shared" si="215"/>
        <v>0</v>
      </c>
      <c r="CC223" s="38">
        <f t="shared" si="216"/>
        <v>0</v>
      </c>
      <c r="CD223" s="38">
        <f t="shared" si="217"/>
        <v>1.277160065100353</v>
      </c>
      <c r="CE223" s="38">
        <f t="shared" si="218"/>
        <v>1.8432117119180804</v>
      </c>
      <c r="CF223" s="38">
        <f t="shared" si="219"/>
        <v>1.565974426113026</v>
      </c>
      <c r="CG223" s="38">
        <f t="shared" si="220"/>
        <v>2.8864224027757239</v>
      </c>
    </row>
    <row r="224" spans="1:129" ht="15" customHeight="1" x14ac:dyDescent="0.25">
      <c r="A224" s="35" t="s">
        <v>254</v>
      </c>
      <c r="B224" s="15">
        <v>727</v>
      </c>
      <c r="C224" s="102" t="s">
        <v>95</v>
      </c>
      <c r="D224" s="103" t="s">
        <v>106</v>
      </c>
      <c r="E224" s="15">
        <v>238</v>
      </c>
      <c r="F224" s="15" t="s">
        <v>279</v>
      </c>
      <c r="G224" s="16">
        <v>3.4000000000000002E-2</v>
      </c>
      <c r="H224" s="16">
        <v>44.34</v>
      </c>
      <c r="I224" s="16">
        <v>9.1999999999999998E-2</v>
      </c>
      <c r="J224" s="16">
        <v>3.5000000000000003E-2</v>
      </c>
      <c r="K224" s="16">
        <v>44.15</v>
      </c>
      <c r="L224" s="16">
        <v>0.441</v>
      </c>
      <c r="M224" s="16">
        <v>2.38</v>
      </c>
      <c r="N224" s="16">
        <v>7.9000000000000001E-2</v>
      </c>
      <c r="O224" s="16">
        <v>2.5000000000000001E-2</v>
      </c>
      <c r="P224" s="16">
        <v>0.03</v>
      </c>
      <c r="Q224" s="16">
        <v>0</v>
      </c>
      <c r="T224" s="16">
        <f t="shared" si="170"/>
        <v>91.605999999999995</v>
      </c>
      <c r="U224" s="16"/>
      <c r="V224" s="16">
        <f t="shared" si="221"/>
        <v>34.924771278515792</v>
      </c>
      <c r="W224" s="16">
        <f t="shared" si="222"/>
        <v>10.251996678185401</v>
      </c>
      <c r="X224" s="16">
        <f t="shared" si="223"/>
        <v>92.632767956701187</v>
      </c>
      <c r="AD224" s="15">
        <v>3</v>
      </c>
      <c r="AE224" s="15">
        <v>2</v>
      </c>
      <c r="AG224" s="38">
        <f t="shared" si="171"/>
        <v>9.4498570900262437E-4</v>
      </c>
      <c r="AH224" s="38">
        <f t="shared" si="172"/>
        <v>0.92690213023121304</v>
      </c>
      <c r="AI224" s="38">
        <f t="shared" si="173"/>
        <v>3.0134517622324472E-3</v>
      </c>
      <c r="AJ224" s="38">
        <f t="shared" si="174"/>
        <v>7.6905831610079548E-4</v>
      </c>
      <c r="AK224" s="38">
        <f t="shared" si="175"/>
        <v>1.0260775441778827</v>
      </c>
      <c r="AL224" s="38">
        <f t="shared" si="176"/>
        <v>1.0380628599157138E-2</v>
      </c>
      <c r="AM224" s="38">
        <f t="shared" si="177"/>
        <v>9.8616176123608859E-2</v>
      </c>
      <c r="AN224" s="38">
        <f t="shared" si="178"/>
        <v>2.3523142204169129E-3</v>
      </c>
      <c r="AO224" s="38">
        <f t="shared" si="179"/>
        <v>1.3470840071009072E-3</v>
      </c>
      <c r="AP224" s="38">
        <f t="shared" si="180"/>
        <v>1.0635957549059135E-3</v>
      </c>
      <c r="AQ224" s="38">
        <f t="shared" si="181"/>
        <v>0</v>
      </c>
      <c r="AR224" s="38">
        <f t="shared" si="182"/>
        <v>0</v>
      </c>
      <c r="AS224" s="38">
        <f t="shared" si="183"/>
        <v>0</v>
      </c>
      <c r="AT224" s="39">
        <f t="shared" si="184"/>
        <v>2.0714669689016216</v>
      </c>
      <c r="AU224" s="38">
        <f t="shared" si="185"/>
        <v>3.9584374712350713E-3</v>
      </c>
      <c r="AV224" s="38">
        <f t="shared" si="186"/>
        <v>4.7629939824237336E-3</v>
      </c>
      <c r="AW224" s="40"/>
      <c r="AX224" s="38">
        <f t="shared" si="187"/>
        <v>9.1238308231745093E-4</v>
      </c>
      <c r="AY224" s="38">
        <f t="shared" si="188"/>
        <v>0.89492339887292083</v>
      </c>
      <c r="AZ224" s="38">
        <f t="shared" si="189"/>
        <v>2.9094857002043392E-3</v>
      </c>
      <c r="BA224" s="38">
        <f t="shared" si="190"/>
        <v>7.4252529984446952E-4</v>
      </c>
      <c r="BB224" s="38">
        <f t="shared" si="191"/>
        <v>0.78367326118012159</v>
      </c>
      <c r="BC224" s="38">
        <f t="shared" si="192"/>
        <v>0.207003934818762</v>
      </c>
      <c r="BD224" s="38">
        <f t="shared" si="193"/>
        <v>1.0022490104837523E-2</v>
      </c>
      <c r="BE224" s="38">
        <f t="shared" si="194"/>
        <v>9.5213853374547686E-2</v>
      </c>
      <c r="BF224" s="38">
        <f t="shared" si="195"/>
        <v>2.271157837157508E-3</v>
      </c>
      <c r="BG224" s="38">
        <f t="shared" si="196"/>
        <v>1.3006087254340219E-3</v>
      </c>
      <c r="BH224" s="38">
        <f t="shared" si="197"/>
        <v>1.0269010038522377E-3</v>
      </c>
      <c r="BI224" s="38">
        <f t="shared" si="198"/>
        <v>0</v>
      </c>
      <c r="BJ224" s="38">
        <f t="shared" si="199"/>
        <v>0</v>
      </c>
      <c r="BK224" s="38">
        <f t="shared" si="200"/>
        <v>0</v>
      </c>
      <c r="BL224" s="41">
        <f t="shared" si="201"/>
        <v>1.9999999999999996</v>
      </c>
      <c r="BM224" s="42">
        <f t="shared" si="224"/>
        <v>3</v>
      </c>
      <c r="BN224" s="38">
        <f t="shared" si="202"/>
        <v>3.8218687825217904E-3</v>
      </c>
      <c r="BO224" s="38">
        <f t="shared" si="203"/>
        <v>4.5986675664437676E-3</v>
      </c>
      <c r="BQ224" s="38">
        <f t="shared" si="204"/>
        <v>5.6591211717709725E-4</v>
      </c>
      <c r="BR224" s="38">
        <f t="shared" si="205"/>
        <v>0.55508262393590391</v>
      </c>
      <c r="BS224" s="38">
        <f t="shared" si="206"/>
        <v>1.8046292663789721E-3</v>
      </c>
      <c r="BT224" s="38">
        <f t="shared" si="207"/>
        <v>4.605566155668136E-4</v>
      </c>
      <c r="BU224" s="38">
        <f t="shared" si="208"/>
        <v>0.6144745998608212</v>
      </c>
      <c r="BV224" s="38">
        <f t="shared" si="209"/>
        <v>6.2165210036650691E-3</v>
      </c>
      <c r="BW224" s="38">
        <f t="shared" si="210"/>
        <v>5.9057071960297768E-2</v>
      </c>
      <c r="BX224" s="38">
        <f t="shared" si="211"/>
        <v>1.4087018544935808E-3</v>
      </c>
      <c r="BY224" s="38">
        <f t="shared" si="212"/>
        <v>8.067118425298484E-4</v>
      </c>
      <c r="BZ224" s="38">
        <f t="shared" si="213"/>
        <v>6.3694267515923564E-4</v>
      </c>
      <c r="CA224" s="38">
        <f t="shared" si="214"/>
        <v>0</v>
      </c>
      <c r="CB224" s="38">
        <f t="shared" si="215"/>
        <v>0</v>
      </c>
      <c r="CC224" s="38">
        <f t="shared" si="216"/>
        <v>0</v>
      </c>
      <c r="CD224" s="38">
        <f t="shared" si="217"/>
        <v>1.2405142711319936</v>
      </c>
      <c r="CE224" s="38">
        <f t="shared" si="218"/>
        <v>1.7965735728672028</v>
      </c>
      <c r="CF224" s="38">
        <f t="shared" si="219"/>
        <v>1.6122345760480132</v>
      </c>
      <c r="CG224" s="38">
        <f t="shared" si="220"/>
        <v>2.8964980325906189</v>
      </c>
    </row>
    <row r="225" spans="1:129" ht="15" customHeight="1" x14ac:dyDescent="0.25">
      <c r="A225" s="35" t="s">
        <v>254</v>
      </c>
      <c r="B225" s="15">
        <v>728</v>
      </c>
      <c r="C225" s="102" t="s">
        <v>95</v>
      </c>
      <c r="D225" s="103" t="s">
        <v>106</v>
      </c>
      <c r="E225" s="15">
        <v>239</v>
      </c>
      <c r="F225" s="15" t="s">
        <v>279</v>
      </c>
      <c r="G225" s="16">
        <v>0</v>
      </c>
      <c r="H225" s="16">
        <v>42.17</v>
      </c>
      <c r="I225" s="16">
        <v>9.2999999999999999E-2</v>
      </c>
      <c r="J225" s="16">
        <v>5.8999999999999997E-2</v>
      </c>
      <c r="K225" s="16">
        <v>49.42</v>
      </c>
      <c r="L225" s="16">
        <v>0.47399999999999998</v>
      </c>
      <c r="M225" s="16">
        <v>2.5299999999999998</v>
      </c>
      <c r="N225" s="16">
        <v>2.4E-2</v>
      </c>
      <c r="O225" s="16">
        <v>4.9000000000000002E-2</v>
      </c>
      <c r="P225" s="16">
        <v>0</v>
      </c>
      <c r="Q225" s="16">
        <v>0</v>
      </c>
      <c r="T225" s="16">
        <f t="shared" si="170"/>
        <v>94.819000000000017</v>
      </c>
      <c r="U225" s="16"/>
      <c r="V225" s="16">
        <f t="shared" si="221"/>
        <v>32.682103825539613</v>
      </c>
      <c r="W225" s="16">
        <f t="shared" si="222"/>
        <v>18.60082401867782</v>
      </c>
      <c r="X225" s="16">
        <f t="shared" si="223"/>
        <v>96.681927844217427</v>
      </c>
      <c r="AD225" s="15">
        <v>3</v>
      </c>
      <c r="AE225" s="15">
        <v>2</v>
      </c>
      <c r="AG225" s="38">
        <f t="shared" si="171"/>
        <v>0</v>
      </c>
      <c r="AH225" s="38">
        <f t="shared" si="172"/>
        <v>0.87103692758653417</v>
      </c>
      <c r="AI225" s="38">
        <f t="shared" si="173"/>
        <v>3.0099143666433136E-3</v>
      </c>
      <c r="AJ225" s="38">
        <f t="shared" si="174"/>
        <v>1.2809672156242722E-3</v>
      </c>
      <c r="AK225" s="38">
        <f t="shared" si="175"/>
        <v>1.1348722874888921</v>
      </c>
      <c r="AL225" s="38">
        <f t="shared" si="176"/>
        <v>1.1024481677843716E-2</v>
      </c>
      <c r="AM225" s="38">
        <f t="shared" si="177"/>
        <v>0.10358252596414916</v>
      </c>
      <c r="AN225" s="38">
        <f t="shared" si="178"/>
        <v>7.0611308458642561E-4</v>
      </c>
      <c r="AO225" s="38">
        <f t="shared" si="179"/>
        <v>2.6088284761169337E-3</v>
      </c>
      <c r="AP225" s="38">
        <f t="shared" si="180"/>
        <v>0</v>
      </c>
      <c r="AQ225" s="38">
        <f t="shared" si="181"/>
        <v>0</v>
      </c>
      <c r="AR225" s="38">
        <f t="shared" si="182"/>
        <v>0</v>
      </c>
      <c r="AS225" s="38">
        <f t="shared" si="183"/>
        <v>0</v>
      </c>
      <c r="AT225" s="39">
        <f t="shared" si="184"/>
        <v>2.12812204586039</v>
      </c>
      <c r="AU225" s="38">
        <f t="shared" si="185"/>
        <v>3.0099143666433136E-3</v>
      </c>
      <c r="AV225" s="38">
        <f t="shared" si="186"/>
        <v>3.3149415607033592E-3</v>
      </c>
      <c r="AW225" s="40"/>
      <c r="AX225" s="38">
        <f t="shared" si="187"/>
        <v>0</v>
      </c>
      <c r="AY225" s="38">
        <f t="shared" si="188"/>
        <v>0.81859678046272755</v>
      </c>
      <c r="AZ225" s="38">
        <f t="shared" si="189"/>
        <v>2.8287046530044461E-3</v>
      </c>
      <c r="BA225" s="38">
        <f t="shared" si="190"/>
        <v>1.203847512520254E-3</v>
      </c>
      <c r="BB225" s="38">
        <f t="shared" si="191"/>
        <v>0.70532247092463685</v>
      </c>
      <c r="BC225" s="38">
        <f t="shared" si="192"/>
        <v>0.36122565275693352</v>
      </c>
      <c r="BD225" s="38">
        <f t="shared" si="193"/>
        <v>1.0360760746112724E-2</v>
      </c>
      <c r="BE225" s="38">
        <f t="shared" si="194"/>
        <v>9.7346415038213854E-2</v>
      </c>
      <c r="BF225" s="38">
        <f t="shared" si="195"/>
        <v>6.6360205793643495E-4</v>
      </c>
      <c r="BG225" s="38">
        <f t="shared" si="196"/>
        <v>2.4517658479142309E-3</v>
      </c>
      <c r="BH225" s="38">
        <f t="shared" si="197"/>
        <v>0</v>
      </c>
      <c r="BI225" s="38">
        <f t="shared" si="198"/>
        <v>0</v>
      </c>
      <c r="BJ225" s="38">
        <f t="shared" si="199"/>
        <v>0</v>
      </c>
      <c r="BK225" s="38">
        <f t="shared" si="200"/>
        <v>0</v>
      </c>
      <c r="BL225" s="41">
        <f t="shared" si="201"/>
        <v>1.9999999999999998</v>
      </c>
      <c r="BM225" s="42">
        <f t="shared" si="224"/>
        <v>2.9999999999999996</v>
      </c>
      <c r="BN225" s="38">
        <f t="shared" si="202"/>
        <v>2.8287046530044461E-3</v>
      </c>
      <c r="BO225" s="38">
        <f t="shared" si="203"/>
        <v>3.1153679058506657E-3</v>
      </c>
      <c r="BQ225" s="38">
        <f t="shared" si="204"/>
        <v>0</v>
      </c>
      <c r="BR225" s="38">
        <f t="shared" si="205"/>
        <v>0.52791687531296949</v>
      </c>
      <c r="BS225" s="38">
        <f t="shared" si="206"/>
        <v>1.8242448018830914E-3</v>
      </c>
      <c r="BT225" s="38">
        <f t="shared" si="207"/>
        <v>7.7636686624119999E-4</v>
      </c>
      <c r="BU225" s="38">
        <f t="shared" si="208"/>
        <v>0.68782185107863614</v>
      </c>
      <c r="BV225" s="38">
        <f t="shared" si="209"/>
        <v>6.681702847476741E-3</v>
      </c>
      <c r="BW225" s="38">
        <f t="shared" si="210"/>
        <v>6.2779156327543426E-2</v>
      </c>
      <c r="BX225" s="38">
        <f t="shared" si="211"/>
        <v>4.2796005706134097E-4</v>
      </c>
      <c r="BY225" s="38">
        <f t="shared" si="212"/>
        <v>1.5811552113585029E-3</v>
      </c>
      <c r="BZ225" s="38">
        <f t="shared" si="213"/>
        <v>0</v>
      </c>
      <c r="CA225" s="38">
        <f t="shared" si="214"/>
        <v>0</v>
      </c>
      <c r="CB225" s="38">
        <f t="shared" si="215"/>
        <v>0</v>
      </c>
      <c r="CC225" s="38">
        <f t="shared" si="216"/>
        <v>0</v>
      </c>
      <c r="CD225" s="38">
        <f t="shared" si="217"/>
        <v>1.28980931250317</v>
      </c>
      <c r="CE225" s="38">
        <f t="shared" si="218"/>
        <v>1.8182359160445225</v>
      </c>
      <c r="CF225" s="38">
        <f t="shared" si="219"/>
        <v>1.5506168087114696</v>
      </c>
      <c r="CG225" s="38">
        <f t="shared" si="220"/>
        <v>2.819387173621533</v>
      </c>
    </row>
    <row r="226" spans="1:129" ht="15" customHeight="1" x14ac:dyDescent="0.25">
      <c r="A226" s="35" t="s">
        <v>254</v>
      </c>
      <c r="B226" s="15">
        <v>729</v>
      </c>
      <c r="C226" s="102" t="s">
        <v>95</v>
      </c>
      <c r="D226" s="103" t="s">
        <v>106</v>
      </c>
      <c r="E226" s="15">
        <v>240</v>
      </c>
      <c r="F226" s="15" t="s">
        <v>279</v>
      </c>
      <c r="G226" s="16">
        <v>7.5999999999999998E-2</v>
      </c>
      <c r="H226" s="16">
        <v>41.41</v>
      </c>
      <c r="I226" s="16">
        <v>0.122</v>
      </c>
      <c r="J226" s="16">
        <v>4.5999999999999999E-2</v>
      </c>
      <c r="K226" s="16">
        <v>50.25</v>
      </c>
      <c r="L226" s="16">
        <v>0.48499999999999999</v>
      </c>
      <c r="M226" s="16">
        <v>2.46</v>
      </c>
      <c r="N226" s="16">
        <v>4.8000000000000001E-2</v>
      </c>
      <c r="O226" s="16">
        <v>4.9000000000000002E-2</v>
      </c>
      <c r="P226" s="16">
        <v>0</v>
      </c>
      <c r="Q226" s="16">
        <v>0</v>
      </c>
      <c r="T226" s="16">
        <f t="shared" si="170"/>
        <v>94.945999999999998</v>
      </c>
      <c r="U226" s="16"/>
      <c r="V226" s="16">
        <f t="shared" si="221"/>
        <v>32.172303693426791</v>
      </c>
      <c r="W226" s="16">
        <f t="shared" si="222"/>
        <v>20.089743905494803</v>
      </c>
      <c r="X226" s="16">
        <f t="shared" si="223"/>
        <v>96.958047598921596</v>
      </c>
      <c r="AD226" s="15">
        <v>3</v>
      </c>
      <c r="AE226" s="15">
        <v>2</v>
      </c>
      <c r="AG226" s="38">
        <f t="shared" si="171"/>
        <v>2.0934921864191147E-3</v>
      </c>
      <c r="AH226" s="38">
        <f t="shared" si="172"/>
        <v>0.85793591823460547</v>
      </c>
      <c r="AI226" s="38">
        <f t="shared" si="173"/>
        <v>3.9604786418635206E-3</v>
      </c>
      <c r="AJ226" s="38">
        <f t="shared" si="174"/>
        <v>1.0017526232270783E-3</v>
      </c>
      <c r="AK226" s="38">
        <f t="shared" si="175"/>
        <v>1.157435955873537</v>
      </c>
      <c r="AL226" s="38">
        <f t="shared" si="176"/>
        <v>1.1314574607457247E-2</v>
      </c>
      <c r="AM226" s="38">
        <f t="shared" si="177"/>
        <v>0.10102241281760109</v>
      </c>
      <c r="AN226" s="38">
        <f t="shared" si="178"/>
        <v>1.4165141214812721E-3</v>
      </c>
      <c r="AO226" s="38">
        <f t="shared" si="179"/>
        <v>2.6167496804754336E-3</v>
      </c>
      <c r="AP226" s="38">
        <f t="shared" si="180"/>
        <v>0</v>
      </c>
      <c r="AQ226" s="38">
        <f t="shared" si="181"/>
        <v>0</v>
      </c>
      <c r="AR226" s="38">
        <f t="shared" si="182"/>
        <v>0</v>
      </c>
      <c r="AS226" s="38">
        <f t="shared" si="183"/>
        <v>0</v>
      </c>
      <c r="AT226" s="39">
        <f t="shared" si="184"/>
        <v>2.138797848786667</v>
      </c>
      <c r="AU226" s="38">
        <f t="shared" si="185"/>
        <v>6.0539708282826357E-3</v>
      </c>
      <c r="AV226" s="38">
        <f t="shared" si="186"/>
        <v>4.0332638019567055E-3</v>
      </c>
      <c r="AW226" s="40"/>
      <c r="AX226" s="38">
        <f t="shared" si="187"/>
        <v>1.9576344605047604E-3</v>
      </c>
      <c r="AY226" s="38">
        <f t="shared" si="188"/>
        <v>0.80225994122942434</v>
      </c>
      <c r="AZ226" s="38">
        <f t="shared" si="189"/>
        <v>3.7034623390053306E-3</v>
      </c>
      <c r="BA226" s="38">
        <f t="shared" si="190"/>
        <v>9.3674362333529481E-4</v>
      </c>
      <c r="BB226" s="38">
        <f t="shared" si="191"/>
        <v>0.69295226749356087</v>
      </c>
      <c r="BC226" s="38">
        <f t="shared" si="192"/>
        <v>0.3893715776796951</v>
      </c>
      <c r="BD226" s="38">
        <f t="shared" si="193"/>
        <v>1.0580312313177204E-2</v>
      </c>
      <c r="BE226" s="38">
        <f t="shared" si="194"/>
        <v>9.446653677430128E-2</v>
      </c>
      <c r="BF226" s="38">
        <f t="shared" si="195"/>
        <v>1.3245890651001502E-3</v>
      </c>
      <c r="BG226" s="38">
        <f t="shared" si="196"/>
        <v>2.446935021895507E-3</v>
      </c>
      <c r="BH226" s="38">
        <f t="shared" si="197"/>
        <v>0</v>
      </c>
      <c r="BI226" s="38">
        <f t="shared" si="198"/>
        <v>0</v>
      </c>
      <c r="BJ226" s="38">
        <f t="shared" si="199"/>
        <v>0</v>
      </c>
      <c r="BK226" s="38">
        <f t="shared" si="200"/>
        <v>0</v>
      </c>
      <c r="BL226" s="41">
        <f t="shared" si="201"/>
        <v>1.9999999999999996</v>
      </c>
      <c r="BM226" s="42">
        <f t="shared" si="224"/>
        <v>2.9999999999999991</v>
      </c>
      <c r="BN226" s="38">
        <f t="shared" si="202"/>
        <v>5.661096799510091E-3</v>
      </c>
      <c r="BO226" s="38">
        <f t="shared" si="203"/>
        <v>3.7715240869956573E-3</v>
      </c>
      <c r="BQ226" s="38">
        <f t="shared" si="204"/>
        <v>1.2649800266311584E-3</v>
      </c>
      <c r="BR226" s="38">
        <f t="shared" si="205"/>
        <v>0.51840260390585879</v>
      </c>
      <c r="BS226" s="38">
        <f t="shared" si="206"/>
        <v>2.3930953315025503E-3</v>
      </c>
      <c r="BT226" s="38">
        <f t="shared" si="207"/>
        <v>6.0530298045924065E-4</v>
      </c>
      <c r="BU226" s="38">
        <f t="shared" si="208"/>
        <v>0.69937369519832993</v>
      </c>
      <c r="BV226" s="38">
        <f t="shared" si="209"/>
        <v>6.8367634620806316E-3</v>
      </c>
      <c r="BW226" s="38">
        <f t="shared" si="210"/>
        <v>6.1042183622828788E-2</v>
      </c>
      <c r="BX226" s="38">
        <f t="shared" si="211"/>
        <v>8.5592011412268193E-4</v>
      </c>
      <c r="BY226" s="38">
        <f t="shared" si="212"/>
        <v>1.5811552113585029E-3</v>
      </c>
      <c r="BZ226" s="38">
        <f t="shared" si="213"/>
        <v>0</v>
      </c>
      <c r="CA226" s="38">
        <f t="shared" si="214"/>
        <v>0</v>
      </c>
      <c r="CB226" s="38">
        <f t="shared" si="215"/>
        <v>0</v>
      </c>
      <c r="CC226" s="38">
        <f t="shared" si="216"/>
        <v>0</v>
      </c>
      <c r="CD226" s="38">
        <f t="shared" si="217"/>
        <v>1.2923556998531722</v>
      </c>
      <c r="CE226" s="38">
        <f t="shared" si="218"/>
        <v>1.8127319053359641</v>
      </c>
      <c r="CF226" s="38">
        <f t="shared" si="219"/>
        <v>1.5475615577253421</v>
      </c>
      <c r="CG226" s="38">
        <f t="shared" si="220"/>
        <v>2.8053142111601521</v>
      </c>
    </row>
    <row r="227" spans="1:129" ht="15" customHeight="1" x14ac:dyDescent="0.25">
      <c r="A227" s="35" t="s">
        <v>254</v>
      </c>
      <c r="B227" s="15">
        <v>730</v>
      </c>
      <c r="C227" s="102" t="s">
        <v>95</v>
      </c>
      <c r="D227" s="103" t="s">
        <v>106</v>
      </c>
      <c r="E227" s="15">
        <v>241</v>
      </c>
      <c r="F227" s="15" t="s">
        <v>279</v>
      </c>
      <c r="G227" s="16">
        <v>4.3999999999999997E-2</v>
      </c>
      <c r="H227" s="16">
        <v>43.42</v>
      </c>
      <c r="I227" s="16">
        <v>0.13</v>
      </c>
      <c r="J227" s="16">
        <v>1.7999999999999999E-2</v>
      </c>
      <c r="K227" s="16">
        <v>48.28</v>
      </c>
      <c r="L227" s="16">
        <v>0.442</v>
      </c>
      <c r="M227" s="16">
        <v>2.89</v>
      </c>
      <c r="N227" s="16">
        <v>7.5999999999999998E-2</v>
      </c>
      <c r="O227" s="16">
        <v>2.4E-2</v>
      </c>
      <c r="P227" s="16">
        <v>1.2E-2</v>
      </c>
      <c r="Q227" s="16">
        <v>0</v>
      </c>
      <c r="T227" s="16">
        <f t="shared" si="170"/>
        <v>95.335999999999984</v>
      </c>
      <c r="U227" s="16"/>
      <c r="V227" s="16">
        <f t="shared" si="221"/>
        <v>33.262331034267561</v>
      </c>
      <c r="W227" s="16">
        <f t="shared" si="222"/>
        <v>16.689135521618454</v>
      </c>
      <c r="X227" s="16">
        <f t="shared" si="223"/>
        <v>97.007466555886026</v>
      </c>
      <c r="AD227" s="15">
        <v>3</v>
      </c>
      <c r="AE227" s="15">
        <v>2</v>
      </c>
      <c r="AG227" s="38">
        <f t="shared" si="171"/>
        <v>1.1911186897641125E-3</v>
      </c>
      <c r="AH227" s="38">
        <f t="shared" si="172"/>
        <v>0.88406469945094668</v>
      </c>
      <c r="AI227" s="38">
        <f t="shared" si="173"/>
        <v>4.1473988973098298E-3</v>
      </c>
      <c r="AJ227" s="38">
        <f t="shared" si="174"/>
        <v>3.8522970885001455E-4</v>
      </c>
      <c r="AK227" s="38">
        <f t="shared" si="175"/>
        <v>1.0928807481925813</v>
      </c>
      <c r="AL227" s="38">
        <f t="shared" si="176"/>
        <v>1.0133591001811493E-2</v>
      </c>
      <c r="AM227" s="38">
        <f t="shared" si="177"/>
        <v>0.11663397667841789</v>
      </c>
      <c r="AN227" s="38">
        <f t="shared" si="178"/>
        <v>2.2041333918096386E-3</v>
      </c>
      <c r="AO227" s="38">
        <f t="shared" si="179"/>
        <v>1.2595689673682634E-3</v>
      </c>
      <c r="AP227" s="38">
        <f t="shared" si="180"/>
        <v>4.1437412206732989E-4</v>
      </c>
      <c r="AQ227" s="38">
        <f t="shared" si="181"/>
        <v>0</v>
      </c>
      <c r="AR227" s="38">
        <f t="shared" si="182"/>
        <v>0</v>
      </c>
      <c r="AS227" s="38">
        <f t="shared" si="183"/>
        <v>0</v>
      </c>
      <c r="AT227" s="39">
        <f t="shared" si="184"/>
        <v>2.1133148391009264</v>
      </c>
      <c r="AU227" s="38">
        <f t="shared" si="185"/>
        <v>5.3385175870739425E-3</v>
      </c>
      <c r="AV227" s="38">
        <f t="shared" si="186"/>
        <v>3.8780764812452314E-3</v>
      </c>
      <c r="AW227" s="40"/>
      <c r="AX227" s="38">
        <f t="shared" si="187"/>
        <v>1.1272515270567575E-3</v>
      </c>
      <c r="AY227" s="38">
        <f t="shared" si="188"/>
        <v>0.83666161150607998</v>
      </c>
      <c r="AZ227" s="38">
        <f t="shared" si="189"/>
        <v>3.9250175322426348E-3</v>
      </c>
      <c r="BA227" s="38">
        <f t="shared" si="190"/>
        <v>3.6457389284589887E-4</v>
      </c>
      <c r="BB227" s="38">
        <f t="shared" si="191"/>
        <v>0.71256418301603008</v>
      </c>
      <c r="BC227" s="38">
        <f t="shared" si="192"/>
        <v>0.32171686964295643</v>
      </c>
      <c r="BD227" s="38">
        <f t="shared" si="193"/>
        <v>9.5902331392540233E-3</v>
      </c>
      <c r="BE227" s="38">
        <f t="shared" si="194"/>
        <v>0.11038012369991954</v>
      </c>
      <c r="BF227" s="38">
        <f t="shared" si="195"/>
        <v>2.085948909294887E-3</v>
      </c>
      <c r="BG227" s="38">
        <f t="shared" si="196"/>
        <v>1.1920315364880752E-3</v>
      </c>
      <c r="BH227" s="38">
        <f t="shared" si="197"/>
        <v>3.9215559783190495E-4</v>
      </c>
      <c r="BI227" s="38">
        <f t="shared" si="198"/>
        <v>0</v>
      </c>
      <c r="BJ227" s="38">
        <f t="shared" si="199"/>
        <v>0</v>
      </c>
      <c r="BK227" s="38">
        <f t="shared" si="200"/>
        <v>0</v>
      </c>
      <c r="BL227" s="41">
        <f t="shared" si="201"/>
        <v>2.0000000000000004</v>
      </c>
      <c r="BM227" s="42">
        <f t="shared" si="224"/>
        <v>2.9999999999999991</v>
      </c>
      <c r="BN227" s="38">
        <f t="shared" si="202"/>
        <v>5.0522690592993925E-3</v>
      </c>
      <c r="BO227" s="38">
        <f t="shared" si="203"/>
        <v>3.6701360436148674E-3</v>
      </c>
      <c r="BQ227" s="38">
        <f t="shared" si="204"/>
        <v>7.3235685752330224E-4</v>
      </c>
      <c r="BR227" s="38">
        <f t="shared" si="205"/>
        <v>0.54356534802203316</v>
      </c>
      <c r="BS227" s="38">
        <f t="shared" si="206"/>
        <v>2.5500196155355042E-3</v>
      </c>
      <c r="BT227" s="38">
        <f t="shared" si="207"/>
        <v>2.3685768800578983E-4</v>
      </c>
      <c r="BU227" s="38">
        <f t="shared" si="208"/>
        <v>0.67195546276965912</v>
      </c>
      <c r="BV227" s="38">
        <f t="shared" si="209"/>
        <v>6.2306174231745136E-3</v>
      </c>
      <c r="BW227" s="38">
        <f t="shared" si="210"/>
        <v>7.1712158808933016E-2</v>
      </c>
      <c r="BX227" s="38">
        <f t="shared" si="211"/>
        <v>1.3552068473609131E-3</v>
      </c>
      <c r="BY227" s="38">
        <f t="shared" si="212"/>
        <v>7.7444336882865445E-4</v>
      </c>
      <c r="BZ227" s="38">
        <f t="shared" si="213"/>
        <v>2.5477707006369424E-4</v>
      </c>
      <c r="CA227" s="38">
        <f t="shared" si="214"/>
        <v>0</v>
      </c>
      <c r="CB227" s="38">
        <f t="shared" si="215"/>
        <v>0</v>
      </c>
      <c r="CC227" s="38">
        <f t="shared" si="216"/>
        <v>0</v>
      </c>
      <c r="CD227" s="38">
        <f t="shared" si="217"/>
        <v>1.2993672484711176</v>
      </c>
      <c r="CE227" s="38">
        <f t="shared" si="218"/>
        <v>1.8445437817829988</v>
      </c>
      <c r="CF227" s="38">
        <f t="shared" si="219"/>
        <v>1.5392107214902271</v>
      </c>
      <c r="CG227" s="38">
        <f t="shared" si="220"/>
        <v>2.8391415651785215</v>
      </c>
    </row>
    <row r="228" spans="1:129" ht="15" customHeight="1" x14ac:dyDescent="0.25">
      <c r="A228" s="35" t="s">
        <v>254</v>
      </c>
      <c r="B228" s="15">
        <v>744</v>
      </c>
      <c r="C228" s="102" t="s">
        <v>95</v>
      </c>
      <c r="D228" s="103" t="s">
        <v>106</v>
      </c>
      <c r="E228" s="15">
        <v>255</v>
      </c>
      <c r="F228" s="15" t="s">
        <v>276</v>
      </c>
      <c r="G228" s="16">
        <v>100.6</v>
      </c>
      <c r="H228" s="16">
        <v>0</v>
      </c>
      <c r="I228" s="16">
        <v>4.3999999999999997E-2</v>
      </c>
      <c r="J228" s="16">
        <v>0</v>
      </c>
      <c r="K228" s="16">
        <v>0</v>
      </c>
      <c r="L228" s="16">
        <v>0</v>
      </c>
      <c r="M228" s="16">
        <v>0</v>
      </c>
      <c r="N228" s="16">
        <v>1.6E-2</v>
      </c>
      <c r="O228" s="16">
        <v>2.4E-2</v>
      </c>
      <c r="P228" s="16">
        <v>0.01</v>
      </c>
      <c r="T228" s="16">
        <f t="shared" si="170"/>
        <v>100.694</v>
      </c>
      <c r="U228" s="16"/>
      <c r="V228" s="16" t="e">
        <f t="shared" si="221"/>
        <v>#DIV/0!</v>
      </c>
      <c r="W228" s="16" t="e">
        <f t="shared" si="222"/>
        <v>#DIV/0!</v>
      </c>
      <c r="X228" s="16" t="e">
        <f t="shared" si="223"/>
        <v>#DIV/0!</v>
      </c>
      <c r="AB228" s="15" t="s">
        <v>277</v>
      </c>
      <c r="AD228" s="15">
        <v>2</v>
      </c>
      <c r="AE228" s="15">
        <v>1</v>
      </c>
      <c r="AG228" s="38">
        <f t="shared" si="171"/>
        <v>0.99938127512724262</v>
      </c>
      <c r="AH228" s="38">
        <f t="shared" si="172"/>
        <v>0</v>
      </c>
      <c r="AI228" s="38">
        <f t="shared" si="173"/>
        <v>5.1512899621189477E-4</v>
      </c>
      <c r="AJ228" s="38">
        <f t="shared" si="174"/>
        <v>0</v>
      </c>
      <c r="AK228" s="38">
        <f t="shared" si="175"/>
        <v>0</v>
      </c>
      <c r="AL228" s="38">
        <f t="shared" si="176"/>
        <v>0</v>
      </c>
      <c r="AM228" s="38">
        <f t="shared" si="177"/>
        <v>0</v>
      </c>
      <c r="AN228" s="38">
        <f t="shared" si="178"/>
        <v>1.7028450412970037E-4</v>
      </c>
      <c r="AO228" s="38">
        <f t="shared" si="179"/>
        <v>4.6222434615651487E-4</v>
      </c>
      <c r="AP228" s="38">
        <f t="shared" si="180"/>
        <v>1.2671914797762204E-4</v>
      </c>
      <c r="AQ228" s="38">
        <f t="shared" si="181"/>
        <v>0</v>
      </c>
      <c r="AR228" s="38">
        <f t="shared" si="182"/>
        <v>0</v>
      </c>
      <c r="AS228" s="38">
        <f t="shared" si="183"/>
        <v>0</v>
      </c>
      <c r="AT228" s="39">
        <f t="shared" si="184"/>
        <v>1.0006556321217184</v>
      </c>
      <c r="AU228" s="38">
        <f t="shared" si="185"/>
        <v>0.99989640412345449</v>
      </c>
      <c r="AV228" s="38">
        <f t="shared" si="186"/>
        <v>7.5922799826383738E-4</v>
      </c>
      <c r="AW228" s="40"/>
      <c r="AX228" s="38">
        <f t="shared" si="187"/>
        <v>0.99872647796747649</v>
      </c>
      <c r="AY228" s="38">
        <f t="shared" si="188"/>
        <v>0</v>
      </c>
      <c r="AZ228" s="38">
        <f t="shared" si="189"/>
        <v>5.147914823800593E-4</v>
      </c>
      <c r="BA228" s="38">
        <f t="shared" si="190"/>
        <v>0</v>
      </c>
      <c r="BB228" s="38">
        <f t="shared" si="191"/>
        <v>0</v>
      </c>
      <c r="BC228" s="38">
        <f t="shared" si="192"/>
        <v>0</v>
      </c>
      <c r="BD228" s="38">
        <f t="shared" si="193"/>
        <v>0</v>
      </c>
      <c r="BE228" s="38">
        <f t="shared" si="194"/>
        <v>0</v>
      </c>
      <c r="BF228" s="38">
        <f t="shared" si="195"/>
        <v>1.7017293328838948E-4</v>
      </c>
      <c r="BG228" s="38">
        <f t="shared" si="196"/>
        <v>4.6192149558629635E-4</v>
      </c>
      <c r="BH228" s="38">
        <f t="shared" si="197"/>
        <v>1.2663612126874842E-4</v>
      </c>
      <c r="BI228" s="38">
        <f t="shared" si="198"/>
        <v>0</v>
      </c>
      <c r="BJ228" s="38">
        <f t="shared" si="199"/>
        <v>0</v>
      </c>
      <c r="BK228" s="38">
        <f t="shared" si="200"/>
        <v>0</v>
      </c>
      <c r="BL228" s="41">
        <f t="shared" si="201"/>
        <v>1</v>
      </c>
      <c r="BM228" s="42">
        <f t="shared" si="224"/>
        <v>1.998689594900239</v>
      </c>
      <c r="BN228" s="38">
        <f t="shared" si="202"/>
        <v>0.99924126944985658</v>
      </c>
      <c r="BO228" s="38">
        <f t="shared" si="203"/>
        <v>7.5873055014343427E-4</v>
      </c>
      <c r="BQ228" s="38">
        <f t="shared" si="204"/>
        <v>1.6744340878828228</v>
      </c>
      <c r="BR228" s="38">
        <f t="shared" si="205"/>
        <v>0</v>
      </c>
      <c r="BS228" s="38">
        <f t="shared" si="206"/>
        <v>8.6308356218124758E-4</v>
      </c>
      <c r="BT228" s="38">
        <f t="shared" si="207"/>
        <v>0</v>
      </c>
      <c r="BU228" s="38">
        <f t="shared" si="208"/>
        <v>0</v>
      </c>
      <c r="BV228" s="38">
        <f t="shared" si="209"/>
        <v>0</v>
      </c>
      <c r="BW228" s="38">
        <f t="shared" si="210"/>
        <v>0</v>
      </c>
      <c r="BX228" s="38">
        <f t="shared" si="211"/>
        <v>2.8530670470756063E-4</v>
      </c>
      <c r="BY228" s="38">
        <f t="shared" si="212"/>
        <v>7.7444336882865445E-4</v>
      </c>
      <c r="BZ228" s="38">
        <f t="shared" si="213"/>
        <v>2.1231422505307856E-4</v>
      </c>
      <c r="CA228" s="38">
        <f t="shared" si="214"/>
        <v>0</v>
      </c>
      <c r="CB228" s="38">
        <f t="shared" si="215"/>
        <v>0</v>
      </c>
      <c r="CC228" s="38">
        <f t="shared" si="216"/>
        <v>0</v>
      </c>
      <c r="CD228" s="38">
        <f t="shared" si="217"/>
        <v>1.6765692357435933</v>
      </c>
      <c r="CE228" s="38">
        <f t="shared" si="218"/>
        <v>3.3509414866105662</v>
      </c>
      <c r="CF228" s="38">
        <f t="shared" si="219"/>
        <v>0.59645613117580509</v>
      </c>
      <c r="CG228" s="38">
        <f t="shared" si="220"/>
        <v>1.9986895949002392</v>
      </c>
    </row>
    <row r="229" spans="1:129" ht="15" customHeight="1" x14ac:dyDescent="0.25">
      <c r="A229" s="35" t="s">
        <v>254</v>
      </c>
      <c r="B229" s="15">
        <v>770</v>
      </c>
      <c r="C229" s="102" t="s">
        <v>95</v>
      </c>
      <c r="D229" s="103" t="s">
        <v>106</v>
      </c>
      <c r="E229" s="15">
        <v>281</v>
      </c>
      <c r="F229" s="15" t="s">
        <v>270</v>
      </c>
      <c r="G229" s="16">
        <v>51.18</v>
      </c>
      <c r="H229" s="16">
        <v>0.89900000000000002</v>
      </c>
      <c r="I229" s="16">
        <v>3.77</v>
      </c>
      <c r="J229" s="16">
        <v>6.5000000000000002E-2</v>
      </c>
      <c r="K229" s="16">
        <v>9.82</v>
      </c>
      <c r="L229" s="16">
        <v>0.22500000000000001</v>
      </c>
      <c r="M229" s="16">
        <v>17.8</v>
      </c>
      <c r="N229" s="16">
        <v>10.91</v>
      </c>
      <c r="O229" s="16">
        <v>2.08</v>
      </c>
      <c r="P229" s="16">
        <v>0.46300000000000002</v>
      </c>
      <c r="S229" s="16">
        <v>0.154</v>
      </c>
      <c r="T229" s="16">
        <f t="shared" si="170"/>
        <v>97.365999999999985</v>
      </c>
      <c r="U229" s="16"/>
      <c r="V229" s="16">
        <f t="shared" si="221"/>
        <v>0</v>
      </c>
      <c r="W229" s="16">
        <f t="shared" si="222"/>
        <v>10.912965999999997</v>
      </c>
      <c r="X229" s="16">
        <f t="shared" si="223"/>
        <v>98.458966000000004</v>
      </c>
      <c r="Y229" s="15">
        <v>1</v>
      </c>
      <c r="AD229" s="15">
        <v>8</v>
      </c>
      <c r="AE229" s="15">
        <v>5</v>
      </c>
      <c r="AG229" s="38">
        <f t="shared" si="171"/>
        <v>2.5708657234040526</v>
      </c>
      <c r="AH229" s="38">
        <f t="shared" si="172"/>
        <v>3.396492594089498E-2</v>
      </c>
      <c r="AI229" s="38">
        <f t="shared" si="173"/>
        <v>0.22317757560879653</v>
      </c>
      <c r="AJ229" s="38">
        <f t="shared" si="174"/>
        <v>2.5812934164308552E-3</v>
      </c>
      <c r="AK229" s="38">
        <f t="shared" si="175"/>
        <v>0.4124713154636111</v>
      </c>
      <c r="AL229" s="38">
        <f t="shared" si="176"/>
        <v>9.5719488768133739E-3</v>
      </c>
      <c r="AM229" s="38">
        <f t="shared" si="177"/>
        <v>1.332981102742355</v>
      </c>
      <c r="AN229" s="38">
        <f t="shared" si="178"/>
        <v>0.58711852288267907</v>
      </c>
      <c r="AO229" s="38">
        <f t="shared" si="179"/>
        <v>0.20255865059093939</v>
      </c>
      <c r="AP229" s="38">
        <f t="shared" si="180"/>
        <v>2.9666691831817704E-2</v>
      </c>
      <c r="AQ229" s="38">
        <f t="shared" si="181"/>
        <v>0</v>
      </c>
      <c r="AR229" s="38">
        <f t="shared" si="182"/>
        <v>0</v>
      </c>
      <c r="AS229" s="38">
        <f t="shared" si="183"/>
        <v>1.3110326809146609E-2</v>
      </c>
      <c r="AT229" s="39">
        <f t="shared" si="184"/>
        <v>5.4049577507583901</v>
      </c>
      <c r="AU229" s="38">
        <f t="shared" si="185"/>
        <v>2.794043299012849</v>
      </c>
      <c r="AV229" s="38">
        <f t="shared" si="186"/>
        <v>0.81934386530543613</v>
      </c>
      <c r="AW229" s="40"/>
      <c r="AX229" s="38">
        <f t="shared" si="187"/>
        <v>2.3782477513754148</v>
      </c>
      <c r="AY229" s="38">
        <f t="shared" si="188"/>
        <v>3.1420158590628418E-2</v>
      </c>
      <c r="AZ229" s="38">
        <f t="shared" si="189"/>
        <v>0.20645635535030929</v>
      </c>
      <c r="BA229" s="38">
        <f t="shared" si="190"/>
        <v>2.3878941663037644E-3</v>
      </c>
      <c r="BB229" s="38">
        <f t="shared" si="191"/>
        <v>0</v>
      </c>
      <c r="BC229" s="38">
        <f t="shared" si="192"/>
        <v>0.38156756674530495</v>
      </c>
      <c r="BD229" s="38">
        <f t="shared" si="193"/>
        <v>8.8547860299835798E-3</v>
      </c>
      <c r="BE229" s="38">
        <f t="shared" si="194"/>
        <v>1.2331096413800084</v>
      </c>
      <c r="BF229" s="38">
        <f t="shared" si="195"/>
        <v>0.54312961354813383</v>
      </c>
      <c r="BG229" s="38">
        <f t="shared" si="196"/>
        <v>0.18738227006725225</v>
      </c>
      <c r="BH229" s="38">
        <f t="shared" si="197"/>
        <v>2.7443962746660746E-2</v>
      </c>
      <c r="BI229" s="38">
        <f t="shared" si="198"/>
        <v>0</v>
      </c>
      <c r="BJ229" s="38">
        <f t="shared" si="199"/>
        <v>0</v>
      </c>
      <c r="BK229" s="38">
        <f t="shared" si="200"/>
        <v>1.2128056696934448E-2</v>
      </c>
      <c r="BL229" s="41">
        <f t="shared" si="201"/>
        <v>5.0000000000000009</v>
      </c>
      <c r="BM229" s="42">
        <f t="shared" si="224"/>
        <v>7.5913966733415785</v>
      </c>
      <c r="BN229" s="38">
        <f t="shared" si="202"/>
        <v>2.5847041067257241</v>
      </c>
      <c r="BO229" s="38">
        <f t="shared" si="203"/>
        <v>0.75795584636204683</v>
      </c>
      <c r="BQ229" s="38">
        <f t="shared" si="204"/>
        <v>0.85186418109187756</v>
      </c>
      <c r="BR229" s="38">
        <f t="shared" si="205"/>
        <v>1.1254381572358538E-2</v>
      </c>
      <c r="BS229" s="38">
        <f t="shared" si="206"/>
        <v>7.3950568850529627E-2</v>
      </c>
      <c r="BT229" s="38">
        <f t="shared" si="207"/>
        <v>8.5531942890979668E-4</v>
      </c>
      <c r="BU229" s="38">
        <f t="shared" si="208"/>
        <v>0.13667362560890747</v>
      </c>
      <c r="BV229" s="38">
        <f t="shared" si="209"/>
        <v>3.1716943896250354E-3</v>
      </c>
      <c r="BW229" s="38">
        <f t="shared" si="210"/>
        <v>0.44168734491315143</v>
      </c>
      <c r="BX229" s="38">
        <f t="shared" si="211"/>
        <v>0.19454350927246791</v>
      </c>
      <c r="BY229" s="38">
        <f t="shared" si="212"/>
        <v>6.7118425298483386E-2</v>
      </c>
      <c r="BZ229" s="38">
        <f t="shared" si="213"/>
        <v>9.8301486199575371E-3</v>
      </c>
      <c r="CA229" s="38">
        <f t="shared" si="214"/>
        <v>0</v>
      </c>
      <c r="CB229" s="38">
        <f t="shared" si="215"/>
        <v>0</v>
      </c>
      <c r="CC229" s="38">
        <f t="shared" si="216"/>
        <v>4.3441466854724957E-3</v>
      </c>
      <c r="CD229" s="38">
        <f t="shared" si="217"/>
        <v>1.7909491990462683</v>
      </c>
      <c r="CE229" s="38">
        <f t="shared" si="218"/>
        <v>2.6508243455482674</v>
      </c>
      <c r="CF229" s="38">
        <f t="shared" si="219"/>
        <v>2.7918156487423782</v>
      </c>
      <c r="CG229" s="38">
        <f t="shared" si="220"/>
        <v>7.4006128899689259</v>
      </c>
      <c r="CI229" s="16">
        <v>12.139051266076995</v>
      </c>
      <c r="CJ229" s="13">
        <v>12736.907387609848</v>
      </c>
      <c r="CK229" s="13">
        <v>105599.20228035557</v>
      </c>
      <c r="CL229" s="13">
        <v>23196.123658121014</v>
      </c>
      <c r="CM229" s="13">
        <v>234977.30794781892</v>
      </c>
      <c r="CN229" s="13">
        <v>83323.715578920586</v>
      </c>
      <c r="CO229" s="16">
        <v>192.47627118345684</v>
      </c>
      <c r="CP229" s="13">
        <v>5840.1766243769152</v>
      </c>
      <c r="CQ229" s="16">
        <v>375.00277172799946</v>
      </c>
      <c r="CR229" s="16">
        <v>0.39143070001470526</v>
      </c>
      <c r="CS229" s="13">
        <v>1549.7657918126276</v>
      </c>
      <c r="CT229" s="16">
        <v>12.26516556965586</v>
      </c>
      <c r="CU229" s="16">
        <v>0</v>
      </c>
      <c r="CV229" s="16">
        <v>6.2782794962132797</v>
      </c>
      <c r="CW229" s="16">
        <v>65.396467272752872</v>
      </c>
      <c r="CX229" s="16">
        <v>10.278955497408035</v>
      </c>
      <c r="CY229" s="16">
        <v>10.509670323534863</v>
      </c>
      <c r="CZ229" s="16">
        <v>8.7743665816399172</v>
      </c>
      <c r="DA229" s="16">
        <v>293.67432221251295</v>
      </c>
      <c r="DB229" s="16">
        <v>79.309812726832291</v>
      </c>
      <c r="DC229" s="16">
        <v>9.2392795324483306</v>
      </c>
      <c r="DD229" s="16">
        <v>0.2932216511707203</v>
      </c>
      <c r="DE229" s="16">
        <v>18.384510221230752</v>
      </c>
      <c r="DF229" s="16">
        <v>39.834392749820914</v>
      </c>
      <c r="DG229" s="16">
        <v>144.40843160910899</v>
      </c>
      <c r="DH229" s="16">
        <v>23.225051259763923</v>
      </c>
      <c r="DI229" s="16">
        <v>106.96434615972456</v>
      </c>
      <c r="DJ229" s="16">
        <v>33.79992104760148</v>
      </c>
      <c r="DK229" s="16">
        <v>1.7169875700070341</v>
      </c>
      <c r="DL229" s="16">
        <v>42.243790055880147</v>
      </c>
      <c r="DM229" s="16">
        <v>7.309194333544788</v>
      </c>
      <c r="DN229" s="16">
        <v>50.226161648134998</v>
      </c>
      <c r="DO229" s="16">
        <v>10.875622773573001</v>
      </c>
      <c r="DP229" s="16">
        <v>31.953214443158711</v>
      </c>
      <c r="DQ229" s="16">
        <v>4.4126667342721984</v>
      </c>
      <c r="DR229" s="16">
        <v>30.624870143798589</v>
      </c>
      <c r="DS229" s="16">
        <v>4.1396984230072373</v>
      </c>
      <c r="DT229" s="16">
        <v>4.1608093667882375</v>
      </c>
      <c r="DU229" s="16">
        <v>0.47962410246793918</v>
      </c>
      <c r="DV229" s="16">
        <v>1.3627476173474273</v>
      </c>
      <c r="DW229" s="16">
        <v>0.77791123698930964</v>
      </c>
      <c r="DX229" s="16">
        <v>0.39964243930629667</v>
      </c>
      <c r="DY229" s="16">
        <f>(DK229/0.05883)/SQRT((DJ229/0.1536)*(DL229/0.2069))</f>
        <v>0.13769078477448354</v>
      </c>
    </row>
    <row r="230" spans="1:129" ht="15" customHeight="1" x14ac:dyDescent="0.25">
      <c r="A230" s="35" t="s">
        <v>254</v>
      </c>
      <c r="B230" s="15">
        <v>772</v>
      </c>
      <c r="C230" s="102" t="s">
        <v>95</v>
      </c>
      <c r="D230" s="103" t="s">
        <v>106</v>
      </c>
      <c r="E230" s="15">
        <v>283</v>
      </c>
      <c r="F230" s="15" t="s">
        <v>270</v>
      </c>
      <c r="G230" s="16">
        <v>50.91</v>
      </c>
      <c r="H230" s="16">
        <v>0.89400000000000002</v>
      </c>
      <c r="I230" s="16">
        <v>4.03</v>
      </c>
      <c r="J230" s="16">
        <v>2.5999999999999999E-2</v>
      </c>
      <c r="K230" s="16">
        <v>10.199999999999999</v>
      </c>
      <c r="L230" s="16">
        <v>0.189</v>
      </c>
      <c r="M230" s="16">
        <v>17.5</v>
      </c>
      <c r="N230" s="16">
        <v>10.85</v>
      </c>
      <c r="O230" s="16">
        <v>1.92</v>
      </c>
      <c r="P230" s="16">
        <v>0.49099999999999999</v>
      </c>
      <c r="S230" s="16">
        <v>0.125</v>
      </c>
      <c r="T230" s="16">
        <f t="shared" si="170"/>
        <v>97.134999999999991</v>
      </c>
      <c r="U230" s="16"/>
      <c r="V230" s="16">
        <f t="shared" si="221"/>
        <v>5.7404315499599328</v>
      </c>
      <c r="W230" s="16">
        <f t="shared" si="222"/>
        <v>4.9559184185295262</v>
      </c>
      <c r="X230" s="16">
        <f t="shared" si="223"/>
        <v>97.631349968489459</v>
      </c>
      <c r="Y230" s="15">
        <v>1</v>
      </c>
      <c r="AD230" s="15">
        <v>6</v>
      </c>
      <c r="AE230" s="15">
        <v>4</v>
      </c>
      <c r="AG230" s="38">
        <f t="shared" si="171"/>
        <v>1.9236673703174696</v>
      </c>
      <c r="AH230" s="38">
        <f t="shared" si="172"/>
        <v>2.5407168510119871E-2</v>
      </c>
      <c r="AI230" s="38">
        <f t="shared" si="173"/>
        <v>0.17945766820368106</v>
      </c>
      <c r="AJ230" s="38">
        <f t="shared" si="174"/>
        <v>7.7668538677405847E-4</v>
      </c>
      <c r="AK230" s="38">
        <f t="shared" si="175"/>
        <v>0.3222776622624724</v>
      </c>
      <c r="AL230" s="38">
        <f t="shared" si="176"/>
        <v>6.0482178481989527E-3</v>
      </c>
      <c r="AM230" s="38">
        <f t="shared" si="177"/>
        <v>0.98580225657392184</v>
      </c>
      <c r="AN230" s="38">
        <f t="shared" si="178"/>
        <v>0.43921639056269624</v>
      </c>
      <c r="AO230" s="38">
        <f t="shared" si="179"/>
        <v>0.14064893819142354</v>
      </c>
      <c r="AP230" s="38">
        <f t="shared" si="180"/>
        <v>2.3665592952993825E-2</v>
      </c>
      <c r="AQ230" s="38">
        <f t="shared" si="181"/>
        <v>0</v>
      </c>
      <c r="AR230" s="38">
        <f t="shared" si="182"/>
        <v>0</v>
      </c>
      <c r="AS230" s="38">
        <f t="shared" si="183"/>
        <v>8.0048017207191291E-3</v>
      </c>
      <c r="AT230" s="39">
        <f t="shared" si="184"/>
        <v>4.0469679508097514</v>
      </c>
      <c r="AU230" s="38">
        <f t="shared" si="185"/>
        <v>2.1031250385211506</v>
      </c>
      <c r="AV230" s="38">
        <f t="shared" si="186"/>
        <v>0.60353092170711364</v>
      </c>
      <c r="AW230" s="40"/>
      <c r="AX230" s="38">
        <f t="shared" si="187"/>
        <v>1.9013418378394285</v>
      </c>
      <c r="AY230" s="38">
        <f t="shared" si="188"/>
        <v>2.5112300190107701E-2</v>
      </c>
      <c r="AZ230" s="38">
        <f t="shared" si="189"/>
        <v>0.17737493391097764</v>
      </c>
      <c r="BA230" s="38">
        <f t="shared" si="190"/>
        <v>7.6767139865157826E-4</v>
      </c>
      <c r="BB230" s="38">
        <f t="shared" si="191"/>
        <v>0.17926883734962878</v>
      </c>
      <c r="BC230" s="38">
        <f t="shared" si="192"/>
        <v>0.13926856267894161</v>
      </c>
      <c r="BD230" s="38">
        <f t="shared" si="193"/>
        <v>5.9780239643249704E-3</v>
      </c>
      <c r="BE230" s="38">
        <f t="shared" si="194"/>
        <v>0.97436131796069614</v>
      </c>
      <c r="BF230" s="38">
        <f t="shared" si="195"/>
        <v>0.43411897094447127</v>
      </c>
      <c r="BG230" s="38">
        <f t="shared" si="196"/>
        <v>0.13901660690273696</v>
      </c>
      <c r="BH230" s="38">
        <f t="shared" si="197"/>
        <v>2.3390936860034798E-2</v>
      </c>
      <c r="BI230" s="38">
        <f t="shared" si="198"/>
        <v>0</v>
      </c>
      <c r="BJ230" s="38">
        <f t="shared" si="199"/>
        <v>0</v>
      </c>
      <c r="BK230" s="38">
        <f t="shared" si="200"/>
        <v>7.9119002848712563E-3</v>
      </c>
      <c r="BL230" s="41">
        <f t="shared" si="201"/>
        <v>3.9999999999999996</v>
      </c>
      <c r="BM230" s="42">
        <f t="shared" si="224"/>
        <v>6</v>
      </c>
      <c r="BN230" s="38">
        <f t="shared" si="202"/>
        <v>2.0787167717504063</v>
      </c>
      <c r="BO230" s="38">
        <f t="shared" si="203"/>
        <v>0.59652651470724305</v>
      </c>
      <c r="BQ230" s="38">
        <f t="shared" si="204"/>
        <v>0.84737017310252993</v>
      </c>
      <c r="BR230" s="38">
        <f t="shared" si="205"/>
        <v>1.1191787681522285E-2</v>
      </c>
      <c r="BS230" s="38">
        <f t="shared" si="206"/>
        <v>7.9050608081600637E-2</v>
      </c>
      <c r="BT230" s="38">
        <f t="shared" si="207"/>
        <v>3.4212777156391862E-4</v>
      </c>
      <c r="BU230" s="38">
        <f t="shared" si="208"/>
        <v>0.14196242171189979</v>
      </c>
      <c r="BV230" s="38">
        <f t="shared" si="209"/>
        <v>2.6642232872850298E-3</v>
      </c>
      <c r="BW230" s="38">
        <f t="shared" si="210"/>
        <v>0.4342431761786601</v>
      </c>
      <c r="BX230" s="38">
        <f t="shared" si="211"/>
        <v>0.19347360912981454</v>
      </c>
      <c r="BY230" s="38">
        <f t="shared" si="212"/>
        <v>6.1955469506292354E-2</v>
      </c>
      <c r="BZ230" s="38">
        <f t="shared" si="213"/>
        <v>1.0424628450106157E-2</v>
      </c>
      <c r="CA230" s="38">
        <f t="shared" si="214"/>
        <v>0</v>
      </c>
      <c r="CB230" s="38">
        <f t="shared" si="215"/>
        <v>0</v>
      </c>
      <c r="CC230" s="38">
        <f t="shared" si="216"/>
        <v>3.5260930888575456E-3</v>
      </c>
      <c r="CD230" s="38">
        <f t="shared" si="217"/>
        <v>1.7826782249012749</v>
      </c>
      <c r="CE230" s="38">
        <f t="shared" si="218"/>
        <v>2.6429834580892813</v>
      </c>
      <c r="CF230" s="38">
        <f t="shared" si="219"/>
        <v>2.2438149207894886</v>
      </c>
      <c r="CG230" s="38">
        <f t="shared" si="220"/>
        <v>5.9303657186605294</v>
      </c>
    </row>
    <row r="231" spans="1:129" ht="15" customHeight="1" x14ac:dyDescent="0.25">
      <c r="A231" s="35" t="s">
        <v>254</v>
      </c>
      <c r="B231" s="15">
        <v>776</v>
      </c>
      <c r="C231" s="102" t="s">
        <v>95</v>
      </c>
      <c r="D231" s="103" t="s">
        <v>106</v>
      </c>
      <c r="E231" s="15">
        <v>287</v>
      </c>
      <c r="F231" s="15" t="s">
        <v>270</v>
      </c>
      <c r="G231" s="16">
        <v>51.1</v>
      </c>
      <c r="H231" s="16">
        <v>1.032</v>
      </c>
      <c r="I231" s="16">
        <v>3.88</v>
      </c>
      <c r="J231" s="16">
        <v>3.4000000000000002E-2</v>
      </c>
      <c r="K231" s="16">
        <v>9.48</v>
      </c>
      <c r="L231" s="16">
        <v>0.23699999999999999</v>
      </c>
      <c r="M231" s="16">
        <v>17.45</v>
      </c>
      <c r="N231" s="16">
        <v>10.83</v>
      </c>
      <c r="O231" s="16">
        <v>2.0299999999999998</v>
      </c>
      <c r="P231" s="16">
        <v>0.5</v>
      </c>
      <c r="S231" s="16">
        <v>0.14499999999999999</v>
      </c>
      <c r="T231" s="16">
        <f t="shared" si="170"/>
        <v>96.718000000000004</v>
      </c>
      <c r="U231" s="16"/>
      <c r="V231" s="16">
        <f t="shared" si="221"/>
        <v>5.5798709971429439</v>
      </c>
      <c r="W231" s="16">
        <f t="shared" si="222"/>
        <v>4.3342133608750464</v>
      </c>
      <c r="X231" s="16">
        <f t="shared" si="223"/>
        <v>97.152084358017987</v>
      </c>
      <c r="Y231" s="15">
        <v>1</v>
      </c>
      <c r="AD231" s="15">
        <v>6</v>
      </c>
      <c r="AE231" s="15">
        <v>4</v>
      </c>
      <c r="AG231" s="38">
        <f t="shared" si="171"/>
        <v>1.9336479003693059</v>
      </c>
      <c r="AH231" s="38">
        <f t="shared" si="172"/>
        <v>2.9371630822339654E-2</v>
      </c>
      <c r="AI231" s="38">
        <f t="shared" si="173"/>
        <v>0.17302876747423648</v>
      </c>
      <c r="AJ231" s="38">
        <f t="shared" si="174"/>
        <v>1.0171390251476242E-3</v>
      </c>
      <c r="AK231" s="38">
        <f t="shared" si="175"/>
        <v>0.29996320457184839</v>
      </c>
      <c r="AL231" s="38">
        <f t="shared" si="176"/>
        <v>7.595276377391917E-3</v>
      </c>
      <c r="AM231" s="38">
        <f t="shared" si="177"/>
        <v>0.98441178643324712</v>
      </c>
      <c r="AN231" s="38">
        <f t="shared" si="178"/>
        <v>0.43904281212778745</v>
      </c>
      <c r="AO231" s="38">
        <f t="shared" si="179"/>
        <v>0.14892269312555304</v>
      </c>
      <c r="AP231" s="38">
        <f t="shared" si="180"/>
        <v>2.4134345015640594E-2</v>
      </c>
      <c r="AQ231" s="38">
        <f t="shared" si="181"/>
        <v>0</v>
      </c>
      <c r="AR231" s="38">
        <f t="shared" si="182"/>
        <v>0</v>
      </c>
      <c r="AS231" s="38">
        <f t="shared" si="183"/>
        <v>9.2990414264777117E-3</v>
      </c>
      <c r="AT231" s="39">
        <f t="shared" si="184"/>
        <v>4.041135555342497</v>
      </c>
      <c r="AU231" s="38">
        <f t="shared" si="185"/>
        <v>2.1066766678435425</v>
      </c>
      <c r="AV231" s="38">
        <f t="shared" si="186"/>
        <v>0.61209985026898106</v>
      </c>
      <c r="AW231" s="40"/>
      <c r="AX231" s="38">
        <f t="shared" si="187"/>
        <v>1.9139648981217348</v>
      </c>
      <c r="AY231" s="38">
        <f t="shared" si="188"/>
        <v>2.9072650912201656E-2</v>
      </c>
      <c r="AZ231" s="38">
        <f t="shared" si="189"/>
        <v>0.17126747183275001</v>
      </c>
      <c r="BA231" s="38">
        <f t="shared" si="190"/>
        <v>1.0067853564604504E-3</v>
      </c>
      <c r="BB231" s="38">
        <f t="shared" si="191"/>
        <v>0.17475933299089164</v>
      </c>
      <c r="BC231" s="38">
        <f t="shared" si="192"/>
        <v>0.12215048402852346</v>
      </c>
      <c r="BD231" s="38">
        <f t="shared" si="193"/>
        <v>7.517962486906179E-3</v>
      </c>
      <c r="BE231" s="38">
        <f t="shared" si="194"/>
        <v>0.97439125508356317</v>
      </c>
      <c r="BF231" s="38">
        <f t="shared" si="195"/>
        <v>0.43457370446023286</v>
      </c>
      <c r="BG231" s="38">
        <f t="shared" si="196"/>
        <v>0.14740677820487652</v>
      </c>
      <c r="BH231" s="38">
        <f t="shared" si="197"/>
        <v>2.3888676521859598E-2</v>
      </c>
      <c r="BI231" s="38">
        <f t="shared" si="198"/>
        <v>0</v>
      </c>
      <c r="BJ231" s="38">
        <f t="shared" si="199"/>
        <v>0</v>
      </c>
      <c r="BK231" s="38">
        <f t="shared" si="200"/>
        <v>9.2043845588739136E-3</v>
      </c>
      <c r="BL231" s="41">
        <f t="shared" si="201"/>
        <v>4</v>
      </c>
      <c r="BM231" s="42">
        <f t="shared" si="224"/>
        <v>5.9999999999999982</v>
      </c>
      <c r="BN231" s="38">
        <f t="shared" si="202"/>
        <v>2.0852323699544848</v>
      </c>
      <c r="BO231" s="38">
        <f t="shared" si="203"/>
        <v>0.60586915918696893</v>
      </c>
      <c r="BQ231" s="38">
        <f t="shared" si="204"/>
        <v>0.85053262316910794</v>
      </c>
      <c r="BR231" s="38">
        <f t="shared" si="205"/>
        <v>1.2919379068602906E-2</v>
      </c>
      <c r="BS231" s="38">
        <f t="shared" si="206"/>
        <v>7.6108277755982737E-2</v>
      </c>
      <c r="BT231" s="38">
        <f t="shared" si="207"/>
        <v>4.4739785512204748E-4</v>
      </c>
      <c r="BU231" s="38">
        <f t="shared" si="208"/>
        <v>0.13194154488517748</v>
      </c>
      <c r="BV231" s="38">
        <f t="shared" si="209"/>
        <v>3.3408514237383705E-3</v>
      </c>
      <c r="BW231" s="38">
        <f t="shared" si="210"/>
        <v>0.4330024813895782</v>
      </c>
      <c r="BX231" s="38">
        <f t="shared" si="211"/>
        <v>0.19311697574893011</v>
      </c>
      <c r="BY231" s="38">
        <f t="shared" si="212"/>
        <v>6.550500161342368E-2</v>
      </c>
      <c r="BZ231" s="38">
        <f t="shared" si="213"/>
        <v>1.0615711252653927E-2</v>
      </c>
      <c r="CA231" s="38">
        <f t="shared" si="214"/>
        <v>0</v>
      </c>
      <c r="CB231" s="38">
        <f t="shared" si="215"/>
        <v>0</v>
      </c>
      <c r="CC231" s="38">
        <f t="shared" si="216"/>
        <v>4.0902679830747525E-3</v>
      </c>
      <c r="CD231" s="38">
        <f t="shared" si="217"/>
        <v>1.7775302441623173</v>
      </c>
      <c r="CE231" s="38">
        <f t="shared" si="218"/>
        <v>2.6391545937810044</v>
      </c>
      <c r="CF231" s="38">
        <f t="shared" si="219"/>
        <v>2.2503133283591743</v>
      </c>
      <c r="CG231" s="38">
        <f t="shared" si="220"/>
        <v>5.9389247579857365</v>
      </c>
    </row>
    <row r="232" spans="1:129" ht="15" customHeight="1" x14ac:dyDescent="0.25">
      <c r="A232" s="35" t="s">
        <v>254</v>
      </c>
      <c r="B232" s="15">
        <v>777</v>
      </c>
      <c r="C232" s="102" t="s">
        <v>95</v>
      </c>
      <c r="D232" s="103" t="s">
        <v>106</v>
      </c>
      <c r="E232" s="15">
        <v>288</v>
      </c>
      <c r="F232" s="15" t="s">
        <v>270</v>
      </c>
      <c r="G232" s="16">
        <v>49.19</v>
      </c>
      <c r="H232" s="16">
        <v>1.45</v>
      </c>
      <c r="I232" s="16">
        <v>4.8899999999999997</v>
      </c>
      <c r="J232" s="16">
        <v>1.2E-2</v>
      </c>
      <c r="K232" s="16">
        <v>9.93</v>
      </c>
      <c r="L232" s="16">
        <v>0.22</v>
      </c>
      <c r="M232" s="16">
        <v>17.32</v>
      </c>
      <c r="N232" s="16">
        <v>11.02</v>
      </c>
      <c r="O232" s="16">
        <v>2.19</v>
      </c>
      <c r="P232" s="16">
        <v>0.623</v>
      </c>
      <c r="S232" s="16">
        <v>0.13700000000000001</v>
      </c>
      <c r="T232" s="16">
        <f t="shared" si="170"/>
        <v>96.981999999999999</v>
      </c>
      <c r="U232" s="16"/>
      <c r="V232" s="16">
        <f t="shared" si="221"/>
        <v>2.5762651484426207</v>
      </c>
      <c r="W232" s="16">
        <f t="shared" si="222"/>
        <v>8.1722055405357157</v>
      </c>
      <c r="X232" s="16">
        <f t="shared" si="223"/>
        <v>97.800470688978351</v>
      </c>
      <c r="AD232" s="15">
        <v>6</v>
      </c>
      <c r="AE232" s="15">
        <v>4</v>
      </c>
      <c r="AG232" s="38">
        <f t="shared" si="171"/>
        <v>1.8710479104510775</v>
      </c>
      <c r="AH232" s="38">
        <f t="shared" si="172"/>
        <v>4.1482789789190816E-2</v>
      </c>
      <c r="AI232" s="38">
        <f t="shared" si="173"/>
        <v>0.21920327463756106</v>
      </c>
      <c r="AJ232" s="38">
        <f t="shared" si="174"/>
        <v>3.6085625397611683E-4</v>
      </c>
      <c r="AK232" s="38">
        <f t="shared" si="175"/>
        <v>0.3158351672902876</v>
      </c>
      <c r="AL232" s="38">
        <f t="shared" si="176"/>
        <v>7.0871154315869048E-3</v>
      </c>
      <c r="AM232" s="38">
        <f t="shared" si="177"/>
        <v>0.98215685294095911</v>
      </c>
      <c r="AN232" s="38">
        <f t="shared" si="178"/>
        <v>0.4490674730303188</v>
      </c>
      <c r="AO232" s="38">
        <f t="shared" si="179"/>
        <v>0.16149554570238747</v>
      </c>
      <c r="AP232" s="38">
        <f t="shared" si="180"/>
        <v>3.0227703195382243E-2</v>
      </c>
      <c r="AQ232" s="38">
        <f t="shared" si="181"/>
        <v>0</v>
      </c>
      <c r="AR232" s="38">
        <f t="shared" si="182"/>
        <v>0</v>
      </c>
      <c r="AS232" s="38">
        <f t="shared" si="183"/>
        <v>8.8316599197587088E-3</v>
      </c>
      <c r="AT232" s="39">
        <f t="shared" si="184"/>
        <v>4.0779646887227274</v>
      </c>
      <c r="AU232" s="38">
        <f t="shared" si="185"/>
        <v>2.0902511850886385</v>
      </c>
      <c r="AV232" s="38">
        <f t="shared" si="186"/>
        <v>0.6407907219280885</v>
      </c>
      <c r="AW232" s="40"/>
      <c r="AX232" s="38">
        <f t="shared" si="187"/>
        <v>1.8352762255399664</v>
      </c>
      <c r="AY232" s="38">
        <f t="shared" si="188"/>
        <v>4.0689699843559739E-2</v>
      </c>
      <c r="AZ232" s="38">
        <f t="shared" si="189"/>
        <v>0.21501243033687814</v>
      </c>
      <c r="BA232" s="38">
        <f t="shared" si="190"/>
        <v>3.5395721299307458E-4</v>
      </c>
      <c r="BB232" s="38">
        <f t="shared" si="191"/>
        <v>8.0374507752563273E-2</v>
      </c>
      <c r="BC232" s="38">
        <f t="shared" si="192"/>
        <v>0.22942235553436374</v>
      </c>
      <c r="BD232" s="38">
        <f t="shared" si="193"/>
        <v>6.9516202052320218E-3</v>
      </c>
      <c r="BE232" s="38">
        <f t="shared" si="194"/>
        <v>0.96337945804879821</v>
      </c>
      <c r="BF232" s="38">
        <f t="shared" si="195"/>
        <v>0.44048196324227878</v>
      </c>
      <c r="BG232" s="38">
        <f t="shared" si="196"/>
        <v>0.15840798832710837</v>
      </c>
      <c r="BH232" s="38">
        <f t="shared" si="197"/>
        <v>2.9649793956259062E-2</v>
      </c>
      <c r="BI232" s="38">
        <f t="shared" si="198"/>
        <v>0</v>
      </c>
      <c r="BJ232" s="38">
        <f t="shared" si="199"/>
        <v>0</v>
      </c>
      <c r="BK232" s="38">
        <f t="shared" si="200"/>
        <v>8.6628115679195875E-3</v>
      </c>
      <c r="BL232" s="41">
        <f t="shared" si="201"/>
        <v>4.0000000000000009</v>
      </c>
      <c r="BM232" s="42">
        <f t="shared" si="224"/>
        <v>6.0000000000000009</v>
      </c>
      <c r="BN232" s="38">
        <f t="shared" si="202"/>
        <v>2.0502886558768445</v>
      </c>
      <c r="BO232" s="38">
        <f t="shared" si="203"/>
        <v>0.62853974552564629</v>
      </c>
      <c r="BQ232" s="38">
        <f t="shared" si="204"/>
        <v>0.81874167776298268</v>
      </c>
      <c r="BR232" s="38">
        <f t="shared" si="205"/>
        <v>1.815222834251377E-2</v>
      </c>
      <c r="BS232" s="38">
        <f t="shared" si="206"/>
        <v>9.5919968615143195E-2</v>
      </c>
      <c r="BT232" s="38">
        <f t="shared" si="207"/>
        <v>1.5790512533719322E-4</v>
      </c>
      <c r="BU232" s="38">
        <f t="shared" si="208"/>
        <v>0.13820459290187892</v>
      </c>
      <c r="BV232" s="38">
        <f t="shared" si="209"/>
        <v>3.1012122920778123E-3</v>
      </c>
      <c r="BW232" s="38">
        <f t="shared" si="210"/>
        <v>0.42977667493796529</v>
      </c>
      <c r="BX232" s="38">
        <f t="shared" si="211"/>
        <v>0.19650499286733239</v>
      </c>
      <c r="BY232" s="38">
        <f t="shared" si="212"/>
        <v>7.0667957405614712E-2</v>
      </c>
      <c r="BZ232" s="38">
        <f t="shared" si="213"/>
        <v>1.3227176220806793E-2</v>
      </c>
      <c r="CA232" s="38">
        <f t="shared" si="214"/>
        <v>0</v>
      </c>
      <c r="CB232" s="38">
        <f t="shared" si="215"/>
        <v>0</v>
      </c>
      <c r="CC232" s="38">
        <f t="shared" si="216"/>
        <v>3.8645980253878701E-3</v>
      </c>
      <c r="CD232" s="38">
        <f t="shared" si="217"/>
        <v>1.7844543864716524</v>
      </c>
      <c r="CE232" s="38">
        <f t="shared" si="218"/>
        <v>2.6255073636214847</v>
      </c>
      <c r="CF232" s="38">
        <f t="shared" si="219"/>
        <v>2.2415815334507254</v>
      </c>
      <c r="CG232" s="38">
        <f t="shared" si="220"/>
        <v>5.8852888222328188</v>
      </c>
    </row>
    <row r="233" spans="1:129" ht="15" customHeight="1" x14ac:dyDescent="0.25">
      <c r="A233" s="35" t="s">
        <v>254</v>
      </c>
      <c r="B233" s="15">
        <v>778</v>
      </c>
      <c r="C233" s="102" t="s">
        <v>95</v>
      </c>
      <c r="D233" s="103" t="s">
        <v>106</v>
      </c>
      <c r="E233" s="15">
        <v>289</v>
      </c>
      <c r="F233" s="15" t="s">
        <v>270</v>
      </c>
      <c r="G233" s="16">
        <v>49.05</v>
      </c>
      <c r="H233" s="16">
        <v>1.595</v>
      </c>
      <c r="I233" s="16">
        <v>5.63</v>
      </c>
      <c r="J233" s="16">
        <v>2.7E-2</v>
      </c>
      <c r="K233" s="16">
        <v>10.18</v>
      </c>
      <c r="L233" s="16">
        <v>0.17199999999999999</v>
      </c>
      <c r="M233" s="16">
        <v>16.78</v>
      </c>
      <c r="N233" s="16">
        <v>11.09</v>
      </c>
      <c r="O233" s="16">
        <v>2.2599999999999998</v>
      </c>
      <c r="P233" s="16">
        <v>0.59599999999999997</v>
      </c>
      <c r="S233" s="16">
        <v>0.21099999999999999</v>
      </c>
      <c r="T233" s="16">
        <f t="shared" si="170"/>
        <v>97.591000000000008</v>
      </c>
      <c r="U233" s="16"/>
      <c r="V233" s="16">
        <f t="shared" si="221"/>
        <v>3.0687519838122035</v>
      </c>
      <c r="W233" s="16">
        <f t="shared" si="222"/>
        <v>7.9027299203894978</v>
      </c>
      <c r="X233" s="16">
        <f t="shared" si="223"/>
        <v>98.382481904201697</v>
      </c>
      <c r="AD233" s="15">
        <v>6</v>
      </c>
      <c r="AE233" s="15">
        <v>4</v>
      </c>
      <c r="AG233" s="38">
        <f t="shared" si="171"/>
        <v>1.8575933882309457</v>
      </c>
      <c r="AH233" s="38">
        <f t="shared" si="172"/>
        <v>4.5432245251169262E-2</v>
      </c>
      <c r="AI233" s="38">
        <f t="shared" si="173"/>
        <v>0.25127549234053237</v>
      </c>
      <c r="AJ233" s="38">
        <f t="shared" si="174"/>
        <v>8.0838884811892052E-4</v>
      </c>
      <c r="AK233" s="38">
        <f t="shared" si="175"/>
        <v>0.32237590505955172</v>
      </c>
      <c r="AL233" s="38">
        <f t="shared" si="176"/>
        <v>5.5166931931006627E-3</v>
      </c>
      <c r="AM233" s="38">
        <f t="shared" si="177"/>
        <v>0.94738930833998725</v>
      </c>
      <c r="AN233" s="38">
        <f t="shared" si="178"/>
        <v>0.44995088470632089</v>
      </c>
      <c r="AO233" s="38">
        <f t="shared" si="179"/>
        <v>0.16593134435113127</v>
      </c>
      <c r="AP233" s="38">
        <f t="shared" si="180"/>
        <v>2.8791674345857696E-2</v>
      </c>
      <c r="AQ233" s="38">
        <f t="shared" si="181"/>
        <v>0</v>
      </c>
      <c r="AR233" s="38">
        <f t="shared" si="182"/>
        <v>0</v>
      </c>
      <c r="AS233" s="38">
        <f t="shared" si="183"/>
        <v>1.3542778789322724E-2</v>
      </c>
      <c r="AT233" s="39">
        <f t="shared" si="184"/>
        <v>4.0750653246667152</v>
      </c>
      <c r="AU233" s="38">
        <f t="shared" si="185"/>
        <v>2.1088688805714781</v>
      </c>
      <c r="AV233" s="38">
        <f t="shared" si="186"/>
        <v>0.64467390340330988</v>
      </c>
      <c r="AW233" s="40"/>
      <c r="AX233" s="38">
        <f t="shared" si="187"/>
        <v>1.8233753230769338</v>
      </c>
      <c r="AY233" s="38">
        <f t="shared" si="188"/>
        <v>4.4595354068229565E-2</v>
      </c>
      <c r="AZ233" s="38">
        <f t="shared" si="189"/>
        <v>0.24664683613245711</v>
      </c>
      <c r="BA233" s="38">
        <f t="shared" si="190"/>
        <v>7.9349780552049004E-4</v>
      </c>
      <c r="BB233" s="38">
        <f t="shared" si="191"/>
        <v>9.538981421590248E-2</v>
      </c>
      <c r="BC233" s="38">
        <f t="shared" si="192"/>
        <v>0.22104771929619416</v>
      </c>
      <c r="BD233" s="38">
        <f t="shared" si="193"/>
        <v>5.4150721557346838E-3</v>
      </c>
      <c r="BE233" s="38">
        <f t="shared" si="194"/>
        <v>0.92993778784880776</v>
      </c>
      <c r="BF233" s="38">
        <f t="shared" si="195"/>
        <v>0.44166249996801776</v>
      </c>
      <c r="BG233" s="38">
        <f t="shared" si="196"/>
        <v>0.16287478224875049</v>
      </c>
      <c r="BH233" s="38">
        <f t="shared" si="197"/>
        <v>2.8261313183451812E-2</v>
      </c>
      <c r="BI233" s="38">
        <f t="shared" si="198"/>
        <v>0</v>
      </c>
      <c r="BJ233" s="38">
        <f t="shared" si="199"/>
        <v>0</v>
      </c>
      <c r="BK233" s="38">
        <f t="shared" si="200"/>
        <v>1.3293312092296667E-2</v>
      </c>
      <c r="BL233" s="41">
        <f t="shared" si="201"/>
        <v>4.0000000000000009</v>
      </c>
      <c r="BM233" s="42">
        <f t="shared" si="224"/>
        <v>6.0000000000000009</v>
      </c>
      <c r="BN233" s="38">
        <f t="shared" si="202"/>
        <v>2.0700221592093908</v>
      </c>
      <c r="BO233" s="38">
        <f t="shared" si="203"/>
        <v>0.6327985954002201</v>
      </c>
      <c r="BQ233" s="38">
        <f t="shared" si="204"/>
        <v>0.81641145139813576</v>
      </c>
      <c r="BR233" s="38">
        <f t="shared" si="205"/>
        <v>1.9967451176765148E-2</v>
      </c>
      <c r="BS233" s="38">
        <f t="shared" si="206"/>
        <v>0.11043546488819145</v>
      </c>
      <c r="BT233" s="38">
        <f t="shared" si="207"/>
        <v>3.5528653200868473E-4</v>
      </c>
      <c r="BU233" s="38">
        <f t="shared" si="208"/>
        <v>0.14168406402226863</v>
      </c>
      <c r="BV233" s="38">
        <f t="shared" si="209"/>
        <v>2.4245841556244712E-3</v>
      </c>
      <c r="BW233" s="38">
        <f t="shared" si="210"/>
        <v>0.41637717121588097</v>
      </c>
      <c r="BX233" s="38">
        <f t="shared" si="211"/>
        <v>0.19775320970042795</v>
      </c>
      <c r="BY233" s="38">
        <f t="shared" si="212"/>
        <v>7.2926750564698287E-2</v>
      </c>
      <c r="BZ233" s="38">
        <f t="shared" si="213"/>
        <v>1.2653927813163482E-2</v>
      </c>
      <c r="CA233" s="38">
        <f t="shared" si="214"/>
        <v>0</v>
      </c>
      <c r="CB233" s="38">
        <f t="shared" si="215"/>
        <v>0</v>
      </c>
      <c r="CC233" s="38">
        <f t="shared" si="216"/>
        <v>5.952045133991537E-3</v>
      </c>
      <c r="CD233" s="38">
        <f t="shared" si="217"/>
        <v>1.7909893614671648</v>
      </c>
      <c r="CE233" s="38">
        <f t="shared" si="218"/>
        <v>2.636997277996239</v>
      </c>
      <c r="CF233" s="38">
        <f t="shared" si="219"/>
        <v>2.2334024344640611</v>
      </c>
      <c r="CG233" s="38">
        <f t="shared" si="220"/>
        <v>5.8894761403519027</v>
      </c>
    </row>
    <row r="234" spans="1:129" ht="15" customHeight="1" x14ac:dyDescent="0.25">
      <c r="A234" s="35" t="s">
        <v>254</v>
      </c>
      <c r="B234" s="15">
        <v>779</v>
      </c>
      <c r="C234" s="102" t="s">
        <v>95</v>
      </c>
      <c r="D234" s="103" t="s">
        <v>106</v>
      </c>
      <c r="E234" s="15">
        <v>290</v>
      </c>
      <c r="F234" s="15" t="s">
        <v>270</v>
      </c>
      <c r="G234" s="16">
        <v>48.73</v>
      </c>
      <c r="H234" s="16">
        <v>1.282</v>
      </c>
      <c r="I234" s="16">
        <v>5.4</v>
      </c>
      <c r="J234" s="16">
        <v>0</v>
      </c>
      <c r="K234" s="16">
        <v>10.39</v>
      </c>
      <c r="L234" s="16">
        <v>0.247</v>
      </c>
      <c r="M234" s="16">
        <v>16.88</v>
      </c>
      <c r="N234" s="16">
        <v>10.95</v>
      </c>
      <c r="O234" s="16">
        <v>2.33</v>
      </c>
      <c r="P234" s="16">
        <v>0.58499999999999996</v>
      </c>
      <c r="S234" s="16">
        <v>0.19</v>
      </c>
      <c r="T234" s="16">
        <f t="shared" si="170"/>
        <v>96.98399999999998</v>
      </c>
      <c r="U234" s="16"/>
      <c r="V234" s="16">
        <f t="shared" si="221"/>
        <v>2.0811803428101627</v>
      </c>
      <c r="W234" s="16">
        <f t="shared" si="222"/>
        <v>9.2335912850350663</v>
      </c>
      <c r="X234" s="16">
        <f t="shared" si="223"/>
        <v>97.908771627845226</v>
      </c>
      <c r="AD234" s="15">
        <v>6</v>
      </c>
      <c r="AE234" s="15">
        <v>4</v>
      </c>
      <c r="AG234" s="38">
        <f t="shared" si="171"/>
        <v>1.8599448400455314</v>
      </c>
      <c r="AH234" s="38">
        <f t="shared" si="172"/>
        <v>3.6803027504291874E-2</v>
      </c>
      <c r="AI234" s="38">
        <f t="shared" si="173"/>
        <v>0.24289999504304263</v>
      </c>
      <c r="AJ234" s="38">
        <f t="shared" si="174"/>
        <v>0</v>
      </c>
      <c r="AK234" s="38">
        <f t="shared" si="175"/>
        <v>0.33160597890251786</v>
      </c>
      <c r="AL234" s="38">
        <f t="shared" si="176"/>
        <v>7.984345956368176E-3</v>
      </c>
      <c r="AM234" s="38">
        <f t="shared" si="177"/>
        <v>0.96050797120819764</v>
      </c>
      <c r="AN234" s="38">
        <f t="shared" si="178"/>
        <v>0.44775422390260178</v>
      </c>
      <c r="AO234" s="38">
        <f t="shared" si="179"/>
        <v>0.17241217161566902</v>
      </c>
      <c r="AP234" s="38">
        <f t="shared" si="180"/>
        <v>2.848187238408104E-2</v>
      </c>
      <c r="AQ234" s="38">
        <f t="shared" si="181"/>
        <v>0</v>
      </c>
      <c r="AR234" s="38">
        <f t="shared" si="182"/>
        <v>0</v>
      </c>
      <c r="AS234" s="38">
        <f t="shared" si="183"/>
        <v>1.229053926754385E-2</v>
      </c>
      <c r="AT234" s="39">
        <f t="shared" si="184"/>
        <v>4.0883944265623011</v>
      </c>
      <c r="AU234" s="38">
        <f t="shared" si="185"/>
        <v>2.102844835088574</v>
      </c>
      <c r="AV234" s="38">
        <f t="shared" si="186"/>
        <v>0.64864826790235186</v>
      </c>
      <c r="AW234" s="40"/>
      <c r="AX234" s="38">
        <f t="shared" si="187"/>
        <v>1.819731313555726</v>
      </c>
      <c r="AY234" s="38">
        <f t="shared" si="188"/>
        <v>3.6007315992001736E-2</v>
      </c>
      <c r="AZ234" s="38">
        <f t="shared" si="189"/>
        <v>0.23764829876972851</v>
      </c>
      <c r="BA234" s="38">
        <f t="shared" si="190"/>
        <v>0</v>
      </c>
      <c r="BB234" s="38">
        <f t="shared" si="191"/>
        <v>6.4986586210045549E-2</v>
      </c>
      <c r="BC234" s="38">
        <f t="shared" si="192"/>
        <v>0.25944980060045753</v>
      </c>
      <c r="BD234" s="38">
        <f t="shared" si="193"/>
        <v>7.8117178758427752E-3</v>
      </c>
      <c r="BE234" s="38">
        <f t="shared" si="194"/>
        <v>0.9397410044077712</v>
      </c>
      <c r="BF234" s="38">
        <f t="shared" si="195"/>
        <v>0.43807341189347321</v>
      </c>
      <c r="BG234" s="38">
        <f t="shared" si="196"/>
        <v>0.16868447965343758</v>
      </c>
      <c r="BH234" s="38">
        <f t="shared" si="197"/>
        <v>2.7866071041516248E-2</v>
      </c>
      <c r="BI234" s="38">
        <f t="shared" si="198"/>
        <v>0</v>
      </c>
      <c r="BJ234" s="38">
        <f t="shared" si="199"/>
        <v>0</v>
      </c>
      <c r="BK234" s="38">
        <f t="shared" si="200"/>
        <v>1.202480777069082E-2</v>
      </c>
      <c r="BL234" s="41">
        <f t="shared" si="201"/>
        <v>4.0000000000000009</v>
      </c>
      <c r="BM234" s="42">
        <f t="shared" si="224"/>
        <v>5.9999999999999982</v>
      </c>
      <c r="BN234" s="38">
        <f t="shared" si="202"/>
        <v>2.0573796123254544</v>
      </c>
      <c r="BO234" s="38">
        <f t="shared" si="203"/>
        <v>0.63462396258842702</v>
      </c>
      <c r="BQ234" s="38">
        <f t="shared" si="204"/>
        <v>0.81108521970705727</v>
      </c>
      <c r="BR234" s="38">
        <f t="shared" si="205"/>
        <v>1.6049073610415625E-2</v>
      </c>
      <c r="BS234" s="38">
        <f t="shared" si="206"/>
        <v>0.10592389172224403</v>
      </c>
      <c r="BT234" s="38">
        <f t="shared" si="207"/>
        <v>0</v>
      </c>
      <c r="BU234" s="38">
        <f t="shared" si="208"/>
        <v>0.14460681976339598</v>
      </c>
      <c r="BV234" s="38">
        <f t="shared" si="209"/>
        <v>3.4818156188328167E-3</v>
      </c>
      <c r="BW234" s="38">
        <f t="shared" si="210"/>
        <v>0.41885856079404465</v>
      </c>
      <c r="BX234" s="38">
        <f t="shared" si="211"/>
        <v>0.1952567760342368</v>
      </c>
      <c r="BY234" s="38">
        <f t="shared" si="212"/>
        <v>7.5185543723781875E-2</v>
      </c>
      <c r="BZ234" s="38">
        <f t="shared" si="213"/>
        <v>1.2420382165605095E-2</v>
      </c>
      <c r="CA234" s="38">
        <f t="shared" si="214"/>
        <v>0</v>
      </c>
      <c r="CB234" s="38">
        <f t="shared" si="215"/>
        <v>0</v>
      </c>
      <c r="CC234" s="38">
        <f t="shared" si="216"/>
        <v>5.3596614950634693E-3</v>
      </c>
      <c r="CD234" s="38">
        <f t="shared" si="217"/>
        <v>1.782868083139614</v>
      </c>
      <c r="CE234" s="38">
        <f t="shared" si="218"/>
        <v>2.6164815286259842</v>
      </c>
      <c r="CF234" s="38">
        <f t="shared" si="219"/>
        <v>2.2435759761631031</v>
      </c>
      <c r="CG234" s="38">
        <f t="shared" si="220"/>
        <v>5.8702750996997706</v>
      </c>
    </row>
    <row r="235" spans="1:129" ht="15" customHeight="1" x14ac:dyDescent="0.25">
      <c r="A235" s="35" t="s">
        <v>254</v>
      </c>
      <c r="B235" s="15">
        <v>780</v>
      </c>
      <c r="C235" s="102" t="s">
        <v>95</v>
      </c>
      <c r="D235" s="103" t="s">
        <v>106</v>
      </c>
      <c r="E235" s="15">
        <v>291</v>
      </c>
      <c r="F235" s="15" t="s">
        <v>270</v>
      </c>
      <c r="G235" s="16">
        <v>49.57</v>
      </c>
      <c r="H235" s="16">
        <v>1.135</v>
      </c>
      <c r="I235" s="16">
        <v>4.8600000000000003</v>
      </c>
      <c r="J235" s="16">
        <v>0</v>
      </c>
      <c r="K235" s="16">
        <v>9.89</v>
      </c>
      <c r="L235" s="16">
        <v>0.13</v>
      </c>
      <c r="M235" s="16">
        <v>17.07</v>
      </c>
      <c r="N235" s="16">
        <v>11.09</v>
      </c>
      <c r="O235" s="16">
        <v>2.16</v>
      </c>
      <c r="P235" s="16">
        <v>0.63700000000000001</v>
      </c>
      <c r="S235" s="16">
        <v>0.157</v>
      </c>
      <c r="T235" s="16">
        <f t="shared" si="170"/>
        <v>96.698999999999998</v>
      </c>
      <c r="U235" s="16"/>
      <c r="V235" s="16">
        <f t="shared" si="221"/>
        <v>3.2504246149027525</v>
      </c>
      <c r="W235" s="16">
        <f t="shared" si="222"/>
        <v>7.3785601254585709</v>
      </c>
      <c r="X235" s="16">
        <f t="shared" si="223"/>
        <v>97.437984740361316</v>
      </c>
      <c r="AD235" s="15">
        <v>6</v>
      </c>
      <c r="AE235" s="15">
        <v>4</v>
      </c>
      <c r="AG235" s="38">
        <f t="shared" si="171"/>
        <v>1.8882023448465359</v>
      </c>
      <c r="AH235" s="38">
        <f t="shared" si="172"/>
        <v>3.2517514535107372E-2</v>
      </c>
      <c r="AI235" s="38">
        <f t="shared" si="173"/>
        <v>0.2181704743291033</v>
      </c>
      <c r="AJ235" s="38">
        <f t="shared" si="174"/>
        <v>0</v>
      </c>
      <c r="AK235" s="38">
        <f t="shared" si="175"/>
        <v>0.31501342081277617</v>
      </c>
      <c r="AL235" s="38">
        <f t="shared" si="176"/>
        <v>4.1938385349953745E-3</v>
      </c>
      <c r="AM235" s="38">
        <f t="shared" si="177"/>
        <v>0.96936651266096607</v>
      </c>
      <c r="AN235" s="38">
        <f t="shared" si="178"/>
        <v>0.45256720398178718</v>
      </c>
      <c r="AO235" s="38">
        <f t="shared" si="179"/>
        <v>0.15951139480545962</v>
      </c>
      <c r="AP235" s="38">
        <f t="shared" si="180"/>
        <v>3.0951240717528701E-2</v>
      </c>
      <c r="AQ235" s="38">
        <f t="shared" si="181"/>
        <v>0</v>
      </c>
      <c r="AR235" s="38">
        <f t="shared" si="182"/>
        <v>0</v>
      </c>
      <c r="AS235" s="38">
        <f t="shared" si="183"/>
        <v>1.0135448017922051E-2</v>
      </c>
      <c r="AT235" s="39">
        <f t="shared" si="184"/>
        <v>4.0704939452242597</v>
      </c>
      <c r="AU235" s="38">
        <f t="shared" si="185"/>
        <v>2.1063728191756392</v>
      </c>
      <c r="AV235" s="38">
        <f t="shared" si="186"/>
        <v>0.64302983950477555</v>
      </c>
      <c r="AW235" s="40"/>
      <c r="AX235" s="38">
        <f t="shared" si="187"/>
        <v>1.8555019319578006</v>
      </c>
      <c r="AY235" s="38">
        <f t="shared" si="188"/>
        <v>3.1954367182645056E-2</v>
      </c>
      <c r="AZ235" s="38">
        <f t="shared" si="189"/>
        <v>0.21439213743096075</v>
      </c>
      <c r="BA235" s="38">
        <f t="shared" si="190"/>
        <v>0</v>
      </c>
      <c r="BB235" s="38">
        <f t="shared" si="191"/>
        <v>0.10173859637989724</v>
      </c>
      <c r="BC235" s="38">
        <f t="shared" si="192"/>
        <v>0.20781933447748013</v>
      </c>
      <c r="BD235" s="38">
        <f t="shared" si="193"/>
        <v>4.1212084738913119E-3</v>
      </c>
      <c r="BE235" s="38">
        <f t="shared" si="194"/>
        <v>0.95257875403380288</v>
      </c>
      <c r="BF235" s="38">
        <f t="shared" si="195"/>
        <v>0.44472951938696809</v>
      </c>
      <c r="BG235" s="38">
        <f t="shared" si="196"/>
        <v>0.15674893214628918</v>
      </c>
      <c r="BH235" s="38">
        <f t="shared" si="197"/>
        <v>3.0415218530264611E-2</v>
      </c>
      <c r="BI235" s="38">
        <f t="shared" si="198"/>
        <v>0</v>
      </c>
      <c r="BJ235" s="38">
        <f t="shared" si="199"/>
        <v>0</v>
      </c>
      <c r="BK235" s="38">
        <f t="shared" si="200"/>
        <v>9.959919512779079E-3</v>
      </c>
      <c r="BL235" s="41">
        <f t="shared" si="201"/>
        <v>4</v>
      </c>
      <c r="BM235" s="42">
        <f t="shared" si="224"/>
        <v>5.9999999999999982</v>
      </c>
      <c r="BN235" s="38">
        <f t="shared" si="202"/>
        <v>2.0698940693887611</v>
      </c>
      <c r="BO235" s="38">
        <f t="shared" si="203"/>
        <v>0.63189367006352193</v>
      </c>
      <c r="BQ235" s="38">
        <f t="shared" si="204"/>
        <v>0.82506657789613846</v>
      </c>
      <c r="BR235" s="38">
        <f t="shared" si="205"/>
        <v>1.4208813219829745E-2</v>
      </c>
      <c r="BS235" s="38">
        <f t="shared" si="206"/>
        <v>9.5331502550019626E-2</v>
      </c>
      <c r="BT235" s="38">
        <f t="shared" si="207"/>
        <v>0</v>
      </c>
      <c r="BU235" s="38">
        <f t="shared" si="208"/>
        <v>0.13764787752261659</v>
      </c>
      <c r="BV235" s="38">
        <f t="shared" si="209"/>
        <v>1.8325345362277983E-3</v>
      </c>
      <c r="BW235" s="38">
        <f t="shared" si="210"/>
        <v>0.42357320099255585</v>
      </c>
      <c r="BX235" s="38">
        <f t="shared" si="211"/>
        <v>0.19775320970042795</v>
      </c>
      <c r="BY235" s="38">
        <f t="shared" si="212"/>
        <v>6.9699903194578902E-2</v>
      </c>
      <c r="BZ235" s="38">
        <f t="shared" si="213"/>
        <v>1.3524416135881104E-2</v>
      </c>
      <c r="CA235" s="38">
        <f t="shared" si="214"/>
        <v>0</v>
      </c>
      <c r="CB235" s="38">
        <f t="shared" si="215"/>
        <v>0</v>
      </c>
      <c r="CC235" s="38">
        <f t="shared" si="216"/>
        <v>4.4287729196050771E-3</v>
      </c>
      <c r="CD235" s="38">
        <f t="shared" si="217"/>
        <v>1.7786380357482761</v>
      </c>
      <c r="CE235" s="38">
        <f t="shared" si="218"/>
        <v>2.6217526320142217</v>
      </c>
      <c r="CF235" s="38">
        <f t="shared" si="219"/>
        <v>2.2489117625988433</v>
      </c>
      <c r="CG235" s="38">
        <f t="shared" si="220"/>
        <v>5.8960903327612595</v>
      </c>
    </row>
    <row r="236" spans="1:129" ht="15" customHeight="1" x14ac:dyDescent="0.25">
      <c r="A236" s="35" t="s">
        <v>249</v>
      </c>
      <c r="B236" s="15">
        <v>138</v>
      </c>
      <c r="C236" s="102" t="s">
        <v>95</v>
      </c>
      <c r="D236" s="103" t="s">
        <v>104</v>
      </c>
      <c r="E236" s="15">
        <v>169</v>
      </c>
      <c r="F236" s="15" t="s">
        <v>272</v>
      </c>
      <c r="G236" s="16">
        <v>0.127</v>
      </c>
      <c r="H236" s="16">
        <v>11.91</v>
      </c>
      <c r="I236" s="16">
        <v>3.95</v>
      </c>
      <c r="J236" s="16">
        <v>0.03</v>
      </c>
      <c r="K236" s="16">
        <v>75.069999999999993</v>
      </c>
      <c r="L236" s="16">
        <v>0.53200000000000003</v>
      </c>
      <c r="M236" s="16">
        <v>3.24</v>
      </c>
      <c r="N236" s="16">
        <v>5.1999999999999998E-2</v>
      </c>
      <c r="O236" s="16">
        <v>2.9000000000000001E-2</v>
      </c>
      <c r="P236" s="16">
        <v>0</v>
      </c>
      <c r="Q236" s="16">
        <v>0</v>
      </c>
      <c r="T236" s="16">
        <f t="shared" si="170"/>
        <v>94.939999999999984</v>
      </c>
      <c r="U236" s="16"/>
      <c r="V236" s="16">
        <f t="shared" si="221"/>
        <v>37.007914661640982</v>
      </c>
      <c r="W236" s="16">
        <f t="shared" si="222"/>
        <v>42.298395436518369</v>
      </c>
      <c r="X236" s="16">
        <f t="shared" si="223"/>
        <v>99.176310098159348</v>
      </c>
      <c r="AD236" s="15">
        <v>4</v>
      </c>
      <c r="AE236" s="15">
        <v>3</v>
      </c>
      <c r="AG236" s="38">
        <f t="shared" si="171"/>
        <v>5.4433407364639771E-3</v>
      </c>
      <c r="AH236" s="38">
        <f t="shared" si="172"/>
        <v>0.38394182862195469</v>
      </c>
      <c r="AI236" s="38">
        <f t="shared" si="173"/>
        <v>0.19952117245526038</v>
      </c>
      <c r="AJ236" s="38">
        <f t="shared" si="174"/>
        <v>1.0165481611567556E-3</v>
      </c>
      <c r="AK236" s="38">
        <f t="shared" si="175"/>
        <v>2.6904899064989891</v>
      </c>
      <c r="AL236" s="38">
        <f t="shared" si="176"/>
        <v>1.9311329402209036E-2</v>
      </c>
      <c r="AM236" s="38">
        <f t="shared" si="177"/>
        <v>0.20702923996942002</v>
      </c>
      <c r="AN236" s="38">
        <f t="shared" si="178"/>
        <v>2.3877401511944829E-3</v>
      </c>
      <c r="AO236" s="38">
        <f t="shared" si="179"/>
        <v>2.409728673449631E-3</v>
      </c>
      <c r="AP236" s="38">
        <f t="shared" si="180"/>
        <v>0</v>
      </c>
      <c r="AQ236" s="38">
        <f t="shared" si="181"/>
        <v>0</v>
      </c>
      <c r="AR236" s="38">
        <f t="shared" si="182"/>
        <v>0</v>
      </c>
      <c r="AS236" s="38">
        <f t="shared" si="183"/>
        <v>0</v>
      </c>
      <c r="AT236" s="39">
        <f t="shared" si="184"/>
        <v>3.5115508346700985</v>
      </c>
      <c r="AU236" s="38">
        <f t="shared" si="185"/>
        <v>0.20496451319172435</v>
      </c>
      <c r="AV236" s="38">
        <f t="shared" si="186"/>
        <v>4.7974688246441143E-3</v>
      </c>
      <c r="AW236" s="40"/>
      <c r="AX236" s="38">
        <f t="shared" si="187"/>
        <v>4.650373290388689E-3</v>
      </c>
      <c r="AY236" s="38">
        <f t="shared" si="188"/>
        <v>0.32801048314428727</v>
      </c>
      <c r="AZ236" s="38">
        <f t="shared" si="189"/>
        <v>0.17045560367689075</v>
      </c>
      <c r="BA236" s="38">
        <f t="shared" si="190"/>
        <v>8.6846086730701531E-4</v>
      </c>
      <c r="BB236" s="38">
        <f t="shared" si="191"/>
        <v>1.1331355373956886</v>
      </c>
      <c r="BC236" s="38">
        <f t="shared" si="192"/>
        <v>1.165412910146653</v>
      </c>
      <c r="BD236" s="38">
        <f t="shared" si="193"/>
        <v>1.6498120327530407E-2</v>
      </c>
      <c r="BE236" s="38">
        <f t="shared" si="194"/>
        <v>0.1768699213396436</v>
      </c>
      <c r="BF236" s="38">
        <f t="shared" si="195"/>
        <v>2.0399022514097863E-3</v>
      </c>
      <c r="BG236" s="38">
        <f t="shared" si="196"/>
        <v>2.0586875602010353E-3</v>
      </c>
      <c r="BH236" s="38">
        <f t="shared" si="197"/>
        <v>0</v>
      </c>
      <c r="BI236" s="38">
        <f t="shared" si="198"/>
        <v>0</v>
      </c>
      <c r="BJ236" s="38">
        <f t="shared" si="199"/>
        <v>0</v>
      </c>
      <c r="BK236" s="38">
        <f t="shared" si="200"/>
        <v>0</v>
      </c>
      <c r="BL236" s="41">
        <f t="shared" si="201"/>
        <v>3.0000000000000004</v>
      </c>
      <c r="BM236" s="42">
        <f t="shared" si="224"/>
        <v>4.0000000000000018</v>
      </c>
      <c r="BN236" s="38">
        <f t="shared" si="202"/>
        <v>0.17510597696727945</v>
      </c>
      <c r="BO236" s="38">
        <f t="shared" si="203"/>
        <v>4.0985898116108217E-3</v>
      </c>
      <c r="BQ236" s="38">
        <f t="shared" si="204"/>
        <v>2.1138482023968044E-3</v>
      </c>
      <c r="BR236" s="38">
        <f t="shared" si="205"/>
        <v>0.14909864797195796</v>
      </c>
      <c r="BS236" s="38">
        <f t="shared" si="206"/>
        <v>7.7481365241271097E-2</v>
      </c>
      <c r="BT236" s="38">
        <f t="shared" si="207"/>
        <v>3.9476281334298308E-4</v>
      </c>
      <c r="BU236" s="38">
        <f t="shared" si="208"/>
        <v>1.0448155880306194</v>
      </c>
      <c r="BV236" s="38">
        <f t="shared" si="209"/>
        <v>7.4992951790245283E-3</v>
      </c>
      <c r="BW236" s="38">
        <f t="shared" si="210"/>
        <v>8.0397022332506216E-2</v>
      </c>
      <c r="BX236" s="38">
        <f t="shared" si="211"/>
        <v>9.2724679029957205E-4</v>
      </c>
      <c r="BY236" s="38">
        <f t="shared" si="212"/>
        <v>9.357857373346242E-4</v>
      </c>
      <c r="BZ236" s="38">
        <f t="shared" si="213"/>
        <v>0</v>
      </c>
      <c r="CA236" s="38">
        <f t="shared" si="214"/>
        <v>0</v>
      </c>
      <c r="CB236" s="38">
        <f t="shared" si="215"/>
        <v>0</v>
      </c>
      <c r="CC236" s="38">
        <f t="shared" si="216"/>
        <v>0</v>
      </c>
      <c r="CD236" s="38">
        <f t="shared" si="217"/>
        <v>1.3636635622987532</v>
      </c>
      <c r="CE236" s="38">
        <f t="shared" si="218"/>
        <v>1.5533462296317475</v>
      </c>
      <c r="CF236" s="38">
        <f t="shared" si="219"/>
        <v>2.1999561203665543</v>
      </c>
      <c r="CG236" s="38">
        <f t="shared" si="220"/>
        <v>3.4172935449266739</v>
      </c>
    </row>
    <row r="237" spans="1:129" ht="15" customHeight="1" x14ac:dyDescent="0.25">
      <c r="A237" s="35" t="s">
        <v>249</v>
      </c>
      <c r="B237" s="15">
        <v>139</v>
      </c>
      <c r="C237" s="102" t="s">
        <v>95</v>
      </c>
      <c r="D237" s="103" t="s">
        <v>104</v>
      </c>
      <c r="E237" s="15">
        <v>170</v>
      </c>
      <c r="F237" s="15" t="s">
        <v>272</v>
      </c>
      <c r="G237" s="16">
        <v>0.124</v>
      </c>
      <c r="H237" s="16">
        <v>12.38</v>
      </c>
      <c r="I237" s="16">
        <v>3.84</v>
      </c>
      <c r="J237" s="16">
        <v>0</v>
      </c>
      <c r="K237" s="16">
        <v>73.61</v>
      </c>
      <c r="L237" s="16">
        <v>0.51700000000000002</v>
      </c>
      <c r="M237" s="16">
        <v>3.22</v>
      </c>
      <c r="N237" s="16">
        <v>6.9000000000000006E-2</v>
      </c>
      <c r="O237" s="16">
        <v>5.8000000000000003E-2</v>
      </c>
      <c r="P237" s="16">
        <v>0</v>
      </c>
      <c r="Q237" s="16">
        <v>0</v>
      </c>
      <c r="T237" s="16">
        <f t="shared" si="170"/>
        <v>93.818000000000012</v>
      </c>
      <c r="U237" s="16"/>
      <c r="V237" s="16">
        <f t="shared" si="221"/>
        <v>36.926322500658131</v>
      </c>
      <c r="W237" s="16">
        <f t="shared" si="222"/>
        <v>40.76657080501861</v>
      </c>
      <c r="X237" s="16">
        <f t="shared" si="223"/>
        <v>97.900893305676732</v>
      </c>
      <c r="AD237" s="15">
        <v>4</v>
      </c>
      <c r="AE237" s="15">
        <v>3</v>
      </c>
      <c r="AG237" s="38">
        <f t="shared" si="171"/>
        <v>5.3575873951538996E-3</v>
      </c>
      <c r="AH237" s="38">
        <f t="shared" si="172"/>
        <v>0.40230931797660985</v>
      </c>
      <c r="AI237" s="38">
        <f t="shared" si="173"/>
        <v>0.19552797217935716</v>
      </c>
      <c r="AJ237" s="38">
        <f t="shared" si="174"/>
        <v>0</v>
      </c>
      <c r="AK237" s="38">
        <f t="shared" si="175"/>
        <v>2.6594237827563361</v>
      </c>
      <c r="AL237" s="38">
        <f t="shared" si="176"/>
        <v>1.891807147479669E-2</v>
      </c>
      <c r="AM237" s="38">
        <f t="shared" si="177"/>
        <v>0.2074093490868337</v>
      </c>
      <c r="AN237" s="38">
        <f t="shared" si="178"/>
        <v>3.19387995524228E-3</v>
      </c>
      <c r="AO237" s="38">
        <f t="shared" si="179"/>
        <v>4.8582954284548318E-3</v>
      </c>
      <c r="AP237" s="38">
        <f t="shared" si="180"/>
        <v>0</v>
      </c>
      <c r="AQ237" s="38">
        <f t="shared" si="181"/>
        <v>0</v>
      </c>
      <c r="AR237" s="38">
        <f t="shared" si="182"/>
        <v>0</v>
      </c>
      <c r="AS237" s="38">
        <f t="shared" si="183"/>
        <v>0</v>
      </c>
      <c r="AT237" s="39">
        <f t="shared" si="184"/>
        <v>3.4969982562527844</v>
      </c>
      <c r="AU237" s="38">
        <f t="shared" si="185"/>
        <v>0.20088555957451107</v>
      </c>
      <c r="AV237" s="38">
        <f t="shared" si="186"/>
        <v>8.0521753836971122E-3</v>
      </c>
      <c r="AW237" s="40"/>
      <c r="AX237" s="38">
        <f t="shared" si="187"/>
        <v>4.5961596225342419E-3</v>
      </c>
      <c r="AY237" s="38">
        <f t="shared" si="188"/>
        <v>0.34513255812232391</v>
      </c>
      <c r="AZ237" s="38">
        <f t="shared" si="189"/>
        <v>0.16773926480782025</v>
      </c>
      <c r="BA237" s="38">
        <f t="shared" si="190"/>
        <v>0</v>
      </c>
      <c r="BB237" s="38">
        <f t="shared" si="191"/>
        <v>1.1444916482558929</v>
      </c>
      <c r="BC237" s="38">
        <f t="shared" si="192"/>
        <v>1.1369711274270839</v>
      </c>
      <c r="BD237" s="38">
        <f t="shared" si="193"/>
        <v>1.6229408843115967E-2</v>
      </c>
      <c r="BE237" s="38">
        <f t="shared" si="194"/>
        <v>0.1779320439030618</v>
      </c>
      <c r="BF237" s="38">
        <f t="shared" si="195"/>
        <v>2.7399612935449574E-3</v>
      </c>
      <c r="BG237" s="38">
        <f t="shared" si="196"/>
        <v>4.1678277246218138E-3</v>
      </c>
      <c r="BH237" s="38">
        <f t="shared" si="197"/>
        <v>0</v>
      </c>
      <c r="BI237" s="38">
        <f t="shared" si="198"/>
        <v>0</v>
      </c>
      <c r="BJ237" s="38">
        <f t="shared" si="199"/>
        <v>0</v>
      </c>
      <c r="BK237" s="38">
        <f t="shared" si="200"/>
        <v>0</v>
      </c>
      <c r="BL237" s="41">
        <f t="shared" si="201"/>
        <v>2.9999999999999996</v>
      </c>
      <c r="BM237" s="42">
        <f t="shared" si="224"/>
        <v>3.9999999999999987</v>
      </c>
      <c r="BN237" s="38">
        <f t="shared" si="202"/>
        <v>0.17233542443035449</v>
      </c>
      <c r="BO237" s="38">
        <f t="shared" si="203"/>
        <v>6.9077890181667712E-3</v>
      </c>
      <c r="BQ237" s="38">
        <f t="shared" si="204"/>
        <v>2.0639147802929427E-3</v>
      </c>
      <c r="BR237" s="38">
        <f t="shared" si="205"/>
        <v>0.15498247371056587</v>
      </c>
      <c r="BS237" s="38">
        <f t="shared" si="206"/>
        <v>7.5323656335817973E-2</v>
      </c>
      <c r="BT237" s="38">
        <f t="shared" si="207"/>
        <v>0</v>
      </c>
      <c r="BU237" s="38">
        <f t="shared" si="208"/>
        <v>1.0244954766875436</v>
      </c>
      <c r="BV237" s="38">
        <f t="shared" si="209"/>
        <v>7.287848886382859E-3</v>
      </c>
      <c r="BW237" s="38">
        <f t="shared" si="210"/>
        <v>7.9900744416873462E-2</v>
      </c>
      <c r="BX237" s="38">
        <f t="shared" si="211"/>
        <v>1.2303851640513553E-3</v>
      </c>
      <c r="BY237" s="38">
        <f t="shared" si="212"/>
        <v>1.8715714746692484E-3</v>
      </c>
      <c r="BZ237" s="38">
        <f t="shared" si="213"/>
        <v>0</v>
      </c>
      <c r="CA237" s="38">
        <f t="shared" si="214"/>
        <v>0</v>
      </c>
      <c r="CB237" s="38">
        <f t="shared" si="215"/>
        <v>0</v>
      </c>
      <c r="CC237" s="38">
        <f t="shared" si="216"/>
        <v>0</v>
      </c>
      <c r="CD237" s="38">
        <f t="shared" si="217"/>
        <v>1.3471560714561974</v>
      </c>
      <c r="CE237" s="38">
        <f t="shared" si="218"/>
        <v>1.5409285023776307</v>
      </c>
      <c r="CF237" s="38">
        <f t="shared" si="219"/>
        <v>2.2269134687246552</v>
      </c>
      <c r="CG237" s="38">
        <f t="shared" si="220"/>
        <v>3.4315144362864576</v>
      </c>
    </row>
    <row r="238" spans="1:129" ht="15" customHeight="1" x14ac:dyDescent="0.25">
      <c r="A238" s="35" t="s">
        <v>249</v>
      </c>
      <c r="B238" s="15">
        <v>140</v>
      </c>
      <c r="C238" s="102" t="s">
        <v>95</v>
      </c>
      <c r="D238" s="103" t="s">
        <v>104</v>
      </c>
      <c r="E238" s="15">
        <v>171</v>
      </c>
      <c r="F238" s="15" t="s">
        <v>272</v>
      </c>
      <c r="G238" s="16">
        <v>0.156</v>
      </c>
      <c r="H238" s="16">
        <v>13.19</v>
      </c>
      <c r="I238" s="16">
        <v>4.05</v>
      </c>
      <c r="J238" s="16">
        <v>0</v>
      </c>
      <c r="K238" s="16">
        <v>73.540000000000006</v>
      </c>
      <c r="L238" s="16">
        <v>0.55100000000000005</v>
      </c>
      <c r="M238" s="16">
        <v>3.46</v>
      </c>
      <c r="N238" s="16">
        <v>0.02</v>
      </c>
      <c r="O238" s="16">
        <v>0</v>
      </c>
      <c r="P238" s="16">
        <v>0</v>
      </c>
      <c r="Q238" s="16">
        <v>0</v>
      </c>
      <c r="T238" s="16">
        <f t="shared" si="170"/>
        <v>94.966999999999999</v>
      </c>
      <c r="U238" s="16"/>
      <c r="V238" s="16">
        <f t="shared" si="221"/>
        <v>37.981858370752136</v>
      </c>
      <c r="W238" s="16">
        <f t="shared" si="222"/>
        <v>39.515762792583153</v>
      </c>
      <c r="X238" s="16">
        <f t="shared" si="223"/>
        <v>98.924621163335274</v>
      </c>
      <c r="AD238" s="15">
        <v>4</v>
      </c>
      <c r="AE238" s="15">
        <v>3</v>
      </c>
      <c r="AG238" s="38">
        <f t="shared" si="171"/>
        <v>6.6065301946626742E-3</v>
      </c>
      <c r="AH238" s="38">
        <f t="shared" si="172"/>
        <v>0.42013173660470254</v>
      </c>
      <c r="AI238" s="38">
        <f t="shared" si="173"/>
        <v>0.20213147351476451</v>
      </c>
      <c r="AJ238" s="38">
        <f t="shared" si="174"/>
        <v>0</v>
      </c>
      <c r="AK238" s="38">
        <f t="shared" si="175"/>
        <v>2.604207605710867</v>
      </c>
      <c r="AL238" s="38">
        <f t="shared" si="176"/>
        <v>1.9762376302701518E-2</v>
      </c>
      <c r="AM238" s="38">
        <f t="shared" si="177"/>
        <v>0.21844887000856616</v>
      </c>
      <c r="AN238" s="38">
        <f t="shared" si="178"/>
        <v>9.0740410698849044E-4</v>
      </c>
      <c r="AO238" s="38">
        <f t="shared" si="179"/>
        <v>0</v>
      </c>
      <c r="AP238" s="38">
        <f t="shared" si="180"/>
        <v>0</v>
      </c>
      <c r="AQ238" s="38">
        <f t="shared" si="181"/>
        <v>0</v>
      </c>
      <c r="AR238" s="38">
        <f t="shared" si="182"/>
        <v>0</v>
      </c>
      <c r="AS238" s="38">
        <f t="shared" si="183"/>
        <v>0</v>
      </c>
      <c r="AT238" s="39">
        <f t="shared" si="184"/>
        <v>3.4721959964432529</v>
      </c>
      <c r="AU238" s="38">
        <f t="shared" si="185"/>
        <v>0.20873800370942719</v>
      </c>
      <c r="AV238" s="38">
        <f t="shared" si="186"/>
        <v>9.0740410698849044E-4</v>
      </c>
      <c r="AW238" s="40"/>
      <c r="AX238" s="38">
        <f t="shared" si="187"/>
        <v>5.7080852014950306E-3</v>
      </c>
      <c r="AY238" s="38">
        <f t="shared" si="188"/>
        <v>0.36299656214833337</v>
      </c>
      <c r="AZ238" s="38">
        <f t="shared" si="189"/>
        <v>0.17464291219892375</v>
      </c>
      <c r="BA238" s="38">
        <f t="shared" si="190"/>
        <v>0</v>
      </c>
      <c r="BB238" s="38">
        <f t="shared" si="191"/>
        <v>1.1621045729330635</v>
      </c>
      <c r="BC238" s="38">
        <f t="shared" si="192"/>
        <v>1.0879477931014199</v>
      </c>
      <c r="BD238" s="38">
        <f t="shared" si="193"/>
        <v>1.707482209208103E-2</v>
      </c>
      <c r="BE238" s="38">
        <f t="shared" si="194"/>
        <v>0.18874124925465133</v>
      </c>
      <c r="BF238" s="38">
        <f t="shared" si="195"/>
        <v>7.8400307003232881E-4</v>
      </c>
      <c r="BG238" s="38">
        <f t="shared" si="196"/>
        <v>0</v>
      </c>
      <c r="BH238" s="38">
        <f t="shared" si="197"/>
        <v>0</v>
      </c>
      <c r="BI238" s="38">
        <f t="shared" si="198"/>
        <v>0</v>
      </c>
      <c r="BJ238" s="38">
        <f t="shared" si="199"/>
        <v>0</v>
      </c>
      <c r="BK238" s="38">
        <f t="shared" si="200"/>
        <v>0</v>
      </c>
      <c r="BL238" s="41">
        <f t="shared" si="201"/>
        <v>3</v>
      </c>
      <c r="BM238" s="42">
        <f t="shared" si="224"/>
        <v>4</v>
      </c>
      <c r="BN238" s="38">
        <f t="shared" si="202"/>
        <v>0.18035099740041877</v>
      </c>
      <c r="BO238" s="38">
        <f t="shared" si="203"/>
        <v>7.8400307003232881E-4</v>
      </c>
      <c r="BQ238" s="38">
        <f t="shared" si="204"/>
        <v>2.5965379494007992E-3</v>
      </c>
      <c r="BR238" s="38">
        <f t="shared" si="205"/>
        <v>0.16512268402603905</v>
      </c>
      <c r="BS238" s="38">
        <f t="shared" si="206"/>
        <v>7.9442918791683012E-2</v>
      </c>
      <c r="BT238" s="38">
        <f t="shared" si="207"/>
        <v>0</v>
      </c>
      <c r="BU238" s="38">
        <f t="shared" si="208"/>
        <v>1.0235212247738346</v>
      </c>
      <c r="BV238" s="38">
        <f t="shared" si="209"/>
        <v>7.7671271497039762E-3</v>
      </c>
      <c r="BW238" s="38">
        <f t="shared" si="210"/>
        <v>8.5856079404466504E-2</v>
      </c>
      <c r="BX238" s="38">
        <f t="shared" si="211"/>
        <v>3.566333808844508E-4</v>
      </c>
      <c r="BY238" s="38">
        <f t="shared" si="212"/>
        <v>0</v>
      </c>
      <c r="BZ238" s="38">
        <f t="shared" si="213"/>
        <v>0</v>
      </c>
      <c r="CA238" s="38">
        <f t="shared" si="214"/>
        <v>0</v>
      </c>
      <c r="CB238" s="38">
        <f t="shared" si="215"/>
        <v>0</v>
      </c>
      <c r="CC238" s="38">
        <f t="shared" si="216"/>
        <v>0</v>
      </c>
      <c r="CD238" s="38">
        <f t="shared" si="217"/>
        <v>1.3646632054760124</v>
      </c>
      <c r="CE238" s="38">
        <f t="shared" si="218"/>
        <v>1.5721038868472936</v>
      </c>
      <c r="CF238" s="38">
        <f t="shared" si="219"/>
        <v>2.1983446083706499</v>
      </c>
      <c r="CG238" s="38">
        <f t="shared" si="220"/>
        <v>3.4560261034492901</v>
      </c>
    </row>
    <row r="239" spans="1:129" ht="15" customHeight="1" x14ac:dyDescent="0.25">
      <c r="A239" s="35" t="s">
        <v>249</v>
      </c>
      <c r="B239" s="15">
        <v>141</v>
      </c>
      <c r="C239" s="102" t="s">
        <v>95</v>
      </c>
      <c r="D239" s="103" t="s">
        <v>104</v>
      </c>
      <c r="E239" s="15">
        <v>172</v>
      </c>
      <c r="F239" s="15" t="s">
        <v>272</v>
      </c>
      <c r="G239" s="16">
        <v>9.5000000000000001E-2</v>
      </c>
      <c r="H239" s="16">
        <v>12.57</v>
      </c>
      <c r="I239" s="16">
        <v>3.93</v>
      </c>
      <c r="J239" s="16">
        <v>0</v>
      </c>
      <c r="K239" s="16">
        <v>73.27</v>
      </c>
      <c r="L239" s="16">
        <v>0.56699999999999995</v>
      </c>
      <c r="M239" s="16">
        <v>3.39</v>
      </c>
      <c r="N239" s="16">
        <v>3.9E-2</v>
      </c>
      <c r="O239" s="16">
        <v>0</v>
      </c>
      <c r="P239" s="16">
        <v>0</v>
      </c>
      <c r="Q239" s="16">
        <v>0</v>
      </c>
      <c r="T239" s="16">
        <f t="shared" si="170"/>
        <v>93.86099999999999</v>
      </c>
      <c r="U239" s="16"/>
      <c r="V239" s="16">
        <f t="shared" si="221"/>
        <v>37.050819890974374</v>
      </c>
      <c r="W239" s="16">
        <f t="shared" si="222"/>
        <v>40.250374855160175</v>
      </c>
      <c r="X239" s="16">
        <f t="shared" si="223"/>
        <v>97.89219474613455</v>
      </c>
      <c r="AD239" s="15">
        <v>4</v>
      </c>
      <c r="AE239" s="15">
        <v>3</v>
      </c>
      <c r="AG239" s="38">
        <f t="shared" si="171"/>
        <v>4.0909037370728037E-3</v>
      </c>
      <c r="AH239" s="38">
        <f t="shared" si="172"/>
        <v>0.40712033989119334</v>
      </c>
      <c r="AI239" s="38">
        <f t="shared" si="173"/>
        <v>0.19944277040257335</v>
      </c>
      <c r="AJ239" s="38">
        <f t="shared" si="174"/>
        <v>0</v>
      </c>
      <c r="AK239" s="38">
        <f t="shared" si="175"/>
        <v>2.6383049848389826</v>
      </c>
      <c r="AL239" s="38">
        <f t="shared" si="176"/>
        <v>2.0678424840670454E-2</v>
      </c>
      <c r="AM239" s="38">
        <f t="shared" si="177"/>
        <v>0.2176307361144319</v>
      </c>
      <c r="AN239" s="38">
        <f t="shared" si="178"/>
        <v>1.7992113455233181E-3</v>
      </c>
      <c r="AO239" s="38">
        <f t="shared" si="179"/>
        <v>0</v>
      </c>
      <c r="AP239" s="38">
        <f t="shared" si="180"/>
        <v>0</v>
      </c>
      <c r="AQ239" s="38">
        <f t="shared" si="181"/>
        <v>0</v>
      </c>
      <c r="AR239" s="38">
        <f t="shared" si="182"/>
        <v>0</v>
      </c>
      <c r="AS239" s="38">
        <f t="shared" si="183"/>
        <v>0</v>
      </c>
      <c r="AT239" s="39">
        <f t="shared" si="184"/>
        <v>3.4890673711704476</v>
      </c>
      <c r="AU239" s="38">
        <f t="shared" si="185"/>
        <v>0.20353367413964615</v>
      </c>
      <c r="AV239" s="38">
        <f t="shared" si="186"/>
        <v>1.7992113455233181E-3</v>
      </c>
      <c r="AW239" s="40"/>
      <c r="AX239" s="38">
        <f t="shared" si="187"/>
        <v>3.5174761349195125E-3</v>
      </c>
      <c r="AY239" s="38">
        <f t="shared" si="188"/>
        <v>0.35005372202482299</v>
      </c>
      <c r="AZ239" s="38">
        <f t="shared" si="189"/>
        <v>0.17148660302509544</v>
      </c>
      <c r="BA239" s="38">
        <f t="shared" si="190"/>
        <v>0</v>
      </c>
      <c r="BB239" s="38">
        <f t="shared" si="191"/>
        <v>1.1471191465731776</v>
      </c>
      <c r="BC239" s="38">
        <f t="shared" si="192"/>
        <v>1.1213710006554205</v>
      </c>
      <c r="BD239" s="38">
        <f t="shared" si="193"/>
        <v>1.7779901596225386E-2</v>
      </c>
      <c r="BE239" s="38">
        <f t="shared" si="194"/>
        <v>0.18712513657317983</v>
      </c>
      <c r="BF239" s="38">
        <f t="shared" si="195"/>
        <v>1.5470134171583093E-3</v>
      </c>
      <c r="BG239" s="38">
        <f t="shared" si="196"/>
        <v>0</v>
      </c>
      <c r="BH239" s="38">
        <f t="shared" si="197"/>
        <v>0</v>
      </c>
      <c r="BI239" s="38">
        <f t="shared" si="198"/>
        <v>0</v>
      </c>
      <c r="BJ239" s="38">
        <f t="shared" si="199"/>
        <v>0</v>
      </c>
      <c r="BK239" s="38">
        <f t="shared" si="200"/>
        <v>0</v>
      </c>
      <c r="BL239" s="41">
        <f t="shared" si="201"/>
        <v>2.9999999999999996</v>
      </c>
      <c r="BM239" s="42">
        <f t="shared" si="224"/>
        <v>4</v>
      </c>
      <c r="BN239" s="38">
        <f t="shared" si="202"/>
        <v>0.17500407916001495</v>
      </c>
      <c r="BO239" s="38">
        <f t="shared" si="203"/>
        <v>1.5470134171583093E-3</v>
      </c>
      <c r="BQ239" s="38">
        <f t="shared" si="204"/>
        <v>1.5812250332889481E-3</v>
      </c>
      <c r="BR239" s="38">
        <f t="shared" si="205"/>
        <v>0.15736104156234354</v>
      </c>
      <c r="BS239" s="38">
        <f t="shared" si="206"/>
        <v>7.7089054531188708E-2</v>
      </c>
      <c r="BT239" s="38">
        <f t="shared" si="207"/>
        <v>0</v>
      </c>
      <c r="BU239" s="38">
        <f t="shared" si="208"/>
        <v>1.0197633959638135</v>
      </c>
      <c r="BV239" s="38">
        <f t="shared" si="209"/>
        <v>7.9926698618550882E-3</v>
      </c>
      <c r="BW239" s="38">
        <f t="shared" si="210"/>
        <v>8.4119106699751867E-2</v>
      </c>
      <c r="BX239" s="38">
        <f t="shared" si="211"/>
        <v>6.9543509272467906E-4</v>
      </c>
      <c r="BY239" s="38">
        <f t="shared" si="212"/>
        <v>0</v>
      </c>
      <c r="BZ239" s="38">
        <f t="shared" si="213"/>
        <v>0</v>
      </c>
      <c r="CA239" s="38">
        <f t="shared" si="214"/>
        <v>0</v>
      </c>
      <c r="CB239" s="38">
        <f t="shared" si="215"/>
        <v>0</v>
      </c>
      <c r="CC239" s="38">
        <f t="shared" si="216"/>
        <v>0</v>
      </c>
      <c r="CD239" s="38">
        <f t="shared" si="217"/>
        <v>1.3486019287449664</v>
      </c>
      <c r="CE239" s="38">
        <f t="shared" si="218"/>
        <v>1.546088722606193</v>
      </c>
      <c r="CF239" s="38">
        <f t="shared" si="219"/>
        <v>2.2245259598522558</v>
      </c>
      <c r="CG239" s="38">
        <f t="shared" si="220"/>
        <v>3.4393144996722893</v>
      </c>
    </row>
    <row r="240" spans="1:129" ht="15" customHeight="1" x14ac:dyDescent="0.25">
      <c r="A240" s="35" t="s">
        <v>249</v>
      </c>
      <c r="B240" s="15">
        <v>142</v>
      </c>
      <c r="C240" s="102" t="s">
        <v>95</v>
      </c>
      <c r="D240" s="103" t="s">
        <v>104</v>
      </c>
      <c r="E240" s="15">
        <v>173</v>
      </c>
      <c r="F240" s="15" t="s">
        <v>272</v>
      </c>
      <c r="G240" s="16">
        <v>0.13800000000000001</v>
      </c>
      <c r="H240" s="16">
        <v>13.09</v>
      </c>
      <c r="I240" s="16">
        <v>3.78</v>
      </c>
      <c r="J240" s="16">
        <v>4.5999999999999999E-2</v>
      </c>
      <c r="K240" s="16">
        <v>74.239999999999995</v>
      </c>
      <c r="L240" s="16">
        <v>0.52300000000000002</v>
      </c>
      <c r="M240" s="16">
        <v>3.27</v>
      </c>
      <c r="N240" s="16">
        <v>2.9000000000000001E-2</v>
      </c>
      <c r="O240" s="16">
        <v>6.2E-2</v>
      </c>
      <c r="P240" s="16">
        <v>0</v>
      </c>
      <c r="Q240" s="16">
        <v>0</v>
      </c>
      <c r="T240" s="16">
        <f t="shared" si="170"/>
        <v>95.177999999999983</v>
      </c>
      <c r="U240" s="16"/>
      <c r="V240" s="16">
        <f t="shared" si="221"/>
        <v>37.951686092097795</v>
      </c>
      <c r="W240" s="16">
        <f t="shared" si="222"/>
        <v>40.327203245851713</v>
      </c>
      <c r="X240" s="16">
        <f t="shared" si="223"/>
        <v>99.21688933794951</v>
      </c>
      <c r="AD240" s="15">
        <v>4</v>
      </c>
      <c r="AE240" s="15">
        <v>3</v>
      </c>
      <c r="AG240" s="38">
        <f t="shared" si="171"/>
        <v>5.860436540700462E-3</v>
      </c>
      <c r="AH240" s="38">
        <f t="shared" si="172"/>
        <v>0.41810214490318487</v>
      </c>
      <c r="AI240" s="38">
        <f t="shared" si="173"/>
        <v>0.18917893397251159</v>
      </c>
      <c r="AJ240" s="38">
        <f t="shared" si="174"/>
        <v>1.5443780396310444E-3</v>
      </c>
      <c r="AK240" s="38">
        <f t="shared" si="175"/>
        <v>2.6362827984628465</v>
      </c>
      <c r="AL240" s="38">
        <f t="shared" si="176"/>
        <v>1.8810108901178315E-2</v>
      </c>
      <c r="AM240" s="38">
        <f t="shared" si="177"/>
        <v>0.20702534244695184</v>
      </c>
      <c r="AN240" s="38">
        <f t="shared" si="178"/>
        <v>1.3193827391502341E-3</v>
      </c>
      <c r="AO240" s="38">
        <f t="shared" si="179"/>
        <v>5.1044730877767E-3</v>
      </c>
      <c r="AP240" s="38">
        <f t="shared" si="180"/>
        <v>0</v>
      </c>
      <c r="AQ240" s="38">
        <f t="shared" si="181"/>
        <v>0</v>
      </c>
      <c r="AR240" s="38">
        <f t="shared" si="182"/>
        <v>0</v>
      </c>
      <c r="AS240" s="38">
        <f t="shared" si="183"/>
        <v>0</v>
      </c>
      <c r="AT240" s="39">
        <f t="shared" si="184"/>
        <v>3.4832279990939319</v>
      </c>
      <c r="AU240" s="38">
        <f t="shared" si="185"/>
        <v>0.19503937051321205</v>
      </c>
      <c r="AV240" s="38">
        <f t="shared" si="186"/>
        <v>6.4238558269269341E-3</v>
      </c>
      <c r="AW240" s="40"/>
      <c r="AX240" s="38">
        <f t="shared" si="187"/>
        <v>5.0474185516063523E-3</v>
      </c>
      <c r="AY240" s="38">
        <f t="shared" si="188"/>
        <v>0.36009886089450038</v>
      </c>
      <c r="AZ240" s="38">
        <f t="shared" si="189"/>
        <v>0.16293415247728951</v>
      </c>
      <c r="BA240" s="38">
        <f t="shared" si="190"/>
        <v>1.3301265722767269E-3</v>
      </c>
      <c r="BB240" s="38">
        <f t="shared" si="191"/>
        <v>1.1607119613441239</v>
      </c>
      <c r="BC240" s="38">
        <f t="shared" si="192"/>
        <v>1.1098394919187156</v>
      </c>
      <c r="BD240" s="38">
        <f t="shared" si="193"/>
        <v>1.6200583687950885E-2</v>
      </c>
      <c r="BE240" s="38">
        <f t="shared" si="194"/>
        <v>0.17830472983749893</v>
      </c>
      <c r="BF240" s="38">
        <f t="shared" si="195"/>
        <v>1.1363448555421318E-3</v>
      </c>
      <c r="BG240" s="38">
        <f t="shared" si="196"/>
        <v>4.3963298604953434E-3</v>
      </c>
      <c r="BH240" s="38">
        <f t="shared" si="197"/>
        <v>0</v>
      </c>
      <c r="BI240" s="38">
        <f t="shared" si="198"/>
        <v>0</v>
      </c>
      <c r="BJ240" s="38">
        <f t="shared" si="199"/>
        <v>0</v>
      </c>
      <c r="BK240" s="38">
        <f t="shared" si="200"/>
        <v>0</v>
      </c>
      <c r="BL240" s="41">
        <f t="shared" si="201"/>
        <v>2.9999999999999996</v>
      </c>
      <c r="BM240" s="42">
        <f t="shared" si="224"/>
        <v>4</v>
      </c>
      <c r="BN240" s="38">
        <f t="shared" si="202"/>
        <v>0.16798157102889585</v>
      </c>
      <c r="BO240" s="38">
        <f t="shared" si="203"/>
        <v>5.5326747160374754E-3</v>
      </c>
      <c r="BQ240" s="38">
        <f t="shared" si="204"/>
        <v>2.29693741677763E-3</v>
      </c>
      <c r="BR240" s="38">
        <f t="shared" si="205"/>
        <v>0.16387080620931399</v>
      </c>
      <c r="BS240" s="38">
        <f t="shared" si="206"/>
        <v>7.4146724205570808E-2</v>
      </c>
      <c r="BT240" s="38">
        <f t="shared" si="207"/>
        <v>6.0530298045924065E-4</v>
      </c>
      <c r="BU240" s="38">
        <f t="shared" si="208"/>
        <v>1.0332637439109256</v>
      </c>
      <c r="BV240" s="38">
        <f t="shared" si="209"/>
        <v>7.3724274034395266E-3</v>
      </c>
      <c r="BW240" s="38">
        <f t="shared" si="210"/>
        <v>8.1141439205955346E-2</v>
      </c>
      <c r="BX240" s="38">
        <f t="shared" si="211"/>
        <v>5.1711840228245366E-4</v>
      </c>
      <c r="BY240" s="38">
        <f t="shared" si="212"/>
        <v>2.000645369474024E-3</v>
      </c>
      <c r="BZ240" s="38">
        <f t="shared" si="213"/>
        <v>0</v>
      </c>
      <c r="CA240" s="38">
        <f t="shared" si="214"/>
        <v>0</v>
      </c>
      <c r="CB240" s="38">
        <f t="shared" si="215"/>
        <v>0</v>
      </c>
      <c r="CC240" s="38">
        <f t="shared" si="216"/>
        <v>0</v>
      </c>
      <c r="CD240" s="38">
        <f t="shared" si="217"/>
        <v>1.3652151451041985</v>
      </c>
      <c r="CE240" s="38">
        <f t="shared" si="218"/>
        <v>1.5677585796385682</v>
      </c>
      <c r="CF240" s="38">
        <f t="shared" si="219"/>
        <v>2.1974558447863015</v>
      </c>
      <c r="CG240" s="38">
        <f t="shared" si="220"/>
        <v>3.4450802540406422</v>
      </c>
    </row>
    <row r="241" spans="1:85" ht="15" customHeight="1" x14ac:dyDescent="0.25">
      <c r="A241" s="35" t="s">
        <v>249</v>
      </c>
      <c r="B241" s="15">
        <v>143</v>
      </c>
      <c r="C241" s="102" t="s">
        <v>95</v>
      </c>
      <c r="D241" s="103" t="s">
        <v>104</v>
      </c>
      <c r="E241" s="15">
        <v>174</v>
      </c>
      <c r="F241" s="15" t="s">
        <v>272</v>
      </c>
      <c r="G241" s="16">
        <v>0.125</v>
      </c>
      <c r="H241" s="16">
        <v>12.5</v>
      </c>
      <c r="I241" s="16">
        <v>3.81</v>
      </c>
      <c r="J241" s="16">
        <v>1.7000000000000001E-2</v>
      </c>
      <c r="K241" s="16">
        <v>74.41</v>
      </c>
      <c r="L241" s="16">
        <v>0.59399999999999997</v>
      </c>
      <c r="M241" s="16">
        <v>3.33</v>
      </c>
      <c r="N241" s="16">
        <v>0.06</v>
      </c>
      <c r="O241" s="16">
        <v>1.6E-2</v>
      </c>
      <c r="P241" s="16">
        <v>7.0000000000000001E-3</v>
      </c>
      <c r="Q241" s="16">
        <v>0</v>
      </c>
      <c r="T241" s="16">
        <f t="shared" si="170"/>
        <v>94.869</v>
      </c>
      <c r="U241" s="16"/>
      <c r="V241" s="16">
        <f t="shared" si="221"/>
        <v>37.299211448943261</v>
      </c>
      <c r="W241" s="16">
        <f t="shared" si="222"/>
        <v>41.241219316789348</v>
      </c>
      <c r="X241" s="16">
        <f t="shared" si="223"/>
        <v>98.999430765732598</v>
      </c>
      <c r="AD241" s="15">
        <v>4</v>
      </c>
      <c r="AE241" s="15">
        <v>3</v>
      </c>
      <c r="AG241" s="38">
        <f t="shared" si="171"/>
        <v>5.3429715378513947E-3</v>
      </c>
      <c r="AH241" s="38">
        <f t="shared" si="172"/>
        <v>0.40185995242127159</v>
      </c>
      <c r="AI241" s="38">
        <f t="shared" si="173"/>
        <v>0.19192339447274473</v>
      </c>
      <c r="AJ241" s="38">
        <f t="shared" si="174"/>
        <v>5.7446910032501086E-4</v>
      </c>
      <c r="AK241" s="38">
        <f t="shared" si="175"/>
        <v>2.6595447592330532</v>
      </c>
      <c r="AL241" s="38">
        <f t="shared" si="176"/>
        <v>2.1502949378799256E-2</v>
      </c>
      <c r="AM241" s="38">
        <f t="shared" si="177"/>
        <v>0.21219832871074784</v>
      </c>
      <c r="AN241" s="38">
        <f t="shared" si="178"/>
        <v>2.7475526105059495E-3</v>
      </c>
      <c r="AO241" s="38">
        <f t="shared" si="179"/>
        <v>1.3258707143996872E-3</v>
      </c>
      <c r="AP241" s="38">
        <f t="shared" si="180"/>
        <v>3.8166286368726662E-4</v>
      </c>
      <c r="AQ241" s="38">
        <f t="shared" si="181"/>
        <v>0</v>
      </c>
      <c r="AR241" s="38">
        <f t="shared" si="182"/>
        <v>0</v>
      </c>
      <c r="AS241" s="38">
        <f t="shared" si="183"/>
        <v>0</v>
      </c>
      <c r="AT241" s="39">
        <f t="shared" si="184"/>
        <v>3.497401911043386</v>
      </c>
      <c r="AU241" s="38">
        <f t="shared" si="185"/>
        <v>0.19726636601059613</v>
      </c>
      <c r="AV241" s="38">
        <f t="shared" si="186"/>
        <v>4.455086188592903E-3</v>
      </c>
      <c r="AW241" s="40"/>
      <c r="AX241" s="38">
        <f t="shared" si="187"/>
        <v>4.5830919697679951E-3</v>
      </c>
      <c r="AY241" s="38">
        <f t="shared" si="188"/>
        <v>0.34470726783132344</v>
      </c>
      <c r="AZ241" s="38">
        <f t="shared" si="189"/>
        <v>0.16462797186682604</v>
      </c>
      <c r="BA241" s="38">
        <f t="shared" si="190"/>
        <v>4.9276787306977974E-4</v>
      </c>
      <c r="BB241" s="38">
        <f t="shared" si="191"/>
        <v>1.1435400022867026</v>
      </c>
      <c r="BC241" s="38">
        <f t="shared" si="192"/>
        <v>1.1377632281215178</v>
      </c>
      <c r="BD241" s="38">
        <f t="shared" si="193"/>
        <v>1.8444791241379727E-2</v>
      </c>
      <c r="BE241" s="38">
        <f t="shared" si="194"/>
        <v>0.18201939677625642</v>
      </c>
      <c r="BF241" s="38">
        <f t="shared" si="195"/>
        <v>2.3567945695605807E-3</v>
      </c>
      <c r="BG241" s="38">
        <f t="shared" si="196"/>
        <v>1.1373048463887909E-3</v>
      </c>
      <c r="BH241" s="38">
        <f t="shared" si="197"/>
        <v>3.2738261720690075E-4</v>
      </c>
      <c r="BI241" s="38">
        <f t="shared" si="198"/>
        <v>0</v>
      </c>
      <c r="BJ241" s="38">
        <f t="shared" si="199"/>
        <v>0</v>
      </c>
      <c r="BK241" s="38">
        <f t="shared" si="200"/>
        <v>0</v>
      </c>
      <c r="BL241" s="41">
        <f t="shared" si="201"/>
        <v>3</v>
      </c>
      <c r="BM241" s="42">
        <f t="shared" si="224"/>
        <v>4</v>
      </c>
      <c r="BN241" s="38">
        <f t="shared" si="202"/>
        <v>0.16921106383659404</v>
      </c>
      <c r="BO241" s="38">
        <f t="shared" si="203"/>
        <v>3.8214820331562726E-3</v>
      </c>
      <c r="BQ241" s="38">
        <f t="shared" si="204"/>
        <v>2.0805592543275634E-3</v>
      </c>
      <c r="BR241" s="38">
        <f t="shared" si="205"/>
        <v>0.15648472709063596</v>
      </c>
      <c r="BS241" s="38">
        <f t="shared" si="206"/>
        <v>7.473519027069439E-2</v>
      </c>
      <c r="BT241" s="38">
        <f t="shared" si="207"/>
        <v>2.2369892756102374E-4</v>
      </c>
      <c r="BU241" s="38">
        <f t="shared" si="208"/>
        <v>1.0356297842727906</v>
      </c>
      <c r="BV241" s="38">
        <f t="shared" si="209"/>
        <v>8.3732731886100933E-3</v>
      </c>
      <c r="BW241" s="38">
        <f t="shared" si="210"/>
        <v>8.2630272952853606E-2</v>
      </c>
      <c r="BX241" s="38">
        <f t="shared" si="211"/>
        <v>1.0699001426533524E-3</v>
      </c>
      <c r="BY241" s="38">
        <f t="shared" si="212"/>
        <v>5.1629557921910297E-4</v>
      </c>
      <c r="BZ241" s="38">
        <f t="shared" si="213"/>
        <v>1.4861995753715499E-4</v>
      </c>
      <c r="CA241" s="38">
        <f t="shared" si="214"/>
        <v>0</v>
      </c>
      <c r="CB241" s="38">
        <f t="shared" si="215"/>
        <v>0</v>
      </c>
      <c r="CC241" s="38">
        <f t="shared" si="216"/>
        <v>0</v>
      </c>
      <c r="CD241" s="38">
        <f t="shared" si="217"/>
        <v>1.3618923216368828</v>
      </c>
      <c r="CE241" s="38">
        <f t="shared" si="218"/>
        <v>1.5576045948125958</v>
      </c>
      <c r="CF241" s="38">
        <f t="shared" si="219"/>
        <v>2.2028173243492892</v>
      </c>
      <c r="CG241" s="38">
        <f t="shared" si="220"/>
        <v>3.4311183859392411</v>
      </c>
    </row>
    <row r="242" spans="1:85" ht="15" customHeight="1" x14ac:dyDescent="0.25">
      <c r="A242" s="35" t="s">
        <v>249</v>
      </c>
      <c r="B242" s="15">
        <v>144</v>
      </c>
      <c r="C242" s="102" t="s">
        <v>95</v>
      </c>
      <c r="D242" s="103" t="s">
        <v>104</v>
      </c>
      <c r="E242" s="15">
        <v>175</v>
      </c>
      <c r="F242" s="15" t="s">
        <v>272</v>
      </c>
      <c r="G242" s="16">
        <v>0.186</v>
      </c>
      <c r="H242" s="16">
        <v>10.76</v>
      </c>
      <c r="I242" s="16">
        <v>3.78</v>
      </c>
      <c r="J242" s="16">
        <v>0</v>
      </c>
      <c r="K242" s="16">
        <v>73.55</v>
      </c>
      <c r="L242" s="16">
        <v>0.52700000000000002</v>
      </c>
      <c r="M242" s="16">
        <v>3.46</v>
      </c>
      <c r="N242" s="16">
        <v>0.35299999999999998</v>
      </c>
      <c r="O242" s="16">
        <v>1.7999999999999999E-2</v>
      </c>
      <c r="P242" s="16">
        <v>0</v>
      </c>
      <c r="Q242" s="16">
        <v>0</v>
      </c>
      <c r="T242" s="16">
        <f t="shared" si="170"/>
        <v>92.633999999999986</v>
      </c>
      <c r="U242" s="16"/>
      <c r="V242" s="16">
        <f t="shared" si="221"/>
        <v>34.654110562838056</v>
      </c>
      <c r="W242" s="16">
        <f t="shared" si="222"/>
        <v>43.225001931518065</v>
      </c>
      <c r="X242" s="16">
        <f t="shared" si="223"/>
        <v>96.963112494356125</v>
      </c>
      <c r="AD242" s="15">
        <v>4</v>
      </c>
      <c r="AE242" s="15">
        <v>3</v>
      </c>
      <c r="AG242" s="38">
        <f t="shared" si="171"/>
        <v>8.199105906527452E-3</v>
      </c>
      <c r="AH242" s="38">
        <f t="shared" si="172"/>
        <v>0.35674483254575834</v>
      </c>
      <c r="AI242" s="38">
        <f t="shared" si="173"/>
        <v>0.19637013769120507</v>
      </c>
      <c r="AJ242" s="38">
        <f t="shared" si="174"/>
        <v>0</v>
      </c>
      <c r="AK242" s="38">
        <f t="shared" si="175"/>
        <v>2.7110615682806669</v>
      </c>
      <c r="AL242" s="38">
        <f t="shared" si="176"/>
        <v>1.9674463886596369E-2</v>
      </c>
      <c r="AM242" s="38">
        <f t="shared" si="177"/>
        <v>0.22738118662584728</v>
      </c>
      <c r="AN242" s="38">
        <f t="shared" si="178"/>
        <v>1.6670559516651688E-2</v>
      </c>
      <c r="AO242" s="38">
        <f t="shared" si="179"/>
        <v>1.5382764977177944E-3</v>
      </c>
      <c r="AP242" s="38">
        <f t="shared" si="180"/>
        <v>0</v>
      </c>
      <c r="AQ242" s="38">
        <f t="shared" si="181"/>
        <v>0</v>
      </c>
      <c r="AR242" s="38">
        <f t="shared" si="182"/>
        <v>0</v>
      </c>
      <c r="AS242" s="38">
        <f t="shared" si="183"/>
        <v>0</v>
      </c>
      <c r="AT242" s="39">
        <f t="shared" si="184"/>
        <v>3.5376401309509706</v>
      </c>
      <c r="AU242" s="38">
        <f t="shared" si="185"/>
        <v>0.20456924359773251</v>
      </c>
      <c r="AV242" s="38">
        <f t="shared" si="186"/>
        <v>1.8208836014369484E-2</v>
      </c>
      <c r="AW242" s="40"/>
      <c r="AX242" s="38">
        <f t="shared" si="187"/>
        <v>6.9530299321232079E-3</v>
      </c>
      <c r="AY242" s="38">
        <f t="shared" si="188"/>
        <v>0.30252780328721002</v>
      </c>
      <c r="AZ242" s="38">
        <f t="shared" si="189"/>
        <v>0.16652638235287476</v>
      </c>
      <c r="BA242" s="38">
        <f t="shared" si="190"/>
        <v>0</v>
      </c>
      <c r="BB242" s="38">
        <f t="shared" si="191"/>
        <v>1.083225968550996</v>
      </c>
      <c r="BC242" s="38">
        <f t="shared" si="192"/>
        <v>1.2158164449733215</v>
      </c>
      <c r="BD242" s="38">
        <f t="shared" si="193"/>
        <v>1.6684396794176673E-2</v>
      </c>
      <c r="BE242" s="38">
        <f t="shared" si="194"/>
        <v>0.19282446337869066</v>
      </c>
      <c r="BF242" s="38">
        <f t="shared" si="195"/>
        <v>1.4137016965745238E-2</v>
      </c>
      <c r="BG242" s="38">
        <f t="shared" si="196"/>
        <v>1.3044937648626371E-3</v>
      </c>
      <c r="BH242" s="38">
        <f t="shared" si="197"/>
        <v>0</v>
      </c>
      <c r="BI242" s="38">
        <f t="shared" si="198"/>
        <v>0</v>
      </c>
      <c r="BJ242" s="38">
        <f t="shared" si="199"/>
        <v>0</v>
      </c>
      <c r="BK242" s="38">
        <f t="shared" si="200"/>
        <v>0</v>
      </c>
      <c r="BL242" s="41">
        <f t="shared" si="201"/>
        <v>3.0000000000000004</v>
      </c>
      <c r="BM242" s="42">
        <f t="shared" si="224"/>
        <v>4.0000000000000009</v>
      </c>
      <c r="BN242" s="38">
        <f t="shared" si="202"/>
        <v>0.17347941228499797</v>
      </c>
      <c r="BO242" s="38">
        <f t="shared" si="203"/>
        <v>1.5441510730607875E-2</v>
      </c>
      <c r="BQ242" s="38">
        <f t="shared" si="204"/>
        <v>3.0958721704394143E-3</v>
      </c>
      <c r="BR242" s="38">
        <f t="shared" si="205"/>
        <v>0.13470205307961944</v>
      </c>
      <c r="BS242" s="38">
        <f t="shared" si="206"/>
        <v>7.4146724205570808E-2</v>
      </c>
      <c r="BT242" s="38">
        <f t="shared" si="207"/>
        <v>0</v>
      </c>
      <c r="BU242" s="38">
        <f t="shared" si="208"/>
        <v>1.0236604036186501</v>
      </c>
      <c r="BV242" s="38">
        <f t="shared" si="209"/>
        <v>7.4288130814773052E-3</v>
      </c>
      <c r="BW242" s="38">
        <f t="shared" si="210"/>
        <v>8.5856079404466504E-2</v>
      </c>
      <c r="BX242" s="38">
        <f t="shared" si="211"/>
        <v>6.2945791726105559E-3</v>
      </c>
      <c r="BY242" s="38">
        <f t="shared" si="212"/>
        <v>5.8083252662149076E-4</v>
      </c>
      <c r="BZ242" s="38">
        <f t="shared" si="213"/>
        <v>0</v>
      </c>
      <c r="CA242" s="38">
        <f t="shared" si="214"/>
        <v>0</v>
      </c>
      <c r="CB242" s="38">
        <f t="shared" si="215"/>
        <v>0</v>
      </c>
      <c r="CC242" s="38">
        <f t="shared" si="216"/>
        <v>0</v>
      </c>
      <c r="CD242" s="38">
        <f t="shared" si="217"/>
        <v>1.3357653572594554</v>
      </c>
      <c r="CE242" s="38">
        <f t="shared" si="218"/>
        <v>1.510346228348989</v>
      </c>
      <c r="CF242" s="38">
        <f t="shared" si="219"/>
        <v>2.2459034318385069</v>
      </c>
      <c r="CG242" s="38">
        <f t="shared" si="220"/>
        <v>3.3920917775133397</v>
      </c>
    </row>
    <row r="243" spans="1:85" ht="15" customHeight="1" x14ac:dyDescent="0.25">
      <c r="A243" s="35" t="s">
        <v>249</v>
      </c>
      <c r="B243" s="15">
        <v>163</v>
      </c>
      <c r="C243" s="102" t="s">
        <v>95</v>
      </c>
      <c r="D243" s="103" t="s">
        <v>104</v>
      </c>
      <c r="E243" s="15">
        <v>194</v>
      </c>
      <c r="F243" s="15" t="s">
        <v>272</v>
      </c>
      <c r="G243" s="16">
        <v>0.157</v>
      </c>
      <c r="H243" s="16">
        <v>12.11</v>
      </c>
      <c r="I243" s="16">
        <v>3.91</v>
      </c>
      <c r="J243" s="16">
        <v>0.02</v>
      </c>
      <c r="K243" s="16">
        <v>74.98</v>
      </c>
      <c r="L243" s="16">
        <v>0.47199999999999998</v>
      </c>
      <c r="M243" s="16">
        <v>3.06</v>
      </c>
      <c r="N243" s="16">
        <v>2.5999999999999999E-2</v>
      </c>
      <c r="O243" s="16">
        <v>0.02</v>
      </c>
      <c r="P243" s="16">
        <v>0</v>
      </c>
      <c r="Q243" s="16">
        <v>0</v>
      </c>
      <c r="T243" s="16">
        <f t="shared" si="170"/>
        <v>94.754999999999995</v>
      </c>
      <c r="U243" s="16"/>
      <c r="V243" s="16">
        <f t="shared" si="221"/>
        <v>37.555110890820181</v>
      </c>
      <c r="W243" s="16">
        <f t="shared" si="222"/>
        <v>41.590279267031541</v>
      </c>
      <c r="X243" s="16">
        <f t="shared" si="223"/>
        <v>98.920390157851728</v>
      </c>
      <c r="AD243" s="15">
        <v>4</v>
      </c>
      <c r="AE243" s="15">
        <v>3</v>
      </c>
      <c r="AG243" s="38">
        <f t="shared" si="171"/>
        <v>6.7401987688836913E-3</v>
      </c>
      <c r="AH243" s="38">
        <f t="shared" si="172"/>
        <v>0.39102908582923623</v>
      </c>
      <c r="AI243" s="38">
        <f t="shared" si="173"/>
        <v>0.19782442038654111</v>
      </c>
      <c r="AJ243" s="38">
        <f t="shared" si="174"/>
        <v>6.7880956304036449E-4</v>
      </c>
      <c r="AK243" s="38">
        <f t="shared" si="175"/>
        <v>2.6916689165546788</v>
      </c>
      <c r="AL243" s="38">
        <f t="shared" si="176"/>
        <v>1.7161442525243289E-2</v>
      </c>
      <c r="AM243" s="38">
        <f t="shared" si="177"/>
        <v>0.19584809701532591</v>
      </c>
      <c r="AN243" s="38">
        <f t="shared" si="178"/>
        <v>1.1958269002537135E-3</v>
      </c>
      <c r="AO243" s="38">
        <f t="shared" si="179"/>
        <v>1.664605767771943E-3</v>
      </c>
      <c r="AP243" s="38">
        <f t="shared" si="180"/>
        <v>0</v>
      </c>
      <c r="AQ243" s="38">
        <f t="shared" si="181"/>
        <v>0</v>
      </c>
      <c r="AR243" s="38">
        <f t="shared" si="182"/>
        <v>0</v>
      </c>
      <c r="AS243" s="38">
        <f t="shared" si="183"/>
        <v>0</v>
      </c>
      <c r="AT243" s="39">
        <f t="shared" si="184"/>
        <v>3.5038114033109746</v>
      </c>
      <c r="AU243" s="38">
        <f t="shared" si="185"/>
        <v>0.20456461915542479</v>
      </c>
      <c r="AV243" s="38">
        <f t="shared" si="186"/>
        <v>2.8604326680256565E-3</v>
      </c>
      <c r="AW243" s="40"/>
      <c r="AX243" s="38">
        <f t="shared" si="187"/>
        <v>5.7710287396014921E-3</v>
      </c>
      <c r="AY243" s="38">
        <f t="shared" si="188"/>
        <v>0.33480319642181183</v>
      </c>
      <c r="AZ243" s="38">
        <f t="shared" si="189"/>
        <v>0.16937933948123249</v>
      </c>
      <c r="BA243" s="38">
        <f t="shared" si="190"/>
        <v>5.8120385337999121E-4</v>
      </c>
      <c r="BB243" s="38">
        <f t="shared" si="191"/>
        <v>1.1543188424337898</v>
      </c>
      <c r="BC243" s="38">
        <f t="shared" si="192"/>
        <v>1.150316259225348</v>
      </c>
      <c r="BD243" s="38">
        <f t="shared" si="193"/>
        <v>1.4693806729174703E-2</v>
      </c>
      <c r="BE243" s="38">
        <f t="shared" si="194"/>
        <v>0.16768719072344176</v>
      </c>
      <c r="BF243" s="38">
        <f t="shared" si="195"/>
        <v>1.0238795094311014E-3</v>
      </c>
      <c r="BG243" s="38">
        <f t="shared" si="196"/>
        <v>1.4252528827883976E-3</v>
      </c>
      <c r="BH243" s="38">
        <f t="shared" si="197"/>
        <v>0</v>
      </c>
      <c r="BI243" s="38">
        <f t="shared" si="198"/>
        <v>0</v>
      </c>
      <c r="BJ243" s="38">
        <f t="shared" si="199"/>
        <v>0</v>
      </c>
      <c r="BK243" s="38">
        <f t="shared" si="200"/>
        <v>0</v>
      </c>
      <c r="BL243" s="41">
        <f t="shared" si="201"/>
        <v>2.9999999999999996</v>
      </c>
      <c r="BM243" s="42">
        <f t="shared" si="224"/>
        <v>3.9999999999999996</v>
      </c>
      <c r="BN243" s="38">
        <f t="shared" si="202"/>
        <v>0.17515036822083399</v>
      </c>
      <c r="BO243" s="38">
        <f t="shared" si="203"/>
        <v>2.4491323922194988E-3</v>
      </c>
      <c r="BQ243" s="38">
        <f t="shared" si="204"/>
        <v>2.6131824234354195E-3</v>
      </c>
      <c r="BR243" s="38">
        <f t="shared" si="205"/>
        <v>0.15160240360540811</v>
      </c>
      <c r="BS243" s="38">
        <f t="shared" si="206"/>
        <v>7.669674382110632E-2</v>
      </c>
      <c r="BT243" s="38">
        <f t="shared" si="207"/>
        <v>2.6317520889532203E-4</v>
      </c>
      <c r="BU243" s="38">
        <f t="shared" si="208"/>
        <v>1.0435629784272793</v>
      </c>
      <c r="BV243" s="38">
        <f t="shared" si="209"/>
        <v>6.6535100084578512E-3</v>
      </c>
      <c r="BW243" s="38">
        <f t="shared" si="210"/>
        <v>7.593052109181142E-2</v>
      </c>
      <c r="BX243" s="38">
        <f t="shared" si="211"/>
        <v>4.6362339514978602E-4</v>
      </c>
      <c r="BY243" s="38">
        <f t="shared" si="212"/>
        <v>6.4536947402387876E-4</v>
      </c>
      <c r="BZ243" s="38">
        <f t="shared" si="213"/>
        <v>0</v>
      </c>
      <c r="CA243" s="38">
        <f t="shared" si="214"/>
        <v>0</v>
      </c>
      <c r="CB243" s="38">
        <f t="shared" si="215"/>
        <v>0</v>
      </c>
      <c r="CC243" s="38">
        <f t="shared" si="216"/>
        <v>0</v>
      </c>
      <c r="CD243" s="38">
        <f t="shared" si="217"/>
        <v>1.3584315074555675</v>
      </c>
      <c r="CE243" s="38">
        <f t="shared" si="218"/>
        <v>1.5508043682624</v>
      </c>
      <c r="CF243" s="38">
        <f t="shared" si="219"/>
        <v>2.2084293418806218</v>
      </c>
      <c r="CG243" s="38">
        <f t="shared" si="220"/>
        <v>3.4248418703873256</v>
      </c>
    </row>
    <row r="244" spans="1:85" ht="15" customHeight="1" x14ac:dyDescent="0.25">
      <c r="A244" s="35" t="s">
        <v>249</v>
      </c>
      <c r="B244" s="15">
        <v>164</v>
      </c>
      <c r="C244" s="102" t="s">
        <v>95</v>
      </c>
      <c r="D244" s="103" t="s">
        <v>104</v>
      </c>
      <c r="E244" s="15">
        <v>195</v>
      </c>
      <c r="F244" s="15" t="s">
        <v>272</v>
      </c>
      <c r="G244" s="16">
        <v>0.13800000000000001</v>
      </c>
      <c r="H244" s="16">
        <v>12.37</v>
      </c>
      <c r="I244" s="16">
        <v>3.91</v>
      </c>
      <c r="J244" s="16">
        <v>4.2000000000000003E-2</v>
      </c>
      <c r="K244" s="16">
        <v>74.709999999999994</v>
      </c>
      <c r="L244" s="16">
        <v>0.49</v>
      </c>
      <c r="M244" s="16">
        <v>3</v>
      </c>
      <c r="N244" s="16">
        <v>0</v>
      </c>
      <c r="O244" s="16">
        <v>2.3E-2</v>
      </c>
      <c r="P244" s="16">
        <v>0</v>
      </c>
      <c r="Q244" s="16">
        <v>0</v>
      </c>
      <c r="T244" s="16">
        <f t="shared" si="170"/>
        <v>94.682999999999979</v>
      </c>
      <c r="U244" s="16"/>
      <c r="V244" s="16">
        <f t="shared" si="221"/>
        <v>37.823342011676502</v>
      </c>
      <c r="W244" s="16">
        <f t="shared" si="222"/>
        <v>40.992143022423889</v>
      </c>
      <c r="X244" s="16">
        <f t="shared" si="223"/>
        <v>98.78848503410039</v>
      </c>
      <c r="AD244" s="15">
        <v>4</v>
      </c>
      <c r="AE244" s="15">
        <v>3</v>
      </c>
      <c r="AG244" s="38">
        <f t="shared" si="171"/>
        <v>5.9210568227611379E-3</v>
      </c>
      <c r="AH244" s="38">
        <f t="shared" si="172"/>
        <v>0.399191890343225</v>
      </c>
      <c r="AI244" s="38">
        <f t="shared" si="173"/>
        <v>0.19770925187966901</v>
      </c>
      <c r="AJ244" s="38">
        <f t="shared" si="174"/>
        <v>1.4246701913343406E-3</v>
      </c>
      <c r="AK244" s="38">
        <f t="shared" si="175"/>
        <v>2.6804149431814825</v>
      </c>
      <c r="AL244" s="38">
        <f t="shared" si="176"/>
        <v>1.7805532335616308E-2</v>
      </c>
      <c r="AM244" s="38">
        <f t="shared" si="177"/>
        <v>0.19189615595613829</v>
      </c>
      <c r="AN244" s="38">
        <f t="shared" si="178"/>
        <v>0</v>
      </c>
      <c r="AO244" s="38">
        <f t="shared" si="179"/>
        <v>1.9131821765703406E-3</v>
      </c>
      <c r="AP244" s="38">
        <f t="shared" si="180"/>
        <v>0</v>
      </c>
      <c r="AQ244" s="38">
        <f t="shared" si="181"/>
        <v>0</v>
      </c>
      <c r="AR244" s="38">
        <f t="shared" si="182"/>
        <v>0</v>
      </c>
      <c r="AS244" s="38">
        <f t="shared" si="183"/>
        <v>0</v>
      </c>
      <c r="AT244" s="39">
        <f t="shared" si="184"/>
        <v>3.4962766828867964</v>
      </c>
      <c r="AU244" s="38">
        <f t="shared" si="185"/>
        <v>0.20363030870243015</v>
      </c>
      <c r="AV244" s="38">
        <f t="shared" si="186"/>
        <v>1.9131821765703406E-3</v>
      </c>
      <c r="AW244" s="40"/>
      <c r="AX244" s="38">
        <f t="shared" si="187"/>
        <v>5.0805963255793471E-3</v>
      </c>
      <c r="AY244" s="38">
        <f t="shared" si="188"/>
        <v>0.34252886131450655</v>
      </c>
      <c r="AZ244" s="38">
        <f t="shared" si="189"/>
        <v>0.16964554279762398</v>
      </c>
      <c r="BA244" s="38">
        <f t="shared" si="190"/>
        <v>1.2224463226617598E-3</v>
      </c>
      <c r="BB244" s="38">
        <f t="shared" si="191"/>
        <v>1.1643905032964135</v>
      </c>
      <c r="BC244" s="38">
        <f t="shared" si="192"/>
        <v>1.1355547123965763</v>
      </c>
      <c r="BD244" s="38">
        <f t="shared" si="193"/>
        <v>1.5278137816811463E-2</v>
      </c>
      <c r="BE244" s="38">
        <f t="shared" si="194"/>
        <v>0.16465758293279059</v>
      </c>
      <c r="BF244" s="38">
        <f t="shared" si="195"/>
        <v>0</v>
      </c>
      <c r="BG244" s="38">
        <f t="shared" si="196"/>
        <v>1.6416167970356413E-3</v>
      </c>
      <c r="BH244" s="38">
        <f t="shared" si="197"/>
        <v>0</v>
      </c>
      <c r="BI244" s="38">
        <f t="shared" si="198"/>
        <v>0</v>
      </c>
      <c r="BJ244" s="38">
        <f t="shared" si="199"/>
        <v>0</v>
      </c>
      <c r="BK244" s="38">
        <f t="shared" si="200"/>
        <v>0</v>
      </c>
      <c r="BL244" s="41">
        <f t="shared" si="201"/>
        <v>2.9999999999999991</v>
      </c>
      <c r="BM244" s="42">
        <f t="shared" si="224"/>
        <v>3.9999999999999987</v>
      </c>
      <c r="BN244" s="38">
        <f t="shared" si="202"/>
        <v>0.17472613912320331</v>
      </c>
      <c r="BO244" s="38">
        <f t="shared" si="203"/>
        <v>1.6416167970356413E-3</v>
      </c>
      <c r="BQ244" s="38">
        <f t="shared" si="204"/>
        <v>2.29693741677763E-3</v>
      </c>
      <c r="BR244" s="38">
        <f t="shared" si="205"/>
        <v>0.15485728592889333</v>
      </c>
      <c r="BS244" s="38">
        <f t="shared" si="206"/>
        <v>7.669674382110632E-2</v>
      </c>
      <c r="BT244" s="38">
        <f t="shared" si="207"/>
        <v>5.526679386801763E-4</v>
      </c>
      <c r="BU244" s="38">
        <f t="shared" si="208"/>
        <v>1.0398051496172582</v>
      </c>
      <c r="BV244" s="38">
        <f t="shared" si="209"/>
        <v>6.9072455596278547E-3</v>
      </c>
      <c r="BW244" s="38">
        <f t="shared" si="210"/>
        <v>7.444168734491316E-2</v>
      </c>
      <c r="BX244" s="38">
        <f t="shared" si="211"/>
        <v>0</v>
      </c>
      <c r="BY244" s="38">
        <f t="shared" si="212"/>
        <v>7.421748951274605E-4</v>
      </c>
      <c r="BZ244" s="38">
        <f t="shared" si="213"/>
        <v>0</v>
      </c>
      <c r="CA244" s="38">
        <f t="shared" si="214"/>
        <v>0</v>
      </c>
      <c r="CB244" s="38">
        <f t="shared" si="215"/>
        <v>0</v>
      </c>
      <c r="CC244" s="38">
        <f t="shared" si="216"/>
        <v>0</v>
      </c>
      <c r="CD244" s="38">
        <f t="shared" si="217"/>
        <v>1.3562998925223844</v>
      </c>
      <c r="CE244" s="38">
        <f t="shared" si="218"/>
        <v>1.5517077343003849</v>
      </c>
      <c r="CF244" s="38">
        <f t="shared" si="219"/>
        <v>2.2119001973971533</v>
      </c>
      <c r="CG244" s="38">
        <f t="shared" si="220"/>
        <v>3.4322226438017109</v>
      </c>
    </row>
    <row r="245" spans="1:85" ht="15" customHeight="1" x14ac:dyDescent="0.25">
      <c r="A245" s="35" t="s">
        <v>249</v>
      </c>
      <c r="B245" s="15">
        <v>165</v>
      </c>
      <c r="C245" s="102" t="s">
        <v>95</v>
      </c>
      <c r="D245" s="103" t="s">
        <v>104</v>
      </c>
      <c r="E245" s="15">
        <v>196</v>
      </c>
      <c r="F245" s="15" t="s">
        <v>272</v>
      </c>
      <c r="G245" s="16">
        <v>0.191</v>
      </c>
      <c r="H245" s="16">
        <v>12.75</v>
      </c>
      <c r="I245" s="16">
        <v>3.86</v>
      </c>
      <c r="J245" s="16">
        <v>3.7999999999999999E-2</v>
      </c>
      <c r="K245" s="16">
        <v>74.05</v>
      </c>
      <c r="L245" s="16">
        <v>0.441</v>
      </c>
      <c r="M245" s="16">
        <v>2.88</v>
      </c>
      <c r="N245" s="16">
        <v>0.02</v>
      </c>
      <c r="O245" s="16">
        <v>7.0000000000000001E-3</v>
      </c>
      <c r="P245" s="16">
        <v>0</v>
      </c>
      <c r="Q245" s="16">
        <v>0</v>
      </c>
      <c r="T245" s="16">
        <f t="shared" si="170"/>
        <v>94.236999999999995</v>
      </c>
      <c r="U245" s="16"/>
      <c r="V245" s="16">
        <f t="shared" si="221"/>
        <v>38.339295687374317</v>
      </c>
      <c r="W245" s="16">
        <f t="shared" si="222"/>
        <v>39.685305702620923</v>
      </c>
      <c r="X245" s="16">
        <f t="shared" si="223"/>
        <v>98.211601389995238</v>
      </c>
      <c r="AD245" s="15">
        <v>4</v>
      </c>
      <c r="AE245" s="15">
        <v>3</v>
      </c>
      <c r="AG245" s="38">
        <f t="shared" si="171"/>
        <v>8.2111050200664951E-3</v>
      </c>
      <c r="AH245" s="38">
        <f t="shared" si="172"/>
        <v>0.41225913919775842</v>
      </c>
      <c r="AI245" s="38">
        <f t="shared" si="173"/>
        <v>0.19556252548249048</v>
      </c>
      <c r="AJ245" s="38">
        <f t="shared" si="174"/>
        <v>1.2915069298794874E-3</v>
      </c>
      <c r="AK245" s="38">
        <f t="shared" si="175"/>
        <v>2.6619289160659978</v>
      </c>
      <c r="AL245" s="38">
        <f t="shared" si="176"/>
        <v>1.6056303506692286E-2</v>
      </c>
      <c r="AM245" s="38">
        <f t="shared" si="177"/>
        <v>0.1845804095025676</v>
      </c>
      <c r="AN245" s="38">
        <f t="shared" si="178"/>
        <v>9.2112836114002241E-4</v>
      </c>
      <c r="AO245" s="38">
        <f t="shared" si="179"/>
        <v>5.8341101879497777E-4</v>
      </c>
      <c r="AP245" s="38">
        <f t="shared" si="180"/>
        <v>0</v>
      </c>
      <c r="AQ245" s="38">
        <f t="shared" si="181"/>
        <v>0</v>
      </c>
      <c r="AR245" s="38">
        <f t="shared" si="182"/>
        <v>0</v>
      </c>
      <c r="AS245" s="38">
        <f t="shared" si="183"/>
        <v>0</v>
      </c>
      <c r="AT245" s="39">
        <f t="shared" si="184"/>
        <v>3.4813944450853866</v>
      </c>
      <c r="AU245" s="38">
        <f t="shared" si="185"/>
        <v>0.20377363050255698</v>
      </c>
      <c r="AV245" s="38">
        <f t="shared" si="186"/>
        <v>1.5045393799350002E-3</v>
      </c>
      <c r="AW245" s="40"/>
      <c r="AX245" s="38">
        <f t="shared" si="187"/>
        <v>7.0757035575138068E-3</v>
      </c>
      <c r="AY245" s="38">
        <f t="shared" si="188"/>
        <v>0.35525345866487729</v>
      </c>
      <c r="AZ245" s="38">
        <f t="shared" si="189"/>
        <v>0.1685208572891492</v>
      </c>
      <c r="BA245" s="38">
        <f t="shared" si="190"/>
        <v>1.1129220922116547E-3</v>
      </c>
      <c r="BB245" s="38">
        <f t="shared" si="191"/>
        <v>1.1876365211507913</v>
      </c>
      <c r="BC245" s="38">
        <f t="shared" si="192"/>
        <v>1.1062106352584351</v>
      </c>
      <c r="BD245" s="38">
        <f t="shared" si="193"/>
        <v>1.383609679393724E-2</v>
      </c>
      <c r="BE245" s="38">
        <f t="shared" si="194"/>
        <v>0.15905730799605536</v>
      </c>
      <c r="BF245" s="38">
        <f t="shared" si="195"/>
        <v>7.9375811244861388E-4</v>
      </c>
      <c r="BG245" s="38">
        <f t="shared" si="196"/>
        <v>5.0273908458023223E-4</v>
      </c>
      <c r="BH245" s="38">
        <f t="shared" si="197"/>
        <v>0</v>
      </c>
      <c r="BI245" s="38">
        <f t="shared" si="198"/>
        <v>0</v>
      </c>
      <c r="BJ245" s="38">
        <f t="shared" si="199"/>
        <v>0</v>
      </c>
      <c r="BK245" s="38">
        <f t="shared" si="200"/>
        <v>0</v>
      </c>
      <c r="BL245" s="41">
        <f t="shared" si="201"/>
        <v>3</v>
      </c>
      <c r="BM245" s="42">
        <f t="shared" si="224"/>
        <v>3.9999999999999991</v>
      </c>
      <c r="BN245" s="38">
        <f t="shared" si="202"/>
        <v>0.175596560846663</v>
      </c>
      <c r="BO245" s="38">
        <f t="shared" si="203"/>
        <v>1.2964971970288461E-3</v>
      </c>
      <c r="BQ245" s="38">
        <f t="shared" si="204"/>
        <v>3.1790945406125169E-3</v>
      </c>
      <c r="BR245" s="38">
        <f t="shared" si="205"/>
        <v>0.15961442163244868</v>
      </c>
      <c r="BS245" s="38">
        <f t="shared" si="206"/>
        <v>7.5715967045900362E-2</v>
      </c>
      <c r="BT245" s="38">
        <f t="shared" si="207"/>
        <v>5.0003289690111184E-4</v>
      </c>
      <c r="BU245" s="38">
        <f t="shared" si="208"/>
        <v>1.0306193458594295</v>
      </c>
      <c r="BV245" s="38">
        <f t="shared" si="209"/>
        <v>6.2165210036650691E-3</v>
      </c>
      <c r="BW245" s="38">
        <f t="shared" si="210"/>
        <v>7.1464019851116625E-2</v>
      </c>
      <c r="BX245" s="38">
        <f t="shared" si="211"/>
        <v>3.566333808844508E-4</v>
      </c>
      <c r="BY245" s="38">
        <f t="shared" si="212"/>
        <v>2.2587931590835756E-4</v>
      </c>
      <c r="BZ245" s="38">
        <f t="shared" si="213"/>
        <v>0</v>
      </c>
      <c r="CA245" s="38">
        <f t="shared" si="214"/>
        <v>0</v>
      </c>
      <c r="CB245" s="38">
        <f t="shared" si="215"/>
        <v>0</v>
      </c>
      <c r="CC245" s="38">
        <f t="shared" si="216"/>
        <v>0</v>
      </c>
      <c r="CD245" s="38">
        <f t="shared" si="217"/>
        <v>1.3478919155268669</v>
      </c>
      <c r="CE245" s="38">
        <f t="shared" si="218"/>
        <v>1.5486804920133745</v>
      </c>
      <c r="CF245" s="38">
        <f t="shared" si="219"/>
        <v>2.2256977473059134</v>
      </c>
      <c r="CG245" s="38">
        <f t="shared" si="220"/>
        <v>3.4468946823707816</v>
      </c>
    </row>
    <row r="246" spans="1:85" ht="15" customHeight="1" x14ac:dyDescent="0.25">
      <c r="A246" s="35" t="s">
        <v>249</v>
      </c>
      <c r="B246" s="15">
        <v>166</v>
      </c>
      <c r="C246" s="102" t="s">
        <v>95</v>
      </c>
      <c r="D246" s="103" t="s">
        <v>104</v>
      </c>
      <c r="E246" s="15">
        <v>197</v>
      </c>
      <c r="F246" s="15" t="s">
        <v>272</v>
      </c>
      <c r="G246" s="16">
        <v>0.11799999999999999</v>
      </c>
      <c r="H246" s="16">
        <v>12.01</v>
      </c>
      <c r="I246" s="16">
        <v>3.87</v>
      </c>
      <c r="J246" s="16">
        <v>0</v>
      </c>
      <c r="K246" s="16">
        <v>74.53</v>
      </c>
      <c r="L246" s="16">
        <v>0.498</v>
      </c>
      <c r="M246" s="16">
        <v>3.11</v>
      </c>
      <c r="N246" s="16">
        <v>3.2000000000000001E-2</v>
      </c>
      <c r="O246" s="16">
        <v>1.4E-2</v>
      </c>
      <c r="P246" s="16">
        <v>0</v>
      </c>
      <c r="Q246" s="16">
        <v>0</v>
      </c>
      <c r="T246" s="16">
        <f t="shared" si="170"/>
        <v>94.182000000000002</v>
      </c>
      <c r="U246" s="16"/>
      <c r="V246" s="16">
        <f t="shared" si="221"/>
        <v>37.138974298240655</v>
      </c>
      <c r="W246" s="16">
        <f t="shared" si="222"/>
        <v>41.552646862365158</v>
      </c>
      <c r="X246" s="16">
        <f t="shared" si="223"/>
        <v>98.343621160605821</v>
      </c>
      <c r="AD246" s="15">
        <v>4</v>
      </c>
      <c r="AE246" s="15">
        <v>3</v>
      </c>
      <c r="AG246" s="38">
        <f t="shared" si="171"/>
        <v>5.098824177747055E-3</v>
      </c>
      <c r="AH246" s="38">
        <f t="shared" si="172"/>
        <v>0.39032188672357127</v>
      </c>
      <c r="AI246" s="38">
        <f t="shared" si="173"/>
        <v>0.19707388906887657</v>
      </c>
      <c r="AJ246" s="38">
        <f t="shared" si="174"/>
        <v>0</v>
      </c>
      <c r="AK246" s="38">
        <f t="shared" si="175"/>
        <v>2.692912870189387</v>
      </c>
      <c r="AL246" s="38">
        <f t="shared" si="176"/>
        <v>1.8224520552857205E-2</v>
      </c>
      <c r="AM246" s="38">
        <f t="shared" si="177"/>
        <v>0.20034259558039785</v>
      </c>
      <c r="AN246" s="38">
        <f t="shared" si="178"/>
        <v>1.4813576566118283E-3</v>
      </c>
      <c r="AO246" s="38">
        <f t="shared" si="179"/>
        <v>1.1728012295892615E-3</v>
      </c>
      <c r="AP246" s="38">
        <f t="shared" si="180"/>
        <v>0</v>
      </c>
      <c r="AQ246" s="38">
        <f t="shared" si="181"/>
        <v>0</v>
      </c>
      <c r="AR246" s="38">
        <f t="shared" si="182"/>
        <v>0</v>
      </c>
      <c r="AS246" s="38">
        <f t="shared" si="183"/>
        <v>0</v>
      </c>
      <c r="AT246" s="39">
        <f t="shared" si="184"/>
        <v>3.5066287451790381</v>
      </c>
      <c r="AU246" s="38">
        <f t="shared" si="185"/>
        <v>0.20217271324662361</v>
      </c>
      <c r="AV246" s="38">
        <f t="shared" si="186"/>
        <v>2.6541588862010897E-3</v>
      </c>
      <c r="AW246" s="40"/>
      <c r="AX246" s="38">
        <f t="shared" si="187"/>
        <v>4.3621591120163398E-3</v>
      </c>
      <c r="AY246" s="38">
        <f t="shared" si="188"/>
        <v>0.33392917963744345</v>
      </c>
      <c r="AZ246" s="38">
        <f t="shared" si="189"/>
        <v>0.16860115802662304</v>
      </c>
      <c r="BA246" s="38">
        <f t="shared" si="190"/>
        <v>0</v>
      </c>
      <c r="BB246" s="38">
        <f t="shared" si="191"/>
        <v>1.148028189374326</v>
      </c>
      <c r="BC246" s="38">
        <f t="shared" si="192"/>
        <v>1.1558195223844177</v>
      </c>
      <c r="BD246" s="38">
        <f t="shared" si="193"/>
        <v>1.5591488472721154E-2</v>
      </c>
      <c r="BE246" s="38">
        <f t="shared" si="194"/>
        <v>0.17139761018827412</v>
      </c>
      <c r="BF246" s="38">
        <f t="shared" si="195"/>
        <v>1.2673348942186305E-3</v>
      </c>
      <c r="BG246" s="38">
        <f t="shared" si="196"/>
        <v>1.0033579099597968E-3</v>
      </c>
      <c r="BH246" s="38">
        <f t="shared" si="197"/>
        <v>0</v>
      </c>
      <c r="BI246" s="38">
        <f t="shared" si="198"/>
        <v>0</v>
      </c>
      <c r="BJ246" s="38">
        <f t="shared" si="199"/>
        <v>0</v>
      </c>
      <c r="BK246" s="38">
        <f t="shared" si="200"/>
        <v>0</v>
      </c>
      <c r="BL246" s="41">
        <f t="shared" si="201"/>
        <v>3</v>
      </c>
      <c r="BM246" s="42">
        <f t="shared" si="224"/>
        <v>4</v>
      </c>
      <c r="BN246" s="38">
        <f t="shared" si="202"/>
        <v>0.17296331713863938</v>
      </c>
      <c r="BO246" s="38">
        <f t="shared" si="203"/>
        <v>2.2706928041784273E-3</v>
      </c>
      <c r="BQ246" s="38">
        <f t="shared" si="204"/>
        <v>1.9640479360852198E-3</v>
      </c>
      <c r="BR246" s="38">
        <f t="shared" si="205"/>
        <v>0.15035052578868302</v>
      </c>
      <c r="BS246" s="38">
        <f t="shared" si="206"/>
        <v>7.5912122400941556E-2</v>
      </c>
      <c r="BT246" s="38">
        <f t="shared" si="207"/>
        <v>0</v>
      </c>
      <c r="BU246" s="38">
        <f t="shared" si="208"/>
        <v>1.0372999304105777</v>
      </c>
      <c r="BV246" s="38">
        <f t="shared" si="209"/>
        <v>7.0200169157034111E-3</v>
      </c>
      <c r="BW246" s="38">
        <f t="shared" si="210"/>
        <v>7.7171215880893304E-2</v>
      </c>
      <c r="BX246" s="38">
        <f t="shared" si="211"/>
        <v>5.7061340941512125E-4</v>
      </c>
      <c r="BY246" s="38">
        <f t="shared" si="212"/>
        <v>4.5175863181671512E-4</v>
      </c>
      <c r="BZ246" s="38">
        <f t="shared" si="213"/>
        <v>0</v>
      </c>
      <c r="CA246" s="38">
        <f t="shared" si="214"/>
        <v>0</v>
      </c>
      <c r="CB246" s="38">
        <f t="shared" si="215"/>
        <v>0</v>
      </c>
      <c r="CC246" s="38">
        <f t="shared" si="216"/>
        <v>0</v>
      </c>
      <c r="CD246" s="38">
        <f t="shared" si="217"/>
        <v>1.3507402313741159</v>
      </c>
      <c r="CE246" s="38">
        <f t="shared" si="218"/>
        <v>1.5407849869834467</v>
      </c>
      <c r="CF246" s="38">
        <f t="shared" si="219"/>
        <v>2.2210044021181501</v>
      </c>
      <c r="CG246" s="38">
        <f t="shared" si="220"/>
        <v>3.4220902388077916</v>
      </c>
    </row>
    <row r="247" spans="1:85" ht="15" customHeight="1" x14ac:dyDescent="0.25">
      <c r="A247" s="35" t="s">
        <v>249</v>
      </c>
      <c r="B247" s="15">
        <v>167</v>
      </c>
      <c r="C247" s="102" t="s">
        <v>95</v>
      </c>
      <c r="D247" s="103" t="s">
        <v>104</v>
      </c>
      <c r="E247" s="15">
        <v>198</v>
      </c>
      <c r="F247" s="15" t="s">
        <v>272</v>
      </c>
      <c r="G247" s="16">
        <v>0.115</v>
      </c>
      <c r="H247" s="16">
        <v>12.57</v>
      </c>
      <c r="I247" s="16">
        <v>3.84</v>
      </c>
      <c r="J247" s="16">
        <v>0</v>
      </c>
      <c r="K247" s="16">
        <v>74.459999999999994</v>
      </c>
      <c r="L247" s="16">
        <v>0.47699999999999998</v>
      </c>
      <c r="M247" s="16">
        <v>2.88</v>
      </c>
      <c r="N247" s="16">
        <v>2.9000000000000001E-2</v>
      </c>
      <c r="O247" s="16">
        <v>5.8000000000000003E-2</v>
      </c>
      <c r="P247" s="16">
        <v>0</v>
      </c>
      <c r="Q247" s="16">
        <v>0</v>
      </c>
      <c r="T247" s="16">
        <f t="shared" si="170"/>
        <v>94.428999999999988</v>
      </c>
      <c r="U247" s="16"/>
      <c r="V247" s="16">
        <f t="shared" si="221"/>
        <v>37.888465093047714</v>
      </c>
      <c r="W247" s="16">
        <f t="shared" si="222"/>
        <v>40.641946742096067</v>
      </c>
      <c r="X247" s="16">
        <f t="shared" si="223"/>
        <v>98.499411835143775</v>
      </c>
      <c r="AD247" s="15">
        <v>4</v>
      </c>
      <c r="AE247" s="15">
        <v>3</v>
      </c>
      <c r="AG247" s="38">
        <f t="shared" si="171"/>
        <v>4.9476227624701647E-3</v>
      </c>
      <c r="AH247" s="38">
        <f t="shared" si="172"/>
        <v>0.40674842882856227</v>
      </c>
      <c r="AI247" s="38">
        <f t="shared" si="173"/>
        <v>0.1946973568809178</v>
      </c>
      <c r="AJ247" s="38">
        <f t="shared" si="174"/>
        <v>0</v>
      </c>
      <c r="AK247" s="38">
        <f t="shared" si="175"/>
        <v>2.6787052074531101</v>
      </c>
      <c r="AL247" s="38">
        <f t="shared" si="176"/>
        <v>1.7380243530541666E-2</v>
      </c>
      <c r="AM247" s="38">
        <f t="shared" si="177"/>
        <v>0.18472092904074172</v>
      </c>
      <c r="AN247" s="38">
        <f t="shared" si="178"/>
        <v>1.336652932380298E-3</v>
      </c>
      <c r="AO247" s="38">
        <f t="shared" si="179"/>
        <v>4.8376570795667711E-3</v>
      </c>
      <c r="AP247" s="38">
        <f t="shared" si="180"/>
        <v>0</v>
      </c>
      <c r="AQ247" s="38">
        <f t="shared" si="181"/>
        <v>0</v>
      </c>
      <c r="AR247" s="38">
        <f t="shared" si="182"/>
        <v>0</v>
      </c>
      <c r="AS247" s="38">
        <f t="shared" si="183"/>
        <v>0</v>
      </c>
      <c r="AT247" s="39">
        <f t="shared" si="184"/>
        <v>3.4933740985082911</v>
      </c>
      <c r="AU247" s="38">
        <f t="shared" si="185"/>
        <v>0.19964497964338795</v>
      </c>
      <c r="AV247" s="38">
        <f t="shared" si="186"/>
        <v>6.1743100119470689E-3</v>
      </c>
      <c r="AW247" s="40"/>
      <c r="AX247" s="38">
        <f t="shared" si="187"/>
        <v>4.2488630959245273E-3</v>
      </c>
      <c r="AY247" s="38">
        <f t="shared" si="188"/>
        <v>0.34930278065745796</v>
      </c>
      <c r="AZ247" s="38">
        <f t="shared" si="189"/>
        <v>0.1671999774922952</v>
      </c>
      <c r="BA247" s="38">
        <f t="shared" si="190"/>
        <v>0</v>
      </c>
      <c r="BB247" s="38">
        <f t="shared" si="191"/>
        <v>1.1705367701784648</v>
      </c>
      <c r="BC247" s="38">
        <f t="shared" si="192"/>
        <v>1.129851163020799</v>
      </c>
      <c r="BD247" s="38">
        <f t="shared" si="193"/>
        <v>1.4925607484720759E-2</v>
      </c>
      <c r="BE247" s="38">
        <f t="shared" si="194"/>
        <v>0.15863253447687112</v>
      </c>
      <c r="BF247" s="38">
        <f t="shared" si="195"/>
        <v>1.1478755736046675E-3</v>
      </c>
      <c r="BG247" s="38">
        <f t="shared" si="196"/>
        <v>4.1544280198612298E-3</v>
      </c>
      <c r="BH247" s="38">
        <f t="shared" si="197"/>
        <v>0</v>
      </c>
      <c r="BI247" s="38">
        <f t="shared" si="198"/>
        <v>0</v>
      </c>
      <c r="BJ247" s="38">
        <f t="shared" si="199"/>
        <v>0</v>
      </c>
      <c r="BK247" s="38">
        <f t="shared" si="200"/>
        <v>0</v>
      </c>
      <c r="BL247" s="41">
        <f t="shared" si="201"/>
        <v>2.9999999999999991</v>
      </c>
      <c r="BM247" s="42">
        <f t="shared" si="224"/>
        <v>3.9999999999999982</v>
      </c>
      <c r="BN247" s="38">
        <f t="shared" si="202"/>
        <v>0.17144884058821974</v>
      </c>
      <c r="BO247" s="38">
        <f t="shared" si="203"/>
        <v>5.3023035934658975E-3</v>
      </c>
      <c r="BQ247" s="38">
        <f t="shared" si="204"/>
        <v>1.9141145139813583E-3</v>
      </c>
      <c r="BR247" s="38">
        <f t="shared" si="205"/>
        <v>0.15736104156234354</v>
      </c>
      <c r="BS247" s="38">
        <f t="shared" si="206"/>
        <v>7.5323656335817973E-2</v>
      </c>
      <c r="BT247" s="38">
        <f t="shared" si="207"/>
        <v>0</v>
      </c>
      <c r="BU247" s="38">
        <f t="shared" si="208"/>
        <v>1.0363256784968684</v>
      </c>
      <c r="BV247" s="38">
        <f t="shared" si="209"/>
        <v>6.7239921060050743E-3</v>
      </c>
      <c r="BW247" s="38">
        <f t="shared" si="210"/>
        <v>7.1464019851116625E-2</v>
      </c>
      <c r="BX247" s="38">
        <f t="shared" si="211"/>
        <v>5.1711840228245366E-4</v>
      </c>
      <c r="BY247" s="38">
        <f t="shared" si="212"/>
        <v>1.8715714746692484E-3</v>
      </c>
      <c r="BZ247" s="38">
        <f t="shared" si="213"/>
        <v>0</v>
      </c>
      <c r="CA247" s="38">
        <f t="shared" si="214"/>
        <v>0</v>
      </c>
      <c r="CB247" s="38">
        <f t="shared" si="215"/>
        <v>0</v>
      </c>
      <c r="CC247" s="38">
        <f t="shared" si="216"/>
        <v>0</v>
      </c>
      <c r="CD247" s="38">
        <f t="shared" si="217"/>
        <v>1.3515011927430849</v>
      </c>
      <c r="CE247" s="38">
        <f t="shared" si="218"/>
        <v>1.5475023912499843</v>
      </c>
      <c r="CF247" s="38">
        <f t="shared" si="219"/>
        <v>2.2197538678534396</v>
      </c>
      <c r="CG247" s="38">
        <f t="shared" si="220"/>
        <v>3.4350744184895996</v>
      </c>
    </row>
    <row r="248" spans="1:85" ht="15" customHeight="1" x14ac:dyDescent="0.25">
      <c r="A248" s="35" t="s">
        <v>91</v>
      </c>
      <c r="B248" s="15">
        <v>1443</v>
      </c>
      <c r="C248" s="102" t="s">
        <v>96</v>
      </c>
      <c r="D248" s="103" t="s">
        <v>104</v>
      </c>
      <c r="E248" s="15">
        <v>450</v>
      </c>
      <c r="G248" s="16">
        <v>46.57</v>
      </c>
      <c r="H248" s="16">
        <v>1.1499999999999999</v>
      </c>
      <c r="I248" s="16">
        <v>6.67</v>
      </c>
      <c r="J248" s="16">
        <v>0</v>
      </c>
      <c r="K248" s="16">
        <v>11.69</v>
      </c>
      <c r="L248" s="16">
        <v>0.31</v>
      </c>
      <c r="M248" s="16">
        <v>12.56</v>
      </c>
      <c r="N248" s="16">
        <v>17.03</v>
      </c>
      <c r="O248" s="16">
        <v>1.079</v>
      </c>
      <c r="P248" s="16">
        <v>0.23599999999999999</v>
      </c>
      <c r="Q248" s="16">
        <v>0</v>
      </c>
      <c r="R248" s="16">
        <v>0</v>
      </c>
      <c r="S248" s="16">
        <v>0</v>
      </c>
      <c r="T248" s="16">
        <f t="shared" si="170"/>
        <v>97.295000000000002</v>
      </c>
      <c r="U248" s="16"/>
      <c r="V248" s="16">
        <f t="shared" si="221"/>
        <v>0</v>
      </c>
      <c r="W248" s="16">
        <f t="shared" si="222"/>
        <v>12.991096999999996</v>
      </c>
      <c r="X248" s="16">
        <f t="shared" si="223"/>
        <v>98.596097</v>
      </c>
      <c r="Y248" s="15">
        <v>19</v>
      </c>
      <c r="Z248" s="15">
        <v>6</v>
      </c>
      <c r="AA248" s="15">
        <v>150</v>
      </c>
      <c r="AB248" s="15" t="s">
        <v>258</v>
      </c>
      <c r="AD248" s="15">
        <v>23</v>
      </c>
      <c r="AE248" s="15">
        <v>15</v>
      </c>
      <c r="AG248" s="38">
        <f t="shared" si="171"/>
        <v>6.916447488380328</v>
      </c>
      <c r="AH248" s="38">
        <f t="shared" si="172"/>
        <v>0.12845959670318596</v>
      </c>
      <c r="AI248" s="38">
        <f t="shared" si="173"/>
        <v>1.167435170478087</v>
      </c>
      <c r="AJ248" s="38">
        <f t="shared" si="174"/>
        <v>0</v>
      </c>
      <c r="AK248" s="38">
        <f t="shared" si="175"/>
        <v>1.4517589387862913</v>
      </c>
      <c r="AL248" s="38">
        <f t="shared" si="176"/>
        <v>3.8992158728645802E-2</v>
      </c>
      <c r="AM248" s="38">
        <f t="shared" si="177"/>
        <v>2.7809383636467846</v>
      </c>
      <c r="AN248" s="38">
        <f t="shared" si="178"/>
        <v>2.7096513446101524</v>
      </c>
      <c r="AO248" s="38">
        <f t="shared" si="179"/>
        <v>0.31067523714067324</v>
      </c>
      <c r="AP248" s="38">
        <f t="shared" si="180"/>
        <v>4.4709299547263298E-2</v>
      </c>
      <c r="AQ248" s="38">
        <f t="shared" si="181"/>
        <v>0</v>
      </c>
      <c r="AR248" s="38">
        <f t="shared" si="182"/>
        <v>0</v>
      </c>
      <c r="AS248" s="38">
        <f t="shared" si="183"/>
        <v>0</v>
      </c>
      <c r="AT248" s="39">
        <f t="shared" si="184"/>
        <v>15.549067598021413</v>
      </c>
      <c r="AU248" s="38">
        <f t="shared" si="185"/>
        <v>8.0838826588584141</v>
      </c>
      <c r="AV248" s="38">
        <f t="shared" si="186"/>
        <v>3.0650358812980887</v>
      </c>
      <c r="AW248" s="40"/>
      <c r="AX248" s="38">
        <f t="shared" si="187"/>
        <v>6.6722143737355974</v>
      </c>
      <c r="AY248" s="38">
        <f t="shared" si="188"/>
        <v>0.12392344032210541</v>
      </c>
      <c r="AZ248" s="38">
        <f t="shared" si="189"/>
        <v>1.1262107806000927</v>
      </c>
      <c r="BA248" s="38">
        <f t="shared" si="190"/>
        <v>0</v>
      </c>
      <c r="BB248" s="38">
        <f t="shared" si="191"/>
        <v>0</v>
      </c>
      <c r="BC248" s="38">
        <f t="shared" si="192"/>
        <v>1.4004945276953693</v>
      </c>
      <c r="BD248" s="38">
        <f t="shared" si="193"/>
        <v>3.761527032039607E-2</v>
      </c>
      <c r="BE248" s="38">
        <f t="shared" si="194"/>
        <v>2.6827380607702671</v>
      </c>
      <c r="BF248" s="38">
        <f t="shared" si="195"/>
        <v>2.6139683240121898</v>
      </c>
      <c r="BG248" s="38">
        <f t="shared" si="196"/>
        <v>0.29970469468555727</v>
      </c>
      <c r="BH248" s="38">
        <f t="shared" si="197"/>
        <v>4.3130527858422002E-2</v>
      </c>
      <c r="BI248" s="38">
        <f t="shared" si="198"/>
        <v>0</v>
      </c>
      <c r="BJ248" s="38">
        <f t="shared" si="199"/>
        <v>0</v>
      </c>
      <c r="BK248" s="38">
        <f t="shared" si="200"/>
        <v>0</v>
      </c>
      <c r="BL248" s="41">
        <f t="shared" si="201"/>
        <v>14.999999999999996</v>
      </c>
      <c r="BM248" s="42">
        <f t="shared" si="224"/>
        <v>22.888072856933444</v>
      </c>
      <c r="BN248" s="38">
        <f t="shared" si="202"/>
        <v>7.7984251543356899</v>
      </c>
      <c r="BO248" s="38">
        <f t="shared" si="203"/>
        <v>2.9568035465561691</v>
      </c>
      <c r="BQ248" s="38">
        <f t="shared" si="204"/>
        <v>0.77513315579227704</v>
      </c>
      <c r="BR248" s="38">
        <f t="shared" si="205"/>
        <v>1.4396594892338507E-2</v>
      </c>
      <c r="BS248" s="38">
        <f t="shared" si="206"/>
        <v>0.13083562181247549</v>
      </c>
      <c r="BT248" s="38">
        <f t="shared" si="207"/>
        <v>0</v>
      </c>
      <c r="BU248" s="38">
        <f t="shared" si="208"/>
        <v>0.1627000695894224</v>
      </c>
      <c r="BV248" s="38">
        <f t="shared" si="209"/>
        <v>4.3698900479278262E-3</v>
      </c>
      <c r="BW248" s="38">
        <f t="shared" si="210"/>
        <v>0.31166253101736974</v>
      </c>
      <c r="BX248" s="38">
        <f t="shared" si="211"/>
        <v>0.30367332382310985</v>
      </c>
      <c r="BY248" s="38">
        <f t="shared" si="212"/>
        <v>3.4817683123588253E-2</v>
      </c>
      <c r="BZ248" s="38">
        <f t="shared" si="213"/>
        <v>5.0106157112526535E-3</v>
      </c>
      <c r="CA248" s="38">
        <f t="shared" si="214"/>
        <v>0</v>
      </c>
      <c r="CB248" s="38">
        <f t="shared" si="215"/>
        <v>0</v>
      </c>
      <c r="CC248" s="38">
        <f t="shared" si="216"/>
        <v>0</v>
      </c>
      <c r="CD248" s="38">
        <f t="shared" si="217"/>
        <v>1.742599485809762</v>
      </c>
      <c r="CE248" s="38">
        <f t="shared" si="218"/>
        <v>2.5776328979831948</v>
      </c>
      <c r="CF248" s="38">
        <f t="shared" si="219"/>
        <v>8.6078299242867651</v>
      </c>
      <c r="CG248" s="38">
        <f t="shared" si="220"/>
        <v>22.187825593085758</v>
      </c>
    </row>
    <row r="249" spans="1:85" ht="15" customHeight="1" x14ac:dyDescent="0.25">
      <c r="A249" s="35" t="s">
        <v>91</v>
      </c>
      <c r="B249" s="15">
        <v>1459</v>
      </c>
      <c r="C249" s="102" t="s">
        <v>96</v>
      </c>
      <c r="D249" s="103" t="s">
        <v>104</v>
      </c>
      <c r="E249" s="15">
        <v>466</v>
      </c>
      <c r="F249" s="15" t="s">
        <v>272</v>
      </c>
      <c r="G249" s="16">
        <v>0.13700000000000001</v>
      </c>
      <c r="H249" s="16">
        <v>1.82</v>
      </c>
      <c r="I249" s="16">
        <v>0.255</v>
      </c>
      <c r="J249" s="16">
        <v>0</v>
      </c>
      <c r="K249" s="16">
        <v>89.39</v>
      </c>
      <c r="L249" s="16">
        <v>0.40100000000000002</v>
      </c>
      <c r="M249" s="16">
        <v>0.112</v>
      </c>
      <c r="N249" s="16">
        <v>3.2000000000000001E-2</v>
      </c>
      <c r="O249" s="16">
        <v>3.2000000000000001E-2</v>
      </c>
      <c r="P249" s="16">
        <v>0</v>
      </c>
      <c r="Q249" s="16">
        <v>0</v>
      </c>
      <c r="T249" s="16">
        <f t="shared" si="170"/>
        <v>92.178999999999988</v>
      </c>
      <c r="U249" s="16"/>
      <c r="V249" s="16">
        <f t="shared" si="221"/>
        <v>31.762770417999437</v>
      </c>
      <c r="W249" s="16">
        <f t="shared" si="222"/>
        <v>64.041140234477226</v>
      </c>
      <c r="X249" s="16">
        <f t="shared" si="223"/>
        <v>98.592910652476661</v>
      </c>
      <c r="AD249" s="15">
        <v>4</v>
      </c>
      <c r="AE249" s="15">
        <v>3</v>
      </c>
      <c r="AG249" s="38">
        <f t="shared" si="171"/>
        <v>6.9559813430669654E-3</v>
      </c>
      <c r="AH249" s="38">
        <f t="shared" si="172"/>
        <v>6.950260733677735E-2</v>
      </c>
      <c r="AI249" s="38">
        <f t="shared" si="173"/>
        <v>1.5258369042435866E-2</v>
      </c>
      <c r="AJ249" s="38">
        <f t="shared" si="174"/>
        <v>0</v>
      </c>
      <c r="AK249" s="38">
        <f t="shared" si="175"/>
        <v>3.7951586028461466</v>
      </c>
      <c r="AL249" s="38">
        <f t="shared" si="176"/>
        <v>1.7243322618237758E-2</v>
      </c>
      <c r="AM249" s="38">
        <f t="shared" si="177"/>
        <v>8.477752661289216E-3</v>
      </c>
      <c r="AN249" s="38">
        <f t="shared" si="178"/>
        <v>1.7406431233439746E-3</v>
      </c>
      <c r="AO249" s="38">
        <f t="shared" si="179"/>
        <v>3.1498956552800939E-3</v>
      </c>
      <c r="AP249" s="38">
        <f t="shared" si="180"/>
        <v>0</v>
      </c>
      <c r="AQ249" s="38">
        <f t="shared" si="181"/>
        <v>0</v>
      </c>
      <c r="AR249" s="38">
        <f t="shared" si="182"/>
        <v>0</v>
      </c>
      <c r="AS249" s="38">
        <f t="shared" si="183"/>
        <v>0</v>
      </c>
      <c r="AT249" s="39">
        <f t="shared" si="184"/>
        <v>3.9174871746265776</v>
      </c>
      <c r="AU249" s="38">
        <f t="shared" si="185"/>
        <v>2.2214350385502832E-2</v>
      </c>
      <c r="AV249" s="38">
        <f t="shared" si="186"/>
        <v>4.8905387786240687E-3</v>
      </c>
      <c r="AW249" s="40"/>
      <c r="AX249" s="38">
        <f t="shared" si="187"/>
        <v>5.3268697762080272E-3</v>
      </c>
      <c r="AY249" s="38">
        <f t="shared" si="188"/>
        <v>5.3224889505913295E-2</v>
      </c>
      <c r="AZ249" s="38">
        <f t="shared" si="189"/>
        <v>1.1684813526331703E-2</v>
      </c>
      <c r="BA249" s="38">
        <f t="shared" si="190"/>
        <v>0</v>
      </c>
      <c r="BB249" s="38">
        <f t="shared" si="191"/>
        <v>1.03269729578922</v>
      </c>
      <c r="BC249" s="38">
        <f t="shared" si="192"/>
        <v>1.8736238486121586</v>
      </c>
      <c r="BD249" s="38">
        <f t="shared" si="193"/>
        <v>1.3204885057382293E-2</v>
      </c>
      <c r="BE249" s="38">
        <f t="shared" si="194"/>
        <v>6.4922377151858815E-3</v>
      </c>
      <c r="BF249" s="38">
        <f t="shared" si="195"/>
        <v>1.3329793148664712E-3</v>
      </c>
      <c r="BG249" s="38">
        <f t="shared" si="196"/>
        <v>2.4121807027335175E-3</v>
      </c>
      <c r="BH249" s="38">
        <f t="shared" si="197"/>
        <v>0</v>
      </c>
      <c r="BI249" s="38">
        <f t="shared" si="198"/>
        <v>0</v>
      </c>
      <c r="BJ249" s="38">
        <f t="shared" si="199"/>
        <v>0</v>
      </c>
      <c r="BK249" s="38">
        <f t="shared" si="200"/>
        <v>0</v>
      </c>
      <c r="BL249" s="41">
        <f t="shared" si="201"/>
        <v>3</v>
      </c>
      <c r="BM249" s="42">
        <f t="shared" ref="BM249:BM281" si="225">(AX249+AY249)*2+(AZ249+BA249+BC249)*1.5+BB249+BD249+BE249+BF249+(BG249+BH249)*0.5+BI249*2.5+BJ249*3  -(0.5*(BK249))</f>
        <v>4</v>
      </c>
      <c r="BN249" s="38">
        <f t="shared" si="202"/>
        <v>1.7011683302539729E-2</v>
      </c>
      <c r="BO249" s="38">
        <f t="shared" si="203"/>
        <v>3.7451600175999887E-3</v>
      </c>
      <c r="BQ249" s="38">
        <f t="shared" si="204"/>
        <v>2.2802929427430097E-3</v>
      </c>
      <c r="BR249" s="38">
        <f t="shared" si="205"/>
        <v>2.2784176264396598E-2</v>
      </c>
      <c r="BS249" s="38">
        <f t="shared" si="206"/>
        <v>5.0019615535504122E-3</v>
      </c>
      <c r="BT249" s="38">
        <f t="shared" si="207"/>
        <v>0</v>
      </c>
      <c r="BU249" s="38">
        <f t="shared" si="208"/>
        <v>1.2441196938065415</v>
      </c>
      <c r="BV249" s="38">
        <f t="shared" si="209"/>
        <v>5.6526642232872853E-3</v>
      </c>
      <c r="BW249" s="38">
        <f t="shared" si="210"/>
        <v>2.7791563275434247E-3</v>
      </c>
      <c r="BX249" s="38">
        <f t="shared" si="211"/>
        <v>5.7061340941512125E-4</v>
      </c>
      <c r="BY249" s="38">
        <f t="shared" si="212"/>
        <v>1.0325911584382059E-3</v>
      </c>
      <c r="BZ249" s="38">
        <f t="shared" si="213"/>
        <v>0</v>
      </c>
      <c r="CA249" s="38">
        <f t="shared" si="214"/>
        <v>0</v>
      </c>
      <c r="CB249" s="38">
        <f t="shared" si="215"/>
        <v>0</v>
      </c>
      <c r="CC249" s="38">
        <f t="shared" si="216"/>
        <v>0</v>
      </c>
      <c r="CD249" s="38">
        <f t="shared" si="217"/>
        <v>1.2842211496859155</v>
      </c>
      <c r="CE249" s="38">
        <f t="shared" si="218"/>
        <v>1.3112703040906113</v>
      </c>
      <c r="CF249" s="38">
        <f t="shared" si="219"/>
        <v>2.3360462493034908</v>
      </c>
      <c r="CG249" s="38">
        <f t="shared" si="220"/>
        <v>3.0631880756939203</v>
      </c>
    </row>
    <row r="250" spans="1:85" ht="15" customHeight="1" x14ac:dyDescent="0.25">
      <c r="A250" s="35" t="s">
        <v>91</v>
      </c>
      <c r="B250" s="15">
        <v>1460</v>
      </c>
      <c r="C250" s="102" t="s">
        <v>96</v>
      </c>
      <c r="D250" s="103" t="s">
        <v>104</v>
      </c>
      <c r="E250" s="15">
        <v>467</v>
      </c>
      <c r="F250" s="15" t="s">
        <v>279</v>
      </c>
      <c r="G250" s="16">
        <v>0.128</v>
      </c>
      <c r="H250" s="16">
        <v>43.68</v>
      </c>
      <c r="I250" s="16">
        <v>4.2999999999999997E-2</v>
      </c>
      <c r="J250" s="16">
        <v>1.2E-2</v>
      </c>
      <c r="K250" s="16">
        <v>47.55</v>
      </c>
      <c r="L250" s="16">
        <v>4.1900000000000004</v>
      </c>
      <c r="M250" s="16">
        <v>0.185</v>
      </c>
      <c r="N250" s="16">
        <v>4.4999999999999998E-2</v>
      </c>
      <c r="O250" s="16">
        <v>1.7000000000000001E-2</v>
      </c>
      <c r="P250" s="16">
        <v>0.01</v>
      </c>
      <c r="Q250" s="16">
        <v>0</v>
      </c>
      <c r="T250" s="16">
        <f t="shared" si="170"/>
        <v>95.86</v>
      </c>
      <c r="U250" s="16"/>
      <c r="V250" s="16">
        <f t="shared" si="221"/>
        <v>34.701536252494066</v>
      </c>
      <c r="W250" s="16">
        <f t="shared" si="222"/>
        <v>14.27849776260334</v>
      </c>
      <c r="X250" s="16">
        <f t="shared" si="223"/>
        <v>97.290034015097405</v>
      </c>
      <c r="AD250" s="15">
        <v>3</v>
      </c>
      <c r="AE250" s="15">
        <v>2</v>
      </c>
      <c r="AG250" s="38">
        <f t="shared" si="171"/>
        <v>3.5001921209095554E-3</v>
      </c>
      <c r="AH250" s="38">
        <f t="shared" si="172"/>
        <v>0.89837242013675478</v>
      </c>
      <c r="AI250" s="38">
        <f t="shared" si="173"/>
        <v>1.3857358787825159E-3</v>
      </c>
      <c r="AJ250" s="38">
        <f t="shared" si="174"/>
        <v>2.5942275308932255E-4</v>
      </c>
      <c r="AK250" s="38">
        <f t="shared" si="175"/>
        <v>1.0872654457836313</v>
      </c>
      <c r="AL250" s="38">
        <f t="shared" si="176"/>
        <v>9.7036399994228292E-2</v>
      </c>
      <c r="AM250" s="38">
        <f t="shared" si="177"/>
        <v>7.5418609230547317E-3</v>
      </c>
      <c r="AN250" s="38">
        <f t="shared" si="178"/>
        <v>1.3183063561668421E-3</v>
      </c>
      <c r="AO250" s="38">
        <f t="shared" si="179"/>
        <v>9.0123735091263905E-4</v>
      </c>
      <c r="AP250" s="38">
        <f t="shared" si="180"/>
        <v>3.4881160865221281E-4</v>
      </c>
      <c r="AQ250" s="38">
        <f t="shared" si="181"/>
        <v>0</v>
      </c>
      <c r="AR250" s="38">
        <f t="shared" si="182"/>
        <v>0</v>
      </c>
      <c r="AS250" s="38">
        <f t="shared" si="183"/>
        <v>0</v>
      </c>
      <c r="AT250" s="39">
        <f t="shared" si="184"/>
        <v>2.097929832906182</v>
      </c>
      <c r="AU250" s="38">
        <f t="shared" si="185"/>
        <v>4.8859279996920713E-3</v>
      </c>
      <c r="AV250" s="38">
        <f t="shared" si="186"/>
        <v>2.5683553157316939E-3</v>
      </c>
      <c r="AW250" s="40"/>
      <c r="AX250" s="38">
        <f t="shared" si="187"/>
        <v>3.3368057081879358E-3</v>
      </c>
      <c r="AY250" s="38">
        <f t="shared" si="188"/>
        <v>0.85643705146446558</v>
      </c>
      <c r="AZ250" s="38">
        <f t="shared" si="189"/>
        <v>1.3210507396836137E-3</v>
      </c>
      <c r="BA250" s="38">
        <f t="shared" si="190"/>
        <v>2.4731308837908474E-4</v>
      </c>
      <c r="BB250" s="38">
        <f t="shared" si="191"/>
        <v>0.75643706917110132</v>
      </c>
      <c r="BC250" s="38">
        <f t="shared" si="192"/>
        <v>0.28007561941342018</v>
      </c>
      <c r="BD250" s="38">
        <f t="shared" si="193"/>
        <v>9.2506811688556304E-2</v>
      </c>
      <c r="BE250" s="38">
        <f t="shared" si="194"/>
        <v>7.1898123614623274E-3</v>
      </c>
      <c r="BF250" s="38">
        <f t="shared" si="195"/>
        <v>1.2567687779534958E-3</v>
      </c>
      <c r="BG250" s="38">
        <f t="shared" si="196"/>
        <v>8.591682493634111E-4</v>
      </c>
      <c r="BH250" s="38">
        <f t="shared" si="197"/>
        <v>3.325293374269028E-4</v>
      </c>
      <c r="BI250" s="38">
        <f t="shared" si="198"/>
        <v>0</v>
      </c>
      <c r="BJ250" s="38">
        <f t="shared" si="199"/>
        <v>0</v>
      </c>
      <c r="BK250" s="38">
        <f t="shared" si="200"/>
        <v>0</v>
      </c>
      <c r="BL250" s="41">
        <f t="shared" si="201"/>
        <v>2.0000000000000004</v>
      </c>
      <c r="BM250" s="42">
        <f t="shared" si="225"/>
        <v>3</v>
      </c>
      <c r="BN250" s="38">
        <f t="shared" si="202"/>
        <v>4.657856447871549E-3</v>
      </c>
      <c r="BO250" s="38">
        <f t="shared" si="203"/>
        <v>2.4484663647438096E-3</v>
      </c>
      <c r="BQ250" s="38">
        <f t="shared" si="204"/>
        <v>2.1304926764314251E-3</v>
      </c>
      <c r="BR250" s="38">
        <f t="shared" si="205"/>
        <v>0.5468202303455183</v>
      </c>
      <c r="BS250" s="38">
        <f t="shared" si="206"/>
        <v>8.4346802667712828E-4</v>
      </c>
      <c r="BT250" s="38">
        <f t="shared" si="207"/>
        <v>1.5790512533719322E-4</v>
      </c>
      <c r="BU250" s="38">
        <f t="shared" si="208"/>
        <v>0.66179540709812112</v>
      </c>
      <c r="BV250" s="38">
        <f t="shared" si="209"/>
        <v>5.9063997744572883E-2</v>
      </c>
      <c r="BW250" s="38">
        <f t="shared" si="210"/>
        <v>4.5905707196029783E-3</v>
      </c>
      <c r="BX250" s="38">
        <f t="shared" si="211"/>
        <v>8.0242510699001424E-4</v>
      </c>
      <c r="BY250" s="38">
        <f t="shared" si="212"/>
        <v>5.4856405292029692E-4</v>
      </c>
      <c r="BZ250" s="38">
        <f t="shared" si="213"/>
        <v>2.1231422505307856E-4</v>
      </c>
      <c r="CA250" s="38">
        <f t="shared" si="214"/>
        <v>0</v>
      </c>
      <c r="CB250" s="38">
        <f t="shared" si="215"/>
        <v>0</v>
      </c>
      <c r="CC250" s="38">
        <f t="shared" si="216"/>
        <v>0</v>
      </c>
      <c r="CD250" s="38">
        <f t="shared" si="217"/>
        <v>1.2769653751212244</v>
      </c>
      <c r="CE250" s="38">
        <f t="shared" si="218"/>
        <v>1.8260363455801947</v>
      </c>
      <c r="CF250" s="38">
        <f t="shared" si="219"/>
        <v>1.5662131792807121</v>
      </c>
      <c r="CG250" s="38">
        <f t="shared" si="220"/>
        <v>2.8599621902932899</v>
      </c>
    </row>
    <row r="251" spans="1:85" ht="15" customHeight="1" x14ac:dyDescent="0.25">
      <c r="A251" s="35" t="s">
        <v>91</v>
      </c>
      <c r="B251" s="15">
        <v>1461</v>
      </c>
      <c r="C251" s="102" t="s">
        <v>96</v>
      </c>
      <c r="D251" s="103" t="s">
        <v>104</v>
      </c>
      <c r="E251" s="15">
        <v>468</v>
      </c>
      <c r="F251" s="15" t="s">
        <v>272</v>
      </c>
      <c r="G251" s="16">
        <v>6.8000000000000005E-2</v>
      </c>
      <c r="H251" s="16">
        <v>0.98899999999999999</v>
      </c>
      <c r="I251" s="16">
        <v>0.27100000000000002</v>
      </c>
      <c r="J251" s="16">
        <v>2.3E-2</v>
      </c>
      <c r="K251" s="16">
        <v>91.47</v>
      </c>
      <c r="L251" s="16">
        <v>0.185</v>
      </c>
      <c r="M251" s="16">
        <v>7.1999999999999995E-2</v>
      </c>
      <c r="N251" s="16">
        <v>1.7000000000000001E-2</v>
      </c>
      <c r="O251" s="16">
        <v>1.0999999999999999E-2</v>
      </c>
      <c r="P251" s="16">
        <v>0</v>
      </c>
      <c r="Q251" s="16">
        <v>0</v>
      </c>
      <c r="T251" s="16">
        <f t="shared" si="170"/>
        <v>93.105999999999995</v>
      </c>
      <c r="U251" s="16"/>
      <c r="V251" s="16">
        <f t="shared" si="221"/>
        <v>31.651578016904608</v>
      </c>
      <c r="W251" s="16">
        <f t="shared" si="222"/>
        <v>66.476212349813906</v>
      </c>
      <c r="X251" s="16">
        <f t="shared" si="223"/>
        <v>99.76379036671851</v>
      </c>
      <c r="AD251" s="15">
        <v>4</v>
      </c>
      <c r="AE251" s="15">
        <v>3</v>
      </c>
      <c r="AG251" s="38">
        <f t="shared" si="171"/>
        <v>3.4470121773842732E-3</v>
      </c>
      <c r="AH251" s="38">
        <f t="shared" si="172"/>
        <v>3.7707007240540484E-2</v>
      </c>
      <c r="AI251" s="38">
        <f t="shared" si="173"/>
        <v>1.6189494504267526E-2</v>
      </c>
      <c r="AJ251" s="38">
        <f t="shared" si="174"/>
        <v>9.2173620307773403E-4</v>
      </c>
      <c r="AK251" s="38">
        <f t="shared" si="175"/>
        <v>3.8771779623049643</v>
      </c>
      <c r="AL251" s="38">
        <f t="shared" si="176"/>
        <v>7.9422649938619867E-3</v>
      </c>
      <c r="AM251" s="38">
        <f t="shared" si="177"/>
        <v>5.4411572750116015E-3</v>
      </c>
      <c r="AN251" s="38">
        <f t="shared" si="178"/>
        <v>9.2321902468458963E-4</v>
      </c>
      <c r="AO251" s="38">
        <f t="shared" si="179"/>
        <v>1.0810230092201082E-3</v>
      </c>
      <c r="AP251" s="38">
        <f t="shared" si="180"/>
        <v>0</v>
      </c>
      <c r="AQ251" s="38">
        <f t="shared" si="181"/>
        <v>0</v>
      </c>
      <c r="AR251" s="38">
        <f t="shared" si="182"/>
        <v>0</v>
      </c>
      <c r="AS251" s="38">
        <f t="shared" si="183"/>
        <v>0</v>
      </c>
      <c r="AT251" s="39">
        <f t="shared" si="184"/>
        <v>3.9508308767330118</v>
      </c>
      <c r="AU251" s="38">
        <f t="shared" si="185"/>
        <v>1.9636506681651799E-2</v>
      </c>
      <c r="AV251" s="38">
        <f t="shared" si="186"/>
        <v>2.0042420339046979E-3</v>
      </c>
      <c r="AW251" s="40"/>
      <c r="AX251" s="38">
        <f t="shared" si="187"/>
        <v>2.6174333589049862E-3</v>
      </c>
      <c r="AY251" s="38">
        <f t="shared" si="188"/>
        <v>2.8632210603548418E-2</v>
      </c>
      <c r="AZ251" s="38">
        <f t="shared" si="189"/>
        <v>1.2293232747275788E-2</v>
      </c>
      <c r="BA251" s="38">
        <f t="shared" si="190"/>
        <v>6.9990558834545332E-4</v>
      </c>
      <c r="BB251" s="38">
        <f t="shared" si="191"/>
        <v>1.0187444106387624</v>
      </c>
      <c r="BC251" s="38">
        <f t="shared" si="192"/>
        <v>1.9253284312068857</v>
      </c>
      <c r="BD251" s="38">
        <f t="shared" si="193"/>
        <v>6.0308314187542782E-3</v>
      </c>
      <c r="BE251" s="38">
        <f t="shared" si="194"/>
        <v>4.1316554249805982E-3</v>
      </c>
      <c r="BF251" s="38">
        <f t="shared" si="195"/>
        <v>7.010315451275481E-4</v>
      </c>
      <c r="BG251" s="38">
        <f t="shared" si="196"/>
        <v>8.2085746741507087E-4</v>
      </c>
      <c r="BH251" s="38">
        <f t="shared" si="197"/>
        <v>0</v>
      </c>
      <c r="BI251" s="38">
        <f t="shared" si="198"/>
        <v>0</v>
      </c>
      <c r="BJ251" s="38">
        <f t="shared" si="199"/>
        <v>0</v>
      </c>
      <c r="BK251" s="38">
        <f t="shared" si="200"/>
        <v>0</v>
      </c>
      <c r="BL251" s="41">
        <f t="shared" si="201"/>
        <v>3</v>
      </c>
      <c r="BM251" s="42">
        <f t="shared" si="225"/>
        <v>4</v>
      </c>
      <c r="BN251" s="38">
        <f t="shared" si="202"/>
        <v>1.4910666106180774E-2</v>
      </c>
      <c r="BO251" s="38">
        <f t="shared" si="203"/>
        <v>1.5218890125426191E-3</v>
      </c>
      <c r="BQ251" s="38">
        <f t="shared" si="204"/>
        <v>1.1318242343541945E-3</v>
      </c>
      <c r="BR251" s="38">
        <f t="shared" si="205"/>
        <v>1.2381071607411117E-2</v>
      </c>
      <c r="BS251" s="38">
        <f t="shared" si="206"/>
        <v>5.315810121616321E-3</v>
      </c>
      <c r="BT251" s="38">
        <f t="shared" si="207"/>
        <v>3.0265149022962033E-4</v>
      </c>
      <c r="BU251" s="38">
        <f t="shared" si="208"/>
        <v>1.2730688935281838</v>
      </c>
      <c r="BV251" s="38">
        <f t="shared" si="209"/>
        <v>2.6078376092472512E-3</v>
      </c>
      <c r="BW251" s="38">
        <f t="shared" si="210"/>
        <v>1.7866004962779156E-3</v>
      </c>
      <c r="BX251" s="38">
        <f t="shared" si="211"/>
        <v>3.0313837375178321E-4</v>
      </c>
      <c r="BY251" s="38">
        <f t="shared" si="212"/>
        <v>3.5495321071313328E-4</v>
      </c>
      <c r="BZ251" s="38">
        <f t="shared" si="213"/>
        <v>0</v>
      </c>
      <c r="CA251" s="38">
        <f t="shared" si="214"/>
        <v>0</v>
      </c>
      <c r="CB251" s="38">
        <f t="shared" si="215"/>
        <v>0</v>
      </c>
      <c r="CC251" s="38">
        <f t="shared" si="216"/>
        <v>0</v>
      </c>
      <c r="CD251" s="38">
        <f t="shared" si="217"/>
        <v>1.2972527806717851</v>
      </c>
      <c r="CE251" s="38">
        <f t="shared" si="218"/>
        <v>1.3133974307141167</v>
      </c>
      <c r="CF251" s="38">
        <f t="shared" si="219"/>
        <v>2.3125793559266405</v>
      </c>
      <c r="CG251" s="38">
        <f t="shared" si="220"/>
        <v>3.0373357843965567</v>
      </c>
    </row>
    <row r="252" spans="1:85" ht="15" customHeight="1" x14ac:dyDescent="0.25">
      <c r="A252" s="35" t="s">
        <v>91</v>
      </c>
      <c r="B252" s="15">
        <v>1462</v>
      </c>
      <c r="C252" s="102" t="s">
        <v>96</v>
      </c>
      <c r="D252" s="103" t="s">
        <v>104</v>
      </c>
      <c r="E252" s="15">
        <v>469</v>
      </c>
      <c r="F252" s="15" t="s">
        <v>279</v>
      </c>
      <c r="G252" s="16">
        <v>8.4000000000000005E-2</v>
      </c>
      <c r="H252" s="16">
        <v>41.77</v>
      </c>
      <c r="I252" s="16">
        <v>3.9E-2</v>
      </c>
      <c r="J252" s="16">
        <v>0</v>
      </c>
      <c r="K252" s="16">
        <v>49.09</v>
      </c>
      <c r="L252" s="16">
        <v>4.1100000000000003</v>
      </c>
      <c r="M252" s="16">
        <v>0.219</v>
      </c>
      <c r="N252" s="16">
        <v>3.4000000000000002E-2</v>
      </c>
      <c r="O252" s="16">
        <v>3.2000000000000001E-2</v>
      </c>
      <c r="P252" s="16">
        <v>0</v>
      </c>
      <c r="Q252" s="16">
        <v>0</v>
      </c>
      <c r="T252" s="16">
        <f t="shared" si="170"/>
        <v>95.378</v>
      </c>
      <c r="U252" s="16"/>
      <c r="V252" s="16">
        <f t="shared" si="221"/>
        <v>32.92637714070726</v>
      </c>
      <c r="W252" s="16">
        <f t="shared" si="222"/>
        <v>17.962634083532024</v>
      </c>
      <c r="X252" s="16">
        <f t="shared" si="223"/>
        <v>97.177011224239294</v>
      </c>
      <c r="AD252" s="15">
        <v>3</v>
      </c>
      <c r="AE252" s="15">
        <v>2</v>
      </c>
      <c r="AG252" s="38">
        <f t="shared" si="171"/>
        <v>2.3334873389344686E-3</v>
      </c>
      <c r="AH252" s="38">
        <f t="shared" si="172"/>
        <v>0.87273522637070911</v>
      </c>
      <c r="AI252" s="38">
        <f t="shared" si="173"/>
        <v>1.2767940867576763E-3</v>
      </c>
      <c r="AJ252" s="38">
        <f t="shared" si="174"/>
        <v>0</v>
      </c>
      <c r="AK252" s="38">
        <f t="shared" si="175"/>
        <v>1.1403084600150857</v>
      </c>
      <c r="AL252" s="38">
        <f t="shared" si="176"/>
        <v>9.6695602658564861E-2</v>
      </c>
      <c r="AM252" s="38">
        <f t="shared" si="177"/>
        <v>9.0697466417869101E-3</v>
      </c>
      <c r="AN252" s="38">
        <f t="shared" si="178"/>
        <v>1.011875309292044E-3</v>
      </c>
      <c r="AO252" s="38">
        <f t="shared" si="179"/>
        <v>1.7233936516932696E-3</v>
      </c>
      <c r="AP252" s="38">
        <f t="shared" si="180"/>
        <v>0</v>
      </c>
      <c r="AQ252" s="38">
        <f t="shared" si="181"/>
        <v>0</v>
      </c>
      <c r="AR252" s="38">
        <f t="shared" si="182"/>
        <v>0</v>
      </c>
      <c r="AS252" s="38">
        <f t="shared" si="183"/>
        <v>0</v>
      </c>
      <c r="AT252" s="39">
        <f t="shared" si="184"/>
        <v>2.1251545860728238</v>
      </c>
      <c r="AU252" s="38">
        <f t="shared" si="185"/>
        <v>3.6102814256921446E-3</v>
      </c>
      <c r="AV252" s="38">
        <f t="shared" si="186"/>
        <v>2.7352689609853138E-3</v>
      </c>
      <c r="AW252" s="40"/>
      <c r="AX252" s="38">
        <f t="shared" si="187"/>
        <v>2.196063622126081E-3</v>
      </c>
      <c r="AY252" s="38">
        <f t="shared" si="188"/>
        <v>0.82133811073337393</v>
      </c>
      <c r="AZ252" s="38">
        <f t="shared" si="189"/>
        <v>1.2016011401007078E-3</v>
      </c>
      <c r="BA252" s="38">
        <f t="shared" si="190"/>
        <v>0</v>
      </c>
      <c r="BB252" s="38">
        <f t="shared" si="191"/>
        <v>0.7198014740283043</v>
      </c>
      <c r="BC252" s="38">
        <f t="shared" si="192"/>
        <v>0.35335194971609929</v>
      </c>
      <c r="BD252" s="38">
        <f t="shared" si="193"/>
        <v>9.100100603716868E-2</v>
      </c>
      <c r="BE252" s="38">
        <f t="shared" si="194"/>
        <v>8.53561119856917E-3</v>
      </c>
      <c r="BF252" s="38">
        <f t="shared" si="195"/>
        <v>9.5228395705738999E-4</v>
      </c>
      <c r="BG252" s="38">
        <f t="shared" si="196"/>
        <v>1.6218995672009091E-3</v>
      </c>
      <c r="BH252" s="38">
        <f t="shared" si="197"/>
        <v>0</v>
      </c>
      <c r="BI252" s="38">
        <f t="shared" si="198"/>
        <v>0</v>
      </c>
      <c r="BJ252" s="38">
        <f t="shared" si="199"/>
        <v>0</v>
      </c>
      <c r="BK252" s="38">
        <f t="shared" si="200"/>
        <v>0</v>
      </c>
      <c r="BL252" s="41">
        <f t="shared" si="201"/>
        <v>2.0000000000000009</v>
      </c>
      <c r="BM252" s="42">
        <f t="shared" si="225"/>
        <v>3</v>
      </c>
      <c r="BN252" s="38">
        <f t="shared" si="202"/>
        <v>3.3976647622267885E-3</v>
      </c>
      <c r="BO252" s="38">
        <f t="shared" si="203"/>
        <v>2.574183524258299E-3</v>
      </c>
      <c r="BQ252" s="38">
        <f t="shared" si="204"/>
        <v>1.3981358189081225E-3</v>
      </c>
      <c r="BR252" s="38">
        <f t="shared" si="205"/>
        <v>0.52290936404606914</v>
      </c>
      <c r="BS252" s="38">
        <f t="shared" si="206"/>
        <v>7.6500588466065129E-4</v>
      </c>
      <c r="BT252" s="38">
        <f t="shared" si="207"/>
        <v>0</v>
      </c>
      <c r="BU252" s="38">
        <f t="shared" si="208"/>
        <v>0.68322894919972177</v>
      </c>
      <c r="BV252" s="38">
        <f t="shared" si="209"/>
        <v>5.793628418381732E-2</v>
      </c>
      <c r="BW252" s="38">
        <f t="shared" si="210"/>
        <v>5.4342431761786603E-3</v>
      </c>
      <c r="BX252" s="38">
        <f t="shared" si="211"/>
        <v>6.0627674750356642E-4</v>
      </c>
      <c r="BY252" s="38">
        <f t="shared" si="212"/>
        <v>1.0325911584382059E-3</v>
      </c>
      <c r="BZ252" s="38">
        <f t="shared" si="213"/>
        <v>0</v>
      </c>
      <c r="CA252" s="38">
        <f t="shared" si="214"/>
        <v>0</v>
      </c>
      <c r="CB252" s="38">
        <f t="shared" si="215"/>
        <v>0</v>
      </c>
      <c r="CC252" s="38">
        <f t="shared" si="216"/>
        <v>0</v>
      </c>
      <c r="CD252" s="38">
        <f t="shared" si="217"/>
        <v>1.2733108502152972</v>
      </c>
      <c r="CE252" s="38">
        <f t="shared" si="218"/>
        <v>1.797484557443386</v>
      </c>
      <c r="CF252" s="38">
        <f t="shared" si="219"/>
        <v>1.5707083621111302</v>
      </c>
      <c r="CG252" s="38">
        <f t="shared" si="220"/>
        <v>2.8233240251419507</v>
      </c>
    </row>
    <row r="253" spans="1:85" ht="15" customHeight="1" x14ac:dyDescent="0.25">
      <c r="A253" s="35" t="s">
        <v>91</v>
      </c>
      <c r="B253" s="15">
        <v>1463</v>
      </c>
      <c r="C253" s="102" t="s">
        <v>96</v>
      </c>
      <c r="D253" s="103" t="s">
        <v>104</v>
      </c>
      <c r="E253" s="15">
        <v>470</v>
      </c>
      <c r="F253" s="15" t="s">
        <v>272</v>
      </c>
      <c r="G253" s="16">
        <v>0.115</v>
      </c>
      <c r="H253" s="16">
        <v>2.2400000000000002</v>
      </c>
      <c r="I253" s="16">
        <v>0.72</v>
      </c>
      <c r="J253" s="16">
        <v>4.4999999999999998E-2</v>
      </c>
      <c r="K253" s="16">
        <v>88.28</v>
      </c>
      <c r="L253" s="16">
        <v>0.46400000000000002</v>
      </c>
      <c r="M253" s="16">
        <v>9.6000000000000002E-2</v>
      </c>
      <c r="N253" s="16">
        <v>5.2999999999999999E-2</v>
      </c>
      <c r="O253" s="16">
        <v>3.4000000000000002E-2</v>
      </c>
      <c r="P253" s="16">
        <v>7.0000000000000001E-3</v>
      </c>
      <c r="Q253" s="16">
        <v>0</v>
      </c>
      <c r="T253" s="16">
        <f t="shared" si="170"/>
        <v>92.054000000000016</v>
      </c>
      <c r="U253" s="16"/>
      <c r="V253" s="16">
        <f t="shared" si="221"/>
        <v>32.027047441271733</v>
      </c>
      <c r="W253" s="16">
        <f t="shared" si="222"/>
        <v>62.513906178514723</v>
      </c>
      <c r="X253" s="16">
        <f t="shared" si="223"/>
        <v>98.314953619786451</v>
      </c>
      <c r="AD253" s="15">
        <v>4</v>
      </c>
      <c r="AE253" s="15">
        <v>3</v>
      </c>
      <c r="AG253" s="38">
        <f t="shared" si="171"/>
        <v>5.7953111629854871E-3</v>
      </c>
      <c r="AH253" s="38">
        <f t="shared" si="172"/>
        <v>8.4902172831601369E-2</v>
      </c>
      <c r="AI253" s="38">
        <f t="shared" si="173"/>
        <v>4.2760375281689494E-2</v>
      </c>
      <c r="AJ253" s="38">
        <f t="shared" si="174"/>
        <v>1.7928185504478339E-3</v>
      </c>
      <c r="AK253" s="38">
        <f t="shared" si="175"/>
        <v>3.7200124623955699</v>
      </c>
      <c r="AL253" s="38">
        <f t="shared" si="176"/>
        <v>1.9803212111629668E-2</v>
      </c>
      <c r="AM253" s="38">
        <f t="shared" si="177"/>
        <v>7.2123207009446837E-3</v>
      </c>
      <c r="AN253" s="38">
        <f t="shared" si="178"/>
        <v>2.8613877097353013E-3</v>
      </c>
      <c r="AO253" s="38">
        <f t="shared" si="179"/>
        <v>3.3217441864426714E-3</v>
      </c>
      <c r="AP253" s="38">
        <f t="shared" si="180"/>
        <v>4.4997250303797215E-4</v>
      </c>
      <c r="AQ253" s="38">
        <f t="shared" si="181"/>
        <v>0</v>
      </c>
      <c r="AR253" s="38">
        <f t="shared" si="182"/>
        <v>0</v>
      </c>
      <c r="AS253" s="38">
        <f t="shared" si="183"/>
        <v>0</v>
      </c>
      <c r="AT253" s="39">
        <f t="shared" si="184"/>
        <v>3.888911777434084</v>
      </c>
      <c r="AU253" s="38">
        <f t="shared" si="185"/>
        <v>4.8555686444674978E-2</v>
      </c>
      <c r="AV253" s="38">
        <f t="shared" si="186"/>
        <v>6.6331043992159449E-3</v>
      </c>
      <c r="AW253" s="40"/>
      <c r="AX253" s="38">
        <f t="shared" si="187"/>
        <v>4.4706422989178093E-3</v>
      </c>
      <c r="AY253" s="38">
        <f t="shared" si="188"/>
        <v>6.5495576416202531E-2</v>
      </c>
      <c r="AZ253" s="38">
        <f t="shared" si="189"/>
        <v>3.2986381071804294E-2</v>
      </c>
      <c r="BA253" s="38">
        <f t="shared" si="190"/>
        <v>1.3830233132447716E-3</v>
      </c>
      <c r="BB253" s="38">
        <f t="shared" si="191"/>
        <v>1.0410992584628409</v>
      </c>
      <c r="BC253" s="38">
        <f t="shared" si="192"/>
        <v>1.8286077510775334</v>
      </c>
      <c r="BD253" s="38">
        <f t="shared" si="193"/>
        <v>1.5276673716184854E-2</v>
      </c>
      <c r="BE253" s="38">
        <f t="shared" si="194"/>
        <v>5.5637575088191334E-3</v>
      </c>
      <c r="BF253" s="38">
        <f t="shared" si="195"/>
        <v>2.2073432416278059E-3</v>
      </c>
      <c r="BG253" s="38">
        <f t="shared" si="196"/>
        <v>2.5624732906394457E-3</v>
      </c>
      <c r="BH253" s="38">
        <f t="shared" si="197"/>
        <v>3.4711960218459777E-4</v>
      </c>
      <c r="BI253" s="38">
        <f t="shared" si="198"/>
        <v>0</v>
      </c>
      <c r="BJ253" s="38">
        <f t="shared" si="199"/>
        <v>0</v>
      </c>
      <c r="BK253" s="38">
        <f t="shared" si="200"/>
        <v>0</v>
      </c>
      <c r="BL253" s="41">
        <f t="shared" si="201"/>
        <v>2.9999999999999991</v>
      </c>
      <c r="BM253" s="42">
        <f t="shared" si="225"/>
        <v>3.9999999999999996</v>
      </c>
      <c r="BN253" s="38">
        <f t="shared" si="202"/>
        <v>3.7457023370722105E-2</v>
      </c>
      <c r="BO253" s="38">
        <f t="shared" si="203"/>
        <v>5.1169361344518497E-3</v>
      </c>
      <c r="BQ253" s="38">
        <f t="shared" si="204"/>
        <v>1.9141145139813583E-3</v>
      </c>
      <c r="BR253" s="38">
        <f t="shared" si="205"/>
        <v>2.8042063094641967E-2</v>
      </c>
      <c r="BS253" s="38">
        <f t="shared" si="206"/>
        <v>1.412318556296587E-2</v>
      </c>
      <c r="BT253" s="38">
        <f t="shared" si="207"/>
        <v>5.9214422001447459E-4</v>
      </c>
      <c r="BU253" s="38">
        <f t="shared" si="208"/>
        <v>1.2286708420320112</v>
      </c>
      <c r="BV253" s="38">
        <f t="shared" si="209"/>
        <v>6.5407386523822957E-3</v>
      </c>
      <c r="BW253" s="38">
        <f t="shared" si="210"/>
        <v>2.3821339950372213E-3</v>
      </c>
      <c r="BX253" s="38">
        <f t="shared" si="211"/>
        <v>9.4507845934379458E-4</v>
      </c>
      <c r="BY253" s="38">
        <f t="shared" si="212"/>
        <v>1.0971281058405938E-3</v>
      </c>
      <c r="BZ253" s="38">
        <f t="shared" si="213"/>
        <v>1.4861995753715499E-4</v>
      </c>
      <c r="CA253" s="38">
        <f t="shared" si="214"/>
        <v>0</v>
      </c>
      <c r="CB253" s="38">
        <f t="shared" si="215"/>
        <v>0</v>
      </c>
      <c r="CC253" s="38">
        <f t="shared" si="216"/>
        <v>0</v>
      </c>
      <c r="CD253" s="38">
        <f t="shared" si="217"/>
        <v>1.284456048593756</v>
      </c>
      <c r="CE253" s="38">
        <f t="shared" si="218"/>
        <v>1.3211470170621806</v>
      </c>
      <c r="CF253" s="38">
        <f t="shared" si="219"/>
        <v>2.335619037556365</v>
      </c>
      <c r="CG253" s="38">
        <f t="shared" si="220"/>
        <v>3.0856961244612329</v>
      </c>
    </row>
    <row r="254" spans="1:85" ht="15" customHeight="1" x14ac:dyDescent="0.25">
      <c r="A254" s="35" t="s">
        <v>91</v>
      </c>
      <c r="B254" s="15">
        <v>1464</v>
      </c>
      <c r="C254" s="102" t="s">
        <v>96</v>
      </c>
      <c r="D254" s="103" t="s">
        <v>104</v>
      </c>
      <c r="E254" s="15">
        <v>471</v>
      </c>
      <c r="F254" s="15" t="s">
        <v>279</v>
      </c>
      <c r="G254" s="16">
        <v>0.63200000000000001</v>
      </c>
      <c r="H254" s="16">
        <v>36.74</v>
      </c>
      <c r="I254" s="16">
        <v>9.8000000000000004E-2</v>
      </c>
      <c r="J254" s="16">
        <v>0</v>
      </c>
      <c r="K254" s="16">
        <v>51.48</v>
      </c>
      <c r="L254" s="16">
        <v>3.73</v>
      </c>
      <c r="M254" s="16">
        <v>0.155</v>
      </c>
      <c r="N254" s="16">
        <v>0.08</v>
      </c>
      <c r="O254" s="16">
        <v>0</v>
      </c>
      <c r="P254" s="16">
        <v>0</v>
      </c>
      <c r="Q254" s="16">
        <v>0</v>
      </c>
      <c r="T254" s="16">
        <f t="shared" si="170"/>
        <v>92.914999999999992</v>
      </c>
      <c r="U254" s="16"/>
      <c r="V254" s="16">
        <f t="shared" si="221"/>
        <v>29.645804709865327</v>
      </c>
      <c r="W254" s="16">
        <f t="shared" si="222"/>
        <v>24.264341225926657</v>
      </c>
      <c r="X254" s="16">
        <f t="shared" si="223"/>
        <v>95.34514593579199</v>
      </c>
      <c r="AD254" s="15">
        <v>3</v>
      </c>
      <c r="AE254" s="15">
        <v>2</v>
      </c>
      <c r="AG254" s="38">
        <f t="shared" si="171"/>
        <v>1.8367417805599768E-2</v>
      </c>
      <c r="AH254" s="38">
        <f t="shared" si="172"/>
        <v>0.80308598429840872</v>
      </c>
      <c r="AI254" s="38">
        <f t="shared" si="173"/>
        <v>3.3565042028309237E-3</v>
      </c>
      <c r="AJ254" s="38">
        <f t="shared" si="174"/>
        <v>0</v>
      </c>
      <c r="AK254" s="38">
        <f t="shared" si="175"/>
        <v>1.2510443806855691</v>
      </c>
      <c r="AL254" s="38">
        <f t="shared" si="176"/>
        <v>9.1807592402173052E-2</v>
      </c>
      <c r="AM254" s="38">
        <f t="shared" si="177"/>
        <v>6.715643024345388E-3</v>
      </c>
      <c r="AN254" s="38">
        <f t="shared" si="178"/>
        <v>2.4908233756487886E-3</v>
      </c>
      <c r="AO254" s="38">
        <f t="shared" si="179"/>
        <v>0</v>
      </c>
      <c r="AP254" s="38">
        <f t="shared" si="180"/>
        <v>0</v>
      </c>
      <c r="AQ254" s="38">
        <f t="shared" si="181"/>
        <v>0</v>
      </c>
      <c r="AR254" s="38">
        <f t="shared" si="182"/>
        <v>0</v>
      </c>
      <c r="AS254" s="38">
        <f t="shared" si="183"/>
        <v>0</v>
      </c>
      <c r="AT254" s="39">
        <f t="shared" si="184"/>
        <v>2.1768683457945759</v>
      </c>
      <c r="AU254" s="38">
        <f t="shared" si="185"/>
        <v>2.1723922008430693E-2</v>
      </c>
      <c r="AV254" s="38">
        <f t="shared" si="186"/>
        <v>2.4908233756487886E-3</v>
      </c>
      <c r="AW254" s="40"/>
      <c r="AX254" s="38">
        <f t="shared" si="187"/>
        <v>1.6875083733091358E-2</v>
      </c>
      <c r="AY254" s="38">
        <f t="shared" si="188"/>
        <v>0.73783606238738841</v>
      </c>
      <c r="AZ254" s="38">
        <f t="shared" si="189"/>
        <v>3.0837916397794566E-3</v>
      </c>
      <c r="BA254" s="38">
        <f t="shared" si="190"/>
        <v>0</v>
      </c>
      <c r="BB254" s="38">
        <f t="shared" si="191"/>
        <v>0.66190437716974104</v>
      </c>
      <c r="BC254" s="38">
        <f t="shared" si="192"/>
        <v>0.48749391611926107</v>
      </c>
      <c r="BD254" s="38">
        <f t="shared" si="193"/>
        <v>8.4348318610570364E-2</v>
      </c>
      <c r="BE254" s="38">
        <f t="shared" si="194"/>
        <v>6.1700038381458664E-3</v>
      </c>
      <c r="BF254" s="38">
        <f t="shared" si="195"/>
        <v>2.2884465020227181E-3</v>
      </c>
      <c r="BG254" s="38">
        <f t="shared" si="196"/>
        <v>0</v>
      </c>
      <c r="BH254" s="38">
        <f t="shared" si="197"/>
        <v>0</v>
      </c>
      <c r="BI254" s="38">
        <f t="shared" si="198"/>
        <v>0</v>
      </c>
      <c r="BJ254" s="38">
        <f t="shared" si="199"/>
        <v>0</v>
      </c>
      <c r="BK254" s="38">
        <f t="shared" si="200"/>
        <v>0</v>
      </c>
      <c r="BL254" s="41">
        <f t="shared" si="201"/>
        <v>2.0000000000000004</v>
      </c>
      <c r="BM254" s="42">
        <f t="shared" si="225"/>
        <v>3</v>
      </c>
      <c r="BN254" s="38">
        <f t="shared" si="202"/>
        <v>1.9958875372870815E-2</v>
      </c>
      <c r="BO254" s="38">
        <f t="shared" si="203"/>
        <v>2.2884465020227181E-3</v>
      </c>
      <c r="BQ254" s="38">
        <f t="shared" si="204"/>
        <v>1.0519307589880161E-2</v>
      </c>
      <c r="BR254" s="38">
        <f t="shared" si="205"/>
        <v>0.45993990986479727</v>
      </c>
      <c r="BS254" s="38">
        <f t="shared" si="206"/>
        <v>1.9223224794036879E-3</v>
      </c>
      <c r="BT254" s="38">
        <f t="shared" si="207"/>
        <v>0</v>
      </c>
      <c r="BU254" s="38">
        <f t="shared" si="208"/>
        <v>0.71649269311064723</v>
      </c>
      <c r="BV254" s="38">
        <f t="shared" si="209"/>
        <v>5.2579644770228362E-2</v>
      </c>
      <c r="BW254" s="38">
        <f t="shared" si="210"/>
        <v>3.8461538461538464E-3</v>
      </c>
      <c r="BX254" s="38">
        <f t="shared" si="211"/>
        <v>1.4265335235378032E-3</v>
      </c>
      <c r="BY254" s="38">
        <f t="shared" si="212"/>
        <v>0</v>
      </c>
      <c r="BZ254" s="38">
        <f t="shared" si="213"/>
        <v>0</v>
      </c>
      <c r="CA254" s="38">
        <f t="shared" si="214"/>
        <v>0</v>
      </c>
      <c r="CB254" s="38">
        <f t="shared" si="215"/>
        <v>0</v>
      </c>
      <c r="CC254" s="38">
        <f t="shared" si="216"/>
        <v>0</v>
      </c>
      <c r="CD254" s="38">
        <f t="shared" si="217"/>
        <v>1.2467265651846482</v>
      </c>
      <c r="CE254" s="38">
        <f t="shared" si="218"/>
        <v>1.7181469438790278</v>
      </c>
      <c r="CF254" s="38">
        <f t="shared" si="219"/>
        <v>1.6042009979179253</v>
      </c>
      <c r="CG254" s="38">
        <f t="shared" si="220"/>
        <v>2.7562530419403699</v>
      </c>
    </row>
    <row r="255" spans="1:85" ht="15" customHeight="1" x14ac:dyDescent="0.25">
      <c r="A255" s="35" t="s">
        <v>91</v>
      </c>
      <c r="B255" s="15">
        <v>1465</v>
      </c>
      <c r="C255" s="102" t="s">
        <v>96</v>
      </c>
      <c r="D255" s="103" t="s">
        <v>104</v>
      </c>
      <c r="E255" s="15">
        <v>472</v>
      </c>
      <c r="F255" s="15" t="s">
        <v>272</v>
      </c>
      <c r="G255" s="16">
        <v>5.6000000000000001E-2</v>
      </c>
      <c r="H255" s="16">
        <v>1.91</v>
      </c>
      <c r="I255" s="16">
        <v>0.28100000000000003</v>
      </c>
      <c r="J255" s="16">
        <v>4.2000000000000003E-2</v>
      </c>
      <c r="K255" s="16">
        <v>89.45</v>
      </c>
      <c r="L255" s="16">
        <v>0.28299999999999997</v>
      </c>
      <c r="M255" s="16">
        <v>6.9000000000000006E-2</v>
      </c>
      <c r="N255" s="16">
        <v>2.8000000000000001E-2</v>
      </c>
      <c r="O255" s="16">
        <v>6.4000000000000001E-2</v>
      </c>
      <c r="P255" s="16">
        <v>0</v>
      </c>
      <c r="Q255" s="16">
        <v>0</v>
      </c>
      <c r="T255" s="16">
        <f t="shared" si="170"/>
        <v>92.183000000000007</v>
      </c>
      <c r="U255" s="16"/>
      <c r="V255" s="16">
        <f t="shared" si="221"/>
        <v>31.797549244892032</v>
      </c>
      <c r="W255" s="16">
        <f t="shared" si="222"/>
        <v>64.069168524151493</v>
      </c>
      <c r="X255" s="16">
        <f t="shared" si="223"/>
        <v>98.599717769043536</v>
      </c>
      <c r="AD255" s="15">
        <v>4</v>
      </c>
      <c r="AE255" s="15">
        <v>3</v>
      </c>
      <c r="AG255" s="38">
        <f t="shared" si="171"/>
        <v>2.84397009107138E-3</v>
      </c>
      <c r="AH255" s="38">
        <f t="shared" si="172"/>
        <v>7.2956204634338967E-2</v>
      </c>
      <c r="AI255" s="38">
        <f t="shared" si="173"/>
        <v>1.6817963691332299E-2</v>
      </c>
      <c r="AJ255" s="38">
        <f t="shared" si="174"/>
        <v>1.6862858385903858E-3</v>
      </c>
      <c r="AK255" s="38">
        <f t="shared" si="175"/>
        <v>3.7985731505994145</v>
      </c>
      <c r="AL255" s="38">
        <f t="shared" si="176"/>
        <v>1.2172006431303587E-2</v>
      </c>
      <c r="AM255" s="38">
        <f t="shared" si="177"/>
        <v>5.2240938018159461E-3</v>
      </c>
      <c r="AN255" s="38">
        <f t="shared" si="178"/>
        <v>1.5234105124069947E-3</v>
      </c>
      <c r="AO255" s="38">
        <f t="shared" si="179"/>
        <v>6.3012298187090218E-3</v>
      </c>
      <c r="AP255" s="38">
        <f t="shared" si="180"/>
        <v>0</v>
      </c>
      <c r="AQ255" s="38">
        <f t="shared" si="181"/>
        <v>0</v>
      </c>
      <c r="AR255" s="38">
        <f t="shared" si="182"/>
        <v>0</v>
      </c>
      <c r="AS255" s="38">
        <f t="shared" si="183"/>
        <v>0</v>
      </c>
      <c r="AT255" s="39">
        <f t="shared" si="184"/>
        <v>3.9180983154189826</v>
      </c>
      <c r="AU255" s="38">
        <f t="shared" si="185"/>
        <v>1.966193378240368E-2</v>
      </c>
      <c r="AV255" s="38">
        <f t="shared" si="186"/>
        <v>7.8246403311160173E-3</v>
      </c>
      <c r="AW255" s="40"/>
      <c r="AX255" s="38">
        <f t="shared" si="187"/>
        <v>2.1775641105375824E-3</v>
      </c>
      <c r="AY255" s="38">
        <f t="shared" si="188"/>
        <v>5.5860929533518379E-2</v>
      </c>
      <c r="AZ255" s="38">
        <f t="shared" si="189"/>
        <v>1.2877137583670253E-2</v>
      </c>
      <c r="BA255" s="38">
        <f t="shared" si="190"/>
        <v>1.2911512444348109E-3</v>
      </c>
      <c r="BB255" s="38">
        <f t="shared" si="191"/>
        <v>1.0339028279368714</v>
      </c>
      <c r="BC255" s="38">
        <f t="shared" si="192"/>
        <v>1.874579434223933</v>
      </c>
      <c r="BD255" s="38">
        <f t="shared" si="193"/>
        <v>9.3198323151331905E-3</v>
      </c>
      <c r="BE255" s="38">
        <f t="shared" si="194"/>
        <v>3.9999714513983342E-3</v>
      </c>
      <c r="BF255" s="38">
        <f t="shared" si="195"/>
        <v>1.1664412603521572E-3</v>
      </c>
      <c r="BG255" s="38">
        <f t="shared" si="196"/>
        <v>4.8247103401502034E-3</v>
      </c>
      <c r="BH255" s="38">
        <f t="shared" si="197"/>
        <v>0</v>
      </c>
      <c r="BI255" s="38">
        <f t="shared" si="198"/>
        <v>0</v>
      </c>
      <c r="BJ255" s="38">
        <f t="shared" si="199"/>
        <v>0</v>
      </c>
      <c r="BK255" s="38">
        <f t="shared" si="200"/>
        <v>0</v>
      </c>
      <c r="BL255" s="41">
        <f t="shared" si="201"/>
        <v>3</v>
      </c>
      <c r="BM255" s="42">
        <f t="shared" si="225"/>
        <v>3.9999999999999996</v>
      </c>
      <c r="BN255" s="38">
        <f t="shared" si="202"/>
        <v>1.5054701694207836E-2</v>
      </c>
      <c r="BO255" s="38">
        <f t="shared" si="203"/>
        <v>5.9911516005023606E-3</v>
      </c>
      <c r="BQ255" s="38">
        <f t="shared" si="204"/>
        <v>9.3209054593874842E-4</v>
      </c>
      <c r="BR255" s="38">
        <f t="shared" si="205"/>
        <v>2.3910866299449173E-2</v>
      </c>
      <c r="BS255" s="38">
        <f t="shared" si="206"/>
        <v>5.5119654766575136E-3</v>
      </c>
      <c r="BT255" s="38">
        <f t="shared" si="207"/>
        <v>5.526679386801763E-4</v>
      </c>
      <c r="BU255" s="38">
        <f t="shared" si="208"/>
        <v>1.244954766875435</v>
      </c>
      <c r="BV255" s="38">
        <f t="shared" si="209"/>
        <v>3.9892867211728219E-3</v>
      </c>
      <c r="BW255" s="38">
        <f t="shared" si="210"/>
        <v>1.7121588089330027E-3</v>
      </c>
      <c r="BX255" s="38">
        <f t="shared" si="211"/>
        <v>4.9928673323823114E-4</v>
      </c>
      <c r="BY255" s="38">
        <f t="shared" si="212"/>
        <v>2.0651823168764119E-3</v>
      </c>
      <c r="BZ255" s="38">
        <f t="shared" si="213"/>
        <v>0</v>
      </c>
      <c r="CA255" s="38">
        <f t="shared" si="214"/>
        <v>0</v>
      </c>
      <c r="CB255" s="38">
        <f t="shared" si="215"/>
        <v>0</v>
      </c>
      <c r="CC255" s="38">
        <f t="shared" si="216"/>
        <v>0</v>
      </c>
      <c r="CD255" s="38">
        <f t="shared" si="217"/>
        <v>1.2841282717163813</v>
      </c>
      <c r="CE255" s="38">
        <f t="shared" si="218"/>
        <v>1.3109709541109997</v>
      </c>
      <c r="CF255" s="38">
        <f t="shared" si="219"/>
        <v>2.3362152100196063</v>
      </c>
      <c r="CG255" s="38">
        <f t="shared" si="220"/>
        <v>3.062710282888033</v>
      </c>
    </row>
    <row r="256" spans="1:85" ht="15" customHeight="1" x14ac:dyDescent="0.25">
      <c r="A256" s="35" t="s">
        <v>91</v>
      </c>
      <c r="B256" s="15">
        <v>1466</v>
      </c>
      <c r="C256" s="102" t="s">
        <v>96</v>
      </c>
      <c r="D256" s="103" t="s">
        <v>104</v>
      </c>
      <c r="E256" s="15">
        <v>473</v>
      </c>
      <c r="F256" s="15" t="s">
        <v>279</v>
      </c>
      <c r="G256" s="16">
        <v>0.186</v>
      </c>
      <c r="H256" s="16">
        <v>39.78</v>
      </c>
      <c r="I256" s="16">
        <v>0.11700000000000001</v>
      </c>
      <c r="J256" s="16">
        <v>2.7E-2</v>
      </c>
      <c r="K256" s="16">
        <v>48.01</v>
      </c>
      <c r="L256" s="16">
        <v>5.96</v>
      </c>
      <c r="M256" s="16">
        <v>0.218</v>
      </c>
      <c r="N256" s="16">
        <v>7.5999999999999998E-2</v>
      </c>
      <c r="O256" s="16">
        <v>6.0999999999999999E-2</v>
      </c>
      <c r="P256" s="16">
        <v>2.4E-2</v>
      </c>
      <c r="Q256" s="16">
        <v>0</v>
      </c>
      <c r="T256" s="16">
        <f t="shared" si="170"/>
        <v>94.459000000000003</v>
      </c>
      <c r="U256" s="16"/>
      <c r="V256" s="16">
        <f t="shared" si="221"/>
        <v>29.124951405145648</v>
      </c>
      <c r="W256" s="16">
        <f t="shared" si="222"/>
        <v>20.986954503461636</v>
      </c>
      <c r="X256" s="16">
        <f t="shared" si="223"/>
        <v>96.560905908607282</v>
      </c>
      <c r="AD256" s="15">
        <v>3</v>
      </c>
      <c r="AE256" s="15">
        <v>2</v>
      </c>
      <c r="AG256" s="38">
        <f t="shared" si="171"/>
        <v>5.2580032752386112E-3</v>
      </c>
      <c r="AH256" s="38">
        <f t="shared" si="172"/>
        <v>0.8457939117656752</v>
      </c>
      <c r="AI256" s="38">
        <f t="shared" si="173"/>
        <v>3.8978386952116246E-3</v>
      </c>
      <c r="AJ256" s="38">
        <f t="shared" si="174"/>
        <v>6.0341565998336499E-4</v>
      </c>
      <c r="AK256" s="38">
        <f t="shared" si="175"/>
        <v>1.134861245697943</v>
      </c>
      <c r="AL256" s="38">
        <f t="shared" si="176"/>
        <v>0.142689792918062</v>
      </c>
      <c r="AM256" s="38">
        <f t="shared" si="177"/>
        <v>9.1873292266657584E-3</v>
      </c>
      <c r="AN256" s="38">
        <f t="shared" si="178"/>
        <v>2.3016719198189909E-3</v>
      </c>
      <c r="AO256" s="38">
        <f t="shared" si="179"/>
        <v>3.3430747766980819E-3</v>
      </c>
      <c r="AP256" s="38">
        <f t="shared" si="180"/>
        <v>8.6542246908111967E-4</v>
      </c>
      <c r="AQ256" s="38">
        <f t="shared" si="181"/>
        <v>0</v>
      </c>
      <c r="AR256" s="38">
        <f t="shared" si="182"/>
        <v>0</v>
      </c>
      <c r="AS256" s="38">
        <f t="shared" si="183"/>
        <v>0</v>
      </c>
      <c r="AT256" s="39">
        <f t="shared" si="184"/>
        <v>2.1488017064043783</v>
      </c>
      <c r="AU256" s="38">
        <f t="shared" si="185"/>
        <v>9.1558419704502354E-3</v>
      </c>
      <c r="AV256" s="38">
        <f t="shared" si="186"/>
        <v>6.510169165598192E-3</v>
      </c>
      <c r="AW256" s="40"/>
      <c r="AX256" s="38">
        <f t="shared" si="187"/>
        <v>4.8938934286653253E-3</v>
      </c>
      <c r="AY256" s="38">
        <f t="shared" si="188"/>
        <v>0.78722379011970789</v>
      </c>
      <c r="AZ256" s="38">
        <f t="shared" si="189"/>
        <v>3.6279184659937158E-3</v>
      </c>
      <c r="BA256" s="38">
        <f t="shared" si="190"/>
        <v>5.6162991511494054E-4</v>
      </c>
      <c r="BB256" s="38">
        <f t="shared" si="191"/>
        <v>0.64078144058886877</v>
      </c>
      <c r="BC256" s="38">
        <f t="shared" si="192"/>
        <v>0.41549214884058427</v>
      </c>
      <c r="BD256" s="38">
        <f t="shared" si="193"/>
        <v>0.13280871147187143</v>
      </c>
      <c r="BE256" s="38">
        <f t="shared" si="194"/>
        <v>8.5511186995835507E-3</v>
      </c>
      <c r="BF256" s="38">
        <f t="shared" si="195"/>
        <v>2.1422841511703869E-3</v>
      </c>
      <c r="BG256" s="38">
        <f t="shared" si="196"/>
        <v>3.1115712229139083E-3</v>
      </c>
      <c r="BH256" s="38">
        <f t="shared" si="197"/>
        <v>8.0549309552554668E-4</v>
      </c>
      <c r="BI256" s="38">
        <f t="shared" si="198"/>
        <v>0</v>
      </c>
      <c r="BJ256" s="38">
        <f t="shared" si="199"/>
        <v>0</v>
      </c>
      <c r="BK256" s="38">
        <f t="shared" si="200"/>
        <v>0</v>
      </c>
      <c r="BL256" s="41">
        <f t="shared" si="201"/>
        <v>1.9999999999999998</v>
      </c>
      <c r="BM256" s="42">
        <f t="shared" si="225"/>
        <v>2.9999999999999996</v>
      </c>
      <c r="BN256" s="38">
        <f t="shared" si="202"/>
        <v>8.521811894659042E-3</v>
      </c>
      <c r="BO256" s="38">
        <f t="shared" si="203"/>
        <v>6.0593484696098415E-3</v>
      </c>
      <c r="BQ256" s="38">
        <f t="shared" si="204"/>
        <v>3.0958721704394143E-3</v>
      </c>
      <c r="BR256" s="38">
        <f t="shared" si="205"/>
        <v>0.49799699549323989</v>
      </c>
      <c r="BS256" s="38">
        <f t="shared" si="206"/>
        <v>2.295017653981954E-3</v>
      </c>
      <c r="BT256" s="38">
        <f t="shared" si="207"/>
        <v>3.5528653200868473E-4</v>
      </c>
      <c r="BU256" s="38">
        <f t="shared" si="208"/>
        <v>0.66819763395963816</v>
      </c>
      <c r="BV256" s="38">
        <f t="shared" si="209"/>
        <v>8.4014660276289829E-2</v>
      </c>
      <c r="BW256" s="38">
        <f t="shared" si="210"/>
        <v>5.4094292803970228E-3</v>
      </c>
      <c r="BX256" s="38">
        <f t="shared" si="211"/>
        <v>1.3552068473609131E-3</v>
      </c>
      <c r="BY256" s="38">
        <f t="shared" si="212"/>
        <v>1.96837689577283E-3</v>
      </c>
      <c r="BZ256" s="38">
        <f t="shared" si="213"/>
        <v>5.0955414012738849E-4</v>
      </c>
      <c r="CA256" s="38">
        <f t="shared" si="214"/>
        <v>0</v>
      </c>
      <c r="CB256" s="38">
        <f t="shared" si="215"/>
        <v>0</v>
      </c>
      <c r="CC256" s="38">
        <f t="shared" si="216"/>
        <v>0</v>
      </c>
      <c r="CD256" s="38">
        <f t="shared" si="217"/>
        <v>1.2651980332492563</v>
      </c>
      <c r="CE256" s="38">
        <f t="shared" si="218"/>
        <v>1.7663770874879809</v>
      </c>
      <c r="CF256" s="38">
        <f t="shared" si="219"/>
        <v>1.5807801999688855</v>
      </c>
      <c r="CG256" s="38">
        <f t="shared" si="220"/>
        <v>2.7922539255797081</v>
      </c>
    </row>
    <row r="257" spans="1:129" ht="15" customHeight="1" x14ac:dyDescent="0.25">
      <c r="A257" s="35" t="s">
        <v>91</v>
      </c>
      <c r="B257" s="15">
        <v>1467</v>
      </c>
      <c r="C257" s="102" t="s">
        <v>96</v>
      </c>
      <c r="D257" s="103" t="s">
        <v>104</v>
      </c>
      <c r="E257" s="15">
        <v>474</v>
      </c>
      <c r="F257" s="15" t="s">
        <v>272</v>
      </c>
      <c r="G257" s="16">
        <v>7.2999999999999995E-2</v>
      </c>
      <c r="H257" s="16">
        <v>2.1800000000000002</v>
      </c>
      <c r="I257" s="16">
        <v>0.219</v>
      </c>
      <c r="J257" s="16">
        <v>4.1000000000000002E-2</v>
      </c>
      <c r="K257" s="16">
        <v>89.48</v>
      </c>
      <c r="L257" s="16">
        <v>0.315</v>
      </c>
      <c r="M257" s="16">
        <v>5.6000000000000001E-2</v>
      </c>
      <c r="N257" s="16">
        <v>1.9E-2</v>
      </c>
      <c r="O257" s="16">
        <v>2.9000000000000001E-2</v>
      </c>
      <c r="P257" s="16">
        <v>0</v>
      </c>
      <c r="Q257" s="16">
        <v>0</v>
      </c>
      <c r="T257" s="16">
        <f t="shared" si="170"/>
        <v>92.412000000000006</v>
      </c>
      <c r="U257" s="16"/>
      <c r="V257" s="16">
        <f t="shared" si="221"/>
        <v>32.265801984400376</v>
      </c>
      <c r="W257" s="16">
        <f t="shared" si="222"/>
        <v>63.582138254735867</v>
      </c>
      <c r="X257" s="16">
        <f t="shared" si="223"/>
        <v>98.779940239136252</v>
      </c>
      <c r="AD257" s="15">
        <v>4</v>
      </c>
      <c r="AE257" s="15">
        <v>3</v>
      </c>
      <c r="AG257" s="38">
        <f t="shared" si="171"/>
        <v>3.6923823274352813E-3</v>
      </c>
      <c r="AH257" s="38">
        <f t="shared" si="172"/>
        <v>8.2933914554441171E-2</v>
      </c>
      <c r="AI257" s="38">
        <f t="shared" si="173"/>
        <v>1.3054432928539332E-2</v>
      </c>
      <c r="AJ257" s="38">
        <f t="shared" si="174"/>
        <v>1.6395043184212334E-3</v>
      </c>
      <c r="AK257" s="38">
        <f t="shared" si="175"/>
        <v>3.7845385247399457</v>
      </c>
      <c r="AL257" s="38">
        <f t="shared" si="176"/>
        <v>1.3493763594003456E-2</v>
      </c>
      <c r="AM257" s="38">
        <f t="shared" si="177"/>
        <v>4.2227630079232662E-3</v>
      </c>
      <c r="AN257" s="38">
        <f t="shared" si="178"/>
        <v>1.0295781648559598E-3</v>
      </c>
      <c r="AO257" s="38">
        <f t="shared" si="179"/>
        <v>2.8437417181578855E-3</v>
      </c>
      <c r="AP257" s="38">
        <f t="shared" si="180"/>
        <v>0</v>
      </c>
      <c r="AQ257" s="38">
        <f t="shared" si="181"/>
        <v>0</v>
      </c>
      <c r="AR257" s="38">
        <f t="shared" si="182"/>
        <v>0</v>
      </c>
      <c r="AS257" s="38">
        <f t="shared" si="183"/>
        <v>0</v>
      </c>
      <c r="AT257" s="39">
        <f t="shared" si="184"/>
        <v>3.9074486053537236</v>
      </c>
      <c r="AU257" s="38">
        <f t="shared" si="185"/>
        <v>1.6746815255974615E-2</v>
      </c>
      <c r="AV257" s="38">
        <f t="shared" si="186"/>
        <v>3.8733198830138453E-3</v>
      </c>
      <c r="AW257" s="40"/>
      <c r="AX257" s="38">
        <f t="shared" si="187"/>
        <v>2.8348797645421828E-3</v>
      </c>
      <c r="AY257" s="38">
        <f t="shared" si="188"/>
        <v>6.3673708547933833E-2</v>
      </c>
      <c r="AZ257" s="38">
        <f t="shared" si="189"/>
        <v>1.0022729085152671E-2</v>
      </c>
      <c r="BA257" s="38">
        <f t="shared" si="190"/>
        <v>1.2587530770141633E-3</v>
      </c>
      <c r="BB257" s="38">
        <f t="shared" si="191"/>
        <v>1.0477493487132978</v>
      </c>
      <c r="BC257" s="38">
        <f t="shared" si="192"/>
        <v>1.8578846649148986</v>
      </c>
      <c r="BD257" s="38">
        <f t="shared" si="193"/>
        <v>1.0360031537342712E-2</v>
      </c>
      <c r="BE257" s="38">
        <f t="shared" si="194"/>
        <v>3.2420871784244487E-3</v>
      </c>
      <c r="BF257" s="38">
        <f t="shared" si="195"/>
        <v>7.9047347937882101E-4</v>
      </c>
      <c r="BG257" s="38">
        <f t="shared" si="196"/>
        <v>2.1833237020148508E-3</v>
      </c>
      <c r="BH257" s="38">
        <f t="shared" si="197"/>
        <v>0</v>
      </c>
      <c r="BI257" s="38">
        <f t="shared" si="198"/>
        <v>0</v>
      </c>
      <c r="BJ257" s="38">
        <f t="shared" si="199"/>
        <v>0</v>
      </c>
      <c r="BK257" s="38">
        <f t="shared" si="200"/>
        <v>0</v>
      </c>
      <c r="BL257" s="41">
        <f t="shared" si="201"/>
        <v>3.0000000000000004</v>
      </c>
      <c r="BM257" s="42">
        <f t="shared" si="225"/>
        <v>4.0000000000000018</v>
      </c>
      <c r="BN257" s="38">
        <f t="shared" si="202"/>
        <v>1.2857608849694854E-2</v>
      </c>
      <c r="BO257" s="38">
        <f t="shared" si="203"/>
        <v>2.973797181393672E-3</v>
      </c>
      <c r="BQ257" s="38">
        <f t="shared" si="204"/>
        <v>1.2150466045272969E-3</v>
      </c>
      <c r="BR257" s="38">
        <f t="shared" si="205"/>
        <v>2.7290936404606912E-2</v>
      </c>
      <c r="BS257" s="38">
        <f t="shared" si="206"/>
        <v>4.2958022754021191E-3</v>
      </c>
      <c r="BT257" s="38">
        <f t="shared" si="207"/>
        <v>5.3950917823541024E-4</v>
      </c>
      <c r="BU257" s="38">
        <f t="shared" si="208"/>
        <v>1.2453723034098818</v>
      </c>
      <c r="BV257" s="38">
        <f t="shared" si="209"/>
        <v>4.4403721454750493E-3</v>
      </c>
      <c r="BW257" s="38">
        <f t="shared" si="210"/>
        <v>1.3895781637717124E-3</v>
      </c>
      <c r="BX257" s="38">
        <f t="shared" si="211"/>
        <v>3.3880171184022827E-4</v>
      </c>
      <c r="BY257" s="38">
        <f t="shared" si="212"/>
        <v>9.357857373346242E-4</v>
      </c>
      <c r="BZ257" s="38">
        <f t="shared" si="213"/>
        <v>0</v>
      </c>
      <c r="CA257" s="38">
        <f t="shared" si="214"/>
        <v>0</v>
      </c>
      <c r="CB257" s="38">
        <f t="shared" si="215"/>
        <v>0</v>
      </c>
      <c r="CC257" s="38">
        <f t="shared" si="216"/>
        <v>0</v>
      </c>
      <c r="CD257" s="38">
        <f t="shared" si="217"/>
        <v>1.2858181356310752</v>
      </c>
      <c r="CE257" s="38">
        <f t="shared" si="218"/>
        <v>1.3162738814983606</v>
      </c>
      <c r="CF257" s="38">
        <f t="shared" si="219"/>
        <v>2.3331448801875938</v>
      </c>
      <c r="CG257" s="38">
        <f t="shared" si="220"/>
        <v>3.0710576675425516</v>
      </c>
    </row>
    <row r="258" spans="1:129" ht="15" customHeight="1" x14ac:dyDescent="0.25">
      <c r="A258" s="35" t="s">
        <v>91</v>
      </c>
      <c r="B258" s="15">
        <v>1468</v>
      </c>
      <c r="C258" s="102" t="s">
        <v>96</v>
      </c>
      <c r="D258" s="103" t="s">
        <v>104</v>
      </c>
      <c r="E258" s="15">
        <v>475</v>
      </c>
      <c r="F258" s="15" t="s">
        <v>279</v>
      </c>
      <c r="G258" s="16">
        <v>0.03</v>
      </c>
      <c r="H258" s="16">
        <v>42.08</v>
      </c>
      <c r="I258" s="16">
        <v>3.4000000000000002E-2</v>
      </c>
      <c r="J258" s="16">
        <v>3.4000000000000002E-2</v>
      </c>
      <c r="K258" s="16">
        <v>48.07</v>
      </c>
      <c r="L258" s="16">
        <v>3.65</v>
      </c>
      <c r="M258" s="16">
        <v>0.20799999999999999</v>
      </c>
      <c r="N258" s="16">
        <v>7.9000000000000001E-2</v>
      </c>
      <c r="O258" s="16">
        <v>1.9E-2</v>
      </c>
      <c r="P258" s="16">
        <v>3.4000000000000002E-2</v>
      </c>
      <c r="Q258" s="16">
        <v>0</v>
      </c>
      <c r="T258" s="16">
        <f t="shared" ref="T258:T321" si="226">SUM(G258:S258)</f>
        <v>94.238</v>
      </c>
      <c r="U258" s="16"/>
      <c r="V258" s="16">
        <f t="shared" si="221"/>
        <v>33.525041682853768</v>
      </c>
      <c r="W258" s="16">
        <f t="shared" si="222"/>
        <v>16.163812177844608</v>
      </c>
      <c r="X258" s="16">
        <f t="shared" si="223"/>
        <v>95.856853860698379</v>
      </c>
      <c r="AD258" s="15">
        <v>3</v>
      </c>
      <c r="AE258" s="15">
        <v>2</v>
      </c>
      <c r="AG258" s="38">
        <f t="shared" ref="AG258:AG281" si="227">BQ258*($AD258/$CE258)</f>
        <v>8.3970046784906296E-4</v>
      </c>
      <c r="AH258" s="38">
        <f t="shared" ref="AH258:AH281" si="228">BR258*($AD258/$CE258)</f>
        <v>0.88587151931241914</v>
      </c>
      <c r="AI258" s="38">
        <f t="shared" ref="AI258:AI281" si="229">BS258*($AD258/$CE258)</f>
        <v>1.121533241587968E-3</v>
      </c>
      <c r="AJ258" s="38">
        <f t="shared" ref="AJ258:AJ281" si="230">BT258*($AD258/$CE258)</f>
        <v>7.5236219035666285E-4</v>
      </c>
      <c r="AK258" s="38">
        <f t="shared" ref="AK258:AK281" si="231">BU258*($AD258/$CE258)</f>
        <v>1.1250722530686281</v>
      </c>
      <c r="AL258" s="38">
        <f t="shared" ref="AL258:AL281" si="232">BV258*($AD258/$CE258)</f>
        <v>8.652363264521977E-2</v>
      </c>
      <c r="AM258" s="38">
        <f t="shared" ref="AM258:AM281" si="233">BW258*($AD258/$CE258)</f>
        <v>8.6794329648811532E-3</v>
      </c>
      <c r="AN258" s="38">
        <f t="shared" ref="AN258:AN281" si="234">BX258*($AD258/$CE258)</f>
        <v>2.3689295795062799E-3</v>
      </c>
      <c r="AO258" s="38">
        <f t="shared" ref="AO258:AO281" si="235">BY258*($AD258/$CE258)</f>
        <v>1.0310152501441996E-3</v>
      </c>
      <c r="AP258" s="38">
        <f t="shared" ref="AP258:AP281" si="236">BZ258*($AD258/$CE258)</f>
        <v>1.2139228164788662E-3</v>
      </c>
      <c r="AQ258" s="38">
        <f t="shared" ref="AQ258:AQ281" si="237">CA258*($AD258/$CE258)</f>
        <v>0</v>
      </c>
      <c r="AR258" s="38">
        <f t="shared" ref="AR258:AR281" si="238">CB258*($AD258/$CE258)</f>
        <v>0</v>
      </c>
      <c r="AS258" s="38">
        <f t="shared" ref="AS258:AS281" si="239">CC258*($AD258/$CE258)</f>
        <v>0</v>
      </c>
      <c r="AT258" s="39">
        <f t="shared" ref="AT258:AT281" si="240">SUM(AG258:AR258)</f>
        <v>2.1134743015370709</v>
      </c>
      <c r="AU258" s="38">
        <f t="shared" ref="AU258:AU281" si="241">AG258+AI258</f>
        <v>1.961233709437031E-3</v>
      </c>
      <c r="AV258" s="38">
        <f t="shared" ref="AV258:AV281" si="242">SUM(AN258:AP258)</f>
        <v>4.613867646129346E-3</v>
      </c>
      <c r="AW258" s="40"/>
      <c r="AX258" s="38">
        <f t="shared" ref="AX258:AX281" si="243">IF($AE258&gt;0,BQ258*$CF258,"")</f>
        <v>7.9461620823908033E-4</v>
      </c>
      <c r="AY258" s="38">
        <f t="shared" ref="AY258:AY281" si="244">IF($AE258&gt;0,BR258*$CF258,"")</f>
        <v>0.83830829517837002</v>
      </c>
      <c r="AZ258" s="38">
        <f t="shared" ref="AZ258:AZ281" si="245">IF($AE258&gt;0,BS258*$CF258,"")</f>
        <v>1.0613171314856377E-3</v>
      </c>
      <c r="BA258" s="38">
        <f t="shared" ref="BA258:BA281" si="246">IF($AE258&gt;0,BT258*$CF258,"")</f>
        <v>7.1196719998865452E-4</v>
      </c>
      <c r="BB258" s="38">
        <f t="shared" ref="BB258:BB321" si="247">IF($AE258&gt;0 +N("so a blank cell if no ideal cations set"),                         BU258*CF258-BC258,"")</f>
        <v>0.74252083206004627</v>
      </c>
      <c r="BC258" s="38">
        <f t="shared" ref="BC258:BC281" si="248">IF($AE258&gt;0 +N("so a blank cell if no ideal cations set"),                                                                     IF(AT258&gt;AE258,                          IF(  2*AD258*(1-(AE258/AT258))   &lt;   BU258*CF258,    2*AD258*(1-(AE258/AT258)),    BU258*CF258),0),"")</f>
        <v>0.32214529825475768</v>
      </c>
      <c r="BD258" s="38">
        <f t="shared" ref="BD258:BD281" si="249">IF($AE258&gt;0,BV258*$CF258,"")</f>
        <v>8.1878102404456532E-2</v>
      </c>
      <c r="BE258" s="38">
        <f t="shared" ref="BE258:BE281" si="250">IF($AE258&gt;0,BW258*$CF258,"")</f>
        <v>8.2134265446888507E-3</v>
      </c>
      <c r="BF258" s="38">
        <f t="shared" ref="BF258:BF281" si="251">IF($AE258&gt;0,BX258*$CF258,"")</f>
        <v>2.2417396585171852E-3</v>
      </c>
      <c r="BG258" s="38">
        <f t="shared" ref="BG258:BG281" si="252">IF($AE258&gt;0,BY258*$CF258,"")</f>
        <v>9.7565913093371507E-4</v>
      </c>
      <c r="BH258" s="38">
        <f t="shared" ref="BH258:BH281" si="253">IF($AE258&gt;0,BZ258*$CF258,"")</f>
        <v>1.1487462285167263E-3</v>
      </c>
      <c r="BI258" s="38">
        <f t="shared" ref="BI258:BI281" si="254">IF($AE258&gt;0,CA258*$CF258,"")</f>
        <v>0</v>
      </c>
      <c r="BJ258" s="38">
        <f t="shared" ref="BJ258:BJ281" si="255">IF($AE258&gt;0,CB258*$CF258,"")</f>
        <v>0</v>
      </c>
      <c r="BK258" s="38">
        <f t="shared" ref="BK258:BK281" si="256">IF($AE258&gt;0,CC258*$CF258,"")</f>
        <v>0</v>
      </c>
      <c r="BL258" s="41">
        <f t="shared" ref="BL258:BL281" si="257">IF(AE258&gt;0,SUM(AX258:BJ258),"")</f>
        <v>2.0000000000000009</v>
      </c>
      <c r="BM258" s="42">
        <f t="shared" si="225"/>
        <v>3</v>
      </c>
      <c r="BN258" s="38">
        <f t="shared" ref="BN258:BN281" si="258">IF(AE258&gt;0,AX258+AZ258,"")</f>
        <v>1.8559333397247181E-3</v>
      </c>
      <c r="BO258" s="38">
        <f t="shared" ref="BO258:BO281" si="259">IF(AE258&gt;0,SUM(BF258:BH258),"")</f>
        <v>4.3661450179676266E-3</v>
      </c>
      <c r="BQ258" s="38">
        <f t="shared" ref="BQ258:BQ281" si="260">G258/60.08</f>
        <v>4.9933422103861519E-4</v>
      </c>
      <c r="BR258" s="38">
        <f t="shared" ref="BR258:BR281" si="261">H258/79.88</f>
        <v>0.52679018527791688</v>
      </c>
      <c r="BS258" s="38">
        <f t="shared" ref="BS258:BS281" si="262">I258/101.96*2</f>
        <v>6.6692820714005501E-4</v>
      </c>
      <c r="BT258" s="38">
        <f t="shared" ref="BT258:BT281" si="263">J258/151.99*2</f>
        <v>4.4739785512204748E-4</v>
      </c>
      <c r="BU258" s="38">
        <f t="shared" ref="BU258:BU281" si="264">K258/71.85</f>
        <v>0.66903270702853168</v>
      </c>
      <c r="BV258" s="38">
        <f t="shared" ref="BV258:BV281" si="265">L258/70.94</f>
        <v>5.1451931209472793E-2</v>
      </c>
      <c r="BW258" s="38">
        <f t="shared" ref="BW258:BW281" si="266">M258/40.3</f>
        <v>5.1612903225806452E-3</v>
      </c>
      <c r="BX258" s="38">
        <f t="shared" ref="BX258:BX281" si="267">N258/56.08</f>
        <v>1.4087018544935808E-3</v>
      </c>
      <c r="BY258" s="38">
        <f t="shared" ref="BY258:BY281" si="268">O258/61.98*2</f>
        <v>6.1310100032268471E-4</v>
      </c>
      <c r="BZ258" s="38">
        <f t="shared" ref="BZ258:BZ281" si="269">P258/94.2*2</f>
        <v>7.218683651804671E-4</v>
      </c>
      <c r="CA258" s="38">
        <f t="shared" ref="CA258:CA281" si="270">Q258/141.94*2</f>
        <v>0</v>
      </c>
      <c r="CB258" s="38">
        <f t="shared" ref="CB258:CB281" si="271">R258/80.06</f>
        <v>0</v>
      </c>
      <c r="CC258" s="38">
        <f t="shared" ref="CC258:CC281" si="272">S258/35.45</f>
        <v>0</v>
      </c>
      <c r="CD258" s="38">
        <f t="shared" ref="CD258:CD281" si="273">SUM(BQ258:CB258)</f>
        <v>1.2567934453417993</v>
      </c>
      <c r="CE258" s="38">
        <f t="shared" ref="CE258:CE281" si="274">(BQ258+BR258)*2+(BS258+BT258)*1.5+BU258+BV258+BW258+BX258+(BY258+BZ258)*0.5+CA258*2.5+CB258*3+     -(0.5*(CC258))</f>
        <v>1.7839726431891343</v>
      </c>
      <c r="CF258" s="38">
        <f t="shared" ref="CF258:CF281" si="275">AE258/CD258</f>
        <v>1.5913513930334648</v>
      </c>
      <c r="CG258" s="38">
        <f t="shared" ref="CG258:CG321" si="276">CE258*CF258</f>
        <v>2.8389273508726212</v>
      </c>
    </row>
    <row r="259" spans="1:129" ht="15" customHeight="1" x14ac:dyDescent="0.25">
      <c r="A259" s="35" t="s">
        <v>91</v>
      </c>
      <c r="B259" s="15">
        <v>1475</v>
      </c>
      <c r="C259" s="102" t="s">
        <v>96</v>
      </c>
      <c r="D259" s="103" t="s">
        <v>104</v>
      </c>
      <c r="E259" s="15">
        <v>482</v>
      </c>
      <c r="F259" s="15" t="s">
        <v>270</v>
      </c>
      <c r="G259" s="16">
        <v>54.95</v>
      </c>
      <c r="H259" s="16">
        <v>0.316</v>
      </c>
      <c r="I259" s="16">
        <v>2.2200000000000002</v>
      </c>
      <c r="J259" s="16">
        <v>2.3E-2</v>
      </c>
      <c r="K259" s="16">
        <v>10.61</v>
      </c>
      <c r="L259" s="16">
        <v>0.70199999999999996</v>
      </c>
      <c r="M259" s="16">
        <v>17.489999999999998</v>
      </c>
      <c r="N259" s="16">
        <v>11.5</v>
      </c>
      <c r="O259" s="16">
        <v>0.34499999999999997</v>
      </c>
      <c r="P259" s="16">
        <v>0.13600000000000001</v>
      </c>
      <c r="Q259" s="16">
        <v>0</v>
      </c>
      <c r="R259" s="16">
        <v>0</v>
      </c>
      <c r="S259" s="16">
        <v>7.8E-2</v>
      </c>
      <c r="T259" s="16">
        <f t="shared" si="226"/>
        <v>98.36999999999999</v>
      </c>
      <c r="U259" s="16"/>
      <c r="V259" s="16">
        <f t="shared" si="221"/>
        <v>10.61</v>
      </c>
      <c r="W259" s="16">
        <f t="shared" si="222"/>
        <v>0</v>
      </c>
      <c r="X259" s="16">
        <f t="shared" si="223"/>
        <v>98.37</v>
      </c>
      <c r="AD259" s="15">
        <v>6</v>
      </c>
      <c r="AE259" s="15">
        <v>4</v>
      </c>
      <c r="AG259" s="38">
        <f t="shared" si="227"/>
        <v>2.0283832524030863</v>
      </c>
      <c r="AH259" s="38">
        <f t="shared" si="228"/>
        <v>8.7732654473482892E-3</v>
      </c>
      <c r="AI259" s="38">
        <f t="shared" si="229"/>
        <v>9.6575148949816683E-2</v>
      </c>
      <c r="AJ259" s="38">
        <f t="shared" si="230"/>
        <v>6.7120480988032058E-4</v>
      </c>
      <c r="AK259" s="38">
        <f t="shared" si="231"/>
        <v>0.3274921201052502</v>
      </c>
      <c r="AL259" s="38">
        <f t="shared" si="232"/>
        <v>2.1946141312224773E-2</v>
      </c>
      <c r="AM259" s="38">
        <f t="shared" si="233"/>
        <v>0.96249173009460931</v>
      </c>
      <c r="AN259" s="38">
        <f t="shared" si="234"/>
        <v>0.45478075541061852</v>
      </c>
      <c r="AO259" s="38">
        <f t="shared" si="235"/>
        <v>2.4689356014934639E-2</v>
      </c>
      <c r="AP259" s="38">
        <f t="shared" si="236"/>
        <v>6.4036891864232221E-3</v>
      </c>
      <c r="AQ259" s="38">
        <f t="shared" si="237"/>
        <v>0</v>
      </c>
      <c r="AR259" s="38">
        <f t="shared" si="238"/>
        <v>0</v>
      </c>
      <c r="AS259" s="38">
        <f t="shared" si="239"/>
        <v>4.8796717275951277E-3</v>
      </c>
      <c r="AT259" s="39">
        <f t="shared" si="240"/>
        <v>3.9322066637341919</v>
      </c>
      <c r="AU259" s="38">
        <f t="shared" si="241"/>
        <v>2.1249584013529028</v>
      </c>
      <c r="AV259" s="38">
        <f t="shared" si="242"/>
        <v>0.48587380061197638</v>
      </c>
      <c r="AW259" s="40"/>
      <c r="AX259" s="38">
        <f t="shared" si="243"/>
        <v>2.0633536595219</v>
      </c>
      <c r="AY259" s="38">
        <f t="shared" si="244"/>
        <v>8.9245212142708905E-3</v>
      </c>
      <c r="AZ259" s="38">
        <f t="shared" si="245"/>
        <v>9.8240155931280354E-2</v>
      </c>
      <c r="BA259" s="38">
        <f t="shared" si="246"/>
        <v>6.8277673813096668E-4</v>
      </c>
      <c r="BB259" s="38">
        <f t="shared" si="247"/>
        <v>0.33313825860235907</v>
      </c>
      <c r="BC259" s="38">
        <f t="shared" si="248"/>
        <v>0</v>
      </c>
      <c r="BD259" s="38">
        <f t="shared" si="249"/>
        <v>2.2324504471882237E-2</v>
      </c>
      <c r="BE259" s="38">
        <f t="shared" si="250"/>
        <v>0.97908559992173549</v>
      </c>
      <c r="BF259" s="38">
        <f t="shared" si="251"/>
        <v>0.46262141774485394</v>
      </c>
      <c r="BG259" s="38">
        <f t="shared" si="252"/>
        <v>2.5115013656467965E-2</v>
      </c>
      <c r="BH259" s="38">
        <f t="shared" si="253"/>
        <v>6.5140921971196747E-3</v>
      </c>
      <c r="BI259" s="38">
        <f t="shared" si="254"/>
        <v>0</v>
      </c>
      <c r="BJ259" s="38">
        <f t="shared" si="255"/>
        <v>0</v>
      </c>
      <c r="BK259" s="38">
        <f t="shared" si="256"/>
        <v>4.9637998659624698E-3</v>
      </c>
      <c r="BL259" s="41">
        <f t="shared" si="257"/>
        <v>4</v>
      </c>
      <c r="BM259" s="42">
        <f t="shared" si="225"/>
        <v>6.1034431942111027</v>
      </c>
      <c r="BN259" s="38">
        <f t="shared" si="258"/>
        <v>2.1615938154531804</v>
      </c>
      <c r="BO259" s="38">
        <f t="shared" si="259"/>
        <v>0.49425052359844157</v>
      </c>
      <c r="BQ259" s="38">
        <f t="shared" si="260"/>
        <v>0.91461384820239688</v>
      </c>
      <c r="BR259" s="38">
        <f t="shared" si="261"/>
        <v>3.9559339008512773E-3</v>
      </c>
      <c r="BS259" s="38">
        <f t="shared" si="262"/>
        <v>4.3546488819144767E-2</v>
      </c>
      <c r="BT259" s="38">
        <f t="shared" si="263"/>
        <v>3.0265149022962033E-4</v>
      </c>
      <c r="BU259" s="38">
        <f t="shared" si="264"/>
        <v>0.1476687543493389</v>
      </c>
      <c r="BV259" s="38">
        <f t="shared" si="265"/>
        <v>9.8956864956301089E-3</v>
      </c>
      <c r="BW259" s="38">
        <f t="shared" si="266"/>
        <v>0.43399503722084365</v>
      </c>
      <c r="BX259" s="38">
        <f t="shared" si="267"/>
        <v>0.20506419400855921</v>
      </c>
      <c r="BY259" s="38">
        <f t="shared" si="268"/>
        <v>1.1132623426911906E-2</v>
      </c>
      <c r="BZ259" s="38">
        <f t="shared" si="269"/>
        <v>2.8874734607218684E-3</v>
      </c>
      <c r="CA259" s="38">
        <f t="shared" si="270"/>
        <v>0</v>
      </c>
      <c r="CB259" s="38">
        <f t="shared" si="271"/>
        <v>0</v>
      </c>
      <c r="CC259" s="38">
        <f t="shared" si="272"/>
        <v>2.2002820874471086E-3</v>
      </c>
      <c r="CD259" s="38">
        <f t="shared" si="273"/>
        <v>1.7730626913746281</v>
      </c>
      <c r="CE259" s="38">
        <f t="shared" si="274"/>
        <v>2.7054468541450234</v>
      </c>
      <c r="CF259" s="38">
        <f t="shared" si="275"/>
        <v>2.2559834006201225</v>
      </c>
      <c r="CG259" s="38">
        <f t="shared" si="276"/>
        <v>6.1034431942111027</v>
      </c>
      <c r="CI259" s="16">
        <v>257.2537420520984</v>
      </c>
      <c r="CJ259" s="13">
        <v>1617.2828071820732</v>
      </c>
      <c r="CK259" s="13">
        <v>201222.52283701857</v>
      </c>
      <c r="CL259" s="13">
        <v>108034.88781392849</v>
      </c>
      <c r="CM259" s="13">
        <v>290633.90555990231</v>
      </c>
      <c r="CN259" s="13">
        <v>30571.719001041169</v>
      </c>
      <c r="CO259" s="16">
        <v>25.487843616533318</v>
      </c>
      <c r="CP259" s="13">
        <v>3098.8063549197395</v>
      </c>
      <c r="CQ259" s="16">
        <v>161.38654431334075</v>
      </c>
      <c r="CR259" s="16">
        <v>81.110217160209586</v>
      </c>
      <c r="CS259" s="13">
        <v>2540.0443508655799</v>
      </c>
      <c r="CT259" s="16">
        <v>197.64162082043853</v>
      </c>
      <c r="CU259" s="16">
        <v>146.4477455481838</v>
      </c>
      <c r="CV259" s="16">
        <v>2438.5116846262949</v>
      </c>
      <c r="CW259" s="16">
        <v>1037.3791292244462</v>
      </c>
      <c r="CX259" s="16">
        <v>67.778645100720809</v>
      </c>
      <c r="CY259" s="16">
        <v>55.675510976566137</v>
      </c>
      <c r="CZ259" s="16">
        <v>53.281524388371054</v>
      </c>
      <c r="DA259" s="16">
        <v>8.7472497420521425</v>
      </c>
      <c r="DB259" s="16">
        <v>10.872293145244075</v>
      </c>
      <c r="DC259" s="16">
        <v>1.3978271742733441</v>
      </c>
      <c r="DD259" s="16">
        <v>4.9177953773196954</v>
      </c>
      <c r="DE259" s="16">
        <v>217.19060119187569</v>
      </c>
      <c r="DF259" s="16">
        <v>0.48983136941032251</v>
      </c>
      <c r="DG259" s="16">
        <v>2.117901301467684</v>
      </c>
      <c r="DH259" s="16">
        <v>0.3489296359170358</v>
      </c>
      <c r="DI259" s="16">
        <v>1.5899708411927385</v>
      </c>
      <c r="DJ259" s="16">
        <v>0.3051520539049577</v>
      </c>
      <c r="DK259" s="16">
        <v>0.12696711524848328</v>
      </c>
      <c r="DL259" s="16">
        <v>1.4352090774867516</v>
      </c>
      <c r="DM259" s="16">
        <v>0.23287116133211749</v>
      </c>
      <c r="DN259" s="16">
        <v>1.0272011585687364</v>
      </c>
      <c r="DO259" s="16">
        <v>0.25558956514520753</v>
      </c>
      <c r="DP259" s="16">
        <v>1.1974181432936715</v>
      </c>
      <c r="DQ259" s="16">
        <v>0.16976469456175888</v>
      </c>
      <c r="DR259" s="16">
        <v>0.81043065758825328</v>
      </c>
      <c r="DS259" s="16">
        <v>0.14389497114596689</v>
      </c>
      <c r="DT259" s="16">
        <v>0.32266637691884847</v>
      </c>
      <c r="DU259" s="16">
        <v>0</v>
      </c>
      <c r="DV259" s="16">
        <v>68.032335449920595</v>
      </c>
      <c r="DW259" s="16">
        <v>0.56596995222694513</v>
      </c>
      <c r="DX259" s="16">
        <v>0.53791107230763946</v>
      </c>
      <c r="DY259" s="16">
        <f>(DK259/0.05883)/SQRT((DJ259/0.1536)*(DL259/0.2069))</f>
        <v>0.58136987240956306</v>
      </c>
    </row>
    <row r="260" spans="1:129" ht="15" customHeight="1" x14ac:dyDescent="0.25">
      <c r="A260" s="35" t="s">
        <v>91</v>
      </c>
      <c r="B260" s="15">
        <v>1476</v>
      </c>
      <c r="C260" s="102" t="s">
        <v>96</v>
      </c>
      <c r="D260" s="103" t="s">
        <v>104</v>
      </c>
      <c r="E260" s="15">
        <v>483</v>
      </c>
      <c r="F260" s="15" t="s">
        <v>270</v>
      </c>
      <c r="G260" s="16">
        <v>54.2</v>
      </c>
      <c r="H260" s="16">
        <v>0.20300000000000001</v>
      </c>
      <c r="I260" s="16">
        <v>1.5089999999999999</v>
      </c>
      <c r="J260" s="16">
        <v>0</v>
      </c>
      <c r="K260" s="16">
        <v>9.02</v>
      </c>
      <c r="L260" s="16">
        <v>0.79500000000000004</v>
      </c>
      <c r="M260" s="16">
        <v>18.350000000000001</v>
      </c>
      <c r="N260" s="16">
        <v>11.47</v>
      </c>
      <c r="O260" s="16">
        <v>0.33700000000000002</v>
      </c>
      <c r="P260" s="16">
        <v>5.7000000000000002E-2</v>
      </c>
      <c r="Q260" s="16">
        <v>0</v>
      </c>
      <c r="R260" s="16">
        <v>0</v>
      </c>
      <c r="S260" s="16">
        <v>7.8E-2</v>
      </c>
      <c r="T260" s="16">
        <f t="shared" si="226"/>
        <v>96.019000000000005</v>
      </c>
      <c r="U260" s="16"/>
      <c r="V260" s="16">
        <f t="shared" si="221"/>
        <v>9.02</v>
      </c>
      <c r="W260" s="16">
        <f t="shared" si="222"/>
        <v>0</v>
      </c>
      <c r="X260" s="16">
        <f t="shared" si="223"/>
        <v>96.019000000000005</v>
      </c>
      <c r="AD260" s="15">
        <v>6</v>
      </c>
      <c r="AE260" s="15">
        <v>4</v>
      </c>
      <c r="AG260" s="38">
        <f t="shared" si="227"/>
        <v>2.0384858887192636</v>
      </c>
      <c r="AH260" s="38">
        <f t="shared" si="228"/>
        <v>5.742438181126264E-3</v>
      </c>
      <c r="AI260" s="38">
        <f t="shared" si="229"/>
        <v>6.6884849706320068E-2</v>
      </c>
      <c r="AJ260" s="38">
        <f t="shared" si="230"/>
        <v>0</v>
      </c>
      <c r="AK260" s="38">
        <f t="shared" si="231"/>
        <v>0.28367307207568176</v>
      </c>
      <c r="AL260" s="38">
        <f t="shared" si="232"/>
        <v>2.5322949645725099E-2</v>
      </c>
      <c r="AM260" s="38">
        <f t="shared" si="233"/>
        <v>1.0288910023369697</v>
      </c>
      <c r="AN260" s="38">
        <f t="shared" si="234"/>
        <v>0.46216149546117763</v>
      </c>
      <c r="AO260" s="38">
        <f t="shared" si="235"/>
        <v>2.4572348805211169E-2</v>
      </c>
      <c r="AP260" s="38">
        <f t="shared" si="236"/>
        <v>2.7345904666496038E-3</v>
      </c>
      <c r="AQ260" s="38">
        <f t="shared" si="237"/>
        <v>0</v>
      </c>
      <c r="AR260" s="38">
        <f t="shared" si="238"/>
        <v>0</v>
      </c>
      <c r="AS260" s="38">
        <f t="shared" si="239"/>
        <v>4.9718350314885374E-3</v>
      </c>
      <c r="AT260" s="39">
        <f t="shared" si="240"/>
        <v>3.9384686353981242</v>
      </c>
      <c r="AU260" s="38">
        <f t="shared" si="241"/>
        <v>2.1053707384255835</v>
      </c>
      <c r="AV260" s="38">
        <f t="shared" si="242"/>
        <v>0.48946843473303836</v>
      </c>
      <c r="AW260" s="40"/>
      <c r="AX260" s="38">
        <f t="shared" si="243"/>
        <v>2.0703335000794802</v>
      </c>
      <c r="AY260" s="38">
        <f t="shared" si="244"/>
        <v>5.8321532684195493E-3</v>
      </c>
      <c r="AZ260" s="38">
        <f t="shared" si="245"/>
        <v>6.7929803076427375E-2</v>
      </c>
      <c r="BA260" s="38">
        <f t="shared" si="246"/>
        <v>0</v>
      </c>
      <c r="BB260" s="38">
        <f t="shared" si="247"/>
        <v>0.28810494467427067</v>
      </c>
      <c r="BC260" s="38">
        <f t="shared" si="248"/>
        <v>0</v>
      </c>
      <c r="BD260" s="38">
        <f t="shared" si="249"/>
        <v>2.5718574390185843E-2</v>
      </c>
      <c r="BE260" s="38">
        <f t="shared" si="250"/>
        <v>1.0449655412659777</v>
      </c>
      <c r="BF260" s="38">
        <f t="shared" si="251"/>
        <v>0.4693819230219255</v>
      </c>
      <c r="BG260" s="38">
        <f t="shared" si="252"/>
        <v>2.4956246785220106E-2</v>
      </c>
      <c r="BH260" s="38">
        <f t="shared" si="253"/>
        <v>2.777313438092848E-3</v>
      </c>
      <c r="BI260" s="38">
        <f t="shared" si="254"/>
        <v>0</v>
      </c>
      <c r="BJ260" s="38">
        <f t="shared" si="255"/>
        <v>0</v>
      </c>
      <c r="BK260" s="38">
        <f t="shared" si="256"/>
        <v>5.0495108548563612E-3</v>
      </c>
      <c r="BL260" s="41">
        <f t="shared" si="257"/>
        <v>4</v>
      </c>
      <c r="BM260" s="42">
        <f t="shared" si="225"/>
        <v>6.0937390193470291</v>
      </c>
      <c r="BN260" s="38">
        <f t="shared" si="258"/>
        <v>2.1382633031559077</v>
      </c>
      <c r="BO260" s="38">
        <f t="shared" si="259"/>
        <v>0.49711548324523847</v>
      </c>
      <c r="BQ260" s="38">
        <f t="shared" si="260"/>
        <v>0.90213049267643153</v>
      </c>
      <c r="BR260" s="38">
        <f t="shared" si="261"/>
        <v>2.5413119679519283E-3</v>
      </c>
      <c r="BS260" s="38">
        <f t="shared" si="262"/>
        <v>2.9599843075715965E-2</v>
      </c>
      <c r="BT260" s="38">
        <f t="shared" si="263"/>
        <v>0</v>
      </c>
      <c r="BU260" s="38">
        <f t="shared" si="264"/>
        <v>0.12553931802366042</v>
      </c>
      <c r="BV260" s="38">
        <f t="shared" si="265"/>
        <v>1.120665351000846E-2</v>
      </c>
      <c r="BW260" s="38">
        <f t="shared" si="266"/>
        <v>0.45533498759305219</v>
      </c>
      <c r="BX260" s="38">
        <f t="shared" si="267"/>
        <v>0.20452924393723254</v>
      </c>
      <c r="BY260" s="38">
        <f t="shared" si="268"/>
        <v>1.0874475637302356E-2</v>
      </c>
      <c r="BZ260" s="38">
        <f t="shared" si="269"/>
        <v>1.2101910828025478E-3</v>
      </c>
      <c r="CA260" s="38">
        <f t="shared" si="270"/>
        <v>0</v>
      </c>
      <c r="CB260" s="38">
        <f t="shared" si="271"/>
        <v>0</v>
      </c>
      <c r="CC260" s="38">
        <f t="shared" si="272"/>
        <v>2.2002820874471086E-3</v>
      </c>
      <c r="CD260" s="38">
        <f t="shared" si="273"/>
        <v>1.7429665175041578</v>
      </c>
      <c r="CE260" s="38">
        <f t="shared" si="274"/>
        <v>2.6552957692826231</v>
      </c>
      <c r="CF260" s="38">
        <f t="shared" si="275"/>
        <v>2.294937946213564</v>
      </c>
      <c r="CG260" s="38">
        <f t="shared" si="276"/>
        <v>6.0937390193470282</v>
      </c>
    </row>
    <row r="261" spans="1:129" ht="15" customHeight="1" x14ac:dyDescent="0.25">
      <c r="A261" s="35" t="s">
        <v>91</v>
      </c>
      <c r="B261" s="15">
        <v>1477</v>
      </c>
      <c r="C261" s="102" t="s">
        <v>96</v>
      </c>
      <c r="D261" s="103" t="s">
        <v>104</v>
      </c>
      <c r="E261" s="15">
        <v>484</v>
      </c>
      <c r="F261" s="15" t="s">
        <v>270</v>
      </c>
      <c r="G261" s="16">
        <v>51.03</v>
      </c>
      <c r="H261" s="16">
        <v>0.154</v>
      </c>
      <c r="I261" s="16">
        <v>2.13</v>
      </c>
      <c r="J261" s="16">
        <v>1.6E-2</v>
      </c>
      <c r="K261" s="16">
        <v>9.77</v>
      </c>
      <c r="L261" s="16">
        <v>0.68</v>
      </c>
      <c r="M261" s="16">
        <v>17.72</v>
      </c>
      <c r="N261" s="16">
        <v>10.45</v>
      </c>
      <c r="O261" s="16">
        <v>0.28699999999999998</v>
      </c>
      <c r="P261" s="16">
        <v>9.1999999999999998E-2</v>
      </c>
      <c r="Q261" s="16">
        <v>0</v>
      </c>
      <c r="R261" s="16">
        <v>0</v>
      </c>
      <c r="S261" s="16">
        <v>6.2E-2</v>
      </c>
      <c r="T261" s="16">
        <f t="shared" si="226"/>
        <v>92.391000000000005</v>
      </c>
      <c r="U261" s="16"/>
      <c r="V261" s="16">
        <f t="shared" si="221"/>
        <v>9.77</v>
      </c>
      <c r="W261" s="16">
        <f t="shared" si="222"/>
        <v>0</v>
      </c>
      <c r="X261" s="16">
        <f t="shared" si="223"/>
        <v>92.391000000000005</v>
      </c>
      <c r="AD261" s="15">
        <v>6</v>
      </c>
      <c r="AE261" s="15">
        <v>4</v>
      </c>
      <c r="AG261" s="38">
        <f t="shared" si="227"/>
        <v>2.0048664904162607</v>
      </c>
      <c r="AH261" s="38">
        <f t="shared" si="228"/>
        <v>4.5506399729439784E-3</v>
      </c>
      <c r="AI261" s="38">
        <f t="shared" si="229"/>
        <v>9.8621041586536298E-2</v>
      </c>
      <c r="AJ261" s="38">
        <f t="shared" si="230"/>
        <v>4.9696382422803273E-4</v>
      </c>
      <c r="AK261" s="38">
        <f t="shared" si="231"/>
        <v>0.32096494614038396</v>
      </c>
      <c r="AL261" s="38">
        <f t="shared" si="232"/>
        <v>2.2625987418154744E-2</v>
      </c>
      <c r="AM261" s="38">
        <f t="shared" si="233"/>
        <v>1.0378832046674158</v>
      </c>
      <c r="AN261" s="38">
        <f t="shared" si="234"/>
        <v>0.43984341882365335</v>
      </c>
      <c r="AO261" s="38">
        <f t="shared" si="235"/>
        <v>2.1859998771728954E-2</v>
      </c>
      <c r="AP261" s="38">
        <f t="shared" si="236"/>
        <v>4.6105924305244964E-3</v>
      </c>
      <c r="AQ261" s="38">
        <f t="shared" si="237"/>
        <v>0</v>
      </c>
      <c r="AR261" s="38">
        <f t="shared" si="238"/>
        <v>0</v>
      </c>
      <c r="AS261" s="38">
        <f t="shared" si="239"/>
        <v>4.1282430905800064E-3</v>
      </c>
      <c r="AT261" s="39">
        <f t="shared" si="240"/>
        <v>3.9563232840518308</v>
      </c>
      <c r="AU261" s="38">
        <f t="shared" si="241"/>
        <v>2.1034875320027973</v>
      </c>
      <c r="AV261" s="38">
        <f t="shared" si="242"/>
        <v>0.46631401002590678</v>
      </c>
      <c r="AW261" s="40"/>
      <c r="AX261" s="38">
        <f t="shared" si="243"/>
        <v>2.0269996625381896</v>
      </c>
      <c r="AY261" s="38">
        <f t="shared" si="244"/>
        <v>4.6008777809314755E-3</v>
      </c>
      <c r="AZ261" s="38">
        <f t="shared" si="245"/>
        <v>9.9709790637265108E-2</v>
      </c>
      <c r="BA261" s="38">
        <f t="shared" si="246"/>
        <v>5.0245016753946558E-4</v>
      </c>
      <c r="BB261" s="38">
        <f t="shared" si="247"/>
        <v>0.32450831046513551</v>
      </c>
      <c r="BC261" s="38">
        <f t="shared" si="248"/>
        <v>0</v>
      </c>
      <c r="BD261" s="38">
        <f t="shared" si="249"/>
        <v>2.2875772067830164E-2</v>
      </c>
      <c r="BE261" s="38">
        <f t="shared" si="250"/>
        <v>1.0493411484862052</v>
      </c>
      <c r="BF261" s="38">
        <f t="shared" si="251"/>
        <v>0.44469916864143816</v>
      </c>
      <c r="BG261" s="38">
        <f t="shared" si="252"/>
        <v>2.2101327118385781E-2</v>
      </c>
      <c r="BH261" s="38">
        <f t="shared" si="253"/>
        <v>4.6614920970791873E-3</v>
      </c>
      <c r="BI261" s="38">
        <f t="shared" si="254"/>
        <v>0</v>
      </c>
      <c r="BJ261" s="38">
        <f t="shared" si="255"/>
        <v>0</v>
      </c>
      <c r="BK261" s="38">
        <f t="shared" si="256"/>
        <v>4.1738177536918631E-3</v>
      </c>
      <c r="BL261" s="41">
        <f t="shared" si="257"/>
        <v>3.9999999999999996</v>
      </c>
      <c r="BM261" s="42">
        <f t="shared" si="225"/>
        <v>6.0662383422369439</v>
      </c>
      <c r="BN261" s="38">
        <f t="shared" si="258"/>
        <v>2.1267094531754549</v>
      </c>
      <c r="BO261" s="38">
        <f t="shared" si="259"/>
        <v>0.47146198785690313</v>
      </c>
      <c r="BQ261" s="38">
        <f t="shared" si="260"/>
        <v>0.84936750998668442</v>
      </c>
      <c r="BR261" s="38">
        <f t="shared" si="261"/>
        <v>1.9278918377566351E-3</v>
      </c>
      <c r="BS261" s="38">
        <f t="shared" si="262"/>
        <v>4.1781090623774032E-2</v>
      </c>
      <c r="BT261" s="38">
        <f t="shared" si="263"/>
        <v>2.1054016711625763E-4</v>
      </c>
      <c r="BU261" s="38">
        <f t="shared" si="264"/>
        <v>0.13597773138482952</v>
      </c>
      <c r="BV261" s="38">
        <f t="shared" si="265"/>
        <v>9.5855652664223294E-3</v>
      </c>
      <c r="BW261" s="38">
        <f t="shared" si="266"/>
        <v>0.43970223325062036</v>
      </c>
      <c r="BX261" s="38">
        <f t="shared" si="267"/>
        <v>0.18634094151212552</v>
      </c>
      <c r="BY261" s="38">
        <f t="shared" si="268"/>
        <v>9.261051952242659E-3</v>
      </c>
      <c r="BZ261" s="38">
        <f t="shared" si="269"/>
        <v>1.9532908704883228E-3</v>
      </c>
      <c r="CA261" s="38">
        <f t="shared" si="270"/>
        <v>0</v>
      </c>
      <c r="CB261" s="38">
        <f t="shared" si="271"/>
        <v>0</v>
      </c>
      <c r="CC261" s="38">
        <f t="shared" si="272"/>
        <v>1.7489421720733426E-3</v>
      </c>
      <c r="CD261" s="38">
        <f t="shared" si="273"/>
        <v>1.67610784685206</v>
      </c>
      <c r="CE261" s="38">
        <f t="shared" si="274"/>
        <v>2.5419174215745439</v>
      </c>
      <c r="CF261" s="38">
        <f t="shared" si="275"/>
        <v>2.3864812801351056</v>
      </c>
      <c r="CG261" s="38">
        <f t="shared" si="276"/>
        <v>6.0662383422369448</v>
      </c>
    </row>
    <row r="262" spans="1:129" ht="15" customHeight="1" x14ac:dyDescent="0.25">
      <c r="A262" s="35" t="s">
        <v>91</v>
      </c>
      <c r="B262" s="15">
        <v>1515</v>
      </c>
      <c r="C262" s="102" t="s">
        <v>96</v>
      </c>
      <c r="D262" s="103" t="s">
        <v>104</v>
      </c>
      <c r="E262" s="15">
        <v>522</v>
      </c>
      <c r="F262" s="15" t="s">
        <v>276</v>
      </c>
      <c r="G262" s="16">
        <v>95.53</v>
      </c>
      <c r="H262" s="16">
        <v>0</v>
      </c>
      <c r="I262" s="16">
        <v>2.4</v>
      </c>
      <c r="J262" s="16">
        <v>0</v>
      </c>
      <c r="K262" s="44">
        <v>7.8E-2</v>
      </c>
      <c r="L262" s="16">
        <v>0</v>
      </c>
      <c r="M262" s="16">
        <v>0</v>
      </c>
      <c r="N262" s="16">
        <v>4.4999999999999998E-2</v>
      </c>
      <c r="O262" s="16">
        <v>0.29799999999999999</v>
      </c>
      <c r="P262" s="16">
        <v>1.41</v>
      </c>
      <c r="Q262" s="16">
        <v>0</v>
      </c>
      <c r="T262" s="16">
        <f t="shared" si="226"/>
        <v>99.76100000000001</v>
      </c>
      <c r="U262" s="16"/>
      <c r="V262" s="16">
        <f t="shared" si="221"/>
        <v>0</v>
      </c>
      <c r="W262" s="16">
        <f t="shared" si="222"/>
        <v>8.6681399999999992E-2</v>
      </c>
      <c r="X262" s="16">
        <f t="shared" si="223"/>
        <v>99.76968140000001</v>
      </c>
      <c r="Y262" s="15">
        <v>1</v>
      </c>
      <c r="Z262" s="15">
        <v>33</v>
      </c>
      <c r="AA262" s="15">
        <v>678.39999999999986</v>
      </c>
      <c r="AB262" s="15" t="s">
        <v>277</v>
      </c>
      <c r="AD262" s="15">
        <v>2</v>
      </c>
      <c r="AE262" s="15">
        <v>1</v>
      </c>
      <c r="AG262" s="38">
        <f t="shared" si="227"/>
        <v>0.97180025182058605</v>
      </c>
      <c r="AH262" s="38">
        <f t="shared" si="228"/>
        <v>0</v>
      </c>
      <c r="AI262" s="38">
        <f t="shared" si="229"/>
        <v>2.8772563956135026E-2</v>
      </c>
      <c r="AJ262" s="38">
        <f t="shared" si="230"/>
        <v>0</v>
      </c>
      <c r="AK262" s="38">
        <f t="shared" si="231"/>
        <v>6.6349091984303863E-4</v>
      </c>
      <c r="AL262" s="38">
        <f t="shared" si="232"/>
        <v>0</v>
      </c>
      <c r="AM262" s="38">
        <f t="shared" si="233"/>
        <v>0</v>
      </c>
      <c r="AN262" s="38">
        <f t="shared" si="234"/>
        <v>4.9042394029191457E-4</v>
      </c>
      <c r="AO262" s="38">
        <f t="shared" si="235"/>
        <v>5.8770832328192101E-3</v>
      </c>
      <c r="AP262" s="38">
        <f t="shared" si="236"/>
        <v>1.8296387896161594E-2</v>
      </c>
      <c r="AQ262" s="38">
        <f t="shared" si="237"/>
        <v>0</v>
      </c>
      <c r="AR262" s="38">
        <f t="shared" si="238"/>
        <v>0</v>
      </c>
      <c r="AS262" s="38">
        <f t="shared" si="239"/>
        <v>0</v>
      </c>
      <c r="AT262" s="39">
        <f t="shared" si="240"/>
        <v>1.0259002017658367</v>
      </c>
      <c r="AU262" s="38">
        <f t="shared" si="241"/>
        <v>1.0005728157767211</v>
      </c>
      <c r="AV262" s="38">
        <f t="shared" si="242"/>
        <v>2.4663895069272718E-2</v>
      </c>
      <c r="AW262" s="40"/>
      <c r="AX262" s="38">
        <f t="shared" si="243"/>
        <v>0.94726587454400446</v>
      </c>
      <c r="AY262" s="38">
        <f t="shared" si="244"/>
        <v>0</v>
      </c>
      <c r="AZ262" s="38">
        <f t="shared" si="245"/>
        <v>2.8046162683865426E-2</v>
      </c>
      <c r="BA262" s="38">
        <f t="shared" si="246"/>
        <v>0</v>
      </c>
      <c r="BB262" s="38">
        <f t="shared" si="247"/>
        <v>0</v>
      </c>
      <c r="BC262" s="38">
        <f t="shared" si="248"/>
        <v>6.4674021771416064E-4</v>
      </c>
      <c r="BD262" s="38">
        <f t="shared" si="249"/>
        <v>0</v>
      </c>
      <c r="BE262" s="38">
        <f t="shared" si="250"/>
        <v>0</v>
      </c>
      <c r="BF262" s="38">
        <f t="shared" si="251"/>
        <v>4.7804254200142413E-4</v>
      </c>
      <c r="BG262" s="38">
        <f t="shared" si="252"/>
        <v>5.7287085261346522E-3</v>
      </c>
      <c r="BH262" s="38">
        <f t="shared" si="253"/>
        <v>1.7834471486279879E-2</v>
      </c>
      <c r="BI262" s="38">
        <f t="shared" si="254"/>
        <v>0</v>
      </c>
      <c r="BJ262" s="38">
        <f t="shared" si="255"/>
        <v>0</v>
      </c>
      <c r="BK262" s="38">
        <f t="shared" si="256"/>
        <v>0</v>
      </c>
      <c r="BL262" s="41">
        <f t="shared" si="257"/>
        <v>1</v>
      </c>
      <c r="BM262" s="42">
        <f t="shared" si="225"/>
        <v>1.9498307359885869</v>
      </c>
      <c r="BN262" s="38">
        <f t="shared" si="258"/>
        <v>0.97531203722786985</v>
      </c>
      <c r="BO262" s="38">
        <f t="shared" si="259"/>
        <v>2.4041222554415955E-2</v>
      </c>
      <c r="BQ262" s="38">
        <f t="shared" si="260"/>
        <v>1.590046604527297</v>
      </c>
      <c r="BR262" s="38">
        <f t="shared" si="261"/>
        <v>0</v>
      </c>
      <c r="BS262" s="38">
        <f t="shared" si="262"/>
        <v>4.707728520988623E-2</v>
      </c>
      <c r="BT262" s="38">
        <f t="shared" si="263"/>
        <v>0</v>
      </c>
      <c r="BU262" s="38">
        <f t="shared" si="264"/>
        <v>1.0855949895615868E-3</v>
      </c>
      <c r="BV262" s="38">
        <f t="shared" si="265"/>
        <v>0</v>
      </c>
      <c r="BW262" s="38">
        <f t="shared" si="266"/>
        <v>0</v>
      </c>
      <c r="BX262" s="38">
        <f t="shared" si="267"/>
        <v>8.0242510699001424E-4</v>
      </c>
      <c r="BY262" s="38">
        <f t="shared" si="268"/>
        <v>9.6160051629557916E-3</v>
      </c>
      <c r="BZ262" s="38">
        <f t="shared" si="269"/>
        <v>2.9936305732484073E-2</v>
      </c>
      <c r="CA262" s="38">
        <f t="shared" si="270"/>
        <v>0</v>
      </c>
      <c r="CB262" s="38">
        <f t="shared" si="271"/>
        <v>0</v>
      </c>
      <c r="CC262" s="38">
        <f t="shared" si="272"/>
        <v>0</v>
      </c>
      <c r="CD262" s="38">
        <f t="shared" si="273"/>
        <v>1.6785642207291747</v>
      </c>
      <c r="CE262" s="38">
        <f t="shared" si="274"/>
        <v>3.2723733124136944</v>
      </c>
      <c r="CF262" s="38">
        <f t="shared" si="275"/>
        <v>0.59574723900977478</v>
      </c>
      <c r="CG262" s="38">
        <f t="shared" si="276"/>
        <v>1.9495073658797295</v>
      </c>
    </row>
    <row r="263" spans="1:129" ht="15" customHeight="1" x14ac:dyDescent="0.25">
      <c r="A263" s="35" t="s">
        <v>89</v>
      </c>
      <c r="B263" s="15">
        <v>605</v>
      </c>
      <c r="C263" s="102" t="s">
        <v>97</v>
      </c>
      <c r="D263" s="103" t="s">
        <v>106</v>
      </c>
      <c r="E263" s="15">
        <v>116</v>
      </c>
      <c r="F263" s="15" t="s">
        <v>272</v>
      </c>
      <c r="G263" s="16">
        <v>9.2999999999999999E-2</v>
      </c>
      <c r="H263" s="16">
        <v>7.92</v>
      </c>
      <c r="I263" s="16">
        <v>0.85299999999999998</v>
      </c>
      <c r="J263" s="16">
        <v>1.2E-2</v>
      </c>
      <c r="K263" s="16">
        <v>80.39</v>
      </c>
      <c r="L263" s="16">
        <v>0.45100000000000001</v>
      </c>
      <c r="M263" s="16">
        <v>0.872</v>
      </c>
      <c r="N263" s="16">
        <v>7.1999999999999995E-2</v>
      </c>
      <c r="O263" s="16">
        <v>4.2000000000000003E-2</v>
      </c>
      <c r="P263" s="16">
        <v>0</v>
      </c>
      <c r="Q263" s="16">
        <v>0</v>
      </c>
      <c r="T263" s="16">
        <f t="shared" si="226"/>
        <v>90.704999999999998</v>
      </c>
      <c r="U263" s="16"/>
      <c r="V263" s="16">
        <f t="shared" si="221"/>
        <v>35.283158743316363</v>
      </c>
      <c r="W263" s="16">
        <f t="shared" si="222"/>
        <v>50.127232688552525</v>
      </c>
      <c r="X263" s="16">
        <f t="shared" si="223"/>
        <v>95.725391431868886</v>
      </c>
      <c r="Y263" s="15">
        <v>117</v>
      </c>
      <c r="AD263" s="15">
        <v>4</v>
      </c>
      <c r="AE263" s="15">
        <v>3</v>
      </c>
      <c r="AG263" s="38">
        <f t="shared" si="227"/>
        <v>4.5013068698525711E-3</v>
      </c>
      <c r="AH263" s="38">
        <f t="shared" si="228"/>
        <v>0.28831864094349596</v>
      </c>
      <c r="AI263" s="38">
        <f t="shared" si="229"/>
        <v>4.8655820072778563E-2</v>
      </c>
      <c r="AJ263" s="38">
        <f t="shared" si="230"/>
        <v>4.5917879442958676E-4</v>
      </c>
      <c r="AK263" s="38">
        <f t="shared" si="231"/>
        <v>3.2535752292766875</v>
      </c>
      <c r="AL263" s="38">
        <f t="shared" si="232"/>
        <v>1.8487192122083308E-2</v>
      </c>
      <c r="AM263" s="38">
        <f t="shared" si="233"/>
        <v>6.2921205634602698E-2</v>
      </c>
      <c r="AN263" s="38">
        <f t="shared" si="234"/>
        <v>3.7334478405145984E-3</v>
      </c>
      <c r="AO263" s="38">
        <f t="shared" si="235"/>
        <v>3.941062397204504E-3</v>
      </c>
      <c r="AP263" s="38">
        <f t="shared" si="236"/>
        <v>0</v>
      </c>
      <c r="AQ263" s="38">
        <f t="shared" si="237"/>
        <v>0</v>
      </c>
      <c r="AR263" s="38">
        <f t="shared" si="238"/>
        <v>0</v>
      </c>
      <c r="AS263" s="38">
        <f t="shared" si="239"/>
        <v>0</v>
      </c>
      <c r="AT263" s="39">
        <f t="shared" si="240"/>
        <v>3.6845930839516496</v>
      </c>
      <c r="AU263" s="38">
        <f t="shared" si="241"/>
        <v>5.3157126942631132E-2</v>
      </c>
      <c r="AV263" s="38">
        <f t="shared" si="242"/>
        <v>7.6745102377191021E-3</v>
      </c>
      <c r="AW263" s="40"/>
      <c r="AX263" s="38">
        <f t="shared" si="243"/>
        <v>3.664969320051766E-3</v>
      </c>
      <c r="AY263" s="38">
        <f t="shared" si="244"/>
        <v>0.23474937479468988</v>
      </c>
      <c r="AZ263" s="38">
        <f t="shared" si="245"/>
        <v>3.9615625631525271E-2</v>
      </c>
      <c r="BA263" s="38">
        <f t="shared" si="246"/>
        <v>3.738639116728139E-4</v>
      </c>
      <c r="BB263" s="38">
        <f t="shared" si="247"/>
        <v>1.1626741185820135</v>
      </c>
      <c r="BC263" s="38">
        <f t="shared" si="248"/>
        <v>1.4863906398422433</v>
      </c>
      <c r="BD263" s="38">
        <f t="shared" si="249"/>
        <v>1.5052293456179575E-2</v>
      </c>
      <c r="BE263" s="38">
        <f t="shared" si="250"/>
        <v>5.1230519246744904E-2</v>
      </c>
      <c r="BF263" s="38">
        <f t="shared" si="251"/>
        <v>3.0397775999545821E-3</v>
      </c>
      <c r="BG263" s="38">
        <f t="shared" si="252"/>
        <v>3.2088176149246291E-3</v>
      </c>
      <c r="BH263" s="38">
        <f t="shared" si="253"/>
        <v>0</v>
      </c>
      <c r="BI263" s="38">
        <f t="shared" si="254"/>
        <v>0</v>
      </c>
      <c r="BJ263" s="38">
        <f t="shared" si="255"/>
        <v>0</v>
      </c>
      <c r="BK263" s="38">
        <f t="shared" si="256"/>
        <v>0</v>
      </c>
      <c r="BL263" s="41">
        <f t="shared" si="257"/>
        <v>3.0000000000000004</v>
      </c>
      <c r="BM263" s="42">
        <f t="shared" si="225"/>
        <v>4</v>
      </c>
      <c r="BN263" s="38">
        <f t="shared" si="258"/>
        <v>4.3280594951577038E-2</v>
      </c>
      <c r="BO263" s="38">
        <f t="shared" si="259"/>
        <v>6.2485952148792108E-3</v>
      </c>
      <c r="BQ263" s="38">
        <f t="shared" si="260"/>
        <v>1.5479360852197071E-3</v>
      </c>
      <c r="BR263" s="38">
        <f t="shared" si="261"/>
        <v>9.9148723084626939E-2</v>
      </c>
      <c r="BS263" s="38">
        <f t="shared" si="262"/>
        <v>1.6732051785013732E-2</v>
      </c>
      <c r="BT263" s="38">
        <f t="shared" si="263"/>
        <v>1.5790512533719322E-4</v>
      </c>
      <c r="BU263" s="38">
        <f t="shared" si="264"/>
        <v>1.1188587334725122</v>
      </c>
      <c r="BV263" s="38">
        <f t="shared" si="265"/>
        <v>6.3574851987595153E-3</v>
      </c>
      <c r="BW263" s="38">
        <f t="shared" si="266"/>
        <v>2.1637717121588091E-2</v>
      </c>
      <c r="BX263" s="38">
        <f t="shared" si="267"/>
        <v>1.2838801711840227E-3</v>
      </c>
      <c r="BY263" s="38">
        <f t="shared" si="268"/>
        <v>1.3552758954501454E-3</v>
      </c>
      <c r="BZ263" s="38">
        <f t="shared" si="269"/>
        <v>0</v>
      </c>
      <c r="CA263" s="38">
        <f t="shared" si="270"/>
        <v>0</v>
      </c>
      <c r="CB263" s="38">
        <f t="shared" si="271"/>
        <v>0</v>
      </c>
      <c r="CC263" s="38">
        <f t="shared" si="272"/>
        <v>0</v>
      </c>
      <c r="CD263" s="38">
        <f t="shared" si="273"/>
        <v>1.2670797079396914</v>
      </c>
      <c r="CE263" s="38">
        <f t="shared" si="274"/>
        <v>1.3755437076169887</v>
      </c>
      <c r="CF263" s="38">
        <f t="shared" si="275"/>
        <v>2.367648997297958</v>
      </c>
      <c r="CG263" s="38">
        <f t="shared" si="276"/>
        <v>3.2568046800788788</v>
      </c>
    </row>
    <row r="264" spans="1:129" ht="15" customHeight="1" x14ac:dyDescent="0.25">
      <c r="A264" s="35" t="s">
        <v>89</v>
      </c>
      <c r="B264" s="15">
        <v>606</v>
      </c>
      <c r="C264" s="102" t="s">
        <v>97</v>
      </c>
      <c r="D264" s="103" t="s">
        <v>106</v>
      </c>
      <c r="E264" s="15">
        <v>117</v>
      </c>
      <c r="F264" s="15" t="s">
        <v>279</v>
      </c>
      <c r="G264" s="16">
        <v>0</v>
      </c>
      <c r="H264" s="16">
        <v>45.68</v>
      </c>
      <c r="I264" s="16">
        <v>4.5999999999999999E-2</v>
      </c>
      <c r="J264" s="16">
        <v>0</v>
      </c>
      <c r="K264" s="16">
        <v>47.56</v>
      </c>
      <c r="L264" s="16">
        <v>0.84399999999999997</v>
      </c>
      <c r="M264" s="16">
        <v>2.0499999999999998</v>
      </c>
      <c r="N264" s="16">
        <v>2.5000000000000001E-2</v>
      </c>
      <c r="O264" s="16">
        <v>0</v>
      </c>
      <c r="P264" s="16">
        <v>0</v>
      </c>
      <c r="Q264" s="16">
        <v>0</v>
      </c>
      <c r="T264" s="16">
        <f t="shared" si="226"/>
        <v>96.204999999999998</v>
      </c>
      <c r="U264" s="16"/>
      <c r="V264" s="16">
        <f t="shared" si="221"/>
        <v>36.54622447898182</v>
      </c>
      <c r="W264" s="16">
        <f t="shared" si="222"/>
        <v>12.239608736507506</v>
      </c>
      <c r="X264" s="16">
        <f t="shared" si="223"/>
        <v>97.430833215489315</v>
      </c>
      <c r="Y264" s="15">
        <v>116</v>
      </c>
      <c r="AD264" s="15">
        <v>3</v>
      </c>
      <c r="AE264" s="15">
        <v>2</v>
      </c>
      <c r="AG264" s="38">
        <f t="shared" si="227"/>
        <v>0</v>
      </c>
      <c r="AH264" s="38">
        <f t="shared" si="228"/>
        <v>0.91731330162937952</v>
      </c>
      <c r="AI264" s="38">
        <f t="shared" si="229"/>
        <v>1.4473969482602987E-3</v>
      </c>
      <c r="AJ264" s="38">
        <f t="shared" si="230"/>
        <v>0</v>
      </c>
      <c r="AK264" s="38">
        <f t="shared" si="231"/>
        <v>1.0618049008638364</v>
      </c>
      <c r="AL264" s="38">
        <f t="shared" si="232"/>
        <v>1.908450563869947E-2</v>
      </c>
      <c r="AM264" s="38">
        <f t="shared" si="233"/>
        <v>8.1597803250477705E-2</v>
      </c>
      <c r="AN264" s="38">
        <f t="shared" si="234"/>
        <v>7.1509156583675142E-4</v>
      </c>
      <c r="AO264" s="38">
        <f t="shared" si="235"/>
        <v>0</v>
      </c>
      <c r="AP264" s="38">
        <f t="shared" si="236"/>
        <v>0</v>
      </c>
      <c r="AQ264" s="38">
        <f t="shared" si="237"/>
        <v>0</v>
      </c>
      <c r="AR264" s="38">
        <f t="shared" si="238"/>
        <v>0</v>
      </c>
      <c r="AS264" s="38">
        <f t="shared" si="239"/>
        <v>0</v>
      </c>
      <c r="AT264" s="39">
        <f t="shared" si="240"/>
        <v>2.0819629998964904</v>
      </c>
      <c r="AU264" s="38">
        <f t="shared" si="241"/>
        <v>1.4473969482602987E-3</v>
      </c>
      <c r="AV264" s="38">
        <f t="shared" si="242"/>
        <v>7.1509156583675142E-4</v>
      </c>
      <c r="AW264" s="40"/>
      <c r="AX264" s="38">
        <f t="shared" si="243"/>
        <v>0</v>
      </c>
      <c r="AY264" s="38">
        <f t="shared" si="244"/>
        <v>0.88120038797518097</v>
      </c>
      <c r="AZ264" s="38">
        <f t="shared" si="245"/>
        <v>1.3904156301838789E-3</v>
      </c>
      <c r="BA264" s="38">
        <f t="shared" si="246"/>
        <v>0</v>
      </c>
      <c r="BB264" s="38">
        <f t="shared" si="247"/>
        <v>0.78379481404321805</v>
      </c>
      <c r="BC264" s="38">
        <f t="shared" si="248"/>
        <v>0.23620880841945446</v>
      </c>
      <c r="BD264" s="38">
        <f t="shared" si="249"/>
        <v>1.8333184249334212E-2</v>
      </c>
      <c r="BE264" s="38">
        <f t="shared" si="250"/>
        <v>7.8385449937904306E-2</v>
      </c>
      <c r="BF264" s="38">
        <f t="shared" si="251"/>
        <v>6.8693974472390127E-4</v>
      </c>
      <c r="BG264" s="38">
        <f t="shared" si="252"/>
        <v>0</v>
      </c>
      <c r="BH264" s="38">
        <f t="shared" si="253"/>
        <v>0</v>
      </c>
      <c r="BI264" s="38">
        <f t="shared" si="254"/>
        <v>0</v>
      </c>
      <c r="BJ264" s="38">
        <f t="shared" si="255"/>
        <v>0</v>
      </c>
      <c r="BK264" s="38">
        <f t="shared" si="256"/>
        <v>0</v>
      </c>
      <c r="BL264" s="41">
        <f t="shared" si="257"/>
        <v>1.9999999999999998</v>
      </c>
      <c r="BM264" s="42">
        <f t="shared" si="225"/>
        <v>2.9999999999999996</v>
      </c>
      <c r="BN264" s="38">
        <f t="shared" si="258"/>
        <v>1.3904156301838789E-3</v>
      </c>
      <c r="BO264" s="38">
        <f t="shared" si="259"/>
        <v>6.8693974472390127E-4</v>
      </c>
      <c r="BQ264" s="38">
        <f t="shared" si="260"/>
        <v>0</v>
      </c>
      <c r="BR264" s="38">
        <f t="shared" si="261"/>
        <v>0.57185778668002007</v>
      </c>
      <c r="BS264" s="38">
        <f t="shared" si="262"/>
        <v>9.0231463318948607E-4</v>
      </c>
      <c r="BT264" s="38">
        <f t="shared" si="263"/>
        <v>0</v>
      </c>
      <c r="BU264" s="38">
        <f t="shared" si="264"/>
        <v>0.66193458594293675</v>
      </c>
      <c r="BV264" s="38">
        <f t="shared" si="265"/>
        <v>1.1897378065971242E-2</v>
      </c>
      <c r="BW264" s="38">
        <f t="shared" si="266"/>
        <v>5.0868486352357321E-2</v>
      </c>
      <c r="BX264" s="38">
        <f t="shared" si="267"/>
        <v>4.4579172610556349E-4</v>
      </c>
      <c r="BY264" s="38">
        <f t="shared" si="268"/>
        <v>0</v>
      </c>
      <c r="BZ264" s="38">
        <f t="shared" si="269"/>
        <v>0</v>
      </c>
      <c r="CA264" s="38">
        <f t="shared" si="270"/>
        <v>0</v>
      </c>
      <c r="CB264" s="38">
        <f t="shared" si="271"/>
        <v>0</v>
      </c>
      <c r="CC264" s="38">
        <f t="shared" si="272"/>
        <v>0</v>
      </c>
      <c r="CD264" s="38">
        <f t="shared" si="273"/>
        <v>1.2979063434005806</v>
      </c>
      <c r="CE264" s="38">
        <f t="shared" si="274"/>
        <v>1.8702152873971953</v>
      </c>
      <c r="CF264" s="38">
        <f t="shared" si="275"/>
        <v>1.5409432353646553</v>
      </c>
      <c r="CG264" s="38">
        <f t="shared" si="276"/>
        <v>2.8818955957902728</v>
      </c>
    </row>
    <row r="265" spans="1:129" ht="15" customHeight="1" x14ac:dyDescent="0.25">
      <c r="A265" s="35" t="s">
        <v>89</v>
      </c>
      <c r="B265" s="15">
        <v>607</v>
      </c>
      <c r="C265" s="102" t="s">
        <v>97</v>
      </c>
      <c r="D265" s="103" t="s">
        <v>106</v>
      </c>
      <c r="E265" s="15">
        <v>118</v>
      </c>
      <c r="F265" s="15" t="s">
        <v>272</v>
      </c>
      <c r="G265" s="16">
        <v>0.114</v>
      </c>
      <c r="H265" s="16">
        <v>7.25</v>
      </c>
      <c r="I265" s="16">
        <v>0.94099999999999995</v>
      </c>
      <c r="J265" s="16">
        <v>3.2000000000000001E-2</v>
      </c>
      <c r="K265" s="16">
        <v>79.61</v>
      </c>
      <c r="L265" s="16">
        <v>0.57999999999999996</v>
      </c>
      <c r="M265" s="16">
        <v>0.78800000000000003</v>
      </c>
      <c r="N265" s="16">
        <v>2.8000000000000001E-2</v>
      </c>
      <c r="O265" s="16">
        <v>0</v>
      </c>
      <c r="P265" s="16">
        <v>0</v>
      </c>
      <c r="Q265" s="16">
        <v>0</v>
      </c>
      <c r="T265" s="16">
        <f t="shared" si="226"/>
        <v>89.343000000000004</v>
      </c>
      <c r="U265" s="16"/>
      <c r="V265" s="16">
        <f t="shared" ref="V265:V281" si="277">K265*BB265/(BB265+BC265)</f>
        <v>34.513372869051508</v>
      </c>
      <c r="W265" s="16">
        <f t="shared" ref="W265:W281" si="278">1.1113*K265*BC265/(BB265+BC265)</f>
        <v>50.115881730623052</v>
      </c>
      <c r="X265" s="16">
        <f t="shared" ref="X265:X328" si="279">SUM(G265:J265)+SUM(L265:S265)+SUM(V265:W265)</f>
        <v>94.362254599674571</v>
      </c>
      <c r="Y265" s="15">
        <v>119</v>
      </c>
      <c r="AD265" s="15">
        <v>4</v>
      </c>
      <c r="AE265" s="15">
        <v>3</v>
      </c>
      <c r="AG265" s="38">
        <f t="shared" si="227"/>
        <v>5.6226852417320681E-3</v>
      </c>
      <c r="AH265" s="38">
        <f t="shared" si="228"/>
        <v>0.26894829498564227</v>
      </c>
      <c r="AI265" s="38">
        <f t="shared" si="229"/>
        <v>5.4696386696742122E-2</v>
      </c>
      <c r="AJ265" s="38">
        <f t="shared" si="230"/>
        <v>1.2477678862003159E-3</v>
      </c>
      <c r="AK265" s="38">
        <f t="shared" si="231"/>
        <v>3.2832934211655544</v>
      </c>
      <c r="AL265" s="38">
        <f t="shared" si="232"/>
        <v>2.4227335555064112E-2</v>
      </c>
      <c r="AM265" s="38">
        <f t="shared" si="233"/>
        <v>5.7941537657640277E-2</v>
      </c>
      <c r="AN265" s="38">
        <f t="shared" si="234"/>
        <v>1.4795132925787963E-3</v>
      </c>
      <c r="AO265" s="38">
        <f t="shared" si="235"/>
        <v>0</v>
      </c>
      <c r="AP265" s="38">
        <f t="shared" si="236"/>
        <v>0</v>
      </c>
      <c r="AQ265" s="38">
        <f t="shared" si="237"/>
        <v>0</v>
      </c>
      <c r="AR265" s="38">
        <f t="shared" si="238"/>
        <v>0</v>
      </c>
      <c r="AS265" s="38">
        <f t="shared" si="239"/>
        <v>0</v>
      </c>
      <c r="AT265" s="39">
        <f t="shared" si="240"/>
        <v>3.6974569424811543</v>
      </c>
      <c r="AU265" s="38">
        <f t="shared" si="241"/>
        <v>6.0319071938474189E-2</v>
      </c>
      <c r="AV265" s="38">
        <f t="shared" si="242"/>
        <v>1.4795132925787963E-3</v>
      </c>
      <c r="AW265" s="40"/>
      <c r="AX265" s="38">
        <f t="shared" si="243"/>
        <v>4.5620695487739752E-3</v>
      </c>
      <c r="AY265" s="38">
        <f t="shared" si="244"/>
        <v>0.2182161678982254</v>
      </c>
      <c r="AZ265" s="38">
        <f t="shared" si="245"/>
        <v>4.4378923850324915E-2</v>
      </c>
      <c r="BA265" s="38">
        <f t="shared" si="246"/>
        <v>1.0123995267106553E-3</v>
      </c>
      <c r="BB265" s="38">
        <f t="shared" si="247"/>
        <v>1.1549085736700748</v>
      </c>
      <c r="BC265" s="38">
        <f t="shared" si="248"/>
        <v>1.5090522017289656</v>
      </c>
      <c r="BD265" s="38">
        <f t="shared" si="249"/>
        <v>1.9657296297389618E-2</v>
      </c>
      <c r="BE265" s="38">
        <f t="shared" si="250"/>
        <v>4.7011937035912291E-2</v>
      </c>
      <c r="BF265" s="38">
        <f t="shared" si="251"/>
        <v>1.2004304436221331E-3</v>
      </c>
      <c r="BG265" s="38">
        <f t="shared" si="252"/>
        <v>0</v>
      </c>
      <c r="BH265" s="38">
        <f t="shared" si="253"/>
        <v>0</v>
      </c>
      <c r="BI265" s="38">
        <f t="shared" si="254"/>
        <v>0</v>
      </c>
      <c r="BJ265" s="38">
        <f t="shared" si="255"/>
        <v>0</v>
      </c>
      <c r="BK265" s="38">
        <f t="shared" si="256"/>
        <v>0</v>
      </c>
      <c r="BL265" s="41">
        <f t="shared" si="257"/>
        <v>2.9999999999999996</v>
      </c>
      <c r="BM265" s="42">
        <f t="shared" si="225"/>
        <v>3.9999999999999991</v>
      </c>
      <c r="BN265" s="38">
        <f t="shared" si="258"/>
        <v>4.8940993399098888E-2</v>
      </c>
      <c r="BO265" s="38">
        <f t="shared" si="259"/>
        <v>1.2004304436221331E-3</v>
      </c>
      <c r="BQ265" s="38">
        <f t="shared" si="260"/>
        <v>1.8974700399467378E-3</v>
      </c>
      <c r="BR265" s="38">
        <f t="shared" si="261"/>
        <v>9.0761141712568855E-2</v>
      </c>
      <c r="BS265" s="38">
        <f t="shared" si="262"/>
        <v>1.8458218909376226E-2</v>
      </c>
      <c r="BT265" s="38">
        <f t="shared" si="263"/>
        <v>4.2108033423251525E-4</v>
      </c>
      <c r="BU265" s="38">
        <f t="shared" si="264"/>
        <v>1.1080027835768964</v>
      </c>
      <c r="BV265" s="38">
        <f t="shared" si="265"/>
        <v>8.1759233154778677E-3</v>
      </c>
      <c r="BW265" s="38">
        <f t="shared" si="266"/>
        <v>1.9553349875930524E-2</v>
      </c>
      <c r="BX265" s="38">
        <f t="shared" si="267"/>
        <v>4.9928673323823114E-4</v>
      </c>
      <c r="BY265" s="38">
        <f t="shared" si="268"/>
        <v>0</v>
      </c>
      <c r="BZ265" s="38">
        <f t="shared" si="269"/>
        <v>0</v>
      </c>
      <c r="CA265" s="38">
        <f t="shared" si="270"/>
        <v>0</v>
      </c>
      <c r="CB265" s="38">
        <f t="shared" si="271"/>
        <v>0</v>
      </c>
      <c r="CC265" s="38">
        <f t="shared" si="272"/>
        <v>0</v>
      </c>
      <c r="CD265" s="38">
        <f t="shared" si="273"/>
        <v>1.2477692544976675</v>
      </c>
      <c r="CE265" s="38">
        <f t="shared" si="274"/>
        <v>1.3498675158719875</v>
      </c>
      <c r="CF265" s="38">
        <f t="shared" si="275"/>
        <v>2.4042906885117579</v>
      </c>
      <c r="CG265" s="38">
        <f t="shared" si="276"/>
        <v>3.2454738991355172</v>
      </c>
    </row>
    <row r="266" spans="1:129" ht="15" customHeight="1" x14ac:dyDescent="0.25">
      <c r="A266" s="35" t="s">
        <v>89</v>
      </c>
      <c r="B266" s="15">
        <v>608</v>
      </c>
      <c r="C266" s="102" t="s">
        <v>97</v>
      </c>
      <c r="D266" s="103" t="s">
        <v>106</v>
      </c>
      <c r="E266" s="15">
        <v>119</v>
      </c>
      <c r="F266" s="15" t="s">
        <v>279</v>
      </c>
      <c r="G266" s="16">
        <v>6.0999999999999999E-2</v>
      </c>
      <c r="H266" s="16">
        <v>44.46</v>
      </c>
      <c r="I266" s="16">
        <v>8.3000000000000004E-2</v>
      </c>
      <c r="J266" s="16">
        <v>1.0999999999999999E-2</v>
      </c>
      <c r="K266" s="16">
        <v>48.56</v>
      </c>
      <c r="L266" s="16">
        <v>0.90900000000000003</v>
      </c>
      <c r="M266" s="16">
        <v>1.91</v>
      </c>
      <c r="N266" s="16">
        <v>3.4000000000000002E-2</v>
      </c>
      <c r="O266" s="16">
        <v>0.06</v>
      </c>
      <c r="P266" s="16">
        <v>0</v>
      </c>
      <c r="Q266" s="16">
        <v>0</v>
      </c>
      <c r="T266" s="16">
        <f t="shared" si="226"/>
        <v>96.088000000000022</v>
      </c>
      <c r="U266" s="16"/>
      <c r="V266" s="16">
        <f t="shared" si="277"/>
        <v>35.415835719612218</v>
      </c>
      <c r="W266" s="16">
        <f t="shared" si="278"/>
        <v>14.607109764794945</v>
      </c>
      <c r="X266" s="16">
        <f t="shared" si="279"/>
        <v>97.550945484407151</v>
      </c>
      <c r="Y266" s="15">
        <v>118</v>
      </c>
      <c r="AD266" s="15">
        <v>3</v>
      </c>
      <c r="AE266" s="15">
        <v>2</v>
      </c>
      <c r="AG266" s="38">
        <f t="shared" si="227"/>
        <v>1.6415777833470944E-3</v>
      </c>
      <c r="AH266" s="38">
        <f t="shared" si="228"/>
        <v>0.899897317024003</v>
      </c>
      <c r="AI266" s="38">
        <f t="shared" si="229"/>
        <v>2.6323268647782017E-3</v>
      </c>
      <c r="AJ266" s="38">
        <f t="shared" si="230"/>
        <v>2.3402875414763646E-4</v>
      </c>
      <c r="AK266" s="38">
        <f t="shared" si="231"/>
        <v>1.0927314945601245</v>
      </c>
      <c r="AL266" s="38">
        <f t="shared" si="232"/>
        <v>2.0717352424389011E-2</v>
      </c>
      <c r="AM266" s="38">
        <f t="shared" si="233"/>
        <v>7.6628420883078738E-2</v>
      </c>
      <c r="AN266" s="38">
        <f t="shared" si="234"/>
        <v>9.8024010476800618E-4</v>
      </c>
      <c r="AO266" s="38">
        <f t="shared" si="235"/>
        <v>3.1303379691014059E-3</v>
      </c>
      <c r="AP266" s="38">
        <f t="shared" si="236"/>
        <v>0</v>
      </c>
      <c r="AQ266" s="38">
        <f t="shared" si="237"/>
        <v>0</v>
      </c>
      <c r="AR266" s="38">
        <f t="shared" si="238"/>
        <v>0</v>
      </c>
      <c r="AS266" s="38">
        <f t="shared" si="239"/>
        <v>0</v>
      </c>
      <c r="AT266" s="39">
        <f t="shared" si="240"/>
        <v>2.0985930963677371</v>
      </c>
      <c r="AU266" s="38">
        <f t="shared" si="241"/>
        <v>4.2739046481252959E-3</v>
      </c>
      <c r="AV266" s="38">
        <f t="shared" si="242"/>
        <v>4.1105780738694125E-3</v>
      </c>
      <c r="AW266" s="40"/>
      <c r="AX266" s="38">
        <f t="shared" si="243"/>
        <v>1.5644555261220966E-3</v>
      </c>
      <c r="AY266" s="38">
        <f t="shared" si="244"/>
        <v>0.85761962962858562</v>
      </c>
      <c r="AZ266" s="38">
        <f t="shared" si="245"/>
        <v>2.5086586526318557E-3</v>
      </c>
      <c r="BA266" s="38">
        <f t="shared" si="246"/>
        <v>2.230339502714417E-4</v>
      </c>
      <c r="BB266" s="38">
        <f t="shared" si="247"/>
        <v>0.75951093791005464</v>
      </c>
      <c r="BC266" s="38">
        <f t="shared" si="248"/>
        <v>0.28188340999991723</v>
      </c>
      <c r="BD266" s="38">
        <f t="shared" si="249"/>
        <v>1.9744039433129534E-2</v>
      </c>
      <c r="BE266" s="38">
        <f t="shared" si="250"/>
        <v>7.3028374119506856E-2</v>
      </c>
      <c r="BF266" s="38">
        <f t="shared" si="251"/>
        <v>9.3418786754289229E-4</v>
      </c>
      <c r="BG266" s="38">
        <f t="shared" si="252"/>
        <v>2.9832729122376512E-3</v>
      </c>
      <c r="BH266" s="38">
        <f t="shared" si="253"/>
        <v>0</v>
      </c>
      <c r="BI266" s="38">
        <f t="shared" si="254"/>
        <v>0</v>
      </c>
      <c r="BJ266" s="38">
        <f t="shared" si="255"/>
        <v>0</v>
      </c>
      <c r="BK266" s="38">
        <f t="shared" si="256"/>
        <v>0</v>
      </c>
      <c r="BL266" s="41">
        <f t="shared" si="257"/>
        <v>1.9999999999999998</v>
      </c>
      <c r="BM266" s="42">
        <f t="shared" si="225"/>
        <v>2.9999999999999982</v>
      </c>
      <c r="BN266" s="38">
        <f t="shared" si="258"/>
        <v>4.0731141787539518E-3</v>
      </c>
      <c r="BO266" s="38">
        <f t="shared" si="259"/>
        <v>3.9174607797805433E-3</v>
      </c>
      <c r="BQ266" s="38">
        <f t="shared" si="260"/>
        <v>1.0153129161118509E-3</v>
      </c>
      <c r="BR266" s="38">
        <f t="shared" si="261"/>
        <v>0.55658487731597406</v>
      </c>
      <c r="BS266" s="38">
        <f t="shared" si="262"/>
        <v>1.6280894468418989E-3</v>
      </c>
      <c r="BT266" s="38">
        <f t="shared" si="263"/>
        <v>1.4474636489242711E-4</v>
      </c>
      <c r="BU266" s="38">
        <f t="shared" si="264"/>
        <v>0.67585247042449559</v>
      </c>
      <c r="BV266" s="38">
        <f t="shared" si="265"/>
        <v>1.2813645334085143E-2</v>
      </c>
      <c r="BW266" s="38">
        <f t="shared" si="266"/>
        <v>4.739454094292804E-2</v>
      </c>
      <c r="BX266" s="38">
        <f t="shared" si="267"/>
        <v>6.0627674750356642E-4</v>
      </c>
      <c r="BY266" s="38">
        <f t="shared" si="268"/>
        <v>1.9361084220716361E-3</v>
      </c>
      <c r="BZ266" s="38">
        <f t="shared" si="269"/>
        <v>0</v>
      </c>
      <c r="CA266" s="38">
        <f t="shared" si="270"/>
        <v>0</v>
      </c>
      <c r="CB266" s="38">
        <f t="shared" si="271"/>
        <v>0</v>
      </c>
      <c r="CC266" s="38">
        <f t="shared" si="272"/>
        <v>0</v>
      </c>
      <c r="CD266" s="38">
        <f t="shared" si="273"/>
        <v>1.2979760679149044</v>
      </c>
      <c r="CE266" s="38">
        <f t="shared" si="274"/>
        <v>1.8554946218418216</v>
      </c>
      <c r="CF266" s="38">
        <f t="shared" si="275"/>
        <v>1.5408604591707469</v>
      </c>
      <c r="CG266" s="38">
        <f t="shared" si="276"/>
        <v>2.8590582950000405</v>
      </c>
    </row>
    <row r="267" spans="1:129" ht="15" customHeight="1" x14ac:dyDescent="0.25">
      <c r="A267" s="35" t="s">
        <v>89</v>
      </c>
      <c r="B267" s="15">
        <v>609</v>
      </c>
      <c r="C267" s="102" t="s">
        <v>97</v>
      </c>
      <c r="D267" s="103" t="s">
        <v>106</v>
      </c>
      <c r="E267" s="15">
        <v>120</v>
      </c>
      <c r="F267" s="15" t="s">
        <v>272</v>
      </c>
      <c r="G267" s="16">
        <v>6.0999999999999999E-2</v>
      </c>
      <c r="H267" s="16">
        <v>8.0500000000000007</v>
      </c>
      <c r="I267" s="16">
        <v>0.77400000000000002</v>
      </c>
      <c r="J267" s="16">
        <v>1.9E-2</v>
      </c>
      <c r="K267" s="16">
        <v>82.77</v>
      </c>
      <c r="L267" s="16">
        <v>0.46500000000000002</v>
      </c>
      <c r="M267" s="16">
        <v>0.79500000000000004</v>
      </c>
      <c r="N267" s="16">
        <v>4.7E-2</v>
      </c>
      <c r="O267" s="16">
        <v>3.5999999999999997E-2</v>
      </c>
      <c r="P267" s="16">
        <v>0</v>
      </c>
      <c r="Q267" s="16">
        <v>0</v>
      </c>
      <c r="T267" s="16">
        <f t="shared" si="226"/>
        <v>93.016999999999996</v>
      </c>
      <c r="U267" s="16"/>
      <c r="V267" s="16">
        <f t="shared" si="277"/>
        <v>36.273074487505248</v>
      </c>
      <c r="W267" s="16">
        <f t="shared" si="278"/>
        <v>51.672033322035418</v>
      </c>
      <c r="X267" s="16">
        <f t="shared" si="279"/>
        <v>98.192107809540673</v>
      </c>
      <c r="AD267" s="15">
        <v>4</v>
      </c>
      <c r="AE267" s="15">
        <v>3</v>
      </c>
      <c r="AG267" s="38">
        <f t="shared" si="227"/>
        <v>2.8876608914901337E-3</v>
      </c>
      <c r="AH267" s="38">
        <f t="shared" si="228"/>
        <v>0.28661842439968443</v>
      </c>
      <c r="AI267" s="38">
        <f t="shared" si="229"/>
        <v>4.3180474426873575E-2</v>
      </c>
      <c r="AJ267" s="38">
        <f t="shared" si="230"/>
        <v>7.1107410234146485E-4</v>
      </c>
      <c r="AK267" s="38">
        <f t="shared" si="231"/>
        <v>3.276366395080232</v>
      </c>
      <c r="AL267" s="38">
        <f t="shared" si="232"/>
        <v>1.864266728700268E-2</v>
      </c>
      <c r="AM267" s="38">
        <f t="shared" si="233"/>
        <v>5.6105877946864981E-2</v>
      </c>
      <c r="AN267" s="38">
        <f t="shared" si="234"/>
        <v>2.3836151279653718E-3</v>
      </c>
      <c r="AO267" s="38">
        <f t="shared" si="235"/>
        <v>3.3039023635261402E-3</v>
      </c>
      <c r="AP267" s="38">
        <f t="shared" si="236"/>
        <v>0</v>
      </c>
      <c r="AQ267" s="38">
        <f t="shared" si="237"/>
        <v>0</v>
      </c>
      <c r="AR267" s="38">
        <f t="shared" si="238"/>
        <v>0</v>
      </c>
      <c r="AS267" s="38">
        <f t="shared" si="239"/>
        <v>0</v>
      </c>
      <c r="AT267" s="39">
        <f t="shared" si="240"/>
        <v>3.6902000916259809</v>
      </c>
      <c r="AU267" s="38">
        <f t="shared" si="241"/>
        <v>4.6068135318363707E-2</v>
      </c>
      <c r="AV267" s="38">
        <f t="shared" si="242"/>
        <v>5.687517491491512E-3</v>
      </c>
      <c r="AW267" s="40"/>
      <c r="AX267" s="38">
        <f t="shared" si="243"/>
        <v>2.3475644841397495E-3</v>
      </c>
      <c r="AY267" s="38">
        <f t="shared" si="244"/>
        <v>0.23301047418818496</v>
      </c>
      <c r="AZ267" s="38">
        <f t="shared" si="245"/>
        <v>3.5104173232932204E-2</v>
      </c>
      <c r="BA267" s="38">
        <f t="shared" si="246"/>
        <v>5.7807767981612383E-4</v>
      </c>
      <c r="BB267" s="38">
        <f t="shared" si="247"/>
        <v>1.1672804577745466</v>
      </c>
      <c r="BC267" s="38">
        <f t="shared" si="248"/>
        <v>1.4962876255782955</v>
      </c>
      <c r="BD267" s="38">
        <f t="shared" si="249"/>
        <v>1.5155818240838254E-2</v>
      </c>
      <c r="BE267" s="38">
        <f t="shared" si="250"/>
        <v>4.5612061585102448E-2</v>
      </c>
      <c r="BF267" s="38">
        <f t="shared" si="251"/>
        <v>1.9377934004508955E-3</v>
      </c>
      <c r="BG267" s="38">
        <f t="shared" si="252"/>
        <v>2.6859538356932594E-3</v>
      </c>
      <c r="BH267" s="38">
        <f t="shared" si="253"/>
        <v>0</v>
      </c>
      <c r="BI267" s="38">
        <f t="shared" si="254"/>
        <v>0</v>
      </c>
      <c r="BJ267" s="38">
        <f t="shared" si="255"/>
        <v>0</v>
      </c>
      <c r="BK267" s="38">
        <f t="shared" si="256"/>
        <v>0</v>
      </c>
      <c r="BL267" s="41">
        <f t="shared" si="257"/>
        <v>3</v>
      </c>
      <c r="BM267" s="42">
        <f t="shared" si="225"/>
        <v>4</v>
      </c>
      <c r="BN267" s="38">
        <f t="shared" si="258"/>
        <v>3.7451737717071956E-2</v>
      </c>
      <c r="BO267" s="38">
        <f t="shared" si="259"/>
        <v>4.6237472361441547E-3</v>
      </c>
      <c r="BQ267" s="38">
        <f t="shared" si="260"/>
        <v>1.0153129161118509E-3</v>
      </c>
      <c r="BR267" s="38">
        <f t="shared" si="261"/>
        <v>0.10077616424636957</v>
      </c>
      <c r="BS267" s="38">
        <f t="shared" si="262"/>
        <v>1.5182424480188311E-2</v>
      </c>
      <c r="BT267" s="38">
        <f t="shared" si="263"/>
        <v>2.5001644845055592E-4</v>
      </c>
      <c r="BU267" s="38">
        <f t="shared" si="264"/>
        <v>1.1519832985386222</v>
      </c>
      <c r="BV267" s="38">
        <f t="shared" si="265"/>
        <v>6.5548350718917401E-3</v>
      </c>
      <c r="BW267" s="38">
        <f t="shared" si="266"/>
        <v>1.9727047146401989E-2</v>
      </c>
      <c r="BX267" s="38">
        <f t="shared" si="267"/>
        <v>8.380884450784594E-4</v>
      </c>
      <c r="BY267" s="38">
        <f t="shared" si="268"/>
        <v>1.1616650532429815E-3</v>
      </c>
      <c r="BZ267" s="38">
        <f t="shared" si="269"/>
        <v>0</v>
      </c>
      <c r="CA267" s="38">
        <f t="shared" si="270"/>
        <v>0</v>
      </c>
      <c r="CB267" s="38">
        <f t="shared" si="271"/>
        <v>0</v>
      </c>
      <c r="CC267" s="38">
        <f t="shared" si="272"/>
        <v>0</v>
      </c>
      <c r="CD267" s="38">
        <f t="shared" si="273"/>
        <v>1.2974888523463577</v>
      </c>
      <c r="CE267" s="38">
        <f t="shared" si="274"/>
        <v>1.406415717446537</v>
      </c>
      <c r="CF267" s="38">
        <f t="shared" si="275"/>
        <v>2.312158593559281</v>
      </c>
      <c r="CG267" s="38">
        <f t="shared" si="276"/>
        <v>3.2518561872108522</v>
      </c>
    </row>
    <row r="268" spans="1:129" ht="15" customHeight="1" x14ac:dyDescent="0.25">
      <c r="A268" s="35" t="s">
        <v>89</v>
      </c>
      <c r="B268" s="15">
        <v>623</v>
      </c>
      <c r="C268" s="102" t="s">
        <v>97</v>
      </c>
      <c r="D268" s="103" t="s">
        <v>106</v>
      </c>
      <c r="E268" s="15">
        <v>134</v>
      </c>
      <c r="F268" s="15" t="s">
        <v>270</v>
      </c>
      <c r="G268" s="16">
        <v>49.76</v>
      </c>
      <c r="H268" s="16">
        <v>1.0629999999999999</v>
      </c>
      <c r="I268" s="16">
        <v>3.9</v>
      </c>
      <c r="J268" s="16">
        <v>8.0000000000000002E-3</v>
      </c>
      <c r="K268" s="16">
        <v>15.21</v>
      </c>
      <c r="L268" s="16">
        <v>0.46500000000000002</v>
      </c>
      <c r="M268" s="16">
        <v>13.86</v>
      </c>
      <c r="N268" s="16">
        <v>10.29</v>
      </c>
      <c r="O268" s="16">
        <v>1.64</v>
      </c>
      <c r="P268" s="16">
        <v>0.38200000000000001</v>
      </c>
      <c r="Q268" s="16">
        <v>0</v>
      </c>
      <c r="S268" s="16">
        <v>0</v>
      </c>
      <c r="T268" s="16">
        <f t="shared" si="226"/>
        <v>96.578000000000017</v>
      </c>
      <c r="U268" s="16"/>
      <c r="V268" s="16">
        <f t="shared" si="277"/>
        <v>13.329021648074139</v>
      </c>
      <c r="W268" s="16">
        <f t="shared" si="278"/>
        <v>2.0903312424952092</v>
      </c>
      <c r="X268" s="16">
        <f t="shared" si="279"/>
        <v>96.787352890569338</v>
      </c>
      <c r="AD268" s="15">
        <v>6</v>
      </c>
      <c r="AE268" s="15">
        <v>4</v>
      </c>
      <c r="AG268" s="38">
        <f t="shared" si="227"/>
        <v>1.930490212134353</v>
      </c>
      <c r="AH268" s="38">
        <f t="shared" si="228"/>
        <v>3.1017898083451779E-2</v>
      </c>
      <c r="AI268" s="38">
        <f t="shared" si="229"/>
        <v>0.17831255880940344</v>
      </c>
      <c r="AJ268" s="38">
        <f t="shared" si="230"/>
        <v>2.4537037350577076E-4</v>
      </c>
      <c r="AK268" s="38">
        <f t="shared" si="231"/>
        <v>0.49342323684903566</v>
      </c>
      <c r="AL268" s="38">
        <f t="shared" si="232"/>
        <v>1.5278436907202458E-2</v>
      </c>
      <c r="AM268" s="38">
        <f t="shared" si="233"/>
        <v>0.8016325448795123</v>
      </c>
      <c r="AN268" s="38">
        <f t="shared" si="234"/>
        <v>0.42768549971187608</v>
      </c>
      <c r="AO268" s="38">
        <f t="shared" si="235"/>
        <v>0.1233500779150392</v>
      </c>
      <c r="AP268" s="38">
        <f t="shared" si="236"/>
        <v>1.8904256969761519E-2</v>
      </c>
      <c r="AQ268" s="38">
        <f t="shared" si="237"/>
        <v>0</v>
      </c>
      <c r="AR268" s="38">
        <f t="shared" si="238"/>
        <v>0</v>
      </c>
      <c r="AS268" s="38">
        <f t="shared" si="239"/>
        <v>0</v>
      </c>
      <c r="AT268" s="39">
        <f t="shared" si="240"/>
        <v>4.0203400926331412</v>
      </c>
      <c r="AU268" s="38">
        <f t="shared" si="241"/>
        <v>2.1088027709437567</v>
      </c>
      <c r="AV268" s="38">
        <f t="shared" si="242"/>
        <v>0.56993983459667674</v>
      </c>
      <c r="AW268" s="40"/>
      <c r="AX268" s="38">
        <f t="shared" si="243"/>
        <v>1.9207232897254412</v>
      </c>
      <c r="AY268" s="38">
        <f t="shared" si="244"/>
        <v>3.086096933967241E-2</v>
      </c>
      <c r="AZ268" s="38">
        <f t="shared" si="245"/>
        <v>0.17741042270144539</v>
      </c>
      <c r="BA268" s="38">
        <f t="shared" si="246"/>
        <v>2.4412897202939288E-4</v>
      </c>
      <c r="BB268" s="38">
        <f t="shared" si="247"/>
        <v>0.43021530416488551</v>
      </c>
      <c r="BC268" s="38">
        <f t="shared" si="248"/>
        <v>6.0711558219899153E-2</v>
      </c>
      <c r="BD268" s="38">
        <f t="shared" si="249"/>
        <v>1.52011387645524E-2</v>
      </c>
      <c r="BE268" s="38">
        <f t="shared" si="250"/>
        <v>0.79757684813622742</v>
      </c>
      <c r="BF268" s="38">
        <f t="shared" si="251"/>
        <v>0.4255217119522457</v>
      </c>
      <c r="BG268" s="38">
        <f t="shared" si="252"/>
        <v>0.12272601329530854</v>
      </c>
      <c r="BH268" s="38">
        <f t="shared" si="253"/>
        <v>1.8808614728292886E-2</v>
      </c>
      <c r="BI268" s="38">
        <f t="shared" si="254"/>
        <v>0</v>
      </c>
      <c r="BJ268" s="38">
        <f t="shared" si="255"/>
        <v>0</v>
      </c>
      <c r="BK268" s="38">
        <f t="shared" si="256"/>
        <v>0</v>
      </c>
      <c r="BL268" s="41">
        <f t="shared" si="257"/>
        <v>4</v>
      </c>
      <c r="BM268" s="42">
        <f t="shared" si="225"/>
        <v>5.9999999999999991</v>
      </c>
      <c r="BN268" s="38">
        <f t="shared" si="258"/>
        <v>2.0981337124268866</v>
      </c>
      <c r="BO268" s="38">
        <f t="shared" si="259"/>
        <v>0.56705633997584715</v>
      </c>
      <c r="BQ268" s="38">
        <f t="shared" si="260"/>
        <v>0.82822902796271636</v>
      </c>
      <c r="BR268" s="38">
        <f t="shared" si="261"/>
        <v>1.3307461191787681E-2</v>
      </c>
      <c r="BS268" s="38">
        <f t="shared" si="262"/>
        <v>7.6500588466065125E-2</v>
      </c>
      <c r="BT268" s="38">
        <f t="shared" si="263"/>
        <v>1.0527008355812881E-4</v>
      </c>
      <c r="BU268" s="38">
        <f t="shared" si="264"/>
        <v>0.21169102296450942</v>
      </c>
      <c r="BV268" s="38">
        <f t="shared" si="265"/>
        <v>6.5548350718917401E-3</v>
      </c>
      <c r="BW268" s="38">
        <f t="shared" si="266"/>
        <v>0.3439205955334988</v>
      </c>
      <c r="BX268" s="38">
        <f t="shared" si="267"/>
        <v>0.18348787446504991</v>
      </c>
      <c r="BY268" s="38">
        <f t="shared" si="268"/>
        <v>5.2920296869958049E-2</v>
      </c>
      <c r="BZ268" s="38">
        <f t="shared" si="269"/>
        <v>8.1104033970276004E-3</v>
      </c>
      <c r="CA268" s="38">
        <f t="shared" si="270"/>
        <v>0</v>
      </c>
      <c r="CB268" s="38">
        <f t="shared" si="271"/>
        <v>0</v>
      </c>
      <c r="CC268" s="38">
        <f t="shared" si="272"/>
        <v>0</v>
      </c>
      <c r="CD268" s="38">
        <f t="shared" si="273"/>
        <v>1.7248273760060628</v>
      </c>
      <c r="CE268" s="38">
        <f t="shared" si="274"/>
        <v>2.5741514443018856</v>
      </c>
      <c r="CF268" s="38">
        <f t="shared" si="275"/>
        <v>2.3190726536717143</v>
      </c>
      <c r="CG268" s="38">
        <f t="shared" si="276"/>
        <v>5.96964422089005</v>
      </c>
      <c r="CI268" s="16">
        <v>22.253387525686897</v>
      </c>
      <c r="CJ268" s="13">
        <v>11335.272086862069</v>
      </c>
      <c r="CK268" s="13">
        <v>85964.822373645817</v>
      </c>
      <c r="CL268" s="13">
        <v>23029.427017029448</v>
      </c>
      <c r="CM268" s="13">
        <v>232281.87253455634</v>
      </c>
      <c r="CN268" s="13">
        <v>74044.181156430088</v>
      </c>
      <c r="CO268" s="16">
        <v>156.00155485851246</v>
      </c>
      <c r="CP268" s="13">
        <v>6132.1543016484802</v>
      </c>
      <c r="CQ268" s="16">
        <v>231.65110064180107</v>
      </c>
      <c r="CR268" s="16">
        <v>0</v>
      </c>
      <c r="CS268" s="13">
        <v>3525.7142863735871</v>
      </c>
      <c r="CT268" s="16">
        <v>66.828732213824722</v>
      </c>
      <c r="CU268" s="16">
        <v>0</v>
      </c>
      <c r="CV268" s="16">
        <v>0.99914429090748524</v>
      </c>
      <c r="CW268" s="16">
        <v>193.44621382793642</v>
      </c>
      <c r="CX268" s="16">
        <v>3.7616929339188063</v>
      </c>
      <c r="CY268" s="16">
        <v>0</v>
      </c>
      <c r="CZ268" s="16">
        <v>1.1104560726708466</v>
      </c>
      <c r="DA268" s="16">
        <v>330.28698849249088</v>
      </c>
      <c r="DB268" s="16">
        <v>51.773616024295379</v>
      </c>
      <c r="DC268" s="16">
        <v>25.477639011403109</v>
      </c>
      <c r="DD268" s="16">
        <v>0</v>
      </c>
      <c r="DE268" s="16">
        <v>3.4618918947333626</v>
      </c>
      <c r="DF268" s="16">
        <v>86.360950397458026</v>
      </c>
      <c r="DG268" s="16">
        <v>263.94860434782663</v>
      </c>
      <c r="DH268" s="16">
        <v>37.281101331433639</v>
      </c>
      <c r="DI268" s="16">
        <v>161.59034670718029</v>
      </c>
      <c r="DJ268" s="16">
        <v>44.458229177096207</v>
      </c>
      <c r="DK268" s="16">
        <v>0.66530138163771657</v>
      </c>
      <c r="DL268" s="16">
        <v>48.989569891557451</v>
      </c>
      <c r="DM268" s="16">
        <v>8.4828012198251876</v>
      </c>
      <c r="DN268" s="16">
        <v>58.458762160189508</v>
      </c>
      <c r="DO268" s="16">
        <v>11.784620086642429</v>
      </c>
      <c r="DP268" s="16">
        <v>35.896693228316799</v>
      </c>
      <c r="DQ268" s="16">
        <v>4.9335118305309003</v>
      </c>
      <c r="DR268" s="16">
        <v>31.98378103770953</v>
      </c>
      <c r="DS268" s="16">
        <v>4.4399465721381945</v>
      </c>
      <c r="DT268" s="16">
        <v>3.8926348332092711</v>
      </c>
      <c r="DU268" s="16">
        <v>1.5859529246546704</v>
      </c>
      <c r="DV268" s="16">
        <v>0.61566837668610097</v>
      </c>
      <c r="DW268" s="16">
        <v>1.7821063515598177</v>
      </c>
      <c r="DX268" s="16">
        <v>0.3248400570517806</v>
      </c>
      <c r="DY268" s="16">
        <f>(DK268/0.05883)/SQRT((DJ268/0.1536)*(DL268/0.2069))</f>
        <v>4.3198387587208759E-2</v>
      </c>
    </row>
    <row r="269" spans="1:129" ht="15" customHeight="1" x14ac:dyDescent="0.25">
      <c r="A269" s="35" t="s">
        <v>89</v>
      </c>
      <c r="B269" s="15">
        <v>625</v>
      </c>
      <c r="C269" s="102" t="s">
        <v>97</v>
      </c>
      <c r="D269" s="103" t="s">
        <v>106</v>
      </c>
      <c r="E269" s="15">
        <v>136</v>
      </c>
      <c r="F269" s="15" t="s">
        <v>272</v>
      </c>
      <c r="G269" s="16">
        <v>7.6999999999999999E-2</v>
      </c>
      <c r="H269" s="16">
        <v>7.73</v>
      </c>
      <c r="I269" s="16">
        <v>0.82699999999999996</v>
      </c>
      <c r="J269" s="16">
        <v>8.5000000000000006E-2</v>
      </c>
      <c r="K269" s="16">
        <v>80.63</v>
      </c>
      <c r="L269" s="16">
        <v>0.41</v>
      </c>
      <c r="M269" s="16">
        <v>0.78</v>
      </c>
      <c r="N269" s="16">
        <v>2.7E-2</v>
      </c>
      <c r="O269" s="16">
        <v>0</v>
      </c>
      <c r="P269" s="16">
        <v>0</v>
      </c>
      <c r="Q269" s="16">
        <v>0</v>
      </c>
      <c r="T269" s="16">
        <f t="shared" si="226"/>
        <v>90.565999999999988</v>
      </c>
      <c r="U269" s="16"/>
      <c r="V269" s="16">
        <f t="shared" si="277"/>
        <v>35.458335103491095</v>
      </c>
      <c r="W269" s="16">
        <f t="shared" si="278"/>
        <v>50.199271199490347</v>
      </c>
      <c r="X269" s="16">
        <f t="shared" si="279"/>
        <v>95.593606302981442</v>
      </c>
      <c r="AD269" s="15">
        <v>4</v>
      </c>
      <c r="AE269" s="15">
        <v>3</v>
      </c>
      <c r="AG269" s="38">
        <f t="shared" si="227"/>
        <v>3.7421626680354263E-3</v>
      </c>
      <c r="AH269" s="38">
        <f t="shared" si="228"/>
        <v>0.28255519624058556</v>
      </c>
      <c r="AI269" s="38">
        <f t="shared" si="229"/>
        <v>4.7366090361393332E-2</v>
      </c>
      <c r="AJ269" s="38">
        <f t="shared" si="230"/>
        <v>3.2658464907761907E-3</v>
      </c>
      <c r="AK269" s="38">
        <f t="shared" si="231"/>
        <v>3.2766627807744637</v>
      </c>
      <c r="AL269" s="38">
        <f t="shared" si="232"/>
        <v>1.6875417779279919E-2</v>
      </c>
      <c r="AM269" s="38">
        <f t="shared" si="233"/>
        <v>5.6513397510406814E-2</v>
      </c>
      <c r="AN269" s="38">
        <f t="shared" si="234"/>
        <v>1.405780840353379E-3</v>
      </c>
      <c r="AO269" s="38">
        <f t="shared" si="235"/>
        <v>0</v>
      </c>
      <c r="AP269" s="38">
        <f t="shared" si="236"/>
        <v>0</v>
      </c>
      <c r="AQ269" s="38">
        <f t="shared" si="237"/>
        <v>0</v>
      </c>
      <c r="AR269" s="38">
        <f t="shared" si="238"/>
        <v>0</v>
      </c>
      <c r="AS269" s="38">
        <f t="shared" si="239"/>
        <v>0</v>
      </c>
      <c r="AT269" s="39">
        <f t="shared" si="240"/>
        <v>3.6883866726652941</v>
      </c>
      <c r="AU269" s="38">
        <f t="shared" si="241"/>
        <v>5.1108253029428757E-2</v>
      </c>
      <c r="AV269" s="38">
        <f t="shared" si="242"/>
        <v>1.405780840353379E-3</v>
      </c>
      <c r="AW269" s="40"/>
      <c r="AX269" s="38">
        <f t="shared" si="243"/>
        <v>3.0437394450278221E-3</v>
      </c>
      <c r="AY269" s="38">
        <f t="shared" si="244"/>
        <v>0.22982015280659773</v>
      </c>
      <c r="AZ269" s="38">
        <f t="shared" si="245"/>
        <v>3.8525860679758182E-2</v>
      </c>
      <c r="BA269" s="38">
        <f t="shared" si="246"/>
        <v>2.6563211349120001E-3</v>
      </c>
      <c r="BB269" s="38">
        <f t="shared" si="247"/>
        <v>1.1720286793784656</v>
      </c>
      <c r="BC269" s="38">
        <f t="shared" si="248"/>
        <v>1.493090033682078</v>
      </c>
      <c r="BD269" s="38">
        <f t="shared" si="249"/>
        <v>1.3725853016721893E-2</v>
      </c>
      <c r="BE269" s="38">
        <f t="shared" si="250"/>
        <v>4.5965948686369051E-2</v>
      </c>
      <c r="BF269" s="38">
        <f t="shared" si="251"/>
        <v>1.1434111700692729E-3</v>
      </c>
      <c r="BG269" s="38">
        <f t="shared" si="252"/>
        <v>0</v>
      </c>
      <c r="BH269" s="38">
        <f t="shared" si="253"/>
        <v>0</v>
      </c>
      <c r="BI269" s="38">
        <f t="shared" si="254"/>
        <v>0</v>
      </c>
      <c r="BJ269" s="38">
        <f t="shared" si="255"/>
        <v>0</v>
      </c>
      <c r="BK269" s="38">
        <f t="shared" si="256"/>
        <v>0</v>
      </c>
      <c r="BL269" s="41">
        <f t="shared" si="257"/>
        <v>2.9999999999999991</v>
      </c>
      <c r="BM269" s="42">
        <f t="shared" si="225"/>
        <v>3.9999999999999991</v>
      </c>
      <c r="BN269" s="38">
        <f t="shared" si="258"/>
        <v>4.1569600124786006E-2</v>
      </c>
      <c r="BO269" s="38">
        <f t="shared" si="259"/>
        <v>1.1434111700692729E-3</v>
      </c>
      <c r="BQ269" s="38">
        <f t="shared" si="260"/>
        <v>1.2816245006657789E-3</v>
      </c>
      <c r="BR269" s="38">
        <f t="shared" si="261"/>
        <v>9.6770155232849278E-2</v>
      </c>
      <c r="BS269" s="38">
        <f t="shared" si="262"/>
        <v>1.6222047861906629E-2</v>
      </c>
      <c r="BT269" s="38">
        <f t="shared" si="263"/>
        <v>1.1184946378051189E-3</v>
      </c>
      <c r="BU269" s="38">
        <f t="shared" si="264"/>
        <v>1.1221990257480863</v>
      </c>
      <c r="BV269" s="38">
        <f t="shared" si="265"/>
        <v>5.7795319988722862E-3</v>
      </c>
      <c r="BW269" s="38">
        <f t="shared" si="266"/>
        <v>1.935483870967742E-2</v>
      </c>
      <c r="BX269" s="38">
        <f t="shared" si="267"/>
        <v>4.8145506419400855E-4</v>
      </c>
      <c r="BY269" s="38">
        <f t="shared" si="268"/>
        <v>0</v>
      </c>
      <c r="BZ269" s="38">
        <f t="shared" si="269"/>
        <v>0</v>
      </c>
      <c r="CA269" s="38">
        <f t="shared" si="270"/>
        <v>0</v>
      </c>
      <c r="CB269" s="38">
        <f t="shared" si="271"/>
        <v>0</v>
      </c>
      <c r="CC269" s="38">
        <f t="shared" si="272"/>
        <v>0</v>
      </c>
      <c r="CD269" s="38">
        <f t="shared" si="273"/>
        <v>1.2632071737540569</v>
      </c>
      <c r="CE269" s="38">
        <f t="shared" si="274"/>
        <v>1.3699292247374277</v>
      </c>
      <c r="CF269" s="38">
        <f t="shared" si="275"/>
        <v>2.3749073487957344</v>
      </c>
      <c r="CG269" s="38">
        <f t="shared" si="276"/>
        <v>3.2534549831589601</v>
      </c>
    </row>
    <row r="270" spans="1:129" ht="15" customHeight="1" x14ac:dyDescent="0.25">
      <c r="A270" s="35" t="s">
        <v>89</v>
      </c>
      <c r="B270" s="15">
        <v>626</v>
      </c>
      <c r="C270" s="102" t="s">
        <v>97</v>
      </c>
      <c r="D270" s="103" t="s">
        <v>106</v>
      </c>
      <c r="E270" s="15">
        <v>137</v>
      </c>
      <c r="F270" s="15" t="s">
        <v>279</v>
      </c>
      <c r="G270" s="16">
        <v>2.3E-2</v>
      </c>
      <c r="H270" s="16">
        <v>46.34</v>
      </c>
      <c r="I270" s="16">
        <v>5.2999999999999999E-2</v>
      </c>
      <c r="J270" s="16">
        <v>4.3999999999999997E-2</v>
      </c>
      <c r="K270" s="16">
        <v>47.03</v>
      </c>
      <c r="L270" s="16">
        <v>0.85299999999999998</v>
      </c>
      <c r="M270" s="16">
        <v>1.98</v>
      </c>
      <c r="N270" s="16">
        <v>1.2E-2</v>
      </c>
      <c r="O270" s="16">
        <v>0.01</v>
      </c>
      <c r="P270" s="16">
        <v>7.0000000000000001E-3</v>
      </c>
      <c r="Q270" s="16">
        <v>0</v>
      </c>
      <c r="T270" s="16">
        <f t="shared" si="226"/>
        <v>96.352000000000018</v>
      </c>
      <c r="U270" s="16"/>
      <c r="V270" s="16">
        <f t="shared" si="277"/>
        <v>37.231998509038988</v>
      </c>
      <c r="W270" s="16">
        <f t="shared" si="278"/>
        <v>10.888519056904968</v>
      </c>
      <c r="X270" s="16">
        <f t="shared" si="279"/>
        <v>97.442517565943959</v>
      </c>
      <c r="AD270" s="15">
        <v>3</v>
      </c>
      <c r="AE270" s="15">
        <v>2</v>
      </c>
      <c r="AG270" s="38">
        <f t="shared" si="227"/>
        <v>6.1101845373843838E-4</v>
      </c>
      <c r="AH270" s="38">
        <f t="shared" si="228"/>
        <v>0.92592196794433679</v>
      </c>
      <c r="AI270" s="38">
        <f t="shared" si="229"/>
        <v>1.6593288085115091E-3</v>
      </c>
      <c r="AJ270" s="38">
        <f t="shared" si="230"/>
        <v>9.2411085559212201E-4</v>
      </c>
      <c r="AK270" s="38">
        <f t="shared" si="231"/>
        <v>1.044731335565926</v>
      </c>
      <c r="AL270" s="38">
        <f t="shared" si="232"/>
        <v>1.9191736042470906E-2</v>
      </c>
      <c r="AM270" s="38">
        <f t="shared" si="233"/>
        <v>7.8418143949939206E-2</v>
      </c>
      <c r="AN270" s="38">
        <f t="shared" si="234"/>
        <v>3.4153062737026646E-4</v>
      </c>
      <c r="AO270" s="38">
        <f t="shared" si="235"/>
        <v>5.150327412854831E-4</v>
      </c>
      <c r="AP270" s="38">
        <f t="shared" si="236"/>
        <v>2.3721030269014827E-4</v>
      </c>
      <c r="AQ270" s="38">
        <f t="shared" si="237"/>
        <v>0</v>
      </c>
      <c r="AR270" s="38">
        <f t="shared" si="238"/>
        <v>0</v>
      </c>
      <c r="AS270" s="38">
        <f t="shared" si="239"/>
        <v>0</v>
      </c>
      <c r="AT270" s="39">
        <f t="shared" si="240"/>
        <v>2.0725514152918607</v>
      </c>
      <c r="AU270" s="38">
        <f t="shared" si="241"/>
        <v>2.2703472622499473E-3</v>
      </c>
      <c r="AV270" s="38">
        <f t="shared" si="242"/>
        <v>1.0937736713458979E-3</v>
      </c>
      <c r="AW270" s="40"/>
      <c r="AX270" s="38">
        <f t="shared" si="243"/>
        <v>5.8962923595542614E-4</v>
      </c>
      <c r="AY270" s="38">
        <f t="shared" si="244"/>
        <v>0.89350928629574844</v>
      </c>
      <c r="AZ270" s="38">
        <f t="shared" si="245"/>
        <v>1.6012426000807699E-3</v>
      </c>
      <c r="BA270" s="38">
        <f t="shared" si="246"/>
        <v>8.9176157346329283E-4</v>
      </c>
      <c r="BB270" s="38">
        <f t="shared" si="247"/>
        <v>0.79812455660973147</v>
      </c>
      <c r="BC270" s="38">
        <f t="shared" si="248"/>
        <v>0.21003507490300954</v>
      </c>
      <c r="BD270" s="38">
        <f t="shared" si="249"/>
        <v>1.8519913089604382E-2</v>
      </c>
      <c r="BE270" s="38">
        <f t="shared" si="250"/>
        <v>7.567305049355913E-2</v>
      </c>
      <c r="BF270" s="38">
        <f t="shared" si="251"/>
        <v>3.2957505888670224E-4</v>
      </c>
      <c r="BG270" s="38">
        <f t="shared" si="252"/>
        <v>4.9700358455325008E-4</v>
      </c>
      <c r="BH270" s="38">
        <f t="shared" si="253"/>
        <v>2.2890655540793315E-4</v>
      </c>
      <c r="BI270" s="38">
        <f t="shared" si="254"/>
        <v>0</v>
      </c>
      <c r="BJ270" s="38">
        <f t="shared" si="255"/>
        <v>0</v>
      </c>
      <c r="BK270" s="38">
        <f t="shared" si="256"/>
        <v>0</v>
      </c>
      <c r="BL270" s="41">
        <f t="shared" si="257"/>
        <v>2.0000000000000004</v>
      </c>
      <c r="BM270" s="42">
        <f t="shared" si="225"/>
        <v>3.0000000000000004</v>
      </c>
      <c r="BN270" s="38">
        <f t="shared" si="258"/>
        <v>2.1908718360361961E-3</v>
      </c>
      <c r="BO270" s="38">
        <f t="shared" si="259"/>
        <v>1.0554851988478853E-3</v>
      </c>
      <c r="BQ270" s="38">
        <f t="shared" si="260"/>
        <v>3.8282290279627166E-4</v>
      </c>
      <c r="BR270" s="38">
        <f t="shared" si="261"/>
        <v>0.58012018027040568</v>
      </c>
      <c r="BS270" s="38">
        <f t="shared" si="262"/>
        <v>1.039623381718321E-3</v>
      </c>
      <c r="BT270" s="38">
        <f t="shared" si="263"/>
        <v>5.7898545956970842E-4</v>
      </c>
      <c r="BU270" s="38">
        <f t="shared" si="264"/>
        <v>0.65455810716771057</v>
      </c>
      <c r="BV270" s="38">
        <f t="shared" si="265"/>
        <v>1.2024245841556244E-2</v>
      </c>
      <c r="BW270" s="38">
        <f t="shared" si="266"/>
        <v>4.9131513647642684E-2</v>
      </c>
      <c r="BX270" s="38">
        <f t="shared" si="267"/>
        <v>2.1398002853067048E-4</v>
      </c>
      <c r="BY270" s="38">
        <f t="shared" si="268"/>
        <v>3.2268473701193938E-4</v>
      </c>
      <c r="BZ270" s="38">
        <f t="shared" si="269"/>
        <v>1.4861995753715499E-4</v>
      </c>
      <c r="CA270" s="38">
        <f t="shared" si="270"/>
        <v>0</v>
      </c>
      <c r="CB270" s="38">
        <f t="shared" si="271"/>
        <v>0</v>
      </c>
      <c r="CC270" s="38">
        <f t="shared" si="272"/>
        <v>0</v>
      </c>
      <c r="CD270" s="38">
        <f t="shared" si="273"/>
        <v>1.2985207633944791</v>
      </c>
      <c r="CE270" s="38">
        <f t="shared" si="274"/>
        <v>1.8795974186410507</v>
      </c>
      <c r="CF270" s="38">
        <f t="shared" si="275"/>
        <v>1.5402141085305217</v>
      </c>
      <c r="CG270" s="38">
        <f t="shared" si="276"/>
        <v>2.8949824625484957</v>
      </c>
    </row>
    <row r="271" spans="1:129" ht="15" customHeight="1" x14ac:dyDescent="0.25">
      <c r="A271" s="35" t="s">
        <v>89</v>
      </c>
      <c r="B271" s="15">
        <v>627</v>
      </c>
      <c r="C271" s="102" t="s">
        <v>97</v>
      </c>
      <c r="D271" s="103" t="s">
        <v>106</v>
      </c>
      <c r="E271" s="15">
        <v>138</v>
      </c>
      <c r="F271" s="15" t="s">
        <v>272</v>
      </c>
      <c r="G271" s="16">
        <v>0.125</v>
      </c>
      <c r="H271" s="16">
        <v>7.36</v>
      </c>
      <c r="I271" s="16">
        <v>0.82599999999999996</v>
      </c>
      <c r="J271" s="16">
        <v>0.03</v>
      </c>
      <c r="K271" s="16">
        <v>81.75</v>
      </c>
      <c r="L271" s="16">
        <v>0.44900000000000001</v>
      </c>
      <c r="M271" s="16">
        <v>0.82399999999999995</v>
      </c>
      <c r="N271" s="16">
        <v>3.1E-2</v>
      </c>
      <c r="O271" s="16">
        <v>1.9E-2</v>
      </c>
      <c r="P271" s="16">
        <v>0</v>
      </c>
      <c r="Q271" s="16">
        <v>0</v>
      </c>
      <c r="T271" s="16">
        <f t="shared" si="226"/>
        <v>91.414000000000001</v>
      </c>
      <c r="U271" s="16"/>
      <c r="V271" s="16">
        <f t="shared" si="277"/>
        <v>35.291195925425122</v>
      </c>
      <c r="W271" s="16">
        <f t="shared" si="278"/>
        <v>51.629668968075066</v>
      </c>
      <c r="X271" s="16">
        <f t="shared" si="279"/>
        <v>96.584864893500182</v>
      </c>
      <c r="AD271" s="15">
        <v>4</v>
      </c>
      <c r="AE271" s="15">
        <v>3</v>
      </c>
      <c r="AG271" s="38">
        <f t="shared" si="227"/>
        <v>6.0360492270464866E-3</v>
      </c>
      <c r="AH271" s="38">
        <f t="shared" si="228"/>
        <v>0.26730829889320112</v>
      </c>
      <c r="AI271" s="38">
        <f t="shared" si="229"/>
        <v>4.7005957132263174E-2</v>
      </c>
      <c r="AJ271" s="38">
        <f t="shared" si="230"/>
        <v>1.1452727286614735E-3</v>
      </c>
      <c r="AK271" s="38">
        <f t="shared" si="231"/>
        <v>3.3009099201790284</v>
      </c>
      <c r="AL271" s="38">
        <f t="shared" si="232"/>
        <v>1.8362332231730234E-2</v>
      </c>
      <c r="AM271" s="38">
        <f t="shared" si="233"/>
        <v>5.9319140476471501E-2</v>
      </c>
      <c r="AN271" s="38">
        <f t="shared" si="234"/>
        <v>1.6037119778016461E-3</v>
      </c>
      <c r="AO271" s="38">
        <f t="shared" si="235"/>
        <v>1.7787082061718241E-3</v>
      </c>
      <c r="AP271" s="38">
        <f t="shared" si="236"/>
        <v>0</v>
      </c>
      <c r="AQ271" s="38">
        <f t="shared" si="237"/>
        <v>0</v>
      </c>
      <c r="AR271" s="38">
        <f t="shared" si="238"/>
        <v>0</v>
      </c>
      <c r="AS271" s="38">
        <f t="shared" si="239"/>
        <v>0</v>
      </c>
      <c r="AT271" s="39">
        <f t="shared" si="240"/>
        <v>3.7034693910523764</v>
      </c>
      <c r="AU271" s="38">
        <f t="shared" si="241"/>
        <v>5.3042006359309661E-2</v>
      </c>
      <c r="AV271" s="38">
        <f t="shared" si="242"/>
        <v>3.3824201839734703E-3</v>
      </c>
      <c r="AW271" s="40"/>
      <c r="AX271" s="38">
        <f t="shared" si="243"/>
        <v>4.8895092058513969E-3</v>
      </c>
      <c r="AY271" s="38">
        <f t="shared" si="244"/>
        <v>0.21653342096388403</v>
      </c>
      <c r="AZ271" s="38">
        <f t="shared" si="245"/>
        <v>3.8077234211113045E-2</v>
      </c>
      <c r="BA271" s="38">
        <f t="shared" si="246"/>
        <v>9.277296024871696E-4</v>
      </c>
      <c r="BB271" s="38">
        <f t="shared" si="247"/>
        <v>1.1543161778105846</v>
      </c>
      <c r="BC271" s="38">
        <f t="shared" si="248"/>
        <v>1.5195900206481339</v>
      </c>
      <c r="BD271" s="38">
        <f t="shared" si="249"/>
        <v>1.4874430129834882E-2</v>
      </c>
      <c r="BE271" s="38">
        <f t="shared" si="250"/>
        <v>4.8051543738787651E-2</v>
      </c>
      <c r="BF271" s="38">
        <f t="shared" si="251"/>
        <v>1.2990888881189884E-3</v>
      </c>
      <c r="BG271" s="38">
        <f t="shared" si="252"/>
        <v>1.4408448012038686E-3</v>
      </c>
      <c r="BH271" s="38">
        <f t="shared" si="253"/>
        <v>0</v>
      </c>
      <c r="BI271" s="38">
        <f t="shared" si="254"/>
        <v>0</v>
      </c>
      <c r="BJ271" s="38">
        <f t="shared" si="255"/>
        <v>0</v>
      </c>
      <c r="BK271" s="38">
        <f t="shared" si="256"/>
        <v>0</v>
      </c>
      <c r="BL271" s="41">
        <f t="shared" si="257"/>
        <v>2.9999999999999996</v>
      </c>
      <c r="BM271" s="42">
        <f t="shared" si="225"/>
        <v>4</v>
      </c>
      <c r="BN271" s="38">
        <f t="shared" si="258"/>
        <v>4.2966743416964444E-2</v>
      </c>
      <c r="BO271" s="38">
        <f t="shared" si="259"/>
        <v>2.739933689322857E-3</v>
      </c>
      <c r="BQ271" s="38">
        <f t="shared" si="260"/>
        <v>2.0805592543275634E-3</v>
      </c>
      <c r="BR271" s="38">
        <f t="shared" si="261"/>
        <v>9.2138207310966461E-2</v>
      </c>
      <c r="BS271" s="38">
        <f t="shared" si="262"/>
        <v>1.6202432326402512E-2</v>
      </c>
      <c r="BT271" s="38">
        <f t="shared" si="263"/>
        <v>3.9476281334298308E-4</v>
      </c>
      <c r="BU271" s="38">
        <f t="shared" si="264"/>
        <v>1.1377870563674322</v>
      </c>
      <c r="BV271" s="38">
        <f t="shared" si="265"/>
        <v>6.3292923597406264E-3</v>
      </c>
      <c r="BW271" s="38">
        <f t="shared" si="266"/>
        <v>2.0446650124069481E-2</v>
      </c>
      <c r="BX271" s="38">
        <f t="shared" si="267"/>
        <v>5.5278174037089872E-4</v>
      </c>
      <c r="BY271" s="38">
        <f t="shared" si="268"/>
        <v>6.1310100032268471E-4</v>
      </c>
      <c r="BZ271" s="38">
        <f t="shared" si="269"/>
        <v>0</v>
      </c>
      <c r="CA271" s="38">
        <f t="shared" si="270"/>
        <v>0</v>
      </c>
      <c r="CB271" s="38">
        <f t="shared" si="271"/>
        <v>0</v>
      </c>
      <c r="CC271" s="38">
        <f t="shared" si="272"/>
        <v>0</v>
      </c>
      <c r="CD271" s="38">
        <f t="shared" si="273"/>
        <v>1.2765448432969755</v>
      </c>
      <c r="CE271" s="38">
        <f t="shared" si="274"/>
        <v>1.378755656931981</v>
      </c>
      <c r="CF271" s="38">
        <f t="shared" si="275"/>
        <v>2.3500937047004151</v>
      </c>
      <c r="CG271" s="38">
        <f t="shared" si="276"/>
        <v>3.240204989675934</v>
      </c>
    </row>
    <row r="272" spans="1:129" ht="15" customHeight="1" x14ac:dyDescent="0.25">
      <c r="A272" s="35" t="s">
        <v>89</v>
      </c>
      <c r="B272" s="15">
        <v>628</v>
      </c>
      <c r="C272" s="102" t="s">
        <v>97</v>
      </c>
      <c r="D272" s="103" t="s">
        <v>106</v>
      </c>
      <c r="E272" s="15">
        <v>139</v>
      </c>
      <c r="F272" s="15" t="s">
        <v>279</v>
      </c>
      <c r="G272" s="16">
        <v>0.02</v>
      </c>
      <c r="H272" s="16">
        <v>45.48</v>
      </c>
      <c r="I272" s="16">
        <v>8.5000000000000006E-2</v>
      </c>
      <c r="J272" s="16">
        <v>0</v>
      </c>
      <c r="K272" s="16">
        <v>47.65</v>
      </c>
      <c r="L272" s="16">
        <v>0.86599999999999999</v>
      </c>
      <c r="M272" s="16">
        <v>1.89</v>
      </c>
      <c r="N272" s="16">
        <v>6.3E-2</v>
      </c>
      <c r="O272" s="16">
        <v>0</v>
      </c>
      <c r="P272" s="16">
        <v>0</v>
      </c>
      <c r="Q272" s="16">
        <v>0</v>
      </c>
      <c r="T272" s="16">
        <f t="shared" si="226"/>
        <v>96.054000000000002</v>
      </c>
      <c r="U272" s="16"/>
      <c r="V272" s="16">
        <f t="shared" si="277"/>
        <v>36.604540275501904</v>
      </c>
      <c r="W272" s="16">
        <f t="shared" si="278"/>
        <v>12.274819391834727</v>
      </c>
      <c r="X272" s="16">
        <f t="shared" si="279"/>
        <v>97.28335966733664</v>
      </c>
      <c r="AD272" s="15">
        <v>3</v>
      </c>
      <c r="AE272" s="15">
        <v>2</v>
      </c>
      <c r="AG272" s="38">
        <f t="shared" si="227"/>
        <v>5.3539546830141775E-4</v>
      </c>
      <c r="AH272" s="38">
        <f t="shared" si="228"/>
        <v>0.91570802251676042</v>
      </c>
      <c r="AI272" s="38">
        <f t="shared" si="229"/>
        <v>2.6815982517866613E-3</v>
      </c>
      <c r="AJ272" s="38">
        <f t="shared" si="230"/>
        <v>0</v>
      </c>
      <c r="AK272" s="38">
        <f t="shared" si="231"/>
        <v>1.0666225270695326</v>
      </c>
      <c r="AL272" s="38">
        <f t="shared" si="232"/>
        <v>1.963366276500253E-2</v>
      </c>
      <c r="AM272" s="38">
        <f t="shared" si="233"/>
        <v>7.5427788958049552E-2</v>
      </c>
      <c r="AN272" s="38">
        <f t="shared" si="234"/>
        <v>1.8067878596109113E-3</v>
      </c>
      <c r="AO272" s="38">
        <f t="shared" si="235"/>
        <v>0</v>
      </c>
      <c r="AP272" s="38">
        <f t="shared" si="236"/>
        <v>0</v>
      </c>
      <c r="AQ272" s="38">
        <f t="shared" si="237"/>
        <v>0</v>
      </c>
      <c r="AR272" s="38">
        <f t="shared" si="238"/>
        <v>0</v>
      </c>
      <c r="AS272" s="38">
        <f t="shared" si="239"/>
        <v>0</v>
      </c>
      <c r="AT272" s="39">
        <f t="shared" si="240"/>
        <v>2.0824157828890444</v>
      </c>
      <c r="AU272" s="38">
        <f t="shared" si="241"/>
        <v>3.216993720088079E-3</v>
      </c>
      <c r="AV272" s="38">
        <f t="shared" si="242"/>
        <v>1.8067878596109113E-3</v>
      </c>
      <c r="AW272" s="40"/>
      <c r="AX272" s="38">
        <f t="shared" si="243"/>
        <v>5.1420611839450776E-4</v>
      </c>
      <c r="AY272" s="38">
        <f t="shared" si="244"/>
        <v>0.87946704019535515</v>
      </c>
      <c r="AZ272" s="38">
        <f t="shared" si="245"/>
        <v>2.5754686204561322E-3</v>
      </c>
      <c r="BA272" s="38">
        <f t="shared" si="246"/>
        <v>0</v>
      </c>
      <c r="BB272" s="38">
        <f t="shared" si="247"/>
        <v>0.78694676167469058</v>
      </c>
      <c r="BC272" s="38">
        <f t="shared" si="248"/>
        <v>0.23746203875204408</v>
      </c>
      <c r="BD272" s="38">
        <f t="shared" si="249"/>
        <v>1.8856621166944598E-2</v>
      </c>
      <c r="BE272" s="38">
        <f t="shared" si="250"/>
        <v>7.244258286729334E-2</v>
      </c>
      <c r="BF272" s="38">
        <f t="shared" si="251"/>
        <v>1.7352806048216366E-3</v>
      </c>
      <c r="BG272" s="38">
        <f t="shared" si="252"/>
        <v>0</v>
      </c>
      <c r="BH272" s="38">
        <f t="shared" si="253"/>
        <v>0</v>
      </c>
      <c r="BI272" s="38">
        <f t="shared" si="254"/>
        <v>0</v>
      </c>
      <c r="BJ272" s="38">
        <f t="shared" si="255"/>
        <v>0</v>
      </c>
      <c r="BK272" s="38">
        <f t="shared" si="256"/>
        <v>0</v>
      </c>
      <c r="BL272" s="41">
        <f t="shared" si="257"/>
        <v>2</v>
      </c>
      <c r="BM272" s="42">
        <f t="shared" si="225"/>
        <v>2.9999999999999996</v>
      </c>
      <c r="BN272" s="38">
        <f t="shared" si="258"/>
        <v>3.0896747388506401E-3</v>
      </c>
      <c r="BO272" s="38">
        <f t="shared" si="259"/>
        <v>1.7352806048216366E-3</v>
      </c>
      <c r="BQ272" s="38">
        <f t="shared" si="260"/>
        <v>3.3288948069241014E-4</v>
      </c>
      <c r="BR272" s="38">
        <f t="shared" si="261"/>
        <v>0.5693540310465699</v>
      </c>
      <c r="BS272" s="38">
        <f t="shared" si="262"/>
        <v>1.6673205178501375E-3</v>
      </c>
      <c r="BT272" s="38">
        <f t="shared" si="263"/>
        <v>0</v>
      </c>
      <c r="BU272" s="38">
        <f t="shared" si="264"/>
        <v>0.66318719554627703</v>
      </c>
      <c r="BV272" s="38">
        <f t="shared" si="265"/>
        <v>1.2207499295179025E-2</v>
      </c>
      <c r="BW272" s="38">
        <f t="shared" si="266"/>
        <v>4.6898263027295287E-2</v>
      </c>
      <c r="BX272" s="38">
        <f t="shared" si="267"/>
        <v>1.1233951497860201E-3</v>
      </c>
      <c r="BY272" s="38">
        <f t="shared" si="268"/>
        <v>0</v>
      </c>
      <c r="BZ272" s="38">
        <f t="shared" si="269"/>
        <v>0</v>
      </c>
      <c r="CA272" s="38">
        <f t="shared" si="270"/>
        <v>0</v>
      </c>
      <c r="CB272" s="38">
        <f t="shared" si="271"/>
        <v>0</v>
      </c>
      <c r="CC272" s="38">
        <f t="shared" si="272"/>
        <v>0</v>
      </c>
      <c r="CD272" s="38">
        <f t="shared" si="273"/>
        <v>1.2947705940636498</v>
      </c>
      <c r="CE272" s="38">
        <f t="shared" si="274"/>
        <v>1.8652911748498375</v>
      </c>
      <c r="CF272" s="38">
        <f t="shared" si="275"/>
        <v>1.5446751796571012</v>
      </c>
      <c r="CG272" s="38">
        <f t="shared" si="276"/>
        <v>2.8812689806239784</v>
      </c>
    </row>
    <row r="273" spans="1:167" ht="15" customHeight="1" x14ac:dyDescent="0.25">
      <c r="A273" s="35" t="s">
        <v>89</v>
      </c>
      <c r="B273" s="15">
        <v>629</v>
      </c>
      <c r="C273" s="102" t="s">
        <v>97</v>
      </c>
      <c r="D273" s="103" t="s">
        <v>106</v>
      </c>
      <c r="E273" s="15">
        <v>140</v>
      </c>
      <c r="F273" s="15" t="s">
        <v>272</v>
      </c>
      <c r="G273" s="16">
        <v>5.3999999999999999E-2</v>
      </c>
      <c r="H273" s="16">
        <v>7.32</v>
      </c>
      <c r="I273" s="16">
        <v>0.75600000000000001</v>
      </c>
      <c r="J273" s="16">
        <v>0</v>
      </c>
      <c r="K273" s="16">
        <v>83.12</v>
      </c>
      <c r="L273" s="16">
        <v>0.47399999999999998</v>
      </c>
      <c r="M273" s="16">
        <v>0.73</v>
      </c>
      <c r="N273" s="16">
        <v>8.0000000000000002E-3</v>
      </c>
      <c r="O273" s="16">
        <v>0.01</v>
      </c>
      <c r="P273" s="16">
        <v>0</v>
      </c>
      <c r="Q273" s="16">
        <v>0</v>
      </c>
      <c r="T273" s="16">
        <f t="shared" si="226"/>
        <v>92.472000000000008</v>
      </c>
      <c r="U273" s="16"/>
      <c r="V273" s="16">
        <f t="shared" si="277"/>
        <v>35.693607318115369</v>
      </c>
      <c r="W273" s="16">
        <f t="shared" si="278"/>
        <v>52.704950187378394</v>
      </c>
      <c r="X273" s="16">
        <f t="shared" si="279"/>
        <v>97.750557505493759</v>
      </c>
      <c r="AD273" s="15">
        <v>4</v>
      </c>
      <c r="AE273" s="15">
        <v>3</v>
      </c>
      <c r="AG273" s="38">
        <f t="shared" si="227"/>
        <v>2.5878367602655359E-3</v>
      </c>
      <c r="AH273" s="38">
        <f t="shared" si="228"/>
        <v>0.26384329789022304</v>
      </c>
      <c r="AI273" s="38">
        <f t="shared" si="229"/>
        <v>4.2696768454188849E-2</v>
      </c>
      <c r="AJ273" s="38">
        <f t="shared" si="230"/>
        <v>0</v>
      </c>
      <c r="AK273" s="38">
        <f t="shared" si="231"/>
        <v>3.3308249104660801</v>
      </c>
      <c r="AL273" s="38">
        <f t="shared" si="232"/>
        <v>1.9238012360967827E-2</v>
      </c>
      <c r="AM273" s="38">
        <f t="shared" si="233"/>
        <v>5.215438827609134E-2</v>
      </c>
      <c r="AN273" s="38">
        <f t="shared" si="234"/>
        <v>4.1072867479461457E-4</v>
      </c>
      <c r="AO273" s="38">
        <f t="shared" si="235"/>
        <v>9.2907647960963167E-4</v>
      </c>
      <c r="AP273" s="38">
        <f t="shared" si="236"/>
        <v>0</v>
      </c>
      <c r="AQ273" s="38">
        <f t="shared" si="237"/>
        <v>0</v>
      </c>
      <c r="AR273" s="38">
        <f t="shared" si="238"/>
        <v>0</v>
      </c>
      <c r="AS273" s="38">
        <f t="shared" si="239"/>
        <v>0</v>
      </c>
      <c r="AT273" s="39">
        <f t="shared" si="240"/>
        <v>3.7126850193622212</v>
      </c>
      <c r="AU273" s="38">
        <f t="shared" si="241"/>
        <v>4.5284605214454383E-2</v>
      </c>
      <c r="AV273" s="38">
        <f t="shared" si="242"/>
        <v>1.3398051544042462E-3</v>
      </c>
      <c r="AW273" s="40"/>
      <c r="AX273" s="38">
        <f t="shared" si="243"/>
        <v>2.0910770076935457E-3</v>
      </c>
      <c r="AY273" s="38">
        <f t="shared" si="244"/>
        <v>0.21319608034151008</v>
      </c>
      <c r="AZ273" s="38">
        <f t="shared" si="245"/>
        <v>3.4500719747179193E-2</v>
      </c>
      <c r="BA273" s="38">
        <f t="shared" si="246"/>
        <v>0</v>
      </c>
      <c r="BB273" s="38">
        <f t="shared" si="247"/>
        <v>1.1557658552024415</v>
      </c>
      <c r="BC273" s="38">
        <f t="shared" si="248"/>
        <v>1.5356756970127217</v>
      </c>
      <c r="BD273" s="38">
        <f t="shared" si="249"/>
        <v>1.5545093855771746E-2</v>
      </c>
      <c r="BE273" s="38">
        <f t="shared" si="250"/>
        <v>4.2142859955071499E-2</v>
      </c>
      <c r="BF273" s="38">
        <f t="shared" si="251"/>
        <v>3.3188541930107311E-4</v>
      </c>
      <c r="BG273" s="38">
        <f t="shared" si="252"/>
        <v>7.507314583093007E-4</v>
      </c>
      <c r="BH273" s="38">
        <f t="shared" si="253"/>
        <v>0</v>
      </c>
      <c r="BI273" s="38">
        <f t="shared" si="254"/>
        <v>0</v>
      </c>
      <c r="BJ273" s="38">
        <f t="shared" si="255"/>
        <v>0</v>
      </c>
      <c r="BK273" s="38">
        <f t="shared" si="256"/>
        <v>0</v>
      </c>
      <c r="BL273" s="41">
        <f t="shared" si="257"/>
        <v>3</v>
      </c>
      <c r="BM273" s="42">
        <f t="shared" si="225"/>
        <v>3.9999999999999987</v>
      </c>
      <c r="BN273" s="38">
        <f t="shared" si="258"/>
        <v>3.6591796754872737E-2</v>
      </c>
      <c r="BO273" s="38">
        <f t="shared" si="259"/>
        <v>1.0826168776103739E-3</v>
      </c>
      <c r="BQ273" s="38">
        <f t="shared" si="260"/>
        <v>8.9880159786950734E-4</v>
      </c>
      <c r="BR273" s="38">
        <f t="shared" si="261"/>
        <v>9.163745618427642E-2</v>
      </c>
      <c r="BS273" s="38">
        <f t="shared" si="262"/>
        <v>1.4829344841114164E-2</v>
      </c>
      <c r="BT273" s="38">
        <f t="shared" si="263"/>
        <v>0</v>
      </c>
      <c r="BU273" s="38">
        <f t="shared" si="264"/>
        <v>1.1568545581071679</v>
      </c>
      <c r="BV273" s="38">
        <f t="shared" si="265"/>
        <v>6.681702847476741E-3</v>
      </c>
      <c r="BW273" s="38">
        <f t="shared" si="266"/>
        <v>1.8114143920595533E-2</v>
      </c>
      <c r="BX273" s="38">
        <f t="shared" si="267"/>
        <v>1.4265335235378031E-4</v>
      </c>
      <c r="BY273" s="38">
        <f t="shared" si="268"/>
        <v>3.2268473701193938E-4</v>
      </c>
      <c r="BZ273" s="38">
        <f t="shared" si="269"/>
        <v>0</v>
      </c>
      <c r="CA273" s="38">
        <f t="shared" si="270"/>
        <v>0</v>
      </c>
      <c r="CB273" s="38">
        <f t="shared" si="271"/>
        <v>0</v>
      </c>
      <c r="CC273" s="38">
        <f t="shared" si="272"/>
        <v>0</v>
      </c>
      <c r="CD273" s="38">
        <f t="shared" si="273"/>
        <v>1.2894813455878662</v>
      </c>
      <c r="CE273" s="38">
        <f t="shared" si="274"/>
        <v>1.3892709334220634</v>
      </c>
      <c r="CF273" s="38">
        <f t="shared" si="275"/>
        <v>2.3265167893005225</v>
      </c>
      <c r="CG273" s="38">
        <f t="shared" si="276"/>
        <v>3.2321621514936392</v>
      </c>
    </row>
    <row r="274" spans="1:167" ht="15" customHeight="1" x14ac:dyDescent="0.25">
      <c r="A274" s="35" t="s">
        <v>89</v>
      </c>
      <c r="B274" s="15">
        <v>630</v>
      </c>
      <c r="C274" s="102" t="s">
        <v>97</v>
      </c>
      <c r="D274" s="103" t="s">
        <v>106</v>
      </c>
      <c r="E274" s="15">
        <v>141</v>
      </c>
      <c r="F274" s="15" t="s">
        <v>279</v>
      </c>
      <c r="G274" s="16">
        <v>3.2000000000000001E-2</v>
      </c>
      <c r="H274" s="16">
        <v>43.22</v>
      </c>
      <c r="I274" s="16">
        <v>6.5000000000000002E-2</v>
      </c>
      <c r="J274" s="16">
        <v>2.5999999999999999E-2</v>
      </c>
      <c r="K274" s="16">
        <v>47.81</v>
      </c>
      <c r="L274" s="16">
        <v>0.86499999999999999</v>
      </c>
      <c r="M274" s="16">
        <v>1.78</v>
      </c>
      <c r="N274" s="16">
        <v>3.6999999999999998E-2</v>
      </c>
      <c r="O274" s="16">
        <v>2.8000000000000001E-2</v>
      </c>
      <c r="P274" s="16">
        <v>4.2000000000000003E-2</v>
      </c>
      <c r="Q274" s="16">
        <v>0</v>
      </c>
      <c r="T274" s="16">
        <f t="shared" si="226"/>
        <v>93.905000000000001</v>
      </c>
      <c r="U274" s="16"/>
      <c r="V274" s="16">
        <f t="shared" si="277"/>
        <v>34.558544659258956</v>
      </c>
      <c r="W274" s="16">
        <f t="shared" si="278"/>
        <v>14.72634232016553</v>
      </c>
      <c r="X274" s="16">
        <f t="shared" si="279"/>
        <v>95.379886979424484</v>
      </c>
      <c r="AD274" s="15">
        <v>3</v>
      </c>
      <c r="AE274" s="15">
        <v>2</v>
      </c>
      <c r="AG274" s="38">
        <f t="shared" si="227"/>
        <v>8.8331436433301694E-4</v>
      </c>
      <c r="AH274" s="38">
        <f t="shared" si="228"/>
        <v>0.89730883721460974</v>
      </c>
      <c r="AI274" s="38">
        <f t="shared" si="229"/>
        <v>2.1145052321947929E-3</v>
      </c>
      <c r="AJ274" s="38">
        <f t="shared" si="230"/>
        <v>5.6739246917450101E-4</v>
      </c>
      <c r="AK274" s="38">
        <f t="shared" si="231"/>
        <v>1.1035377897992316</v>
      </c>
      <c r="AL274" s="38">
        <f t="shared" si="232"/>
        <v>2.0221816351360049E-2</v>
      </c>
      <c r="AM274" s="38">
        <f t="shared" si="233"/>
        <v>7.3250432751432407E-2</v>
      </c>
      <c r="AN274" s="38">
        <f t="shared" si="234"/>
        <v>1.0941804672664735E-3</v>
      </c>
      <c r="AO274" s="38">
        <f t="shared" si="235"/>
        <v>1.4984135570502322E-3</v>
      </c>
      <c r="AP274" s="38">
        <f t="shared" si="236"/>
        <v>1.4788482844900221E-3</v>
      </c>
      <c r="AQ274" s="38">
        <f t="shared" si="237"/>
        <v>0</v>
      </c>
      <c r="AR274" s="38">
        <f t="shared" si="238"/>
        <v>0</v>
      </c>
      <c r="AS274" s="38">
        <f t="shared" si="239"/>
        <v>0</v>
      </c>
      <c r="AT274" s="39">
        <f t="shared" si="240"/>
        <v>2.1019555304911428</v>
      </c>
      <c r="AU274" s="38">
        <f t="shared" si="241"/>
        <v>2.9978195965278099E-3</v>
      </c>
      <c r="AV274" s="38">
        <f t="shared" si="242"/>
        <v>4.0714423088067282E-3</v>
      </c>
      <c r="AW274" s="40"/>
      <c r="AX274" s="38">
        <f t="shared" si="243"/>
        <v>8.4046912650585131E-4</v>
      </c>
      <c r="AY274" s="38">
        <f t="shared" si="244"/>
        <v>0.85378479629865889</v>
      </c>
      <c r="AZ274" s="38">
        <f t="shared" si="245"/>
        <v>2.0119409773628446E-3</v>
      </c>
      <c r="BA274" s="38">
        <f t="shared" si="246"/>
        <v>5.3987104954777445E-4</v>
      </c>
      <c r="BB274" s="38">
        <f t="shared" si="247"/>
        <v>0.75898008949734508</v>
      </c>
      <c r="BC274" s="38">
        <f t="shared" si="248"/>
        <v>0.29103050662728291</v>
      </c>
      <c r="BD274" s="38">
        <f t="shared" si="249"/>
        <v>1.9240955441750019E-2</v>
      </c>
      <c r="BE274" s="38">
        <f t="shared" si="250"/>
        <v>6.96974143257129E-2</v>
      </c>
      <c r="BF274" s="38">
        <f t="shared" si="251"/>
        <v>1.041107151311434E-3</v>
      </c>
      <c r="BG274" s="38">
        <f t="shared" si="252"/>
        <v>1.4257328809426462E-3</v>
      </c>
      <c r="BH274" s="38">
        <f t="shared" si="253"/>
        <v>1.4071166235800189E-3</v>
      </c>
      <c r="BI274" s="38">
        <f t="shared" si="254"/>
        <v>0</v>
      </c>
      <c r="BJ274" s="38">
        <f t="shared" si="255"/>
        <v>0</v>
      </c>
      <c r="BK274" s="38">
        <f t="shared" si="256"/>
        <v>0</v>
      </c>
      <c r="BL274" s="41">
        <f t="shared" si="257"/>
        <v>2.0000000000000004</v>
      </c>
      <c r="BM274" s="42">
        <f t="shared" si="225"/>
        <v>3.0000000000000004</v>
      </c>
      <c r="BN274" s="38">
        <f t="shared" si="258"/>
        <v>2.8524101038686959E-3</v>
      </c>
      <c r="BO274" s="38">
        <f t="shared" si="259"/>
        <v>3.8739566558340993E-3</v>
      </c>
      <c r="BQ274" s="38">
        <f t="shared" si="260"/>
        <v>5.3262316910785627E-4</v>
      </c>
      <c r="BR274" s="38">
        <f t="shared" si="261"/>
        <v>0.54106159238858287</v>
      </c>
      <c r="BS274" s="38">
        <f t="shared" si="262"/>
        <v>1.2750098077677521E-3</v>
      </c>
      <c r="BT274" s="38">
        <f t="shared" si="263"/>
        <v>3.4212777156391862E-4</v>
      </c>
      <c r="BU274" s="38">
        <f t="shared" si="264"/>
        <v>0.66541405706332646</v>
      </c>
      <c r="BV274" s="38">
        <f t="shared" si="265"/>
        <v>1.2193402875669581E-2</v>
      </c>
      <c r="BW274" s="38">
        <f t="shared" si="266"/>
        <v>4.4168734491315143E-2</v>
      </c>
      <c r="BX274" s="38">
        <f t="shared" si="267"/>
        <v>6.597717546362339E-4</v>
      </c>
      <c r="BY274" s="38">
        <f t="shared" si="268"/>
        <v>9.0351726363343025E-4</v>
      </c>
      <c r="BZ274" s="38">
        <f t="shared" si="269"/>
        <v>8.9171974522292993E-4</v>
      </c>
      <c r="CA274" s="38">
        <f t="shared" si="270"/>
        <v>0</v>
      </c>
      <c r="CB274" s="38">
        <f t="shared" si="271"/>
        <v>0</v>
      </c>
      <c r="CC274" s="38">
        <f t="shared" si="272"/>
        <v>0</v>
      </c>
      <c r="CD274" s="38">
        <f t="shared" si="273"/>
        <v>1.267442556330826</v>
      </c>
      <c r="CE274" s="38">
        <f t="shared" si="274"/>
        <v>1.8089477221737544</v>
      </c>
      <c r="CF274" s="38">
        <f t="shared" si="275"/>
        <v>1.5779807850147356</v>
      </c>
      <c r="CG274" s="38">
        <f t="shared" si="276"/>
        <v>2.8544847466863588</v>
      </c>
    </row>
    <row r="275" spans="1:167" ht="15" customHeight="1" x14ac:dyDescent="0.25">
      <c r="A275" s="35" t="s">
        <v>89</v>
      </c>
      <c r="B275" s="15">
        <v>634</v>
      </c>
      <c r="C275" s="102" t="s">
        <v>97</v>
      </c>
      <c r="D275" s="103" t="s">
        <v>106</v>
      </c>
      <c r="E275" s="15">
        <v>145</v>
      </c>
      <c r="F275" s="15" t="s">
        <v>270</v>
      </c>
      <c r="G275" s="16">
        <v>44.82</v>
      </c>
      <c r="H275" s="16">
        <v>1.63</v>
      </c>
      <c r="I275" s="16">
        <v>8.2100000000000009</v>
      </c>
      <c r="J275" s="16">
        <v>0</v>
      </c>
      <c r="K275" s="16">
        <v>14.81</v>
      </c>
      <c r="L275" s="16">
        <v>0.30199999999999999</v>
      </c>
      <c r="M275" s="16">
        <v>11.94</v>
      </c>
      <c r="N275" s="16">
        <v>13.08</v>
      </c>
      <c r="O275" s="16">
        <v>2.2200000000000002</v>
      </c>
      <c r="P275" s="16">
        <v>0.51700000000000002</v>
      </c>
      <c r="Q275" s="16">
        <v>0</v>
      </c>
      <c r="S275" s="16">
        <v>0</v>
      </c>
      <c r="T275" s="16">
        <f t="shared" si="226"/>
        <v>97.528999999999996</v>
      </c>
      <c r="U275" s="16"/>
      <c r="V275" s="16">
        <f t="shared" si="277"/>
        <v>4.8435777151911328</v>
      </c>
      <c r="W275" s="16">
        <f t="shared" si="278"/>
        <v>11.075685085108095</v>
      </c>
      <c r="X275" s="16">
        <f t="shared" si="279"/>
        <v>98.638262800299216</v>
      </c>
      <c r="AD275" s="15">
        <v>6</v>
      </c>
      <c r="AE275" s="15">
        <v>4</v>
      </c>
      <c r="AG275" s="38">
        <f t="shared" si="227"/>
        <v>1.7514667122597452</v>
      </c>
      <c r="AH275" s="38">
        <f t="shared" si="228"/>
        <v>4.7908161807157894E-2</v>
      </c>
      <c r="AI275" s="38">
        <f t="shared" si="229"/>
        <v>0.37809704700663194</v>
      </c>
      <c r="AJ275" s="38">
        <f t="shared" si="230"/>
        <v>0</v>
      </c>
      <c r="AK275" s="38">
        <f t="shared" si="231"/>
        <v>0.483936351071865</v>
      </c>
      <c r="AL275" s="38">
        <f t="shared" si="232"/>
        <v>9.9948370564344833E-3</v>
      </c>
      <c r="AM275" s="38">
        <f t="shared" si="233"/>
        <v>0.69559946633317493</v>
      </c>
      <c r="AN275" s="38">
        <f t="shared" si="234"/>
        <v>0.54759528307760941</v>
      </c>
      <c r="AO275" s="38">
        <f t="shared" si="235"/>
        <v>0.16818658705748768</v>
      </c>
      <c r="AP275" s="38">
        <f t="shared" si="236"/>
        <v>2.5770900576837362E-2</v>
      </c>
      <c r="AQ275" s="38">
        <f t="shared" si="237"/>
        <v>0</v>
      </c>
      <c r="AR275" s="38">
        <f t="shared" si="238"/>
        <v>0</v>
      </c>
      <c r="AS275" s="38">
        <f t="shared" si="239"/>
        <v>0</v>
      </c>
      <c r="AT275" s="39">
        <f t="shared" si="240"/>
        <v>4.108555346246944</v>
      </c>
      <c r="AU275" s="38">
        <f t="shared" si="241"/>
        <v>2.129563759266377</v>
      </c>
      <c r="AV275" s="38">
        <f t="shared" si="242"/>
        <v>0.74155277071193448</v>
      </c>
      <c r="AW275" s="40"/>
      <c r="AX275" s="38">
        <f t="shared" si="243"/>
        <v>1.7051898437825967</v>
      </c>
      <c r="AY275" s="38">
        <f t="shared" si="244"/>
        <v>4.6642342886699301E-2</v>
      </c>
      <c r="AZ275" s="38">
        <f t="shared" si="245"/>
        <v>0.36810704994105869</v>
      </c>
      <c r="BA275" s="38">
        <f t="shared" si="246"/>
        <v>0</v>
      </c>
      <c r="BB275" s="38">
        <f t="shared" si="247"/>
        <v>0.15408852892840652</v>
      </c>
      <c r="BC275" s="38">
        <f t="shared" si="248"/>
        <v>0.31706136225066972</v>
      </c>
      <c r="BD275" s="38">
        <f t="shared" si="249"/>
        <v>9.7307556687189316E-3</v>
      </c>
      <c r="BE275" s="38">
        <f t="shared" si="250"/>
        <v>0.67722049013513852</v>
      </c>
      <c r="BF275" s="38">
        <f t="shared" si="251"/>
        <v>0.53312684087639028</v>
      </c>
      <c r="BG275" s="38">
        <f t="shared" si="252"/>
        <v>0.16374279802375949</v>
      </c>
      <c r="BH275" s="38">
        <f t="shared" si="253"/>
        <v>2.5089987506560805E-2</v>
      </c>
      <c r="BI275" s="38">
        <f t="shared" si="254"/>
        <v>0</v>
      </c>
      <c r="BJ275" s="38">
        <f t="shared" si="255"/>
        <v>0</v>
      </c>
      <c r="BK275" s="38">
        <f t="shared" si="256"/>
        <v>0</v>
      </c>
      <c r="BL275" s="41">
        <f t="shared" si="257"/>
        <v>3.9999999999999991</v>
      </c>
      <c r="BM275" s="42">
        <f t="shared" si="225"/>
        <v>5.9999999999999991</v>
      </c>
      <c r="BN275" s="38">
        <f t="shared" si="258"/>
        <v>2.0732968937236556</v>
      </c>
      <c r="BO275" s="38">
        <f t="shared" si="259"/>
        <v>0.72195962640671052</v>
      </c>
      <c r="BQ275" s="38">
        <f t="shared" si="260"/>
        <v>0.74600532623169113</v>
      </c>
      <c r="BR275" s="38">
        <f t="shared" si="261"/>
        <v>2.0405608412618927E-2</v>
      </c>
      <c r="BS275" s="38">
        <f t="shared" si="262"/>
        <v>0.16104354648881916</v>
      </c>
      <c r="BT275" s="38">
        <f t="shared" si="263"/>
        <v>0</v>
      </c>
      <c r="BU275" s="38">
        <f t="shared" si="264"/>
        <v>0.20612386917188591</v>
      </c>
      <c r="BV275" s="38">
        <f t="shared" si="265"/>
        <v>4.2571186918522698E-3</v>
      </c>
      <c r="BW275" s="38">
        <f t="shared" si="266"/>
        <v>0.29627791563275435</v>
      </c>
      <c r="BX275" s="38">
        <f t="shared" si="267"/>
        <v>0.23323823109843081</v>
      </c>
      <c r="BY275" s="38">
        <f t="shared" si="268"/>
        <v>7.1636011616650536E-2</v>
      </c>
      <c r="BZ275" s="38">
        <f t="shared" si="269"/>
        <v>1.0976645435244162E-2</v>
      </c>
      <c r="CA275" s="38">
        <f t="shared" si="270"/>
        <v>0</v>
      </c>
      <c r="CB275" s="38">
        <f t="shared" si="271"/>
        <v>0</v>
      </c>
      <c r="CC275" s="38">
        <f t="shared" si="272"/>
        <v>0</v>
      </c>
      <c r="CD275" s="38">
        <f t="shared" si="273"/>
        <v>1.7499642727799476</v>
      </c>
      <c r="CE275" s="38">
        <f t="shared" si="274"/>
        <v>2.5555906521427194</v>
      </c>
      <c r="CF275" s="38">
        <f t="shared" si="275"/>
        <v>2.2857609507911292</v>
      </c>
      <c r="CG275" s="38">
        <f t="shared" si="276"/>
        <v>5.8414693188746645</v>
      </c>
    </row>
    <row r="276" spans="1:167" ht="15" customHeight="1" x14ac:dyDescent="0.25">
      <c r="A276" s="35" t="s">
        <v>89</v>
      </c>
      <c r="B276" s="15">
        <v>638</v>
      </c>
      <c r="C276" s="102" t="s">
        <v>97</v>
      </c>
      <c r="D276" s="103" t="s">
        <v>106</v>
      </c>
      <c r="E276" s="15">
        <v>149</v>
      </c>
      <c r="F276" s="15" t="s">
        <v>270</v>
      </c>
      <c r="G276" s="16">
        <v>49.57</v>
      </c>
      <c r="H276" s="16">
        <v>1.0429999999999999</v>
      </c>
      <c r="I276" s="16">
        <v>3.61</v>
      </c>
      <c r="J276" s="16">
        <v>0</v>
      </c>
      <c r="K276" s="16">
        <v>16.54</v>
      </c>
      <c r="L276" s="16">
        <v>0.60499999999999998</v>
      </c>
      <c r="M276" s="16">
        <v>13.09</v>
      </c>
      <c r="N276" s="16">
        <v>9.91</v>
      </c>
      <c r="O276" s="16">
        <v>1.83</v>
      </c>
      <c r="P276" s="16">
        <v>0.53200000000000003</v>
      </c>
      <c r="Q276" s="16">
        <v>0</v>
      </c>
      <c r="S276" s="16">
        <v>0</v>
      </c>
      <c r="T276" s="16">
        <f t="shared" si="226"/>
        <v>96.73</v>
      </c>
      <c r="U276" s="16"/>
      <c r="V276" s="16">
        <f t="shared" si="277"/>
        <v>13.463019230238576</v>
      </c>
      <c r="W276" s="16">
        <f t="shared" si="278"/>
        <v>3.41944872943587</v>
      </c>
      <c r="X276" s="16">
        <f t="shared" si="279"/>
        <v>97.072467959674441</v>
      </c>
      <c r="AD276" s="15">
        <v>6</v>
      </c>
      <c r="AE276" s="15">
        <v>4</v>
      </c>
      <c r="AG276" s="38">
        <f t="shared" si="227"/>
        <v>1.9353415024004514</v>
      </c>
      <c r="AH276" s="38">
        <f t="shared" si="228"/>
        <v>3.0627734044879236E-2</v>
      </c>
      <c r="AI276" s="38">
        <f t="shared" si="229"/>
        <v>0.16610242991485547</v>
      </c>
      <c r="AJ276" s="38">
        <f t="shared" si="230"/>
        <v>0</v>
      </c>
      <c r="AK276" s="38">
        <f t="shared" si="231"/>
        <v>0.53997959370788762</v>
      </c>
      <c r="AL276" s="38">
        <f t="shared" si="232"/>
        <v>2.0004735130311424E-2</v>
      </c>
      <c r="AM276" s="38">
        <f t="shared" si="233"/>
        <v>0.76190919606212848</v>
      </c>
      <c r="AN276" s="38">
        <f t="shared" si="234"/>
        <v>0.41450928630675005</v>
      </c>
      <c r="AO276" s="38">
        <f t="shared" si="235"/>
        <v>0.13851542169369779</v>
      </c>
      <c r="AP276" s="38">
        <f t="shared" si="236"/>
        <v>2.649472036626006E-2</v>
      </c>
      <c r="AQ276" s="38">
        <f t="shared" si="237"/>
        <v>0</v>
      </c>
      <c r="AR276" s="38">
        <f t="shared" si="238"/>
        <v>0</v>
      </c>
      <c r="AS276" s="38">
        <f t="shared" si="239"/>
        <v>0</v>
      </c>
      <c r="AT276" s="39">
        <f t="shared" si="240"/>
        <v>4.033484619627222</v>
      </c>
      <c r="AU276" s="38">
        <f t="shared" si="241"/>
        <v>2.1014439323153069</v>
      </c>
      <c r="AV276" s="38">
        <f t="shared" si="242"/>
        <v>0.57951942836670789</v>
      </c>
      <c r="AW276" s="40"/>
      <c r="AX276" s="38">
        <f t="shared" si="243"/>
        <v>1.919274954448015</v>
      </c>
      <c r="AY276" s="38">
        <f t="shared" si="244"/>
        <v>3.0373472997360658E-2</v>
      </c>
      <c r="AZ276" s="38">
        <f t="shared" si="245"/>
        <v>0.16472350394652732</v>
      </c>
      <c r="BA276" s="38">
        <f t="shared" si="246"/>
        <v>0</v>
      </c>
      <c r="BB276" s="38">
        <f t="shared" si="247"/>
        <v>0.43587694142921307</v>
      </c>
      <c r="BC276" s="38">
        <f t="shared" si="248"/>
        <v>9.9619925057207848E-2</v>
      </c>
      <c r="BD276" s="38">
        <f t="shared" si="249"/>
        <v>1.9838662612438846E-2</v>
      </c>
      <c r="BE276" s="38">
        <f t="shared" si="250"/>
        <v>0.75558408464445304</v>
      </c>
      <c r="BF276" s="38">
        <f t="shared" si="251"/>
        <v>0.41106817097030046</v>
      </c>
      <c r="BG276" s="38">
        <f t="shared" si="252"/>
        <v>0.13736551369966499</v>
      </c>
      <c r="BH276" s="38">
        <f t="shared" si="253"/>
        <v>2.6274770194818518E-2</v>
      </c>
      <c r="BI276" s="38">
        <f t="shared" si="254"/>
        <v>0</v>
      </c>
      <c r="BJ276" s="38">
        <f t="shared" si="255"/>
        <v>0</v>
      </c>
      <c r="BK276" s="38">
        <f t="shared" si="256"/>
        <v>0</v>
      </c>
      <c r="BL276" s="41">
        <f t="shared" si="257"/>
        <v>3.9999999999999996</v>
      </c>
      <c r="BM276" s="42">
        <f t="shared" si="225"/>
        <v>6.0000000000000009</v>
      </c>
      <c r="BN276" s="38">
        <f t="shared" si="258"/>
        <v>2.0839984583945421</v>
      </c>
      <c r="BO276" s="38">
        <f t="shared" si="259"/>
        <v>0.57470845486478395</v>
      </c>
      <c r="BQ276" s="38">
        <f t="shared" si="260"/>
        <v>0.82506657789613846</v>
      </c>
      <c r="BR276" s="38">
        <f t="shared" si="261"/>
        <v>1.3057085628442664E-2</v>
      </c>
      <c r="BS276" s="38">
        <f t="shared" si="262"/>
        <v>7.0812083169870546E-2</v>
      </c>
      <c r="BT276" s="38">
        <f t="shared" si="263"/>
        <v>0</v>
      </c>
      <c r="BU276" s="38">
        <f t="shared" si="264"/>
        <v>0.2302018093249826</v>
      </c>
      <c r="BV276" s="38">
        <f t="shared" si="265"/>
        <v>8.528333803213984E-3</v>
      </c>
      <c r="BW276" s="38">
        <f t="shared" si="266"/>
        <v>0.32481389578163772</v>
      </c>
      <c r="BX276" s="38">
        <f t="shared" si="267"/>
        <v>0.17671184022824538</v>
      </c>
      <c r="BY276" s="38">
        <f t="shared" si="268"/>
        <v>5.9051306873184904E-2</v>
      </c>
      <c r="BZ276" s="38">
        <f t="shared" si="269"/>
        <v>1.129511677282378E-2</v>
      </c>
      <c r="CA276" s="38">
        <f t="shared" si="270"/>
        <v>0</v>
      </c>
      <c r="CB276" s="38">
        <f t="shared" si="271"/>
        <v>0</v>
      </c>
      <c r="CC276" s="38">
        <f t="shared" si="272"/>
        <v>0</v>
      </c>
      <c r="CD276" s="38">
        <f t="shared" si="273"/>
        <v>1.7195380494785402</v>
      </c>
      <c r="CE276" s="38">
        <f t="shared" si="274"/>
        <v>2.5578945427650517</v>
      </c>
      <c r="CF276" s="38">
        <f t="shared" si="275"/>
        <v>2.3262061582254741</v>
      </c>
      <c r="CG276" s="38">
        <f t="shared" si="276"/>
        <v>5.9501900374713967</v>
      </c>
    </row>
    <row r="277" spans="1:167" ht="15" customHeight="1" x14ac:dyDescent="0.25">
      <c r="A277" s="35" t="s">
        <v>89</v>
      </c>
      <c r="B277" s="15">
        <v>645</v>
      </c>
      <c r="C277" s="102" t="s">
        <v>97</v>
      </c>
      <c r="D277" s="103" t="s">
        <v>106</v>
      </c>
      <c r="E277" s="15">
        <v>156</v>
      </c>
      <c r="F277" s="15" t="s">
        <v>270</v>
      </c>
      <c r="G277" s="16">
        <v>49.57</v>
      </c>
      <c r="H277" s="16">
        <v>1.0029999999999999</v>
      </c>
      <c r="I277" s="16">
        <v>4.03</v>
      </c>
      <c r="J277" s="16">
        <v>0</v>
      </c>
      <c r="K277" s="16">
        <v>15.37</v>
      </c>
      <c r="L277" s="16">
        <v>0.47499999999999998</v>
      </c>
      <c r="M277" s="16">
        <v>13.63</v>
      </c>
      <c r="N277" s="16">
        <v>10.18</v>
      </c>
      <c r="O277" s="16">
        <v>1.64</v>
      </c>
      <c r="P277" s="16">
        <v>0.46800000000000003</v>
      </c>
      <c r="Q277" s="16">
        <v>0</v>
      </c>
      <c r="S277" s="16">
        <v>0</v>
      </c>
      <c r="T277" s="16">
        <f t="shared" si="226"/>
        <v>96.365999999999985</v>
      </c>
      <c r="U277" s="16"/>
      <c r="V277" s="16">
        <f t="shared" si="277"/>
        <v>13.326315346119326</v>
      </c>
      <c r="W277" s="16">
        <f t="shared" si="278"/>
        <v>2.271146755857592</v>
      </c>
      <c r="X277" s="16">
        <f t="shared" si="279"/>
        <v>96.593462101976925</v>
      </c>
      <c r="AD277" s="15">
        <v>6</v>
      </c>
      <c r="AE277" s="15">
        <v>4</v>
      </c>
      <c r="AG277" s="38">
        <f t="shared" si="227"/>
        <v>1.9295263058235199</v>
      </c>
      <c r="AH277" s="38">
        <f t="shared" si="228"/>
        <v>2.9364633564033439E-2</v>
      </c>
      <c r="AI277" s="38">
        <f t="shared" si="229"/>
        <v>0.1848702054732784</v>
      </c>
      <c r="AJ277" s="38">
        <f t="shared" si="230"/>
        <v>0</v>
      </c>
      <c r="AK277" s="38">
        <f t="shared" si="231"/>
        <v>0.50027500380126166</v>
      </c>
      <c r="AL277" s="38">
        <f t="shared" si="232"/>
        <v>1.5659003976513101E-2</v>
      </c>
      <c r="AM277" s="38">
        <f t="shared" si="233"/>
        <v>0.79095635286608501</v>
      </c>
      <c r="AN277" s="38">
        <f t="shared" si="234"/>
        <v>0.42452325153972842</v>
      </c>
      <c r="AO277" s="38">
        <f t="shared" si="235"/>
        <v>0.12376104869373118</v>
      </c>
      <c r="AP277" s="38">
        <f t="shared" si="236"/>
        <v>2.3237352969043102E-2</v>
      </c>
      <c r="AQ277" s="38">
        <f t="shared" si="237"/>
        <v>0</v>
      </c>
      <c r="AR277" s="38">
        <f t="shared" si="238"/>
        <v>0</v>
      </c>
      <c r="AS277" s="38">
        <f t="shared" si="239"/>
        <v>0</v>
      </c>
      <c r="AT277" s="39">
        <f t="shared" si="240"/>
        <v>4.0221731587071945</v>
      </c>
      <c r="AU277" s="38">
        <f t="shared" si="241"/>
        <v>2.1143965112967984</v>
      </c>
      <c r="AV277" s="38">
        <f t="shared" si="242"/>
        <v>0.5715216532025027</v>
      </c>
      <c r="AW277" s="40"/>
      <c r="AX277" s="38">
        <f t="shared" si="243"/>
        <v>1.9188893463191499</v>
      </c>
      <c r="AY277" s="38">
        <f t="shared" si="244"/>
        <v>2.9202754237932217E-2</v>
      </c>
      <c r="AZ277" s="38">
        <f t="shared" si="245"/>
        <v>0.18385106575839144</v>
      </c>
      <c r="BA277" s="38">
        <f t="shared" si="246"/>
        <v>0</v>
      </c>
      <c r="BB277" s="38">
        <f t="shared" si="247"/>
        <v>0.43136435013066016</v>
      </c>
      <c r="BC277" s="38">
        <f t="shared" si="248"/>
        <v>6.6152772142673122E-2</v>
      </c>
      <c r="BD277" s="38">
        <f t="shared" si="249"/>
        <v>1.5572680099676474E-2</v>
      </c>
      <c r="BE277" s="38">
        <f t="shared" si="250"/>
        <v>0.78659602325058908</v>
      </c>
      <c r="BF277" s="38">
        <f t="shared" si="251"/>
        <v>0.42218296904569713</v>
      </c>
      <c r="BG277" s="38">
        <f t="shared" si="252"/>
        <v>0.12307878732253327</v>
      </c>
      <c r="BH277" s="38">
        <f t="shared" si="253"/>
        <v>2.3109251692696432E-2</v>
      </c>
      <c r="BI277" s="38">
        <f t="shared" si="254"/>
        <v>0</v>
      </c>
      <c r="BJ277" s="38">
        <f t="shared" si="255"/>
        <v>0</v>
      </c>
      <c r="BK277" s="38">
        <f t="shared" si="256"/>
        <v>0</v>
      </c>
      <c r="BL277" s="41">
        <f t="shared" si="257"/>
        <v>3.9999999999999991</v>
      </c>
      <c r="BM277" s="42">
        <f t="shared" si="225"/>
        <v>6</v>
      </c>
      <c r="BN277" s="38">
        <f t="shared" si="258"/>
        <v>2.1027404120775413</v>
      </c>
      <c r="BO277" s="38">
        <f t="shared" si="259"/>
        <v>0.56837100806092677</v>
      </c>
      <c r="BQ277" s="38">
        <f t="shared" si="260"/>
        <v>0.82506657789613846</v>
      </c>
      <c r="BR277" s="38">
        <f t="shared" si="261"/>
        <v>1.2556334501752628E-2</v>
      </c>
      <c r="BS277" s="38">
        <f t="shared" si="262"/>
        <v>7.9050608081600637E-2</v>
      </c>
      <c r="BT277" s="38">
        <f t="shared" si="263"/>
        <v>0</v>
      </c>
      <c r="BU277" s="38">
        <f t="shared" si="264"/>
        <v>0.2139178844815588</v>
      </c>
      <c r="BV277" s="38">
        <f t="shared" si="265"/>
        <v>6.6957992669861854E-3</v>
      </c>
      <c r="BW277" s="38">
        <f t="shared" si="266"/>
        <v>0.33821339950372215</v>
      </c>
      <c r="BX277" s="38">
        <f t="shared" si="267"/>
        <v>0.18152639087018546</v>
      </c>
      <c r="BY277" s="38">
        <f t="shared" si="268"/>
        <v>5.2920296869958049E-2</v>
      </c>
      <c r="BZ277" s="38">
        <f t="shared" si="269"/>
        <v>9.9363057324840763E-3</v>
      </c>
      <c r="CA277" s="38">
        <f t="shared" si="270"/>
        <v>0</v>
      </c>
      <c r="CB277" s="38">
        <f t="shared" si="271"/>
        <v>0</v>
      </c>
      <c r="CC277" s="38">
        <f t="shared" si="272"/>
        <v>0</v>
      </c>
      <c r="CD277" s="38">
        <f t="shared" si="273"/>
        <v>1.7198835972043867</v>
      </c>
      <c r="CE277" s="38">
        <f t="shared" si="274"/>
        <v>2.5656035123418568</v>
      </c>
      <c r="CF277" s="38">
        <f t="shared" si="275"/>
        <v>2.3257387921495769</v>
      </c>
      <c r="CG277" s="38">
        <f t="shared" si="276"/>
        <v>5.9669236139286621</v>
      </c>
      <c r="CI277" s="16">
        <v>24.114003977077125</v>
      </c>
      <c r="CJ277" s="13">
        <v>12299.473130036764</v>
      </c>
      <c r="CK277" s="13">
        <v>83512.391212884249</v>
      </c>
      <c r="CL277" s="13">
        <v>22110.790686654524</v>
      </c>
      <c r="CM277" s="13">
        <v>232247.46941231695</v>
      </c>
      <c r="CN277" s="13">
        <v>71952.696850465683</v>
      </c>
      <c r="CO277" s="16">
        <v>152.23908648177047</v>
      </c>
      <c r="CP277" s="13">
        <v>6426.9682199286053</v>
      </c>
      <c r="CQ277" s="16">
        <v>192.55331448809648</v>
      </c>
      <c r="CR277" s="16">
        <v>0</v>
      </c>
      <c r="CS277" s="13">
        <v>3744.3169147552344</v>
      </c>
      <c r="CT277" s="16">
        <v>64.825444411926341</v>
      </c>
      <c r="CU277" s="16">
        <v>0</v>
      </c>
      <c r="CV277" s="16">
        <v>0.62578250745647412</v>
      </c>
      <c r="CW277" s="16">
        <v>192.8781176169978</v>
      </c>
      <c r="CX277" s="16">
        <v>5.2731607262139866</v>
      </c>
      <c r="CY277" s="16">
        <v>0</v>
      </c>
      <c r="CZ277" s="16">
        <v>0.71270703281539638</v>
      </c>
      <c r="DA277" s="16">
        <v>287.48850120194271</v>
      </c>
      <c r="DB277" s="16">
        <v>374.26049775508716</v>
      </c>
      <c r="DC277" s="16">
        <v>27.389871660489423</v>
      </c>
      <c r="DD277" s="16">
        <v>0</v>
      </c>
      <c r="DE277" s="16">
        <v>1.8177624636004273</v>
      </c>
      <c r="DF277" s="16">
        <v>73.875520356081267</v>
      </c>
      <c r="DG277" s="16">
        <v>247.12559953301542</v>
      </c>
      <c r="DH277" s="16">
        <v>35.007705054201189</v>
      </c>
      <c r="DI277" s="16">
        <v>145.71894614261441</v>
      </c>
      <c r="DJ277" s="16">
        <v>39.131125917613303</v>
      </c>
      <c r="DK277" s="16">
        <v>0.37649054085937073</v>
      </c>
      <c r="DL277" s="16">
        <v>39.511524709315445</v>
      </c>
      <c r="DM277" s="16">
        <v>6.398275285218836</v>
      </c>
      <c r="DN277" s="16">
        <v>45.358347382818138</v>
      </c>
      <c r="DO277" s="16">
        <v>8.8739250875750475</v>
      </c>
      <c r="DP277" s="16">
        <v>26.886801489474291</v>
      </c>
      <c r="DQ277" s="16">
        <v>3.6966025018565554</v>
      </c>
      <c r="DR277" s="16">
        <v>27.459530604079724</v>
      </c>
      <c r="DS277" s="16">
        <v>4.4947645113479666</v>
      </c>
      <c r="DT277" s="16">
        <v>21.441348097887918</v>
      </c>
      <c r="DU277" s="16">
        <v>1.0331993336789194</v>
      </c>
      <c r="DV277" s="16">
        <v>0.64660445683807932</v>
      </c>
      <c r="DW277" s="16">
        <v>0.65181403955777417</v>
      </c>
      <c r="DX277" s="16">
        <v>4.5853594933184125E-2</v>
      </c>
      <c r="DY277" s="16">
        <f>(DK277/0.05883)/SQRT((DJ277/0.1536)*(DL277/0.2069))</f>
        <v>2.9014026777694709E-2</v>
      </c>
    </row>
    <row r="278" spans="1:167" ht="15" customHeight="1" x14ac:dyDescent="0.25">
      <c r="A278" s="35" t="s">
        <v>89</v>
      </c>
      <c r="B278" s="15">
        <v>648</v>
      </c>
      <c r="C278" s="102" t="s">
        <v>97</v>
      </c>
      <c r="D278" s="103" t="s">
        <v>106</v>
      </c>
      <c r="E278" s="15">
        <v>159</v>
      </c>
      <c r="F278" s="15" t="s">
        <v>270</v>
      </c>
      <c r="G278" s="16">
        <v>44.89</v>
      </c>
      <c r="H278" s="16">
        <v>2.37</v>
      </c>
      <c r="I278" s="16">
        <v>7.98</v>
      </c>
      <c r="J278" s="16">
        <v>1.7000000000000001E-2</v>
      </c>
      <c r="K278" s="16">
        <v>14.18</v>
      </c>
      <c r="L278" s="16">
        <v>0.28399999999999997</v>
      </c>
      <c r="M278" s="16">
        <v>12.86</v>
      </c>
      <c r="N278" s="16">
        <v>11.04</v>
      </c>
      <c r="O278" s="16">
        <v>2.4900000000000002</v>
      </c>
      <c r="P278" s="16">
        <v>0.65300000000000002</v>
      </c>
      <c r="Q278" s="16">
        <v>0</v>
      </c>
      <c r="S278" s="16">
        <v>0</v>
      </c>
      <c r="T278" s="16">
        <f t="shared" si="226"/>
        <v>96.76400000000001</v>
      </c>
      <c r="U278" s="16"/>
      <c r="V278" s="16">
        <f t="shared" si="277"/>
        <v>4.9176293851661388</v>
      </c>
      <c r="W278" s="16">
        <f t="shared" si="278"/>
        <v>10.29327246426487</v>
      </c>
      <c r="X278" s="16">
        <f t="shared" si="279"/>
        <v>97.794901849431014</v>
      </c>
      <c r="AD278" s="15">
        <v>6</v>
      </c>
      <c r="AE278" s="15">
        <v>4</v>
      </c>
      <c r="AG278" s="38">
        <f t="shared" si="227"/>
        <v>1.7558123473251228</v>
      </c>
      <c r="AH278" s="38">
        <f t="shared" si="228"/>
        <v>6.9721818696714413E-2</v>
      </c>
      <c r="AI278" s="38">
        <f t="shared" si="229"/>
        <v>0.36784213750075317</v>
      </c>
      <c r="AJ278" s="38">
        <f t="shared" si="230"/>
        <v>5.2568104728958843E-4</v>
      </c>
      <c r="AK278" s="38">
        <f t="shared" si="231"/>
        <v>0.46377557841646477</v>
      </c>
      <c r="AL278" s="38">
        <f t="shared" si="232"/>
        <v>9.4077457815314718E-3</v>
      </c>
      <c r="AM278" s="38">
        <f t="shared" si="233"/>
        <v>0.74988443597666254</v>
      </c>
      <c r="AN278" s="38">
        <f t="shared" si="234"/>
        <v>0.46261476076618052</v>
      </c>
      <c r="AO278" s="38">
        <f t="shared" si="235"/>
        <v>0.18881486752850632</v>
      </c>
      <c r="AP278" s="38">
        <f t="shared" si="236"/>
        <v>3.2579970858334327E-2</v>
      </c>
      <c r="AQ278" s="38">
        <f t="shared" si="237"/>
        <v>0</v>
      </c>
      <c r="AR278" s="38">
        <f t="shared" si="238"/>
        <v>0</v>
      </c>
      <c r="AS278" s="38">
        <f t="shared" si="239"/>
        <v>0</v>
      </c>
      <c r="AT278" s="39">
        <f t="shared" si="240"/>
        <v>4.1009793438975608</v>
      </c>
      <c r="AU278" s="38">
        <f t="shared" si="241"/>
        <v>2.123654484825876</v>
      </c>
      <c r="AV278" s="38">
        <f t="shared" si="242"/>
        <v>0.68400959915302117</v>
      </c>
      <c r="AW278" s="40"/>
      <c r="AX278" s="38">
        <f t="shared" si="243"/>
        <v>1.7125785819310209</v>
      </c>
      <c r="AY278" s="38">
        <f t="shared" si="244"/>
        <v>6.8005042552056333E-2</v>
      </c>
      <c r="AZ278" s="38">
        <f t="shared" si="245"/>
        <v>0.35878467717533735</v>
      </c>
      <c r="BA278" s="38">
        <f t="shared" si="246"/>
        <v>5.1273708371326015E-4</v>
      </c>
      <c r="BB278" s="38">
        <f t="shared" si="247"/>
        <v>0.1568772073559605</v>
      </c>
      <c r="BC278" s="38">
        <f t="shared" si="248"/>
        <v>0.29547871987550289</v>
      </c>
      <c r="BD278" s="38">
        <f t="shared" si="249"/>
        <v>9.1760967248280499E-3</v>
      </c>
      <c r="BE278" s="38">
        <f t="shared" si="250"/>
        <v>0.73141986154358374</v>
      </c>
      <c r="BF278" s="38">
        <f t="shared" si="251"/>
        <v>0.45122369265728873</v>
      </c>
      <c r="BG278" s="38">
        <f t="shared" si="252"/>
        <v>0.18416563624927421</v>
      </c>
      <c r="BH278" s="38">
        <f t="shared" si="253"/>
        <v>3.1777746851434183E-2</v>
      </c>
      <c r="BI278" s="38">
        <f t="shared" si="254"/>
        <v>0</v>
      </c>
      <c r="BJ278" s="38">
        <f t="shared" si="255"/>
        <v>0</v>
      </c>
      <c r="BK278" s="38">
        <f t="shared" si="256"/>
        <v>0</v>
      </c>
      <c r="BL278" s="41">
        <f t="shared" si="257"/>
        <v>4.0000000000000009</v>
      </c>
      <c r="BM278" s="42">
        <f t="shared" si="225"/>
        <v>6</v>
      </c>
      <c r="BN278" s="38">
        <f t="shared" si="258"/>
        <v>2.0713632591063584</v>
      </c>
      <c r="BO278" s="38">
        <f t="shared" si="259"/>
        <v>0.66716707575799716</v>
      </c>
      <c r="BQ278" s="38">
        <f t="shared" si="260"/>
        <v>0.74717043941411454</v>
      </c>
      <c r="BR278" s="38">
        <f t="shared" si="261"/>
        <v>2.966950425638458E-2</v>
      </c>
      <c r="BS278" s="38">
        <f t="shared" si="262"/>
        <v>0.15653197332287172</v>
      </c>
      <c r="BT278" s="38">
        <f t="shared" si="263"/>
        <v>2.2369892756102374E-4</v>
      </c>
      <c r="BU278" s="38">
        <f t="shared" si="264"/>
        <v>0.19735560194850385</v>
      </c>
      <c r="BV278" s="38">
        <f t="shared" si="265"/>
        <v>4.0033831406822663E-3</v>
      </c>
      <c r="BW278" s="38">
        <f t="shared" si="266"/>
        <v>0.31910669975186107</v>
      </c>
      <c r="BX278" s="38">
        <f t="shared" si="267"/>
        <v>0.19686162624821682</v>
      </c>
      <c r="BY278" s="38">
        <f t="shared" si="268"/>
        <v>8.0348499515972907E-2</v>
      </c>
      <c r="BZ278" s="38">
        <f t="shared" si="269"/>
        <v>1.386411889596603E-2</v>
      </c>
      <c r="CA278" s="38">
        <f t="shared" si="270"/>
        <v>0</v>
      </c>
      <c r="CB278" s="38">
        <f t="shared" si="271"/>
        <v>0</v>
      </c>
      <c r="CC278" s="38">
        <f t="shared" si="272"/>
        <v>0</v>
      </c>
      <c r="CD278" s="38">
        <f t="shared" si="273"/>
        <v>1.7451355454221347</v>
      </c>
      <c r="CE278" s="38">
        <f t="shared" si="274"/>
        <v>2.5532470160118814</v>
      </c>
      <c r="CF278" s="38">
        <f t="shared" si="275"/>
        <v>2.2920855692228943</v>
      </c>
      <c r="CG278" s="38">
        <f t="shared" si="276"/>
        <v>5.8522606400622497</v>
      </c>
    </row>
    <row r="279" spans="1:167" ht="15" customHeight="1" x14ac:dyDescent="0.25">
      <c r="A279" s="35" t="s">
        <v>89</v>
      </c>
      <c r="B279" s="15">
        <v>649</v>
      </c>
      <c r="C279" s="102" t="s">
        <v>97</v>
      </c>
      <c r="D279" s="103" t="s">
        <v>106</v>
      </c>
      <c r="E279" s="15">
        <v>160</v>
      </c>
      <c r="F279" s="15" t="s">
        <v>272</v>
      </c>
      <c r="G279" s="16">
        <v>8.6999999999999994E-2</v>
      </c>
      <c r="H279" s="16">
        <v>7.79</v>
      </c>
      <c r="I279" s="16">
        <v>0.85099999999999998</v>
      </c>
      <c r="J279" s="16">
        <v>2.1999999999999999E-2</v>
      </c>
      <c r="K279" s="16">
        <v>83.14</v>
      </c>
      <c r="L279" s="16">
        <v>0.50900000000000001</v>
      </c>
      <c r="M279" s="16">
        <v>0.85699999999999998</v>
      </c>
      <c r="N279" s="16">
        <v>1.6E-2</v>
      </c>
      <c r="O279" s="16">
        <v>8.9999999999999993E-3</v>
      </c>
      <c r="P279" s="16">
        <v>0</v>
      </c>
      <c r="Q279" s="16">
        <v>0</v>
      </c>
      <c r="T279" s="16">
        <f t="shared" si="226"/>
        <v>93.281000000000006</v>
      </c>
      <c r="U279" s="16"/>
      <c r="V279" s="16">
        <f t="shared" si="277"/>
        <v>36.190575963419718</v>
      </c>
      <c r="W279" s="16">
        <f t="shared" si="278"/>
        <v>52.174894931851668</v>
      </c>
      <c r="X279" s="16">
        <f t="shared" si="279"/>
        <v>98.506470895271391</v>
      </c>
      <c r="AD279" s="15">
        <v>4</v>
      </c>
      <c r="AE279" s="15">
        <v>3</v>
      </c>
      <c r="AG279" s="38">
        <f t="shared" si="227"/>
        <v>4.1096994683684574E-3</v>
      </c>
      <c r="AH279" s="38">
        <f t="shared" si="228"/>
        <v>0.276770715876128</v>
      </c>
      <c r="AI279" s="38">
        <f t="shared" si="229"/>
        <v>4.7375135436186377E-2</v>
      </c>
      <c r="AJ279" s="38">
        <f t="shared" si="230"/>
        <v>8.2159615300018854E-4</v>
      </c>
      <c r="AK279" s="38">
        <f t="shared" si="231"/>
        <v>3.2840063128185677</v>
      </c>
      <c r="AL279" s="38">
        <f t="shared" si="232"/>
        <v>2.0363261283831351E-2</v>
      </c>
      <c r="AM279" s="38">
        <f t="shared" si="233"/>
        <v>6.0352673243506301E-2</v>
      </c>
      <c r="AN279" s="38">
        <f t="shared" si="234"/>
        <v>8.0971598556930794E-4</v>
      </c>
      <c r="AO279" s="38">
        <f t="shared" si="235"/>
        <v>8.2421719150641557E-4</v>
      </c>
      <c r="AP279" s="38">
        <f t="shared" si="236"/>
        <v>0</v>
      </c>
      <c r="AQ279" s="38">
        <f t="shared" si="237"/>
        <v>0</v>
      </c>
      <c r="AR279" s="38">
        <f t="shared" si="238"/>
        <v>0</v>
      </c>
      <c r="AS279" s="38">
        <f t="shared" si="239"/>
        <v>0</v>
      </c>
      <c r="AT279" s="39">
        <f t="shared" si="240"/>
        <v>3.695433327456664</v>
      </c>
      <c r="AU279" s="38">
        <f t="shared" si="241"/>
        <v>5.1484834904554834E-2</v>
      </c>
      <c r="AV279" s="38">
        <f t="shared" si="242"/>
        <v>1.6339331770757236E-3</v>
      </c>
      <c r="AW279" s="40"/>
      <c r="AX279" s="38">
        <f t="shared" si="243"/>
        <v>3.336306547192051E-3</v>
      </c>
      <c r="AY279" s="38">
        <f t="shared" si="244"/>
        <v>0.2246860040632464</v>
      </c>
      <c r="AZ279" s="38">
        <f t="shared" si="245"/>
        <v>3.8459740364569152E-2</v>
      </c>
      <c r="BA279" s="38">
        <f t="shared" si="246"/>
        <v>6.6698225636692139E-4</v>
      </c>
      <c r="BB279" s="38">
        <f t="shared" si="247"/>
        <v>1.1605005255916589</v>
      </c>
      <c r="BC279" s="38">
        <f t="shared" si="248"/>
        <v>1.5054977662071094</v>
      </c>
      <c r="BD279" s="38">
        <f t="shared" si="249"/>
        <v>1.6531155736893881E-2</v>
      </c>
      <c r="BE279" s="38">
        <f t="shared" si="250"/>
        <v>4.8995071399415523E-2</v>
      </c>
      <c r="BF279" s="38">
        <f t="shared" si="251"/>
        <v>6.5733778462721045E-4</v>
      </c>
      <c r="BG279" s="38">
        <f t="shared" si="252"/>
        <v>6.6911004892111498E-4</v>
      </c>
      <c r="BH279" s="38">
        <f t="shared" si="253"/>
        <v>0</v>
      </c>
      <c r="BI279" s="38">
        <f t="shared" si="254"/>
        <v>0</v>
      </c>
      <c r="BJ279" s="38">
        <f t="shared" si="255"/>
        <v>0</v>
      </c>
      <c r="BK279" s="38">
        <f t="shared" si="256"/>
        <v>0</v>
      </c>
      <c r="BL279" s="41">
        <f t="shared" si="257"/>
        <v>3</v>
      </c>
      <c r="BM279" s="42">
        <f t="shared" si="225"/>
        <v>4.0000000000000009</v>
      </c>
      <c r="BN279" s="38">
        <f t="shared" si="258"/>
        <v>4.1796046911761205E-2</v>
      </c>
      <c r="BO279" s="38">
        <f t="shared" si="259"/>
        <v>1.3264478335483255E-3</v>
      </c>
      <c r="BQ279" s="38">
        <f t="shared" si="260"/>
        <v>1.448069241011984E-3</v>
      </c>
      <c r="BR279" s="38">
        <f t="shared" si="261"/>
        <v>9.7521281922884326E-2</v>
      </c>
      <c r="BS279" s="38">
        <f t="shared" si="262"/>
        <v>1.6692820714005494E-2</v>
      </c>
      <c r="BT279" s="38">
        <f t="shared" si="263"/>
        <v>2.8949272978485421E-4</v>
      </c>
      <c r="BU279" s="38">
        <f t="shared" si="264"/>
        <v>1.1571329157967989</v>
      </c>
      <c r="BV279" s="38">
        <f t="shared" si="265"/>
        <v>7.1750775303073026E-3</v>
      </c>
      <c r="BW279" s="38">
        <f t="shared" si="266"/>
        <v>2.1265508684863526E-2</v>
      </c>
      <c r="BX279" s="38">
        <f t="shared" si="267"/>
        <v>2.8530670470756063E-4</v>
      </c>
      <c r="BY279" s="38">
        <f t="shared" si="268"/>
        <v>2.9041626331074538E-4</v>
      </c>
      <c r="BZ279" s="38">
        <f t="shared" si="269"/>
        <v>0</v>
      </c>
      <c r="CA279" s="38">
        <f t="shared" si="270"/>
        <v>0</v>
      </c>
      <c r="CB279" s="38">
        <f t="shared" si="271"/>
        <v>0</v>
      </c>
      <c r="CC279" s="38">
        <f t="shared" si="272"/>
        <v>0</v>
      </c>
      <c r="CD279" s="38">
        <f t="shared" si="273"/>
        <v>1.3021008895876744</v>
      </c>
      <c r="CE279" s="38">
        <f t="shared" si="274"/>
        <v>1.4094161893418105</v>
      </c>
      <c r="CF279" s="38">
        <f t="shared" si="275"/>
        <v>2.3039689351183728</v>
      </c>
      <c r="CG279" s="38">
        <f t="shared" si="276"/>
        <v>3.2472511168964457</v>
      </c>
    </row>
    <row r="280" spans="1:167" ht="15" customHeight="1" x14ac:dyDescent="0.25">
      <c r="A280" s="35" t="s">
        <v>89</v>
      </c>
      <c r="B280" s="15">
        <v>650</v>
      </c>
      <c r="C280" s="102" t="s">
        <v>97</v>
      </c>
      <c r="D280" s="103" t="s">
        <v>106</v>
      </c>
      <c r="E280" s="15">
        <v>161</v>
      </c>
      <c r="F280" s="15" t="s">
        <v>272</v>
      </c>
      <c r="G280" s="16">
        <v>0.05</v>
      </c>
      <c r="H280" s="16">
        <v>7.34</v>
      </c>
      <c r="I280" s="16">
        <v>0.84599999999999997</v>
      </c>
      <c r="J280" s="16">
        <v>2.1999999999999999E-2</v>
      </c>
      <c r="K280" s="16">
        <v>83.16</v>
      </c>
      <c r="L280" s="16">
        <v>0.45400000000000001</v>
      </c>
      <c r="M280" s="16">
        <v>0.81100000000000005</v>
      </c>
      <c r="N280" s="16">
        <v>1.4E-2</v>
      </c>
      <c r="O280" s="16">
        <v>7.0000000000000001E-3</v>
      </c>
      <c r="P280" s="16">
        <v>0</v>
      </c>
      <c r="Q280" s="16">
        <v>0</v>
      </c>
      <c r="T280" s="16">
        <f t="shared" si="226"/>
        <v>92.703999999999994</v>
      </c>
      <c r="U280" s="16"/>
      <c r="V280" s="16">
        <f t="shared" si="277"/>
        <v>35.697459668765262</v>
      </c>
      <c r="W280" s="16">
        <f t="shared" si="278"/>
        <v>52.745121070101156</v>
      </c>
      <c r="X280" s="16">
        <f t="shared" si="279"/>
        <v>97.986580738866408</v>
      </c>
      <c r="AD280" s="15">
        <v>4</v>
      </c>
      <c r="AE280" s="15">
        <v>3</v>
      </c>
      <c r="AG280" s="38">
        <f t="shared" si="227"/>
        <v>2.3861947646940632E-3</v>
      </c>
      <c r="AH280" s="38">
        <f t="shared" si="228"/>
        <v>0.26346553528720423</v>
      </c>
      <c r="AI280" s="38">
        <f t="shared" si="229"/>
        <v>4.7581304008452389E-2</v>
      </c>
      <c r="AJ280" s="38">
        <f t="shared" si="230"/>
        <v>8.30048501133502E-4</v>
      </c>
      <c r="AK280" s="38">
        <f t="shared" si="231"/>
        <v>3.3185893596236755</v>
      </c>
      <c r="AL280" s="38">
        <f t="shared" si="232"/>
        <v>1.8349763739531989E-2</v>
      </c>
      <c r="AM280" s="38">
        <f t="shared" si="233"/>
        <v>5.7700771000668227E-2</v>
      </c>
      <c r="AN280" s="38">
        <f t="shared" si="234"/>
        <v>7.1579034967170847E-4</v>
      </c>
      <c r="AO280" s="38">
        <f t="shared" si="235"/>
        <v>6.4765283655355611E-4</v>
      </c>
      <c r="AP280" s="38">
        <f t="shared" si="236"/>
        <v>0</v>
      </c>
      <c r="AQ280" s="38">
        <f t="shared" si="237"/>
        <v>0</v>
      </c>
      <c r="AR280" s="38">
        <f t="shared" si="238"/>
        <v>0</v>
      </c>
      <c r="AS280" s="38">
        <f t="shared" si="239"/>
        <v>0</v>
      </c>
      <c r="AT280" s="39">
        <f t="shared" si="240"/>
        <v>3.7102664201115849</v>
      </c>
      <c r="AU280" s="38">
        <f t="shared" si="241"/>
        <v>4.9967498773146456E-2</v>
      </c>
      <c r="AV280" s="38">
        <f t="shared" si="242"/>
        <v>1.3634431862252646E-3</v>
      </c>
      <c r="AW280" s="40"/>
      <c r="AX280" s="38">
        <f t="shared" si="243"/>
        <v>1.9293989928267459E-3</v>
      </c>
      <c r="AY280" s="38">
        <f t="shared" si="244"/>
        <v>0.21302960929631615</v>
      </c>
      <c r="AZ280" s="38">
        <f t="shared" si="245"/>
        <v>3.8472685209776432E-2</v>
      </c>
      <c r="BA280" s="38">
        <f t="shared" si="246"/>
        <v>6.7115005270311967E-4</v>
      </c>
      <c r="BB280" s="38">
        <f t="shared" si="247"/>
        <v>1.1518409284069189</v>
      </c>
      <c r="BC280" s="38">
        <f t="shared" si="248"/>
        <v>1.53146181904689</v>
      </c>
      <c r="BD280" s="38">
        <f t="shared" si="249"/>
        <v>1.4837018420078946E-2</v>
      </c>
      <c r="BE280" s="38">
        <f t="shared" si="250"/>
        <v>4.6654955036031794E-2</v>
      </c>
      <c r="BF280" s="38">
        <f t="shared" si="251"/>
        <v>5.7876465080115283E-4</v>
      </c>
      <c r="BG280" s="38">
        <f t="shared" si="252"/>
        <v>5.2367088765615762E-4</v>
      </c>
      <c r="BH280" s="38">
        <f t="shared" si="253"/>
        <v>0</v>
      </c>
      <c r="BI280" s="38">
        <f t="shared" si="254"/>
        <v>0</v>
      </c>
      <c r="BJ280" s="38">
        <f t="shared" si="255"/>
        <v>0</v>
      </c>
      <c r="BK280" s="38">
        <f t="shared" si="256"/>
        <v>0</v>
      </c>
      <c r="BL280" s="41">
        <f t="shared" si="257"/>
        <v>2.9999999999999996</v>
      </c>
      <c r="BM280" s="42">
        <f t="shared" si="225"/>
        <v>3.9999999999999987</v>
      </c>
      <c r="BN280" s="38">
        <f t="shared" si="258"/>
        <v>4.0402084202603175E-2</v>
      </c>
      <c r="BO280" s="38">
        <f t="shared" si="259"/>
        <v>1.1024355384573106E-3</v>
      </c>
      <c r="BQ280" s="38">
        <f t="shared" si="260"/>
        <v>8.3222370173102538E-4</v>
      </c>
      <c r="BR280" s="38">
        <f t="shared" si="261"/>
        <v>9.188783174762144E-2</v>
      </c>
      <c r="BS280" s="38">
        <f t="shared" si="262"/>
        <v>1.6594743036484897E-2</v>
      </c>
      <c r="BT280" s="38">
        <f t="shared" si="263"/>
        <v>2.8949272978485421E-4</v>
      </c>
      <c r="BU280" s="38">
        <f t="shared" si="264"/>
        <v>1.1574112734864301</v>
      </c>
      <c r="BV280" s="38">
        <f t="shared" si="265"/>
        <v>6.3997744572878495E-3</v>
      </c>
      <c r="BW280" s="38">
        <f t="shared" si="266"/>
        <v>2.0124069478908192E-2</v>
      </c>
      <c r="BX280" s="38">
        <f t="shared" si="267"/>
        <v>2.4964336661911557E-4</v>
      </c>
      <c r="BY280" s="38">
        <f t="shared" si="268"/>
        <v>2.2587931590835756E-4</v>
      </c>
      <c r="BZ280" s="38">
        <f t="shared" si="269"/>
        <v>0</v>
      </c>
      <c r="CA280" s="38">
        <f t="shared" si="270"/>
        <v>0</v>
      </c>
      <c r="CB280" s="38">
        <f t="shared" si="271"/>
        <v>0</v>
      </c>
      <c r="CC280" s="38">
        <f t="shared" si="272"/>
        <v>0</v>
      </c>
      <c r="CD280" s="38">
        <f t="shared" si="273"/>
        <v>1.2940149313207761</v>
      </c>
      <c r="CE280" s="38">
        <f t="shared" si="274"/>
        <v>1.3950641649953091</v>
      </c>
      <c r="CF280" s="38">
        <f t="shared" si="275"/>
        <v>2.3183658297806176</v>
      </c>
      <c r="CG280" s="38">
        <f t="shared" si="276"/>
        <v>3.2342690904765541</v>
      </c>
    </row>
    <row r="281" spans="1:167" ht="15" customHeight="1" x14ac:dyDescent="0.25">
      <c r="A281" s="35" t="s">
        <v>89</v>
      </c>
      <c r="B281" s="15">
        <v>651</v>
      </c>
      <c r="C281" s="102" t="s">
        <v>97</v>
      </c>
      <c r="D281" s="103" t="s">
        <v>106</v>
      </c>
      <c r="E281" s="15">
        <v>162</v>
      </c>
      <c r="F281" s="15" t="s">
        <v>270</v>
      </c>
      <c r="G281" s="16">
        <v>49.42</v>
      </c>
      <c r="H281" s="16">
        <v>0.91800000000000004</v>
      </c>
      <c r="I281" s="16">
        <v>3.63</v>
      </c>
      <c r="J281" s="16">
        <v>0</v>
      </c>
      <c r="K281" s="16">
        <v>17.22</v>
      </c>
      <c r="L281" s="16">
        <v>0.53800000000000003</v>
      </c>
      <c r="M281" s="16">
        <v>12.97</v>
      </c>
      <c r="N281" s="16">
        <v>9.75</v>
      </c>
      <c r="O281" s="16">
        <v>1.7</v>
      </c>
      <c r="P281" s="16">
        <v>0.49199999999999999</v>
      </c>
      <c r="Q281" s="16">
        <v>0</v>
      </c>
      <c r="S281" s="16">
        <v>0</v>
      </c>
      <c r="T281" s="16">
        <f t="shared" si="226"/>
        <v>96.638000000000005</v>
      </c>
      <c r="U281" s="16"/>
      <c r="V281" s="16">
        <f t="shared" si="277"/>
        <v>14.38284244414775</v>
      </c>
      <c r="W281" s="16">
        <f t="shared" si="278"/>
        <v>3.1529331918186032</v>
      </c>
      <c r="X281" s="16">
        <f t="shared" si="279"/>
        <v>96.953775635966366</v>
      </c>
      <c r="AD281" s="15">
        <v>6</v>
      </c>
      <c r="AE281" s="15">
        <v>4</v>
      </c>
      <c r="AG281" s="38">
        <f t="shared" si="227"/>
        <v>1.9350587985764578</v>
      </c>
      <c r="AH281" s="38">
        <f t="shared" si="228"/>
        <v>2.7034975101198632E-2</v>
      </c>
      <c r="AI281" s="38">
        <f t="shared" si="229"/>
        <v>0.16750514179668902</v>
      </c>
      <c r="AJ281" s="38">
        <f t="shared" si="230"/>
        <v>0</v>
      </c>
      <c r="AK281" s="38">
        <f t="shared" si="231"/>
        <v>0.56380344288530959</v>
      </c>
      <c r="AL281" s="38">
        <f t="shared" si="232"/>
        <v>1.7840722596023883E-2</v>
      </c>
      <c r="AM281" s="38">
        <f t="shared" si="233"/>
        <v>0.75710528686691314</v>
      </c>
      <c r="AN281" s="38">
        <f t="shared" si="234"/>
        <v>0.40899496319579504</v>
      </c>
      <c r="AO281" s="38">
        <f t="shared" si="235"/>
        <v>0.12904723214679445</v>
      </c>
      <c r="AP281" s="38">
        <f t="shared" si="236"/>
        <v>2.4573416664427958E-2</v>
      </c>
      <c r="AQ281" s="38">
        <f t="shared" si="237"/>
        <v>0</v>
      </c>
      <c r="AR281" s="38">
        <f t="shared" si="238"/>
        <v>0</v>
      </c>
      <c r="AS281" s="38">
        <f t="shared" si="239"/>
        <v>0</v>
      </c>
      <c r="AT281" s="39">
        <f t="shared" si="240"/>
        <v>4.0309639798296084</v>
      </c>
      <c r="AU281" s="38">
        <f t="shared" si="241"/>
        <v>2.1025639403731469</v>
      </c>
      <c r="AV281" s="38">
        <f t="shared" si="242"/>
        <v>0.56261561200701737</v>
      </c>
      <c r="AW281" s="40"/>
      <c r="AX281" s="38">
        <f t="shared" si="243"/>
        <v>1.9201945819999646</v>
      </c>
      <c r="AY281" s="38">
        <f t="shared" si="244"/>
        <v>2.6827305067946956E-2</v>
      </c>
      <c r="AZ281" s="38">
        <f t="shared" si="245"/>
        <v>0.16621844564710747</v>
      </c>
      <c r="BA281" s="38">
        <f t="shared" si="246"/>
        <v>0</v>
      </c>
      <c r="BB281" s="38">
        <f t="shared" si="247"/>
        <v>0.46729418149391655</v>
      </c>
      <c r="BC281" s="38">
        <f t="shared" si="248"/>
        <v>9.2178387059416611E-2</v>
      </c>
      <c r="BD281" s="38">
        <f t="shared" si="249"/>
        <v>1.7703678509950877E-2</v>
      </c>
      <c r="BE281" s="38">
        <f t="shared" si="250"/>
        <v>0.7512895581854504</v>
      </c>
      <c r="BF281" s="38">
        <f t="shared" si="251"/>
        <v>0.4058532551938937</v>
      </c>
      <c r="BG281" s="38">
        <f t="shared" si="252"/>
        <v>0.1280559516706466</v>
      </c>
      <c r="BH281" s="38">
        <f t="shared" si="253"/>
        <v>2.4384655171705787E-2</v>
      </c>
      <c r="BI281" s="38">
        <f t="shared" si="254"/>
        <v>0</v>
      </c>
      <c r="BJ281" s="38">
        <f t="shared" si="255"/>
        <v>0</v>
      </c>
      <c r="BK281" s="38">
        <f t="shared" si="256"/>
        <v>0</v>
      </c>
      <c r="BL281" s="41">
        <f t="shared" si="257"/>
        <v>4</v>
      </c>
      <c r="BM281" s="42">
        <f t="shared" si="225"/>
        <v>5.9999999999999973</v>
      </c>
      <c r="BN281" s="38">
        <f t="shared" si="258"/>
        <v>2.086413027647072</v>
      </c>
      <c r="BO281" s="38">
        <f t="shared" si="259"/>
        <v>0.55829386203624609</v>
      </c>
      <c r="BQ281" s="38">
        <f t="shared" si="260"/>
        <v>0.82256990679094544</v>
      </c>
      <c r="BR281" s="38">
        <f t="shared" si="261"/>
        <v>1.1492238357536306E-2</v>
      </c>
      <c r="BS281" s="38">
        <f t="shared" si="262"/>
        <v>7.1204393879952921E-2</v>
      </c>
      <c r="BT281" s="38">
        <f t="shared" si="263"/>
        <v>0</v>
      </c>
      <c r="BU281" s="38">
        <f t="shared" si="264"/>
        <v>0.23966597077244259</v>
      </c>
      <c r="BV281" s="38">
        <f t="shared" si="265"/>
        <v>7.5838736960811958E-3</v>
      </c>
      <c r="BW281" s="38">
        <f t="shared" si="266"/>
        <v>0.32183622828784125</v>
      </c>
      <c r="BX281" s="38">
        <f t="shared" si="267"/>
        <v>0.17385877318116977</v>
      </c>
      <c r="BY281" s="38">
        <f t="shared" si="268"/>
        <v>5.4856405292029689E-2</v>
      </c>
      <c r="BZ281" s="38">
        <f t="shared" si="269"/>
        <v>1.0445859872611464E-2</v>
      </c>
      <c r="CA281" s="38">
        <f t="shared" si="270"/>
        <v>0</v>
      </c>
      <c r="CB281" s="38">
        <f t="shared" si="271"/>
        <v>0</v>
      </c>
      <c r="CC281" s="38">
        <f t="shared" si="272"/>
        <v>0</v>
      </c>
      <c r="CD281" s="38">
        <f t="shared" si="273"/>
        <v>1.7135136501306107</v>
      </c>
      <c r="CE281" s="38">
        <f t="shared" si="274"/>
        <v>2.5505268596367485</v>
      </c>
      <c r="CF281" s="38">
        <f t="shared" si="275"/>
        <v>2.334384671925493</v>
      </c>
      <c r="CG281" s="38">
        <f t="shared" si="276"/>
        <v>5.9539108064702893</v>
      </c>
    </row>
    <row r="282" spans="1:167" ht="15" customHeight="1" x14ac:dyDescent="0.25">
      <c r="FK282" s="15"/>
    </row>
    <row r="283" spans="1:167" ht="15" customHeight="1" x14ac:dyDescent="0.25"/>
    <row r="284" spans="1:167" ht="15" customHeight="1" x14ac:dyDescent="0.25"/>
    <row r="285" spans="1:167" ht="15" customHeight="1" x14ac:dyDescent="0.25"/>
  </sheetData>
  <autoFilter ref="A1:FK285" xr:uid="{00000000-0009-0000-0000-000005000000}">
    <sortState xmlns:xlrd2="http://schemas.microsoft.com/office/spreadsheetml/2017/richdata2" ref="A2:FK285">
      <sortCondition ref="A1:A285"/>
    </sortState>
  </autoFilter>
  <conditionalFormatting sqref="G1:S1048576">
    <cfRule type="colorScale" priority="1">
      <colorScale>
        <cfvo type="min"/>
        <cfvo type="max"/>
        <color rgb="FFFCFCFF"/>
        <color rgb="FF63BE7B"/>
      </colorScale>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EH97"/>
  <sheetViews>
    <sheetView zoomScaleNormal="100" workbookViewId="0">
      <pane ySplit="1" topLeftCell="A2" activePane="bottomLeft" state="frozen"/>
      <selection pane="bottomLeft" activeCell="A2" sqref="A2"/>
    </sheetView>
  </sheetViews>
  <sheetFormatPr defaultColWidth="9" defaultRowHeight="15" x14ac:dyDescent="0.25"/>
  <cols>
    <col min="1" max="1" width="16.7109375" style="1" customWidth="1"/>
    <col min="2" max="2" width="14.5703125" style="1" customWidth="1"/>
    <col min="3" max="3" width="12.85546875" style="1" customWidth="1"/>
    <col min="4" max="5" width="9.140625" style="1"/>
    <col min="6" max="6" width="14.7109375" style="1" customWidth="1"/>
    <col min="7" max="7" width="9.140625" style="1"/>
    <col min="8" max="17" width="9.140625" style="22"/>
    <col min="18" max="18" width="9.140625" style="1"/>
    <col min="19" max="19" width="12.85546875" style="1" customWidth="1"/>
    <col min="20" max="20" width="9.140625" style="1"/>
    <col min="21" max="21" width="16.7109375" style="1" customWidth="1"/>
    <col min="22" max="22" width="14.7109375" style="1" customWidth="1"/>
    <col min="23" max="23" width="9.140625" style="1" customWidth="1"/>
    <col min="24" max="24" width="9.140625" style="98" customWidth="1"/>
    <col min="25" max="25" width="14.7109375" style="1" customWidth="1"/>
    <col min="26" max="26" width="9" style="1"/>
    <col min="27" max="43" width="9" style="22"/>
    <col min="44" max="44" width="12.7109375" style="4" customWidth="1"/>
    <col min="45" max="45" width="11.7109375" style="1" customWidth="1"/>
    <col min="46" max="46" width="9" style="1"/>
    <col min="47" max="47" width="9.140625" style="22" bestFit="1" customWidth="1"/>
    <col min="48" max="50" width="10.85546875" style="14" bestFit="1" customWidth="1"/>
    <col min="51" max="51" width="12.140625" style="14" bestFit="1" customWidth="1"/>
    <col min="52" max="52" width="10.85546875" style="14" bestFit="1" customWidth="1"/>
    <col min="53" max="54" width="9.140625" style="22" bestFit="1" customWidth="1"/>
    <col min="55" max="55" width="9.5703125" style="14" bestFit="1" customWidth="1"/>
    <col min="56" max="56" width="9.140625" style="96" bestFit="1" customWidth="1"/>
    <col min="57" max="57" width="9.140625" style="22" bestFit="1" customWidth="1"/>
    <col min="58" max="58" width="9.140625" style="14" bestFit="1" customWidth="1"/>
    <col min="59" max="91" width="9.140625" style="22" bestFit="1" customWidth="1"/>
    <col min="92" max="92" width="9" style="1"/>
    <col min="93" max="93" width="15.7109375" style="1" customWidth="1"/>
    <col min="94" max="95" width="9" style="1"/>
    <col min="96" max="96" width="14.7109375" style="1" customWidth="1"/>
    <col min="97" max="97" width="9" style="1"/>
    <col min="98" max="108" width="9" style="22"/>
    <col min="109" max="117" width="9" style="1"/>
    <col min="118" max="121" width="9.140625" style="22"/>
    <col min="122" max="123" width="9" style="22"/>
    <col min="124" max="124" width="9.140625" style="22"/>
    <col min="125" max="125" width="9" style="22"/>
    <col min="126" max="126" width="18.7109375" style="22" customWidth="1"/>
    <col min="127" max="127" width="9" style="14"/>
    <col min="128" max="128" width="18.7109375" style="22" customWidth="1"/>
    <col min="129" max="129" width="13.7109375" style="22" customWidth="1"/>
    <col min="130" max="131" width="9" style="22"/>
    <col min="132" max="132" width="18.42578125" style="22" customWidth="1"/>
    <col min="133" max="133" width="15.85546875" style="22" customWidth="1"/>
    <col min="134" max="134" width="19.5703125" style="22" customWidth="1"/>
    <col min="135" max="135" width="12" style="1" customWidth="1"/>
    <col min="136" max="136" width="15.7109375" style="1" bestFit="1" customWidth="1"/>
    <col min="137" max="137" width="15.7109375" style="1" customWidth="1"/>
    <col min="138" max="138" width="12" style="1" customWidth="1"/>
    <col min="139" max="16384" width="9" style="1"/>
  </cols>
  <sheetData>
    <row r="1" spans="1:138" x14ac:dyDescent="0.25">
      <c r="A1" s="4" t="s">
        <v>282</v>
      </c>
      <c r="B1" s="2" t="s">
        <v>288</v>
      </c>
      <c r="C1" s="2" t="s">
        <v>81</v>
      </c>
      <c r="D1" s="2" t="s">
        <v>114</v>
      </c>
      <c r="E1" s="6" t="s">
        <v>94</v>
      </c>
      <c r="F1" s="6" t="s">
        <v>102</v>
      </c>
      <c r="G1" s="2" t="s">
        <v>283</v>
      </c>
      <c r="H1" s="10" t="s">
        <v>117</v>
      </c>
      <c r="I1" s="10" t="s">
        <v>118</v>
      </c>
      <c r="J1" s="10" t="s">
        <v>119</v>
      </c>
      <c r="K1" s="10" t="s">
        <v>120</v>
      </c>
      <c r="L1" s="10" t="s">
        <v>21</v>
      </c>
      <c r="M1" s="10" t="s">
        <v>22</v>
      </c>
      <c r="N1" s="10" t="s">
        <v>23</v>
      </c>
      <c r="O1" s="10" t="s">
        <v>24</v>
      </c>
      <c r="P1" s="10" t="s">
        <v>121</v>
      </c>
      <c r="Q1" s="10" t="s">
        <v>122</v>
      </c>
      <c r="R1" s="2" t="s">
        <v>123</v>
      </c>
      <c r="S1" s="1" t="s">
        <v>132</v>
      </c>
      <c r="T1" s="1" t="s">
        <v>284</v>
      </c>
      <c r="U1" s="6" t="s">
        <v>285</v>
      </c>
      <c r="V1" s="7" t="s">
        <v>81</v>
      </c>
      <c r="W1" s="2" t="s">
        <v>114</v>
      </c>
      <c r="X1" s="105" t="s">
        <v>94</v>
      </c>
      <c r="Y1" s="6" t="s">
        <v>102</v>
      </c>
      <c r="Z1" s="2" t="s">
        <v>283</v>
      </c>
      <c r="AA1" s="10" t="s">
        <v>117</v>
      </c>
      <c r="AB1" s="10" t="s">
        <v>118</v>
      </c>
      <c r="AC1" s="10" t="s">
        <v>119</v>
      </c>
      <c r="AD1" s="10" t="s">
        <v>120</v>
      </c>
      <c r="AE1" s="10" t="s">
        <v>21</v>
      </c>
      <c r="AF1" s="10" t="s">
        <v>22</v>
      </c>
      <c r="AG1" s="10" t="s">
        <v>23</v>
      </c>
      <c r="AH1" s="10" t="s">
        <v>24</v>
      </c>
      <c r="AI1" s="10" t="s">
        <v>121</v>
      </c>
      <c r="AJ1" s="10" t="s">
        <v>122</v>
      </c>
      <c r="AK1" s="10" t="s">
        <v>123</v>
      </c>
      <c r="AL1" s="10" t="s">
        <v>124</v>
      </c>
      <c r="AM1" s="10" t="s">
        <v>29</v>
      </c>
      <c r="AN1" s="10" t="s">
        <v>286</v>
      </c>
      <c r="AO1" s="10" t="s">
        <v>31</v>
      </c>
      <c r="AP1" s="9" t="s">
        <v>287</v>
      </c>
      <c r="AQ1" s="10"/>
      <c r="AR1" s="6" t="s">
        <v>288</v>
      </c>
      <c r="AS1" s="2" t="s">
        <v>131</v>
      </c>
      <c r="AT1" s="2" t="s">
        <v>132</v>
      </c>
      <c r="AU1" s="21" t="s">
        <v>157</v>
      </c>
      <c r="AV1" s="13" t="s">
        <v>144</v>
      </c>
      <c r="AW1" s="13" t="s">
        <v>142</v>
      </c>
      <c r="AX1" s="13" t="s">
        <v>138</v>
      </c>
      <c r="AY1" s="13" t="s">
        <v>136</v>
      </c>
      <c r="AZ1" s="13" t="s">
        <v>143</v>
      </c>
      <c r="BA1" s="16" t="s">
        <v>289</v>
      </c>
      <c r="BB1" s="16" t="s">
        <v>108</v>
      </c>
      <c r="BC1" s="13" t="s">
        <v>137</v>
      </c>
      <c r="BD1" s="104" t="s">
        <v>158</v>
      </c>
      <c r="BE1" s="16" t="s">
        <v>139</v>
      </c>
      <c r="BF1" s="13" t="s">
        <v>141</v>
      </c>
      <c r="BG1" s="16" t="s">
        <v>159</v>
      </c>
      <c r="BH1" s="16" t="s">
        <v>160</v>
      </c>
      <c r="BI1" s="16" t="s">
        <v>161</v>
      </c>
      <c r="BJ1" s="16" t="s">
        <v>162</v>
      </c>
      <c r="BK1" s="16" t="s">
        <v>163</v>
      </c>
      <c r="BL1" s="16" t="s">
        <v>109</v>
      </c>
      <c r="BM1" s="16" t="s">
        <v>109</v>
      </c>
      <c r="BN1" s="16" t="s">
        <v>110</v>
      </c>
      <c r="BO1" s="16" t="s">
        <v>111</v>
      </c>
      <c r="BP1" s="16" t="s">
        <v>112</v>
      </c>
      <c r="BQ1" s="16" t="s">
        <v>164</v>
      </c>
      <c r="BR1" s="16" t="s">
        <v>113</v>
      </c>
      <c r="BS1" s="16" t="s">
        <v>290</v>
      </c>
      <c r="BT1" s="16" t="s">
        <v>165</v>
      </c>
      <c r="BU1" s="16" t="s">
        <v>166</v>
      </c>
      <c r="BV1" s="16" t="s">
        <v>167</v>
      </c>
      <c r="BW1" s="16" t="s">
        <v>168</v>
      </c>
      <c r="BX1" s="16" t="s">
        <v>169</v>
      </c>
      <c r="BY1" s="16" t="s">
        <v>170</v>
      </c>
      <c r="BZ1" s="16" t="s">
        <v>171</v>
      </c>
      <c r="CA1" s="16" t="s">
        <v>172</v>
      </c>
      <c r="CB1" s="16" t="s">
        <v>173</v>
      </c>
      <c r="CC1" s="16" t="s">
        <v>174</v>
      </c>
      <c r="CD1" s="16" t="s">
        <v>175</v>
      </c>
      <c r="CE1" s="16" t="s">
        <v>176</v>
      </c>
      <c r="CF1" s="16" t="s">
        <v>177</v>
      </c>
      <c r="CG1" s="16" t="s">
        <v>178</v>
      </c>
      <c r="CH1" s="16" t="s">
        <v>179</v>
      </c>
      <c r="CI1" s="16" t="s">
        <v>180</v>
      </c>
      <c r="CJ1" s="16" t="s">
        <v>181</v>
      </c>
      <c r="CK1" s="16" t="s">
        <v>182</v>
      </c>
      <c r="CL1" s="16" t="s">
        <v>183</v>
      </c>
      <c r="CM1" s="21" t="s">
        <v>214</v>
      </c>
      <c r="CO1" s="6" t="s">
        <v>291</v>
      </c>
      <c r="CP1" s="2" t="s">
        <v>114</v>
      </c>
      <c r="CQ1" s="2" t="s">
        <v>94</v>
      </c>
      <c r="CR1" s="2" t="s">
        <v>102</v>
      </c>
      <c r="CS1" s="2" t="s">
        <v>283</v>
      </c>
      <c r="CT1" s="10" t="s">
        <v>117</v>
      </c>
      <c r="CU1" s="10" t="s">
        <v>118</v>
      </c>
      <c r="CV1" s="10" t="s">
        <v>119</v>
      </c>
      <c r="CW1" s="10" t="s">
        <v>120</v>
      </c>
      <c r="CX1" s="10" t="s">
        <v>21</v>
      </c>
      <c r="CY1" s="10" t="s">
        <v>22</v>
      </c>
      <c r="CZ1" s="10" t="s">
        <v>23</v>
      </c>
      <c r="DA1" s="10" t="s">
        <v>24</v>
      </c>
      <c r="DB1" s="10" t="s">
        <v>121</v>
      </c>
      <c r="DC1" s="10" t="s">
        <v>122</v>
      </c>
      <c r="DD1" s="10" t="s">
        <v>123</v>
      </c>
      <c r="DE1" s="2"/>
      <c r="DF1" s="2"/>
      <c r="DG1" s="2"/>
      <c r="DH1" s="2"/>
      <c r="DI1" s="2"/>
      <c r="DJ1" s="2"/>
      <c r="DK1" s="2"/>
      <c r="DL1" s="2"/>
      <c r="DM1" s="2"/>
      <c r="DN1" s="10" t="s">
        <v>191</v>
      </c>
      <c r="DO1" s="10" t="s">
        <v>211</v>
      </c>
      <c r="DP1" s="10" t="s">
        <v>292</v>
      </c>
      <c r="DQ1" s="10" t="s">
        <v>144</v>
      </c>
      <c r="DR1" s="22" t="s">
        <v>293</v>
      </c>
      <c r="DS1" s="22" t="s">
        <v>294</v>
      </c>
      <c r="DT1" s="22" t="s">
        <v>295</v>
      </c>
      <c r="DU1" s="22" t="s">
        <v>296</v>
      </c>
      <c r="DV1" s="22" t="s">
        <v>297</v>
      </c>
      <c r="DW1" s="14" t="s">
        <v>298</v>
      </c>
      <c r="DX1" s="22" t="s">
        <v>299</v>
      </c>
      <c r="DY1" s="22" t="s">
        <v>300</v>
      </c>
      <c r="DZ1" s="22" t="s">
        <v>262</v>
      </c>
      <c r="EA1" s="22" t="s">
        <v>263</v>
      </c>
      <c r="EB1" s="11" t="s">
        <v>301</v>
      </c>
      <c r="EC1" s="11" t="s">
        <v>302</v>
      </c>
      <c r="ED1" s="22" t="s">
        <v>303</v>
      </c>
      <c r="EE1" s="1" t="s">
        <v>304</v>
      </c>
      <c r="EF1" s="1" t="s">
        <v>305</v>
      </c>
      <c r="EG1" s="1" t="s">
        <v>306</v>
      </c>
      <c r="EH1" s="1" t="s">
        <v>307</v>
      </c>
    </row>
    <row r="2" spans="1:138" x14ac:dyDescent="0.25">
      <c r="B2" s="4" t="s">
        <v>327</v>
      </c>
      <c r="V2" s="5" t="s">
        <v>82</v>
      </c>
      <c r="W2" s="1">
        <v>12.1</v>
      </c>
      <c r="X2" s="98" t="s">
        <v>95</v>
      </c>
      <c r="Y2" s="1" t="s">
        <v>103</v>
      </c>
      <c r="Z2" s="1">
        <v>43.1</v>
      </c>
      <c r="AA2" s="22">
        <v>61.39</v>
      </c>
      <c r="AB2" s="22">
        <v>1.3540000000000001</v>
      </c>
      <c r="AC2" s="22">
        <v>14.89</v>
      </c>
      <c r="AD2" s="22">
        <v>0</v>
      </c>
      <c r="AE2" s="22">
        <v>7.03</v>
      </c>
      <c r="AF2" s="22">
        <v>0.20899999999999999</v>
      </c>
      <c r="AG2" s="22">
        <v>1.3720000000000001</v>
      </c>
      <c r="AH2" s="22">
        <v>4.95</v>
      </c>
      <c r="AI2" s="22">
        <v>4.37</v>
      </c>
      <c r="AJ2" s="22">
        <v>1.84</v>
      </c>
      <c r="AK2" s="22">
        <v>0.40400000000000003</v>
      </c>
      <c r="AL2" s="22">
        <v>3.5999999999999997E-2</v>
      </c>
      <c r="AM2" s="22">
        <v>0.22500000000000001</v>
      </c>
      <c r="AO2" s="22">
        <v>98.070000000000007</v>
      </c>
      <c r="AP2" s="3">
        <v>98.85243899999999</v>
      </c>
      <c r="AR2" s="4" t="s">
        <v>308</v>
      </c>
      <c r="AS2" s="1" t="s">
        <v>325</v>
      </c>
      <c r="AU2" s="16" t="s">
        <v>80</v>
      </c>
      <c r="AV2" s="13" t="s">
        <v>80</v>
      </c>
      <c r="AW2" s="13" t="s">
        <v>80</v>
      </c>
      <c r="AX2" s="13" t="s">
        <v>80</v>
      </c>
      <c r="AY2" s="13" t="s">
        <v>80</v>
      </c>
      <c r="AZ2" s="13" t="s">
        <v>80</v>
      </c>
      <c r="BA2" s="16" t="s">
        <v>80</v>
      </c>
      <c r="BB2" s="16" t="s">
        <v>80</v>
      </c>
      <c r="BC2" s="13" t="s">
        <v>80</v>
      </c>
      <c r="BD2" s="104" t="s">
        <v>80</v>
      </c>
      <c r="BE2" s="16" t="s">
        <v>80</v>
      </c>
      <c r="BF2" s="13" t="s">
        <v>80</v>
      </c>
      <c r="BG2" s="16" t="s">
        <v>80</v>
      </c>
      <c r="BH2" s="16" t="s">
        <v>80</v>
      </c>
      <c r="BI2" s="16" t="s">
        <v>80</v>
      </c>
      <c r="BJ2" s="16" t="s">
        <v>80</v>
      </c>
      <c r="BK2" s="16" t="s">
        <v>80</v>
      </c>
      <c r="BL2" s="16" t="s">
        <v>80</v>
      </c>
      <c r="BM2" s="16" t="s">
        <v>80</v>
      </c>
      <c r="BN2" s="16" t="s">
        <v>80</v>
      </c>
      <c r="BO2" s="16" t="s">
        <v>80</v>
      </c>
      <c r="BP2" s="16" t="s">
        <v>80</v>
      </c>
      <c r="BQ2" s="16" t="s">
        <v>80</v>
      </c>
      <c r="BR2" s="16" t="s">
        <v>80</v>
      </c>
      <c r="BS2" s="16"/>
      <c r="BT2" s="16" t="s">
        <v>80</v>
      </c>
      <c r="BU2" s="16" t="s">
        <v>80</v>
      </c>
      <c r="BV2" s="16" t="s">
        <v>80</v>
      </c>
      <c r="BW2" s="16" t="s">
        <v>80</v>
      </c>
      <c r="BX2" s="16" t="s">
        <v>80</v>
      </c>
      <c r="BY2" s="16" t="s">
        <v>80</v>
      </c>
      <c r="BZ2" s="16" t="s">
        <v>80</v>
      </c>
      <c r="CA2" s="16" t="s">
        <v>80</v>
      </c>
      <c r="CB2" s="16" t="s">
        <v>80</v>
      </c>
      <c r="CC2" s="16" t="s">
        <v>80</v>
      </c>
      <c r="CD2" s="16" t="s">
        <v>80</v>
      </c>
      <c r="CE2" s="16" t="s">
        <v>80</v>
      </c>
      <c r="CF2" s="16" t="s">
        <v>80</v>
      </c>
      <c r="CG2" s="16" t="s">
        <v>80</v>
      </c>
      <c r="CH2" s="16" t="s">
        <v>80</v>
      </c>
      <c r="CI2" s="16" t="s">
        <v>80</v>
      </c>
      <c r="CJ2" s="16" t="s">
        <v>80</v>
      </c>
      <c r="CK2" s="16" t="s">
        <v>80</v>
      </c>
      <c r="CL2" s="16" t="s">
        <v>80</v>
      </c>
      <c r="CM2" s="16" t="s">
        <v>80</v>
      </c>
      <c r="DN2" s="16"/>
      <c r="DO2" s="16"/>
      <c r="DP2" s="16"/>
      <c r="DQ2" s="16"/>
      <c r="DR2" s="16"/>
      <c r="DS2" s="16"/>
      <c r="DT2" s="16"/>
      <c r="DU2" s="16"/>
      <c r="DV2" s="16"/>
      <c r="DW2" s="16"/>
      <c r="DX2" s="16"/>
      <c r="DY2" s="16"/>
      <c r="DZ2" s="16"/>
      <c r="EA2" s="16"/>
      <c r="EB2" s="16"/>
      <c r="EC2" s="16"/>
      <c r="ED2" s="16"/>
      <c r="EE2" s="15"/>
      <c r="EF2" s="15"/>
      <c r="EG2" s="15"/>
      <c r="EH2" s="15"/>
    </row>
    <row r="3" spans="1:138" x14ac:dyDescent="0.25">
      <c r="B3" s="4" t="s">
        <v>327</v>
      </c>
      <c r="V3" s="5" t="s">
        <v>82</v>
      </c>
      <c r="W3" s="1">
        <v>12.2</v>
      </c>
      <c r="X3" s="98" t="s">
        <v>95</v>
      </c>
      <c r="Y3" s="1" t="s">
        <v>103</v>
      </c>
      <c r="Z3" s="1">
        <v>43.2</v>
      </c>
      <c r="AA3" s="22">
        <v>61.92</v>
      </c>
      <c r="AB3" s="22">
        <v>1.244</v>
      </c>
      <c r="AC3" s="22">
        <v>14.72</v>
      </c>
      <c r="AD3" s="22">
        <v>1.4E-2</v>
      </c>
      <c r="AE3" s="22">
        <v>7.23</v>
      </c>
      <c r="AF3" s="22">
        <v>0.249</v>
      </c>
      <c r="AG3" s="22">
        <v>1.3440000000000001</v>
      </c>
      <c r="AH3" s="22">
        <v>5.29</v>
      </c>
      <c r="AI3" s="22">
        <v>4.42</v>
      </c>
      <c r="AJ3" s="22">
        <v>1.89</v>
      </c>
      <c r="AK3" s="22">
        <v>0.40500000000000003</v>
      </c>
      <c r="AL3" s="22">
        <v>2.4E-2</v>
      </c>
      <c r="AM3" s="22">
        <v>0.22700000000000001</v>
      </c>
      <c r="AO3" s="22">
        <v>98.977000000000004</v>
      </c>
      <c r="AP3" s="3">
        <v>99.781699000000003</v>
      </c>
      <c r="AR3" s="4" t="s">
        <v>308</v>
      </c>
      <c r="AS3" s="1" t="s">
        <v>325</v>
      </c>
      <c r="AU3" s="16" t="s">
        <v>80</v>
      </c>
      <c r="AV3" s="13" t="s">
        <v>80</v>
      </c>
      <c r="AW3" s="13" t="s">
        <v>80</v>
      </c>
      <c r="AX3" s="13" t="s">
        <v>80</v>
      </c>
      <c r="AY3" s="13" t="s">
        <v>80</v>
      </c>
      <c r="AZ3" s="13" t="s">
        <v>80</v>
      </c>
      <c r="BA3" s="16" t="s">
        <v>80</v>
      </c>
      <c r="BB3" s="16" t="s">
        <v>80</v>
      </c>
      <c r="BC3" s="13" t="s">
        <v>80</v>
      </c>
      <c r="BD3" s="104" t="s">
        <v>80</v>
      </c>
      <c r="BE3" s="16" t="s">
        <v>80</v>
      </c>
      <c r="BF3" s="13" t="s">
        <v>80</v>
      </c>
      <c r="BG3" s="16" t="s">
        <v>80</v>
      </c>
      <c r="BH3" s="16" t="s">
        <v>80</v>
      </c>
      <c r="BI3" s="16" t="s">
        <v>80</v>
      </c>
      <c r="BJ3" s="16" t="s">
        <v>80</v>
      </c>
      <c r="BK3" s="16" t="s">
        <v>80</v>
      </c>
      <c r="BL3" s="16" t="s">
        <v>80</v>
      </c>
      <c r="BM3" s="16" t="s">
        <v>80</v>
      </c>
      <c r="BN3" s="16" t="s">
        <v>80</v>
      </c>
      <c r="BO3" s="16" t="s">
        <v>80</v>
      </c>
      <c r="BP3" s="16" t="s">
        <v>80</v>
      </c>
      <c r="BQ3" s="16" t="s">
        <v>80</v>
      </c>
      <c r="BR3" s="16" t="s">
        <v>80</v>
      </c>
      <c r="BS3" s="16"/>
      <c r="BT3" s="16" t="s">
        <v>80</v>
      </c>
      <c r="BU3" s="16" t="s">
        <v>80</v>
      </c>
      <c r="BV3" s="16" t="s">
        <v>80</v>
      </c>
      <c r="BW3" s="16" t="s">
        <v>80</v>
      </c>
      <c r="BX3" s="16" t="s">
        <v>80</v>
      </c>
      <c r="BY3" s="16" t="s">
        <v>80</v>
      </c>
      <c r="BZ3" s="16" t="s">
        <v>80</v>
      </c>
      <c r="CA3" s="16" t="s">
        <v>80</v>
      </c>
      <c r="CB3" s="16" t="s">
        <v>80</v>
      </c>
      <c r="CC3" s="16" t="s">
        <v>80</v>
      </c>
      <c r="CD3" s="16" t="s">
        <v>80</v>
      </c>
      <c r="CE3" s="16" t="s">
        <v>80</v>
      </c>
      <c r="CF3" s="16" t="s">
        <v>80</v>
      </c>
      <c r="CG3" s="16" t="s">
        <v>80</v>
      </c>
      <c r="CH3" s="16" t="s">
        <v>80</v>
      </c>
      <c r="CI3" s="16" t="s">
        <v>80</v>
      </c>
      <c r="CJ3" s="16" t="s">
        <v>80</v>
      </c>
      <c r="CK3" s="16" t="s">
        <v>80</v>
      </c>
      <c r="CL3" s="16" t="s">
        <v>80</v>
      </c>
      <c r="CM3" s="16" t="s">
        <v>80</v>
      </c>
      <c r="DN3" s="16"/>
      <c r="DO3" s="16"/>
      <c r="DP3" s="16"/>
      <c r="DQ3" s="16"/>
      <c r="DR3" s="16"/>
      <c r="DS3" s="16"/>
      <c r="DT3" s="16"/>
      <c r="DU3" s="16"/>
      <c r="DV3" s="16"/>
      <c r="DW3" s="16"/>
      <c r="DX3" s="16"/>
      <c r="DY3" s="16"/>
      <c r="DZ3" s="16"/>
      <c r="EA3" s="16"/>
      <c r="EB3" s="16"/>
      <c r="EC3" s="16"/>
      <c r="ED3" s="16"/>
      <c r="EE3" s="15"/>
      <c r="EF3" s="15"/>
      <c r="EG3" s="15"/>
      <c r="EH3" s="15"/>
    </row>
    <row r="4" spans="1:138" x14ac:dyDescent="0.25">
      <c r="B4" s="4" t="s">
        <v>327</v>
      </c>
      <c r="V4" s="5" t="s">
        <v>82</v>
      </c>
      <c r="W4" s="1">
        <v>12.3</v>
      </c>
      <c r="X4" s="98" t="s">
        <v>95</v>
      </c>
      <c r="Y4" s="1" t="s">
        <v>103</v>
      </c>
      <c r="Z4" s="1">
        <v>43.3</v>
      </c>
      <c r="AA4" s="22">
        <v>61.43</v>
      </c>
      <c r="AB4" s="22">
        <v>1.343</v>
      </c>
      <c r="AC4" s="22">
        <v>14.32</v>
      </c>
      <c r="AD4" s="22">
        <v>0</v>
      </c>
      <c r="AE4" s="22">
        <v>7.68</v>
      </c>
      <c r="AF4" s="22">
        <v>0.27500000000000002</v>
      </c>
      <c r="AG4" s="22">
        <v>1.607</v>
      </c>
      <c r="AH4" s="22">
        <v>4.7300000000000004</v>
      </c>
      <c r="AI4" s="22">
        <v>4.1100000000000003</v>
      </c>
      <c r="AJ4" s="22">
        <v>1.87</v>
      </c>
      <c r="AK4" s="22">
        <v>0.38</v>
      </c>
      <c r="AL4" s="22">
        <v>3.1E-2</v>
      </c>
      <c r="AM4" s="22">
        <v>0.20499999999999999</v>
      </c>
      <c r="AO4" s="22">
        <v>97.981000000000009</v>
      </c>
      <c r="AP4" s="3">
        <v>98.83578399999999</v>
      </c>
      <c r="AR4" s="4" t="s">
        <v>308</v>
      </c>
      <c r="AS4" s="1" t="s">
        <v>325</v>
      </c>
      <c r="AU4" s="16" t="s">
        <v>80</v>
      </c>
      <c r="AV4" s="13" t="s">
        <v>80</v>
      </c>
      <c r="AW4" s="13" t="s">
        <v>80</v>
      </c>
      <c r="AX4" s="13" t="s">
        <v>80</v>
      </c>
      <c r="AY4" s="13" t="s">
        <v>80</v>
      </c>
      <c r="AZ4" s="13" t="s">
        <v>80</v>
      </c>
      <c r="BA4" s="16" t="s">
        <v>80</v>
      </c>
      <c r="BB4" s="16" t="s">
        <v>80</v>
      </c>
      <c r="BC4" s="13" t="s">
        <v>80</v>
      </c>
      <c r="BD4" s="104" t="s">
        <v>80</v>
      </c>
      <c r="BE4" s="16" t="s">
        <v>80</v>
      </c>
      <c r="BF4" s="13" t="s">
        <v>80</v>
      </c>
      <c r="BG4" s="16" t="s">
        <v>80</v>
      </c>
      <c r="BH4" s="16" t="s">
        <v>80</v>
      </c>
      <c r="BI4" s="16" t="s">
        <v>80</v>
      </c>
      <c r="BJ4" s="16" t="s">
        <v>80</v>
      </c>
      <c r="BK4" s="16" t="s">
        <v>80</v>
      </c>
      <c r="BL4" s="16" t="s">
        <v>80</v>
      </c>
      <c r="BM4" s="16" t="s">
        <v>80</v>
      </c>
      <c r="BN4" s="16" t="s">
        <v>80</v>
      </c>
      <c r="BO4" s="16" t="s">
        <v>80</v>
      </c>
      <c r="BP4" s="16" t="s">
        <v>80</v>
      </c>
      <c r="BQ4" s="16" t="s">
        <v>80</v>
      </c>
      <c r="BR4" s="16" t="s">
        <v>80</v>
      </c>
      <c r="BS4" s="16"/>
      <c r="BT4" s="16" t="s">
        <v>80</v>
      </c>
      <c r="BU4" s="16" t="s">
        <v>80</v>
      </c>
      <c r="BV4" s="16" t="s">
        <v>80</v>
      </c>
      <c r="BW4" s="16" t="s">
        <v>80</v>
      </c>
      <c r="BX4" s="16" t="s">
        <v>80</v>
      </c>
      <c r="BY4" s="16" t="s">
        <v>80</v>
      </c>
      <c r="BZ4" s="16" t="s">
        <v>80</v>
      </c>
      <c r="CA4" s="16" t="s">
        <v>80</v>
      </c>
      <c r="CB4" s="16" t="s">
        <v>80</v>
      </c>
      <c r="CC4" s="16" t="s">
        <v>80</v>
      </c>
      <c r="CD4" s="16" t="s">
        <v>80</v>
      </c>
      <c r="CE4" s="16" t="s">
        <v>80</v>
      </c>
      <c r="CF4" s="16" t="s">
        <v>80</v>
      </c>
      <c r="CG4" s="16" t="s">
        <v>80</v>
      </c>
      <c r="CH4" s="16" t="s">
        <v>80</v>
      </c>
      <c r="CI4" s="16" t="s">
        <v>80</v>
      </c>
      <c r="CJ4" s="16" t="s">
        <v>80</v>
      </c>
      <c r="CK4" s="16" t="s">
        <v>80</v>
      </c>
      <c r="CL4" s="16" t="s">
        <v>80</v>
      </c>
      <c r="CM4" s="16" t="s">
        <v>80</v>
      </c>
      <c r="DN4" s="16"/>
      <c r="DO4" s="16"/>
      <c r="DP4" s="16"/>
      <c r="DQ4" s="16"/>
      <c r="DR4" s="16"/>
      <c r="DS4" s="16"/>
      <c r="DT4" s="16"/>
      <c r="DU4" s="16"/>
      <c r="DV4" s="16"/>
      <c r="DW4" s="16"/>
      <c r="DX4" s="16"/>
      <c r="DY4" s="16"/>
      <c r="DZ4" s="16"/>
      <c r="EA4" s="16"/>
      <c r="EB4" s="16"/>
      <c r="EC4" s="16"/>
      <c r="ED4" s="16"/>
      <c r="EE4" s="15"/>
      <c r="EF4" s="15"/>
      <c r="EG4" s="15"/>
      <c r="EH4" s="15"/>
    </row>
    <row r="5" spans="1:138" x14ac:dyDescent="0.25">
      <c r="B5" s="4" t="s">
        <v>327</v>
      </c>
      <c r="V5" s="5" t="s">
        <v>82</v>
      </c>
      <c r="W5" s="1">
        <v>12.4</v>
      </c>
      <c r="X5" s="98" t="s">
        <v>95</v>
      </c>
      <c r="Y5" s="1" t="s">
        <v>103</v>
      </c>
      <c r="Z5" s="1">
        <v>43.4</v>
      </c>
      <c r="AA5" s="22">
        <v>60.71</v>
      </c>
      <c r="AB5" s="22">
        <v>1.633</v>
      </c>
      <c r="AC5" s="22">
        <v>14.44</v>
      </c>
      <c r="AD5" s="22">
        <v>0</v>
      </c>
      <c r="AE5" s="22">
        <v>7.43</v>
      </c>
      <c r="AF5" s="22">
        <v>0.248</v>
      </c>
      <c r="AG5" s="22">
        <v>1.599</v>
      </c>
      <c r="AH5" s="22">
        <v>4.99</v>
      </c>
      <c r="AI5" s="22">
        <v>4.03</v>
      </c>
      <c r="AJ5" s="22">
        <v>1.85</v>
      </c>
      <c r="AK5" s="22">
        <v>0.372</v>
      </c>
      <c r="AL5" s="22">
        <v>3.4000000000000002E-2</v>
      </c>
      <c r="AM5" s="22">
        <v>0.22600000000000001</v>
      </c>
      <c r="AO5" s="22">
        <v>97.561999999999998</v>
      </c>
      <c r="AP5" s="3">
        <v>98.388959</v>
      </c>
      <c r="AR5" s="4" t="s">
        <v>308</v>
      </c>
      <c r="AS5" s="1" t="s">
        <v>325</v>
      </c>
      <c r="AU5" s="16" t="s">
        <v>80</v>
      </c>
      <c r="AV5" s="13" t="s">
        <v>80</v>
      </c>
      <c r="AW5" s="13" t="s">
        <v>80</v>
      </c>
      <c r="AX5" s="13" t="s">
        <v>80</v>
      </c>
      <c r="AY5" s="13" t="s">
        <v>80</v>
      </c>
      <c r="AZ5" s="13" t="s">
        <v>80</v>
      </c>
      <c r="BA5" s="16" t="s">
        <v>80</v>
      </c>
      <c r="BB5" s="16" t="s">
        <v>80</v>
      </c>
      <c r="BC5" s="13" t="s">
        <v>80</v>
      </c>
      <c r="BD5" s="104" t="s">
        <v>80</v>
      </c>
      <c r="BE5" s="16" t="s">
        <v>80</v>
      </c>
      <c r="BF5" s="13" t="s">
        <v>80</v>
      </c>
      <c r="BG5" s="16" t="s">
        <v>80</v>
      </c>
      <c r="BH5" s="16" t="s">
        <v>80</v>
      </c>
      <c r="BI5" s="16" t="s">
        <v>80</v>
      </c>
      <c r="BJ5" s="16" t="s">
        <v>80</v>
      </c>
      <c r="BK5" s="16" t="s">
        <v>80</v>
      </c>
      <c r="BL5" s="16" t="s">
        <v>80</v>
      </c>
      <c r="BM5" s="16" t="s">
        <v>80</v>
      </c>
      <c r="BN5" s="16" t="s">
        <v>80</v>
      </c>
      <c r="BO5" s="16" t="s">
        <v>80</v>
      </c>
      <c r="BP5" s="16" t="s">
        <v>80</v>
      </c>
      <c r="BQ5" s="16" t="s">
        <v>80</v>
      </c>
      <c r="BR5" s="16" t="s">
        <v>80</v>
      </c>
      <c r="BS5" s="16"/>
      <c r="BT5" s="16" t="s">
        <v>80</v>
      </c>
      <c r="BU5" s="16" t="s">
        <v>80</v>
      </c>
      <c r="BV5" s="16" t="s">
        <v>80</v>
      </c>
      <c r="BW5" s="16" t="s">
        <v>80</v>
      </c>
      <c r="BX5" s="16" t="s">
        <v>80</v>
      </c>
      <c r="BY5" s="16" t="s">
        <v>80</v>
      </c>
      <c r="BZ5" s="16" t="s">
        <v>80</v>
      </c>
      <c r="CA5" s="16" t="s">
        <v>80</v>
      </c>
      <c r="CB5" s="16" t="s">
        <v>80</v>
      </c>
      <c r="CC5" s="16" t="s">
        <v>80</v>
      </c>
      <c r="CD5" s="16" t="s">
        <v>80</v>
      </c>
      <c r="CE5" s="16" t="s">
        <v>80</v>
      </c>
      <c r="CF5" s="16" t="s">
        <v>80</v>
      </c>
      <c r="CG5" s="16" t="s">
        <v>80</v>
      </c>
      <c r="CH5" s="16" t="s">
        <v>80</v>
      </c>
      <c r="CI5" s="16" t="s">
        <v>80</v>
      </c>
      <c r="CJ5" s="16" t="s">
        <v>80</v>
      </c>
      <c r="CK5" s="16" t="s">
        <v>80</v>
      </c>
      <c r="CL5" s="16" t="s">
        <v>80</v>
      </c>
      <c r="CM5" s="16" t="s">
        <v>80</v>
      </c>
      <c r="DN5" s="16"/>
      <c r="DO5" s="16"/>
      <c r="DP5" s="16"/>
      <c r="DQ5" s="16"/>
      <c r="DR5" s="16"/>
      <c r="DS5" s="16"/>
      <c r="DT5" s="16"/>
      <c r="DU5" s="16"/>
      <c r="DV5" s="16"/>
      <c r="DW5" s="16"/>
      <c r="DX5" s="16"/>
      <c r="DY5" s="16"/>
      <c r="DZ5" s="16"/>
      <c r="EA5" s="16"/>
      <c r="EB5" s="16"/>
      <c r="EC5" s="16"/>
      <c r="ED5" s="16"/>
      <c r="EE5" s="15"/>
      <c r="EF5" s="15"/>
      <c r="EG5" s="15"/>
      <c r="EH5" s="15"/>
    </row>
    <row r="6" spans="1:138" x14ac:dyDescent="0.25">
      <c r="B6" s="4" t="s">
        <v>327</v>
      </c>
      <c r="V6" s="5" t="s">
        <v>82</v>
      </c>
      <c r="W6" s="1">
        <v>12.5</v>
      </c>
      <c r="X6" s="98" t="s">
        <v>95</v>
      </c>
      <c r="Y6" s="1" t="s">
        <v>103</v>
      </c>
      <c r="Z6" s="1">
        <v>43.5</v>
      </c>
      <c r="AA6" s="22">
        <v>60.13</v>
      </c>
      <c r="AB6" s="22">
        <v>1.58</v>
      </c>
      <c r="AC6" s="22">
        <v>15.48</v>
      </c>
      <c r="AD6" s="22">
        <v>0.03</v>
      </c>
      <c r="AE6" s="22">
        <v>7.39</v>
      </c>
      <c r="AF6" s="22">
        <v>0.23499999999999999</v>
      </c>
      <c r="AG6" s="22">
        <v>1.71</v>
      </c>
      <c r="AH6" s="22">
        <v>4.8499999999999996</v>
      </c>
      <c r="AI6" s="22">
        <v>4.41</v>
      </c>
      <c r="AJ6" s="22">
        <v>1.81</v>
      </c>
      <c r="AK6" s="22">
        <v>0.32</v>
      </c>
      <c r="AL6" s="22">
        <v>3.5000000000000003E-2</v>
      </c>
      <c r="AM6" s="22">
        <v>0.218</v>
      </c>
      <c r="AO6" s="22">
        <v>98.197999999999979</v>
      </c>
      <c r="AP6" s="3">
        <v>99.020506999999995</v>
      </c>
      <c r="AR6" s="4" t="s">
        <v>308</v>
      </c>
      <c r="AS6" s="1" t="s">
        <v>325</v>
      </c>
      <c r="AU6" s="16" t="s">
        <v>80</v>
      </c>
      <c r="AV6" s="13" t="s">
        <v>80</v>
      </c>
      <c r="AW6" s="13" t="s">
        <v>80</v>
      </c>
      <c r="AX6" s="13" t="s">
        <v>80</v>
      </c>
      <c r="AY6" s="13" t="s">
        <v>80</v>
      </c>
      <c r="AZ6" s="13" t="s">
        <v>80</v>
      </c>
      <c r="BA6" s="16" t="s">
        <v>80</v>
      </c>
      <c r="BB6" s="16" t="s">
        <v>80</v>
      </c>
      <c r="BC6" s="13" t="s">
        <v>80</v>
      </c>
      <c r="BD6" s="104" t="s">
        <v>80</v>
      </c>
      <c r="BE6" s="16" t="s">
        <v>80</v>
      </c>
      <c r="BF6" s="13" t="s">
        <v>80</v>
      </c>
      <c r="BG6" s="16" t="s">
        <v>80</v>
      </c>
      <c r="BH6" s="16" t="s">
        <v>80</v>
      </c>
      <c r="BI6" s="16" t="s">
        <v>80</v>
      </c>
      <c r="BJ6" s="16" t="s">
        <v>80</v>
      </c>
      <c r="BK6" s="16" t="s">
        <v>80</v>
      </c>
      <c r="BL6" s="16" t="s">
        <v>80</v>
      </c>
      <c r="BM6" s="16" t="s">
        <v>80</v>
      </c>
      <c r="BN6" s="16" t="s">
        <v>80</v>
      </c>
      <c r="BO6" s="16" t="s">
        <v>80</v>
      </c>
      <c r="BP6" s="16" t="s">
        <v>80</v>
      </c>
      <c r="BQ6" s="16" t="s">
        <v>80</v>
      </c>
      <c r="BR6" s="16" t="s">
        <v>80</v>
      </c>
      <c r="BS6" s="16"/>
      <c r="BT6" s="16" t="s">
        <v>80</v>
      </c>
      <c r="BU6" s="16" t="s">
        <v>80</v>
      </c>
      <c r="BV6" s="16" t="s">
        <v>80</v>
      </c>
      <c r="BW6" s="16" t="s">
        <v>80</v>
      </c>
      <c r="BX6" s="16" t="s">
        <v>80</v>
      </c>
      <c r="BY6" s="16" t="s">
        <v>80</v>
      </c>
      <c r="BZ6" s="16" t="s">
        <v>80</v>
      </c>
      <c r="CA6" s="16" t="s">
        <v>80</v>
      </c>
      <c r="CB6" s="16" t="s">
        <v>80</v>
      </c>
      <c r="CC6" s="16" t="s">
        <v>80</v>
      </c>
      <c r="CD6" s="16" t="s">
        <v>80</v>
      </c>
      <c r="CE6" s="16" t="s">
        <v>80</v>
      </c>
      <c r="CF6" s="16" t="s">
        <v>80</v>
      </c>
      <c r="CG6" s="16" t="s">
        <v>80</v>
      </c>
      <c r="CH6" s="16" t="s">
        <v>80</v>
      </c>
      <c r="CI6" s="16" t="s">
        <v>80</v>
      </c>
      <c r="CJ6" s="16" t="s">
        <v>80</v>
      </c>
      <c r="CK6" s="16" t="s">
        <v>80</v>
      </c>
      <c r="CL6" s="16" t="s">
        <v>80</v>
      </c>
      <c r="CM6" s="16" t="s">
        <v>80</v>
      </c>
      <c r="DN6" s="16"/>
      <c r="DO6" s="16"/>
      <c r="DP6" s="16"/>
      <c r="DQ6" s="16"/>
      <c r="DR6" s="16"/>
      <c r="DS6" s="16"/>
      <c r="DT6" s="16"/>
      <c r="DU6" s="16"/>
      <c r="DV6" s="16"/>
      <c r="DW6" s="16"/>
      <c r="DX6" s="16"/>
      <c r="DY6" s="16"/>
      <c r="DZ6" s="16"/>
      <c r="EA6" s="16"/>
      <c r="EB6" s="16"/>
      <c r="EC6" s="16"/>
      <c r="ED6" s="16"/>
      <c r="EE6" s="15"/>
      <c r="EF6" s="15"/>
      <c r="EG6" s="15"/>
      <c r="EH6" s="15"/>
    </row>
    <row r="7" spans="1:138" x14ac:dyDescent="0.25">
      <c r="B7" s="4" t="s">
        <v>327</v>
      </c>
      <c r="V7" s="5" t="s">
        <v>82</v>
      </c>
      <c r="W7" s="1">
        <v>17</v>
      </c>
      <c r="X7" s="98" t="s">
        <v>95</v>
      </c>
      <c r="Y7" s="1" t="s">
        <v>103</v>
      </c>
      <c r="Z7" s="1">
        <v>48</v>
      </c>
      <c r="AA7" s="22">
        <v>64.44</v>
      </c>
      <c r="AB7" s="22">
        <v>0.98499999999999999</v>
      </c>
      <c r="AC7" s="22">
        <v>16.59</v>
      </c>
      <c r="AE7" s="22">
        <v>4.8499999999999996</v>
      </c>
      <c r="AF7" s="22">
        <v>0.161</v>
      </c>
      <c r="AG7" s="22">
        <v>1.1679999999999999</v>
      </c>
      <c r="AH7" s="22">
        <v>3.38</v>
      </c>
      <c r="AI7" s="22">
        <v>4.58</v>
      </c>
      <c r="AJ7" s="22">
        <v>2.06</v>
      </c>
      <c r="AK7" s="22">
        <v>0.35699999999999998</v>
      </c>
      <c r="AL7" s="22">
        <v>0.01</v>
      </c>
      <c r="AM7" s="22">
        <v>0.159</v>
      </c>
      <c r="AO7" s="22">
        <v>98.740000000000009</v>
      </c>
      <c r="AP7" s="3">
        <v>99.279804999999996</v>
      </c>
      <c r="AR7" s="4" t="s">
        <v>308</v>
      </c>
      <c r="AS7" s="1" t="s">
        <v>325</v>
      </c>
      <c r="AU7" s="16" t="s">
        <v>80</v>
      </c>
      <c r="AV7" s="13" t="s">
        <v>80</v>
      </c>
      <c r="AW7" s="13" t="s">
        <v>80</v>
      </c>
      <c r="AX7" s="13" t="s">
        <v>80</v>
      </c>
      <c r="AY7" s="13" t="s">
        <v>80</v>
      </c>
      <c r="AZ7" s="13" t="s">
        <v>80</v>
      </c>
      <c r="BA7" s="16" t="s">
        <v>80</v>
      </c>
      <c r="BB7" s="16" t="s">
        <v>80</v>
      </c>
      <c r="BC7" s="13" t="s">
        <v>80</v>
      </c>
      <c r="BD7" s="104" t="s">
        <v>80</v>
      </c>
      <c r="BE7" s="16" t="s">
        <v>80</v>
      </c>
      <c r="BF7" s="13" t="s">
        <v>80</v>
      </c>
      <c r="BG7" s="16" t="s">
        <v>80</v>
      </c>
      <c r="BH7" s="16" t="s">
        <v>80</v>
      </c>
      <c r="BI7" s="16" t="s">
        <v>80</v>
      </c>
      <c r="BJ7" s="16" t="s">
        <v>80</v>
      </c>
      <c r="BK7" s="16" t="s">
        <v>80</v>
      </c>
      <c r="BL7" s="16" t="s">
        <v>80</v>
      </c>
      <c r="BM7" s="16" t="s">
        <v>80</v>
      </c>
      <c r="BN7" s="16" t="s">
        <v>80</v>
      </c>
      <c r="BO7" s="16" t="s">
        <v>80</v>
      </c>
      <c r="BP7" s="16" t="s">
        <v>80</v>
      </c>
      <c r="BQ7" s="16" t="s">
        <v>80</v>
      </c>
      <c r="BR7" s="16" t="s">
        <v>80</v>
      </c>
      <c r="BS7" s="16"/>
      <c r="BT7" s="16" t="s">
        <v>80</v>
      </c>
      <c r="BU7" s="16" t="s">
        <v>80</v>
      </c>
      <c r="BV7" s="16" t="s">
        <v>80</v>
      </c>
      <c r="BW7" s="16" t="s">
        <v>80</v>
      </c>
      <c r="BX7" s="16" t="s">
        <v>80</v>
      </c>
      <c r="BY7" s="16" t="s">
        <v>80</v>
      </c>
      <c r="BZ7" s="16" t="s">
        <v>80</v>
      </c>
      <c r="CA7" s="16" t="s">
        <v>80</v>
      </c>
      <c r="CB7" s="16" t="s">
        <v>80</v>
      </c>
      <c r="CC7" s="16" t="s">
        <v>80</v>
      </c>
      <c r="CD7" s="16" t="s">
        <v>80</v>
      </c>
      <c r="CE7" s="16" t="s">
        <v>80</v>
      </c>
      <c r="CF7" s="16" t="s">
        <v>80</v>
      </c>
      <c r="CG7" s="16" t="s">
        <v>80</v>
      </c>
      <c r="CH7" s="16" t="s">
        <v>80</v>
      </c>
      <c r="CI7" s="16" t="s">
        <v>80</v>
      </c>
      <c r="CJ7" s="16" t="s">
        <v>80</v>
      </c>
      <c r="CK7" s="16" t="s">
        <v>80</v>
      </c>
      <c r="CL7" s="16" t="s">
        <v>80</v>
      </c>
      <c r="CM7" s="16" t="s">
        <v>80</v>
      </c>
      <c r="DN7" s="16"/>
      <c r="DO7" s="16"/>
      <c r="DP7" s="16"/>
      <c r="DQ7" s="16"/>
      <c r="DR7" s="16"/>
      <c r="DS7" s="16"/>
      <c r="DT7" s="16"/>
      <c r="DU7" s="16"/>
      <c r="DV7" s="16"/>
      <c r="DW7" s="16"/>
      <c r="DX7" s="16"/>
      <c r="DY7" s="16"/>
      <c r="DZ7" s="16"/>
      <c r="EA7" s="16"/>
      <c r="EB7" s="16"/>
      <c r="EC7" s="16"/>
      <c r="ED7" s="16"/>
      <c r="EE7" s="15"/>
      <c r="EF7" s="15"/>
      <c r="EG7" s="15"/>
      <c r="EH7" s="15"/>
    </row>
    <row r="8" spans="1:138" x14ac:dyDescent="0.25">
      <c r="B8" s="4" t="s">
        <v>311</v>
      </c>
      <c r="C8" s="5" t="s">
        <v>82</v>
      </c>
      <c r="D8" s="1">
        <v>18.11</v>
      </c>
      <c r="E8" s="98" t="s">
        <v>95</v>
      </c>
      <c r="F8" s="1" t="s">
        <v>309</v>
      </c>
      <c r="G8" s="1">
        <v>49.11</v>
      </c>
      <c r="H8" s="22">
        <v>49.755000000000003</v>
      </c>
      <c r="I8" s="22">
        <v>0.81</v>
      </c>
      <c r="J8" s="22">
        <v>16.853000000000002</v>
      </c>
      <c r="K8" s="22">
        <v>0</v>
      </c>
      <c r="L8" s="22">
        <v>9.016</v>
      </c>
      <c r="M8" s="22">
        <v>0.16400000000000001</v>
      </c>
      <c r="N8" s="22">
        <v>5.3959999999999999</v>
      </c>
      <c r="O8" s="22">
        <v>9.8539999999999992</v>
      </c>
      <c r="P8" s="22">
        <v>2.6560000000000001</v>
      </c>
      <c r="Q8" s="22">
        <v>0.48</v>
      </c>
      <c r="R8" s="22">
        <v>0.16800000000000001</v>
      </c>
      <c r="S8" s="1" t="s">
        <v>310</v>
      </c>
      <c r="T8" s="96">
        <v>9.1999999999999975</v>
      </c>
      <c r="V8" s="5" t="s">
        <v>82</v>
      </c>
      <c r="W8" s="1">
        <v>18.100000000000001</v>
      </c>
      <c r="X8" s="98" t="s">
        <v>95</v>
      </c>
      <c r="Y8" s="1" t="s">
        <v>103</v>
      </c>
      <c r="Z8" s="1">
        <v>49.1</v>
      </c>
      <c r="AA8" s="22">
        <v>50.98</v>
      </c>
      <c r="AB8" s="22">
        <v>0.89400000000000002</v>
      </c>
      <c r="AC8" s="22">
        <v>18.59</v>
      </c>
      <c r="AD8" s="22">
        <v>0</v>
      </c>
      <c r="AE8" s="22">
        <v>7.6</v>
      </c>
      <c r="AF8" s="22">
        <v>0.18099999999999999</v>
      </c>
      <c r="AG8" s="22">
        <v>2.0299999999999998</v>
      </c>
      <c r="AH8" s="22">
        <v>10.87</v>
      </c>
      <c r="AI8" s="22">
        <v>2.93</v>
      </c>
      <c r="AJ8" s="22">
        <v>0.52900000000000003</v>
      </c>
      <c r="AK8" s="22">
        <v>0.185</v>
      </c>
      <c r="AL8" s="22">
        <v>0.13100000000000001</v>
      </c>
      <c r="AM8" s="22">
        <v>9.8000000000000004E-2</v>
      </c>
      <c r="AO8" s="22">
        <v>95.018000000000001</v>
      </c>
      <c r="AP8" s="3">
        <v>95.863879999999995</v>
      </c>
      <c r="AR8" s="4" t="s">
        <v>311</v>
      </c>
      <c r="AS8" s="1" t="s">
        <v>266</v>
      </c>
      <c r="AT8" s="1" t="s">
        <v>266</v>
      </c>
      <c r="AU8" s="16" t="s">
        <v>80</v>
      </c>
      <c r="AV8" s="13" t="s">
        <v>80</v>
      </c>
      <c r="AW8" s="13" t="s">
        <v>80</v>
      </c>
      <c r="AX8" s="13" t="s">
        <v>80</v>
      </c>
      <c r="AY8" s="13" t="s">
        <v>80</v>
      </c>
      <c r="AZ8" s="13" t="s">
        <v>80</v>
      </c>
      <c r="BA8" s="16" t="s">
        <v>80</v>
      </c>
      <c r="BB8" s="16" t="s">
        <v>80</v>
      </c>
      <c r="BC8" s="13" t="s">
        <v>80</v>
      </c>
      <c r="BD8" s="104" t="s">
        <v>80</v>
      </c>
      <c r="BE8" s="16" t="s">
        <v>80</v>
      </c>
      <c r="BF8" s="13" t="s">
        <v>80</v>
      </c>
      <c r="BG8" s="16" t="s">
        <v>80</v>
      </c>
      <c r="BH8" s="16" t="s">
        <v>80</v>
      </c>
      <c r="BI8" s="16" t="s">
        <v>80</v>
      </c>
      <c r="BJ8" s="16" t="s">
        <v>80</v>
      </c>
      <c r="BK8" s="16" t="s">
        <v>80</v>
      </c>
      <c r="BL8" s="16" t="s">
        <v>80</v>
      </c>
      <c r="BM8" s="16" t="s">
        <v>80</v>
      </c>
      <c r="BN8" s="16" t="s">
        <v>80</v>
      </c>
      <c r="BO8" s="16" t="s">
        <v>80</v>
      </c>
      <c r="BP8" s="16" t="s">
        <v>80</v>
      </c>
      <c r="BQ8" s="16" t="s">
        <v>80</v>
      </c>
      <c r="BR8" s="16" t="s">
        <v>80</v>
      </c>
      <c r="BS8" s="16"/>
      <c r="BT8" s="16" t="s">
        <v>80</v>
      </c>
      <c r="BU8" s="16" t="s">
        <v>80</v>
      </c>
      <c r="BV8" s="16" t="s">
        <v>80</v>
      </c>
      <c r="BW8" s="16" t="s">
        <v>80</v>
      </c>
      <c r="BX8" s="16" t="s">
        <v>80</v>
      </c>
      <c r="BY8" s="16" t="s">
        <v>80</v>
      </c>
      <c r="BZ8" s="16" t="s">
        <v>80</v>
      </c>
      <c r="CA8" s="16" t="s">
        <v>80</v>
      </c>
      <c r="CB8" s="16" t="s">
        <v>80</v>
      </c>
      <c r="CC8" s="16" t="s">
        <v>80</v>
      </c>
      <c r="CD8" s="16" t="s">
        <v>80</v>
      </c>
      <c r="CE8" s="16" t="s">
        <v>80</v>
      </c>
      <c r="CF8" s="16" t="s">
        <v>80</v>
      </c>
      <c r="CG8" s="16" t="s">
        <v>80</v>
      </c>
      <c r="CH8" s="16" t="s">
        <v>80</v>
      </c>
      <c r="CI8" s="16" t="s">
        <v>80</v>
      </c>
      <c r="CJ8" s="16" t="s">
        <v>80</v>
      </c>
      <c r="CK8" s="16" t="s">
        <v>80</v>
      </c>
      <c r="CL8" s="16" t="s">
        <v>80</v>
      </c>
      <c r="CM8" s="16" t="s">
        <v>80</v>
      </c>
      <c r="CP8" s="1">
        <v>20</v>
      </c>
      <c r="CQ8" s="1" t="s">
        <v>95</v>
      </c>
      <c r="CR8" s="1" t="s">
        <v>309</v>
      </c>
      <c r="CS8" s="1">
        <v>51</v>
      </c>
      <c r="CT8" s="22">
        <v>39.549999999999997</v>
      </c>
      <c r="CU8" s="22">
        <v>8.2000000000000003E-2</v>
      </c>
      <c r="CV8" s="22">
        <v>4.9000000000000002E-2</v>
      </c>
      <c r="CW8" s="22">
        <v>8.0000000000000002E-3</v>
      </c>
      <c r="CX8" s="22">
        <v>19.73</v>
      </c>
      <c r="CY8" s="22">
        <v>0.35299999999999998</v>
      </c>
      <c r="CZ8" s="22">
        <v>40.85</v>
      </c>
      <c r="DA8" s="22">
        <v>0.16900000000000001</v>
      </c>
      <c r="DB8" s="22">
        <v>0.03</v>
      </c>
      <c r="DN8" s="16"/>
      <c r="DO8" s="16"/>
      <c r="DP8" s="16"/>
      <c r="DQ8" s="16"/>
      <c r="DR8" s="16">
        <v>0.27090267787252276</v>
      </c>
      <c r="DS8" s="16">
        <v>2.0998865315329214</v>
      </c>
      <c r="DT8" s="16">
        <v>0.93717400915031268</v>
      </c>
      <c r="DU8" s="16">
        <v>0.12900824582877021</v>
      </c>
      <c r="DV8" s="16">
        <v>0.289063370545387</v>
      </c>
      <c r="DW8" s="13"/>
      <c r="DX8" s="16"/>
      <c r="DY8" s="16"/>
      <c r="DZ8" s="16"/>
      <c r="EA8" s="16"/>
      <c r="EB8" s="16"/>
      <c r="EC8" s="16"/>
      <c r="ED8" s="16"/>
      <c r="EE8" s="15"/>
      <c r="EF8" s="15"/>
      <c r="EG8" s="15"/>
      <c r="EH8" s="15"/>
    </row>
    <row r="9" spans="1:138" x14ac:dyDescent="0.25">
      <c r="B9" s="4" t="s">
        <v>311</v>
      </c>
      <c r="C9" s="5" t="s">
        <v>82</v>
      </c>
      <c r="D9" s="1">
        <v>27.11</v>
      </c>
      <c r="E9" s="98" t="s">
        <v>95</v>
      </c>
      <c r="F9" s="1" t="s">
        <v>309</v>
      </c>
      <c r="G9" s="1">
        <v>58.11</v>
      </c>
      <c r="H9" s="22">
        <v>48.956000000000003</v>
      </c>
      <c r="I9" s="22">
        <v>0.76900000000000002</v>
      </c>
      <c r="J9" s="22">
        <v>16.736999999999998</v>
      </c>
      <c r="K9" s="22">
        <v>2.4E-2</v>
      </c>
      <c r="L9" s="22">
        <v>9.1280000000000001</v>
      </c>
      <c r="M9" s="22">
        <v>0.113</v>
      </c>
      <c r="N9" s="22">
        <v>5.3079999999999998</v>
      </c>
      <c r="O9" s="22">
        <v>10.201000000000001</v>
      </c>
      <c r="P9" s="22">
        <v>2.6520000000000001</v>
      </c>
      <c r="Q9" s="22">
        <v>0.505</v>
      </c>
      <c r="R9" s="22">
        <v>0.214</v>
      </c>
      <c r="S9" s="1" t="s">
        <v>310</v>
      </c>
      <c r="T9" s="96">
        <v>9.3999999999999968</v>
      </c>
      <c r="V9" s="5" t="s">
        <v>82</v>
      </c>
      <c r="W9" s="1">
        <v>27.1</v>
      </c>
      <c r="X9" s="98" t="s">
        <v>95</v>
      </c>
      <c r="Y9" s="1" t="s">
        <v>103</v>
      </c>
      <c r="Z9" s="1">
        <v>58.1</v>
      </c>
      <c r="AA9" s="22">
        <v>50.15</v>
      </c>
      <c r="AB9" s="22">
        <v>0.84899999999999998</v>
      </c>
      <c r="AC9" s="22">
        <v>18.489999999999998</v>
      </c>
      <c r="AD9" s="22">
        <v>2.5999999999999999E-2</v>
      </c>
      <c r="AE9" s="22">
        <v>7.53</v>
      </c>
      <c r="AF9" s="22">
        <v>0.125</v>
      </c>
      <c r="AG9" s="22">
        <v>2.02</v>
      </c>
      <c r="AH9" s="22">
        <v>11.27</v>
      </c>
      <c r="AI9" s="22">
        <v>2.93</v>
      </c>
      <c r="AJ9" s="22">
        <v>0.55800000000000005</v>
      </c>
      <c r="AK9" s="22">
        <v>0.23599999999999999</v>
      </c>
      <c r="AL9" s="22">
        <v>0.114</v>
      </c>
      <c r="AM9" s="22">
        <v>8.1000000000000003E-2</v>
      </c>
      <c r="AO9" s="22">
        <v>94.379000000000005</v>
      </c>
      <c r="AP9" s="3"/>
      <c r="AR9" s="4" t="s">
        <v>311</v>
      </c>
      <c r="AS9" s="1" t="s">
        <v>266</v>
      </c>
      <c r="AT9" s="1" t="s">
        <v>266</v>
      </c>
      <c r="AU9" s="16">
        <v>11.06055237906039</v>
      </c>
      <c r="AV9" s="13">
        <v>20186.805733285091</v>
      </c>
      <c r="AW9" s="13">
        <v>10329.612684438998</v>
      </c>
      <c r="AX9" s="13">
        <v>91632.302678784268</v>
      </c>
      <c r="AY9" s="13">
        <v>229933.39899764681</v>
      </c>
      <c r="AZ9" s="13">
        <v>74918.862824638272</v>
      </c>
      <c r="BA9" s="16">
        <v>59.67</v>
      </c>
      <c r="BB9" s="16">
        <v>33.337584977452579</v>
      </c>
      <c r="BC9" s="13">
        <v>4727.1727234850478</v>
      </c>
      <c r="BD9" s="104">
        <v>299.58140395012646</v>
      </c>
      <c r="BE9" s="16">
        <v>10.620203317388379</v>
      </c>
      <c r="BF9" s="13">
        <v>1086.0123907804318</v>
      </c>
      <c r="BG9" s="16">
        <v>11.006090210367956</v>
      </c>
      <c r="BH9" s="16" t="s">
        <v>80</v>
      </c>
      <c r="BI9" s="16">
        <v>22.378081448699721</v>
      </c>
      <c r="BJ9" s="16">
        <v>78.034124001347436</v>
      </c>
      <c r="BK9" s="16">
        <v>10.039507930441363</v>
      </c>
      <c r="BL9" s="16">
        <v>224.53971002469567</v>
      </c>
      <c r="BM9" s="16">
        <v>218.16291141179809</v>
      </c>
      <c r="BN9" s="16">
        <v>17.219096490757192</v>
      </c>
      <c r="BO9" s="16">
        <v>54.377113184694913</v>
      </c>
      <c r="BP9" s="16">
        <v>2.3814824702369468</v>
      </c>
      <c r="BQ9" s="16">
        <v>0.17178446171514369</v>
      </c>
      <c r="BR9" s="16">
        <v>90.977303507828054</v>
      </c>
      <c r="BS9" s="16">
        <v>1.6730807904203842</v>
      </c>
      <c r="BT9" s="16">
        <v>5.7468859968607493</v>
      </c>
      <c r="BU9" s="16">
        <v>13.685014092669777</v>
      </c>
      <c r="BV9" s="16">
        <v>1.6766180160884223</v>
      </c>
      <c r="BW9" s="16">
        <v>7.934373349092124</v>
      </c>
      <c r="BX9" s="16">
        <v>2.8236262963957675</v>
      </c>
      <c r="BY9" s="16">
        <v>0.85226785721349585</v>
      </c>
      <c r="BZ9" s="16">
        <v>2.096265860668677</v>
      </c>
      <c r="CA9" s="16">
        <v>0.40040276916068301</v>
      </c>
      <c r="CB9" s="16">
        <v>2.071842879840684</v>
      </c>
      <c r="CC9" s="16">
        <v>0.82898329879246768</v>
      </c>
      <c r="CD9" s="16">
        <v>1.342723267700459</v>
      </c>
      <c r="CE9" s="16">
        <v>0.28062369409495985</v>
      </c>
      <c r="CF9" s="16">
        <v>1.929823092242841</v>
      </c>
      <c r="CG9" s="16">
        <v>0.29054413851161065</v>
      </c>
      <c r="CH9" s="16">
        <v>1.440496293724387</v>
      </c>
      <c r="CI9" s="16">
        <v>0.50496041706056249</v>
      </c>
      <c r="CJ9" s="16">
        <v>3.0744236234203748</v>
      </c>
      <c r="CK9" s="16">
        <v>1.5514382319545081</v>
      </c>
      <c r="CL9" s="16">
        <v>0.47193311768102225</v>
      </c>
      <c r="CM9" s="16">
        <v>1.0615154625377898</v>
      </c>
      <c r="CP9" s="1">
        <v>25</v>
      </c>
      <c r="CQ9" s="1" t="s">
        <v>95</v>
      </c>
      <c r="CR9" s="1" t="s">
        <v>309</v>
      </c>
      <c r="CS9" s="1">
        <v>56</v>
      </c>
      <c r="CT9" s="22">
        <v>39.049999999999997</v>
      </c>
      <c r="CU9" s="22">
        <v>0</v>
      </c>
      <c r="CV9" s="22">
        <v>1.7999999999999999E-2</v>
      </c>
      <c r="CW9" s="22">
        <v>0</v>
      </c>
      <c r="CX9" s="22">
        <v>19.93</v>
      </c>
      <c r="CY9" s="22">
        <v>0.4</v>
      </c>
      <c r="CZ9" s="22">
        <v>40.340000000000003</v>
      </c>
      <c r="DA9" s="22">
        <v>0.19800000000000001</v>
      </c>
      <c r="DB9" s="22">
        <v>1.6E-2</v>
      </c>
      <c r="DN9" s="16"/>
      <c r="DO9" s="16"/>
      <c r="DP9" s="16"/>
      <c r="DQ9" s="16"/>
      <c r="DR9" s="16">
        <v>0.27710839216692906</v>
      </c>
      <c r="DS9" s="16">
        <v>2.0908452014303727</v>
      </c>
      <c r="DT9" s="16">
        <v>0.96454610338565405</v>
      </c>
      <c r="DU9" s="16">
        <v>0.13253415029355395</v>
      </c>
      <c r="DV9" s="16">
        <v>0.28729408702627141</v>
      </c>
      <c r="DW9" s="13"/>
      <c r="DX9" s="16"/>
      <c r="DY9" s="16"/>
      <c r="DZ9" s="16"/>
      <c r="EA9" s="16"/>
      <c r="EB9" s="16"/>
      <c r="EC9" s="16"/>
      <c r="ED9" s="16"/>
      <c r="EE9" s="15"/>
      <c r="EF9" s="15"/>
      <c r="EG9" s="15"/>
      <c r="EH9" s="15"/>
    </row>
    <row r="10" spans="1:138" x14ac:dyDescent="0.25">
      <c r="B10" s="4" t="s">
        <v>311</v>
      </c>
      <c r="C10" s="5" t="s">
        <v>82</v>
      </c>
      <c r="D10" s="1">
        <v>28.01</v>
      </c>
      <c r="E10" s="98" t="s">
        <v>95</v>
      </c>
      <c r="F10" s="1" t="s">
        <v>103</v>
      </c>
      <c r="G10" s="1">
        <v>59.01</v>
      </c>
      <c r="H10" s="22">
        <f t="shared" ref="H10:R10" si="0">(AA10+($DW10/100)*CT10)*((100-$DW10)/100)</f>
        <v>55.153950000000002</v>
      </c>
      <c r="I10" s="22">
        <f t="shared" si="0"/>
        <v>0.22312499999999999</v>
      </c>
      <c r="J10" s="22">
        <f t="shared" si="0"/>
        <v>18.219324999999998</v>
      </c>
      <c r="K10" s="22">
        <f t="shared" si="0"/>
        <v>2.6775E-2</v>
      </c>
      <c r="L10" s="22">
        <f t="shared" si="0"/>
        <v>3.8411499999999998</v>
      </c>
      <c r="M10" s="22">
        <f t="shared" si="0"/>
        <v>0.13791249999999997</v>
      </c>
      <c r="N10" s="22">
        <f t="shared" si="0"/>
        <v>2.7386999999999997</v>
      </c>
      <c r="O10" s="22">
        <f t="shared" si="0"/>
        <v>8.1502249999999989</v>
      </c>
      <c r="P10" s="22">
        <f t="shared" si="0"/>
        <v>3.032375</v>
      </c>
      <c r="Q10" s="22">
        <f t="shared" si="0"/>
        <v>0.74629999999999996</v>
      </c>
      <c r="R10" s="22">
        <f t="shared" si="0"/>
        <v>0.18445</v>
      </c>
      <c r="S10" s="1" t="s">
        <v>312</v>
      </c>
      <c r="T10" s="96">
        <f>DW10</f>
        <v>15</v>
      </c>
      <c r="V10" s="5" t="s">
        <v>82</v>
      </c>
      <c r="W10" s="1">
        <v>28</v>
      </c>
      <c r="X10" s="98" t="s">
        <v>95</v>
      </c>
      <c r="Y10" s="1" t="s">
        <v>103</v>
      </c>
      <c r="Z10" s="1">
        <v>59</v>
      </c>
      <c r="AA10" s="22">
        <v>56.97</v>
      </c>
      <c r="AB10" s="22">
        <v>0.20100000000000001</v>
      </c>
      <c r="AC10" s="22">
        <v>20.95</v>
      </c>
      <c r="AE10" s="22">
        <v>3.73</v>
      </c>
      <c r="AF10" s="22">
        <v>0.14199999999999999</v>
      </c>
      <c r="AG10" s="22">
        <v>0.84599999999999997</v>
      </c>
      <c r="AH10" s="22">
        <v>6.23</v>
      </c>
      <c r="AI10" s="22">
        <v>3.53</v>
      </c>
      <c r="AJ10" s="22">
        <v>0.878</v>
      </c>
      <c r="AK10" s="22">
        <v>0.217</v>
      </c>
      <c r="AL10" s="22">
        <v>4.8000000000000001E-2</v>
      </c>
      <c r="AM10" s="22">
        <v>0.14000000000000001</v>
      </c>
      <c r="AO10" s="22">
        <v>93.882000000000005</v>
      </c>
      <c r="AP10" s="3">
        <v>94.297149000000005</v>
      </c>
      <c r="AR10" s="4" t="s">
        <v>311</v>
      </c>
      <c r="AS10" s="1" t="s">
        <v>260</v>
      </c>
      <c r="AT10" s="1" t="s">
        <v>260</v>
      </c>
      <c r="AU10" s="16" t="s">
        <v>80</v>
      </c>
      <c r="AV10" s="13" t="s">
        <v>80</v>
      </c>
      <c r="AW10" s="13" t="s">
        <v>80</v>
      </c>
      <c r="AX10" s="13" t="s">
        <v>80</v>
      </c>
      <c r="AY10" s="13" t="s">
        <v>80</v>
      </c>
      <c r="AZ10" s="13" t="s">
        <v>80</v>
      </c>
      <c r="BA10" s="16" t="s">
        <v>80</v>
      </c>
      <c r="BB10" s="16" t="s">
        <v>80</v>
      </c>
      <c r="BC10" s="13" t="s">
        <v>80</v>
      </c>
      <c r="BD10" s="104" t="s">
        <v>80</v>
      </c>
      <c r="BE10" s="16" t="s">
        <v>80</v>
      </c>
      <c r="BF10" s="13" t="s">
        <v>80</v>
      </c>
      <c r="BG10" s="16" t="s">
        <v>80</v>
      </c>
      <c r="BH10" s="16" t="s">
        <v>80</v>
      </c>
      <c r="BI10" s="16" t="s">
        <v>80</v>
      </c>
      <c r="BJ10" s="16" t="s">
        <v>80</v>
      </c>
      <c r="BK10" s="16" t="s">
        <v>80</v>
      </c>
      <c r="BL10" s="16" t="s">
        <v>80</v>
      </c>
      <c r="BM10" s="16" t="s">
        <v>80</v>
      </c>
      <c r="BN10" s="16" t="s">
        <v>80</v>
      </c>
      <c r="BO10" s="16" t="s">
        <v>80</v>
      </c>
      <c r="BP10" s="16" t="s">
        <v>80</v>
      </c>
      <c r="BQ10" s="16" t="s">
        <v>80</v>
      </c>
      <c r="BR10" s="16" t="s">
        <v>80</v>
      </c>
      <c r="BS10" s="16"/>
      <c r="BT10" s="16" t="s">
        <v>80</v>
      </c>
      <c r="BU10" s="16" t="s">
        <v>80</v>
      </c>
      <c r="BV10" s="16" t="s">
        <v>80</v>
      </c>
      <c r="BW10" s="16" t="s">
        <v>80</v>
      </c>
      <c r="BX10" s="16" t="s">
        <v>80</v>
      </c>
      <c r="BY10" s="16" t="s">
        <v>80</v>
      </c>
      <c r="BZ10" s="16" t="s">
        <v>80</v>
      </c>
      <c r="CA10" s="16" t="s">
        <v>80</v>
      </c>
      <c r="CB10" s="16" t="s">
        <v>80</v>
      </c>
      <c r="CC10" s="16" t="s">
        <v>80</v>
      </c>
      <c r="CD10" s="16" t="s">
        <v>80</v>
      </c>
      <c r="CE10" s="16" t="s">
        <v>80</v>
      </c>
      <c r="CF10" s="16" t="s">
        <v>80</v>
      </c>
      <c r="CG10" s="16" t="s">
        <v>80</v>
      </c>
      <c r="CH10" s="16" t="s">
        <v>80</v>
      </c>
      <c r="CI10" s="16" t="s">
        <v>80</v>
      </c>
      <c r="CJ10" s="16" t="s">
        <v>80</v>
      </c>
      <c r="CK10" s="16" t="s">
        <v>80</v>
      </c>
      <c r="CL10" s="16" t="s">
        <v>80</v>
      </c>
      <c r="CM10" s="16" t="s">
        <v>80</v>
      </c>
      <c r="CP10" s="1">
        <v>29</v>
      </c>
      <c r="CQ10" s="1" t="s">
        <v>95</v>
      </c>
      <c r="CR10" s="1" t="s">
        <v>309</v>
      </c>
      <c r="CS10" s="1">
        <v>60</v>
      </c>
      <c r="CT10" s="22">
        <v>52.78</v>
      </c>
      <c r="CU10" s="22">
        <v>0.41</v>
      </c>
      <c r="CV10" s="22">
        <v>3.23</v>
      </c>
      <c r="CW10" s="22">
        <v>0.21</v>
      </c>
      <c r="CX10" s="22">
        <v>5.26</v>
      </c>
      <c r="CY10" s="22">
        <v>0.13500000000000001</v>
      </c>
      <c r="CZ10" s="22">
        <v>15.84</v>
      </c>
      <c r="DA10" s="22">
        <v>22.39</v>
      </c>
      <c r="DB10" s="22">
        <v>0.25</v>
      </c>
      <c r="DN10" s="16">
        <v>0.84298879623608047</v>
      </c>
      <c r="DO10" s="16">
        <v>0.46027726841543187</v>
      </c>
      <c r="DP10" s="16">
        <v>7.4774390158909965E-2</v>
      </c>
      <c r="DQ10" s="16">
        <v>1.7679118250085911E-2</v>
      </c>
      <c r="DR10" s="16">
        <v>0.18625538615100201</v>
      </c>
      <c r="DS10" s="16">
        <v>2.4729580110915337</v>
      </c>
      <c r="DT10" s="16">
        <v>0.78667451113538744</v>
      </c>
      <c r="DU10" s="16">
        <v>7.5316841335608092E-2</v>
      </c>
      <c r="DV10" s="16">
        <v>0.23676296042970088</v>
      </c>
      <c r="DW10" s="13">
        <v>15</v>
      </c>
      <c r="DX10" s="16"/>
      <c r="DY10" s="16"/>
      <c r="DZ10" s="16"/>
      <c r="EA10" s="16"/>
      <c r="EB10" s="16"/>
      <c r="EC10" s="16"/>
      <c r="ED10" s="16"/>
      <c r="EE10" s="15"/>
      <c r="EF10" s="15"/>
      <c r="EG10" s="15"/>
      <c r="EH10" s="15"/>
    </row>
    <row r="11" spans="1:138" x14ac:dyDescent="0.25">
      <c r="B11" s="4" t="s">
        <v>327</v>
      </c>
      <c r="E11" s="98"/>
      <c r="T11" s="96"/>
      <c r="V11" s="5" t="s">
        <v>82</v>
      </c>
      <c r="W11" s="1">
        <v>40.1</v>
      </c>
      <c r="X11" s="98" t="s">
        <v>95</v>
      </c>
      <c r="Y11" s="1" t="s">
        <v>103</v>
      </c>
      <c r="Z11" s="1">
        <v>71.099999999999994</v>
      </c>
      <c r="AA11" s="22">
        <v>63.08</v>
      </c>
      <c r="AB11" s="22">
        <v>1.355</v>
      </c>
      <c r="AC11" s="22">
        <v>15.46</v>
      </c>
      <c r="AD11" s="22">
        <v>0</v>
      </c>
      <c r="AE11" s="22">
        <v>5.92</v>
      </c>
      <c r="AF11" s="22">
        <v>0.16900000000000001</v>
      </c>
      <c r="AG11" s="22">
        <v>1.0629999999999999</v>
      </c>
      <c r="AH11" s="22">
        <v>4.17</v>
      </c>
      <c r="AI11" s="22">
        <v>4.0199999999999996</v>
      </c>
      <c r="AJ11" s="22">
        <v>2.0099999999999998</v>
      </c>
      <c r="AK11" s="22">
        <v>0.36799999999999999</v>
      </c>
      <c r="AL11" s="22">
        <v>3.4000000000000002E-2</v>
      </c>
      <c r="AM11" s="22">
        <v>0.223</v>
      </c>
      <c r="AO11" s="22">
        <v>97.872000000000014</v>
      </c>
      <c r="AP11" s="3">
        <v>98.530896000000013</v>
      </c>
      <c r="AR11" s="4" t="s">
        <v>308</v>
      </c>
      <c r="AS11" s="1" t="s">
        <v>325</v>
      </c>
      <c r="AU11" s="16" t="s">
        <v>80</v>
      </c>
      <c r="AV11" s="13" t="s">
        <v>80</v>
      </c>
      <c r="AW11" s="13" t="s">
        <v>80</v>
      </c>
      <c r="AX11" s="13" t="s">
        <v>80</v>
      </c>
      <c r="AY11" s="13" t="s">
        <v>80</v>
      </c>
      <c r="AZ11" s="13" t="s">
        <v>80</v>
      </c>
      <c r="BA11" s="16" t="s">
        <v>80</v>
      </c>
      <c r="BB11" s="16" t="s">
        <v>80</v>
      </c>
      <c r="BC11" s="13" t="s">
        <v>80</v>
      </c>
      <c r="BD11" s="104" t="s">
        <v>80</v>
      </c>
      <c r="BE11" s="16" t="s">
        <v>80</v>
      </c>
      <c r="BF11" s="13" t="s">
        <v>80</v>
      </c>
      <c r="BG11" s="16" t="s">
        <v>80</v>
      </c>
      <c r="BH11" s="16" t="s">
        <v>80</v>
      </c>
      <c r="BI11" s="16" t="s">
        <v>80</v>
      </c>
      <c r="BJ11" s="16" t="s">
        <v>80</v>
      </c>
      <c r="BK11" s="16" t="s">
        <v>80</v>
      </c>
      <c r="BL11" s="16" t="s">
        <v>80</v>
      </c>
      <c r="BM11" s="16" t="s">
        <v>80</v>
      </c>
      <c r="BN11" s="16" t="s">
        <v>80</v>
      </c>
      <c r="BO11" s="16" t="s">
        <v>80</v>
      </c>
      <c r="BP11" s="16" t="s">
        <v>80</v>
      </c>
      <c r="BQ11" s="16" t="s">
        <v>80</v>
      </c>
      <c r="BR11" s="16" t="s">
        <v>80</v>
      </c>
      <c r="BS11" s="16"/>
      <c r="BT11" s="16" t="s">
        <v>80</v>
      </c>
      <c r="BU11" s="16" t="s">
        <v>80</v>
      </c>
      <c r="BV11" s="16" t="s">
        <v>80</v>
      </c>
      <c r="BW11" s="16" t="s">
        <v>80</v>
      </c>
      <c r="BX11" s="16" t="s">
        <v>80</v>
      </c>
      <c r="BY11" s="16" t="s">
        <v>80</v>
      </c>
      <c r="BZ11" s="16" t="s">
        <v>80</v>
      </c>
      <c r="CA11" s="16" t="s">
        <v>80</v>
      </c>
      <c r="CB11" s="16" t="s">
        <v>80</v>
      </c>
      <c r="CC11" s="16" t="s">
        <v>80</v>
      </c>
      <c r="CD11" s="16" t="s">
        <v>80</v>
      </c>
      <c r="CE11" s="16" t="s">
        <v>80</v>
      </c>
      <c r="CF11" s="16" t="s">
        <v>80</v>
      </c>
      <c r="CG11" s="16" t="s">
        <v>80</v>
      </c>
      <c r="CH11" s="16" t="s">
        <v>80</v>
      </c>
      <c r="CI11" s="16" t="s">
        <v>80</v>
      </c>
      <c r="CJ11" s="16" t="s">
        <v>80</v>
      </c>
      <c r="CK11" s="16" t="s">
        <v>80</v>
      </c>
      <c r="CL11" s="16" t="s">
        <v>80</v>
      </c>
      <c r="CM11" s="16" t="s">
        <v>80</v>
      </c>
      <c r="DN11" s="16"/>
      <c r="DO11" s="16"/>
      <c r="DP11" s="16"/>
      <c r="DQ11" s="16"/>
      <c r="DR11" s="16"/>
      <c r="DS11" s="16"/>
      <c r="DT11" s="16"/>
      <c r="DU11" s="16"/>
      <c r="DV11" s="16"/>
      <c r="DW11" s="16"/>
      <c r="DX11" s="16"/>
      <c r="DY11" s="16"/>
      <c r="DZ11" s="16"/>
      <c r="EA11" s="16"/>
      <c r="EB11" s="16"/>
      <c r="EC11" s="16"/>
      <c r="ED11" s="16"/>
      <c r="EE11" s="15"/>
      <c r="EF11" s="15"/>
      <c r="EG11" s="15"/>
      <c r="EH11" s="15"/>
    </row>
    <row r="12" spans="1:138" x14ac:dyDescent="0.25">
      <c r="B12" s="4" t="s">
        <v>327</v>
      </c>
      <c r="E12" s="98"/>
      <c r="T12" s="96"/>
      <c r="V12" s="5" t="s">
        <v>82</v>
      </c>
      <c r="W12" s="1">
        <v>41.1</v>
      </c>
      <c r="X12" s="98" t="s">
        <v>95</v>
      </c>
      <c r="Y12" s="1" t="s">
        <v>103</v>
      </c>
      <c r="Z12" s="1">
        <v>72.099999999999994</v>
      </c>
      <c r="AA12" s="22">
        <v>61.47</v>
      </c>
      <c r="AB12" s="22">
        <v>1.81</v>
      </c>
      <c r="AC12" s="22">
        <v>14.51</v>
      </c>
      <c r="AD12" s="22">
        <v>2.5000000000000001E-2</v>
      </c>
      <c r="AE12" s="22">
        <v>6.71</v>
      </c>
      <c r="AF12" s="22">
        <v>0.23</v>
      </c>
      <c r="AG12" s="22">
        <v>1.1910000000000001</v>
      </c>
      <c r="AH12" s="22">
        <v>5.23</v>
      </c>
      <c r="AI12" s="22">
        <v>4.2</v>
      </c>
      <c r="AJ12" s="22">
        <v>1.84</v>
      </c>
      <c r="AK12" s="22">
        <v>0.35499999999999998</v>
      </c>
      <c r="AL12" s="22">
        <v>2.1000000000000001E-2</v>
      </c>
      <c r="AM12" s="22">
        <v>0.223</v>
      </c>
      <c r="AO12" s="22">
        <v>97.815000000000026</v>
      </c>
      <c r="AP12" s="3">
        <v>98.561823000000018</v>
      </c>
      <c r="AR12" s="4" t="s">
        <v>308</v>
      </c>
      <c r="AS12" s="1" t="s">
        <v>325</v>
      </c>
      <c r="AU12" s="16" t="s">
        <v>80</v>
      </c>
      <c r="AV12" s="13" t="s">
        <v>80</v>
      </c>
      <c r="AW12" s="13" t="s">
        <v>80</v>
      </c>
      <c r="AX12" s="13" t="s">
        <v>80</v>
      </c>
      <c r="AY12" s="13" t="s">
        <v>80</v>
      </c>
      <c r="AZ12" s="13" t="s">
        <v>80</v>
      </c>
      <c r="BA12" s="16" t="s">
        <v>80</v>
      </c>
      <c r="BB12" s="16" t="s">
        <v>80</v>
      </c>
      <c r="BC12" s="13" t="s">
        <v>80</v>
      </c>
      <c r="BD12" s="104" t="s">
        <v>80</v>
      </c>
      <c r="BE12" s="16" t="s">
        <v>80</v>
      </c>
      <c r="BF12" s="13" t="s">
        <v>80</v>
      </c>
      <c r="BG12" s="16" t="s">
        <v>80</v>
      </c>
      <c r="BH12" s="16" t="s">
        <v>80</v>
      </c>
      <c r="BI12" s="16" t="s">
        <v>80</v>
      </c>
      <c r="BJ12" s="16" t="s">
        <v>80</v>
      </c>
      <c r="BK12" s="16" t="s">
        <v>80</v>
      </c>
      <c r="BL12" s="16" t="s">
        <v>80</v>
      </c>
      <c r="BM12" s="16" t="s">
        <v>80</v>
      </c>
      <c r="BN12" s="16" t="s">
        <v>80</v>
      </c>
      <c r="BO12" s="16" t="s">
        <v>80</v>
      </c>
      <c r="BP12" s="16" t="s">
        <v>80</v>
      </c>
      <c r="BQ12" s="16" t="s">
        <v>80</v>
      </c>
      <c r="BR12" s="16" t="s">
        <v>80</v>
      </c>
      <c r="BS12" s="16"/>
      <c r="BT12" s="16" t="s">
        <v>80</v>
      </c>
      <c r="BU12" s="16" t="s">
        <v>80</v>
      </c>
      <c r="BV12" s="16" t="s">
        <v>80</v>
      </c>
      <c r="BW12" s="16" t="s">
        <v>80</v>
      </c>
      <c r="BX12" s="16" t="s">
        <v>80</v>
      </c>
      <c r="BY12" s="16" t="s">
        <v>80</v>
      </c>
      <c r="BZ12" s="16" t="s">
        <v>80</v>
      </c>
      <c r="CA12" s="16" t="s">
        <v>80</v>
      </c>
      <c r="CB12" s="16" t="s">
        <v>80</v>
      </c>
      <c r="CC12" s="16" t="s">
        <v>80</v>
      </c>
      <c r="CD12" s="16" t="s">
        <v>80</v>
      </c>
      <c r="CE12" s="16" t="s">
        <v>80</v>
      </c>
      <c r="CF12" s="16" t="s">
        <v>80</v>
      </c>
      <c r="CG12" s="16" t="s">
        <v>80</v>
      </c>
      <c r="CH12" s="16" t="s">
        <v>80</v>
      </c>
      <c r="CI12" s="16" t="s">
        <v>80</v>
      </c>
      <c r="CJ12" s="16" t="s">
        <v>80</v>
      </c>
      <c r="CK12" s="16" t="s">
        <v>80</v>
      </c>
      <c r="CL12" s="16" t="s">
        <v>80</v>
      </c>
      <c r="CM12" s="16" t="s">
        <v>80</v>
      </c>
      <c r="DN12" s="16"/>
      <c r="DO12" s="16"/>
      <c r="DP12" s="16"/>
      <c r="DQ12" s="16"/>
      <c r="DR12" s="16"/>
      <c r="DS12" s="16"/>
      <c r="DT12" s="16"/>
      <c r="DU12" s="16"/>
      <c r="DV12" s="16"/>
      <c r="DW12" s="16"/>
      <c r="DX12" s="16"/>
      <c r="DY12" s="16"/>
      <c r="DZ12" s="16"/>
      <c r="EA12" s="16"/>
      <c r="EB12" s="16"/>
      <c r="EC12" s="16"/>
      <c r="ED12" s="16"/>
      <c r="EE12" s="15"/>
      <c r="EF12" s="15"/>
      <c r="EG12" s="15"/>
      <c r="EH12" s="15"/>
    </row>
    <row r="13" spans="1:138" x14ac:dyDescent="0.25">
      <c r="B13" s="4" t="s">
        <v>327</v>
      </c>
      <c r="E13" s="98"/>
      <c r="T13" s="96"/>
      <c r="V13" s="5" t="s">
        <v>82</v>
      </c>
      <c r="W13" s="1">
        <v>42.5</v>
      </c>
      <c r="X13" s="98" t="s">
        <v>95</v>
      </c>
      <c r="Y13" s="1" t="s">
        <v>103</v>
      </c>
      <c r="Z13" s="1">
        <v>73.5</v>
      </c>
      <c r="AA13" s="22">
        <v>63.1</v>
      </c>
      <c r="AB13" s="22">
        <v>1.57</v>
      </c>
      <c r="AC13" s="22">
        <v>13.95</v>
      </c>
      <c r="AD13" s="22">
        <v>0</v>
      </c>
      <c r="AE13" s="22">
        <v>6.91</v>
      </c>
      <c r="AF13" s="22">
        <v>0.24299999999999999</v>
      </c>
      <c r="AG13" s="22">
        <v>1.224</v>
      </c>
      <c r="AH13" s="22">
        <v>4.87</v>
      </c>
      <c r="AI13" s="22">
        <v>4.3</v>
      </c>
      <c r="AJ13" s="22">
        <v>2.1</v>
      </c>
      <c r="AK13" s="22">
        <v>0.36299999999999999</v>
      </c>
      <c r="AL13" s="22">
        <v>4.5999999999999999E-2</v>
      </c>
      <c r="AM13" s="22">
        <v>0.22600000000000001</v>
      </c>
      <c r="AO13" s="22">
        <v>98.902000000000001</v>
      </c>
      <c r="AP13" s="3">
        <v>99.67108300000001</v>
      </c>
      <c r="AR13" s="4" t="s">
        <v>308</v>
      </c>
      <c r="AS13" s="1" t="s">
        <v>325</v>
      </c>
      <c r="AU13" s="16" t="s">
        <v>80</v>
      </c>
      <c r="AV13" s="13" t="s">
        <v>80</v>
      </c>
      <c r="AW13" s="13" t="s">
        <v>80</v>
      </c>
      <c r="AX13" s="13" t="s">
        <v>80</v>
      </c>
      <c r="AY13" s="13" t="s">
        <v>80</v>
      </c>
      <c r="AZ13" s="13" t="s">
        <v>80</v>
      </c>
      <c r="BA13" s="16" t="s">
        <v>80</v>
      </c>
      <c r="BB13" s="16" t="s">
        <v>80</v>
      </c>
      <c r="BC13" s="13" t="s">
        <v>80</v>
      </c>
      <c r="BD13" s="104" t="s">
        <v>80</v>
      </c>
      <c r="BE13" s="16" t="s">
        <v>80</v>
      </c>
      <c r="BF13" s="13" t="s">
        <v>80</v>
      </c>
      <c r="BG13" s="16" t="s">
        <v>80</v>
      </c>
      <c r="BH13" s="16" t="s">
        <v>80</v>
      </c>
      <c r="BI13" s="16" t="s">
        <v>80</v>
      </c>
      <c r="BJ13" s="16" t="s">
        <v>80</v>
      </c>
      <c r="BK13" s="16" t="s">
        <v>80</v>
      </c>
      <c r="BL13" s="16" t="s">
        <v>80</v>
      </c>
      <c r="BM13" s="16" t="s">
        <v>80</v>
      </c>
      <c r="BN13" s="16" t="s">
        <v>80</v>
      </c>
      <c r="BO13" s="16" t="s">
        <v>80</v>
      </c>
      <c r="BP13" s="16" t="s">
        <v>80</v>
      </c>
      <c r="BQ13" s="16" t="s">
        <v>80</v>
      </c>
      <c r="BR13" s="16" t="s">
        <v>80</v>
      </c>
      <c r="BS13" s="16"/>
      <c r="BT13" s="16" t="s">
        <v>80</v>
      </c>
      <c r="BU13" s="16" t="s">
        <v>80</v>
      </c>
      <c r="BV13" s="16" t="s">
        <v>80</v>
      </c>
      <c r="BW13" s="16" t="s">
        <v>80</v>
      </c>
      <c r="BX13" s="16" t="s">
        <v>80</v>
      </c>
      <c r="BY13" s="16" t="s">
        <v>80</v>
      </c>
      <c r="BZ13" s="16" t="s">
        <v>80</v>
      </c>
      <c r="CA13" s="16" t="s">
        <v>80</v>
      </c>
      <c r="CB13" s="16" t="s">
        <v>80</v>
      </c>
      <c r="CC13" s="16" t="s">
        <v>80</v>
      </c>
      <c r="CD13" s="16" t="s">
        <v>80</v>
      </c>
      <c r="CE13" s="16" t="s">
        <v>80</v>
      </c>
      <c r="CF13" s="16" t="s">
        <v>80</v>
      </c>
      <c r="CG13" s="16" t="s">
        <v>80</v>
      </c>
      <c r="CH13" s="16" t="s">
        <v>80</v>
      </c>
      <c r="CI13" s="16" t="s">
        <v>80</v>
      </c>
      <c r="CJ13" s="16" t="s">
        <v>80</v>
      </c>
      <c r="CK13" s="16" t="s">
        <v>80</v>
      </c>
      <c r="CL13" s="16" t="s">
        <v>80</v>
      </c>
      <c r="CM13" s="16" t="s">
        <v>80</v>
      </c>
      <c r="DN13" s="16"/>
      <c r="DO13" s="16"/>
      <c r="DP13" s="16"/>
      <c r="DQ13" s="16"/>
      <c r="DR13" s="16"/>
      <c r="DS13" s="16"/>
      <c r="DT13" s="16"/>
      <c r="DU13" s="16"/>
      <c r="DV13" s="16"/>
      <c r="DW13" s="16"/>
      <c r="DX13" s="16"/>
      <c r="DY13" s="16"/>
      <c r="DZ13" s="16"/>
      <c r="EA13" s="16"/>
      <c r="EB13" s="16"/>
      <c r="EC13" s="16"/>
      <c r="ED13" s="16"/>
      <c r="EE13" s="15"/>
      <c r="EF13" s="15"/>
      <c r="EG13" s="15"/>
      <c r="EH13" s="15"/>
    </row>
    <row r="14" spans="1:138" x14ac:dyDescent="0.25">
      <c r="B14" s="4" t="s">
        <v>311</v>
      </c>
      <c r="C14" s="5" t="s">
        <v>82</v>
      </c>
      <c r="D14" s="1">
        <v>48.01</v>
      </c>
      <c r="E14" s="98" t="s">
        <v>95</v>
      </c>
      <c r="F14" s="1" t="s">
        <v>309</v>
      </c>
      <c r="G14" s="1">
        <v>79.010000000000005</v>
      </c>
      <c r="H14" s="22">
        <v>50.298999999999999</v>
      </c>
      <c r="I14" s="22">
        <v>0.746</v>
      </c>
      <c r="J14" s="22">
        <v>17.077999999999999</v>
      </c>
      <c r="K14" s="22">
        <v>0</v>
      </c>
      <c r="L14" s="22">
        <v>9.0079999999999991</v>
      </c>
      <c r="M14" s="22">
        <v>0.17</v>
      </c>
      <c r="N14" s="22">
        <v>5.306</v>
      </c>
      <c r="O14" s="22">
        <v>9.9149999999999991</v>
      </c>
      <c r="P14" s="22">
        <v>2.7759999999999998</v>
      </c>
      <c r="Q14" s="22">
        <v>0.36399999999999999</v>
      </c>
      <c r="R14" s="22">
        <v>0.14799999999999999</v>
      </c>
      <c r="S14" s="1" t="s">
        <v>310</v>
      </c>
      <c r="T14" s="96">
        <v>14.3</v>
      </c>
      <c r="V14" s="5" t="s">
        <v>82</v>
      </c>
      <c r="W14" s="1">
        <v>48</v>
      </c>
      <c r="X14" s="98" t="s">
        <v>95</v>
      </c>
      <c r="Y14" s="1" t="s">
        <v>103</v>
      </c>
      <c r="Z14" s="1">
        <v>79</v>
      </c>
      <c r="AA14" s="22">
        <v>52.63</v>
      </c>
      <c r="AB14" s="22">
        <v>0.871</v>
      </c>
      <c r="AC14" s="22">
        <v>19.93</v>
      </c>
      <c r="AE14" s="22">
        <v>5.17</v>
      </c>
      <c r="AF14" s="22">
        <v>0.19800000000000001</v>
      </c>
      <c r="AG14" s="22">
        <v>1.0489999999999999</v>
      </c>
      <c r="AH14" s="22">
        <v>11.57</v>
      </c>
      <c r="AI14" s="22">
        <v>3.24</v>
      </c>
      <c r="AJ14" s="22">
        <v>0.42499999999999999</v>
      </c>
      <c r="AK14" s="22">
        <v>0.17299999999999999</v>
      </c>
      <c r="AL14" s="22">
        <v>0.12</v>
      </c>
      <c r="AM14" s="22">
        <v>9.4E-2</v>
      </c>
      <c r="AO14" s="22">
        <v>95.47</v>
      </c>
      <c r="AP14" s="3">
        <v>96.045421000000005</v>
      </c>
      <c r="AR14" s="4" t="s">
        <v>311</v>
      </c>
      <c r="AS14" s="1" t="s">
        <v>266</v>
      </c>
      <c r="AT14" s="1" t="s">
        <v>266</v>
      </c>
      <c r="AU14" s="16" t="s">
        <v>80</v>
      </c>
      <c r="AV14" s="13" t="s">
        <v>80</v>
      </c>
      <c r="AW14" s="13" t="s">
        <v>80</v>
      </c>
      <c r="AX14" s="13" t="s">
        <v>80</v>
      </c>
      <c r="AY14" s="13" t="s">
        <v>80</v>
      </c>
      <c r="AZ14" s="13" t="s">
        <v>80</v>
      </c>
      <c r="BA14" s="16" t="s">
        <v>80</v>
      </c>
      <c r="BB14" s="16" t="s">
        <v>80</v>
      </c>
      <c r="BC14" s="13" t="s">
        <v>80</v>
      </c>
      <c r="BD14" s="104" t="s">
        <v>80</v>
      </c>
      <c r="BE14" s="16" t="s">
        <v>80</v>
      </c>
      <c r="BF14" s="13" t="s">
        <v>80</v>
      </c>
      <c r="BG14" s="16" t="s">
        <v>80</v>
      </c>
      <c r="BH14" s="16" t="s">
        <v>80</v>
      </c>
      <c r="BI14" s="16" t="s">
        <v>80</v>
      </c>
      <c r="BJ14" s="16" t="s">
        <v>80</v>
      </c>
      <c r="BK14" s="16" t="s">
        <v>80</v>
      </c>
      <c r="BL14" s="16" t="s">
        <v>80</v>
      </c>
      <c r="BM14" s="16" t="s">
        <v>80</v>
      </c>
      <c r="BN14" s="16" t="s">
        <v>80</v>
      </c>
      <c r="BO14" s="16" t="s">
        <v>80</v>
      </c>
      <c r="BP14" s="16" t="s">
        <v>80</v>
      </c>
      <c r="BQ14" s="16" t="s">
        <v>80</v>
      </c>
      <c r="BR14" s="16" t="s">
        <v>80</v>
      </c>
      <c r="BS14" s="16"/>
      <c r="BT14" s="16" t="s">
        <v>80</v>
      </c>
      <c r="BU14" s="16" t="s">
        <v>80</v>
      </c>
      <c r="BV14" s="16" t="s">
        <v>80</v>
      </c>
      <c r="BW14" s="16" t="s">
        <v>80</v>
      </c>
      <c r="BX14" s="16" t="s">
        <v>80</v>
      </c>
      <c r="BY14" s="16" t="s">
        <v>80</v>
      </c>
      <c r="BZ14" s="16" t="s">
        <v>80</v>
      </c>
      <c r="CA14" s="16" t="s">
        <v>80</v>
      </c>
      <c r="CB14" s="16" t="s">
        <v>80</v>
      </c>
      <c r="CC14" s="16" t="s">
        <v>80</v>
      </c>
      <c r="CD14" s="16" t="s">
        <v>80</v>
      </c>
      <c r="CE14" s="16" t="s">
        <v>80</v>
      </c>
      <c r="CF14" s="16" t="s">
        <v>80</v>
      </c>
      <c r="CG14" s="16" t="s">
        <v>80</v>
      </c>
      <c r="CH14" s="16" t="s">
        <v>80</v>
      </c>
      <c r="CI14" s="16" t="s">
        <v>80</v>
      </c>
      <c r="CJ14" s="16" t="s">
        <v>80</v>
      </c>
      <c r="CK14" s="16" t="s">
        <v>80</v>
      </c>
      <c r="CL14" s="16" t="s">
        <v>80</v>
      </c>
      <c r="CM14" s="16" t="s">
        <v>80</v>
      </c>
      <c r="CP14" s="1">
        <v>49</v>
      </c>
      <c r="CQ14" s="1" t="s">
        <v>95</v>
      </c>
      <c r="CR14" s="1" t="s">
        <v>309</v>
      </c>
      <c r="CS14" s="1">
        <v>80</v>
      </c>
      <c r="CT14" s="22">
        <v>39.42</v>
      </c>
      <c r="CU14" s="22">
        <v>0</v>
      </c>
      <c r="CV14" s="22">
        <v>4.2000000000000003E-2</v>
      </c>
      <c r="CW14" s="22">
        <v>1.2E-2</v>
      </c>
      <c r="CX14" s="22">
        <v>19.899999999999999</v>
      </c>
      <c r="CY14" s="22">
        <v>0.36899999999999999</v>
      </c>
      <c r="CZ14" s="22">
        <v>40.39</v>
      </c>
      <c r="DA14" s="22">
        <v>0.19800000000000001</v>
      </c>
      <c r="DB14" s="22">
        <v>4.1000000000000002E-2</v>
      </c>
      <c r="DC14" s="22">
        <v>6.0000000000000001E-3</v>
      </c>
      <c r="DN14" s="16"/>
      <c r="DO14" s="16"/>
      <c r="DP14" s="16"/>
      <c r="DQ14" s="16"/>
      <c r="DR14" s="16">
        <v>0.27634874517642266</v>
      </c>
      <c r="DS14" s="16">
        <v>2.7643519062128297</v>
      </c>
      <c r="DT14" s="16">
        <v>0.95222461881233167</v>
      </c>
      <c r="DU14" s="16">
        <v>9.9968728494854067E-2</v>
      </c>
      <c r="DV14" s="16">
        <v>0.29021382110567612</v>
      </c>
      <c r="DW14" s="13"/>
      <c r="DX14" s="16"/>
      <c r="DY14" s="16"/>
      <c r="DZ14" s="16"/>
      <c r="EA14" s="16"/>
      <c r="EB14" s="16"/>
      <c r="EC14" s="16"/>
      <c r="ED14" s="16"/>
      <c r="EE14" s="15"/>
      <c r="EF14" s="15"/>
      <c r="EG14" s="15"/>
      <c r="EH14" s="15"/>
    </row>
    <row r="15" spans="1:138" x14ac:dyDescent="0.25">
      <c r="B15" s="4" t="s">
        <v>311</v>
      </c>
      <c r="C15" s="5" t="s">
        <v>82</v>
      </c>
      <c r="D15" s="1">
        <v>51.01</v>
      </c>
      <c r="E15" s="98" t="s">
        <v>95</v>
      </c>
      <c r="F15" s="1" t="s">
        <v>103</v>
      </c>
      <c r="G15" s="1">
        <v>82.01</v>
      </c>
      <c r="H15" s="22">
        <f t="shared" ref="H15:R15" si="1">(AA15+($DW15/100)*CT15)*((100-$DW15)/100)</f>
        <v>55.948992000000004</v>
      </c>
      <c r="I15" s="22">
        <f t="shared" si="1"/>
        <v>0.30113599999999996</v>
      </c>
      <c r="J15" s="22">
        <f t="shared" si="1"/>
        <v>19.012928000000002</v>
      </c>
      <c r="K15" s="22">
        <f t="shared" si="1"/>
        <v>1.7001600000000002E-2</v>
      </c>
      <c r="L15" s="22">
        <f t="shared" si="1"/>
        <v>3.392576</v>
      </c>
      <c r="M15" s="22">
        <f t="shared" si="1"/>
        <v>0.15030400000000002</v>
      </c>
      <c r="N15" s="22">
        <f t="shared" si="1"/>
        <v>2.3087679999999997</v>
      </c>
      <c r="O15" s="22">
        <f t="shared" si="1"/>
        <v>7.9773760000000005</v>
      </c>
      <c r="P15" s="22">
        <f t="shared" si="1"/>
        <v>3.5046176</v>
      </c>
      <c r="Q15" s="22">
        <f t="shared" si="1"/>
        <v>0.87736000000000003</v>
      </c>
      <c r="R15" s="22">
        <f t="shared" si="1"/>
        <v>0.17600000000000002</v>
      </c>
      <c r="S15" s="1" t="s">
        <v>312</v>
      </c>
      <c r="T15" s="96">
        <f>DW15</f>
        <v>12</v>
      </c>
      <c r="V15" s="5" t="s">
        <v>82</v>
      </c>
      <c r="W15" s="1">
        <v>51</v>
      </c>
      <c r="X15" s="98" t="s">
        <v>95</v>
      </c>
      <c r="Y15" s="1" t="s">
        <v>103</v>
      </c>
      <c r="Z15" s="1">
        <v>82</v>
      </c>
      <c r="AA15" s="22">
        <v>57.33</v>
      </c>
      <c r="AB15" s="22">
        <v>0.28399999999999997</v>
      </c>
      <c r="AC15" s="22">
        <v>21.17</v>
      </c>
      <c r="AE15" s="22">
        <v>3.17</v>
      </c>
      <c r="AF15" s="22">
        <v>0.154</v>
      </c>
      <c r="AG15" s="22">
        <v>0.748</v>
      </c>
      <c r="AH15" s="22">
        <v>6.37</v>
      </c>
      <c r="AI15" s="22">
        <v>3.95</v>
      </c>
      <c r="AJ15" s="22">
        <v>0.997</v>
      </c>
      <c r="AK15" s="22">
        <v>0.2</v>
      </c>
      <c r="AL15" s="22">
        <v>4.7E-2</v>
      </c>
      <c r="AM15" s="22">
        <v>0.113</v>
      </c>
      <c r="AO15" s="22">
        <v>94.533000000000001</v>
      </c>
      <c r="AP15" s="3">
        <v>94.885820999999993</v>
      </c>
      <c r="AR15" s="4" t="s">
        <v>311</v>
      </c>
      <c r="AS15" s="1" t="s">
        <v>260</v>
      </c>
      <c r="AT15" s="1" t="s">
        <v>260</v>
      </c>
      <c r="AU15" s="16" t="s">
        <v>80</v>
      </c>
      <c r="AV15" s="13" t="s">
        <v>80</v>
      </c>
      <c r="AW15" s="13" t="s">
        <v>80</v>
      </c>
      <c r="AX15" s="13" t="s">
        <v>80</v>
      </c>
      <c r="AY15" s="13" t="s">
        <v>80</v>
      </c>
      <c r="AZ15" s="13" t="s">
        <v>80</v>
      </c>
      <c r="BA15" s="16" t="s">
        <v>80</v>
      </c>
      <c r="BB15" s="16" t="s">
        <v>80</v>
      </c>
      <c r="BC15" s="13" t="s">
        <v>80</v>
      </c>
      <c r="BD15" s="104" t="s">
        <v>80</v>
      </c>
      <c r="BE15" s="16" t="s">
        <v>80</v>
      </c>
      <c r="BF15" s="13" t="s">
        <v>80</v>
      </c>
      <c r="BG15" s="16" t="s">
        <v>80</v>
      </c>
      <c r="BH15" s="16" t="s">
        <v>80</v>
      </c>
      <c r="BI15" s="16" t="s">
        <v>80</v>
      </c>
      <c r="BJ15" s="16" t="s">
        <v>80</v>
      </c>
      <c r="BK15" s="16" t="s">
        <v>80</v>
      </c>
      <c r="BL15" s="16" t="s">
        <v>80</v>
      </c>
      <c r="BM15" s="16" t="s">
        <v>80</v>
      </c>
      <c r="BN15" s="16" t="s">
        <v>80</v>
      </c>
      <c r="BO15" s="16" t="s">
        <v>80</v>
      </c>
      <c r="BP15" s="16" t="s">
        <v>80</v>
      </c>
      <c r="BQ15" s="16" t="s">
        <v>80</v>
      </c>
      <c r="BR15" s="16" t="s">
        <v>80</v>
      </c>
      <c r="BS15" s="16"/>
      <c r="BT15" s="16" t="s">
        <v>80</v>
      </c>
      <c r="BU15" s="16" t="s">
        <v>80</v>
      </c>
      <c r="BV15" s="16" t="s">
        <v>80</v>
      </c>
      <c r="BW15" s="16" t="s">
        <v>80</v>
      </c>
      <c r="BX15" s="16" t="s">
        <v>80</v>
      </c>
      <c r="BY15" s="16" t="s">
        <v>80</v>
      </c>
      <c r="BZ15" s="16" t="s">
        <v>80</v>
      </c>
      <c r="CA15" s="16" t="s">
        <v>80</v>
      </c>
      <c r="CB15" s="16" t="s">
        <v>80</v>
      </c>
      <c r="CC15" s="16" t="s">
        <v>80</v>
      </c>
      <c r="CD15" s="16" t="s">
        <v>80</v>
      </c>
      <c r="CE15" s="16" t="s">
        <v>80</v>
      </c>
      <c r="CF15" s="16" t="s">
        <v>80</v>
      </c>
      <c r="CG15" s="16" t="s">
        <v>80</v>
      </c>
      <c r="CH15" s="16" t="s">
        <v>80</v>
      </c>
      <c r="CI15" s="16" t="s">
        <v>80</v>
      </c>
      <c r="CJ15" s="16" t="s">
        <v>80</v>
      </c>
      <c r="CK15" s="16" t="s">
        <v>80</v>
      </c>
      <c r="CL15" s="16" t="s">
        <v>80</v>
      </c>
      <c r="CM15" s="16" t="s">
        <v>80</v>
      </c>
      <c r="CP15" s="1">
        <v>50</v>
      </c>
      <c r="CQ15" s="1" t="s">
        <v>95</v>
      </c>
      <c r="CR15" s="1" t="s">
        <v>309</v>
      </c>
      <c r="CS15" s="1">
        <v>81</v>
      </c>
      <c r="CT15" s="22">
        <v>52.07</v>
      </c>
      <c r="CU15" s="22">
        <v>0.48499999999999999</v>
      </c>
      <c r="CV15" s="22">
        <v>3.63</v>
      </c>
      <c r="CW15" s="22">
        <v>0.161</v>
      </c>
      <c r="CX15" s="22">
        <v>5.71</v>
      </c>
      <c r="CY15" s="22">
        <v>0.14000000000000001</v>
      </c>
      <c r="CZ15" s="22">
        <v>15.63</v>
      </c>
      <c r="DA15" s="22">
        <v>22.46</v>
      </c>
      <c r="DB15" s="22">
        <v>0.27100000000000002</v>
      </c>
      <c r="DN15" s="16">
        <v>0.82994002417360946</v>
      </c>
      <c r="DO15" s="16">
        <v>0.46045774772512021</v>
      </c>
      <c r="DP15" s="16">
        <v>0.10001813341503851</v>
      </c>
      <c r="DQ15" s="16">
        <v>1.917076824409061E-2</v>
      </c>
      <c r="DR15" s="16">
        <v>0.2049063436791389</v>
      </c>
      <c r="DS15" s="16">
        <v>2.377036979149223</v>
      </c>
      <c r="DT15" s="16">
        <v>0.82419042483923299</v>
      </c>
      <c r="DU15" s="16">
        <v>8.6202421534257306E-2</v>
      </c>
      <c r="DV15" s="16">
        <v>0.24861529266019808</v>
      </c>
      <c r="DW15" s="13">
        <v>12</v>
      </c>
      <c r="DX15" s="16"/>
      <c r="DY15" s="16"/>
      <c r="DZ15" s="16"/>
      <c r="EA15" s="16"/>
      <c r="EB15" s="16"/>
      <c r="EC15" s="16"/>
      <c r="ED15" s="16"/>
      <c r="EE15" s="15"/>
      <c r="EF15" s="15"/>
      <c r="EG15" s="15"/>
      <c r="EH15" s="15"/>
    </row>
    <row r="16" spans="1:138" x14ac:dyDescent="0.25">
      <c r="B16" s="4" t="s">
        <v>327</v>
      </c>
      <c r="E16" s="98"/>
      <c r="R16" s="22"/>
      <c r="T16" s="96"/>
      <c r="V16" s="5" t="s">
        <v>82</v>
      </c>
      <c r="W16" s="1">
        <v>54.1</v>
      </c>
      <c r="X16" s="98" t="s">
        <v>95</v>
      </c>
      <c r="Y16" s="1" t="s">
        <v>103</v>
      </c>
      <c r="Z16" s="1">
        <v>85.1</v>
      </c>
      <c r="AA16" s="22">
        <v>64.3</v>
      </c>
      <c r="AB16" s="22">
        <v>0.77400000000000002</v>
      </c>
      <c r="AC16" s="22">
        <v>15.18</v>
      </c>
      <c r="AD16" s="22">
        <v>0</v>
      </c>
      <c r="AE16" s="22">
        <v>5.01</v>
      </c>
      <c r="AF16" s="22">
        <v>0.159</v>
      </c>
      <c r="AG16" s="22">
        <v>0.91900000000000004</v>
      </c>
      <c r="AH16" s="22">
        <v>3.18</v>
      </c>
      <c r="AI16" s="22">
        <v>4.92</v>
      </c>
      <c r="AJ16" s="22">
        <v>2.41</v>
      </c>
      <c r="AK16" s="22">
        <v>0.41699999999999998</v>
      </c>
      <c r="AL16" s="22">
        <v>1.2999999999999999E-2</v>
      </c>
      <c r="AM16" s="22">
        <v>0.35</v>
      </c>
      <c r="AO16" s="22">
        <v>97.632000000000005</v>
      </c>
      <c r="AP16" s="3">
        <v>98.18961299999998</v>
      </c>
      <c r="AR16" s="4" t="s">
        <v>308</v>
      </c>
      <c r="AS16" s="1" t="s">
        <v>313</v>
      </c>
      <c r="AU16" s="16" t="s">
        <v>80</v>
      </c>
      <c r="AV16" s="13" t="s">
        <v>80</v>
      </c>
      <c r="AW16" s="13" t="s">
        <v>80</v>
      </c>
      <c r="AX16" s="13" t="s">
        <v>80</v>
      </c>
      <c r="AY16" s="13" t="s">
        <v>80</v>
      </c>
      <c r="AZ16" s="13" t="s">
        <v>80</v>
      </c>
      <c r="BA16" s="16" t="s">
        <v>80</v>
      </c>
      <c r="BB16" s="16" t="s">
        <v>80</v>
      </c>
      <c r="BC16" s="13" t="s">
        <v>80</v>
      </c>
      <c r="BD16" s="104" t="s">
        <v>80</v>
      </c>
      <c r="BE16" s="16" t="s">
        <v>80</v>
      </c>
      <c r="BF16" s="13" t="s">
        <v>80</v>
      </c>
      <c r="BG16" s="16" t="s">
        <v>80</v>
      </c>
      <c r="BH16" s="16" t="s">
        <v>80</v>
      </c>
      <c r="BI16" s="16" t="s">
        <v>80</v>
      </c>
      <c r="BJ16" s="16" t="s">
        <v>80</v>
      </c>
      <c r="BK16" s="16" t="s">
        <v>80</v>
      </c>
      <c r="BL16" s="16" t="s">
        <v>80</v>
      </c>
      <c r="BM16" s="16" t="s">
        <v>80</v>
      </c>
      <c r="BN16" s="16" t="s">
        <v>80</v>
      </c>
      <c r="BO16" s="16" t="s">
        <v>80</v>
      </c>
      <c r="BP16" s="16" t="s">
        <v>80</v>
      </c>
      <c r="BQ16" s="16" t="s">
        <v>80</v>
      </c>
      <c r="BR16" s="16" t="s">
        <v>80</v>
      </c>
      <c r="BS16" s="16"/>
      <c r="BT16" s="16" t="s">
        <v>80</v>
      </c>
      <c r="BU16" s="16" t="s">
        <v>80</v>
      </c>
      <c r="BV16" s="16" t="s">
        <v>80</v>
      </c>
      <c r="BW16" s="16" t="s">
        <v>80</v>
      </c>
      <c r="BX16" s="16" t="s">
        <v>80</v>
      </c>
      <c r="BY16" s="16" t="s">
        <v>80</v>
      </c>
      <c r="BZ16" s="16" t="s">
        <v>80</v>
      </c>
      <c r="CA16" s="16" t="s">
        <v>80</v>
      </c>
      <c r="CB16" s="16" t="s">
        <v>80</v>
      </c>
      <c r="CC16" s="16" t="s">
        <v>80</v>
      </c>
      <c r="CD16" s="16" t="s">
        <v>80</v>
      </c>
      <c r="CE16" s="16" t="s">
        <v>80</v>
      </c>
      <c r="CF16" s="16" t="s">
        <v>80</v>
      </c>
      <c r="CG16" s="16" t="s">
        <v>80</v>
      </c>
      <c r="CH16" s="16" t="s">
        <v>80</v>
      </c>
      <c r="CI16" s="16" t="s">
        <v>80</v>
      </c>
      <c r="CJ16" s="16" t="s">
        <v>80</v>
      </c>
      <c r="CK16" s="16" t="s">
        <v>80</v>
      </c>
      <c r="CL16" s="16" t="s">
        <v>80</v>
      </c>
      <c r="CM16" s="16" t="s">
        <v>80</v>
      </c>
      <c r="DN16" s="16"/>
      <c r="DO16" s="16"/>
      <c r="DP16" s="16"/>
      <c r="DQ16" s="16"/>
      <c r="DR16" s="16"/>
      <c r="DS16" s="16"/>
      <c r="DT16" s="16"/>
      <c r="DU16" s="16"/>
      <c r="DV16" s="16"/>
      <c r="DW16" s="16"/>
      <c r="DX16" s="16"/>
      <c r="DY16" s="16"/>
      <c r="DZ16" s="16"/>
      <c r="EA16" s="16"/>
      <c r="EB16" s="16"/>
      <c r="EC16" s="16"/>
      <c r="ED16" s="16"/>
      <c r="EE16" s="15"/>
      <c r="EF16" s="15"/>
      <c r="EG16" s="15"/>
      <c r="EH16" s="15"/>
    </row>
    <row r="17" spans="2:138" x14ac:dyDescent="0.25">
      <c r="B17" s="4" t="s">
        <v>327</v>
      </c>
      <c r="E17" s="98"/>
      <c r="R17" s="22"/>
      <c r="T17" s="96"/>
      <c r="V17" s="5" t="s">
        <v>82</v>
      </c>
      <c r="W17" s="1">
        <v>54.2</v>
      </c>
      <c r="X17" s="98" t="s">
        <v>95</v>
      </c>
      <c r="Y17" s="1" t="s">
        <v>103</v>
      </c>
      <c r="Z17" s="1">
        <v>85.2</v>
      </c>
      <c r="AA17" s="22">
        <v>64.599999999999994</v>
      </c>
      <c r="AB17" s="22">
        <v>0.88400000000000001</v>
      </c>
      <c r="AC17" s="22">
        <v>14.95</v>
      </c>
      <c r="AD17" s="22">
        <v>3.3000000000000002E-2</v>
      </c>
      <c r="AE17" s="22">
        <v>4.8</v>
      </c>
      <c r="AF17" s="22">
        <v>0.19</v>
      </c>
      <c r="AG17" s="22">
        <v>0.90600000000000003</v>
      </c>
      <c r="AH17" s="22">
        <v>2.46</v>
      </c>
      <c r="AI17" s="22">
        <v>3.85</v>
      </c>
      <c r="AJ17" s="22">
        <v>2.42</v>
      </c>
      <c r="AK17" s="22">
        <v>0.41599999999999998</v>
      </c>
      <c r="AL17" s="22">
        <v>1.9E-2</v>
      </c>
      <c r="AM17" s="22">
        <v>0.30099999999999999</v>
      </c>
      <c r="AO17" s="22">
        <v>95.828999999999994</v>
      </c>
      <c r="AP17" s="3">
        <v>96.36323999999999</v>
      </c>
      <c r="AR17" s="4" t="s">
        <v>308</v>
      </c>
      <c r="AS17" s="1" t="s">
        <v>313</v>
      </c>
      <c r="AU17" s="16" t="s">
        <v>80</v>
      </c>
      <c r="AV17" s="13" t="s">
        <v>80</v>
      </c>
      <c r="AW17" s="13" t="s">
        <v>80</v>
      </c>
      <c r="AX17" s="13" t="s">
        <v>80</v>
      </c>
      <c r="AY17" s="13" t="s">
        <v>80</v>
      </c>
      <c r="AZ17" s="13" t="s">
        <v>80</v>
      </c>
      <c r="BA17" s="16" t="s">
        <v>80</v>
      </c>
      <c r="BB17" s="16" t="s">
        <v>80</v>
      </c>
      <c r="BC17" s="13" t="s">
        <v>80</v>
      </c>
      <c r="BD17" s="104" t="s">
        <v>80</v>
      </c>
      <c r="BE17" s="16" t="s">
        <v>80</v>
      </c>
      <c r="BF17" s="13" t="s">
        <v>80</v>
      </c>
      <c r="BG17" s="16" t="s">
        <v>80</v>
      </c>
      <c r="BH17" s="16" t="s">
        <v>80</v>
      </c>
      <c r="BI17" s="16" t="s">
        <v>80</v>
      </c>
      <c r="BJ17" s="16" t="s">
        <v>80</v>
      </c>
      <c r="BK17" s="16" t="s">
        <v>80</v>
      </c>
      <c r="BL17" s="16" t="s">
        <v>80</v>
      </c>
      <c r="BM17" s="16" t="s">
        <v>80</v>
      </c>
      <c r="BN17" s="16" t="s">
        <v>80</v>
      </c>
      <c r="BO17" s="16" t="s">
        <v>80</v>
      </c>
      <c r="BP17" s="16" t="s">
        <v>80</v>
      </c>
      <c r="BQ17" s="16" t="s">
        <v>80</v>
      </c>
      <c r="BR17" s="16" t="s">
        <v>80</v>
      </c>
      <c r="BS17" s="16"/>
      <c r="BT17" s="16" t="s">
        <v>80</v>
      </c>
      <c r="BU17" s="16" t="s">
        <v>80</v>
      </c>
      <c r="BV17" s="16" t="s">
        <v>80</v>
      </c>
      <c r="BW17" s="16" t="s">
        <v>80</v>
      </c>
      <c r="BX17" s="16" t="s">
        <v>80</v>
      </c>
      <c r="BY17" s="16" t="s">
        <v>80</v>
      </c>
      <c r="BZ17" s="16" t="s">
        <v>80</v>
      </c>
      <c r="CA17" s="16" t="s">
        <v>80</v>
      </c>
      <c r="CB17" s="16" t="s">
        <v>80</v>
      </c>
      <c r="CC17" s="16" t="s">
        <v>80</v>
      </c>
      <c r="CD17" s="16" t="s">
        <v>80</v>
      </c>
      <c r="CE17" s="16" t="s">
        <v>80</v>
      </c>
      <c r="CF17" s="16" t="s">
        <v>80</v>
      </c>
      <c r="CG17" s="16" t="s">
        <v>80</v>
      </c>
      <c r="CH17" s="16" t="s">
        <v>80</v>
      </c>
      <c r="CI17" s="16" t="s">
        <v>80</v>
      </c>
      <c r="CJ17" s="16" t="s">
        <v>80</v>
      </c>
      <c r="CK17" s="16" t="s">
        <v>80</v>
      </c>
      <c r="CL17" s="16" t="s">
        <v>80</v>
      </c>
      <c r="CM17" s="16" t="s">
        <v>80</v>
      </c>
      <c r="DN17" s="16"/>
      <c r="DO17" s="16"/>
      <c r="DP17" s="16"/>
      <c r="DQ17" s="16"/>
      <c r="DR17" s="16"/>
      <c r="DS17" s="16"/>
      <c r="DT17" s="16"/>
      <c r="DU17" s="16"/>
      <c r="DV17" s="16"/>
      <c r="DW17" s="16"/>
      <c r="DX17" s="16"/>
      <c r="DY17" s="16"/>
      <c r="DZ17" s="16"/>
      <c r="EA17" s="16"/>
      <c r="EB17" s="16"/>
      <c r="EC17" s="16"/>
      <c r="ED17" s="16"/>
      <c r="EE17" s="15"/>
      <c r="EF17" s="15"/>
      <c r="EG17" s="15"/>
      <c r="EH17" s="15"/>
    </row>
    <row r="18" spans="2:138" x14ac:dyDescent="0.25">
      <c r="B18" s="4" t="s">
        <v>327</v>
      </c>
      <c r="E18" s="98"/>
      <c r="R18" s="22"/>
      <c r="T18" s="96"/>
      <c r="V18" s="5" t="s">
        <v>82</v>
      </c>
      <c r="W18" s="1">
        <v>54.3</v>
      </c>
      <c r="X18" s="98" t="s">
        <v>95</v>
      </c>
      <c r="Y18" s="1" t="s">
        <v>103</v>
      </c>
      <c r="Z18" s="1">
        <v>85.3</v>
      </c>
      <c r="AA18" s="22">
        <v>61.66</v>
      </c>
      <c r="AB18" s="22">
        <v>0.78900000000000003</v>
      </c>
      <c r="AC18" s="22">
        <v>14.71</v>
      </c>
      <c r="AD18" s="22">
        <v>3.6999999999999998E-2</v>
      </c>
      <c r="AE18" s="22">
        <v>4.8600000000000003</v>
      </c>
      <c r="AF18" s="22">
        <v>0.10199999999999999</v>
      </c>
      <c r="AG18" s="22">
        <v>1.143</v>
      </c>
      <c r="AH18" s="22">
        <v>2.78</v>
      </c>
      <c r="AI18" s="22">
        <v>4.46</v>
      </c>
      <c r="AJ18" s="22">
        <v>2.14</v>
      </c>
      <c r="AK18" s="22">
        <v>0.36899999999999999</v>
      </c>
      <c r="AL18" s="22">
        <v>6.3E-2</v>
      </c>
      <c r="AM18" s="22">
        <v>0.41699999999999998</v>
      </c>
      <c r="AO18" s="22">
        <v>93.53</v>
      </c>
      <c r="AP18" s="3">
        <v>94.070918000000006</v>
      </c>
      <c r="AR18" s="4" t="s">
        <v>308</v>
      </c>
      <c r="AS18" s="1" t="s">
        <v>313</v>
      </c>
      <c r="AU18" s="16" t="s">
        <v>80</v>
      </c>
      <c r="AV18" s="13" t="s">
        <v>80</v>
      </c>
      <c r="AW18" s="13" t="s">
        <v>80</v>
      </c>
      <c r="AX18" s="13" t="s">
        <v>80</v>
      </c>
      <c r="AY18" s="13" t="s">
        <v>80</v>
      </c>
      <c r="AZ18" s="13" t="s">
        <v>80</v>
      </c>
      <c r="BA18" s="16" t="s">
        <v>80</v>
      </c>
      <c r="BB18" s="16" t="s">
        <v>80</v>
      </c>
      <c r="BC18" s="13" t="s">
        <v>80</v>
      </c>
      <c r="BD18" s="104" t="s">
        <v>80</v>
      </c>
      <c r="BE18" s="16" t="s">
        <v>80</v>
      </c>
      <c r="BF18" s="13" t="s">
        <v>80</v>
      </c>
      <c r="BG18" s="16" t="s">
        <v>80</v>
      </c>
      <c r="BH18" s="16" t="s">
        <v>80</v>
      </c>
      <c r="BI18" s="16" t="s">
        <v>80</v>
      </c>
      <c r="BJ18" s="16" t="s">
        <v>80</v>
      </c>
      <c r="BK18" s="16" t="s">
        <v>80</v>
      </c>
      <c r="BL18" s="16" t="s">
        <v>80</v>
      </c>
      <c r="BM18" s="16" t="s">
        <v>80</v>
      </c>
      <c r="BN18" s="16" t="s">
        <v>80</v>
      </c>
      <c r="BO18" s="16" t="s">
        <v>80</v>
      </c>
      <c r="BP18" s="16" t="s">
        <v>80</v>
      </c>
      <c r="BQ18" s="16" t="s">
        <v>80</v>
      </c>
      <c r="BR18" s="16" t="s">
        <v>80</v>
      </c>
      <c r="BS18" s="16"/>
      <c r="BT18" s="16" t="s">
        <v>80</v>
      </c>
      <c r="BU18" s="16" t="s">
        <v>80</v>
      </c>
      <c r="BV18" s="16" t="s">
        <v>80</v>
      </c>
      <c r="BW18" s="16" t="s">
        <v>80</v>
      </c>
      <c r="BX18" s="16" t="s">
        <v>80</v>
      </c>
      <c r="BY18" s="16" t="s">
        <v>80</v>
      </c>
      <c r="BZ18" s="16" t="s">
        <v>80</v>
      </c>
      <c r="CA18" s="16" t="s">
        <v>80</v>
      </c>
      <c r="CB18" s="16" t="s">
        <v>80</v>
      </c>
      <c r="CC18" s="16" t="s">
        <v>80</v>
      </c>
      <c r="CD18" s="16" t="s">
        <v>80</v>
      </c>
      <c r="CE18" s="16" t="s">
        <v>80</v>
      </c>
      <c r="CF18" s="16" t="s">
        <v>80</v>
      </c>
      <c r="CG18" s="16" t="s">
        <v>80</v>
      </c>
      <c r="CH18" s="16" t="s">
        <v>80</v>
      </c>
      <c r="CI18" s="16" t="s">
        <v>80</v>
      </c>
      <c r="CJ18" s="16" t="s">
        <v>80</v>
      </c>
      <c r="CK18" s="16" t="s">
        <v>80</v>
      </c>
      <c r="CL18" s="16" t="s">
        <v>80</v>
      </c>
      <c r="CM18" s="16" t="s">
        <v>80</v>
      </c>
      <c r="DN18" s="16"/>
      <c r="DO18" s="16"/>
      <c r="DP18" s="16"/>
      <c r="DQ18" s="16"/>
      <c r="DR18" s="16"/>
      <c r="DS18" s="16"/>
      <c r="DT18" s="16"/>
      <c r="DU18" s="16"/>
      <c r="DV18" s="16"/>
      <c r="DW18" s="16"/>
      <c r="DX18" s="16"/>
      <c r="DY18" s="16"/>
      <c r="DZ18" s="16"/>
      <c r="EA18" s="16"/>
      <c r="EB18" s="16"/>
      <c r="EC18" s="16"/>
      <c r="ED18" s="16"/>
      <c r="EE18" s="15"/>
      <c r="EF18" s="15"/>
      <c r="EG18" s="15"/>
      <c r="EH18" s="15"/>
    </row>
    <row r="19" spans="2:138" x14ac:dyDescent="0.25">
      <c r="B19" s="4" t="s">
        <v>327</v>
      </c>
      <c r="E19" s="98"/>
      <c r="R19" s="22"/>
      <c r="T19" s="96"/>
      <c r="V19" s="5" t="s">
        <v>82</v>
      </c>
      <c r="W19" s="1">
        <v>54.4</v>
      </c>
      <c r="X19" s="98" t="s">
        <v>95</v>
      </c>
      <c r="Y19" s="1" t="s">
        <v>103</v>
      </c>
      <c r="Z19" s="1">
        <v>85.4</v>
      </c>
      <c r="AA19" s="22">
        <v>63.47</v>
      </c>
      <c r="AB19" s="22">
        <v>0.78200000000000003</v>
      </c>
      <c r="AC19" s="22">
        <v>17.649999999999999</v>
      </c>
      <c r="AD19" s="22">
        <v>0</v>
      </c>
      <c r="AE19" s="22">
        <v>4.18</v>
      </c>
      <c r="AF19" s="22">
        <v>0.20899999999999999</v>
      </c>
      <c r="AG19" s="22">
        <v>0.73099999999999998</v>
      </c>
      <c r="AH19" s="22">
        <v>4.17</v>
      </c>
      <c r="AI19" s="22">
        <v>5.34</v>
      </c>
      <c r="AJ19" s="22">
        <v>1.79</v>
      </c>
      <c r="AK19" s="22">
        <v>0.28599999999999998</v>
      </c>
      <c r="AL19" s="22">
        <v>2.5000000000000001E-2</v>
      </c>
      <c r="AM19" s="22">
        <v>0.3</v>
      </c>
      <c r="AO19" s="22">
        <v>98.933000000000007</v>
      </c>
      <c r="AP19" s="3">
        <v>99.398233999999988</v>
      </c>
      <c r="AR19" s="4" t="s">
        <v>308</v>
      </c>
      <c r="AS19" s="1" t="s">
        <v>313</v>
      </c>
      <c r="AU19" s="16" t="s">
        <v>80</v>
      </c>
      <c r="AV19" s="13" t="s">
        <v>80</v>
      </c>
      <c r="AW19" s="13" t="s">
        <v>80</v>
      </c>
      <c r="AX19" s="13" t="s">
        <v>80</v>
      </c>
      <c r="AY19" s="13" t="s">
        <v>80</v>
      </c>
      <c r="AZ19" s="13" t="s">
        <v>80</v>
      </c>
      <c r="BA19" s="16" t="s">
        <v>80</v>
      </c>
      <c r="BB19" s="16" t="s">
        <v>80</v>
      </c>
      <c r="BC19" s="13" t="s">
        <v>80</v>
      </c>
      <c r="BD19" s="104" t="s">
        <v>80</v>
      </c>
      <c r="BE19" s="16" t="s">
        <v>80</v>
      </c>
      <c r="BF19" s="13" t="s">
        <v>80</v>
      </c>
      <c r="BG19" s="16" t="s">
        <v>80</v>
      </c>
      <c r="BH19" s="16" t="s">
        <v>80</v>
      </c>
      <c r="BI19" s="16" t="s">
        <v>80</v>
      </c>
      <c r="BJ19" s="16" t="s">
        <v>80</v>
      </c>
      <c r="BK19" s="16" t="s">
        <v>80</v>
      </c>
      <c r="BL19" s="16" t="s">
        <v>80</v>
      </c>
      <c r="BM19" s="16" t="s">
        <v>80</v>
      </c>
      <c r="BN19" s="16" t="s">
        <v>80</v>
      </c>
      <c r="BO19" s="16" t="s">
        <v>80</v>
      </c>
      <c r="BP19" s="16" t="s">
        <v>80</v>
      </c>
      <c r="BQ19" s="16" t="s">
        <v>80</v>
      </c>
      <c r="BR19" s="16" t="s">
        <v>80</v>
      </c>
      <c r="BS19" s="16"/>
      <c r="BT19" s="16" t="s">
        <v>80</v>
      </c>
      <c r="BU19" s="16" t="s">
        <v>80</v>
      </c>
      <c r="BV19" s="16" t="s">
        <v>80</v>
      </c>
      <c r="BW19" s="16" t="s">
        <v>80</v>
      </c>
      <c r="BX19" s="16" t="s">
        <v>80</v>
      </c>
      <c r="BY19" s="16" t="s">
        <v>80</v>
      </c>
      <c r="BZ19" s="16" t="s">
        <v>80</v>
      </c>
      <c r="CA19" s="16" t="s">
        <v>80</v>
      </c>
      <c r="CB19" s="16" t="s">
        <v>80</v>
      </c>
      <c r="CC19" s="16" t="s">
        <v>80</v>
      </c>
      <c r="CD19" s="16" t="s">
        <v>80</v>
      </c>
      <c r="CE19" s="16" t="s">
        <v>80</v>
      </c>
      <c r="CF19" s="16" t="s">
        <v>80</v>
      </c>
      <c r="CG19" s="16" t="s">
        <v>80</v>
      </c>
      <c r="CH19" s="16" t="s">
        <v>80</v>
      </c>
      <c r="CI19" s="16" t="s">
        <v>80</v>
      </c>
      <c r="CJ19" s="16" t="s">
        <v>80</v>
      </c>
      <c r="CK19" s="16" t="s">
        <v>80</v>
      </c>
      <c r="CL19" s="16" t="s">
        <v>80</v>
      </c>
      <c r="CM19" s="16" t="s">
        <v>80</v>
      </c>
      <c r="DN19" s="16"/>
      <c r="DO19" s="16"/>
      <c r="DP19" s="16"/>
      <c r="DQ19" s="16"/>
      <c r="DR19" s="16"/>
      <c r="DS19" s="16"/>
      <c r="DT19" s="16"/>
      <c r="DU19" s="16"/>
      <c r="DV19" s="16"/>
      <c r="DW19" s="16"/>
      <c r="DX19" s="16"/>
      <c r="DY19" s="16"/>
      <c r="DZ19" s="16"/>
      <c r="EA19" s="16"/>
      <c r="EB19" s="16"/>
      <c r="EC19" s="16"/>
      <c r="ED19" s="16"/>
      <c r="EE19" s="15"/>
      <c r="EF19" s="15"/>
      <c r="EG19" s="15"/>
      <c r="EH19" s="15"/>
    </row>
    <row r="20" spans="2:138" x14ac:dyDescent="0.25">
      <c r="B20" s="4" t="s">
        <v>311</v>
      </c>
      <c r="C20" s="5" t="s">
        <v>82</v>
      </c>
      <c r="D20" s="1">
        <v>54.51</v>
      </c>
      <c r="E20" s="98" t="s">
        <v>95</v>
      </c>
      <c r="F20" s="1" t="s">
        <v>309</v>
      </c>
      <c r="G20" s="1">
        <v>85.51</v>
      </c>
      <c r="H20" s="22">
        <v>49.744</v>
      </c>
      <c r="I20" s="22">
        <v>0.86599999999999999</v>
      </c>
      <c r="J20" s="22">
        <v>16.84</v>
      </c>
      <c r="K20" s="22">
        <v>1.7000000000000001E-2</v>
      </c>
      <c r="L20" s="22">
        <v>9.0120000000000005</v>
      </c>
      <c r="M20" s="22">
        <v>0.17</v>
      </c>
      <c r="N20" s="22">
        <v>5.4470000000000001</v>
      </c>
      <c r="O20" s="22">
        <v>10.375</v>
      </c>
      <c r="P20" s="22">
        <v>2.1150000000000002</v>
      </c>
      <c r="Q20" s="22">
        <v>0.41</v>
      </c>
      <c r="R20" s="1">
        <v>0.17</v>
      </c>
      <c r="S20" s="1" t="s">
        <v>310</v>
      </c>
      <c r="T20" s="96">
        <v>13.600000000000001</v>
      </c>
      <c r="V20" s="5" t="s">
        <v>82</v>
      </c>
      <c r="W20" s="1">
        <v>54.5</v>
      </c>
      <c r="X20" s="98" t="s">
        <v>95</v>
      </c>
      <c r="Y20" s="1" t="s">
        <v>103</v>
      </c>
      <c r="Z20" s="1">
        <v>85.5</v>
      </c>
      <c r="AA20" s="22">
        <v>51.81</v>
      </c>
      <c r="AB20" s="22">
        <v>1.0029999999999999</v>
      </c>
      <c r="AC20" s="22">
        <v>19.510000000000002</v>
      </c>
      <c r="AD20" s="22">
        <v>0.02</v>
      </c>
      <c r="AE20" s="22">
        <v>5.68</v>
      </c>
      <c r="AF20" s="22">
        <v>0.19700000000000001</v>
      </c>
      <c r="AG20" s="22">
        <v>1.173</v>
      </c>
      <c r="AH20" s="22">
        <v>12.02</v>
      </c>
      <c r="AI20" s="22">
        <v>2.4500000000000002</v>
      </c>
      <c r="AJ20" s="22">
        <v>0.47499999999999998</v>
      </c>
      <c r="AK20" s="22">
        <v>0.19700000000000001</v>
      </c>
      <c r="AL20" s="22">
        <v>0.11</v>
      </c>
      <c r="AM20" s="22">
        <v>0.104</v>
      </c>
      <c r="AO20" s="22">
        <v>94.748999999999995</v>
      </c>
      <c r="AP20" s="3">
        <v>95.381184000000005</v>
      </c>
      <c r="AR20" s="4" t="s">
        <v>311</v>
      </c>
      <c r="AS20" s="1" t="s">
        <v>266</v>
      </c>
      <c r="AT20" s="1" t="s">
        <v>266</v>
      </c>
      <c r="AU20" s="16" t="s">
        <v>80</v>
      </c>
      <c r="AV20" s="13" t="s">
        <v>80</v>
      </c>
      <c r="AW20" s="13" t="s">
        <v>80</v>
      </c>
      <c r="AX20" s="13" t="s">
        <v>80</v>
      </c>
      <c r="AY20" s="13" t="s">
        <v>80</v>
      </c>
      <c r="AZ20" s="13" t="s">
        <v>80</v>
      </c>
      <c r="BA20" s="16" t="s">
        <v>80</v>
      </c>
      <c r="BB20" s="16" t="s">
        <v>80</v>
      </c>
      <c r="BC20" s="13" t="s">
        <v>80</v>
      </c>
      <c r="BD20" s="104" t="s">
        <v>80</v>
      </c>
      <c r="BE20" s="16" t="s">
        <v>80</v>
      </c>
      <c r="BF20" s="13" t="s">
        <v>80</v>
      </c>
      <c r="BG20" s="16" t="s">
        <v>80</v>
      </c>
      <c r="BH20" s="16" t="s">
        <v>80</v>
      </c>
      <c r="BI20" s="16" t="s">
        <v>80</v>
      </c>
      <c r="BJ20" s="16" t="s">
        <v>80</v>
      </c>
      <c r="BK20" s="16" t="s">
        <v>80</v>
      </c>
      <c r="BL20" s="16" t="s">
        <v>80</v>
      </c>
      <c r="BM20" s="16" t="s">
        <v>80</v>
      </c>
      <c r="BN20" s="16" t="s">
        <v>80</v>
      </c>
      <c r="BO20" s="16" t="s">
        <v>80</v>
      </c>
      <c r="BP20" s="16" t="s">
        <v>80</v>
      </c>
      <c r="BQ20" s="16" t="s">
        <v>80</v>
      </c>
      <c r="BR20" s="16" t="s">
        <v>80</v>
      </c>
      <c r="BS20" s="16"/>
      <c r="BT20" s="16" t="s">
        <v>80</v>
      </c>
      <c r="BU20" s="16" t="s">
        <v>80</v>
      </c>
      <c r="BV20" s="16" t="s">
        <v>80</v>
      </c>
      <c r="BW20" s="16" t="s">
        <v>80</v>
      </c>
      <c r="BX20" s="16" t="s">
        <v>80</v>
      </c>
      <c r="BY20" s="16" t="s">
        <v>80</v>
      </c>
      <c r="BZ20" s="16" t="s">
        <v>80</v>
      </c>
      <c r="CA20" s="16" t="s">
        <v>80</v>
      </c>
      <c r="CB20" s="16" t="s">
        <v>80</v>
      </c>
      <c r="CC20" s="16" t="s">
        <v>80</v>
      </c>
      <c r="CD20" s="16" t="s">
        <v>80</v>
      </c>
      <c r="CE20" s="16" t="s">
        <v>80</v>
      </c>
      <c r="CF20" s="16" t="s">
        <v>80</v>
      </c>
      <c r="CG20" s="16" t="s">
        <v>80</v>
      </c>
      <c r="CH20" s="16" t="s">
        <v>80</v>
      </c>
      <c r="CI20" s="16" t="s">
        <v>80</v>
      </c>
      <c r="CJ20" s="16" t="s">
        <v>80</v>
      </c>
      <c r="CK20" s="16" t="s">
        <v>80</v>
      </c>
      <c r="CL20" s="16" t="s">
        <v>80</v>
      </c>
      <c r="CM20" s="16" t="s">
        <v>80</v>
      </c>
      <c r="CP20" s="1">
        <v>49</v>
      </c>
      <c r="CQ20" s="1" t="s">
        <v>95</v>
      </c>
      <c r="CR20" s="1" t="s">
        <v>309</v>
      </c>
      <c r="CS20" s="1">
        <v>80</v>
      </c>
      <c r="CT20" s="22">
        <v>39.42</v>
      </c>
      <c r="CU20" s="22">
        <v>0</v>
      </c>
      <c r="CV20" s="22">
        <v>4.2000000000000003E-2</v>
      </c>
      <c r="CW20" s="22">
        <v>1.2E-2</v>
      </c>
      <c r="CX20" s="22">
        <v>19.899999999999999</v>
      </c>
      <c r="CY20" s="22">
        <v>0.36899999999999999</v>
      </c>
      <c r="CZ20" s="22">
        <v>40.39</v>
      </c>
      <c r="DA20" s="22">
        <v>0.19800000000000001</v>
      </c>
      <c r="DB20" s="22">
        <v>4.1000000000000002E-2</v>
      </c>
      <c r="DC20" s="22">
        <v>6.0000000000000001E-3</v>
      </c>
      <c r="DN20" s="16"/>
      <c r="DO20" s="16"/>
      <c r="DP20" s="16"/>
      <c r="DQ20" s="16"/>
      <c r="DR20" s="16">
        <v>0.27634874517642266</v>
      </c>
      <c r="DS20" s="16">
        <v>2.7159926934072769</v>
      </c>
      <c r="DT20" s="16">
        <v>0.9279874041484597</v>
      </c>
      <c r="DU20" s="16">
        <v>0.10174870714756476</v>
      </c>
      <c r="DV20" s="16">
        <v>0.29779363808284226</v>
      </c>
      <c r="DW20" s="13"/>
      <c r="DX20" s="16"/>
      <c r="DY20" s="16"/>
      <c r="DZ20" s="16"/>
      <c r="EA20" s="16"/>
      <c r="EB20" s="16"/>
      <c r="EC20" s="16"/>
      <c r="ED20" s="16"/>
      <c r="EE20" s="15"/>
      <c r="EF20" s="15"/>
      <c r="EG20" s="15"/>
      <c r="EH20" s="15"/>
    </row>
    <row r="21" spans="2:138" x14ac:dyDescent="0.25">
      <c r="B21" s="4" t="s">
        <v>311</v>
      </c>
      <c r="C21" s="5" t="s">
        <v>82</v>
      </c>
      <c r="D21" s="1">
        <v>54.61</v>
      </c>
      <c r="E21" s="98" t="s">
        <v>95</v>
      </c>
      <c r="F21" s="1" t="s">
        <v>309</v>
      </c>
      <c r="G21" s="1">
        <v>85.61</v>
      </c>
      <c r="H21" s="22">
        <v>48.948</v>
      </c>
      <c r="I21" s="22">
        <v>0.751</v>
      </c>
      <c r="J21" s="22">
        <v>17.404</v>
      </c>
      <c r="K21" s="22">
        <v>0</v>
      </c>
      <c r="L21" s="22">
        <v>8.9860000000000007</v>
      </c>
      <c r="M21" s="22">
        <v>0.14799999999999999</v>
      </c>
      <c r="N21" s="22">
        <v>5.1639999999999997</v>
      </c>
      <c r="O21" s="22">
        <v>10.228999999999999</v>
      </c>
      <c r="P21" s="22">
        <v>2.944</v>
      </c>
      <c r="Q21" s="22">
        <v>0.47099999999999997</v>
      </c>
      <c r="R21" s="22">
        <v>0.19500000000000001</v>
      </c>
      <c r="S21" s="1" t="s">
        <v>310</v>
      </c>
      <c r="T21" s="96">
        <v>0.10000000000000009</v>
      </c>
      <c r="V21" s="5" t="s">
        <v>82</v>
      </c>
      <c r="W21" s="1">
        <v>54.6</v>
      </c>
      <c r="X21" s="98" t="s">
        <v>95</v>
      </c>
      <c r="Y21" s="1" t="s">
        <v>103</v>
      </c>
      <c r="Z21" s="1">
        <v>85.6</v>
      </c>
      <c r="AA21" s="22">
        <v>49.23</v>
      </c>
      <c r="AB21" s="22">
        <v>0.753</v>
      </c>
      <c r="AC21" s="22">
        <v>17.440000000000001</v>
      </c>
      <c r="AD21" s="22">
        <v>0</v>
      </c>
      <c r="AE21" s="22">
        <v>7.86</v>
      </c>
      <c r="AF21" s="22">
        <v>0.14799999999999999</v>
      </c>
      <c r="AG21" s="22">
        <v>6.06</v>
      </c>
      <c r="AH21" s="22">
        <v>10.25</v>
      </c>
      <c r="AI21" s="22">
        <v>2.95</v>
      </c>
      <c r="AJ21" s="22">
        <v>0.47199999999999998</v>
      </c>
      <c r="AK21" s="22">
        <v>0.19500000000000001</v>
      </c>
      <c r="AL21" s="22">
        <v>0.11700000000000001</v>
      </c>
      <c r="AM21" s="22">
        <v>8.2000000000000003E-2</v>
      </c>
      <c r="AO21" s="22">
        <v>95.556999999999988</v>
      </c>
      <c r="AP21" s="3">
        <v>96.431818000000007</v>
      </c>
      <c r="AQ21" s="1"/>
      <c r="AR21" s="4" t="s">
        <v>311</v>
      </c>
      <c r="AS21" s="1" t="s">
        <v>266</v>
      </c>
      <c r="AT21" s="1" t="s">
        <v>266</v>
      </c>
      <c r="AU21" s="16" t="s">
        <v>80</v>
      </c>
      <c r="AV21" s="13" t="s">
        <v>80</v>
      </c>
      <c r="AW21" s="13" t="s">
        <v>80</v>
      </c>
      <c r="AX21" s="13" t="s">
        <v>80</v>
      </c>
      <c r="AY21" s="13" t="s">
        <v>80</v>
      </c>
      <c r="AZ21" s="13" t="s">
        <v>80</v>
      </c>
      <c r="BA21" s="16" t="s">
        <v>80</v>
      </c>
      <c r="BB21" s="16" t="s">
        <v>80</v>
      </c>
      <c r="BC21" s="13" t="s">
        <v>80</v>
      </c>
      <c r="BD21" s="104" t="s">
        <v>80</v>
      </c>
      <c r="BE21" s="16" t="s">
        <v>80</v>
      </c>
      <c r="BF21" s="13" t="s">
        <v>80</v>
      </c>
      <c r="BG21" s="16" t="s">
        <v>80</v>
      </c>
      <c r="BH21" s="16" t="s">
        <v>80</v>
      </c>
      <c r="BI21" s="16" t="s">
        <v>80</v>
      </c>
      <c r="BJ21" s="16" t="s">
        <v>80</v>
      </c>
      <c r="BK21" s="16" t="s">
        <v>80</v>
      </c>
      <c r="BL21" s="16" t="s">
        <v>80</v>
      </c>
      <c r="BM21" s="16" t="s">
        <v>80</v>
      </c>
      <c r="BN21" s="16" t="s">
        <v>80</v>
      </c>
      <c r="BO21" s="16" t="s">
        <v>80</v>
      </c>
      <c r="BP21" s="16" t="s">
        <v>80</v>
      </c>
      <c r="BQ21" s="16" t="s">
        <v>80</v>
      </c>
      <c r="BR21" s="16" t="s">
        <v>80</v>
      </c>
      <c r="BS21" s="16"/>
      <c r="BT21" s="16" t="s">
        <v>80</v>
      </c>
      <c r="BU21" s="16" t="s">
        <v>80</v>
      </c>
      <c r="BV21" s="16" t="s">
        <v>80</v>
      </c>
      <c r="BW21" s="16" t="s">
        <v>80</v>
      </c>
      <c r="BX21" s="16" t="s">
        <v>80</v>
      </c>
      <c r="BY21" s="16" t="s">
        <v>80</v>
      </c>
      <c r="BZ21" s="16" t="s">
        <v>80</v>
      </c>
      <c r="CA21" s="16" t="s">
        <v>80</v>
      </c>
      <c r="CB21" s="16" t="s">
        <v>80</v>
      </c>
      <c r="CC21" s="16" t="s">
        <v>80</v>
      </c>
      <c r="CD21" s="16" t="s">
        <v>80</v>
      </c>
      <c r="CE21" s="16" t="s">
        <v>80</v>
      </c>
      <c r="CF21" s="16" t="s">
        <v>80</v>
      </c>
      <c r="CG21" s="16" t="s">
        <v>80</v>
      </c>
      <c r="CH21" s="16" t="s">
        <v>80</v>
      </c>
      <c r="CI21" s="16" t="s">
        <v>80</v>
      </c>
      <c r="CJ21" s="16" t="s">
        <v>80</v>
      </c>
      <c r="CK21" s="16" t="s">
        <v>80</v>
      </c>
      <c r="CL21" s="16" t="s">
        <v>80</v>
      </c>
      <c r="CM21" s="16" t="s">
        <v>80</v>
      </c>
      <c r="CP21" s="1">
        <v>49</v>
      </c>
      <c r="CQ21" s="1" t="s">
        <v>95</v>
      </c>
      <c r="CR21" s="1" t="s">
        <v>309</v>
      </c>
      <c r="CS21" s="1">
        <v>80</v>
      </c>
      <c r="CT21" s="22">
        <v>39.42</v>
      </c>
      <c r="CU21" s="22">
        <v>0</v>
      </c>
      <c r="CV21" s="22">
        <v>4.2000000000000003E-2</v>
      </c>
      <c r="CW21" s="22">
        <v>1.2E-2</v>
      </c>
      <c r="CX21" s="22">
        <v>19.899999999999999</v>
      </c>
      <c r="CY21" s="22">
        <v>0.36899999999999999</v>
      </c>
      <c r="CZ21" s="22">
        <v>40.39</v>
      </c>
      <c r="DA21" s="22">
        <v>0.19800000000000001</v>
      </c>
      <c r="DB21" s="22">
        <v>4.1000000000000002E-2</v>
      </c>
      <c r="DC21" s="22">
        <v>6.0000000000000001E-3</v>
      </c>
      <c r="DN21" s="16"/>
      <c r="DO21" s="16"/>
      <c r="DP21" s="16"/>
      <c r="DQ21" s="16"/>
      <c r="DR21" s="16">
        <v>0.27634874517642266</v>
      </c>
      <c r="DS21" s="16">
        <v>0.72749195587617221</v>
      </c>
      <c r="DT21" s="16">
        <v>0.97601940957336997</v>
      </c>
      <c r="DU21" s="16">
        <v>0.37986501836105596</v>
      </c>
      <c r="DV21" s="16">
        <v>0.28313857538675186</v>
      </c>
      <c r="DW21" s="13"/>
      <c r="DX21" s="16"/>
      <c r="DY21" s="16"/>
      <c r="DZ21" s="16"/>
      <c r="EA21" s="16"/>
      <c r="EB21" s="16"/>
      <c r="EC21" s="16"/>
      <c r="ED21" s="16"/>
      <c r="EE21" s="15"/>
      <c r="EF21" s="15"/>
      <c r="EG21" s="15"/>
      <c r="EH21" s="15"/>
    </row>
    <row r="22" spans="2:138" x14ac:dyDescent="0.25">
      <c r="B22" s="4" t="s">
        <v>311</v>
      </c>
      <c r="C22" s="5" t="s">
        <v>82</v>
      </c>
      <c r="D22" s="1">
        <v>54.71</v>
      </c>
      <c r="E22" s="98" t="s">
        <v>95</v>
      </c>
      <c r="F22" s="1" t="s">
        <v>309</v>
      </c>
      <c r="G22" s="1">
        <v>85.71</v>
      </c>
      <c r="H22" s="22">
        <v>49.36</v>
      </c>
      <c r="I22" s="22">
        <v>0.90600000000000003</v>
      </c>
      <c r="J22" s="22">
        <v>16.562000000000001</v>
      </c>
      <c r="K22" s="22">
        <v>0</v>
      </c>
      <c r="L22" s="22">
        <v>9.0030000000000001</v>
      </c>
      <c r="M22" s="22">
        <v>0.19600000000000001</v>
      </c>
      <c r="N22" s="22">
        <v>5.3159999999999998</v>
      </c>
      <c r="O22" s="22">
        <v>10.282999999999999</v>
      </c>
      <c r="P22" s="22">
        <v>2.4430000000000001</v>
      </c>
      <c r="Q22" s="22">
        <v>0.46300000000000002</v>
      </c>
      <c r="R22" s="22">
        <v>0.13800000000000001</v>
      </c>
      <c r="S22" s="1" t="s">
        <v>310</v>
      </c>
      <c r="T22" s="96">
        <v>11.7</v>
      </c>
      <c r="V22" s="5" t="s">
        <v>82</v>
      </c>
      <c r="W22" s="1">
        <v>54.7</v>
      </c>
      <c r="X22" s="98" t="s">
        <v>95</v>
      </c>
      <c r="Y22" s="1" t="s">
        <v>103</v>
      </c>
      <c r="Z22" s="1">
        <v>85.7</v>
      </c>
      <c r="AA22" s="22">
        <v>51.01</v>
      </c>
      <c r="AB22" s="22">
        <v>1.0269999999999999</v>
      </c>
      <c r="AC22" s="22">
        <v>18.78</v>
      </c>
      <c r="AD22" s="22">
        <v>0</v>
      </c>
      <c r="AE22" s="22">
        <v>6.48</v>
      </c>
      <c r="AF22" s="22">
        <v>0.222</v>
      </c>
      <c r="AG22" s="22">
        <v>1.4670000000000001</v>
      </c>
      <c r="AH22" s="22">
        <v>11.66</v>
      </c>
      <c r="AI22" s="22">
        <v>2.77</v>
      </c>
      <c r="AJ22" s="22">
        <v>0.52500000000000002</v>
      </c>
      <c r="AK22" s="22">
        <v>0.157</v>
      </c>
      <c r="AL22" s="22">
        <v>0.14000000000000001</v>
      </c>
      <c r="AM22" s="22">
        <v>0.1</v>
      </c>
      <c r="AO22" s="22">
        <v>94.337999999999994</v>
      </c>
      <c r="AP22" s="3">
        <v>95.059224</v>
      </c>
      <c r="AQ22" s="1"/>
      <c r="AR22" s="4" t="s">
        <v>311</v>
      </c>
      <c r="AS22" s="1" t="s">
        <v>266</v>
      </c>
      <c r="AT22" s="1" t="s">
        <v>266</v>
      </c>
      <c r="AU22" s="16" t="s">
        <v>80</v>
      </c>
      <c r="AV22" s="13" t="s">
        <v>80</v>
      </c>
      <c r="AW22" s="13" t="s">
        <v>80</v>
      </c>
      <c r="AX22" s="13" t="s">
        <v>80</v>
      </c>
      <c r="AY22" s="13" t="s">
        <v>80</v>
      </c>
      <c r="AZ22" s="13" t="s">
        <v>80</v>
      </c>
      <c r="BA22" s="16" t="s">
        <v>80</v>
      </c>
      <c r="BB22" s="16" t="s">
        <v>80</v>
      </c>
      <c r="BC22" s="13" t="s">
        <v>80</v>
      </c>
      <c r="BD22" s="104" t="s">
        <v>80</v>
      </c>
      <c r="BE22" s="16" t="s">
        <v>80</v>
      </c>
      <c r="BF22" s="13" t="s">
        <v>80</v>
      </c>
      <c r="BG22" s="16" t="s">
        <v>80</v>
      </c>
      <c r="BH22" s="16" t="s">
        <v>80</v>
      </c>
      <c r="BI22" s="16" t="s">
        <v>80</v>
      </c>
      <c r="BJ22" s="16" t="s">
        <v>80</v>
      </c>
      <c r="BK22" s="16" t="s">
        <v>80</v>
      </c>
      <c r="BL22" s="16" t="s">
        <v>80</v>
      </c>
      <c r="BM22" s="16" t="s">
        <v>80</v>
      </c>
      <c r="BN22" s="16" t="s">
        <v>80</v>
      </c>
      <c r="BO22" s="16" t="s">
        <v>80</v>
      </c>
      <c r="BP22" s="16" t="s">
        <v>80</v>
      </c>
      <c r="BQ22" s="16" t="s">
        <v>80</v>
      </c>
      <c r="BR22" s="16" t="s">
        <v>80</v>
      </c>
      <c r="BS22" s="16"/>
      <c r="BT22" s="16" t="s">
        <v>80</v>
      </c>
      <c r="BU22" s="16" t="s">
        <v>80</v>
      </c>
      <c r="BV22" s="16" t="s">
        <v>80</v>
      </c>
      <c r="BW22" s="16" t="s">
        <v>80</v>
      </c>
      <c r="BX22" s="16" t="s">
        <v>80</v>
      </c>
      <c r="BY22" s="16" t="s">
        <v>80</v>
      </c>
      <c r="BZ22" s="16" t="s">
        <v>80</v>
      </c>
      <c r="CA22" s="16" t="s">
        <v>80</v>
      </c>
      <c r="CB22" s="16" t="s">
        <v>80</v>
      </c>
      <c r="CC22" s="16" t="s">
        <v>80</v>
      </c>
      <c r="CD22" s="16" t="s">
        <v>80</v>
      </c>
      <c r="CE22" s="16" t="s">
        <v>80</v>
      </c>
      <c r="CF22" s="16" t="s">
        <v>80</v>
      </c>
      <c r="CG22" s="16" t="s">
        <v>80</v>
      </c>
      <c r="CH22" s="16" t="s">
        <v>80</v>
      </c>
      <c r="CI22" s="16" t="s">
        <v>80</v>
      </c>
      <c r="CJ22" s="16" t="s">
        <v>80</v>
      </c>
      <c r="CK22" s="16" t="s">
        <v>80</v>
      </c>
      <c r="CL22" s="16" t="s">
        <v>80</v>
      </c>
      <c r="CM22" s="16" t="s">
        <v>80</v>
      </c>
      <c r="CP22" s="1">
        <v>49</v>
      </c>
      <c r="CQ22" s="1" t="s">
        <v>95</v>
      </c>
      <c r="CR22" s="1" t="s">
        <v>309</v>
      </c>
      <c r="CS22" s="1">
        <v>80</v>
      </c>
      <c r="CT22" s="22">
        <v>39.42</v>
      </c>
      <c r="CU22" s="22">
        <v>0</v>
      </c>
      <c r="CV22" s="22">
        <v>4.2000000000000003E-2</v>
      </c>
      <c r="CW22" s="22">
        <v>1.2E-2</v>
      </c>
      <c r="CX22" s="22">
        <v>19.899999999999999</v>
      </c>
      <c r="CY22" s="22">
        <v>0.36899999999999999</v>
      </c>
      <c r="CZ22" s="22">
        <v>40.39</v>
      </c>
      <c r="DA22" s="22">
        <v>0.19800000000000001</v>
      </c>
      <c r="DB22" s="22">
        <v>4.1000000000000002E-2</v>
      </c>
      <c r="DC22" s="22">
        <v>6.0000000000000001E-3</v>
      </c>
      <c r="DN22" s="16"/>
      <c r="DO22" s="16"/>
      <c r="DP22" s="16"/>
      <c r="DQ22" s="16"/>
      <c r="DR22" s="16">
        <v>0.27634874517642266</v>
      </c>
      <c r="DS22" s="16">
        <v>2.4775542093061977</v>
      </c>
      <c r="DT22" s="16">
        <v>0.94990582650398769</v>
      </c>
      <c r="DU22" s="16">
        <v>0.11154094797942282</v>
      </c>
      <c r="DV22" s="16">
        <v>0.29092225509710834</v>
      </c>
      <c r="DW22" s="13"/>
      <c r="DX22" s="16"/>
      <c r="DY22" s="16"/>
      <c r="DZ22" s="16"/>
      <c r="EA22" s="16"/>
      <c r="EB22" s="16"/>
      <c r="EC22" s="16"/>
      <c r="ED22" s="16"/>
      <c r="EE22" s="15"/>
      <c r="EF22" s="15"/>
      <c r="EG22" s="15"/>
      <c r="EH22" s="15"/>
    </row>
    <row r="23" spans="2:138" x14ac:dyDescent="0.25">
      <c r="B23" s="4" t="s">
        <v>311</v>
      </c>
      <c r="C23" s="5" t="s">
        <v>82</v>
      </c>
      <c r="D23" s="1">
        <v>54.81</v>
      </c>
      <c r="E23" s="98" t="s">
        <v>95</v>
      </c>
      <c r="F23" s="1" t="s">
        <v>309</v>
      </c>
      <c r="G23" s="1">
        <v>85.81</v>
      </c>
      <c r="H23" s="22">
        <v>49.805999999999997</v>
      </c>
      <c r="I23" s="22">
        <v>0.871</v>
      </c>
      <c r="J23" s="22">
        <v>16.407</v>
      </c>
      <c r="K23" s="22">
        <v>3.9E-2</v>
      </c>
      <c r="L23" s="22">
        <v>9.1059999999999999</v>
      </c>
      <c r="M23" s="22">
        <v>0.13900000000000001</v>
      </c>
      <c r="N23" s="22">
        <v>5.35</v>
      </c>
      <c r="O23" s="22">
        <v>9.8719999999999999</v>
      </c>
      <c r="P23" s="22">
        <v>2.6040000000000001</v>
      </c>
      <c r="Q23" s="22">
        <v>0.53600000000000003</v>
      </c>
      <c r="R23" s="22">
        <v>0.19600000000000001</v>
      </c>
      <c r="S23" s="1" t="s">
        <v>310</v>
      </c>
      <c r="T23" s="96">
        <v>13.700000000000001</v>
      </c>
      <c r="V23" s="5" t="s">
        <v>82</v>
      </c>
      <c r="W23" s="1">
        <v>54.8</v>
      </c>
      <c r="X23" s="98" t="s">
        <v>95</v>
      </c>
      <c r="Y23" s="1" t="s">
        <v>103</v>
      </c>
      <c r="Z23" s="1">
        <v>85.8</v>
      </c>
      <c r="AA23" s="22">
        <v>51.93</v>
      </c>
      <c r="AB23" s="22">
        <v>1.01</v>
      </c>
      <c r="AC23" s="22">
        <v>19.03</v>
      </c>
      <c r="AD23" s="22">
        <v>4.4999999999999998E-2</v>
      </c>
      <c r="AE23" s="22">
        <v>5.63</v>
      </c>
      <c r="AF23" s="22">
        <v>0.161</v>
      </c>
      <c r="AG23" s="22">
        <v>1.139</v>
      </c>
      <c r="AH23" s="22">
        <v>11.45</v>
      </c>
      <c r="AI23" s="22">
        <v>3.02</v>
      </c>
      <c r="AJ23" s="22">
        <v>0.622</v>
      </c>
      <c r="AK23" s="22">
        <v>0.22700000000000001</v>
      </c>
      <c r="AL23" s="22">
        <v>0.16</v>
      </c>
      <c r="AM23" s="22">
        <v>9.8000000000000004E-2</v>
      </c>
      <c r="AO23" s="22">
        <v>94.521999999999991</v>
      </c>
      <c r="AP23" s="3">
        <v>95.148618999999997</v>
      </c>
      <c r="AQ23" s="1"/>
      <c r="AR23" s="4" t="s">
        <v>311</v>
      </c>
      <c r="AS23" s="1" t="s">
        <v>266</v>
      </c>
      <c r="AT23" s="1" t="s">
        <v>266</v>
      </c>
      <c r="AU23" s="16" t="s">
        <v>80</v>
      </c>
      <c r="AV23" s="13" t="s">
        <v>80</v>
      </c>
      <c r="AW23" s="13" t="s">
        <v>80</v>
      </c>
      <c r="AX23" s="13" t="s">
        <v>80</v>
      </c>
      <c r="AY23" s="13" t="s">
        <v>80</v>
      </c>
      <c r="AZ23" s="13" t="s">
        <v>80</v>
      </c>
      <c r="BA23" s="16" t="s">
        <v>80</v>
      </c>
      <c r="BB23" s="16" t="s">
        <v>80</v>
      </c>
      <c r="BC23" s="13" t="s">
        <v>80</v>
      </c>
      <c r="BD23" s="104" t="s">
        <v>80</v>
      </c>
      <c r="BE23" s="16" t="s">
        <v>80</v>
      </c>
      <c r="BF23" s="13" t="s">
        <v>80</v>
      </c>
      <c r="BG23" s="16" t="s">
        <v>80</v>
      </c>
      <c r="BH23" s="16" t="s">
        <v>80</v>
      </c>
      <c r="BI23" s="16" t="s">
        <v>80</v>
      </c>
      <c r="BJ23" s="16" t="s">
        <v>80</v>
      </c>
      <c r="BK23" s="16" t="s">
        <v>80</v>
      </c>
      <c r="BL23" s="16" t="s">
        <v>80</v>
      </c>
      <c r="BM23" s="16" t="s">
        <v>80</v>
      </c>
      <c r="BN23" s="16" t="s">
        <v>80</v>
      </c>
      <c r="BO23" s="16" t="s">
        <v>80</v>
      </c>
      <c r="BP23" s="16" t="s">
        <v>80</v>
      </c>
      <c r="BQ23" s="16" t="s">
        <v>80</v>
      </c>
      <c r="BR23" s="16" t="s">
        <v>80</v>
      </c>
      <c r="BS23" s="16"/>
      <c r="BT23" s="16" t="s">
        <v>80</v>
      </c>
      <c r="BU23" s="16" t="s">
        <v>80</v>
      </c>
      <c r="BV23" s="16" t="s">
        <v>80</v>
      </c>
      <c r="BW23" s="16" t="s">
        <v>80</v>
      </c>
      <c r="BX23" s="16" t="s">
        <v>80</v>
      </c>
      <c r="BY23" s="16" t="s">
        <v>80</v>
      </c>
      <c r="BZ23" s="16" t="s">
        <v>80</v>
      </c>
      <c r="CA23" s="16" t="s">
        <v>80</v>
      </c>
      <c r="CB23" s="16" t="s">
        <v>80</v>
      </c>
      <c r="CC23" s="16" t="s">
        <v>80</v>
      </c>
      <c r="CD23" s="16" t="s">
        <v>80</v>
      </c>
      <c r="CE23" s="16" t="s">
        <v>80</v>
      </c>
      <c r="CF23" s="16" t="s">
        <v>80</v>
      </c>
      <c r="CG23" s="16" t="s">
        <v>80</v>
      </c>
      <c r="CH23" s="16" t="s">
        <v>80</v>
      </c>
      <c r="CI23" s="16" t="s">
        <v>80</v>
      </c>
      <c r="CJ23" s="16" t="s">
        <v>80</v>
      </c>
      <c r="CK23" s="16" t="s">
        <v>80</v>
      </c>
      <c r="CL23" s="16" t="s">
        <v>80</v>
      </c>
      <c r="CM23" s="16" t="s">
        <v>80</v>
      </c>
      <c r="CP23" s="1">
        <v>49</v>
      </c>
      <c r="CQ23" s="1" t="s">
        <v>95</v>
      </c>
      <c r="CR23" s="1" t="s">
        <v>309</v>
      </c>
      <c r="CS23" s="1">
        <v>80</v>
      </c>
      <c r="CT23" s="22">
        <v>39.42</v>
      </c>
      <c r="CU23" s="22">
        <v>0</v>
      </c>
      <c r="CV23" s="22">
        <v>4.2000000000000003E-2</v>
      </c>
      <c r="CW23" s="22">
        <v>1.2E-2</v>
      </c>
      <c r="CX23" s="22">
        <v>19.899999999999999</v>
      </c>
      <c r="CY23" s="22">
        <v>0.36899999999999999</v>
      </c>
      <c r="CZ23" s="22">
        <v>40.39</v>
      </c>
      <c r="DA23" s="22">
        <v>0.19800000000000001</v>
      </c>
      <c r="DB23" s="22">
        <v>4.1000000000000002E-2</v>
      </c>
      <c r="DC23" s="22">
        <v>6.0000000000000001E-3</v>
      </c>
      <c r="DN23" s="16"/>
      <c r="DO23" s="16"/>
      <c r="DP23" s="16"/>
      <c r="DQ23" s="16"/>
      <c r="DR23" s="16">
        <v>0.27634874517642266</v>
      </c>
      <c r="DS23" s="16">
        <v>2.7724450326043857</v>
      </c>
      <c r="DT23" s="16">
        <v>0.95466749913826177</v>
      </c>
      <c r="DU23" s="16">
        <v>9.9676906819258212E-2</v>
      </c>
      <c r="DV23" s="16">
        <v>0.28947119853338577</v>
      </c>
      <c r="DW23" s="13"/>
      <c r="DX23" s="16"/>
      <c r="DY23" s="16"/>
      <c r="DZ23" s="16"/>
      <c r="EA23" s="16"/>
      <c r="EB23" s="16"/>
      <c r="EC23" s="16"/>
      <c r="ED23" s="16"/>
      <c r="EE23" s="15"/>
      <c r="EF23" s="15"/>
      <c r="EG23" s="15"/>
      <c r="EH23" s="15"/>
    </row>
    <row r="24" spans="2:138" x14ac:dyDescent="0.25">
      <c r="B24" s="4" t="s">
        <v>311</v>
      </c>
      <c r="C24" s="5" t="s">
        <v>83</v>
      </c>
      <c r="D24" s="1">
        <v>63.11</v>
      </c>
      <c r="E24" s="98" t="s">
        <v>96</v>
      </c>
      <c r="F24" s="1" t="s">
        <v>103</v>
      </c>
      <c r="G24" s="1">
        <v>94.11</v>
      </c>
      <c r="H24" s="22">
        <f t="shared" ref="H24:R31" si="2">(AA24+($DW24/100)*CT24)*((100-$DW24)/100)</f>
        <v>51.634528000000003</v>
      </c>
      <c r="I24" s="22">
        <f t="shared" si="2"/>
        <v>1.08416</v>
      </c>
      <c r="J24" s="22">
        <f t="shared" si="2"/>
        <v>16.567232000000001</v>
      </c>
      <c r="K24" s="22">
        <f t="shared" si="2"/>
        <v>1.4080000000000001E-2</v>
      </c>
      <c r="L24" s="22">
        <f t="shared" si="2"/>
        <v>8.680576406010978</v>
      </c>
      <c r="M24" s="22">
        <f t="shared" si="2"/>
        <v>0.22</v>
      </c>
      <c r="N24" s="22">
        <f t="shared" si="2"/>
        <v>3.9775999999999998</v>
      </c>
      <c r="O24" s="22">
        <f t="shared" si="2"/>
        <v>8.3966079999999987</v>
      </c>
      <c r="P24" s="22">
        <f t="shared" si="2"/>
        <v>2.8452160000000002</v>
      </c>
      <c r="Q24" s="22">
        <f t="shared" si="2"/>
        <v>0.82846719999999996</v>
      </c>
      <c r="R24" s="22">
        <f t="shared" si="2"/>
        <v>0.16367999999999999</v>
      </c>
      <c r="S24" s="1" t="s">
        <v>314</v>
      </c>
      <c r="T24" s="96">
        <f t="shared" ref="T24:T31" si="3">DW24</f>
        <v>12</v>
      </c>
      <c r="V24" s="5" t="s">
        <v>83</v>
      </c>
      <c r="W24" s="1">
        <v>63.1</v>
      </c>
      <c r="X24" s="98" t="s">
        <v>96</v>
      </c>
      <c r="Y24" s="1" t="s">
        <v>103</v>
      </c>
      <c r="Z24" s="1">
        <v>94.1</v>
      </c>
      <c r="AA24" s="22">
        <v>53.14</v>
      </c>
      <c r="AB24" s="22">
        <v>1.232</v>
      </c>
      <c r="AC24" s="22">
        <v>14.63</v>
      </c>
      <c r="AD24" s="22">
        <v>1.6E-2</v>
      </c>
      <c r="AE24" s="22">
        <v>9.7899999999999991</v>
      </c>
      <c r="AF24" s="22">
        <v>0.25</v>
      </c>
      <c r="AG24" s="22">
        <v>4.5199999999999996</v>
      </c>
      <c r="AH24" s="22">
        <v>7.39</v>
      </c>
      <c r="AI24" s="22">
        <v>3.07</v>
      </c>
      <c r="AJ24" s="22">
        <v>0.94</v>
      </c>
      <c r="AK24" s="22">
        <v>0.186</v>
      </c>
      <c r="AL24" s="22">
        <v>7.1999999999999995E-2</v>
      </c>
      <c r="AM24" s="22">
        <v>0.11899999999999999</v>
      </c>
      <c r="AO24" s="22">
        <v>95.35499999999999</v>
      </c>
      <c r="AP24" s="3">
        <v>96.444626999999997</v>
      </c>
      <c r="AQ24" s="1"/>
      <c r="AR24" s="4" t="s">
        <v>311</v>
      </c>
      <c r="AS24" s="1" t="s">
        <v>253</v>
      </c>
      <c r="AT24" s="1" t="s">
        <v>253</v>
      </c>
      <c r="AU24" s="16" t="s">
        <v>80</v>
      </c>
      <c r="AV24" s="13" t="s">
        <v>80</v>
      </c>
      <c r="AW24" s="13" t="s">
        <v>80</v>
      </c>
      <c r="AX24" s="13" t="s">
        <v>80</v>
      </c>
      <c r="AY24" s="13" t="s">
        <v>80</v>
      </c>
      <c r="AZ24" s="13" t="s">
        <v>80</v>
      </c>
      <c r="BA24" s="16" t="s">
        <v>80</v>
      </c>
      <c r="BB24" s="16" t="s">
        <v>80</v>
      </c>
      <c r="BC24" s="13" t="s">
        <v>80</v>
      </c>
      <c r="BD24" s="104" t="s">
        <v>80</v>
      </c>
      <c r="BE24" s="16" t="s">
        <v>80</v>
      </c>
      <c r="BF24" s="13" t="s">
        <v>80</v>
      </c>
      <c r="BG24" s="16" t="s">
        <v>80</v>
      </c>
      <c r="BH24" s="16" t="s">
        <v>80</v>
      </c>
      <c r="BI24" s="16" t="s">
        <v>80</v>
      </c>
      <c r="BJ24" s="16" t="s">
        <v>80</v>
      </c>
      <c r="BK24" s="16" t="s">
        <v>80</v>
      </c>
      <c r="BL24" s="16" t="s">
        <v>80</v>
      </c>
      <c r="BM24" s="16" t="s">
        <v>80</v>
      </c>
      <c r="BN24" s="16" t="s">
        <v>80</v>
      </c>
      <c r="BO24" s="16" t="s">
        <v>80</v>
      </c>
      <c r="BP24" s="16" t="s">
        <v>80</v>
      </c>
      <c r="BQ24" s="16" t="s">
        <v>80</v>
      </c>
      <c r="BR24" s="16" t="s">
        <v>80</v>
      </c>
      <c r="BS24" s="16"/>
      <c r="BT24" s="16" t="s">
        <v>80</v>
      </c>
      <c r="BU24" s="16" t="s">
        <v>80</v>
      </c>
      <c r="BV24" s="16" t="s">
        <v>80</v>
      </c>
      <c r="BW24" s="16" t="s">
        <v>80</v>
      </c>
      <c r="BX24" s="16" t="s">
        <v>80</v>
      </c>
      <c r="BY24" s="16" t="s">
        <v>80</v>
      </c>
      <c r="BZ24" s="16" t="s">
        <v>80</v>
      </c>
      <c r="CA24" s="16" t="s">
        <v>80</v>
      </c>
      <c r="CB24" s="16" t="s">
        <v>80</v>
      </c>
      <c r="CC24" s="16" t="s">
        <v>80</v>
      </c>
      <c r="CD24" s="16" t="s">
        <v>80</v>
      </c>
      <c r="CE24" s="16" t="s">
        <v>80</v>
      </c>
      <c r="CF24" s="16" t="s">
        <v>80</v>
      </c>
      <c r="CG24" s="16" t="s">
        <v>80</v>
      </c>
      <c r="CH24" s="16" t="s">
        <v>80</v>
      </c>
      <c r="CI24" s="16" t="s">
        <v>80</v>
      </c>
      <c r="CJ24" s="16" t="s">
        <v>80</v>
      </c>
      <c r="CK24" s="16" t="s">
        <v>80</v>
      </c>
      <c r="CL24" s="16" t="s">
        <v>80</v>
      </c>
      <c r="CM24" s="16" t="s">
        <v>80</v>
      </c>
      <c r="CP24" s="1">
        <v>78</v>
      </c>
      <c r="CQ24" s="1" t="s">
        <v>96</v>
      </c>
      <c r="CR24" s="1" t="s">
        <v>309</v>
      </c>
      <c r="CS24" s="1">
        <v>109</v>
      </c>
      <c r="CT24" s="22">
        <v>46.13</v>
      </c>
      <c r="CV24" s="22">
        <v>34.97</v>
      </c>
      <c r="CX24" s="22">
        <v>0.61909475389183832</v>
      </c>
      <c r="DA24" s="22">
        <v>17.93</v>
      </c>
      <c r="DB24" s="22">
        <v>1.36</v>
      </c>
      <c r="DC24" s="22">
        <v>1.2E-2</v>
      </c>
      <c r="DN24" s="16"/>
      <c r="DO24" s="16"/>
      <c r="DP24" s="16"/>
      <c r="DQ24" s="16"/>
      <c r="DR24" s="16"/>
      <c r="DS24" s="16"/>
      <c r="DT24" s="16"/>
      <c r="DU24" s="16"/>
      <c r="DV24" s="16"/>
      <c r="DW24" s="13">
        <v>12</v>
      </c>
      <c r="DX24" s="16">
        <v>16.84200800515644</v>
      </c>
      <c r="DY24" s="16">
        <v>17.547775810731803</v>
      </c>
      <c r="DZ24" s="16">
        <v>0.8793061457986342</v>
      </c>
      <c r="EA24" s="16">
        <v>0.1206938542013658</v>
      </c>
      <c r="EB24" s="16">
        <v>5.9240341121651538E-2</v>
      </c>
      <c r="EC24" s="16">
        <v>8.4642228729310653E-2</v>
      </c>
      <c r="ED24" s="16">
        <v>0.15053553958038399</v>
      </c>
      <c r="EE24" s="13">
        <v>1016.7742975329946</v>
      </c>
      <c r="EF24" s="13">
        <v>1035.6402234397456</v>
      </c>
      <c r="EG24" s="13">
        <v>1022.6705081387569</v>
      </c>
      <c r="EH24" s="13">
        <v>1047.3717491865536</v>
      </c>
    </row>
    <row r="25" spans="2:138" x14ac:dyDescent="0.25">
      <c r="B25" s="4" t="s">
        <v>311</v>
      </c>
      <c r="C25" s="5" t="s">
        <v>83</v>
      </c>
      <c r="D25" s="1">
        <v>64.11</v>
      </c>
      <c r="E25" s="98" t="s">
        <v>96</v>
      </c>
      <c r="F25" s="1" t="s">
        <v>103</v>
      </c>
      <c r="G25" s="1">
        <v>95.11</v>
      </c>
      <c r="H25" s="22">
        <f t="shared" si="2"/>
        <v>50.711584000000002</v>
      </c>
      <c r="I25" s="22">
        <f t="shared" si="2"/>
        <v>1.0929599999999999</v>
      </c>
      <c r="J25" s="22">
        <f t="shared" si="2"/>
        <v>16.346176000000003</v>
      </c>
      <c r="K25" s="22">
        <f t="shared" si="2"/>
        <v>0</v>
      </c>
      <c r="L25" s="22">
        <f t="shared" si="2"/>
        <v>8.6743792675245199</v>
      </c>
      <c r="M25" s="22">
        <f t="shared" si="2"/>
        <v>0.22264</v>
      </c>
      <c r="N25" s="22">
        <f t="shared" si="2"/>
        <v>4.0743999999999998</v>
      </c>
      <c r="O25" s="22">
        <f t="shared" si="2"/>
        <v>8.3452160000000006</v>
      </c>
      <c r="P25" s="22">
        <f t="shared" si="2"/>
        <v>2.3239040000000002</v>
      </c>
      <c r="Q25" s="22">
        <f t="shared" si="2"/>
        <v>0.92174719999999999</v>
      </c>
      <c r="R25" s="22">
        <f t="shared" si="2"/>
        <v>0.18479999999999999</v>
      </c>
      <c r="S25" s="1" t="s">
        <v>314</v>
      </c>
      <c r="T25" s="96">
        <f t="shared" si="3"/>
        <v>12</v>
      </c>
      <c r="V25" s="5" t="s">
        <v>83</v>
      </c>
      <c r="W25" s="1">
        <v>64.099999999999994</v>
      </c>
      <c r="X25" s="98" t="s">
        <v>96</v>
      </c>
      <c r="Y25" s="1" t="s">
        <v>103</v>
      </c>
      <c r="Z25" s="1">
        <v>95.1</v>
      </c>
      <c r="AA25" s="22">
        <v>52</v>
      </c>
      <c r="AB25" s="22">
        <v>1.242</v>
      </c>
      <c r="AC25" s="22">
        <v>14.47</v>
      </c>
      <c r="AD25" s="22">
        <v>0</v>
      </c>
      <c r="AE25" s="22">
        <v>9.77</v>
      </c>
      <c r="AF25" s="22">
        <v>0.253</v>
      </c>
      <c r="AG25" s="22">
        <v>4.63</v>
      </c>
      <c r="AH25" s="22">
        <v>7.4</v>
      </c>
      <c r="AI25" s="22">
        <v>2.4500000000000002</v>
      </c>
      <c r="AJ25" s="22">
        <v>1.0429999999999999</v>
      </c>
      <c r="AK25" s="22">
        <v>0.21</v>
      </c>
      <c r="AL25" s="22">
        <v>0.10299999999999999</v>
      </c>
      <c r="AM25" s="22">
        <v>0.11700000000000001</v>
      </c>
      <c r="AO25" s="22">
        <v>93.688000000000002</v>
      </c>
      <c r="AP25" s="3">
        <v>94.775401000000002</v>
      </c>
      <c r="AQ25" s="1"/>
      <c r="AR25" s="4" t="s">
        <v>311</v>
      </c>
      <c r="AS25" s="1" t="s">
        <v>253</v>
      </c>
      <c r="AT25" s="1" t="s">
        <v>253</v>
      </c>
      <c r="AU25" s="16">
        <v>9.5625257258800325</v>
      </c>
      <c r="AV25" s="13">
        <v>16286.887955765491</v>
      </c>
      <c r="AW25" s="13">
        <v>23813.36130410331</v>
      </c>
      <c r="AX25" s="13">
        <v>69974.213428041912</v>
      </c>
      <c r="AY25" s="13">
        <v>252337.4852526584</v>
      </c>
      <c r="AZ25" s="13">
        <v>38736.17177495217</v>
      </c>
      <c r="BA25" s="16">
        <v>59.4</v>
      </c>
      <c r="BB25" s="16">
        <v>28.834943869333383</v>
      </c>
      <c r="BC25" s="13">
        <v>5649.0592358330832</v>
      </c>
      <c r="BD25" s="104">
        <v>239.53974773783526</v>
      </c>
      <c r="BE25" s="16">
        <v>6.2281653777125969</v>
      </c>
      <c r="BF25" s="13">
        <v>1096.7031497174271</v>
      </c>
      <c r="BG25" s="16">
        <v>24.164543313033015</v>
      </c>
      <c r="BH25" s="16" t="s">
        <v>80</v>
      </c>
      <c r="BI25" s="16">
        <v>89.92334973355976</v>
      </c>
      <c r="BJ25" s="16">
        <v>70.058547986733757</v>
      </c>
      <c r="BK25" s="16">
        <v>20.415094533981513</v>
      </c>
      <c r="BL25" s="16">
        <v>177.1319380512526</v>
      </c>
      <c r="BM25" s="16">
        <v>178.81625101812168</v>
      </c>
      <c r="BN25" s="16">
        <v>16.635548856900616</v>
      </c>
      <c r="BO25" s="16">
        <v>61.300152527873379</v>
      </c>
      <c r="BP25" s="16">
        <v>1.7619658817840265</v>
      </c>
      <c r="BQ25" s="16">
        <v>0.24531805913922924</v>
      </c>
      <c r="BR25" s="16">
        <v>226.8168479118392</v>
      </c>
      <c r="BS25" s="16">
        <v>3.7001025047809604</v>
      </c>
      <c r="BT25" s="16">
        <v>4.891141617559235</v>
      </c>
      <c r="BU25" s="16">
        <v>10.682614404822724</v>
      </c>
      <c r="BV25" s="16">
        <v>1.4843291884040855</v>
      </c>
      <c r="BW25" s="16">
        <v>5.7327492860018614</v>
      </c>
      <c r="BX25" s="16">
        <v>1.8216081225248539</v>
      </c>
      <c r="BY25" s="16">
        <v>1.0966120817276386</v>
      </c>
      <c r="BZ25" s="16">
        <v>2.2968610047641667</v>
      </c>
      <c r="CA25" s="16">
        <v>0.4117446508411553</v>
      </c>
      <c r="CB25" s="16">
        <v>3.0008009816370529</v>
      </c>
      <c r="CC25" s="16">
        <v>0.43561645866530846</v>
      </c>
      <c r="CD25" s="16">
        <v>2.611448029198105</v>
      </c>
      <c r="CE25" s="16">
        <v>0.21520237150128088</v>
      </c>
      <c r="CF25" s="16">
        <v>1.3264686076616181</v>
      </c>
      <c r="CG25" s="16">
        <v>0.38540006341200006</v>
      </c>
      <c r="CH25" s="16">
        <v>1.7090726945062613</v>
      </c>
      <c r="CI25" s="16" t="s">
        <v>80</v>
      </c>
      <c r="CJ25" s="16">
        <v>5.1202730832336245</v>
      </c>
      <c r="CK25" s="16">
        <v>1.7009891915284503</v>
      </c>
      <c r="CL25" s="16">
        <v>0.42981918964390742</v>
      </c>
      <c r="CM25" s="16">
        <v>1.6245579089322824</v>
      </c>
      <c r="CP25" s="1">
        <v>79</v>
      </c>
      <c r="CQ25" s="1" t="s">
        <v>96</v>
      </c>
      <c r="CR25" s="1" t="s">
        <v>309</v>
      </c>
      <c r="CS25" s="1">
        <v>110</v>
      </c>
      <c r="CT25" s="22">
        <v>46.89</v>
      </c>
      <c r="CV25" s="22">
        <v>34.21</v>
      </c>
      <c r="CX25" s="22">
        <v>0.72707639701250792</v>
      </c>
      <c r="DA25" s="22">
        <v>17.36</v>
      </c>
      <c r="DB25" s="22">
        <v>1.59</v>
      </c>
      <c r="DC25" s="22">
        <v>3.6999999999999998E-2</v>
      </c>
      <c r="DN25" s="16"/>
      <c r="DO25" s="16"/>
      <c r="DP25" s="16"/>
      <c r="DQ25" s="16"/>
      <c r="DR25" s="16"/>
      <c r="DS25" s="16"/>
      <c r="DT25" s="16"/>
      <c r="DU25" s="16"/>
      <c r="DV25" s="16"/>
      <c r="DW25" s="13">
        <v>12</v>
      </c>
      <c r="DX25" s="16">
        <v>16.926579702892973</v>
      </c>
      <c r="DY25" s="16">
        <v>17.59586864487952</v>
      </c>
      <c r="DZ25" s="16">
        <v>0.85782238992170345</v>
      </c>
      <c r="EA25" s="16">
        <v>0.14217761007829655</v>
      </c>
      <c r="EB25" s="16">
        <v>9.0721102456640848E-2</v>
      </c>
      <c r="EC25" s="16">
        <v>0.12494126231938646</v>
      </c>
      <c r="ED25" s="16">
        <v>0.15149970766378815</v>
      </c>
      <c r="EE25" s="13">
        <v>1017.864620238826</v>
      </c>
      <c r="EF25" s="13">
        <v>1036.0515822813186</v>
      </c>
      <c r="EG25" s="13">
        <v>1023.9661433320213</v>
      </c>
      <c r="EH25" s="13">
        <v>1047.5686245792072</v>
      </c>
    </row>
    <row r="26" spans="2:138" x14ac:dyDescent="0.25">
      <c r="B26" s="4" t="s">
        <v>311</v>
      </c>
      <c r="C26" s="5" t="s">
        <v>83</v>
      </c>
      <c r="D26" s="1">
        <v>65.11</v>
      </c>
      <c r="E26" s="98" t="s">
        <v>96</v>
      </c>
      <c r="F26" s="1" t="s">
        <v>103</v>
      </c>
      <c r="G26" s="1">
        <v>96.11</v>
      </c>
      <c r="H26" s="22">
        <f t="shared" si="2"/>
        <v>51.057602999999993</v>
      </c>
      <c r="I26" s="22">
        <f t="shared" si="2"/>
        <v>0.95612999999999992</v>
      </c>
      <c r="J26" s="22">
        <f t="shared" si="2"/>
        <v>16.483107</v>
      </c>
      <c r="K26" s="22">
        <f t="shared" si="2"/>
        <v>0</v>
      </c>
      <c r="L26" s="22">
        <f t="shared" si="2"/>
        <v>8.8222196166651674</v>
      </c>
      <c r="M26" s="22">
        <f t="shared" si="2"/>
        <v>0.20184000000000002</v>
      </c>
      <c r="N26" s="22">
        <f t="shared" si="2"/>
        <v>3.9759000000000002</v>
      </c>
      <c r="O26" s="22">
        <f t="shared" si="2"/>
        <v>8.2918830000000003</v>
      </c>
      <c r="P26" s="22">
        <f t="shared" si="2"/>
        <v>2.4245160000000001</v>
      </c>
      <c r="Q26" s="22">
        <f t="shared" si="2"/>
        <v>1.0288272000000001</v>
      </c>
      <c r="R26" s="22">
        <f t="shared" si="2"/>
        <v>0.17487</v>
      </c>
      <c r="S26" s="1" t="s">
        <v>314</v>
      </c>
      <c r="T26" s="96">
        <f t="shared" si="3"/>
        <v>13</v>
      </c>
      <c r="V26" s="5" t="s">
        <v>83</v>
      </c>
      <c r="W26" s="1">
        <v>65.099999999999994</v>
      </c>
      <c r="X26" s="98" t="s">
        <v>96</v>
      </c>
      <c r="Y26" s="1" t="s">
        <v>103</v>
      </c>
      <c r="Z26" s="1">
        <v>96.1</v>
      </c>
      <c r="AA26" s="22">
        <v>52.69</v>
      </c>
      <c r="AB26" s="22">
        <v>1.099</v>
      </c>
      <c r="AC26" s="22">
        <v>14.4</v>
      </c>
      <c r="AD26" s="22">
        <v>0</v>
      </c>
      <c r="AE26" s="22">
        <v>10.06</v>
      </c>
      <c r="AF26" s="22">
        <v>0.23200000000000001</v>
      </c>
      <c r="AG26" s="22">
        <v>4.57</v>
      </c>
      <c r="AH26" s="22">
        <v>7.2</v>
      </c>
      <c r="AI26" s="22">
        <v>2.61</v>
      </c>
      <c r="AJ26" s="22">
        <v>1.181</v>
      </c>
      <c r="AK26" s="22">
        <v>0.20100000000000001</v>
      </c>
      <c r="AL26" s="22">
        <v>9.9000000000000005E-2</v>
      </c>
      <c r="AM26" s="22">
        <v>0.13300000000000001</v>
      </c>
      <c r="AO26" s="22">
        <v>94.47499999999998</v>
      </c>
      <c r="AP26" s="3">
        <v>95.594677999999988</v>
      </c>
      <c r="AQ26" s="1"/>
      <c r="AR26" s="4" t="s">
        <v>311</v>
      </c>
      <c r="AS26" s="1" t="s">
        <v>253</v>
      </c>
      <c r="AT26" s="1" t="s">
        <v>253</v>
      </c>
      <c r="AU26" s="16">
        <v>13.333216915757349</v>
      </c>
      <c r="AV26" s="13">
        <v>22564.044917535979</v>
      </c>
      <c r="AW26" s="13">
        <v>27395.422035045518</v>
      </c>
      <c r="AX26" s="13">
        <v>77378.606860045038</v>
      </c>
      <c r="AY26" s="13">
        <v>244587.4713544847</v>
      </c>
      <c r="AZ26" s="13">
        <v>54086.964893143435</v>
      </c>
      <c r="BA26" s="16">
        <v>59.89</v>
      </c>
      <c r="BB26" s="16">
        <v>32.834778018412322</v>
      </c>
      <c r="BC26" s="13">
        <v>7173.7391459150604</v>
      </c>
      <c r="BD26" s="104">
        <v>373.64064130487333</v>
      </c>
      <c r="BE26" s="16">
        <v>12.320033061630587</v>
      </c>
      <c r="BF26" s="13">
        <v>1602.5515002503575</v>
      </c>
      <c r="BG26" s="16">
        <v>30.148582488962361</v>
      </c>
      <c r="BH26" s="16" t="s">
        <v>80</v>
      </c>
      <c r="BI26" s="16">
        <v>88.787457457671508</v>
      </c>
      <c r="BJ26" s="16">
        <v>125.62020690055735</v>
      </c>
      <c r="BK26" s="16">
        <v>19.282743116673927</v>
      </c>
      <c r="BL26" s="16">
        <v>182.69484137912022</v>
      </c>
      <c r="BM26" s="16">
        <v>186.98108524727644</v>
      </c>
      <c r="BN26" s="16">
        <v>21.499242865834066</v>
      </c>
      <c r="BO26" s="16">
        <v>71.322854786918285</v>
      </c>
      <c r="BP26" s="16">
        <v>3.1521535929862821</v>
      </c>
      <c r="BQ26" s="16">
        <v>0.55828170968992397</v>
      </c>
      <c r="BR26" s="16">
        <v>142.97296688597919</v>
      </c>
      <c r="BS26" s="16">
        <v>2.0045883933434845</v>
      </c>
      <c r="BT26" s="16">
        <v>6.7973786102764606</v>
      </c>
      <c r="BU26" s="16">
        <v>17.610423458142602</v>
      </c>
      <c r="BV26" s="16">
        <v>2.4600192938238203</v>
      </c>
      <c r="BW26" s="16">
        <v>9.4882163663204508</v>
      </c>
      <c r="BX26" s="16">
        <v>2.9874828653064442</v>
      </c>
      <c r="BY26" s="16">
        <v>1.0980887768679293</v>
      </c>
      <c r="BZ26" s="16">
        <v>3.6302778987628481</v>
      </c>
      <c r="CA26" s="16">
        <v>0.51646189449340252</v>
      </c>
      <c r="CB26" s="16">
        <v>4.0140997100603251</v>
      </c>
      <c r="CC26" s="16">
        <v>0.66647414091697765</v>
      </c>
      <c r="CD26" s="16">
        <v>3.4523894039315288</v>
      </c>
      <c r="CE26" s="16">
        <v>0.22047053047382464</v>
      </c>
      <c r="CF26" s="16">
        <v>2.2297312216344851</v>
      </c>
      <c r="CG26" s="16">
        <v>0.64668274979967855</v>
      </c>
      <c r="CH26" s="16">
        <v>1.7190778375071609</v>
      </c>
      <c r="CI26" s="16">
        <v>0.12137555658499249</v>
      </c>
      <c r="CJ26" s="16">
        <v>6.6166224371156996</v>
      </c>
      <c r="CK26" s="16">
        <v>2.5009347099552728</v>
      </c>
      <c r="CL26" s="16">
        <v>0.78091650613256469</v>
      </c>
      <c r="CM26" s="16">
        <v>1.0103964466731499</v>
      </c>
      <c r="CP26" s="1">
        <v>78</v>
      </c>
      <c r="CQ26" s="1" t="s">
        <v>96</v>
      </c>
      <c r="CR26" s="1" t="s">
        <v>309</v>
      </c>
      <c r="CS26" s="1">
        <v>109</v>
      </c>
      <c r="CT26" s="22">
        <v>46.13</v>
      </c>
      <c r="CV26" s="22">
        <v>34.97</v>
      </c>
      <c r="CX26" s="22">
        <v>0.61909475389183832</v>
      </c>
      <c r="DA26" s="22">
        <v>17.93</v>
      </c>
      <c r="DB26" s="22">
        <v>1.36</v>
      </c>
      <c r="DC26" s="22">
        <v>1.2E-2</v>
      </c>
      <c r="DN26" s="16"/>
      <c r="DO26" s="16"/>
      <c r="DP26" s="16"/>
      <c r="DQ26" s="16"/>
      <c r="DR26" s="16"/>
      <c r="DS26" s="16"/>
      <c r="DT26" s="16"/>
      <c r="DU26" s="16"/>
      <c r="DV26" s="16"/>
      <c r="DW26" s="13">
        <v>13</v>
      </c>
      <c r="DX26" s="16">
        <v>16.863075477884827</v>
      </c>
      <c r="DY26" s="16">
        <v>17.644674291413878</v>
      </c>
      <c r="DZ26" s="16">
        <v>0.8793061457986342</v>
      </c>
      <c r="EA26" s="16">
        <v>0.1206938542013658</v>
      </c>
      <c r="EB26" s="16">
        <v>6.7393031790040983E-2</v>
      </c>
      <c r="EC26" s="16">
        <v>9.8695074317214776E-2</v>
      </c>
      <c r="ED26" s="16">
        <v>0.15038682897499098</v>
      </c>
      <c r="EE26" s="13">
        <v>1014.690920501058</v>
      </c>
      <c r="EF26" s="13">
        <v>1035.1157151232283</v>
      </c>
      <c r="EG26" s="13">
        <v>1019.5734002543878</v>
      </c>
      <c r="EH26" s="13">
        <v>1046.6816101662212</v>
      </c>
    </row>
    <row r="27" spans="2:138" x14ac:dyDescent="0.25">
      <c r="B27" s="4" t="s">
        <v>311</v>
      </c>
      <c r="C27" s="5" t="s">
        <v>83</v>
      </c>
      <c r="D27" s="1">
        <v>66.11</v>
      </c>
      <c r="E27" s="98" t="s">
        <v>96</v>
      </c>
      <c r="F27" s="1" t="s">
        <v>103</v>
      </c>
      <c r="G27" s="1">
        <v>97.11</v>
      </c>
      <c r="H27" s="22">
        <f t="shared" si="2"/>
        <v>50.404059000000004</v>
      </c>
      <c r="I27" s="22">
        <f t="shared" si="2"/>
        <v>0.83433000000000002</v>
      </c>
      <c r="J27" s="22">
        <f t="shared" si="2"/>
        <v>16.423250999999997</v>
      </c>
      <c r="K27" s="22">
        <f t="shared" si="2"/>
        <v>2.001E-2</v>
      </c>
      <c r="L27" s="22">
        <f t="shared" si="2"/>
        <v>9.1302323405021149</v>
      </c>
      <c r="M27" s="22">
        <f t="shared" si="2"/>
        <v>0.20531999999999997</v>
      </c>
      <c r="N27" s="22">
        <f t="shared" si="2"/>
        <v>4.0367999999999995</v>
      </c>
      <c r="O27" s="22">
        <f t="shared" si="2"/>
        <v>8.4797159999999998</v>
      </c>
      <c r="P27" s="22">
        <f t="shared" si="2"/>
        <v>2.911629</v>
      </c>
      <c r="Q27" s="22">
        <f t="shared" si="2"/>
        <v>0.86983469999999996</v>
      </c>
      <c r="R27" s="22">
        <f t="shared" si="2"/>
        <v>0.12180000000000001</v>
      </c>
      <c r="S27" s="1" t="s">
        <v>314</v>
      </c>
      <c r="T27" s="96">
        <f t="shared" si="3"/>
        <v>13</v>
      </c>
      <c r="V27" s="5" t="s">
        <v>83</v>
      </c>
      <c r="W27" s="1">
        <v>66.099999999999994</v>
      </c>
      <c r="X27" s="98" t="s">
        <v>96</v>
      </c>
      <c r="Y27" s="1" t="s">
        <v>103</v>
      </c>
      <c r="Z27" s="1">
        <v>97.1</v>
      </c>
      <c r="AA27" s="22">
        <v>51.84</v>
      </c>
      <c r="AB27" s="22">
        <v>0.95899999999999996</v>
      </c>
      <c r="AC27" s="22">
        <v>14.43</v>
      </c>
      <c r="AD27" s="22">
        <v>2.3E-2</v>
      </c>
      <c r="AE27" s="22">
        <v>10.4</v>
      </c>
      <c r="AF27" s="22">
        <v>0.23599999999999999</v>
      </c>
      <c r="AG27" s="22">
        <v>4.6399999999999997</v>
      </c>
      <c r="AH27" s="22">
        <v>7.49</v>
      </c>
      <c r="AI27" s="22">
        <v>3.14</v>
      </c>
      <c r="AJ27" s="22">
        <v>0.995</v>
      </c>
      <c r="AK27" s="22">
        <v>0.14000000000000001</v>
      </c>
      <c r="AL27" s="22">
        <v>8.2000000000000003E-2</v>
      </c>
      <c r="AM27" s="22">
        <v>0.129</v>
      </c>
      <c r="AO27" s="22">
        <v>94.504000000000019</v>
      </c>
      <c r="AP27" s="3">
        <v>95.66152000000001</v>
      </c>
      <c r="AQ27" s="1"/>
      <c r="AR27" s="4" t="s">
        <v>311</v>
      </c>
      <c r="AS27" s="1" t="s">
        <v>253</v>
      </c>
      <c r="AT27" s="1" t="s">
        <v>253</v>
      </c>
      <c r="AU27" s="16" t="s">
        <v>80</v>
      </c>
      <c r="AV27" s="13" t="s">
        <v>80</v>
      </c>
      <c r="AW27" s="13" t="s">
        <v>80</v>
      </c>
      <c r="AX27" s="13" t="s">
        <v>80</v>
      </c>
      <c r="AY27" s="13" t="s">
        <v>80</v>
      </c>
      <c r="AZ27" s="13" t="s">
        <v>80</v>
      </c>
      <c r="BA27" s="16" t="s">
        <v>80</v>
      </c>
      <c r="BB27" s="16" t="s">
        <v>80</v>
      </c>
      <c r="BC27" s="13" t="s">
        <v>80</v>
      </c>
      <c r="BD27" s="104" t="s">
        <v>80</v>
      </c>
      <c r="BE27" s="16" t="s">
        <v>80</v>
      </c>
      <c r="BF27" s="13" t="s">
        <v>80</v>
      </c>
      <c r="BG27" s="16" t="s">
        <v>80</v>
      </c>
      <c r="BH27" s="16" t="s">
        <v>80</v>
      </c>
      <c r="BI27" s="16" t="s">
        <v>80</v>
      </c>
      <c r="BJ27" s="16" t="s">
        <v>80</v>
      </c>
      <c r="BK27" s="16" t="s">
        <v>80</v>
      </c>
      <c r="BL27" s="16" t="s">
        <v>80</v>
      </c>
      <c r="BM27" s="16" t="s">
        <v>80</v>
      </c>
      <c r="BN27" s="16" t="s">
        <v>80</v>
      </c>
      <c r="BO27" s="16" t="s">
        <v>80</v>
      </c>
      <c r="BP27" s="16" t="s">
        <v>80</v>
      </c>
      <c r="BQ27" s="16" t="s">
        <v>80</v>
      </c>
      <c r="BR27" s="16" t="s">
        <v>80</v>
      </c>
      <c r="BS27" s="16"/>
      <c r="BT27" s="16" t="s">
        <v>80</v>
      </c>
      <c r="BU27" s="16" t="s">
        <v>80</v>
      </c>
      <c r="BV27" s="16" t="s">
        <v>80</v>
      </c>
      <c r="BW27" s="16" t="s">
        <v>80</v>
      </c>
      <c r="BX27" s="16" t="s">
        <v>80</v>
      </c>
      <c r="BY27" s="16" t="s">
        <v>80</v>
      </c>
      <c r="BZ27" s="16" t="s">
        <v>80</v>
      </c>
      <c r="CA27" s="16" t="s">
        <v>80</v>
      </c>
      <c r="CB27" s="16" t="s">
        <v>80</v>
      </c>
      <c r="CC27" s="16" t="s">
        <v>80</v>
      </c>
      <c r="CD27" s="16" t="s">
        <v>80</v>
      </c>
      <c r="CE27" s="16" t="s">
        <v>80</v>
      </c>
      <c r="CF27" s="16" t="s">
        <v>80</v>
      </c>
      <c r="CG27" s="16" t="s">
        <v>80</v>
      </c>
      <c r="CH27" s="16" t="s">
        <v>80</v>
      </c>
      <c r="CI27" s="16" t="s">
        <v>80</v>
      </c>
      <c r="CJ27" s="16" t="s">
        <v>80</v>
      </c>
      <c r="CK27" s="16" t="s">
        <v>80</v>
      </c>
      <c r="CL27" s="16" t="s">
        <v>80</v>
      </c>
      <c r="CM27" s="16" t="s">
        <v>80</v>
      </c>
      <c r="CP27" s="1">
        <v>79</v>
      </c>
      <c r="CQ27" s="1" t="s">
        <v>96</v>
      </c>
      <c r="CR27" s="1" t="s">
        <v>309</v>
      </c>
      <c r="CS27" s="1">
        <v>110</v>
      </c>
      <c r="CT27" s="22">
        <v>46.89</v>
      </c>
      <c r="CV27" s="22">
        <v>34.21</v>
      </c>
      <c r="CX27" s="22">
        <v>0.72707639701250792</v>
      </c>
      <c r="DA27" s="22">
        <v>17.36</v>
      </c>
      <c r="DB27" s="22">
        <v>1.59</v>
      </c>
      <c r="DC27" s="22">
        <v>3.6999999999999998E-2</v>
      </c>
      <c r="DN27" s="16"/>
      <c r="DO27" s="16"/>
      <c r="DP27" s="16"/>
      <c r="DQ27" s="16"/>
      <c r="DR27" s="16"/>
      <c r="DS27" s="16"/>
      <c r="DT27" s="16"/>
      <c r="DU27" s="16"/>
      <c r="DV27" s="16"/>
      <c r="DW27" s="13">
        <v>13</v>
      </c>
      <c r="DX27" s="16">
        <v>16.894512783561421</v>
      </c>
      <c r="DY27" s="16">
        <v>17.576820913245047</v>
      </c>
      <c r="DZ27" s="16">
        <v>0.85782238992170345</v>
      </c>
      <c r="EA27" s="16">
        <v>0.14217761007829655</v>
      </c>
      <c r="EB27" s="16">
        <v>7.1668943795158674E-2</v>
      </c>
      <c r="EC27" s="16">
        <v>0.10242745602690632</v>
      </c>
      <c r="ED27" s="16">
        <v>0.15728086962114912</v>
      </c>
      <c r="EE27" s="13">
        <v>1019.5422041066248</v>
      </c>
      <c r="EF27" s="13">
        <v>1038.5419973748108</v>
      </c>
      <c r="EG27" s="13">
        <v>1024.4357973249175</v>
      </c>
      <c r="EH27" s="13">
        <v>1049.4634865443768</v>
      </c>
    </row>
    <row r="28" spans="2:138" x14ac:dyDescent="0.25">
      <c r="B28" s="4" t="s">
        <v>311</v>
      </c>
      <c r="C28" s="5" t="s">
        <v>83</v>
      </c>
      <c r="D28" s="1">
        <v>66.209999999999994</v>
      </c>
      <c r="E28" s="98" t="s">
        <v>96</v>
      </c>
      <c r="F28" s="1" t="s">
        <v>103</v>
      </c>
      <c r="G28" s="1">
        <v>97.21</v>
      </c>
      <c r="H28" s="22">
        <f t="shared" si="2"/>
        <v>50.116155999999997</v>
      </c>
      <c r="I28" s="22">
        <f t="shared" si="2"/>
        <v>0.99415999999999993</v>
      </c>
      <c r="J28" s="22">
        <f t="shared" si="2"/>
        <v>16.494284</v>
      </c>
      <c r="K28" s="22">
        <f t="shared" si="2"/>
        <v>0</v>
      </c>
      <c r="L28" s="22">
        <f t="shared" si="2"/>
        <v>9.4185399982003055</v>
      </c>
      <c r="M28" s="22">
        <f t="shared" si="2"/>
        <v>0.19092000000000001</v>
      </c>
      <c r="N28" s="22">
        <f t="shared" si="2"/>
        <v>4.1709999999999994</v>
      </c>
      <c r="O28" s="22">
        <f t="shared" si="2"/>
        <v>8.3853439999999999</v>
      </c>
      <c r="P28" s="22">
        <f t="shared" si="2"/>
        <v>2.9520359999999997</v>
      </c>
      <c r="Q28" s="22">
        <f t="shared" si="2"/>
        <v>1.0011947999999999</v>
      </c>
      <c r="R28" s="22">
        <f t="shared" si="2"/>
        <v>0.15737999999999999</v>
      </c>
      <c r="S28" s="1" t="s">
        <v>314</v>
      </c>
      <c r="T28" s="96">
        <f t="shared" si="3"/>
        <v>14</v>
      </c>
      <c r="V28" s="5" t="s">
        <v>83</v>
      </c>
      <c r="W28" s="1">
        <v>66.199999999999989</v>
      </c>
      <c r="X28" s="98" t="s">
        <v>96</v>
      </c>
      <c r="Y28" s="1" t="s">
        <v>103</v>
      </c>
      <c r="Z28" s="1">
        <v>97.199999999999989</v>
      </c>
      <c r="AA28" s="22">
        <v>51.71</v>
      </c>
      <c r="AB28" s="22">
        <v>1.1559999999999999</v>
      </c>
      <c r="AC28" s="22">
        <v>14.39</v>
      </c>
      <c r="AD28" s="22">
        <v>0</v>
      </c>
      <c r="AE28" s="22">
        <v>10.85</v>
      </c>
      <c r="AF28" s="22">
        <v>0.222</v>
      </c>
      <c r="AG28" s="22">
        <v>4.8499999999999996</v>
      </c>
      <c r="AH28" s="22">
        <v>7.32</v>
      </c>
      <c r="AI28" s="22">
        <v>3.21</v>
      </c>
      <c r="AJ28" s="22">
        <v>1.159</v>
      </c>
      <c r="AK28" s="22">
        <v>0.183</v>
      </c>
      <c r="AL28" s="22">
        <v>0.114</v>
      </c>
      <c r="AM28" s="22">
        <v>0.125</v>
      </c>
      <c r="AO28" s="22">
        <v>95.289000000000001</v>
      </c>
      <c r="AP28" s="3">
        <v>96.496604999999988</v>
      </c>
      <c r="AQ28" s="1"/>
      <c r="AR28" s="4" t="s">
        <v>311</v>
      </c>
      <c r="AS28" s="1" t="s">
        <v>253</v>
      </c>
      <c r="AT28" s="1" t="s">
        <v>253</v>
      </c>
      <c r="AU28" s="16" t="s">
        <v>80</v>
      </c>
      <c r="AV28" s="13" t="s">
        <v>80</v>
      </c>
      <c r="AW28" s="13" t="s">
        <v>80</v>
      </c>
      <c r="AX28" s="13" t="s">
        <v>80</v>
      </c>
      <c r="AY28" s="13" t="s">
        <v>80</v>
      </c>
      <c r="AZ28" s="13" t="s">
        <v>80</v>
      </c>
      <c r="BA28" s="16" t="s">
        <v>80</v>
      </c>
      <c r="BB28" s="16" t="s">
        <v>80</v>
      </c>
      <c r="BC28" s="13" t="s">
        <v>80</v>
      </c>
      <c r="BD28" s="104" t="s">
        <v>80</v>
      </c>
      <c r="BE28" s="16" t="s">
        <v>80</v>
      </c>
      <c r="BF28" s="13" t="s">
        <v>80</v>
      </c>
      <c r="BG28" s="16" t="s">
        <v>80</v>
      </c>
      <c r="BH28" s="16" t="s">
        <v>80</v>
      </c>
      <c r="BI28" s="16" t="s">
        <v>80</v>
      </c>
      <c r="BJ28" s="16" t="s">
        <v>80</v>
      </c>
      <c r="BK28" s="16" t="s">
        <v>80</v>
      </c>
      <c r="BL28" s="16" t="s">
        <v>80</v>
      </c>
      <c r="BM28" s="16" t="s">
        <v>80</v>
      </c>
      <c r="BN28" s="16" t="s">
        <v>80</v>
      </c>
      <c r="BO28" s="16" t="s">
        <v>80</v>
      </c>
      <c r="BP28" s="16" t="s">
        <v>80</v>
      </c>
      <c r="BQ28" s="16" t="s">
        <v>80</v>
      </c>
      <c r="BR28" s="16" t="s">
        <v>80</v>
      </c>
      <c r="BS28" s="16"/>
      <c r="BT28" s="16" t="s">
        <v>80</v>
      </c>
      <c r="BU28" s="16" t="s">
        <v>80</v>
      </c>
      <c r="BV28" s="16" t="s">
        <v>80</v>
      </c>
      <c r="BW28" s="16" t="s">
        <v>80</v>
      </c>
      <c r="BX28" s="16" t="s">
        <v>80</v>
      </c>
      <c r="BY28" s="16" t="s">
        <v>80</v>
      </c>
      <c r="BZ28" s="16" t="s">
        <v>80</v>
      </c>
      <c r="CA28" s="16" t="s">
        <v>80</v>
      </c>
      <c r="CB28" s="16" t="s">
        <v>80</v>
      </c>
      <c r="CC28" s="16" t="s">
        <v>80</v>
      </c>
      <c r="CD28" s="16" t="s">
        <v>80</v>
      </c>
      <c r="CE28" s="16" t="s">
        <v>80</v>
      </c>
      <c r="CF28" s="16" t="s">
        <v>80</v>
      </c>
      <c r="CG28" s="16" t="s">
        <v>80</v>
      </c>
      <c r="CH28" s="16" t="s">
        <v>80</v>
      </c>
      <c r="CI28" s="16" t="s">
        <v>80</v>
      </c>
      <c r="CJ28" s="16" t="s">
        <v>80</v>
      </c>
      <c r="CK28" s="16" t="s">
        <v>80</v>
      </c>
      <c r="CL28" s="16" t="s">
        <v>80</v>
      </c>
      <c r="CM28" s="16" t="s">
        <v>80</v>
      </c>
      <c r="CP28" s="1">
        <v>79</v>
      </c>
      <c r="CQ28" s="1" t="s">
        <v>96</v>
      </c>
      <c r="CR28" s="1" t="s">
        <v>309</v>
      </c>
      <c r="CS28" s="1">
        <v>110</v>
      </c>
      <c r="CT28" s="22">
        <v>46.89</v>
      </c>
      <c r="CV28" s="22">
        <v>34.21</v>
      </c>
      <c r="CX28" s="22">
        <v>0.72707639701250792</v>
      </c>
      <c r="DA28" s="22">
        <v>17.36</v>
      </c>
      <c r="DB28" s="22">
        <v>1.59</v>
      </c>
      <c r="DC28" s="22">
        <v>3.6999999999999998E-2</v>
      </c>
      <c r="DN28" s="16"/>
      <c r="DO28" s="16"/>
      <c r="DP28" s="16"/>
      <c r="DQ28" s="16"/>
      <c r="DR28" s="16"/>
      <c r="DS28" s="16"/>
      <c r="DT28" s="16"/>
      <c r="DU28" s="16"/>
      <c r="DV28" s="16"/>
      <c r="DW28" s="13">
        <v>14</v>
      </c>
      <c r="DX28" s="16">
        <v>16.954446041658166</v>
      </c>
      <c r="DY28" s="16">
        <v>17.56934992176522</v>
      </c>
      <c r="DZ28" s="16">
        <v>0.85782238992170345</v>
      </c>
      <c r="EA28" s="16">
        <v>0.14217761007829655</v>
      </c>
      <c r="EB28" s="16">
        <v>6.8496724034618664E-2</v>
      </c>
      <c r="EC28" s="16">
        <v>0.10090959109241351</v>
      </c>
      <c r="ED28" s="16">
        <v>0.16205188145344315</v>
      </c>
      <c r="EE28" s="13">
        <v>1019.2132088970071</v>
      </c>
      <c r="EF28" s="13">
        <v>1038.7296945918088</v>
      </c>
      <c r="EG28" s="13">
        <v>1021.7126915983484</v>
      </c>
      <c r="EH28" s="13">
        <v>1048.6579028091382</v>
      </c>
    </row>
    <row r="29" spans="2:138" x14ac:dyDescent="0.25">
      <c r="B29" s="4" t="s">
        <v>311</v>
      </c>
      <c r="C29" s="5" t="s">
        <v>83</v>
      </c>
      <c r="D29" s="1">
        <v>66.31</v>
      </c>
      <c r="E29" s="98" t="s">
        <v>96</v>
      </c>
      <c r="F29" s="1" t="s">
        <v>103</v>
      </c>
      <c r="G29" s="1">
        <v>97.31</v>
      </c>
      <c r="H29" s="22">
        <f t="shared" si="2"/>
        <v>50.082158999999997</v>
      </c>
      <c r="I29" s="22">
        <f t="shared" si="2"/>
        <v>1.0909800000000001</v>
      </c>
      <c r="J29" s="22">
        <f t="shared" si="2"/>
        <v>16.492851000000002</v>
      </c>
      <c r="K29" s="22">
        <f t="shared" si="2"/>
        <v>1.044E-2</v>
      </c>
      <c r="L29" s="22">
        <f t="shared" si="2"/>
        <v>8.8518323405021135</v>
      </c>
      <c r="M29" s="22">
        <f t="shared" si="2"/>
        <v>0.16269</v>
      </c>
      <c r="N29" s="22">
        <f t="shared" si="2"/>
        <v>4.1325000000000003</v>
      </c>
      <c r="O29" s="22">
        <f t="shared" si="2"/>
        <v>8.444916000000001</v>
      </c>
      <c r="P29" s="22">
        <f t="shared" si="2"/>
        <v>2.9551289999999999</v>
      </c>
      <c r="Q29" s="22">
        <f t="shared" si="2"/>
        <v>0.86026469999999999</v>
      </c>
      <c r="R29" s="22">
        <f t="shared" si="2"/>
        <v>0.22620000000000001</v>
      </c>
      <c r="S29" s="1" t="s">
        <v>314</v>
      </c>
      <c r="T29" s="96">
        <f t="shared" si="3"/>
        <v>13</v>
      </c>
      <c r="V29" s="5" t="s">
        <v>83</v>
      </c>
      <c r="W29" s="1">
        <v>66.299999999999983</v>
      </c>
      <c r="X29" s="98" t="s">
        <v>96</v>
      </c>
      <c r="Y29" s="1" t="s">
        <v>103</v>
      </c>
      <c r="Z29" s="1">
        <v>97.299999999999983</v>
      </c>
      <c r="AA29" s="22">
        <v>51.47</v>
      </c>
      <c r="AB29" s="22">
        <v>1.254</v>
      </c>
      <c r="AC29" s="22">
        <v>14.51</v>
      </c>
      <c r="AD29" s="22">
        <v>1.2E-2</v>
      </c>
      <c r="AE29" s="22">
        <v>10.08</v>
      </c>
      <c r="AF29" s="22">
        <v>0.187</v>
      </c>
      <c r="AG29" s="22">
        <v>4.75</v>
      </c>
      <c r="AH29" s="22">
        <v>7.45</v>
      </c>
      <c r="AI29" s="22">
        <v>3.19</v>
      </c>
      <c r="AJ29" s="22">
        <v>0.98399999999999999</v>
      </c>
      <c r="AK29" s="22">
        <v>0.26</v>
      </c>
      <c r="AL29" s="22">
        <v>9.8000000000000004E-2</v>
      </c>
      <c r="AM29" s="22">
        <v>0.125</v>
      </c>
      <c r="AO29" s="22">
        <v>94.36999999999999</v>
      </c>
      <c r="AP29" s="3">
        <v>95.491903999999991</v>
      </c>
      <c r="AQ29" s="1"/>
      <c r="AR29" s="4" t="s">
        <v>311</v>
      </c>
      <c r="AS29" s="1" t="s">
        <v>253</v>
      </c>
      <c r="AT29" s="1" t="s">
        <v>253</v>
      </c>
      <c r="AU29" s="16" t="s">
        <v>80</v>
      </c>
      <c r="AV29" s="13" t="s">
        <v>80</v>
      </c>
      <c r="AW29" s="13" t="s">
        <v>80</v>
      </c>
      <c r="AX29" s="13" t="s">
        <v>80</v>
      </c>
      <c r="AY29" s="13" t="s">
        <v>80</v>
      </c>
      <c r="AZ29" s="13" t="s">
        <v>80</v>
      </c>
      <c r="BA29" s="16" t="s">
        <v>80</v>
      </c>
      <c r="BB29" s="16" t="s">
        <v>80</v>
      </c>
      <c r="BC29" s="13" t="s">
        <v>80</v>
      </c>
      <c r="BD29" s="104" t="s">
        <v>80</v>
      </c>
      <c r="BE29" s="16" t="s">
        <v>80</v>
      </c>
      <c r="BF29" s="13" t="s">
        <v>80</v>
      </c>
      <c r="BG29" s="16" t="s">
        <v>80</v>
      </c>
      <c r="BH29" s="16" t="s">
        <v>80</v>
      </c>
      <c r="BI29" s="16" t="s">
        <v>80</v>
      </c>
      <c r="BJ29" s="16" t="s">
        <v>80</v>
      </c>
      <c r="BK29" s="16" t="s">
        <v>80</v>
      </c>
      <c r="BL29" s="16" t="s">
        <v>80</v>
      </c>
      <c r="BM29" s="16" t="s">
        <v>80</v>
      </c>
      <c r="BN29" s="16" t="s">
        <v>80</v>
      </c>
      <c r="BO29" s="16" t="s">
        <v>80</v>
      </c>
      <c r="BP29" s="16" t="s">
        <v>80</v>
      </c>
      <c r="BQ29" s="16" t="s">
        <v>80</v>
      </c>
      <c r="BR29" s="16" t="s">
        <v>80</v>
      </c>
      <c r="BS29" s="16"/>
      <c r="BT29" s="16" t="s">
        <v>80</v>
      </c>
      <c r="BU29" s="16" t="s">
        <v>80</v>
      </c>
      <c r="BV29" s="16" t="s">
        <v>80</v>
      </c>
      <c r="BW29" s="16" t="s">
        <v>80</v>
      </c>
      <c r="BX29" s="16" t="s">
        <v>80</v>
      </c>
      <c r="BY29" s="16" t="s">
        <v>80</v>
      </c>
      <c r="BZ29" s="16" t="s">
        <v>80</v>
      </c>
      <c r="CA29" s="16" t="s">
        <v>80</v>
      </c>
      <c r="CB29" s="16" t="s">
        <v>80</v>
      </c>
      <c r="CC29" s="16" t="s">
        <v>80</v>
      </c>
      <c r="CD29" s="16" t="s">
        <v>80</v>
      </c>
      <c r="CE29" s="16" t="s">
        <v>80</v>
      </c>
      <c r="CF29" s="16" t="s">
        <v>80</v>
      </c>
      <c r="CG29" s="16" t="s">
        <v>80</v>
      </c>
      <c r="CH29" s="16" t="s">
        <v>80</v>
      </c>
      <c r="CI29" s="16" t="s">
        <v>80</v>
      </c>
      <c r="CJ29" s="16" t="s">
        <v>80</v>
      </c>
      <c r="CK29" s="16" t="s">
        <v>80</v>
      </c>
      <c r="CL29" s="16" t="s">
        <v>80</v>
      </c>
      <c r="CM29" s="16" t="s">
        <v>80</v>
      </c>
      <c r="CP29" s="1">
        <v>79</v>
      </c>
      <c r="CQ29" s="1" t="s">
        <v>96</v>
      </c>
      <c r="CR29" s="1" t="s">
        <v>309</v>
      </c>
      <c r="CS29" s="1">
        <v>110</v>
      </c>
      <c r="CT29" s="22">
        <v>46.89</v>
      </c>
      <c r="CV29" s="22">
        <v>34.21</v>
      </c>
      <c r="CX29" s="22">
        <v>0.72707639701250792</v>
      </c>
      <c r="DA29" s="22">
        <v>17.36</v>
      </c>
      <c r="DB29" s="22">
        <v>1.59</v>
      </c>
      <c r="DC29" s="22">
        <v>3.6999999999999998E-2</v>
      </c>
      <c r="DN29" s="16"/>
      <c r="DO29" s="16"/>
      <c r="DP29" s="16"/>
      <c r="DQ29" s="16"/>
      <c r="DR29" s="16"/>
      <c r="DS29" s="16"/>
      <c r="DT29" s="16"/>
      <c r="DU29" s="16"/>
      <c r="DV29" s="16"/>
      <c r="DW29" s="13">
        <v>13</v>
      </c>
      <c r="DX29" s="16">
        <v>16.947562879023032</v>
      </c>
      <c r="DY29" s="16">
        <v>17.675337808883807</v>
      </c>
      <c r="DZ29" s="16">
        <v>0.85782238992170345</v>
      </c>
      <c r="EA29" s="16">
        <v>0.14217761007829655</v>
      </c>
      <c r="EB29" s="16">
        <v>7.1065093246235375E-2</v>
      </c>
      <c r="EC29" s="16">
        <v>0.101580203697578</v>
      </c>
      <c r="ED29" s="16">
        <v>0.15946875081785838</v>
      </c>
      <c r="EE29" s="13">
        <v>1020.9301098207162</v>
      </c>
      <c r="EF29" s="13">
        <v>1039.8124723655119</v>
      </c>
      <c r="EG29" s="13">
        <v>1025.5917690641322</v>
      </c>
      <c r="EH29" s="13">
        <v>1050.4429918804303</v>
      </c>
    </row>
    <row r="30" spans="2:138" x14ac:dyDescent="0.25">
      <c r="B30" s="4" t="s">
        <v>311</v>
      </c>
      <c r="C30" s="5" t="s">
        <v>83</v>
      </c>
      <c r="D30" s="1">
        <v>66.41</v>
      </c>
      <c r="E30" s="98" t="s">
        <v>96</v>
      </c>
      <c r="F30" s="1" t="s">
        <v>103</v>
      </c>
      <c r="G30" s="1">
        <v>97.41</v>
      </c>
      <c r="H30" s="22">
        <f t="shared" si="2"/>
        <v>51.479100000000003</v>
      </c>
      <c r="I30" s="22">
        <f t="shared" si="2"/>
        <v>0.98280000000000012</v>
      </c>
      <c r="J30" s="22">
        <f t="shared" si="2"/>
        <v>16.4529</v>
      </c>
      <c r="K30" s="22">
        <f t="shared" si="2"/>
        <v>2.2500000000000003E-2</v>
      </c>
      <c r="L30" s="22">
        <f t="shared" si="2"/>
        <v>8.858436875731126</v>
      </c>
      <c r="M30" s="22">
        <f t="shared" si="2"/>
        <v>0.17910000000000001</v>
      </c>
      <c r="N30" s="22">
        <f t="shared" si="2"/>
        <v>3.9420000000000002</v>
      </c>
      <c r="O30" s="22">
        <f t="shared" si="2"/>
        <v>8.0694000000000017</v>
      </c>
      <c r="P30" s="22">
        <f t="shared" si="2"/>
        <v>2.8341000000000003</v>
      </c>
      <c r="Q30" s="22">
        <f t="shared" si="2"/>
        <v>1.1193300000000002</v>
      </c>
      <c r="R30" s="22">
        <f t="shared" si="2"/>
        <v>9.2699999999999991E-2</v>
      </c>
      <c r="S30" s="1" t="s">
        <v>314</v>
      </c>
      <c r="T30" s="96">
        <f t="shared" si="3"/>
        <v>10</v>
      </c>
      <c r="V30" s="5" t="s">
        <v>83</v>
      </c>
      <c r="W30" s="1">
        <v>66.399999999999977</v>
      </c>
      <c r="X30" s="98" t="s">
        <v>96</v>
      </c>
      <c r="Y30" s="1" t="s">
        <v>103</v>
      </c>
      <c r="Z30" s="1">
        <v>97.399999999999977</v>
      </c>
      <c r="AA30" s="22">
        <v>52.51</v>
      </c>
      <c r="AB30" s="22">
        <v>1.0920000000000001</v>
      </c>
      <c r="AC30" s="22">
        <v>14.86</v>
      </c>
      <c r="AD30" s="22">
        <v>2.5000000000000001E-2</v>
      </c>
      <c r="AE30" s="22">
        <v>9.77</v>
      </c>
      <c r="AF30" s="22">
        <v>0.19900000000000001</v>
      </c>
      <c r="AG30" s="22">
        <v>4.38</v>
      </c>
      <c r="AH30" s="22">
        <v>7.23</v>
      </c>
      <c r="AI30" s="22">
        <v>2.99</v>
      </c>
      <c r="AJ30" s="22">
        <v>1.24</v>
      </c>
      <c r="AK30" s="22">
        <v>0.10299999999999999</v>
      </c>
      <c r="AL30" s="22">
        <v>9.1999999999999998E-2</v>
      </c>
      <c r="AM30" s="22">
        <v>0.11600000000000001</v>
      </c>
      <c r="AO30" s="22">
        <v>94.606999999999971</v>
      </c>
      <c r="AP30" s="3">
        <v>95.694400999999985</v>
      </c>
      <c r="AQ30" s="1"/>
      <c r="AR30" s="4" t="s">
        <v>311</v>
      </c>
      <c r="AS30" s="1" t="s">
        <v>253</v>
      </c>
      <c r="AT30" s="1" t="s">
        <v>253</v>
      </c>
      <c r="AU30" s="16" t="s">
        <v>80</v>
      </c>
      <c r="AV30" s="13" t="s">
        <v>80</v>
      </c>
      <c r="AW30" s="13" t="s">
        <v>80</v>
      </c>
      <c r="AX30" s="13" t="s">
        <v>80</v>
      </c>
      <c r="AY30" s="13" t="s">
        <v>80</v>
      </c>
      <c r="AZ30" s="13" t="s">
        <v>80</v>
      </c>
      <c r="BA30" s="16" t="s">
        <v>80</v>
      </c>
      <c r="BB30" s="16" t="s">
        <v>80</v>
      </c>
      <c r="BC30" s="13" t="s">
        <v>80</v>
      </c>
      <c r="BD30" s="104" t="s">
        <v>80</v>
      </c>
      <c r="BE30" s="16" t="s">
        <v>80</v>
      </c>
      <c r="BF30" s="13" t="s">
        <v>80</v>
      </c>
      <c r="BG30" s="16" t="s">
        <v>80</v>
      </c>
      <c r="BH30" s="16" t="s">
        <v>80</v>
      </c>
      <c r="BI30" s="16" t="s">
        <v>80</v>
      </c>
      <c r="BJ30" s="16" t="s">
        <v>80</v>
      </c>
      <c r="BK30" s="16" t="s">
        <v>80</v>
      </c>
      <c r="BL30" s="16" t="s">
        <v>80</v>
      </c>
      <c r="BM30" s="16" t="s">
        <v>80</v>
      </c>
      <c r="BN30" s="16" t="s">
        <v>80</v>
      </c>
      <c r="BO30" s="16" t="s">
        <v>80</v>
      </c>
      <c r="BP30" s="16" t="s">
        <v>80</v>
      </c>
      <c r="BQ30" s="16" t="s">
        <v>80</v>
      </c>
      <c r="BR30" s="16" t="s">
        <v>80</v>
      </c>
      <c r="BS30" s="16"/>
      <c r="BT30" s="16" t="s">
        <v>80</v>
      </c>
      <c r="BU30" s="16" t="s">
        <v>80</v>
      </c>
      <c r="BV30" s="16" t="s">
        <v>80</v>
      </c>
      <c r="BW30" s="16" t="s">
        <v>80</v>
      </c>
      <c r="BX30" s="16" t="s">
        <v>80</v>
      </c>
      <c r="BY30" s="16" t="s">
        <v>80</v>
      </c>
      <c r="BZ30" s="16" t="s">
        <v>80</v>
      </c>
      <c r="CA30" s="16" t="s">
        <v>80</v>
      </c>
      <c r="CB30" s="16" t="s">
        <v>80</v>
      </c>
      <c r="CC30" s="16" t="s">
        <v>80</v>
      </c>
      <c r="CD30" s="16" t="s">
        <v>80</v>
      </c>
      <c r="CE30" s="16" t="s">
        <v>80</v>
      </c>
      <c r="CF30" s="16" t="s">
        <v>80</v>
      </c>
      <c r="CG30" s="16" t="s">
        <v>80</v>
      </c>
      <c r="CH30" s="16" t="s">
        <v>80</v>
      </c>
      <c r="CI30" s="16" t="s">
        <v>80</v>
      </c>
      <c r="CJ30" s="16" t="s">
        <v>80</v>
      </c>
      <c r="CK30" s="16" t="s">
        <v>80</v>
      </c>
      <c r="CL30" s="16" t="s">
        <v>80</v>
      </c>
      <c r="CM30" s="16" t="s">
        <v>80</v>
      </c>
      <c r="CP30" s="1">
        <v>79</v>
      </c>
      <c r="CQ30" s="1" t="s">
        <v>96</v>
      </c>
      <c r="CR30" s="1" t="s">
        <v>309</v>
      </c>
      <c r="CS30" s="1">
        <v>110</v>
      </c>
      <c r="CT30" s="22">
        <v>46.89</v>
      </c>
      <c r="CV30" s="22">
        <v>34.21</v>
      </c>
      <c r="CX30" s="22">
        <v>0.72707639701250792</v>
      </c>
      <c r="DA30" s="22">
        <v>17.36</v>
      </c>
      <c r="DB30" s="22">
        <v>1.59</v>
      </c>
      <c r="DC30" s="22">
        <v>3.6999999999999998E-2</v>
      </c>
      <c r="DN30" s="16"/>
      <c r="DO30" s="16"/>
      <c r="DP30" s="16"/>
      <c r="DQ30" s="16"/>
      <c r="DR30" s="16"/>
      <c r="DS30" s="16"/>
      <c r="DT30" s="16"/>
      <c r="DU30" s="16"/>
      <c r="DV30" s="16"/>
      <c r="DW30" s="13">
        <v>10</v>
      </c>
      <c r="DX30" s="16">
        <v>16.831811294103147</v>
      </c>
      <c r="DY30" s="16">
        <v>17.49706037043968</v>
      </c>
      <c r="DZ30" s="16">
        <v>0.85782238992170345</v>
      </c>
      <c r="EA30" s="16">
        <v>0.14217761007829655</v>
      </c>
      <c r="EB30" s="16">
        <v>7.3862056695306572E-2</v>
      </c>
      <c r="EC30" s="16">
        <v>9.8223427044253409E-2</v>
      </c>
      <c r="ED30" s="16">
        <v>0.14956371328718773</v>
      </c>
      <c r="EE30" s="13">
        <v>1017.4249717228782</v>
      </c>
      <c r="EF30" s="13">
        <v>1032.3990921875666</v>
      </c>
      <c r="EG30" s="13">
        <v>1023.0036128294468</v>
      </c>
      <c r="EH30" s="13">
        <v>1043.0883431514781</v>
      </c>
    </row>
    <row r="31" spans="2:138" x14ac:dyDescent="0.25">
      <c r="B31" s="4" t="s">
        <v>311</v>
      </c>
      <c r="C31" s="5" t="s">
        <v>83</v>
      </c>
      <c r="D31" s="1">
        <v>66.510000000000005</v>
      </c>
      <c r="E31" s="98" t="s">
        <v>96</v>
      </c>
      <c r="F31" s="1" t="s">
        <v>103</v>
      </c>
      <c r="G31" s="1">
        <v>97.51</v>
      </c>
      <c r="H31" s="22">
        <f t="shared" si="2"/>
        <v>50.016975000000002</v>
      </c>
      <c r="I31" s="22">
        <f t="shared" si="2"/>
        <v>0.97749999999999992</v>
      </c>
      <c r="J31" s="22">
        <f t="shared" si="2"/>
        <v>16.474274999999999</v>
      </c>
      <c r="K31" s="22">
        <f t="shared" si="2"/>
        <v>0</v>
      </c>
      <c r="L31" s="22">
        <f t="shared" si="2"/>
        <v>9.1707022406190948</v>
      </c>
      <c r="M31" s="22">
        <f t="shared" si="2"/>
        <v>0.21249999999999999</v>
      </c>
      <c r="N31" s="22">
        <f t="shared" si="2"/>
        <v>4.1734999999999998</v>
      </c>
      <c r="O31" s="22">
        <f t="shared" si="2"/>
        <v>8.4014000000000006</v>
      </c>
      <c r="P31" s="22">
        <f t="shared" si="2"/>
        <v>2.888725</v>
      </c>
      <c r="Q31" s="22">
        <f t="shared" si="2"/>
        <v>0.88531749999999998</v>
      </c>
      <c r="R31" s="22">
        <f t="shared" si="2"/>
        <v>0.10454999999999999</v>
      </c>
      <c r="S31" s="1" t="s">
        <v>314</v>
      </c>
      <c r="T31" s="96">
        <f t="shared" si="3"/>
        <v>15</v>
      </c>
      <c r="V31" s="5" t="s">
        <v>83</v>
      </c>
      <c r="W31" s="1">
        <v>66.499999999999972</v>
      </c>
      <c r="X31" s="98" t="s">
        <v>96</v>
      </c>
      <c r="Y31" s="1" t="s">
        <v>103</v>
      </c>
      <c r="Z31" s="1">
        <v>97.499999999999972</v>
      </c>
      <c r="AA31" s="22">
        <v>51.81</v>
      </c>
      <c r="AB31" s="22">
        <v>1.1499999999999999</v>
      </c>
      <c r="AC31" s="22">
        <v>14.25</v>
      </c>
      <c r="AD31" s="22">
        <v>0</v>
      </c>
      <c r="AE31" s="22">
        <v>10.68</v>
      </c>
      <c r="AF31" s="22">
        <v>0.25</v>
      </c>
      <c r="AG31" s="22">
        <v>4.91</v>
      </c>
      <c r="AH31" s="22">
        <v>7.28</v>
      </c>
      <c r="AI31" s="22">
        <v>3.16</v>
      </c>
      <c r="AJ31" s="22">
        <v>1.036</v>
      </c>
      <c r="AK31" s="22">
        <v>0.123</v>
      </c>
      <c r="AL31" s="22">
        <v>0.105</v>
      </c>
      <c r="AM31" s="22">
        <v>0.14199999999999999</v>
      </c>
      <c r="AO31" s="22">
        <v>94.896000000000015</v>
      </c>
      <c r="AP31" s="3">
        <v>96.08468400000001</v>
      </c>
      <c r="AQ31" s="1"/>
      <c r="AR31" s="4" t="s">
        <v>311</v>
      </c>
      <c r="AS31" s="1" t="s">
        <v>253</v>
      </c>
      <c r="AT31" s="1" t="s">
        <v>253</v>
      </c>
      <c r="AU31" s="16" t="s">
        <v>80</v>
      </c>
      <c r="AV31" s="13" t="s">
        <v>80</v>
      </c>
      <c r="AW31" s="13" t="s">
        <v>80</v>
      </c>
      <c r="AX31" s="13" t="s">
        <v>80</v>
      </c>
      <c r="AY31" s="13" t="s">
        <v>80</v>
      </c>
      <c r="AZ31" s="13" t="s">
        <v>80</v>
      </c>
      <c r="BA31" s="16" t="s">
        <v>80</v>
      </c>
      <c r="BB31" s="16" t="s">
        <v>80</v>
      </c>
      <c r="BC31" s="13" t="s">
        <v>80</v>
      </c>
      <c r="BD31" s="104" t="s">
        <v>80</v>
      </c>
      <c r="BE31" s="16" t="s">
        <v>80</v>
      </c>
      <c r="BF31" s="13" t="s">
        <v>80</v>
      </c>
      <c r="BG31" s="16" t="s">
        <v>80</v>
      </c>
      <c r="BH31" s="16" t="s">
        <v>80</v>
      </c>
      <c r="BI31" s="16" t="s">
        <v>80</v>
      </c>
      <c r="BJ31" s="16" t="s">
        <v>80</v>
      </c>
      <c r="BK31" s="16" t="s">
        <v>80</v>
      </c>
      <c r="BL31" s="16" t="s">
        <v>80</v>
      </c>
      <c r="BM31" s="16" t="s">
        <v>80</v>
      </c>
      <c r="BN31" s="16" t="s">
        <v>80</v>
      </c>
      <c r="BO31" s="16" t="s">
        <v>80</v>
      </c>
      <c r="BP31" s="16" t="s">
        <v>80</v>
      </c>
      <c r="BQ31" s="16" t="s">
        <v>80</v>
      </c>
      <c r="BR31" s="16" t="s">
        <v>80</v>
      </c>
      <c r="BS31" s="16"/>
      <c r="BT31" s="16" t="s">
        <v>80</v>
      </c>
      <c r="BU31" s="16" t="s">
        <v>80</v>
      </c>
      <c r="BV31" s="16" t="s">
        <v>80</v>
      </c>
      <c r="BW31" s="16" t="s">
        <v>80</v>
      </c>
      <c r="BX31" s="16" t="s">
        <v>80</v>
      </c>
      <c r="BY31" s="16" t="s">
        <v>80</v>
      </c>
      <c r="BZ31" s="16" t="s">
        <v>80</v>
      </c>
      <c r="CA31" s="16" t="s">
        <v>80</v>
      </c>
      <c r="CB31" s="16" t="s">
        <v>80</v>
      </c>
      <c r="CC31" s="16" t="s">
        <v>80</v>
      </c>
      <c r="CD31" s="16" t="s">
        <v>80</v>
      </c>
      <c r="CE31" s="16" t="s">
        <v>80</v>
      </c>
      <c r="CF31" s="16" t="s">
        <v>80</v>
      </c>
      <c r="CG31" s="16" t="s">
        <v>80</v>
      </c>
      <c r="CH31" s="16" t="s">
        <v>80</v>
      </c>
      <c r="CI31" s="16" t="s">
        <v>80</v>
      </c>
      <c r="CJ31" s="16" t="s">
        <v>80</v>
      </c>
      <c r="CK31" s="16" t="s">
        <v>80</v>
      </c>
      <c r="CL31" s="16" t="s">
        <v>80</v>
      </c>
      <c r="CM31" s="16" t="s">
        <v>80</v>
      </c>
      <c r="CP31" s="1">
        <v>79</v>
      </c>
      <c r="CQ31" s="1" t="s">
        <v>96</v>
      </c>
      <c r="CR31" s="1" t="s">
        <v>309</v>
      </c>
      <c r="CS31" s="1">
        <v>110</v>
      </c>
      <c r="CT31" s="22">
        <v>46.89</v>
      </c>
      <c r="CV31" s="22">
        <v>34.21</v>
      </c>
      <c r="CX31" s="22">
        <v>0.72707639701250792</v>
      </c>
      <c r="DA31" s="22">
        <v>17.36</v>
      </c>
      <c r="DB31" s="22">
        <v>1.59</v>
      </c>
      <c r="DC31" s="22">
        <v>3.6999999999999998E-2</v>
      </c>
      <c r="DN31" s="16"/>
      <c r="DO31" s="16"/>
      <c r="DP31" s="16"/>
      <c r="DQ31" s="16"/>
      <c r="DR31" s="16"/>
      <c r="DS31" s="16"/>
      <c r="DT31" s="16"/>
      <c r="DU31" s="16"/>
      <c r="DV31" s="16"/>
      <c r="DW31" s="13">
        <v>15</v>
      </c>
      <c r="DX31" s="16">
        <v>16.969164051600291</v>
      </c>
      <c r="DY31" s="16">
        <v>17.656284738577721</v>
      </c>
      <c r="DZ31" s="16">
        <v>0.85782238992170345</v>
      </c>
      <c r="EA31" s="16">
        <v>0.14217761007829655</v>
      </c>
      <c r="EB31" s="16">
        <v>6.8394797034466603E-2</v>
      </c>
      <c r="EC31" s="16">
        <v>0.10339793080853278</v>
      </c>
      <c r="ED31" s="16">
        <v>0.16046901754760312</v>
      </c>
      <c r="EE31" s="13">
        <v>1018.4957171539437</v>
      </c>
      <c r="EF31" s="13">
        <v>1039.5567509043235</v>
      </c>
      <c r="EG31" s="13">
        <v>1021.1124328461555</v>
      </c>
      <c r="EH31" s="13">
        <v>1049.9261821033438</v>
      </c>
    </row>
    <row r="32" spans="2:138" x14ac:dyDescent="0.25">
      <c r="B32" s="4" t="s">
        <v>327</v>
      </c>
      <c r="T32" s="14"/>
      <c r="V32" s="5" t="s">
        <v>83</v>
      </c>
      <c r="W32" s="1">
        <v>67.099999999999994</v>
      </c>
      <c r="X32" s="98" t="s">
        <v>96</v>
      </c>
      <c r="Y32" s="1" t="s">
        <v>103</v>
      </c>
      <c r="Z32" s="1">
        <v>98.1</v>
      </c>
      <c r="AA32" s="22">
        <v>58.87</v>
      </c>
      <c r="AB32" s="22">
        <v>1.349</v>
      </c>
      <c r="AC32" s="22">
        <v>14.96</v>
      </c>
      <c r="AD32" s="22">
        <v>0</v>
      </c>
      <c r="AE32" s="22">
        <v>9.39</v>
      </c>
      <c r="AF32" s="22">
        <v>0.252</v>
      </c>
      <c r="AG32" s="22">
        <v>2.19</v>
      </c>
      <c r="AH32" s="22">
        <v>5.16</v>
      </c>
      <c r="AI32" s="22">
        <v>3.12</v>
      </c>
      <c r="AJ32" s="22">
        <v>1.6</v>
      </c>
      <c r="AK32" s="22">
        <v>0.31</v>
      </c>
      <c r="AL32" s="22">
        <v>6.2E-2</v>
      </c>
      <c r="AM32" s="22">
        <v>0.16800000000000001</v>
      </c>
      <c r="AO32" s="22">
        <v>97.430999999999997</v>
      </c>
      <c r="AP32" s="3">
        <v>98.476106999999999</v>
      </c>
      <c r="AQ32" s="1"/>
      <c r="AR32" s="4" t="s">
        <v>308</v>
      </c>
      <c r="AS32" s="1" t="s">
        <v>325</v>
      </c>
      <c r="AU32" s="16">
        <v>15.75286649373029</v>
      </c>
      <c r="AV32" s="13">
        <v>19845.062340110722</v>
      </c>
      <c r="AW32" s="13">
        <v>15116.896301047744</v>
      </c>
      <c r="AX32" s="13">
        <v>79363.559448988468</v>
      </c>
      <c r="AY32" s="13">
        <v>272478.78302403953</v>
      </c>
      <c r="AZ32" s="13">
        <v>41033.009830599316</v>
      </c>
      <c r="BA32" s="16">
        <v>64.03</v>
      </c>
      <c r="BB32" s="16">
        <v>23.190385225216087</v>
      </c>
      <c r="BC32" s="13">
        <v>8981.6810661319541</v>
      </c>
      <c r="BD32" s="104">
        <v>290.34300156309962</v>
      </c>
      <c r="BE32" s="16" t="s">
        <v>80</v>
      </c>
      <c r="BF32" s="13">
        <v>1970.0854384182378</v>
      </c>
      <c r="BG32" s="16">
        <v>26.436324883308977</v>
      </c>
      <c r="BH32" s="16" t="s">
        <v>80</v>
      </c>
      <c r="BI32" s="16">
        <v>82.474826451426821</v>
      </c>
      <c r="BJ32" s="16">
        <v>182.77555502694639</v>
      </c>
      <c r="BK32" s="16">
        <v>34.723942111065888</v>
      </c>
      <c r="BL32" s="16">
        <v>174.46506332703512</v>
      </c>
      <c r="BM32" s="16">
        <v>164.40195309304551</v>
      </c>
      <c r="BN32" s="16">
        <v>38.662404410496769</v>
      </c>
      <c r="BO32" s="16">
        <v>134.98058168356232</v>
      </c>
      <c r="BP32" s="16">
        <v>4.8322257027577313</v>
      </c>
      <c r="BQ32" s="16">
        <v>1.3744006919327205</v>
      </c>
      <c r="BR32" s="16">
        <v>228.05049336520105</v>
      </c>
      <c r="BS32" s="16">
        <v>1.6895059313036922</v>
      </c>
      <c r="BT32" s="16">
        <v>15.52473107930124</v>
      </c>
      <c r="BU32" s="16">
        <v>35.894371413437334</v>
      </c>
      <c r="BV32" s="16">
        <v>4.1405070904414085</v>
      </c>
      <c r="BW32" s="16">
        <v>20.116896850869793</v>
      </c>
      <c r="BX32" s="16">
        <v>4.9074888850753258</v>
      </c>
      <c r="BY32" s="16">
        <v>2.3825805435379146</v>
      </c>
      <c r="BZ32" s="16">
        <v>7.2004300950379614</v>
      </c>
      <c r="CA32" s="16">
        <v>0.90055711747633049</v>
      </c>
      <c r="CB32" s="16">
        <v>6.4166525354291677</v>
      </c>
      <c r="CC32" s="16">
        <v>1.3785158788138763</v>
      </c>
      <c r="CD32" s="16">
        <v>5.0747891014421054</v>
      </c>
      <c r="CE32" s="16">
        <v>0.70612978496925061</v>
      </c>
      <c r="CF32" s="16">
        <v>5.2028764409299599</v>
      </c>
      <c r="CG32" s="16">
        <v>0.65396279349456266</v>
      </c>
      <c r="CH32" s="16">
        <v>4.4195276028474941</v>
      </c>
      <c r="CI32" s="16">
        <v>0.36257113919445921</v>
      </c>
      <c r="CJ32" s="16">
        <v>12.063698227251175</v>
      </c>
      <c r="CK32" s="16">
        <v>5.0504338039496215</v>
      </c>
      <c r="CL32" s="16">
        <v>1.7518688532872149</v>
      </c>
      <c r="CM32" s="16">
        <v>1.2145508834086864</v>
      </c>
      <c r="DN32" s="16"/>
      <c r="DO32" s="16"/>
      <c r="DP32" s="16"/>
      <c r="DQ32" s="16"/>
      <c r="DR32" s="16"/>
      <c r="DS32" s="16"/>
      <c r="DT32" s="16"/>
      <c r="DU32" s="16"/>
      <c r="DV32" s="16"/>
      <c r="DW32" s="16"/>
      <c r="DX32" s="16"/>
      <c r="DY32" s="16"/>
      <c r="DZ32" s="16"/>
      <c r="EA32" s="16"/>
      <c r="EB32" s="16"/>
      <c r="EC32" s="16"/>
      <c r="ED32" s="16"/>
      <c r="EE32" s="15"/>
      <c r="EF32" s="15"/>
      <c r="EG32" s="15"/>
      <c r="EH32" s="15"/>
    </row>
    <row r="33" spans="2:138" x14ac:dyDescent="0.25">
      <c r="B33" s="4" t="s">
        <v>327</v>
      </c>
      <c r="T33" s="14"/>
      <c r="V33" s="5" t="s">
        <v>83</v>
      </c>
      <c r="W33" s="1">
        <v>68.099999999999994</v>
      </c>
      <c r="X33" s="98" t="s">
        <v>96</v>
      </c>
      <c r="Y33" s="1" t="s">
        <v>103</v>
      </c>
      <c r="Z33" s="1">
        <v>99.1</v>
      </c>
      <c r="AA33" s="22">
        <v>59.12</v>
      </c>
      <c r="AB33" s="22">
        <v>1.0569999999999999</v>
      </c>
      <c r="AC33" s="22">
        <v>15.05</v>
      </c>
      <c r="AD33" s="22">
        <v>8.0000000000000002E-3</v>
      </c>
      <c r="AE33" s="22">
        <v>9.9</v>
      </c>
      <c r="AF33" s="22">
        <v>0.20300000000000001</v>
      </c>
      <c r="AG33" s="22">
        <v>2.37</v>
      </c>
      <c r="AH33" s="22">
        <v>5.64</v>
      </c>
      <c r="AI33" s="22">
        <v>3.51</v>
      </c>
      <c r="AJ33" s="22">
        <v>1.51</v>
      </c>
      <c r="AK33" s="22">
        <v>0.34399999999999997</v>
      </c>
      <c r="AL33" s="22">
        <v>4.4999999999999998E-2</v>
      </c>
      <c r="AM33" s="22">
        <v>0.17199999999999999</v>
      </c>
      <c r="AO33" s="22">
        <v>98.929000000000016</v>
      </c>
      <c r="AP33" s="3">
        <v>100.03086999999999</v>
      </c>
      <c r="AQ33" s="1"/>
      <c r="AR33" s="4" t="s">
        <v>308</v>
      </c>
      <c r="AS33" s="1" t="s">
        <v>325</v>
      </c>
      <c r="AU33" s="16">
        <v>10.503228623971705</v>
      </c>
      <c r="AV33" s="13">
        <v>18572.223191252753</v>
      </c>
      <c r="AW33" s="13">
        <v>14783.171559354447</v>
      </c>
      <c r="AX33" s="13">
        <v>74346.158501247424</v>
      </c>
      <c r="AY33" s="13">
        <v>273240.41951751005</v>
      </c>
      <c r="AZ33" s="13">
        <v>39868.563870885169</v>
      </c>
      <c r="BA33" s="16">
        <v>64.03</v>
      </c>
      <c r="BB33" s="16">
        <v>21.854801028458905</v>
      </c>
      <c r="BC33" s="13">
        <v>7934.7573636017169</v>
      </c>
      <c r="BD33" s="104">
        <v>223.88223689942114</v>
      </c>
      <c r="BE33" s="16">
        <v>3.54531474917371</v>
      </c>
      <c r="BF33" s="13">
        <v>1798.0299247301302</v>
      </c>
      <c r="BG33" s="16">
        <v>25.251949850207581</v>
      </c>
      <c r="BH33" s="16" t="s">
        <v>80</v>
      </c>
      <c r="BI33" s="16">
        <v>79.735667848509706</v>
      </c>
      <c r="BJ33" s="16">
        <v>161.34906520378851</v>
      </c>
      <c r="BK33" s="16">
        <v>35.851478330048622</v>
      </c>
      <c r="BL33" s="16">
        <v>163.61688007412701</v>
      </c>
      <c r="BM33" s="16">
        <v>159.72636386933851</v>
      </c>
      <c r="BN33" s="16">
        <v>38.067156621394631</v>
      </c>
      <c r="BO33" s="16">
        <v>137.46554821189599</v>
      </c>
      <c r="BP33" s="16">
        <v>6.0880906965116584</v>
      </c>
      <c r="BQ33" s="16">
        <v>1.5096057049132536</v>
      </c>
      <c r="BR33" s="16">
        <v>234.06424534899728</v>
      </c>
      <c r="BS33" s="16">
        <v>1.7027120496271504</v>
      </c>
      <c r="BT33" s="16">
        <v>15.121457121412707</v>
      </c>
      <c r="BU33" s="16">
        <v>35.821713280894762</v>
      </c>
      <c r="BV33" s="16">
        <v>4.4670694691869244</v>
      </c>
      <c r="BW33" s="16">
        <v>21.647705621878981</v>
      </c>
      <c r="BX33" s="16">
        <v>5.0013773860387829</v>
      </c>
      <c r="BY33" s="16">
        <v>1.8562034653725263</v>
      </c>
      <c r="BZ33" s="16">
        <v>5.5006083013050571</v>
      </c>
      <c r="CA33" s="16">
        <v>1.2959376788588863</v>
      </c>
      <c r="CB33" s="16">
        <v>6.1212254603606073</v>
      </c>
      <c r="CC33" s="16">
        <v>1.6459922565530527</v>
      </c>
      <c r="CD33" s="16">
        <v>4.4057869565801058</v>
      </c>
      <c r="CE33" s="16">
        <v>0.66967162504181343</v>
      </c>
      <c r="CF33" s="16">
        <v>4.0624110896764787</v>
      </c>
      <c r="CG33" s="16">
        <v>0.72328807890450086</v>
      </c>
      <c r="CH33" s="16">
        <v>3.3838241461859297</v>
      </c>
      <c r="CI33" s="16">
        <v>0.42378388302683612</v>
      </c>
      <c r="CJ33" s="16">
        <v>11.105967288500263</v>
      </c>
      <c r="CK33" s="16">
        <v>5.3554559249741622</v>
      </c>
      <c r="CL33" s="16">
        <v>1.8037169055900599</v>
      </c>
      <c r="CM33" s="16">
        <v>1.0723891490174193</v>
      </c>
      <c r="DN33" s="16"/>
      <c r="DO33" s="16"/>
      <c r="DP33" s="16"/>
      <c r="DQ33" s="16"/>
      <c r="DR33" s="16"/>
      <c r="DS33" s="16"/>
      <c r="DT33" s="16"/>
      <c r="DU33" s="16"/>
      <c r="DV33" s="16"/>
      <c r="DW33" s="16"/>
      <c r="DX33" s="16"/>
      <c r="DY33" s="16"/>
      <c r="DZ33" s="16"/>
      <c r="EA33" s="16"/>
      <c r="EB33" s="16"/>
      <c r="EC33" s="16"/>
      <c r="ED33" s="16"/>
      <c r="EE33" s="15"/>
      <c r="EF33" s="15"/>
      <c r="EG33" s="15"/>
      <c r="EH33" s="15"/>
    </row>
    <row r="34" spans="2:138" x14ac:dyDescent="0.25">
      <c r="B34" s="4" t="s">
        <v>327</v>
      </c>
      <c r="T34" s="14"/>
      <c r="V34" s="5" t="s">
        <v>83</v>
      </c>
      <c r="W34" s="1">
        <v>69.099999999999994</v>
      </c>
      <c r="X34" s="98" t="s">
        <v>96</v>
      </c>
      <c r="Y34" s="1" t="s">
        <v>103</v>
      </c>
      <c r="Z34" s="1">
        <v>100.1</v>
      </c>
      <c r="AA34" s="22">
        <v>61.12</v>
      </c>
      <c r="AB34" s="22">
        <v>1.296</v>
      </c>
      <c r="AC34" s="22">
        <v>14.89</v>
      </c>
      <c r="AD34" s="22">
        <v>0</v>
      </c>
      <c r="AE34" s="22">
        <v>8.1999999999999993</v>
      </c>
      <c r="AF34" s="22">
        <v>0.20799999999999999</v>
      </c>
      <c r="AG34" s="22">
        <v>1.96</v>
      </c>
      <c r="AH34" s="22">
        <v>4.55</v>
      </c>
      <c r="AI34" s="22">
        <v>2.81</v>
      </c>
      <c r="AJ34" s="22">
        <v>1.69</v>
      </c>
      <c r="AK34" s="22">
        <v>0.28899999999999998</v>
      </c>
      <c r="AL34" s="22">
        <v>0.03</v>
      </c>
      <c r="AM34" s="22">
        <v>0.108</v>
      </c>
      <c r="AO34" s="22">
        <v>97.150999999999996</v>
      </c>
      <c r="AP34" s="3">
        <v>98.063659999999999</v>
      </c>
      <c r="AQ34" s="1"/>
      <c r="AR34" s="4" t="s">
        <v>308</v>
      </c>
      <c r="AS34" s="1" t="s">
        <v>325</v>
      </c>
      <c r="AU34" s="16" t="s">
        <v>80</v>
      </c>
      <c r="AV34" s="13" t="s">
        <v>80</v>
      </c>
      <c r="AW34" s="13" t="s">
        <v>80</v>
      </c>
      <c r="AX34" s="13" t="s">
        <v>80</v>
      </c>
      <c r="AY34" s="13" t="s">
        <v>80</v>
      </c>
      <c r="AZ34" s="13" t="s">
        <v>80</v>
      </c>
      <c r="BA34" s="16" t="s">
        <v>80</v>
      </c>
      <c r="BB34" s="16" t="s">
        <v>80</v>
      </c>
      <c r="BC34" s="13" t="s">
        <v>80</v>
      </c>
      <c r="BD34" s="104" t="s">
        <v>80</v>
      </c>
      <c r="BE34" s="16" t="s">
        <v>80</v>
      </c>
      <c r="BF34" s="13" t="s">
        <v>80</v>
      </c>
      <c r="BG34" s="16" t="s">
        <v>80</v>
      </c>
      <c r="BH34" s="16" t="s">
        <v>80</v>
      </c>
      <c r="BI34" s="16" t="s">
        <v>80</v>
      </c>
      <c r="BJ34" s="16" t="s">
        <v>80</v>
      </c>
      <c r="BK34" s="16" t="s">
        <v>80</v>
      </c>
      <c r="BL34" s="16" t="s">
        <v>80</v>
      </c>
      <c r="BM34" s="16" t="s">
        <v>80</v>
      </c>
      <c r="BN34" s="16" t="s">
        <v>80</v>
      </c>
      <c r="BO34" s="16" t="s">
        <v>80</v>
      </c>
      <c r="BP34" s="16" t="s">
        <v>80</v>
      </c>
      <c r="BQ34" s="16" t="s">
        <v>80</v>
      </c>
      <c r="BR34" s="16" t="s">
        <v>80</v>
      </c>
      <c r="BS34" s="16"/>
      <c r="BT34" s="16" t="s">
        <v>80</v>
      </c>
      <c r="BU34" s="16" t="s">
        <v>80</v>
      </c>
      <c r="BV34" s="16" t="s">
        <v>80</v>
      </c>
      <c r="BW34" s="16" t="s">
        <v>80</v>
      </c>
      <c r="BX34" s="16" t="s">
        <v>80</v>
      </c>
      <c r="BY34" s="16" t="s">
        <v>80</v>
      </c>
      <c r="BZ34" s="16" t="s">
        <v>80</v>
      </c>
      <c r="CA34" s="16" t="s">
        <v>80</v>
      </c>
      <c r="CB34" s="16" t="s">
        <v>80</v>
      </c>
      <c r="CC34" s="16" t="s">
        <v>80</v>
      </c>
      <c r="CD34" s="16" t="s">
        <v>80</v>
      </c>
      <c r="CE34" s="16" t="s">
        <v>80</v>
      </c>
      <c r="CF34" s="16" t="s">
        <v>80</v>
      </c>
      <c r="CG34" s="16" t="s">
        <v>80</v>
      </c>
      <c r="CH34" s="16" t="s">
        <v>80</v>
      </c>
      <c r="CI34" s="16" t="s">
        <v>80</v>
      </c>
      <c r="CJ34" s="16" t="s">
        <v>80</v>
      </c>
      <c r="CK34" s="16" t="s">
        <v>80</v>
      </c>
      <c r="CL34" s="16" t="s">
        <v>80</v>
      </c>
      <c r="CM34" s="16" t="s">
        <v>80</v>
      </c>
      <c r="DN34" s="16"/>
      <c r="DO34" s="16"/>
      <c r="DP34" s="16"/>
      <c r="DQ34" s="16"/>
      <c r="DR34" s="16"/>
      <c r="DS34" s="16"/>
      <c r="DT34" s="16"/>
      <c r="DU34" s="16"/>
      <c r="DV34" s="16"/>
      <c r="DW34" s="16"/>
      <c r="DX34" s="16"/>
      <c r="DY34" s="16"/>
      <c r="DZ34" s="16"/>
      <c r="EA34" s="16"/>
      <c r="EB34" s="16"/>
      <c r="EC34" s="16"/>
      <c r="ED34" s="16"/>
      <c r="EE34" s="15"/>
      <c r="EF34" s="15"/>
      <c r="EG34" s="15"/>
      <c r="EH34" s="15"/>
    </row>
    <row r="35" spans="2:138" x14ac:dyDescent="0.25">
      <c r="B35" s="4" t="s">
        <v>311</v>
      </c>
      <c r="C35" s="5" t="s">
        <v>83</v>
      </c>
      <c r="D35" s="1">
        <v>76.11</v>
      </c>
      <c r="E35" s="98" t="s">
        <v>96</v>
      </c>
      <c r="F35" s="1" t="s">
        <v>103</v>
      </c>
      <c r="G35" s="1">
        <v>107.11</v>
      </c>
      <c r="H35" s="22">
        <f t="shared" ref="H35:R41" si="4">(AA35+($DW35/100)*CT35)*((100-$DW35)/100)</f>
        <v>51.775948</v>
      </c>
      <c r="I35" s="22">
        <f t="shared" si="4"/>
        <v>1.0076487999999999</v>
      </c>
      <c r="J35" s="22">
        <f t="shared" si="4"/>
        <v>14.469720000000001</v>
      </c>
      <c r="K35" s="22">
        <f t="shared" si="4"/>
        <v>3.20784E-2</v>
      </c>
      <c r="L35" s="22">
        <f t="shared" si="4"/>
        <v>9.011963999999999</v>
      </c>
      <c r="M35" s="22">
        <f t="shared" si="4"/>
        <v>0.26920599999999995</v>
      </c>
      <c r="N35" s="22">
        <f t="shared" si="4"/>
        <v>4.3738799999999998</v>
      </c>
      <c r="O35" s="22">
        <f t="shared" si="4"/>
        <v>8.4228760000000005</v>
      </c>
      <c r="P35" s="22">
        <f t="shared" si="4"/>
        <v>2.0549035999999998</v>
      </c>
      <c r="Q35" s="22">
        <f t="shared" si="4"/>
        <v>1.107</v>
      </c>
      <c r="R35" s="22">
        <f t="shared" si="4"/>
        <v>0.17793999999999999</v>
      </c>
      <c r="S35" s="1" t="s">
        <v>312</v>
      </c>
      <c r="T35" s="96">
        <f t="shared" ref="T35:T41" si="5">DW35</f>
        <v>18</v>
      </c>
      <c r="V35" s="5" t="s">
        <v>83</v>
      </c>
      <c r="W35" s="1">
        <v>76.099999999999994</v>
      </c>
      <c r="X35" s="98" t="s">
        <v>96</v>
      </c>
      <c r="Y35" s="1" t="s">
        <v>103</v>
      </c>
      <c r="Z35" s="1">
        <v>107.1</v>
      </c>
      <c r="AA35" s="22">
        <v>53.74</v>
      </c>
      <c r="AB35" s="22">
        <v>1.123</v>
      </c>
      <c r="AC35" s="22">
        <v>17.16</v>
      </c>
      <c r="AD35" s="22">
        <v>3.3000000000000002E-2</v>
      </c>
      <c r="AE35" s="22">
        <v>9.66</v>
      </c>
      <c r="AF35" s="22">
        <v>0.28599999999999998</v>
      </c>
      <c r="AG35" s="22">
        <v>2.58</v>
      </c>
      <c r="AH35" s="22">
        <v>6.4</v>
      </c>
      <c r="AI35" s="22">
        <v>2.4500000000000002</v>
      </c>
      <c r="AJ35" s="22">
        <v>1.35</v>
      </c>
      <c r="AK35" s="22">
        <v>0.217</v>
      </c>
      <c r="AL35" s="22">
        <v>0.11</v>
      </c>
      <c r="AM35" s="22">
        <v>0.14499999999999999</v>
      </c>
      <c r="AO35" s="22">
        <v>95.253999999999991</v>
      </c>
      <c r="AP35" s="3">
        <v>96.329157999999993</v>
      </c>
      <c r="AQ35" s="1"/>
      <c r="AR35" s="4" t="s">
        <v>311</v>
      </c>
      <c r="AS35" s="1" t="s">
        <v>260</v>
      </c>
      <c r="AT35" s="1" t="s">
        <v>260</v>
      </c>
      <c r="AU35" s="16">
        <v>12.200275969353685</v>
      </c>
      <c r="AV35" s="13">
        <v>29740.693903771542</v>
      </c>
      <c r="AW35" s="13">
        <v>14217.865254834249</v>
      </c>
      <c r="AX35" s="13">
        <v>93127.285505388689</v>
      </c>
      <c r="AY35" s="13">
        <v>254874.08045889027</v>
      </c>
      <c r="AZ35" s="13">
        <v>40146.774644326732</v>
      </c>
      <c r="BA35" s="16">
        <v>60.14</v>
      </c>
      <c r="BB35" s="16">
        <v>17.944631225792499</v>
      </c>
      <c r="BC35" s="13">
        <v>6742.9940210489012</v>
      </c>
      <c r="BD35" s="104">
        <v>317.95029095977384</v>
      </c>
      <c r="BE35" s="16">
        <v>4.2034125538786657</v>
      </c>
      <c r="BF35" s="13">
        <v>1436.0181791526413</v>
      </c>
      <c r="BG35" s="16">
        <v>22.405152163178322</v>
      </c>
      <c r="BH35" s="16" t="s">
        <v>80</v>
      </c>
      <c r="BI35" s="16">
        <v>83.433523966564621</v>
      </c>
      <c r="BJ35" s="16">
        <v>130.35755487050918</v>
      </c>
      <c r="BK35" s="16">
        <v>25.370902275093883</v>
      </c>
      <c r="BL35" s="16">
        <v>229.45239077734152</v>
      </c>
      <c r="BM35" s="16">
        <v>220.12868779947067</v>
      </c>
      <c r="BN35" s="16">
        <v>29.241203795032142</v>
      </c>
      <c r="BO35" s="16">
        <v>97.079815314097431</v>
      </c>
      <c r="BP35" s="16">
        <v>3.718073617534726</v>
      </c>
      <c r="BQ35" s="16">
        <v>0.73463973416047634</v>
      </c>
      <c r="BR35" s="16">
        <v>127.9217875948198</v>
      </c>
      <c r="BS35" s="16">
        <v>1.3176970638122305</v>
      </c>
      <c r="BT35" s="16">
        <v>11.714125094322645</v>
      </c>
      <c r="BU35" s="16">
        <v>25.954952494917265</v>
      </c>
      <c r="BV35" s="16">
        <v>3.5740263785477016</v>
      </c>
      <c r="BW35" s="16">
        <v>14.816186485941012</v>
      </c>
      <c r="BX35" s="16">
        <v>4.2283383325323767</v>
      </c>
      <c r="BY35" s="16">
        <v>1.1075633342572713</v>
      </c>
      <c r="BZ35" s="16">
        <v>4.5996147143604089</v>
      </c>
      <c r="CA35" s="16">
        <v>0.73757011674088646</v>
      </c>
      <c r="CB35" s="16">
        <v>6.0830134792107664</v>
      </c>
      <c r="CC35" s="16">
        <v>1.3883670473872172</v>
      </c>
      <c r="CD35" s="16">
        <v>3.3302967815421676</v>
      </c>
      <c r="CE35" s="16">
        <v>0.4950729903742076</v>
      </c>
      <c r="CF35" s="16">
        <v>3.4432003609067241</v>
      </c>
      <c r="CG35" s="16">
        <v>0.66486248660155367</v>
      </c>
      <c r="CH35" s="16">
        <v>2.2393607506912803</v>
      </c>
      <c r="CI35" s="16">
        <v>0.22938681249403317</v>
      </c>
      <c r="CJ35" s="16">
        <v>7.2215350017524358</v>
      </c>
      <c r="CK35" s="16">
        <v>3.9099721220399983</v>
      </c>
      <c r="CL35" s="16">
        <v>1.3030231678026767</v>
      </c>
      <c r="CM35" s="16">
        <v>0.76102685502326928</v>
      </c>
      <c r="CP35" s="1">
        <v>75</v>
      </c>
      <c r="CQ35" s="1" t="s">
        <v>96</v>
      </c>
      <c r="CR35" s="1" t="s">
        <v>309</v>
      </c>
      <c r="CS35" s="1">
        <v>106</v>
      </c>
      <c r="CT35" s="22">
        <v>52.23</v>
      </c>
      <c r="CU35" s="22">
        <v>0.58799999999999997</v>
      </c>
      <c r="CV35" s="22">
        <v>2.7</v>
      </c>
      <c r="CW35" s="22">
        <v>3.4000000000000002E-2</v>
      </c>
      <c r="CX35" s="22">
        <v>7.39</v>
      </c>
      <c r="CY35" s="22">
        <v>0.23499999999999999</v>
      </c>
      <c r="CZ35" s="22">
        <v>15.3</v>
      </c>
      <c r="DA35" s="22">
        <v>21.51</v>
      </c>
      <c r="DB35" s="22">
        <v>0.311</v>
      </c>
      <c r="DC35" s="22">
        <v>0</v>
      </c>
      <c r="DN35" s="16">
        <v>0.78683536584492975</v>
      </c>
      <c r="DO35" s="16">
        <v>0.441188256106615</v>
      </c>
      <c r="DP35" s="16">
        <v>7.8299727409233855E-2</v>
      </c>
      <c r="DQ35" s="16">
        <v>2.2183719371485604E-2</v>
      </c>
      <c r="DR35" s="16">
        <v>0.27091389559767309</v>
      </c>
      <c r="DS35" s="16">
        <v>2.1000792995743716</v>
      </c>
      <c r="DT35" s="16">
        <v>1.1556620662500692</v>
      </c>
      <c r="DU35" s="16">
        <v>0.12900174562578656</v>
      </c>
      <c r="DV35" s="16">
        <v>0.23442310992930965</v>
      </c>
      <c r="DW35" s="13">
        <v>18</v>
      </c>
      <c r="DX35" s="16"/>
      <c r="DY35" s="16"/>
      <c r="DZ35" s="16"/>
      <c r="EA35" s="16"/>
      <c r="EB35" s="16"/>
      <c r="EC35" s="16"/>
      <c r="ED35" s="16"/>
      <c r="EE35" s="15"/>
      <c r="EF35" s="15"/>
      <c r="EG35" s="15"/>
      <c r="EH35" s="15"/>
    </row>
    <row r="36" spans="2:138" x14ac:dyDescent="0.25">
      <c r="B36" s="4" t="s">
        <v>311</v>
      </c>
      <c r="C36" s="5" t="s">
        <v>83</v>
      </c>
      <c r="D36" s="1">
        <v>76.209999999999994</v>
      </c>
      <c r="E36" s="98" t="s">
        <v>96</v>
      </c>
      <c r="F36" s="1" t="s">
        <v>103</v>
      </c>
      <c r="G36" s="1">
        <v>107.21</v>
      </c>
      <c r="H36" s="22">
        <f t="shared" si="4"/>
        <v>51.279311999999997</v>
      </c>
      <c r="I36" s="22">
        <f t="shared" si="4"/>
        <v>1.0030272</v>
      </c>
      <c r="J36" s="22">
        <f t="shared" si="4"/>
        <v>14.802479999999999</v>
      </c>
      <c r="K36" s="22">
        <f t="shared" si="4"/>
        <v>4.5696000000000001E-3</v>
      </c>
      <c r="L36" s="22">
        <f t="shared" si="4"/>
        <v>8.8472159999999995</v>
      </c>
      <c r="M36" s="22">
        <f t="shared" si="4"/>
        <v>0.26258400000000004</v>
      </c>
      <c r="N36" s="22">
        <f t="shared" si="4"/>
        <v>4.2823199999999995</v>
      </c>
      <c r="O36" s="22">
        <f t="shared" si="4"/>
        <v>8.964144000000001</v>
      </c>
      <c r="P36" s="22">
        <f t="shared" si="4"/>
        <v>2.5785983999999997</v>
      </c>
      <c r="Q36" s="22">
        <f t="shared" si="4"/>
        <v>0.66527999999999998</v>
      </c>
      <c r="R36" s="22">
        <f t="shared" si="4"/>
        <v>0.37379999999999997</v>
      </c>
      <c r="S36" s="1" t="s">
        <v>312</v>
      </c>
      <c r="T36" s="96">
        <f t="shared" si="5"/>
        <v>16</v>
      </c>
      <c r="V36" s="5" t="s">
        <v>83</v>
      </c>
      <c r="W36" s="1">
        <v>76.199999999999989</v>
      </c>
      <c r="X36" s="98" t="s">
        <v>96</v>
      </c>
      <c r="Y36" s="1" t="s">
        <v>103</v>
      </c>
      <c r="Z36" s="1">
        <v>107.19999999999999</v>
      </c>
      <c r="AA36" s="22">
        <v>52.69</v>
      </c>
      <c r="AB36" s="22">
        <v>1.1000000000000001</v>
      </c>
      <c r="AC36" s="22">
        <v>17.190000000000001</v>
      </c>
      <c r="AD36" s="22">
        <v>0</v>
      </c>
      <c r="AE36" s="22">
        <v>9.35</v>
      </c>
      <c r="AF36" s="22">
        <v>0.27500000000000002</v>
      </c>
      <c r="AG36" s="22">
        <v>2.65</v>
      </c>
      <c r="AH36" s="22">
        <v>7.23</v>
      </c>
      <c r="AI36" s="22">
        <v>3.02</v>
      </c>
      <c r="AJ36" s="22">
        <v>0.79200000000000004</v>
      </c>
      <c r="AK36" s="22">
        <v>0.44500000000000001</v>
      </c>
      <c r="AL36" s="22">
        <v>0.13400000000000001</v>
      </c>
      <c r="AM36" s="22">
        <v>0.13800000000000001</v>
      </c>
      <c r="AO36" s="22">
        <v>95.01400000000001</v>
      </c>
      <c r="AP36" s="3">
        <v>96.054654999999997</v>
      </c>
      <c r="AQ36" s="1"/>
      <c r="AR36" s="4" t="s">
        <v>311</v>
      </c>
      <c r="AS36" s="1" t="s">
        <v>260</v>
      </c>
      <c r="AT36" s="1" t="s">
        <v>260</v>
      </c>
      <c r="AU36" s="16" t="s">
        <v>80</v>
      </c>
      <c r="AV36" s="13" t="s">
        <v>80</v>
      </c>
      <c r="AW36" s="13" t="s">
        <v>80</v>
      </c>
      <c r="AX36" s="13" t="s">
        <v>80</v>
      </c>
      <c r="AY36" s="13" t="s">
        <v>80</v>
      </c>
      <c r="AZ36" s="13" t="s">
        <v>80</v>
      </c>
      <c r="BA36" s="16" t="s">
        <v>80</v>
      </c>
      <c r="BB36" s="16" t="s">
        <v>80</v>
      </c>
      <c r="BC36" s="13" t="s">
        <v>80</v>
      </c>
      <c r="BD36" s="104" t="s">
        <v>80</v>
      </c>
      <c r="BE36" s="16" t="s">
        <v>80</v>
      </c>
      <c r="BF36" s="13" t="s">
        <v>80</v>
      </c>
      <c r="BG36" s="16" t="s">
        <v>80</v>
      </c>
      <c r="BH36" s="16" t="s">
        <v>80</v>
      </c>
      <c r="BI36" s="16" t="s">
        <v>80</v>
      </c>
      <c r="BJ36" s="16" t="s">
        <v>80</v>
      </c>
      <c r="BK36" s="16" t="s">
        <v>80</v>
      </c>
      <c r="BL36" s="16" t="s">
        <v>80</v>
      </c>
      <c r="BM36" s="16" t="s">
        <v>80</v>
      </c>
      <c r="BN36" s="16" t="s">
        <v>80</v>
      </c>
      <c r="BO36" s="16" t="s">
        <v>80</v>
      </c>
      <c r="BP36" s="16" t="s">
        <v>80</v>
      </c>
      <c r="BQ36" s="16" t="s">
        <v>80</v>
      </c>
      <c r="BR36" s="16" t="s">
        <v>80</v>
      </c>
      <c r="BS36" s="16"/>
      <c r="BT36" s="16" t="s">
        <v>80</v>
      </c>
      <c r="BU36" s="16" t="s">
        <v>80</v>
      </c>
      <c r="BV36" s="16" t="s">
        <v>80</v>
      </c>
      <c r="BW36" s="16" t="s">
        <v>80</v>
      </c>
      <c r="BX36" s="16" t="s">
        <v>80</v>
      </c>
      <c r="BY36" s="16" t="s">
        <v>80</v>
      </c>
      <c r="BZ36" s="16" t="s">
        <v>80</v>
      </c>
      <c r="CA36" s="16" t="s">
        <v>80</v>
      </c>
      <c r="CB36" s="16" t="s">
        <v>80</v>
      </c>
      <c r="CC36" s="16" t="s">
        <v>80</v>
      </c>
      <c r="CD36" s="16" t="s">
        <v>80</v>
      </c>
      <c r="CE36" s="16" t="s">
        <v>80</v>
      </c>
      <c r="CF36" s="16" t="s">
        <v>80</v>
      </c>
      <c r="CG36" s="16" t="s">
        <v>80</v>
      </c>
      <c r="CH36" s="16" t="s">
        <v>80</v>
      </c>
      <c r="CI36" s="16" t="s">
        <v>80</v>
      </c>
      <c r="CJ36" s="16" t="s">
        <v>80</v>
      </c>
      <c r="CK36" s="16" t="s">
        <v>80</v>
      </c>
      <c r="CL36" s="16" t="s">
        <v>80</v>
      </c>
      <c r="CM36" s="16" t="s">
        <v>80</v>
      </c>
      <c r="CP36" s="1">
        <v>75</v>
      </c>
      <c r="CQ36" s="1" t="s">
        <v>96</v>
      </c>
      <c r="CR36" s="1" t="s">
        <v>309</v>
      </c>
      <c r="CS36" s="1">
        <v>106</v>
      </c>
      <c r="CT36" s="22">
        <v>52.23</v>
      </c>
      <c r="CU36" s="22">
        <v>0.58799999999999997</v>
      </c>
      <c r="CV36" s="22">
        <v>2.7</v>
      </c>
      <c r="CW36" s="22">
        <v>3.4000000000000002E-2</v>
      </c>
      <c r="CX36" s="22">
        <v>7.39</v>
      </c>
      <c r="CY36" s="22">
        <v>0.23499999999999999</v>
      </c>
      <c r="CZ36" s="22">
        <v>15.3</v>
      </c>
      <c r="DA36" s="22">
        <v>21.51</v>
      </c>
      <c r="DB36" s="22">
        <v>0.311</v>
      </c>
      <c r="DC36" s="22">
        <v>0</v>
      </c>
      <c r="DD36" s="11"/>
      <c r="DE36" s="4"/>
      <c r="DF36" s="4"/>
      <c r="DG36" s="4"/>
      <c r="DH36" s="4"/>
      <c r="DI36" s="4"/>
      <c r="DJ36" s="4"/>
      <c r="DK36" s="4"/>
      <c r="DL36" s="4"/>
      <c r="DM36" s="4"/>
      <c r="DN36" s="16">
        <v>0.78683536584492975</v>
      </c>
      <c r="DO36" s="16">
        <v>0.441188256106615</v>
      </c>
      <c r="DP36" s="16">
        <v>7.8299727409233855E-2</v>
      </c>
      <c r="DQ36" s="16">
        <v>2.2183719371485604E-2</v>
      </c>
      <c r="DR36" s="17">
        <v>0.27091389559767309</v>
      </c>
      <c r="DS36" s="17">
        <v>1.9789918724806661</v>
      </c>
      <c r="DT36" s="17">
        <v>1.1587927968805156</v>
      </c>
      <c r="DU36" s="17">
        <v>0.13689490056272063</v>
      </c>
      <c r="DV36" s="17">
        <v>0.23378976494070089</v>
      </c>
      <c r="DW36" s="13">
        <v>16</v>
      </c>
      <c r="DX36" s="16"/>
      <c r="DY36" s="16"/>
      <c r="DZ36" s="16"/>
      <c r="EA36" s="16"/>
      <c r="EB36" s="16"/>
      <c r="EC36" s="16"/>
      <c r="ED36" s="16"/>
      <c r="EE36" s="15"/>
      <c r="EF36" s="15"/>
      <c r="EG36" s="15"/>
      <c r="EH36" s="15"/>
    </row>
    <row r="37" spans="2:138" x14ac:dyDescent="0.25">
      <c r="B37" s="4" t="s">
        <v>311</v>
      </c>
      <c r="C37" s="5" t="s">
        <v>83</v>
      </c>
      <c r="D37" s="1">
        <v>87.11</v>
      </c>
      <c r="E37" s="98" t="s">
        <v>96</v>
      </c>
      <c r="F37" s="1" t="s">
        <v>103</v>
      </c>
      <c r="G37" s="1">
        <v>118.11</v>
      </c>
      <c r="H37" s="22">
        <f t="shared" si="4"/>
        <v>50.668200000000006</v>
      </c>
      <c r="I37" s="22">
        <f t="shared" si="4"/>
        <v>1.0944</v>
      </c>
      <c r="J37" s="22">
        <f t="shared" si="4"/>
        <v>16.6401</v>
      </c>
      <c r="K37" s="22">
        <f t="shared" si="4"/>
        <v>0</v>
      </c>
      <c r="L37" s="22">
        <f t="shared" si="4"/>
        <v>8.8571621524340856</v>
      </c>
      <c r="M37" s="22">
        <f t="shared" si="4"/>
        <v>0.24300000000000002</v>
      </c>
      <c r="N37" s="22">
        <f t="shared" si="4"/>
        <v>4.05</v>
      </c>
      <c r="O37" s="22">
        <f t="shared" si="4"/>
        <v>7.9910999999999994</v>
      </c>
      <c r="P37" s="22">
        <f t="shared" si="4"/>
        <v>3.1798800000000003</v>
      </c>
      <c r="Q37" s="22">
        <f t="shared" si="4"/>
        <v>0.9773099999999999</v>
      </c>
      <c r="R37" s="22">
        <f t="shared" si="4"/>
        <v>0.15570000000000001</v>
      </c>
      <c r="S37" s="1" t="s">
        <v>314</v>
      </c>
      <c r="T37" s="96">
        <f t="shared" si="5"/>
        <v>10</v>
      </c>
      <c r="V37" s="5" t="s">
        <v>83</v>
      </c>
      <c r="W37" s="1">
        <v>87.1</v>
      </c>
      <c r="X37" s="98" t="s">
        <v>96</v>
      </c>
      <c r="Y37" s="1" t="s">
        <v>103</v>
      </c>
      <c r="Z37" s="1">
        <v>118.1</v>
      </c>
      <c r="AA37" s="22">
        <v>51.76</v>
      </c>
      <c r="AB37" s="22">
        <v>1.216</v>
      </c>
      <c r="AC37" s="22">
        <v>14.92</v>
      </c>
      <c r="AD37" s="22">
        <v>0</v>
      </c>
      <c r="AE37" s="22">
        <v>9.7899999999999991</v>
      </c>
      <c r="AF37" s="22">
        <v>0.27</v>
      </c>
      <c r="AG37" s="22">
        <v>4.5</v>
      </c>
      <c r="AH37" s="22">
        <v>7.04</v>
      </c>
      <c r="AI37" s="22">
        <v>3.43</v>
      </c>
      <c r="AJ37" s="22">
        <v>1.085</v>
      </c>
      <c r="AK37" s="22">
        <v>0.17299999999999999</v>
      </c>
      <c r="AL37" s="22">
        <v>9.8000000000000004E-2</v>
      </c>
      <c r="AM37" s="22">
        <v>0.125</v>
      </c>
      <c r="AO37" s="22">
        <v>94.407000000000011</v>
      </c>
      <c r="AP37" s="3">
        <v>95.496626999999989</v>
      </c>
      <c r="AQ37" s="1"/>
      <c r="AR37" s="4" t="s">
        <v>311</v>
      </c>
      <c r="AS37" s="1" t="s">
        <v>253</v>
      </c>
      <c r="AT37" s="1" t="s">
        <v>253</v>
      </c>
      <c r="AU37" s="16" t="s">
        <v>80</v>
      </c>
      <c r="AV37" s="13" t="s">
        <v>80</v>
      </c>
      <c r="AW37" s="13" t="s">
        <v>80</v>
      </c>
      <c r="AX37" s="13" t="s">
        <v>80</v>
      </c>
      <c r="AY37" s="13" t="s">
        <v>80</v>
      </c>
      <c r="AZ37" s="13" t="s">
        <v>80</v>
      </c>
      <c r="BA37" s="16" t="s">
        <v>80</v>
      </c>
      <c r="BB37" s="16" t="s">
        <v>80</v>
      </c>
      <c r="BC37" s="13" t="s">
        <v>80</v>
      </c>
      <c r="BD37" s="104" t="s">
        <v>80</v>
      </c>
      <c r="BE37" s="16" t="s">
        <v>80</v>
      </c>
      <c r="BF37" s="13" t="s">
        <v>80</v>
      </c>
      <c r="BG37" s="16" t="s">
        <v>80</v>
      </c>
      <c r="BH37" s="16" t="s">
        <v>80</v>
      </c>
      <c r="BI37" s="16" t="s">
        <v>80</v>
      </c>
      <c r="BJ37" s="16" t="s">
        <v>80</v>
      </c>
      <c r="BK37" s="16" t="s">
        <v>80</v>
      </c>
      <c r="BL37" s="16" t="s">
        <v>80</v>
      </c>
      <c r="BM37" s="16" t="s">
        <v>80</v>
      </c>
      <c r="BN37" s="16" t="s">
        <v>80</v>
      </c>
      <c r="BO37" s="16" t="s">
        <v>80</v>
      </c>
      <c r="BP37" s="16" t="s">
        <v>80</v>
      </c>
      <c r="BQ37" s="16" t="s">
        <v>80</v>
      </c>
      <c r="BR37" s="16" t="s">
        <v>80</v>
      </c>
      <c r="BS37" s="16"/>
      <c r="BT37" s="16" t="s">
        <v>80</v>
      </c>
      <c r="BU37" s="16" t="s">
        <v>80</v>
      </c>
      <c r="BV37" s="16" t="s">
        <v>80</v>
      </c>
      <c r="BW37" s="16" t="s">
        <v>80</v>
      </c>
      <c r="BX37" s="16" t="s">
        <v>80</v>
      </c>
      <c r="BY37" s="16" t="s">
        <v>80</v>
      </c>
      <c r="BZ37" s="16" t="s">
        <v>80</v>
      </c>
      <c r="CA37" s="16" t="s">
        <v>80</v>
      </c>
      <c r="CB37" s="16" t="s">
        <v>80</v>
      </c>
      <c r="CC37" s="16" t="s">
        <v>80</v>
      </c>
      <c r="CD37" s="16" t="s">
        <v>80</v>
      </c>
      <c r="CE37" s="16" t="s">
        <v>80</v>
      </c>
      <c r="CF37" s="16" t="s">
        <v>80</v>
      </c>
      <c r="CG37" s="16" t="s">
        <v>80</v>
      </c>
      <c r="CH37" s="16" t="s">
        <v>80</v>
      </c>
      <c r="CI37" s="16" t="s">
        <v>80</v>
      </c>
      <c r="CJ37" s="16" t="s">
        <v>80</v>
      </c>
      <c r="CK37" s="16" t="s">
        <v>80</v>
      </c>
      <c r="CL37" s="16" t="s">
        <v>80</v>
      </c>
      <c r="CM37" s="16" t="s">
        <v>80</v>
      </c>
      <c r="CP37" s="1">
        <v>86</v>
      </c>
      <c r="CQ37" s="1" t="s">
        <v>96</v>
      </c>
      <c r="CR37" s="1" t="s">
        <v>309</v>
      </c>
      <c r="CS37" s="1">
        <v>117</v>
      </c>
      <c r="CT37" s="22">
        <v>45.38</v>
      </c>
      <c r="CV37" s="22">
        <v>35.69</v>
      </c>
      <c r="CX37" s="22">
        <v>0.51291280482318002</v>
      </c>
      <c r="DA37" s="22">
        <v>18.39</v>
      </c>
      <c r="DB37" s="22">
        <v>1.032</v>
      </c>
      <c r="DC37" s="22">
        <v>8.9999999999999993E-3</v>
      </c>
      <c r="DN37" s="16"/>
      <c r="DO37" s="16"/>
      <c r="DP37" s="16"/>
      <c r="DQ37" s="16"/>
      <c r="DR37" s="16"/>
      <c r="DS37" s="16"/>
      <c r="DT37" s="16"/>
      <c r="DU37" s="16"/>
      <c r="DV37" s="16"/>
      <c r="DW37" s="13">
        <v>10</v>
      </c>
      <c r="DX37" s="16">
        <v>16.891938045079769</v>
      </c>
      <c r="DY37" s="16">
        <v>17.729232995130292</v>
      </c>
      <c r="DZ37" s="16">
        <v>0.90781085865244715</v>
      </c>
      <c r="EA37" s="16">
        <v>9.218914134755285E-2</v>
      </c>
      <c r="EB37" s="16">
        <v>3.9127414894874465E-2</v>
      </c>
      <c r="EC37" s="16">
        <v>5.4581359764471274E-2</v>
      </c>
      <c r="ED37" s="16">
        <v>0.1560156806054763</v>
      </c>
      <c r="EE37" s="13">
        <v>1020.4394721058799</v>
      </c>
      <c r="EF37" s="13">
        <v>1036.552410151357</v>
      </c>
      <c r="EG37" s="13">
        <v>1024.6129079444941</v>
      </c>
      <c r="EH37" s="13">
        <v>1046.3902329480152</v>
      </c>
    </row>
    <row r="38" spans="2:138" x14ac:dyDescent="0.25">
      <c r="B38" s="4" t="s">
        <v>311</v>
      </c>
      <c r="C38" s="5" t="s">
        <v>83</v>
      </c>
      <c r="D38" s="1">
        <v>88.11</v>
      </c>
      <c r="E38" s="98" t="s">
        <v>96</v>
      </c>
      <c r="F38" s="1" t="s">
        <v>103</v>
      </c>
      <c r="G38" s="1">
        <v>119.11</v>
      </c>
      <c r="H38" s="22">
        <f t="shared" si="4"/>
        <v>50.173199999999994</v>
      </c>
      <c r="I38" s="22">
        <f t="shared" si="4"/>
        <v>1.2314399999999999</v>
      </c>
      <c r="J38" s="22">
        <f t="shared" si="4"/>
        <v>16.464335999999999</v>
      </c>
      <c r="K38" s="22">
        <f t="shared" si="4"/>
        <v>0</v>
      </c>
      <c r="L38" s="22">
        <f t="shared" si="4"/>
        <v>9.0608161252587056</v>
      </c>
      <c r="M38" s="22">
        <f t="shared" si="4"/>
        <v>0.21923999999999999</v>
      </c>
      <c r="N38" s="22">
        <f t="shared" si="4"/>
        <v>4.0236000000000001</v>
      </c>
      <c r="O38" s="22">
        <f t="shared" si="4"/>
        <v>8.6735039999999994</v>
      </c>
      <c r="P38" s="22">
        <f t="shared" si="4"/>
        <v>2.7095039999999999</v>
      </c>
      <c r="Q38" s="22">
        <f t="shared" si="4"/>
        <v>0.87685919999999995</v>
      </c>
      <c r="R38" s="22">
        <f t="shared" si="4"/>
        <v>0.15203999999999998</v>
      </c>
      <c r="S38" s="1" t="s">
        <v>314</v>
      </c>
      <c r="T38" s="96">
        <f t="shared" si="5"/>
        <v>16</v>
      </c>
      <c r="V38" s="5" t="s">
        <v>83</v>
      </c>
      <c r="W38" s="1">
        <v>88.1</v>
      </c>
      <c r="X38" s="98" t="s">
        <v>96</v>
      </c>
      <c r="Y38" s="1" t="s">
        <v>103</v>
      </c>
      <c r="Z38" s="1">
        <v>119.1</v>
      </c>
      <c r="AA38" s="22">
        <v>52.37</v>
      </c>
      <c r="AB38" s="22">
        <v>1.466</v>
      </c>
      <c r="AC38" s="22">
        <v>14.01</v>
      </c>
      <c r="AD38" s="22">
        <v>0</v>
      </c>
      <c r="AE38" s="22">
        <v>10.68</v>
      </c>
      <c r="AF38" s="22">
        <v>0.26100000000000001</v>
      </c>
      <c r="AG38" s="22">
        <v>4.79</v>
      </c>
      <c r="AH38" s="22">
        <v>7.46</v>
      </c>
      <c r="AI38" s="22">
        <v>3</v>
      </c>
      <c r="AJ38" s="22">
        <v>1.0409999999999999</v>
      </c>
      <c r="AK38" s="22">
        <v>0.18099999999999999</v>
      </c>
      <c r="AL38" s="22">
        <v>9.1999999999999998E-2</v>
      </c>
      <c r="AM38" s="22">
        <v>0.13</v>
      </c>
      <c r="AO38" s="22">
        <v>95.480999999999995</v>
      </c>
      <c r="AP38" s="3">
        <v>96.669684000000004</v>
      </c>
      <c r="AQ38" s="1"/>
      <c r="AR38" s="4" t="s">
        <v>311</v>
      </c>
      <c r="AS38" s="1" t="s">
        <v>253</v>
      </c>
      <c r="AT38" s="1" t="s">
        <v>253</v>
      </c>
      <c r="AU38" s="16" t="s">
        <v>80</v>
      </c>
      <c r="AV38" s="13" t="s">
        <v>80</v>
      </c>
      <c r="AW38" s="13" t="s">
        <v>80</v>
      </c>
      <c r="AX38" s="13" t="s">
        <v>80</v>
      </c>
      <c r="AY38" s="13" t="s">
        <v>80</v>
      </c>
      <c r="AZ38" s="13" t="s">
        <v>80</v>
      </c>
      <c r="BA38" s="16" t="s">
        <v>80</v>
      </c>
      <c r="BB38" s="16" t="s">
        <v>80</v>
      </c>
      <c r="BC38" s="13" t="s">
        <v>80</v>
      </c>
      <c r="BD38" s="104" t="s">
        <v>80</v>
      </c>
      <c r="BE38" s="16" t="s">
        <v>80</v>
      </c>
      <c r="BF38" s="13" t="s">
        <v>80</v>
      </c>
      <c r="BG38" s="16" t="s">
        <v>80</v>
      </c>
      <c r="BH38" s="16" t="s">
        <v>80</v>
      </c>
      <c r="BI38" s="16" t="s">
        <v>80</v>
      </c>
      <c r="BJ38" s="16" t="s">
        <v>80</v>
      </c>
      <c r="BK38" s="16" t="s">
        <v>80</v>
      </c>
      <c r="BL38" s="16" t="s">
        <v>80</v>
      </c>
      <c r="BM38" s="16" t="s">
        <v>80</v>
      </c>
      <c r="BN38" s="16" t="s">
        <v>80</v>
      </c>
      <c r="BO38" s="16" t="s">
        <v>80</v>
      </c>
      <c r="BP38" s="16" t="s">
        <v>80</v>
      </c>
      <c r="BQ38" s="16" t="s">
        <v>80</v>
      </c>
      <c r="BR38" s="16" t="s">
        <v>80</v>
      </c>
      <c r="BS38" s="16"/>
      <c r="BT38" s="16" t="s">
        <v>80</v>
      </c>
      <c r="BU38" s="16" t="s">
        <v>80</v>
      </c>
      <c r="BV38" s="16" t="s">
        <v>80</v>
      </c>
      <c r="BW38" s="16" t="s">
        <v>80</v>
      </c>
      <c r="BX38" s="16" t="s">
        <v>80</v>
      </c>
      <c r="BY38" s="16" t="s">
        <v>80</v>
      </c>
      <c r="BZ38" s="16" t="s">
        <v>80</v>
      </c>
      <c r="CA38" s="16" t="s">
        <v>80</v>
      </c>
      <c r="CB38" s="16" t="s">
        <v>80</v>
      </c>
      <c r="CC38" s="16" t="s">
        <v>80</v>
      </c>
      <c r="CD38" s="16" t="s">
        <v>80</v>
      </c>
      <c r="CE38" s="16" t="s">
        <v>80</v>
      </c>
      <c r="CF38" s="16" t="s">
        <v>80</v>
      </c>
      <c r="CG38" s="16" t="s">
        <v>80</v>
      </c>
      <c r="CH38" s="16" t="s">
        <v>80</v>
      </c>
      <c r="CI38" s="16" t="s">
        <v>80</v>
      </c>
      <c r="CJ38" s="16" t="s">
        <v>80</v>
      </c>
      <c r="CK38" s="16" t="s">
        <v>80</v>
      </c>
      <c r="CL38" s="16" t="s">
        <v>80</v>
      </c>
      <c r="CM38" s="16" t="s">
        <v>80</v>
      </c>
      <c r="CP38" s="1">
        <v>85</v>
      </c>
      <c r="CQ38" s="1" t="s">
        <v>96</v>
      </c>
      <c r="CR38" s="1" t="s">
        <v>309</v>
      </c>
      <c r="CS38" s="1">
        <v>116</v>
      </c>
      <c r="CT38" s="22">
        <v>46</v>
      </c>
      <c r="CV38" s="22">
        <v>34.94</v>
      </c>
      <c r="CX38" s="22">
        <v>0.66678664627013406</v>
      </c>
      <c r="DA38" s="22">
        <v>17.91</v>
      </c>
      <c r="DB38" s="22">
        <v>1.41</v>
      </c>
      <c r="DC38" s="22">
        <v>1.7999999999999999E-2</v>
      </c>
      <c r="DN38" s="16"/>
      <c r="DO38" s="16"/>
      <c r="DP38" s="16"/>
      <c r="DQ38" s="16"/>
      <c r="DR38" s="16"/>
      <c r="DS38" s="16"/>
      <c r="DT38" s="16"/>
      <c r="DU38" s="16"/>
      <c r="DV38" s="16"/>
      <c r="DW38" s="13">
        <v>16</v>
      </c>
      <c r="DX38" s="16">
        <v>16.884280236448991</v>
      </c>
      <c r="DY38" s="16">
        <v>17.59300854468836</v>
      </c>
      <c r="DZ38" s="16">
        <v>0.87529989180003198</v>
      </c>
      <c r="EA38" s="16">
        <v>0.12470010819996802</v>
      </c>
      <c r="EB38" s="16">
        <v>6.1720118867750182E-2</v>
      </c>
      <c r="EC38" s="16">
        <v>9.7460991653080128E-2</v>
      </c>
      <c r="ED38" s="16">
        <v>0.15985702201816704</v>
      </c>
      <c r="EE38" s="13">
        <v>1016.3555444323032</v>
      </c>
      <c r="EF38" s="13">
        <v>1040.2363760918174</v>
      </c>
      <c r="EG38" s="13">
        <v>1019.3841512311432</v>
      </c>
      <c r="EH38" s="13">
        <v>1051.4119987490953</v>
      </c>
    </row>
    <row r="39" spans="2:138" x14ac:dyDescent="0.25">
      <c r="B39" s="4" t="s">
        <v>311</v>
      </c>
      <c r="C39" s="5" t="s">
        <v>83</v>
      </c>
      <c r="D39" s="1">
        <v>89.11</v>
      </c>
      <c r="E39" s="98" t="s">
        <v>96</v>
      </c>
      <c r="F39" s="1" t="s">
        <v>103</v>
      </c>
      <c r="G39" s="1">
        <v>120.11</v>
      </c>
      <c r="H39" s="22">
        <f t="shared" si="4"/>
        <v>51.727949000000002</v>
      </c>
      <c r="I39" s="22">
        <f t="shared" si="4"/>
        <v>1.19574</v>
      </c>
      <c r="J39" s="22">
        <f t="shared" si="4"/>
        <v>16.816618000000002</v>
      </c>
      <c r="K39" s="22">
        <f t="shared" si="4"/>
        <v>6.3700000000000007E-3</v>
      </c>
      <c r="L39" s="22">
        <f t="shared" si="4"/>
        <v>8.7905361288580934</v>
      </c>
      <c r="M39" s="22">
        <f t="shared" si="4"/>
        <v>0.15651999999999999</v>
      </c>
      <c r="N39" s="22">
        <f t="shared" si="4"/>
        <v>4.0495000000000001</v>
      </c>
      <c r="O39" s="22">
        <f t="shared" si="4"/>
        <v>8.4368829999999999</v>
      </c>
      <c r="P39" s="22">
        <f t="shared" si="4"/>
        <v>2.8647710000000002</v>
      </c>
      <c r="Q39" s="22">
        <f t="shared" si="4"/>
        <v>0.87036040000000003</v>
      </c>
      <c r="R39" s="22">
        <f t="shared" si="4"/>
        <v>0.17836000000000002</v>
      </c>
      <c r="S39" s="1" t="s">
        <v>314</v>
      </c>
      <c r="T39" s="96">
        <f t="shared" si="5"/>
        <v>9</v>
      </c>
      <c r="V39" s="5" t="s">
        <v>83</v>
      </c>
      <c r="W39" s="1">
        <v>89.1</v>
      </c>
      <c r="X39" s="98" t="s">
        <v>96</v>
      </c>
      <c r="Y39" s="1" t="s">
        <v>103</v>
      </c>
      <c r="Z39" s="1">
        <v>120.1</v>
      </c>
      <c r="AA39" s="22">
        <v>52.73</v>
      </c>
      <c r="AB39" s="22">
        <v>1.3140000000000001</v>
      </c>
      <c r="AC39" s="22">
        <v>15.31</v>
      </c>
      <c r="AD39" s="22">
        <v>7.0000000000000001E-3</v>
      </c>
      <c r="AE39" s="22">
        <v>9.6</v>
      </c>
      <c r="AF39" s="22">
        <v>0.17199999999999999</v>
      </c>
      <c r="AG39" s="22">
        <v>4.45</v>
      </c>
      <c r="AH39" s="22">
        <v>7.6</v>
      </c>
      <c r="AI39" s="22">
        <v>3.05</v>
      </c>
      <c r="AJ39" s="22">
        <v>0.95499999999999996</v>
      </c>
      <c r="AK39" s="22">
        <v>0.19600000000000001</v>
      </c>
      <c r="AL39" s="22">
        <v>0.104</v>
      </c>
      <c r="AM39" s="22">
        <v>0.11600000000000001</v>
      </c>
      <c r="AO39" s="22">
        <v>95.603999999999985</v>
      </c>
      <c r="AP39" s="3">
        <v>96.672480000000007</v>
      </c>
      <c r="AQ39" s="1"/>
      <c r="AR39" s="4" t="s">
        <v>311</v>
      </c>
      <c r="AS39" s="1" t="s">
        <v>253</v>
      </c>
      <c r="AT39" s="1" t="s">
        <v>253</v>
      </c>
      <c r="AU39" s="16" t="s">
        <v>80</v>
      </c>
      <c r="AV39" s="13" t="s">
        <v>80</v>
      </c>
      <c r="AW39" s="13" t="s">
        <v>80</v>
      </c>
      <c r="AX39" s="13" t="s">
        <v>80</v>
      </c>
      <c r="AY39" s="13" t="s">
        <v>80</v>
      </c>
      <c r="AZ39" s="13" t="s">
        <v>80</v>
      </c>
      <c r="BA39" s="16" t="s">
        <v>80</v>
      </c>
      <c r="BB39" s="16" t="s">
        <v>80</v>
      </c>
      <c r="BC39" s="13" t="s">
        <v>80</v>
      </c>
      <c r="BD39" s="104" t="s">
        <v>80</v>
      </c>
      <c r="BE39" s="16" t="s">
        <v>80</v>
      </c>
      <c r="BF39" s="13" t="s">
        <v>80</v>
      </c>
      <c r="BG39" s="16" t="s">
        <v>80</v>
      </c>
      <c r="BH39" s="16" t="s">
        <v>80</v>
      </c>
      <c r="BI39" s="16" t="s">
        <v>80</v>
      </c>
      <c r="BJ39" s="16" t="s">
        <v>80</v>
      </c>
      <c r="BK39" s="16" t="s">
        <v>80</v>
      </c>
      <c r="BL39" s="16" t="s">
        <v>80</v>
      </c>
      <c r="BM39" s="16" t="s">
        <v>80</v>
      </c>
      <c r="BN39" s="16" t="s">
        <v>80</v>
      </c>
      <c r="BO39" s="16" t="s">
        <v>80</v>
      </c>
      <c r="BP39" s="16" t="s">
        <v>80</v>
      </c>
      <c r="BQ39" s="16" t="s">
        <v>80</v>
      </c>
      <c r="BR39" s="16" t="s">
        <v>80</v>
      </c>
      <c r="BS39" s="16"/>
      <c r="BT39" s="16" t="s">
        <v>80</v>
      </c>
      <c r="BU39" s="16" t="s">
        <v>80</v>
      </c>
      <c r="BV39" s="16" t="s">
        <v>80</v>
      </c>
      <c r="BW39" s="16" t="s">
        <v>80</v>
      </c>
      <c r="BX39" s="16" t="s">
        <v>80</v>
      </c>
      <c r="BY39" s="16" t="s">
        <v>80</v>
      </c>
      <c r="BZ39" s="16" t="s">
        <v>80</v>
      </c>
      <c r="CA39" s="16" t="s">
        <v>80</v>
      </c>
      <c r="CB39" s="16" t="s">
        <v>80</v>
      </c>
      <c r="CC39" s="16" t="s">
        <v>80</v>
      </c>
      <c r="CD39" s="16" t="s">
        <v>80</v>
      </c>
      <c r="CE39" s="16" t="s">
        <v>80</v>
      </c>
      <c r="CF39" s="16" t="s">
        <v>80</v>
      </c>
      <c r="CG39" s="16" t="s">
        <v>80</v>
      </c>
      <c r="CH39" s="16" t="s">
        <v>80</v>
      </c>
      <c r="CI39" s="16" t="s">
        <v>80</v>
      </c>
      <c r="CJ39" s="16" t="s">
        <v>80</v>
      </c>
      <c r="CK39" s="16" t="s">
        <v>80</v>
      </c>
      <c r="CL39" s="16" t="s">
        <v>80</v>
      </c>
      <c r="CM39" s="16" t="s">
        <v>80</v>
      </c>
      <c r="CP39" s="1">
        <v>82</v>
      </c>
      <c r="CQ39" s="1" t="s">
        <v>96</v>
      </c>
      <c r="CR39" s="1" t="s">
        <v>309</v>
      </c>
      <c r="CS39" s="1">
        <v>113</v>
      </c>
      <c r="CT39" s="22">
        <v>45.71</v>
      </c>
      <c r="CV39" s="22">
        <v>35.22</v>
      </c>
      <c r="CX39" s="22">
        <v>0.66588679924412852</v>
      </c>
      <c r="DA39" s="22">
        <v>18.57</v>
      </c>
      <c r="DB39" s="22">
        <v>1.0900000000000001</v>
      </c>
      <c r="DC39" s="22">
        <v>1.6E-2</v>
      </c>
      <c r="DN39" s="16"/>
      <c r="DO39" s="16"/>
      <c r="DP39" s="16"/>
      <c r="DQ39" s="16"/>
      <c r="DR39" s="16"/>
      <c r="DS39" s="16"/>
      <c r="DT39" s="16"/>
      <c r="DU39" s="16"/>
      <c r="DV39" s="16"/>
      <c r="DW39" s="13">
        <v>9</v>
      </c>
      <c r="DX39" s="16">
        <v>16.864226676828746</v>
      </c>
      <c r="DY39" s="16">
        <v>17.684278088720799</v>
      </c>
      <c r="DZ39" s="16">
        <v>0.90398037107403806</v>
      </c>
      <c r="EA39" s="16">
        <v>9.6019628925961942E-2</v>
      </c>
      <c r="EB39" s="16">
        <v>5.0046747626720248E-2</v>
      </c>
      <c r="EC39" s="16">
        <v>6.6229305635408339E-2</v>
      </c>
      <c r="ED39" s="16">
        <v>0.15273351853361328</v>
      </c>
      <c r="EE39" s="13">
        <v>1022.2678092835462</v>
      </c>
      <c r="EF39" s="13">
        <v>1037.1031972210603</v>
      </c>
      <c r="EG39" s="13">
        <v>1029.664865101297</v>
      </c>
      <c r="EH39" s="13">
        <v>1048.3718015059439</v>
      </c>
    </row>
    <row r="40" spans="2:138" x14ac:dyDescent="0.25">
      <c r="B40" s="4" t="s">
        <v>311</v>
      </c>
      <c r="C40" s="5" t="s">
        <v>83</v>
      </c>
      <c r="D40" s="1">
        <v>90.11</v>
      </c>
      <c r="E40" s="98" t="s">
        <v>96</v>
      </c>
      <c r="F40" s="1" t="s">
        <v>103</v>
      </c>
      <c r="G40" s="1">
        <v>121.11</v>
      </c>
      <c r="H40" s="22">
        <f t="shared" si="4"/>
        <v>51.208908999999998</v>
      </c>
      <c r="I40" s="22">
        <f t="shared" si="4"/>
        <v>1.0973700000000002</v>
      </c>
      <c r="J40" s="22">
        <f t="shared" si="4"/>
        <v>16.370837999999999</v>
      </c>
      <c r="K40" s="22">
        <f t="shared" si="4"/>
        <v>0</v>
      </c>
      <c r="L40" s="22">
        <f t="shared" si="4"/>
        <v>9.3834903176460003</v>
      </c>
      <c r="M40" s="22">
        <f t="shared" si="4"/>
        <v>0.18067000000000003</v>
      </c>
      <c r="N40" s="22">
        <f t="shared" si="4"/>
        <v>4.1562999999999999</v>
      </c>
      <c r="O40" s="22">
        <f t="shared" si="4"/>
        <v>8.2527030000000003</v>
      </c>
      <c r="P40" s="22">
        <f t="shared" si="4"/>
        <v>3.195011</v>
      </c>
      <c r="Q40" s="22">
        <f t="shared" si="4"/>
        <v>1.0268463999999999</v>
      </c>
      <c r="R40" s="22">
        <f t="shared" si="4"/>
        <v>0.16375999999999999</v>
      </c>
      <c r="S40" s="1" t="s">
        <v>314</v>
      </c>
      <c r="T40" s="96">
        <f t="shared" si="5"/>
        <v>11</v>
      </c>
      <c r="V40" s="5" t="s">
        <v>83</v>
      </c>
      <c r="W40" s="1">
        <v>90.1</v>
      </c>
      <c r="X40" s="98" t="s">
        <v>96</v>
      </c>
      <c r="Y40" s="1" t="s">
        <v>103</v>
      </c>
      <c r="Z40" s="1">
        <v>121.1</v>
      </c>
      <c r="AA40" s="22">
        <v>52.51</v>
      </c>
      <c r="AB40" s="22">
        <v>1.2330000000000001</v>
      </c>
      <c r="AC40" s="22">
        <v>14.52</v>
      </c>
      <c r="AD40" s="22">
        <v>0</v>
      </c>
      <c r="AE40" s="22">
        <v>10.47</v>
      </c>
      <c r="AF40" s="22">
        <v>0.20300000000000001</v>
      </c>
      <c r="AG40" s="22">
        <v>4.67</v>
      </c>
      <c r="AH40" s="22">
        <v>7.23</v>
      </c>
      <c r="AI40" s="22">
        <v>3.47</v>
      </c>
      <c r="AJ40" s="22">
        <v>1.1519999999999999</v>
      </c>
      <c r="AK40" s="22">
        <v>0.184</v>
      </c>
      <c r="AL40" s="22">
        <v>0.127</v>
      </c>
      <c r="AM40" s="22">
        <v>0.13400000000000001</v>
      </c>
      <c r="AO40" s="22">
        <v>95.902999999999992</v>
      </c>
      <c r="AP40" s="3">
        <v>97.068310999999994</v>
      </c>
      <c r="AQ40" s="1"/>
      <c r="AR40" s="4" t="s">
        <v>311</v>
      </c>
      <c r="AS40" s="1" t="s">
        <v>253</v>
      </c>
      <c r="AT40" s="1" t="s">
        <v>253</v>
      </c>
      <c r="AU40" s="16" t="s">
        <v>80</v>
      </c>
      <c r="AV40" s="13" t="s">
        <v>80</v>
      </c>
      <c r="AW40" s="13" t="s">
        <v>80</v>
      </c>
      <c r="AX40" s="13" t="s">
        <v>80</v>
      </c>
      <c r="AY40" s="13" t="s">
        <v>80</v>
      </c>
      <c r="AZ40" s="13" t="s">
        <v>80</v>
      </c>
      <c r="BA40" s="16" t="s">
        <v>80</v>
      </c>
      <c r="BB40" s="16" t="s">
        <v>80</v>
      </c>
      <c r="BC40" s="13" t="s">
        <v>80</v>
      </c>
      <c r="BD40" s="104" t="s">
        <v>80</v>
      </c>
      <c r="BE40" s="16" t="s">
        <v>80</v>
      </c>
      <c r="BF40" s="13" t="s">
        <v>80</v>
      </c>
      <c r="BG40" s="16" t="s">
        <v>80</v>
      </c>
      <c r="BH40" s="16" t="s">
        <v>80</v>
      </c>
      <c r="BI40" s="16" t="s">
        <v>80</v>
      </c>
      <c r="BJ40" s="16" t="s">
        <v>80</v>
      </c>
      <c r="BK40" s="16" t="s">
        <v>80</v>
      </c>
      <c r="BL40" s="16" t="s">
        <v>80</v>
      </c>
      <c r="BM40" s="16" t="s">
        <v>80</v>
      </c>
      <c r="BN40" s="16" t="s">
        <v>80</v>
      </c>
      <c r="BO40" s="16" t="s">
        <v>80</v>
      </c>
      <c r="BP40" s="16" t="s">
        <v>80</v>
      </c>
      <c r="BQ40" s="16" t="s">
        <v>80</v>
      </c>
      <c r="BR40" s="16" t="s">
        <v>80</v>
      </c>
      <c r="BS40" s="16"/>
      <c r="BT40" s="16" t="s">
        <v>80</v>
      </c>
      <c r="BU40" s="16" t="s">
        <v>80</v>
      </c>
      <c r="BV40" s="16" t="s">
        <v>80</v>
      </c>
      <c r="BW40" s="16" t="s">
        <v>80</v>
      </c>
      <c r="BX40" s="16" t="s">
        <v>80</v>
      </c>
      <c r="BY40" s="16" t="s">
        <v>80</v>
      </c>
      <c r="BZ40" s="16" t="s">
        <v>80</v>
      </c>
      <c r="CA40" s="16" t="s">
        <v>80</v>
      </c>
      <c r="CB40" s="16" t="s">
        <v>80</v>
      </c>
      <c r="CC40" s="16" t="s">
        <v>80</v>
      </c>
      <c r="CD40" s="16" t="s">
        <v>80</v>
      </c>
      <c r="CE40" s="16" t="s">
        <v>80</v>
      </c>
      <c r="CF40" s="16" t="s">
        <v>80</v>
      </c>
      <c r="CG40" s="16" t="s">
        <v>80</v>
      </c>
      <c r="CH40" s="16" t="s">
        <v>80</v>
      </c>
      <c r="CI40" s="16" t="s">
        <v>80</v>
      </c>
      <c r="CJ40" s="16" t="s">
        <v>80</v>
      </c>
      <c r="CK40" s="16" t="s">
        <v>80</v>
      </c>
      <c r="CL40" s="16" t="s">
        <v>80</v>
      </c>
      <c r="CM40" s="16" t="s">
        <v>80</v>
      </c>
      <c r="CP40" s="1">
        <v>82</v>
      </c>
      <c r="CQ40" s="1" t="s">
        <v>96</v>
      </c>
      <c r="CR40" s="1" t="s">
        <v>309</v>
      </c>
      <c r="CS40" s="1">
        <v>113</v>
      </c>
      <c r="CT40" s="22">
        <v>45.71</v>
      </c>
      <c r="CV40" s="22">
        <v>35.22</v>
      </c>
      <c r="CX40" s="22">
        <v>0.66588679924412852</v>
      </c>
      <c r="DA40" s="22">
        <v>18.57</v>
      </c>
      <c r="DB40" s="22">
        <v>1.0900000000000001</v>
      </c>
      <c r="DC40" s="22">
        <v>1.6E-2</v>
      </c>
      <c r="DN40" s="16"/>
      <c r="DO40" s="16"/>
      <c r="DP40" s="16"/>
      <c r="DQ40" s="16"/>
      <c r="DR40" s="16"/>
      <c r="DS40" s="16"/>
      <c r="DT40" s="16"/>
      <c r="DU40" s="16"/>
      <c r="DV40" s="16"/>
      <c r="DW40" s="13">
        <v>11</v>
      </c>
      <c r="DX40" s="16">
        <v>16.92046730533432</v>
      </c>
      <c r="DY40" s="16">
        <v>17.225951869932523</v>
      </c>
      <c r="DZ40" s="16">
        <v>0.90398037107403806</v>
      </c>
      <c r="EA40" s="16">
        <v>9.6019628925961942E-2</v>
      </c>
      <c r="EB40" s="16">
        <v>3.9854568151310533E-2</v>
      </c>
      <c r="EC40" s="16">
        <v>5.7120754168489142E-2</v>
      </c>
      <c r="ED40" s="16">
        <v>0.15783709376119562</v>
      </c>
      <c r="EE40" s="13">
        <v>1017.69839766537</v>
      </c>
      <c r="EF40" s="13">
        <v>1034.47564669751</v>
      </c>
      <c r="EG40" s="13">
        <v>1020.4420029616011</v>
      </c>
      <c r="EH40" s="13">
        <v>1044.1711905580391</v>
      </c>
    </row>
    <row r="41" spans="2:138" x14ac:dyDescent="0.25">
      <c r="B41" s="4" t="s">
        <v>311</v>
      </c>
      <c r="C41" s="5" t="s">
        <v>83</v>
      </c>
      <c r="D41" s="1">
        <v>91.11</v>
      </c>
      <c r="E41" s="98" t="s">
        <v>96</v>
      </c>
      <c r="F41" s="1" t="s">
        <v>103</v>
      </c>
      <c r="G41" s="1">
        <v>122.11</v>
      </c>
      <c r="H41" s="22">
        <f t="shared" si="4"/>
        <v>51.355800000000002</v>
      </c>
      <c r="I41" s="22">
        <f t="shared" si="4"/>
        <v>1.0584</v>
      </c>
      <c r="J41" s="22">
        <f t="shared" si="4"/>
        <v>16.758000000000003</v>
      </c>
      <c r="K41" s="22">
        <f t="shared" si="4"/>
        <v>1.0800000000000001E-2</v>
      </c>
      <c r="L41" s="22">
        <f t="shared" si="4"/>
        <v>9.0500284351660216</v>
      </c>
      <c r="M41" s="22">
        <f t="shared" si="4"/>
        <v>0.28620000000000001</v>
      </c>
      <c r="N41" s="22">
        <f t="shared" si="4"/>
        <v>4.0679999999999996</v>
      </c>
      <c r="O41" s="22">
        <f t="shared" si="4"/>
        <v>8.6174999999999997</v>
      </c>
      <c r="P41" s="22">
        <f t="shared" si="4"/>
        <v>2.7008999999999999</v>
      </c>
      <c r="Q41" s="22">
        <f t="shared" si="4"/>
        <v>0.78453000000000006</v>
      </c>
      <c r="R41" s="22">
        <f t="shared" si="4"/>
        <v>0.19259999999999999</v>
      </c>
      <c r="S41" s="1" t="s">
        <v>314</v>
      </c>
      <c r="T41" s="96">
        <f t="shared" si="5"/>
        <v>10</v>
      </c>
      <c r="V41" s="5" t="s">
        <v>83</v>
      </c>
      <c r="W41" s="1">
        <v>91.1</v>
      </c>
      <c r="X41" s="98" t="s">
        <v>96</v>
      </c>
      <c r="Y41" s="1" t="s">
        <v>103</v>
      </c>
      <c r="Z41" s="1">
        <v>122.1</v>
      </c>
      <c r="AA41" s="22">
        <v>52.36</v>
      </c>
      <c r="AB41" s="22">
        <v>1.1759999999999999</v>
      </c>
      <c r="AC41" s="22">
        <v>15.2</v>
      </c>
      <c r="AD41" s="22">
        <v>1.2E-2</v>
      </c>
      <c r="AE41" s="22">
        <v>9.98</v>
      </c>
      <c r="AF41" s="22">
        <v>0.318</v>
      </c>
      <c r="AG41" s="22">
        <v>4.5199999999999996</v>
      </c>
      <c r="AH41" s="22">
        <v>7.84</v>
      </c>
      <c r="AI41" s="22">
        <v>2.83</v>
      </c>
      <c r="AJ41" s="22">
        <v>0.86699999999999999</v>
      </c>
      <c r="AK41" s="22">
        <v>0.214</v>
      </c>
      <c r="AL41" s="22">
        <v>0.10199999999999999</v>
      </c>
      <c r="AM41" s="22">
        <v>0.126</v>
      </c>
      <c r="AO41" s="22">
        <v>95.545000000000016</v>
      </c>
      <c r="AP41" s="3">
        <v>96.655773999999994</v>
      </c>
      <c r="AQ41" s="1"/>
      <c r="AR41" s="4" t="s">
        <v>311</v>
      </c>
      <c r="AS41" s="1" t="s">
        <v>253</v>
      </c>
      <c r="AT41" s="1" t="s">
        <v>253</v>
      </c>
      <c r="AU41" s="16" t="s">
        <v>80</v>
      </c>
      <c r="AV41" s="13" t="s">
        <v>80</v>
      </c>
      <c r="AW41" s="13" t="s">
        <v>80</v>
      </c>
      <c r="AX41" s="13" t="s">
        <v>80</v>
      </c>
      <c r="AY41" s="13" t="s">
        <v>80</v>
      </c>
      <c r="AZ41" s="13" t="s">
        <v>80</v>
      </c>
      <c r="BA41" s="16" t="s">
        <v>80</v>
      </c>
      <c r="BB41" s="16" t="s">
        <v>80</v>
      </c>
      <c r="BC41" s="13" t="s">
        <v>80</v>
      </c>
      <c r="BD41" s="104" t="s">
        <v>80</v>
      </c>
      <c r="BE41" s="16" t="s">
        <v>80</v>
      </c>
      <c r="BF41" s="13" t="s">
        <v>80</v>
      </c>
      <c r="BG41" s="16" t="s">
        <v>80</v>
      </c>
      <c r="BH41" s="16" t="s">
        <v>80</v>
      </c>
      <c r="BI41" s="16" t="s">
        <v>80</v>
      </c>
      <c r="BJ41" s="16" t="s">
        <v>80</v>
      </c>
      <c r="BK41" s="16" t="s">
        <v>80</v>
      </c>
      <c r="BL41" s="16" t="s">
        <v>80</v>
      </c>
      <c r="BM41" s="16" t="s">
        <v>80</v>
      </c>
      <c r="BN41" s="16" t="s">
        <v>80</v>
      </c>
      <c r="BO41" s="16" t="s">
        <v>80</v>
      </c>
      <c r="BP41" s="16" t="s">
        <v>80</v>
      </c>
      <c r="BQ41" s="16" t="s">
        <v>80</v>
      </c>
      <c r="BR41" s="16" t="s">
        <v>80</v>
      </c>
      <c r="BS41" s="16"/>
      <c r="BT41" s="16" t="s">
        <v>80</v>
      </c>
      <c r="BU41" s="16" t="s">
        <v>80</v>
      </c>
      <c r="BV41" s="16" t="s">
        <v>80</v>
      </c>
      <c r="BW41" s="16" t="s">
        <v>80</v>
      </c>
      <c r="BX41" s="16" t="s">
        <v>80</v>
      </c>
      <c r="BY41" s="16" t="s">
        <v>80</v>
      </c>
      <c r="BZ41" s="16" t="s">
        <v>80</v>
      </c>
      <c r="CA41" s="16" t="s">
        <v>80</v>
      </c>
      <c r="CB41" s="16" t="s">
        <v>80</v>
      </c>
      <c r="CC41" s="16" t="s">
        <v>80</v>
      </c>
      <c r="CD41" s="16" t="s">
        <v>80</v>
      </c>
      <c r="CE41" s="16" t="s">
        <v>80</v>
      </c>
      <c r="CF41" s="16" t="s">
        <v>80</v>
      </c>
      <c r="CG41" s="16" t="s">
        <v>80</v>
      </c>
      <c r="CH41" s="16" t="s">
        <v>80</v>
      </c>
      <c r="CI41" s="16" t="s">
        <v>80</v>
      </c>
      <c r="CJ41" s="16" t="s">
        <v>80</v>
      </c>
      <c r="CK41" s="16" t="s">
        <v>80</v>
      </c>
      <c r="CL41" s="16" t="s">
        <v>80</v>
      </c>
      <c r="CM41" s="16" t="s">
        <v>80</v>
      </c>
      <c r="CP41" s="1">
        <v>84</v>
      </c>
      <c r="CQ41" s="1" t="s">
        <v>96</v>
      </c>
      <c r="CR41" s="1" t="s">
        <v>309</v>
      </c>
      <c r="CS41" s="1">
        <v>115</v>
      </c>
      <c r="CT41" s="22">
        <v>47.02</v>
      </c>
      <c r="CV41" s="22">
        <v>34.200000000000003</v>
      </c>
      <c r="CX41" s="22">
        <v>0.75587150184468643</v>
      </c>
      <c r="DA41" s="22">
        <v>17.350000000000001</v>
      </c>
      <c r="DB41" s="22">
        <v>1.71</v>
      </c>
      <c r="DC41" s="22">
        <v>4.7E-2</v>
      </c>
      <c r="DN41" s="16"/>
      <c r="DO41" s="16"/>
      <c r="DP41" s="16"/>
      <c r="DQ41" s="16"/>
      <c r="DR41" s="16"/>
      <c r="DS41" s="16"/>
      <c r="DT41" s="16"/>
      <c r="DU41" s="16"/>
      <c r="DV41" s="16"/>
      <c r="DW41" s="13">
        <v>10</v>
      </c>
      <c r="DX41" s="16">
        <v>16.878394334672326</v>
      </c>
      <c r="DY41" s="16">
        <v>17.661796807320737</v>
      </c>
      <c r="DZ41" s="16">
        <v>0.84864134899624077</v>
      </c>
      <c r="EA41" s="16">
        <v>0.15135865100375923</v>
      </c>
      <c r="EB41" s="16">
        <v>9.3411490391296439E-2</v>
      </c>
      <c r="EC41" s="16">
        <v>0.12092948366352189</v>
      </c>
      <c r="ED41" s="16">
        <v>0.15529769325820911</v>
      </c>
      <c r="EE41" s="13">
        <v>1024.020968859305</v>
      </c>
      <c r="EF41" s="13">
        <v>1039.0662316286216</v>
      </c>
      <c r="EG41" s="13">
        <v>1031.5768070563413</v>
      </c>
      <c r="EH41" s="13">
        <v>1050.2609079072604</v>
      </c>
    </row>
    <row r="42" spans="2:138" x14ac:dyDescent="0.25">
      <c r="B42" s="4" t="s">
        <v>327</v>
      </c>
      <c r="C42" s="5"/>
      <c r="E42" s="98"/>
      <c r="R42" s="22"/>
      <c r="T42" s="96"/>
      <c r="V42" s="5" t="s">
        <v>83</v>
      </c>
      <c r="W42" s="1">
        <v>92.1</v>
      </c>
      <c r="X42" s="98" t="s">
        <v>96</v>
      </c>
      <c r="Y42" s="1" t="s">
        <v>103</v>
      </c>
      <c r="Z42" s="1">
        <v>123.1</v>
      </c>
      <c r="AA42" s="22">
        <v>60.08</v>
      </c>
      <c r="AB42" s="22">
        <v>1.1040000000000001</v>
      </c>
      <c r="AC42" s="22">
        <v>15.1</v>
      </c>
      <c r="AD42" s="22">
        <v>2.5000000000000001E-2</v>
      </c>
      <c r="AE42" s="22">
        <v>9.2200000000000006</v>
      </c>
      <c r="AF42" s="22">
        <v>0.156</v>
      </c>
      <c r="AG42" s="22">
        <v>2.34</v>
      </c>
      <c r="AH42" s="22">
        <v>5.17</v>
      </c>
      <c r="AI42" s="22">
        <v>3.07</v>
      </c>
      <c r="AJ42" s="22">
        <v>1.63</v>
      </c>
      <c r="AK42" s="22">
        <v>0.32200000000000001</v>
      </c>
      <c r="AL42" s="22">
        <v>0.02</v>
      </c>
      <c r="AM42" s="22">
        <v>0.156</v>
      </c>
      <c r="AO42" s="22">
        <v>98.393000000000001</v>
      </c>
      <c r="AP42" s="3">
        <v>99.419185999999996</v>
      </c>
      <c r="AR42" s="4" t="s">
        <v>308</v>
      </c>
      <c r="AS42" s="1" t="s">
        <v>253</v>
      </c>
      <c r="AU42" s="16" t="s">
        <v>80</v>
      </c>
      <c r="AV42" s="13" t="s">
        <v>80</v>
      </c>
      <c r="AW42" s="13" t="s">
        <v>80</v>
      </c>
      <c r="AX42" s="13" t="s">
        <v>80</v>
      </c>
      <c r="AY42" s="13" t="s">
        <v>80</v>
      </c>
      <c r="AZ42" s="13" t="s">
        <v>80</v>
      </c>
      <c r="BA42" s="16" t="s">
        <v>80</v>
      </c>
      <c r="BB42" s="16" t="s">
        <v>80</v>
      </c>
      <c r="BC42" s="13" t="s">
        <v>80</v>
      </c>
      <c r="BD42" s="104" t="s">
        <v>80</v>
      </c>
      <c r="BE42" s="16" t="s">
        <v>80</v>
      </c>
      <c r="BF42" s="13" t="s">
        <v>80</v>
      </c>
      <c r="BG42" s="16" t="s">
        <v>80</v>
      </c>
      <c r="BH42" s="16" t="s">
        <v>80</v>
      </c>
      <c r="BI42" s="16" t="s">
        <v>80</v>
      </c>
      <c r="BJ42" s="16" t="s">
        <v>80</v>
      </c>
      <c r="BK42" s="16" t="s">
        <v>80</v>
      </c>
      <c r="BL42" s="16" t="s">
        <v>80</v>
      </c>
      <c r="BM42" s="16" t="s">
        <v>80</v>
      </c>
      <c r="BN42" s="16" t="s">
        <v>80</v>
      </c>
      <c r="BO42" s="16" t="s">
        <v>80</v>
      </c>
      <c r="BP42" s="16" t="s">
        <v>80</v>
      </c>
      <c r="BQ42" s="16" t="s">
        <v>80</v>
      </c>
      <c r="BR42" s="16" t="s">
        <v>80</v>
      </c>
      <c r="BS42" s="16"/>
      <c r="BT42" s="16" t="s">
        <v>80</v>
      </c>
      <c r="BU42" s="16" t="s">
        <v>80</v>
      </c>
      <c r="BV42" s="16" t="s">
        <v>80</v>
      </c>
      <c r="BW42" s="16" t="s">
        <v>80</v>
      </c>
      <c r="BX42" s="16" t="s">
        <v>80</v>
      </c>
      <c r="BY42" s="16" t="s">
        <v>80</v>
      </c>
      <c r="BZ42" s="16" t="s">
        <v>80</v>
      </c>
      <c r="CA42" s="16" t="s">
        <v>80</v>
      </c>
      <c r="CB42" s="16" t="s">
        <v>80</v>
      </c>
      <c r="CC42" s="16" t="s">
        <v>80</v>
      </c>
      <c r="CD42" s="16" t="s">
        <v>80</v>
      </c>
      <c r="CE42" s="16" t="s">
        <v>80</v>
      </c>
      <c r="CF42" s="16" t="s">
        <v>80</v>
      </c>
      <c r="CG42" s="16" t="s">
        <v>80</v>
      </c>
      <c r="CH42" s="16" t="s">
        <v>80</v>
      </c>
      <c r="CI42" s="16" t="s">
        <v>80</v>
      </c>
      <c r="CJ42" s="16" t="s">
        <v>80</v>
      </c>
      <c r="CK42" s="16" t="s">
        <v>80</v>
      </c>
      <c r="CL42" s="16" t="s">
        <v>80</v>
      </c>
      <c r="CM42" s="16" t="s">
        <v>80</v>
      </c>
      <c r="DN42" s="16"/>
      <c r="DO42" s="16"/>
      <c r="DP42" s="16"/>
      <c r="DQ42" s="16"/>
      <c r="DR42" s="16"/>
      <c r="DS42" s="16"/>
      <c r="DT42" s="16"/>
      <c r="DU42" s="16"/>
      <c r="DV42" s="16"/>
      <c r="DW42" s="16"/>
      <c r="DX42" s="16"/>
      <c r="DY42" s="16"/>
      <c r="DZ42" s="16"/>
      <c r="EA42" s="16"/>
      <c r="EB42" s="16"/>
      <c r="EC42" s="16"/>
      <c r="ED42" s="16"/>
      <c r="EE42" s="15"/>
      <c r="EF42" s="15"/>
      <c r="EG42" s="15"/>
      <c r="EH42" s="15"/>
    </row>
    <row r="43" spans="2:138" x14ac:dyDescent="0.25">
      <c r="B43" s="4" t="s">
        <v>311</v>
      </c>
      <c r="C43" s="5" t="s">
        <v>83</v>
      </c>
      <c r="D43" s="1">
        <v>98.11</v>
      </c>
      <c r="E43" s="98" t="s">
        <v>96</v>
      </c>
      <c r="F43" s="1" t="s">
        <v>103</v>
      </c>
      <c r="G43" s="1">
        <v>129.11000000000001</v>
      </c>
      <c r="H43" s="22">
        <f t="shared" ref="H43:R44" si="6">(AA43+($DW43/100)*CT43)*((100-$DW43)/100)</f>
        <v>51.592992000000002</v>
      </c>
      <c r="I43" s="22">
        <f t="shared" si="6"/>
        <v>1.2893408</v>
      </c>
      <c r="J43" s="22">
        <f t="shared" si="6"/>
        <v>15.246527999999998</v>
      </c>
      <c r="K43" s="22">
        <f t="shared" si="6"/>
        <v>1.0665600000000001E-2</v>
      </c>
      <c r="L43" s="22">
        <f t="shared" si="6"/>
        <v>9.3220159999999996</v>
      </c>
      <c r="M43" s="22">
        <f t="shared" si="6"/>
        <v>0.19968959999999999</v>
      </c>
      <c r="N43" s="22">
        <f t="shared" si="6"/>
        <v>4.5721280000000002</v>
      </c>
      <c r="O43" s="22">
        <f t="shared" si="6"/>
        <v>8.8510399999999994</v>
      </c>
      <c r="P43" s="22">
        <f t="shared" si="6"/>
        <v>2.8907296000000002</v>
      </c>
      <c r="Q43" s="22">
        <f t="shared" si="6"/>
        <v>0.75856000000000001</v>
      </c>
      <c r="R43" s="22">
        <f t="shared" si="6"/>
        <v>0.16544</v>
      </c>
      <c r="S43" s="1" t="s">
        <v>312</v>
      </c>
      <c r="T43" s="96">
        <f>DW43</f>
        <v>12</v>
      </c>
      <c r="V43" s="5" t="s">
        <v>83</v>
      </c>
      <c r="W43" s="1">
        <v>98.1</v>
      </c>
      <c r="X43" s="98" t="s">
        <v>96</v>
      </c>
      <c r="Y43" s="1" t="s">
        <v>103</v>
      </c>
      <c r="Z43" s="1">
        <v>129.1</v>
      </c>
      <c r="AA43" s="22">
        <v>52.44</v>
      </c>
      <c r="AB43" s="22">
        <v>1.415</v>
      </c>
      <c r="AC43" s="22">
        <v>16.95</v>
      </c>
      <c r="AD43" s="22">
        <v>0</v>
      </c>
      <c r="AE43" s="22">
        <v>9.74</v>
      </c>
      <c r="AF43" s="22">
        <v>0.20399999999999999</v>
      </c>
      <c r="AG43" s="22">
        <v>3.41</v>
      </c>
      <c r="AH43" s="22">
        <v>7.46</v>
      </c>
      <c r="AI43" s="22">
        <v>3.25</v>
      </c>
      <c r="AJ43" s="22">
        <v>0.86199999999999999</v>
      </c>
      <c r="AK43" s="22">
        <v>0.188</v>
      </c>
      <c r="AL43" s="22">
        <v>9.9000000000000005E-2</v>
      </c>
      <c r="AM43" s="22">
        <v>0.121</v>
      </c>
      <c r="AO43" s="22">
        <v>96.138999999999967</v>
      </c>
      <c r="AP43" s="3">
        <v>97.223061999999999</v>
      </c>
      <c r="AR43" s="4" t="s">
        <v>311</v>
      </c>
      <c r="AS43" s="1" t="s">
        <v>260</v>
      </c>
      <c r="AT43" s="1" t="s">
        <v>260</v>
      </c>
      <c r="AU43" s="16" t="s">
        <v>80</v>
      </c>
      <c r="AV43" s="13" t="s">
        <v>80</v>
      </c>
      <c r="AW43" s="13" t="s">
        <v>80</v>
      </c>
      <c r="AX43" s="13" t="s">
        <v>80</v>
      </c>
      <c r="AY43" s="13" t="s">
        <v>80</v>
      </c>
      <c r="AZ43" s="13" t="s">
        <v>80</v>
      </c>
      <c r="BA43" s="16" t="s">
        <v>80</v>
      </c>
      <c r="BB43" s="16" t="s">
        <v>80</v>
      </c>
      <c r="BC43" s="13" t="s">
        <v>80</v>
      </c>
      <c r="BD43" s="104" t="s">
        <v>80</v>
      </c>
      <c r="BE43" s="16" t="s">
        <v>80</v>
      </c>
      <c r="BF43" s="13" t="s">
        <v>80</v>
      </c>
      <c r="BG43" s="16" t="s">
        <v>80</v>
      </c>
      <c r="BH43" s="16" t="s">
        <v>80</v>
      </c>
      <c r="BI43" s="16" t="s">
        <v>80</v>
      </c>
      <c r="BJ43" s="16" t="s">
        <v>80</v>
      </c>
      <c r="BK43" s="16" t="s">
        <v>80</v>
      </c>
      <c r="BL43" s="16" t="s">
        <v>80</v>
      </c>
      <c r="BM43" s="16" t="s">
        <v>80</v>
      </c>
      <c r="BN43" s="16" t="s">
        <v>80</v>
      </c>
      <c r="BO43" s="16" t="s">
        <v>80</v>
      </c>
      <c r="BP43" s="16" t="s">
        <v>80</v>
      </c>
      <c r="BQ43" s="16" t="s">
        <v>80</v>
      </c>
      <c r="BR43" s="16" t="s">
        <v>80</v>
      </c>
      <c r="BS43" s="16"/>
      <c r="BT43" s="16" t="s">
        <v>80</v>
      </c>
      <c r="BU43" s="16" t="s">
        <v>80</v>
      </c>
      <c r="BV43" s="16" t="s">
        <v>80</v>
      </c>
      <c r="BW43" s="16" t="s">
        <v>80</v>
      </c>
      <c r="BX43" s="16" t="s">
        <v>80</v>
      </c>
      <c r="BY43" s="16" t="s">
        <v>80</v>
      </c>
      <c r="BZ43" s="16" t="s">
        <v>80</v>
      </c>
      <c r="CA43" s="16" t="s">
        <v>80</v>
      </c>
      <c r="CB43" s="16" t="s">
        <v>80</v>
      </c>
      <c r="CC43" s="16" t="s">
        <v>80</v>
      </c>
      <c r="CD43" s="16" t="s">
        <v>80</v>
      </c>
      <c r="CE43" s="16" t="s">
        <v>80</v>
      </c>
      <c r="CF43" s="16" t="s">
        <v>80</v>
      </c>
      <c r="CG43" s="16" t="s">
        <v>80</v>
      </c>
      <c r="CH43" s="16" t="s">
        <v>80</v>
      </c>
      <c r="CI43" s="16" t="s">
        <v>80</v>
      </c>
      <c r="CJ43" s="16" t="s">
        <v>80</v>
      </c>
      <c r="CK43" s="16" t="s">
        <v>80</v>
      </c>
      <c r="CL43" s="16" t="s">
        <v>80</v>
      </c>
      <c r="CM43" s="16" t="s">
        <v>80</v>
      </c>
      <c r="CP43" s="1">
        <v>101</v>
      </c>
      <c r="CQ43" s="1" t="s">
        <v>96</v>
      </c>
      <c r="CR43" s="1" t="s">
        <v>309</v>
      </c>
      <c r="CS43" s="1">
        <v>132</v>
      </c>
      <c r="CT43" s="22">
        <v>51.57</v>
      </c>
      <c r="CU43" s="22">
        <v>0.41799999999999998</v>
      </c>
      <c r="CV43" s="22">
        <v>3.13</v>
      </c>
      <c r="CW43" s="22">
        <v>0.10100000000000001</v>
      </c>
      <c r="CX43" s="22">
        <v>7.11</v>
      </c>
      <c r="CY43" s="22">
        <v>0.191</v>
      </c>
      <c r="CZ43" s="22">
        <v>14.88</v>
      </c>
      <c r="DA43" s="22">
        <v>21.65</v>
      </c>
      <c r="DB43" s="22">
        <v>0.29099999999999998</v>
      </c>
      <c r="DN43" s="16">
        <v>0.78863963778555257</v>
      </c>
      <c r="DO43" s="16">
        <v>0.45050749980499583</v>
      </c>
      <c r="DP43" s="16">
        <v>8.4710957366322504E-2</v>
      </c>
      <c r="DQ43" s="16">
        <v>2.0952629300748069E-2</v>
      </c>
      <c r="DR43" s="16">
        <v>0.26800626304801672</v>
      </c>
      <c r="DS43" s="16">
        <v>1.602075030049978</v>
      </c>
      <c r="DT43" s="16">
        <v>1.1435883893619532</v>
      </c>
      <c r="DU43" s="16">
        <v>0.16728696098562629</v>
      </c>
      <c r="DV43" s="16">
        <v>0.23435552996261752</v>
      </c>
      <c r="DW43" s="13">
        <v>12</v>
      </c>
      <c r="DX43" s="16"/>
      <c r="DY43" s="16"/>
      <c r="DZ43" s="16"/>
      <c r="EA43" s="16"/>
      <c r="EB43" s="16"/>
      <c r="EC43" s="16"/>
      <c r="ED43" s="16"/>
      <c r="EE43" s="15"/>
      <c r="EF43" s="15"/>
      <c r="EG43" s="15"/>
      <c r="EH43" s="15"/>
    </row>
    <row r="44" spans="2:138" x14ac:dyDescent="0.25">
      <c r="B44" s="4" t="s">
        <v>311</v>
      </c>
      <c r="C44" s="5" t="s">
        <v>83</v>
      </c>
      <c r="D44" s="1">
        <v>99.11</v>
      </c>
      <c r="E44" s="98" t="s">
        <v>96</v>
      </c>
      <c r="F44" s="1" t="s">
        <v>103</v>
      </c>
      <c r="G44" s="1">
        <v>130.11000000000001</v>
      </c>
      <c r="H44" s="22">
        <f t="shared" si="6"/>
        <v>51.786000000000001</v>
      </c>
      <c r="I44" s="22">
        <f t="shared" si="6"/>
        <v>1.31247</v>
      </c>
      <c r="J44" s="22">
        <f t="shared" si="6"/>
        <v>15.1137</v>
      </c>
      <c r="K44" s="22">
        <f t="shared" si="6"/>
        <v>1.323E-2</v>
      </c>
      <c r="L44" s="22">
        <f t="shared" si="6"/>
        <v>9.6696000000000009</v>
      </c>
      <c r="M44" s="22">
        <f t="shared" si="6"/>
        <v>0.17865</v>
      </c>
      <c r="N44" s="22">
        <f t="shared" si="6"/>
        <v>4.4135999999999997</v>
      </c>
      <c r="O44" s="22">
        <f t="shared" si="6"/>
        <v>9.0657000000000014</v>
      </c>
      <c r="P44" s="22">
        <f t="shared" si="6"/>
        <v>1.87443</v>
      </c>
      <c r="Q44" s="22">
        <f t="shared" si="6"/>
        <v>0.58257000000000003</v>
      </c>
      <c r="R44" s="22">
        <f t="shared" si="6"/>
        <v>0.15300000000000002</v>
      </c>
      <c r="S44" s="1" t="s">
        <v>312</v>
      </c>
      <c r="T44" s="96">
        <f>DW44</f>
        <v>10</v>
      </c>
      <c r="V44" s="5" t="s">
        <v>83</v>
      </c>
      <c r="W44" s="1">
        <v>99.1</v>
      </c>
      <c r="X44" s="98" t="s">
        <v>96</v>
      </c>
      <c r="Y44" s="1" t="s">
        <v>103</v>
      </c>
      <c r="Z44" s="1">
        <v>130.1</v>
      </c>
      <c r="AA44" s="22">
        <v>52.33</v>
      </c>
      <c r="AB44" s="22">
        <v>1.383</v>
      </c>
      <c r="AC44" s="22">
        <v>16.48</v>
      </c>
      <c r="AD44" s="22">
        <v>1.2999999999999999E-2</v>
      </c>
      <c r="AE44" s="22">
        <v>9.98</v>
      </c>
      <c r="AF44" s="22">
        <v>0.17899999999999999</v>
      </c>
      <c r="AG44" s="22">
        <v>3.41</v>
      </c>
      <c r="AH44" s="22">
        <v>7.91</v>
      </c>
      <c r="AI44" s="22">
        <v>2.0499999999999998</v>
      </c>
      <c r="AJ44" s="22">
        <v>0.64500000000000002</v>
      </c>
      <c r="AK44" s="22">
        <v>0.17</v>
      </c>
      <c r="AL44" s="22">
        <v>8.5999999999999993E-2</v>
      </c>
      <c r="AM44" s="22">
        <v>0.11600000000000001</v>
      </c>
      <c r="AO44" s="22">
        <v>94.751999999999995</v>
      </c>
      <c r="AP44" s="3">
        <v>95.862774000000002</v>
      </c>
      <c r="AR44" s="4" t="s">
        <v>311</v>
      </c>
      <c r="AS44" s="1" t="s">
        <v>260</v>
      </c>
      <c r="AT44" s="1" t="s">
        <v>260</v>
      </c>
      <c r="AU44" s="16">
        <v>15.252796461172457</v>
      </c>
      <c r="AV44" s="13">
        <v>21363.056634188382</v>
      </c>
      <c r="AW44" s="13">
        <v>20245.07390787956</v>
      </c>
      <c r="AX44" s="13">
        <v>87532.830748199616</v>
      </c>
      <c r="AY44" s="13">
        <v>247486.88139183883</v>
      </c>
      <c r="AZ44" s="13">
        <v>52155.562697668785</v>
      </c>
      <c r="BA44" s="16">
        <v>60.239999999999995</v>
      </c>
      <c r="BB44" s="16">
        <v>22.760125958397651</v>
      </c>
      <c r="BC44" s="13">
        <v>7183.2878173101535</v>
      </c>
      <c r="BD44" s="104">
        <v>389.91592359826313</v>
      </c>
      <c r="BE44" s="16" t="s">
        <v>80</v>
      </c>
      <c r="BF44" s="13">
        <v>1549.4100004172549</v>
      </c>
      <c r="BG44" s="16">
        <v>29.332965975413892</v>
      </c>
      <c r="BH44" s="16" t="s">
        <v>80</v>
      </c>
      <c r="BI44" s="16">
        <v>18.599758559650134</v>
      </c>
      <c r="BJ44" s="16">
        <v>119.33378721189234</v>
      </c>
      <c r="BK44" s="16">
        <v>22.963480808690921</v>
      </c>
      <c r="BL44" s="16">
        <v>203.13981946607421</v>
      </c>
      <c r="BM44" s="16">
        <v>209.03837482754955</v>
      </c>
      <c r="BN44" s="16">
        <v>25.392112853964299</v>
      </c>
      <c r="BO44" s="16">
        <v>83.215380791089274</v>
      </c>
      <c r="BP44" s="16">
        <v>2.6348586927668562</v>
      </c>
      <c r="BQ44" s="16">
        <v>0.84252692082321912</v>
      </c>
      <c r="BR44" s="16">
        <v>135.04037937142164</v>
      </c>
      <c r="BS44" s="16">
        <v>1.6227814868796682</v>
      </c>
      <c r="BT44" s="16">
        <v>8.4860016268613894</v>
      </c>
      <c r="BU44" s="16">
        <v>20.03208456219037</v>
      </c>
      <c r="BV44" s="16">
        <v>2.6306430663601388</v>
      </c>
      <c r="BW44" s="16">
        <v>9.6061222075263721</v>
      </c>
      <c r="BX44" s="16">
        <v>3.2302296609892966</v>
      </c>
      <c r="BY44" s="16">
        <v>1.1057346637319141</v>
      </c>
      <c r="BZ44" s="16">
        <v>4.4978276803782444</v>
      </c>
      <c r="CA44" s="16">
        <v>0.6484403682167037</v>
      </c>
      <c r="CB44" s="16">
        <v>4.0635225894348848</v>
      </c>
      <c r="CC44" s="16">
        <v>0.98391214483175016</v>
      </c>
      <c r="CD44" s="16">
        <v>3.4834354365748967</v>
      </c>
      <c r="CE44" s="16">
        <v>0.40548950756448099</v>
      </c>
      <c r="CF44" s="16">
        <v>2.0835929777747357</v>
      </c>
      <c r="CG44" s="16">
        <v>0.49708827072289369</v>
      </c>
      <c r="CH44" s="16">
        <v>1.8909090898753451</v>
      </c>
      <c r="CI44" s="16">
        <v>0.21287072671420451</v>
      </c>
      <c r="CJ44" s="16">
        <v>6.8011727050629078</v>
      </c>
      <c r="CK44" s="16">
        <v>3.5322783385856846</v>
      </c>
      <c r="CL44" s="16">
        <v>1.2046944825112555</v>
      </c>
      <c r="CM44" s="16">
        <v>0.87904239818773078</v>
      </c>
      <c r="CP44" s="1">
        <v>100</v>
      </c>
      <c r="CQ44" s="1" t="s">
        <v>96</v>
      </c>
      <c r="CR44" s="1" t="s">
        <v>309</v>
      </c>
      <c r="CS44" s="1">
        <v>131</v>
      </c>
      <c r="CT44" s="22">
        <v>52.1</v>
      </c>
      <c r="CU44" s="22">
        <v>0.753</v>
      </c>
      <c r="CV44" s="22">
        <v>3.13</v>
      </c>
      <c r="CW44" s="22">
        <v>1.7000000000000001E-2</v>
      </c>
      <c r="CX44" s="22">
        <v>7.64</v>
      </c>
      <c r="CY44" s="22">
        <v>0.19500000000000001</v>
      </c>
      <c r="CZ44" s="22">
        <v>14.94</v>
      </c>
      <c r="DA44" s="22">
        <v>21.63</v>
      </c>
      <c r="DB44" s="22">
        <v>0.32700000000000001</v>
      </c>
      <c r="DC44" s="22">
        <v>2.3E-2</v>
      </c>
      <c r="DN44" s="16">
        <v>0.77710483584311074</v>
      </c>
      <c r="DO44" s="16">
        <v>0.44563718310285017</v>
      </c>
      <c r="DP44" s="16">
        <v>8.861760025229426E-2</v>
      </c>
      <c r="DQ44" s="16">
        <v>2.325765691652585E-2</v>
      </c>
      <c r="DR44" s="16">
        <v>0.28682766323936432</v>
      </c>
      <c r="DS44" s="16">
        <v>1.6415512114885811</v>
      </c>
      <c r="DT44" s="16">
        <v>1.2288356770097211</v>
      </c>
      <c r="DU44" s="16">
        <v>0.1747296467097515</v>
      </c>
      <c r="DV44" s="16">
        <v>0.23341417294893146</v>
      </c>
      <c r="DW44" s="13">
        <v>10</v>
      </c>
      <c r="DX44" s="16"/>
      <c r="DY44" s="16"/>
      <c r="DZ44" s="16"/>
      <c r="EA44" s="16"/>
      <c r="EB44" s="16"/>
      <c r="EC44" s="16"/>
      <c r="ED44" s="16"/>
      <c r="EE44" s="15"/>
      <c r="EF44" s="15"/>
      <c r="EG44" s="15"/>
      <c r="EH44" s="15"/>
    </row>
    <row r="45" spans="2:138" x14ac:dyDescent="0.25">
      <c r="B45" s="4" t="s">
        <v>311</v>
      </c>
      <c r="C45" s="5" t="s">
        <v>83</v>
      </c>
      <c r="D45" s="1">
        <v>106.11</v>
      </c>
      <c r="E45" s="98" t="s">
        <v>96</v>
      </c>
      <c r="F45" s="1" t="s">
        <v>309</v>
      </c>
      <c r="G45" s="1">
        <v>137.21</v>
      </c>
      <c r="H45" s="22">
        <v>50.774000000000001</v>
      </c>
      <c r="I45" s="22">
        <v>1.26</v>
      </c>
      <c r="J45" s="22">
        <v>15.994</v>
      </c>
      <c r="K45" s="22">
        <v>0</v>
      </c>
      <c r="L45" s="22">
        <v>9.702</v>
      </c>
      <c r="M45" s="22">
        <v>0.23200000000000001</v>
      </c>
      <c r="N45" s="22">
        <v>4.8789999999999996</v>
      </c>
      <c r="O45" s="22">
        <v>9.3140000000000001</v>
      </c>
      <c r="P45" s="22">
        <v>3.222</v>
      </c>
      <c r="Q45" s="22">
        <v>0.33500000000000002</v>
      </c>
      <c r="R45" s="22">
        <v>0.186</v>
      </c>
      <c r="S45" s="1" t="s">
        <v>310</v>
      </c>
      <c r="T45" s="96">
        <v>0.94899999999999995</v>
      </c>
      <c r="V45" s="5" t="s">
        <v>83</v>
      </c>
      <c r="W45" s="1">
        <v>106.1</v>
      </c>
      <c r="X45" s="98" t="s">
        <v>96</v>
      </c>
      <c r="Y45" s="1" t="s">
        <v>103</v>
      </c>
      <c r="Z45" s="1">
        <v>137.1</v>
      </c>
      <c r="AA45" s="22">
        <v>51.45</v>
      </c>
      <c r="AB45" s="22">
        <v>1.33</v>
      </c>
      <c r="AC45" s="22">
        <v>16.88</v>
      </c>
      <c r="AD45" s="22">
        <v>0</v>
      </c>
      <c r="AE45" s="22">
        <v>9.39</v>
      </c>
      <c r="AF45" s="22">
        <v>0.245</v>
      </c>
      <c r="AG45" s="22">
        <v>2.76</v>
      </c>
      <c r="AH45" s="22">
        <v>9.83</v>
      </c>
      <c r="AI45" s="22">
        <v>3.4</v>
      </c>
      <c r="AJ45" s="22">
        <v>0.35399999999999998</v>
      </c>
      <c r="AK45" s="22">
        <v>0.19600000000000001</v>
      </c>
      <c r="AL45" s="22">
        <v>0.105</v>
      </c>
      <c r="AM45" s="22">
        <v>0.128</v>
      </c>
      <c r="AO45" s="22">
        <v>96.068000000000012</v>
      </c>
      <c r="AP45" s="3">
        <v>97.113106999999999</v>
      </c>
      <c r="AR45" s="4" t="s">
        <v>311</v>
      </c>
      <c r="AS45" s="1" t="s">
        <v>266</v>
      </c>
      <c r="AT45" s="1" t="s">
        <v>266</v>
      </c>
      <c r="AU45" s="16">
        <v>10.298919048715842</v>
      </c>
      <c r="AV45" s="13">
        <v>25379.487691793522</v>
      </c>
      <c r="AW45" s="13">
        <v>13915.990869261785</v>
      </c>
      <c r="AX45" s="13">
        <v>90690.678352075978</v>
      </c>
      <c r="AY45" s="13">
        <v>242829.95845629531</v>
      </c>
      <c r="AZ45" s="13">
        <v>66708.228180598235</v>
      </c>
      <c r="BA45" s="16">
        <v>61.28</v>
      </c>
      <c r="BB45" s="16">
        <v>32.352931097712016</v>
      </c>
      <c r="BC45" s="13">
        <v>7448.2723060522021</v>
      </c>
      <c r="BD45" s="104">
        <v>360.7797790332267</v>
      </c>
      <c r="BE45" s="16">
        <v>3.9439807883718334</v>
      </c>
      <c r="BF45" s="13">
        <v>1321.8971483860391</v>
      </c>
      <c r="BG45" s="16">
        <v>17.080091765894501</v>
      </c>
      <c r="BH45" s="16">
        <v>37.181662931300799</v>
      </c>
      <c r="BI45" s="16">
        <v>18.49872153719522</v>
      </c>
      <c r="BJ45" s="16">
        <v>101.25532721967278</v>
      </c>
      <c r="BK45" s="16">
        <v>8.7020433192142299</v>
      </c>
      <c r="BL45" s="16">
        <v>241.76366623984583</v>
      </c>
      <c r="BM45" s="16">
        <v>237.60417271116432</v>
      </c>
      <c r="BN45" s="16">
        <v>28.44528908286156</v>
      </c>
      <c r="BO45" s="16">
        <v>61.63473179823319</v>
      </c>
      <c r="BP45" s="16">
        <v>1.1868862971900533</v>
      </c>
      <c r="BQ45" s="16">
        <v>0.57926358926284116</v>
      </c>
      <c r="BR45" s="16">
        <v>96.635426348495685</v>
      </c>
      <c r="BS45" s="16">
        <v>1.567872910761426</v>
      </c>
      <c r="BT45" s="16">
        <v>5.9333837717560458</v>
      </c>
      <c r="BU45" s="16">
        <v>13.125565682180291</v>
      </c>
      <c r="BV45" s="16">
        <v>2.1626817761350212</v>
      </c>
      <c r="BW45" s="16">
        <v>7.9488523035924956</v>
      </c>
      <c r="BX45" s="16">
        <v>3.3104587375552308</v>
      </c>
      <c r="BY45" s="16">
        <v>1.5593446043590402</v>
      </c>
      <c r="BZ45" s="16">
        <v>4.4832613590976402</v>
      </c>
      <c r="CA45" s="16">
        <v>0.8140349235670552</v>
      </c>
      <c r="CB45" s="16">
        <v>4.5269329335239759</v>
      </c>
      <c r="CC45" s="16">
        <v>1.1556953913348127</v>
      </c>
      <c r="CD45" s="16">
        <v>3.4781045665629371</v>
      </c>
      <c r="CE45" s="16">
        <v>0.4655494899596414</v>
      </c>
      <c r="CF45" s="16">
        <v>2.6635824294314379</v>
      </c>
      <c r="CG45" s="16">
        <v>0.62125615567539905</v>
      </c>
      <c r="CH45" s="16">
        <v>1.7823086300741489</v>
      </c>
      <c r="CI45" s="16">
        <v>0.39972565162220258</v>
      </c>
      <c r="CJ45" s="16">
        <v>3.7859284755343356</v>
      </c>
      <c r="CK45" s="16">
        <v>0.97236483454928346</v>
      </c>
      <c r="CL45" s="16">
        <v>0.44560060765261283</v>
      </c>
      <c r="CM45" s="16">
        <v>1.2265294723613001</v>
      </c>
      <c r="CP45" s="1">
        <v>105</v>
      </c>
      <c r="CQ45" s="1" t="s">
        <v>96</v>
      </c>
      <c r="CR45" s="1" t="s">
        <v>309</v>
      </c>
      <c r="CS45" s="1">
        <v>136</v>
      </c>
      <c r="CT45" s="22">
        <v>39.11</v>
      </c>
      <c r="CU45" s="22">
        <v>0</v>
      </c>
      <c r="CV45" s="22">
        <v>5.1999999999999998E-2</v>
      </c>
      <c r="CW45" s="22">
        <v>3.7999999999999999E-2</v>
      </c>
      <c r="CX45" s="22">
        <v>21.9</v>
      </c>
      <c r="CY45" s="22">
        <v>0.39600000000000002</v>
      </c>
      <c r="CZ45" s="22">
        <v>38.82</v>
      </c>
      <c r="DA45" s="22">
        <v>0.19800000000000001</v>
      </c>
      <c r="DB45" s="22">
        <v>4.2999999999999997E-2</v>
      </c>
      <c r="DC45" s="22">
        <v>0</v>
      </c>
      <c r="DN45" s="16"/>
      <c r="DO45" s="16"/>
      <c r="DP45" s="16"/>
      <c r="DQ45" s="16"/>
      <c r="DR45" s="16">
        <v>0.31642213567463556</v>
      </c>
      <c r="DS45" s="16">
        <v>1.9082478593688541</v>
      </c>
      <c r="DT45" s="16">
        <v>1.115343718830778</v>
      </c>
      <c r="DU45" s="16">
        <v>0.1658181530879804</v>
      </c>
      <c r="DV45" s="16">
        <v>0.28369921337463838</v>
      </c>
      <c r="DW45" s="13"/>
      <c r="DX45" s="16"/>
      <c r="DY45" s="16"/>
      <c r="DZ45" s="16"/>
      <c r="EA45" s="16"/>
      <c r="EB45" s="16"/>
      <c r="EC45" s="16"/>
      <c r="ED45" s="16"/>
      <c r="EE45" s="15"/>
      <c r="EF45" s="15"/>
      <c r="EG45" s="15"/>
      <c r="EH45" s="15"/>
    </row>
    <row r="46" spans="2:138" x14ac:dyDescent="0.25">
      <c r="B46" s="4" t="s">
        <v>311</v>
      </c>
      <c r="C46" s="5" t="s">
        <v>83</v>
      </c>
      <c r="D46" s="1">
        <v>106.21</v>
      </c>
      <c r="E46" s="98" t="s">
        <v>96</v>
      </c>
      <c r="F46" s="1" t="s">
        <v>103</v>
      </c>
      <c r="G46" s="1">
        <v>137.21</v>
      </c>
      <c r="H46" s="22">
        <f t="shared" ref="H46:R46" si="7">(AA46+($DW46/100)*CT46)*((100-$DW46)/100)</f>
        <v>50.024015999999996</v>
      </c>
      <c r="I46" s="22">
        <f t="shared" si="7"/>
        <v>1.4111999999999998</v>
      </c>
      <c r="J46" s="22">
        <f t="shared" si="7"/>
        <v>16.399824000000002</v>
      </c>
      <c r="K46" s="22">
        <f t="shared" si="7"/>
        <v>4.4519999999999997E-2</v>
      </c>
      <c r="L46" s="22">
        <f t="shared" si="7"/>
        <v>8.7245190677584805</v>
      </c>
      <c r="M46" s="22">
        <f t="shared" si="7"/>
        <v>0.13355999999999998</v>
      </c>
      <c r="N46" s="22">
        <f t="shared" si="7"/>
        <v>3.9227999999999996</v>
      </c>
      <c r="O46" s="22">
        <f t="shared" si="7"/>
        <v>8.3391839999999995</v>
      </c>
      <c r="P46" s="22">
        <f t="shared" si="7"/>
        <v>3.1452960000000001</v>
      </c>
      <c r="Q46" s="22">
        <f t="shared" si="7"/>
        <v>0.95417279999999982</v>
      </c>
      <c r="R46" s="22">
        <f t="shared" si="7"/>
        <v>0.15792</v>
      </c>
      <c r="S46" s="1" t="s">
        <v>314</v>
      </c>
      <c r="T46" s="96">
        <f>DW46</f>
        <v>16</v>
      </c>
      <c r="V46" s="5" t="s">
        <v>83</v>
      </c>
      <c r="W46" s="1">
        <v>106.19999999999999</v>
      </c>
      <c r="X46" s="98" t="s">
        <v>96</v>
      </c>
      <c r="Y46" s="1" t="s">
        <v>103</v>
      </c>
      <c r="Z46" s="1">
        <v>137.19999999999999</v>
      </c>
      <c r="AA46" s="22">
        <v>52.05</v>
      </c>
      <c r="AB46" s="22">
        <v>1.68</v>
      </c>
      <c r="AC46" s="22">
        <v>14.05</v>
      </c>
      <c r="AD46" s="22">
        <v>5.2999999999999999E-2</v>
      </c>
      <c r="AE46" s="22">
        <v>10.27</v>
      </c>
      <c r="AF46" s="22">
        <v>0.159</v>
      </c>
      <c r="AG46" s="22">
        <v>4.67</v>
      </c>
      <c r="AH46" s="22">
        <v>7.15</v>
      </c>
      <c r="AI46" s="22">
        <v>3.49</v>
      </c>
      <c r="AJ46" s="22">
        <v>1.1299999999999999</v>
      </c>
      <c r="AK46" s="22">
        <v>0.188</v>
      </c>
      <c r="AL46" s="22">
        <v>0.10199999999999999</v>
      </c>
      <c r="AM46" s="22">
        <v>0.114</v>
      </c>
      <c r="AO46" s="22">
        <v>95.106000000000009</v>
      </c>
      <c r="AP46" s="3">
        <v>96.249050999999994</v>
      </c>
      <c r="AR46" s="4" t="s">
        <v>311</v>
      </c>
      <c r="AS46" s="1" t="s">
        <v>253</v>
      </c>
      <c r="AT46" s="1" t="s">
        <v>253</v>
      </c>
      <c r="AU46" s="16" t="s">
        <v>80</v>
      </c>
      <c r="AV46" s="13" t="s">
        <v>80</v>
      </c>
      <c r="AW46" s="13" t="s">
        <v>80</v>
      </c>
      <c r="AX46" s="13" t="s">
        <v>80</v>
      </c>
      <c r="AY46" s="13" t="s">
        <v>80</v>
      </c>
      <c r="AZ46" s="13" t="s">
        <v>80</v>
      </c>
      <c r="BA46" s="16" t="s">
        <v>80</v>
      </c>
      <c r="BB46" s="16" t="s">
        <v>80</v>
      </c>
      <c r="BC46" s="13" t="s">
        <v>80</v>
      </c>
      <c r="BD46" s="104" t="s">
        <v>80</v>
      </c>
      <c r="BE46" s="16" t="s">
        <v>80</v>
      </c>
      <c r="BF46" s="13" t="s">
        <v>80</v>
      </c>
      <c r="BG46" s="16" t="s">
        <v>80</v>
      </c>
      <c r="BH46" s="16" t="s">
        <v>80</v>
      </c>
      <c r="BI46" s="16" t="s">
        <v>80</v>
      </c>
      <c r="BJ46" s="16" t="s">
        <v>80</v>
      </c>
      <c r="BK46" s="16" t="s">
        <v>80</v>
      </c>
      <c r="BL46" s="16" t="s">
        <v>80</v>
      </c>
      <c r="BM46" s="16" t="s">
        <v>80</v>
      </c>
      <c r="BN46" s="16" t="s">
        <v>80</v>
      </c>
      <c r="BO46" s="16" t="s">
        <v>80</v>
      </c>
      <c r="BP46" s="16" t="s">
        <v>80</v>
      </c>
      <c r="BQ46" s="16" t="s">
        <v>80</v>
      </c>
      <c r="BR46" s="16" t="s">
        <v>80</v>
      </c>
      <c r="BS46" s="16"/>
      <c r="BT46" s="16" t="s">
        <v>80</v>
      </c>
      <c r="BU46" s="16" t="s">
        <v>80</v>
      </c>
      <c r="BV46" s="16" t="s">
        <v>80</v>
      </c>
      <c r="BW46" s="16" t="s">
        <v>80</v>
      </c>
      <c r="BX46" s="16" t="s">
        <v>80</v>
      </c>
      <c r="BY46" s="16" t="s">
        <v>80</v>
      </c>
      <c r="BZ46" s="16" t="s">
        <v>80</v>
      </c>
      <c r="CA46" s="16" t="s">
        <v>80</v>
      </c>
      <c r="CB46" s="16" t="s">
        <v>80</v>
      </c>
      <c r="CC46" s="16" t="s">
        <v>80</v>
      </c>
      <c r="CD46" s="16" t="s">
        <v>80</v>
      </c>
      <c r="CE46" s="16" t="s">
        <v>80</v>
      </c>
      <c r="CF46" s="16" t="s">
        <v>80</v>
      </c>
      <c r="CG46" s="16" t="s">
        <v>80</v>
      </c>
      <c r="CH46" s="16" t="s">
        <v>80</v>
      </c>
      <c r="CI46" s="16" t="s">
        <v>80</v>
      </c>
      <c r="CJ46" s="16" t="s">
        <v>80</v>
      </c>
      <c r="CK46" s="16" t="s">
        <v>80</v>
      </c>
      <c r="CL46" s="16" t="s">
        <v>80</v>
      </c>
      <c r="CM46" s="16" t="s">
        <v>80</v>
      </c>
      <c r="CP46" s="1">
        <v>79</v>
      </c>
      <c r="CQ46" s="1" t="s">
        <v>96</v>
      </c>
      <c r="CR46" s="1" t="s">
        <v>309</v>
      </c>
      <c r="CS46" s="1">
        <v>110</v>
      </c>
      <c r="CT46" s="22">
        <v>46.89</v>
      </c>
      <c r="CV46" s="22">
        <v>34.21</v>
      </c>
      <c r="CX46" s="22">
        <v>0.72707639701250792</v>
      </c>
      <c r="DA46" s="22">
        <v>17.36</v>
      </c>
      <c r="DB46" s="22">
        <v>1.59</v>
      </c>
      <c r="DC46" s="22">
        <v>3.6999999999999998E-2</v>
      </c>
      <c r="DN46" s="16"/>
      <c r="DO46" s="16"/>
      <c r="DP46" s="16"/>
      <c r="DQ46" s="16"/>
      <c r="DR46" s="16"/>
      <c r="DS46" s="16"/>
      <c r="DT46" s="16"/>
      <c r="DU46" s="16"/>
      <c r="DV46" s="16"/>
      <c r="DW46" s="13">
        <v>16</v>
      </c>
      <c r="DX46" s="16">
        <v>16.838790316851728</v>
      </c>
      <c r="DY46" s="16">
        <v>17.585620289073269</v>
      </c>
      <c r="DZ46" s="16">
        <v>0.85782238992170345</v>
      </c>
      <c r="EA46" s="16">
        <v>0.14217761007829655</v>
      </c>
      <c r="EB46" s="16">
        <v>5.9691666181250144E-2</v>
      </c>
      <c r="EC46" s="16">
        <v>9.3821022740213714E-2</v>
      </c>
      <c r="ED46" s="16">
        <v>0.15882428667235454</v>
      </c>
      <c r="EE46" s="13">
        <v>1016.1258434467724</v>
      </c>
      <c r="EF46" s="13">
        <v>1038.4256410788312</v>
      </c>
      <c r="EG46" s="13">
        <v>1017.7253691114819</v>
      </c>
      <c r="EH46" s="13">
        <v>1048.830661240982</v>
      </c>
    </row>
    <row r="47" spans="2:138" x14ac:dyDescent="0.25">
      <c r="B47" s="4" t="s">
        <v>327</v>
      </c>
      <c r="T47" s="14"/>
      <c r="V47" s="5" t="s">
        <v>83</v>
      </c>
      <c r="W47" s="1">
        <v>106.39999999999998</v>
      </c>
      <c r="X47" s="98" t="s">
        <v>96</v>
      </c>
      <c r="Y47" s="1" t="s">
        <v>103</v>
      </c>
      <c r="Z47" s="1">
        <v>137.39999999999998</v>
      </c>
      <c r="AA47" s="22">
        <v>62.31</v>
      </c>
      <c r="AB47" s="22">
        <v>1.452</v>
      </c>
      <c r="AC47" s="22">
        <v>15.78</v>
      </c>
      <c r="AD47" s="22">
        <v>0</v>
      </c>
      <c r="AE47" s="22">
        <v>7.33</v>
      </c>
      <c r="AF47" s="22">
        <v>0.23599999999999999</v>
      </c>
      <c r="AG47" s="22">
        <v>1.68</v>
      </c>
      <c r="AH47" s="22">
        <v>4.4800000000000004</v>
      </c>
      <c r="AI47" s="22">
        <v>3.6</v>
      </c>
      <c r="AJ47" s="22">
        <v>1.73</v>
      </c>
      <c r="AK47" s="22">
        <v>0.28799999999999998</v>
      </c>
      <c r="AL47" s="22">
        <v>0.02</v>
      </c>
      <c r="AM47" s="22">
        <v>0.14000000000000001</v>
      </c>
      <c r="AO47" s="22">
        <v>99.046000000000006</v>
      </c>
      <c r="AP47" s="3">
        <v>99.861829</v>
      </c>
      <c r="AR47" s="4" t="s">
        <v>308</v>
      </c>
      <c r="AS47" s="1" t="s">
        <v>325</v>
      </c>
      <c r="AU47" s="16" t="s">
        <v>80</v>
      </c>
      <c r="AV47" s="13" t="s">
        <v>80</v>
      </c>
      <c r="AW47" s="13" t="s">
        <v>80</v>
      </c>
      <c r="AX47" s="13" t="s">
        <v>80</v>
      </c>
      <c r="AY47" s="13" t="s">
        <v>80</v>
      </c>
      <c r="AZ47" s="13" t="s">
        <v>80</v>
      </c>
      <c r="BA47" s="16" t="s">
        <v>80</v>
      </c>
      <c r="BB47" s="16" t="s">
        <v>80</v>
      </c>
      <c r="BC47" s="13" t="s">
        <v>80</v>
      </c>
      <c r="BD47" s="104" t="s">
        <v>80</v>
      </c>
      <c r="BE47" s="16" t="s">
        <v>80</v>
      </c>
      <c r="BF47" s="13" t="s">
        <v>80</v>
      </c>
      <c r="BG47" s="16" t="s">
        <v>80</v>
      </c>
      <c r="BH47" s="16" t="s">
        <v>80</v>
      </c>
      <c r="BI47" s="16" t="s">
        <v>80</v>
      </c>
      <c r="BJ47" s="16" t="s">
        <v>80</v>
      </c>
      <c r="BK47" s="16" t="s">
        <v>80</v>
      </c>
      <c r="BL47" s="16" t="s">
        <v>80</v>
      </c>
      <c r="BM47" s="16" t="s">
        <v>80</v>
      </c>
      <c r="BN47" s="16" t="s">
        <v>80</v>
      </c>
      <c r="BO47" s="16" t="s">
        <v>80</v>
      </c>
      <c r="BP47" s="16" t="s">
        <v>80</v>
      </c>
      <c r="BQ47" s="16" t="s">
        <v>80</v>
      </c>
      <c r="BR47" s="16" t="s">
        <v>80</v>
      </c>
      <c r="BS47" s="16"/>
      <c r="BT47" s="16" t="s">
        <v>80</v>
      </c>
      <c r="BU47" s="16" t="s">
        <v>80</v>
      </c>
      <c r="BV47" s="16" t="s">
        <v>80</v>
      </c>
      <c r="BW47" s="16" t="s">
        <v>80</v>
      </c>
      <c r="BX47" s="16" t="s">
        <v>80</v>
      </c>
      <c r="BY47" s="16" t="s">
        <v>80</v>
      </c>
      <c r="BZ47" s="16" t="s">
        <v>80</v>
      </c>
      <c r="CA47" s="16" t="s">
        <v>80</v>
      </c>
      <c r="CB47" s="16" t="s">
        <v>80</v>
      </c>
      <c r="CC47" s="16" t="s">
        <v>80</v>
      </c>
      <c r="CD47" s="16" t="s">
        <v>80</v>
      </c>
      <c r="CE47" s="16" t="s">
        <v>80</v>
      </c>
      <c r="CF47" s="16" t="s">
        <v>80</v>
      </c>
      <c r="CG47" s="16" t="s">
        <v>80</v>
      </c>
      <c r="CH47" s="16" t="s">
        <v>80</v>
      </c>
      <c r="CI47" s="16" t="s">
        <v>80</v>
      </c>
      <c r="CJ47" s="16" t="s">
        <v>80</v>
      </c>
      <c r="CK47" s="16" t="s">
        <v>80</v>
      </c>
      <c r="CL47" s="16" t="s">
        <v>80</v>
      </c>
      <c r="CM47" s="16" t="s">
        <v>80</v>
      </c>
      <c r="DN47" s="16"/>
      <c r="DO47" s="16"/>
      <c r="DP47" s="16"/>
      <c r="DQ47" s="16"/>
      <c r="DR47" s="16"/>
      <c r="DS47" s="16"/>
      <c r="DT47" s="16"/>
      <c r="DU47" s="16"/>
      <c r="DV47" s="16"/>
      <c r="DW47" s="16"/>
      <c r="DX47" s="16"/>
      <c r="DY47" s="16"/>
      <c r="DZ47" s="16"/>
      <c r="EA47" s="16"/>
      <c r="EB47" s="16"/>
      <c r="EC47" s="16"/>
      <c r="ED47" s="16"/>
      <c r="EE47" s="15"/>
      <c r="EF47" s="15"/>
      <c r="EG47" s="15"/>
      <c r="EH47" s="15"/>
    </row>
    <row r="48" spans="2:138" x14ac:dyDescent="0.25">
      <c r="B48" s="4" t="s">
        <v>327</v>
      </c>
      <c r="T48" s="14"/>
      <c r="V48" s="5" t="s">
        <v>83</v>
      </c>
      <c r="W48" s="1">
        <v>106.49999999999997</v>
      </c>
      <c r="X48" s="98" t="s">
        <v>96</v>
      </c>
      <c r="Y48" s="1" t="s">
        <v>103</v>
      </c>
      <c r="Z48" s="1">
        <v>137.49999999999997</v>
      </c>
      <c r="AA48" s="22">
        <v>57.2</v>
      </c>
      <c r="AB48" s="22">
        <v>1.391</v>
      </c>
      <c r="AC48" s="22">
        <v>15.04</v>
      </c>
      <c r="AD48" s="22">
        <v>0</v>
      </c>
      <c r="AE48" s="22">
        <v>10.49</v>
      </c>
      <c r="AF48" s="22">
        <v>0.247</v>
      </c>
      <c r="AG48" s="22">
        <v>2.44</v>
      </c>
      <c r="AH48" s="22">
        <v>5.89</v>
      </c>
      <c r="AI48" s="22">
        <v>2.52</v>
      </c>
      <c r="AJ48" s="22">
        <v>1.42</v>
      </c>
      <c r="AK48" s="22">
        <v>0.249</v>
      </c>
      <c r="AL48" s="22">
        <v>4.8000000000000001E-2</v>
      </c>
      <c r="AM48" s="22">
        <v>0.16300000000000001</v>
      </c>
      <c r="AO48" s="22">
        <v>97.097999999999985</v>
      </c>
      <c r="AP48" s="3">
        <v>98.265537000000009</v>
      </c>
      <c r="AR48" s="4" t="s">
        <v>308</v>
      </c>
      <c r="AS48" s="1" t="s">
        <v>325</v>
      </c>
      <c r="AU48" s="16" t="s">
        <v>80</v>
      </c>
      <c r="AV48" s="13" t="s">
        <v>80</v>
      </c>
      <c r="AW48" s="13" t="s">
        <v>80</v>
      </c>
      <c r="AX48" s="13" t="s">
        <v>80</v>
      </c>
      <c r="AY48" s="13" t="s">
        <v>80</v>
      </c>
      <c r="AZ48" s="13" t="s">
        <v>80</v>
      </c>
      <c r="BA48" s="16" t="s">
        <v>80</v>
      </c>
      <c r="BB48" s="16" t="s">
        <v>80</v>
      </c>
      <c r="BC48" s="13" t="s">
        <v>80</v>
      </c>
      <c r="BD48" s="104" t="s">
        <v>80</v>
      </c>
      <c r="BE48" s="16" t="s">
        <v>80</v>
      </c>
      <c r="BF48" s="13" t="s">
        <v>80</v>
      </c>
      <c r="BG48" s="16" t="s">
        <v>80</v>
      </c>
      <c r="BH48" s="16" t="s">
        <v>80</v>
      </c>
      <c r="BI48" s="16" t="s">
        <v>80</v>
      </c>
      <c r="BJ48" s="16" t="s">
        <v>80</v>
      </c>
      <c r="BK48" s="16" t="s">
        <v>80</v>
      </c>
      <c r="BL48" s="16" t="s">
        <v>80</v>
      </c>
      <c r="BM48" s="16" t="s">
        <v>80</v>
      </c>
      <c r="BN48" s="16" t="s">
        <v>80</v>
      </c>
      <c r="BO48" s="16" t="s">
        <v>80</v>
      </c>
      <c r="BP48" s="16" t="s">
        <v>80</v>
      </c>
      <c r="BQ48" s="16" t="s">
        <v>80</v>
      </c>
      <c r="BR48" s="16" t="s">
        <v>80</v>
      </c>
      <c r="BS48" s="16"/>
      <c r="BT48" s="16" t="s">
        <v>80</v>
      </c>
      <c r="BU48" s="16" t="s">
        <v>80</v>
      </c>
      <c r="BV48" s="16" t="s">
        <v>80</v>
      </c>
      <c r="BW48" s="16" t="s">
        <v>80</v>
      </c>
      <c r="BX48" s="16" t="s">
        <v>80</v>
      </c>
      <c r="BY48" s="16" t="s">
        <v>80</v>
      </c>
      <c r="BZ48" s="16" t="s">
        <v>80</v>
      </c>
      <c r="CA48" s="16" t="s">
        <v>80</v>
      </c>
      <c r="CB48" s="16" t="s">
        <v>80</v>
      </c>
      <c r="CC48" s="16" t="s">
        <v>80</v>
      </c>
      <c r="CD48" s="16" t="s">
        <v>80</v>
      </c>
      <c r="CE48" s="16" t="s">
        <v>80</v>
      </c>
      <c r="CF48" s="16" t="s">
        <v>80</v>
      </c>
      <c r="CG48" s="16" t="s">
        <v>80</v>
      </c>
      <c r="CH48" s="16" t="s">
        <v>80</v>
      </c>
      <c r="CI48" s="16" t="s">
        <v>80</v>
      </c>
      <c r="CJ48" s="16" t="s">
        <v>80</v>
      </c>
      <c r="CK48" s="16" t="s">
        <v>80</v>
      </c>
      <c r="CL48" s="16" t="s">
        <v>80</v>
      </c>
      <c r="CM48" s="16" t="s">
        <v>80</v>
      </c>
      <c r="DN48" s="16"/>
      <c r="DO48" s="16"/>
      <c r="DP48" s="16"/>
      <c r="DQ48" s="16"/>
      <c r="DR48" s="16"/>
      <c r="DS48" s="16"/>
      <c r="DT48" s="16"/>
      <c r="DU48" s="16"/>
      <c r="DV48" s="16"/>
      <c r="DW48" s="16"/>
      <c r="DX48" s="16"/>
      <c r="DY48" s="16"/>
      <c r="DZ48" s="16"/>
      <c r="EA48" s="16"/>
      <c r="EB48" s="16"/>
      <c r="EC48" s="16"/>
      <c r="ED48" s="16"/>
      <c r="EE48" s="15"/>
      <c r="EF48" s="15"/>
      <c r="EG48" s="15"/>
      <c r="EH48" s="15"/>
    </row>
    <row r="49" spans="2:138" x14ac:dyDescent="0.25">
      <c r="B49" s="4" t="s">
        <v>311</v>
      </c>
      <c r="C49" s="5" t="s">
        <v>249</v>
      </c>
      <c r="D49" s="1">
        <v>122.11</v>
      </c>
      <c r="E49" s="98" t="s">
        <v>95</v>
      </c>
      <c r="F49" s="1" t="s">
        <v>104</v>
      </c>
      <c r="G49" s="1">
        <v>153.11000000000001</v>
      </c>
      <c r="H49" s="22">
        <f t="shared" ref="H49:R53" si="8">(AA49+($DW49/100)*CT49)*((100-$DW49)/100)</f>
        <v>61.054623000000007</v>
      </c>
      <c r="I49" s="22">
        <f t="shared" si="8"/>
        <v>0.9993631999999999</v>
      </c>
      <c r="J49" s="22">
        <f t="shared" si="8"/>
        <v>14.034231999999999</v>
      </c>
      <c r="K49" s="22">
        <f t="shared" si="8"/>
        <v>1.5130000000000001E-2</v>
      </c>
      <c r="L49" s="22">
        <f t="shared" si="8"/>
        <v>6.8220279999999995</v>
      </c>
      <c r="M49" s="22">
        <f t="shared" si="8"/>
        <v>0.22452030000000001</v>
      </c>
      <c r="N49" s="22">
        <f t="shared" si="8"/>
        <v>2.3649080000000002</v>
      </c>
      <c r="O49" s="22">
        <f t="shared" si="8"/>
        <v>4.6058390000000005</v>
      </c>
      <c r="P49" s="22">
        <f t="shared" si="8"/>
        <v>3.2654545000000001</v>
      </c>
      <c r="Q49" s="22">
        <f t="shared" si="8"/>
        <v>2.4475000000000002</v>
      </c>
      <c r="R49" s="22">
        <f t="shared" si="8"/>
        <v>0.23585</v>
      </c>
      <c r="S49" s="1" t="s">
        <v>312</v>
      </c>
      <c r="T49" s="96">
        <f>DW49</f>
        <v>11</v>
      </c>
      <c r="V49" s="5" t="s">
        <v>249</v>
      </c>
      <c r="W49" s="1">
        <v>122.1</v>
      </c>
      <c r="X49" s="98" t="s">
        <v>95</v>
      </c>
      <c r="Y49" s="1" t="s">
        <v>104</v>
      </c>
      <c r="Z49" s="1">
        <v>153.1</v>
      </c>
      <c r="AA49" s="22">
        <v>62.84</v>
      </c>
      <c r="AB49" s="22">
        <v>1.0669999999999999</v>
      </c>
      <c r="AC49" s="22">
        <v>15.54</v>
      </c>
      <c r="AD49" s="22">
        <v>1.7000000000000001E-2</v>
      </c>
      <c r="AE49" s="22">
        <v>6.64</v>
      </c>
      <c r="AF49" s="22">
        <v>0.20200000000000001</v>
      </c>
      <c r="AG49" s="22">
        <v>1.038</v>
      </c>
      <c r="AH49" s="22">
        <v>2.93</v>
      </c>
      <c r="AI49" s="22">
        <v>3.63</v>
      </c>
      <c r="AJ49" s="22">
        <v>2.75</v>
      </c>
      <c r="AK49" s="22">
        <v>0.26500000000000001</v>
      </c>
      <c r="AL49" s="22">
        <v>5.2999999999999999E-2</v>
      </c>
      <c r="AM49" s="22">
        <v>0.34300000000000003</v>
      </c>
      <c r="AO49" s="22">
        <v>97.314999999999998</v>
      </c>
      <c r="AP49" s="3">
        <v>98.054031999999992</v>
      </c>
      <c r="AR49" s="4" t="s">
        <v>311</v>
      </c>
      <c r="AS49" s="1" t="s">
        <v>260</v>
      </c>
      <c r="AT49" s="1" t="s">
        <v>260</v>
      </c>
      <c r="AU49" s="16" t="s">
        <v>80</v>
      </c>
      <c r="AV49" s="13" t="s">
        <v>80</v>
      </c>
      <c r="AW49" s="13" t="s">
        <v>80</v>
      </c>
      <c r="AX49" s="13" t="s">
        <v>80</v>
      </c>
      <c r="AY49" s="13" t="s">
        <v>80</v>
      </c>
      <c r="AZ49" s="13" t="s">
        <v>80</v>
      </c>
      <c r="BA49" s="16" t="s">
        <v>80</v>
      </c>
      <c r="BB49" s="16" t="s">
        <v>80</v>
      </c>
      <c r="BC49" s="13" t="s">
        <v>80</v>
      </c>
      <c r="BD49" s="104" t="s">
        <v>80</v>
      </c>
      <c r="BE49" s="16" t="s">
        <v>80</v>
      </c>
      <c r="BF49" s="13" t="s">
        <v>80</v>
      </c>
      <c r="BG49" s="16" t="s">
        <v>80</v>
      </c>
      <c r="BH49" s="16" t="s">
        <v>80</v>
      </c>
      <c r="BI49" s="16" t="s">
        <v>80</v>
      </c>
      <c r="BJ49" s="16" t="s">
        <v>80</v>
      </c>
      <c r="BK49" s="16" t="s">
        <v>80</v>
      </c>
      <c r="BL49" s="16" t="s">
        <v>80</v>
      </c>
      <c r="BM49" s="16" t="s">
        <v>80</v>
      </c>
      <c r="BN49" s="16" t="s">
        <v>80</v>
      </c>
      <c r="BO49" s="16" t="s">
        <v>80</v>
      </c>
      <c r="BP49" s="16" t="s">
        <v>80</v>
      </c>
      <c r="BQ49" s="16" t="s">
        <v>80</v>
      </c>
      <c r="BR49" s="16" t="s">
        <v>80</v>
      </c>
      <c r="BS49" s="16"/>
      <c r="BT49" s="16" t="s">
        <v>80</v>
      </c>
      <c r="BU49" s="16" t="s">
        <v>80</v>
      </c>
      <c r="BV49" s="16" t="s">
        <v>80</v>
      </c>
      <c r="BW49" s="16" t="s">
        <v>80</v>
      </c>
      <c r="BX49" s="16" t="s">
        <v>80</v>
      </c>
      <c r="BY49" s="16" t="s">
        <v>80</v>
      </c>
      <c r="BZ49" s="16" t="s">
        <v>80</v>
      </c>
      <c r="CA49" s="16" t="s">
        <v>80</v>
      </c>
      <c r="CB49" s="16" t="s">
        <v>80</v>
      </c>
      <c r="CC49" s="16" t="s">
        <v>80</v>
      </c>
      <c r="CD49" s="16" t="s">
        <v>80</v>
      </c>
      <c r="CE49" s="16" t="s">
        <v>80</v>
      </c>
      <c r="CF49" s="16" t="s">
        <v>80</v>
      </c>
      <c r="CG49" s="16" t="s">
        <v>80</v>
      </c>
      <c r="CH49" s="16" t="s">
        <v>80</v>
      </c>
      <c r="CI49" s="16" t="s">
        <v>80</v>
      </c>
      <c r="CJ49" s="16" t="s">
        <v>80</v>
      </c>
      <c r="CK49" s="16" t="s">
        <v>80</v>
      </c>
      <c r="CL49" s="16" t="s">
        <v>80</v>
      </c>
      <c r="CM49" s="16" t="s">
        <v>80</v>
      </c>
      <c r="CP49" s="1">
        <v>125</v>
      </c>
      <c r="CQ49" s="1" t="s">
        <v>95</v>
      </c>
      <c r="CR49" s="1" t="s">
        <v>104</v>
      </c>
      <c r="CS49" s="1">
        <v>156</v>
      </c>
      <c r="CT49" s="22">
        <v>52.37</v>
      </c>
      <c r="CU49" s="22">
        <v>0.50800000000000001</v>
      </c>
      <c r="CV49" s="22">
        <v>2.08</v>
      </c>
      <c r="CW49" s="22">
        <v>0</v>
      </c>
      <c r="CX49" s="22">
        <v>9.32</v>
      </c>
      <c r="CY49" s="22">
        <v>0.45700000000000002</v>
      </c>
      <c r="CZ49" s="22">
        <v>14.72</v>
      </c>
      <c r="DA49" s="22">
        <v>20.41</v>
      </c>
      <c r="DB49" s="22">
        <v>0.35499999999999998</v>
      </c>
      <c r="DN49" s="16">
        <v>0.73793702048801735</v>
      </c>
      <c r="DO49" s="16">
        <v>0.42056909010399007</v>
      </c>
      <c r="DP49" s="16">
        <v>5.8258318450089552E-2</v>
      </c>
      <c r="DQ49" s="16">
        <v>2.5517938135580401E-2</v>
      </c>
      <c r="DR49" s="16">
        <v>0.35512919427551359</v>
      </c>
      <c r="DS49" s="16">
        <v>3.5879716225330283</v>
      </c>
      <c r="DT49" s="16">
        <v>1.6179962876562526</v>
      </c>
      <c r="DU49" s="16">
        <v>9.8977704295442642E-2</v>
      </c>
      <c r="DV49" s="16">
        <v>0.21948702662966907</v>
      </c>
      <c r="DW49" s="13">
        <v>11</v>
      </c>
      <c r="DX49" s="16"/>
      <c r="DY49" s="16"/>
      <c r="DZ49" s="16"/>
      <c r="EA49" s="16"/>
      <c r="EB49" s="16"/>
      <c r="EC49" s="16"/>
      <c r="ED49" s="16"/>
      <c r="EE49" s="15"/>
      <c r="EF49" s="15"/>
      <c r="EG49" s="15"/>
      <c r="EH49" s="15"/>
    </row>
    <row r="50" spans="2:138" x14ac:dyDescent="0.25">
      <c r="B50" s="4" t="s">
        <v>311</v>
      </c>
      <c r="C50" s="5" t="s">
        <v>249</v>
      </c>
      <c r="D50" s="1">
        <v>124.21</v>
      </c>
      <c r="E50" s="98" t="s">
        <v>95</v>
      </c>
      <c r="F50" s="1" t="s">
        <v>104</v>
      </c>
      <c r="G50" s="1">
        <v>155.21</v>
      </c>
      <c r="H50" s="22">
        <f t="shared" si="8"/>
        <v>57.92</v>
      </c>
      <c r="I50" s="22">
        <f t="shared" si="8"/>
        <v>0.88400000000000001</v>
      </c>
      <c r="J50" s="22">
        <f t="shared" si="8"/>
        <v>13.62</v>
      </c>
      <c r="K50" s="22">
        <f t="shared" si="8"/>
        <v>3.3000000000000002E-2</v>
      </c>
      <c r="L50" s="22">
        <f t="shared" si="8"/>
        <v>7.58</v>
      </c>
      <c r="M50" s="22">
        <f t="shared" si="8"/>
        <v>0.26700000000000002</v>
      </c>
      <c r="N50" s="22">
        <f t="shared" si="8"/>
        <v>3.99</v>
      </c>
      <c r="O50" s="22">
        <f t="shared" si="8"/>
        <v>7.18</v>
      </c>
      <c r="P50" s="22">
        <f t="shared" si="8"/>
        <v>3.99</v>
      </c>
      <c r="Q50" s="22">
        <f t="shared" si="8"/>
        <v>2.02</v>
      </c>
      <c r="R50" s="22">
        <f t="shared" si="8"/>
        <v>0.32500000000000001</v>
      </c>
      <c r="S50" s="1" t="s">
        <v>312</v>
      </c>
      <c r="T50" s="96">
        <f>DW50</f>
        <v>0</v>
      </c>
      <c r="V50" s="5" t="s">
        <v>249</v>
      </c>
      <c r="W50" s="1">
        <v>124.19999999999999</v>
      </c>
      <c r="X50" s="98" t="s">
        <v>95</v>
      </c>
      <c r="Y50" s="1" t="s">
        <v>104</v>
      </c>
      <c r="Z50" s="1">
        <v>155.19999999999999</v>
      </c>
      <c r="AA50" s="22">
        <v>57.92</v>
      </c>
      <c r="AB50" s="22">
        <v>0.88400000000000001</v>
      </c>
      <c r="AC50" s="22">
        <v>13.62</v>
      </c>
      <c r="AD50" s="22">
        <v>3.3000000000000002E-2</v>
      </c>
      <c r="AE50" s="22">
        <v>7.58</v>
      </c>
      <c r="AF50" s="22">
        <v>0.26700000000000002</v>
      </c>
      <c r="AG50" s="22">
        <v>3.99</v>
      </c>
      <c r="AH50" s="22">
        <v>7.18</v>
      </c>
      <c r="AI50" s="22">
        <v>3.99</v>
      </c>
      <c r="AJ50" s="22">
        <v>2.02</v>
      </c>
      <c r="AK50" s="22">
        <v>0.32500000000000001</v>
      </c>
      <c r="AL50" s="22">
        <v>4.9000000000000002E-2</v>
      </c>
      <c r="AM50" s="22">
        <v>0.29799999999999999</v>
      </c>
      <c r="AO50" s="22">
        <v>98.155999999999992</v>
      </c>
      <c r="AP50" s="3">
        <v>98.999654000000007</v>
      </c>
      <c r="AR50" s="4" t="s">
        <v>311</v>
      </c>
      <c r="AS50" s="1" t="s">
        <v>260</v>
      </c>
      <c r="AT50" s="1" t="s">
        <v>260</v>
      </c>
      <c r="AU50" s="16" t="s">
        <v>80</v>
      </c>
      <c r="AV50" s="13" t="s">
        <v>80</v>
      </c>
      <c r="AW50" s="13" t="s">
        <v>80</v>
      </c>
      <c r="AX50" s="13" t="s">
        <v>80</v>
      </c>
      <c r="AY50" s="13" t="s">
        <v>80</v>
      </c>
      <c r="AZ50" s="13" t="s">
        <v>80</v>
      </c>
      <c r="BA50" s="16" t="s">
        <v>80</v>
      </c>
      <c r="BB50" s="16" t="s">
        <v>80</v>
      </c>
      <c r="BC50" s="13" t="s">
        <v>80</v>
      </c>
      <c r="BD50" s="104" t="s">
        <v>80</v>
      </c>
      <c r="BE50" s="16" t="s">
        <v>80</v>
      </c>
      <c r="BF50" s="13" t="s">
        <v>80</v>
      </c>
      <c r="BG50" s="16" t="s">
        <v>80</v>
      </c>
      <c r="BH50" s="16" t="s">
        <v>80</v>
      </c>
      <c r="BI50" s="16" t="s">
        <v>80</v>
      </c>
      <c r="BJ50" s="16" t="s">
        <v>80</v>
      </c>
      <c r="BK50" s="16" t="s">
        <v>80</v>
      </c>
      <c r="BL50" s="16" t="s">
        <v>80</v>
      </c>
      <c r="BM50" s="16" t="s">
        <v>80</v>
      </c>
      <c r="BN50" s="16" t="s">
        <v>80</v>
      </c>
      <c r="BO50" s="16" t="s">
        <v>80</v>
      </c>
      <c r="BP50" s="16" t="s">
        <v>80</v>
      </c>
      <c r="BQ50" s="16" t="s">
        <v>80</v>
      </c>
      <c r="BR50" s="16" t="s">
        <v>80</v>
      </c>
      <c r="BS50" s="16"/>
      <c r="BT50" s="16" t="s">
        <v>80</v>
      </c>
      <c r="BU50" s="16" t="s">
        <v>80</v>
      </c>
      <c r="BV50" s="16" t="s">
        <v>80</v>
      </c>
      <c r="BW50" s="16" t="s">
        <v>80</v>
      </c>
      <c r="BX50" s="16" t="s">
        <v>80</v>
      </c>
      <c r="BY50" s="16" t="s">
        <v>80</v>
      </c>
      <c r="BZ50" s="16" t="s">
        <v>80</v>
      </c>
      <c r="CA50" s="16" t="s">
        <v>80</v>
      </c>
      <c r="CB50" s="16" t="s">
        <v>80</v>
      </c>
      <c r="CC50" s="16" t="s">
        <v>80</v>
      </c>
      <c r="CD50" s="16" t="s">
        <v>80</v>
      </c>
      <c r="CE50" s="16" t="s">
        <v>80</v>
      </c>
      <c r="CF50" s="16" t="s">
        <v>80</v>
      </c>
      <c r="CG50" s="16" t="s">
        <v>80</v>
      </c>
      <c r="CH50" s="16" t="s">
        <v>80</v>
      </c>
      <c r="CI50" s="16" t="s">
        <v>80</v>
      </c>
      <c r="CJ50" s="16" t="s">
        <v>80</v>
      </c>
      <c r="CK50" s="16" t="s">
        <v>80</v>
      </c>
      <c r="CL50" s="16" t="s">
        <v>80</v>
      </c>
      <c r="CM50" s="16" t="s">
        <v>80</v>
      </c>
      <c r="CP50" s="1">
        <v>169</v>
      </c>
      <c r="CQ50" s="1" t="s">
        <v>95</v>
      </c>
      <c r="CR50" s="1" t="s">
        <v>104</v>
      </c>
      <c r="CS50" s="1">
        <v>200</v>
      </c>
      <c r="CT50" s="22">
        <v>52</v>
      </c>
      <c r="CU50" s="22">
        <v>0.68</v>
      </c>
      <c r="CV50" s="22">
        <v>2.58</v>
      </c>
      <c r="CW50" s="22">
        <v>0</v>
      </c>
      <c r="CX50" s="22">
        <v>8.85</v>
      </c>
      <c r="CY50" s="22">
        <v>0.40500000000000003</v>
      </c>
      <c r="CZ50" s="22">
        <v>14.54</v>
      </c>
      <c r="DA50" s="22">
        <v>20.66</v>
      </c>
      <c r="DB50" s="22">
        <v>0.33800000000000002</v>
      </c>
      <c r="DC50" s="22">
        <v>8.0000000000000002E-3</v>
      </c>
      <c r="DD50" s="11"/>
      <c r="DE50" s="4"/>
      <c r="DF50" s="4"/>
      <c r="DG50" s="4"/>
      <c r="DH50" s="4"/>
      <c r="DI50" s="4"/>
      <c r="DJ50" s="4"/>
      <c r="DK50" s="4"/>
      <c r="DL50" s="4"/>
      <c r="DM50" s="4"/>
      <c r="DN50" s="16">
        <v>0.74549257361095056</v>
      </c>
      <c r="DO50" s="16">
        <v>0.42933393161989836</v>
      </c>
      <c r="DP50" s="16">
        <v>6.9978642804461977E-2</v>
      </c>
      <c r="DQ50" s="16">
        <v>2.4321133927460523E-2</v>
      </c>
      <c r="DR50" s="17">
        <v>0.34139498554128989</v>
      </c>
      <c r="DS50" s="17">
        <v>1.0655518406315021</v>
      </c>
      <c r="DT50" s="17">
        <v>1.0655518406315021</v>
      </c>
      <c r="DU50" s="17">
        <v>0.32039265714088699</v>
      </c>
      <c r="DV50" s="17">
        <v>0.32039265714088699</v>
      </c>
      <c r="DW50" s="13">
        <v>0</v>
      </c>
      <c r="DX50" s="16"/>
      <c r="DY50" s="16"/>
      <c r="DZ50" s="16"/>
      <c r="EA50" s="16"/>
      <c r="EB50" s="16"/>
      <c r="EC50" s="16"/>
      <c r="ED50" s="16"/>
      <c r="EE50" s="15"/>
      <c r="EF50" s="15"/>
      <c r="EG50" s="15"/>
      <c r="EH50" s="15"/>
    </row>
    <row r="51" spans="2:138" x14ac:dyDescent="0.25">
      <c r="B51" s="4" t="s">
        <v>311</v>
      </c>
      <c r="C51" s="5" t="s">
        <v>249</v>
      </c>
      <c r="D51" s="1">
        <v>124.31</v>
      </c>
      <c r="E51" s="98" t="s">
        <v>95</v>
      </c>
      <c r="F51" s="1" t="s">
        <v>104</v>
      </c>
      <c r="G51" s="1">
        <v>155.31</v>
      </c>
      <c r="H51" s="22">
        <f t="shared" si="8"/>
        <v>59.193599999999996</v>
      </c>
      <c r="I51" s="22">
        <f t="shared" si="8"/>
        <v>1.049472</v>
      </c>
      <c r="J51" s="22">
        <f t="shared" si="8"/>
        <v>14.825471999999998</v>
      </c>
      <c r="K51" s="22">
        <f t="shared" si="8"/>
        <v>0</v>
      </c>
      <c r="L51" s="22">
        <f t="shared" si="8"/>
        <v>7.03104</v>
      </c>
      <c r="M51" s="22">
        <f t="shared" si="8"/>
        <v>0.195072</v>
      </c>
      <c r="N51" s="22">
        <f t="shared" si="8"/>
        <v>2.4975359999999998</v>
      </c>
      <c r="O51" s="22">
        <f t="shared" si="8"/>
        <v>5.6701439999999996</v>
      </c>
      <c r="P51" s="22">
        <f t="shared" si="8"/>
        <v>4.6209791999999998</v>
      </c>
      <c r="Q51" s="22">
        <f t="shared" si="8"/>
        <v>2.0259071999999998</v>
      </c>
      <c r="R51" s="22">
        <f t="shared" si="8"/>
        <v>0.27839999999999998</v>
      </c>
      <c r="S51" s="1" t="s">
        <v>312</v>
      </c>
      <c r="T51" s="96">
        <f>DW51</f>
        <v>4</v>
      </c>
      <c r="V51" s="5" t="s">
        <v>249</v>
      </c>
      <c r="W51" s="1">
        <v>124.29999999999998</v>
      </c>
      <c r="X51" s="98" t="s">
        <v>95</v>
      </c>
      <c r="Y51" s="1" t="s">
        <v>104</v>
      </c>
      <c r="Z51" s="1">
        <v>155.29999999999998</v>
      </c>
      <c r="AA51" s="22">
        <v>59.58</v>
      </c>
      <c r="AB51" s="22">
        <v>1.0660000000000001</v>
      </c>
      <c r="AC51" s="22">
        <v>15.34</v>
      </c>
      <c r="AD51" s="22">
        <v>0</v>
      </c>
      <c r="AE51" s="22">
        <v>6.97</v>
      </c>
      <c r="AF51" s="22">
        <v>0.187</v>
      </c>
      <c r="AG51" s="22">
        <v>2.02</v>
      </c>
      <c r="AH51" s="22">
        <v>5.08</v>
      </c>
      <c r="AI51" s="22">
        <v>4.8</v>
      </c>
      <c r="AJ51" s="22">
        <v>2.11</v>
      </c>
      <c r="AK51" s="22">
        <v>0.28999999999999998</v>
      </c>
      <c r="AL51" s="22">
        <v>5.3999999999999999E-2</v>
      </c>
      <c r="AM51" s="22">
        <v>0.33100000000000002</v>
      </c>
      <c r="AO51" s="22">
        <v>97.828000000000003</v>
      </c>
      <c r="AP51" s="3">
        <v>98.603761000000006</v>
      </c>
      <c r="AR51" s="4" t="s">
        <v>311</v>
      </c>
      <c r="AS51" s="1" t="s">
        <v>260</v>
      </c>
      <c r="AT51" s="1" t="s">
        <v>260</v>
      </c>
      <c r="AU51" s="16" t="s">
        <v>80</v>
      </c>
      <c r="AV51" s="13" t="s">
        <v>80</v>
      </c>
      <c r="AW51" s="13" t="s">
        <v>80</v>
      </c>
      <c r="AX51" s="13" t="s">
        <v>80</v>
      </c>
      <c r="AY51" s="13" t="s">
        <v>80</v>
      </c>
      <c r="AZ51" s="13" t="s">
        <v>80</v>
      </c>
      <c r="BA51" s="16" t="s">
        <v>80</v>
      </c>
      <c r="BB51" s="16" t="s">
        <v>80</v>
      </c>
      <c r="BC51" s="13" t="s">
        <v>80</v>
      </c>
      <c r="BD51" s="104" t="s">
        <v>80</v>
      </c>
      <c r="BE51" s="16" t="s">
        <v>80</v>
      </c>
      <c r="BF51" s="13" t="s">
        <v>80</v>
      </c>
      <c r="BG51" s="16" t="s">
        <v>80</v>
      </c>
      <c r="BH51" s="16" t="s">
        <v>80</v>
      </c>
      <c r="BI51" s="16" t="s">
        <v>80</v>
      </c>
      <c r="BJ51" s="16" t="s">
        <v>80</v>
      </c>
      <c r="BK51" s="16" t="s">
        <v>80</v>
      </c>
      <c r="BL51" s="16" t="s">
        <v>80</v>
      </c>
      <c r="BM51" s="16" t="s">
        <v>80</v>
      </c>
      <c r="BN51" s="16" t="s">
        <v>80</v>
      </c>
      <c r="BO51" s="16" t="s">
        <v>80</v>
      </c>
      <c r="BP51" s="16" t="s">
        <v>80</v>
      </c>
      <c r="BQ51" s="16" t="s">
        <v>80</v>
      </c>
      <c r="BR51" s="16" t="s">
        <v>80</v>
      </c>
      <c r="BS51" s="16"/>
      <c r="BT51" s="16" t="s">
        <v>80</v>
      </c>
      <c r="BU51" s="16" t="s">
        <v>80</v>
      </c>
      <c r="BV51" s="16" t="s">
        <v>80</v>
      </c>
      <c r="BW51" s="16" t="s">
        <v>80</v>
      </c>
      <c r="BX51" s="16" t="s">
        <v>80</v>
      </c>
      <c r="BY51" s="16" t="s">
        <v>80</v>
      </c>
      <c r="BZ51" s="16" t="s">
        <v>80</v>
      </c>
      <c r="CA51" s="16" t="s">
        <v>80</v>
      </c>
      <c r="CB51" s="16" t="s">
        <v>80</v>
      </c>
      <c r="CC51" s="16" t="s">
        <v>80</v>
      </c>
      <c r="CD51" s="16" t="s">
        <v>80</v>
      </c>
      <c r="CE51" s="16" t="s">
        <v>80</v>
      </c>
      <c r="CF51" s="16" t="s">
        <v>80</v>
      </c>
      <c r="CG51" s="16" t="s">
        <v>80</v>
      </c>
      <c r="CH51" s="16" t="s">
        <v>80</v>
      </c>
      <c r="CI51" s="16" t="s">
        <v>80</v>
      </c>
      <c r="CJ51" s="16" t="s">
        <v>80</v>
      </c>
      <c r="CK51" s="16" t="s">
        <v>80</v>
      </c>
      <c r="CL51" s="16" t="s">
        <v>80</v>
      </c>
      <c r="CM51" s="16" t="s">
        <v>80</v>
      </c>
      <c r="CP51" s="1">
        <v>169</v>
      </c>
      <c r="CQ51" s="1" t="s">
        <v>95</v>
      </c>
      <c r="CR51" s="1" t="s">
        <v>104</v>
      </c>
      <c r="CS51" s="1">
        <v>200</v>
      </c>
      <c r="CT51" s="22">
        <v>52</v>
      </c>
      <c r="CU51" s="22">
        <v>0.68</v>
      </c>
      <c r="CV51" s="22">
        <v>2.58</v>
      </c>
      <c r="CW51" s="22">
        <v>0</v>
      </c>
      <c r="CX51" s="22">
        <v>8.85</v>
      </c>
      <c r="CY51" s="22">
        <v>0.40500000000000003</v>
      </c>
      <c r="CZ51" s="22">
        <v>14.54</v>
      </c>
      <c r="DA51" s="22">
        <v>20.66</v>
      </c>
      <c r="DB51" s="22">
        <v>0.33800000000000002</v>
      </c>
      <c r="DC51" s="22">
        <v>8.0000000000000002E-3</v>
      </c>
      <c r="DD51" s="11"/>
      <c r="DE51" s="4"/>
      <c r="DF51" s="4"/>
      <c r="DG51" s="4"/>
      <c r="DH51" s="4"/>
      <c r="DI51" s="4"/>
      <c r="DJ51" s="4"/>
      <c r="DK51" s="4"/>
      <c r="DL51" s="4"/>
      <c r="DM51" s="4"/>
      <c r="DN51" s="16">
        <v>0.74549257361095056</v>
      </c>
      <c r="DO51" s="16">
        <v>0.42933393161989836</v>
      </c>
      <c r="DP51" s="16">
        <v>6.9978642804461977E-2</v>
      </c>
      <c r="DQ51" s="16">
        <v>2.4321133927460523E-2</v>
      </c>
      <c r="DR51" s="17">
        <v>0.34139498554128989</v>
      </c>
      <c r="DS51" s="17">
        <v>1.9353507375789771</v>
      </c>
      <c r="DT51" s="17">
        <v>1.5790143809580059</v>
      </c>
      <c r="DU51" s="17">
        <v>0.17639954294194612</v>
      </c>
      <c r="DV51" s="17">
        <v>0.21620764804824746</v>
      </c>
      <c r="DW51" s="13">
        <v>4</v>
      </c>
      <c r="DX51" s="16"/>
      <c r="DY51" s="16"/>
      <c r="DZ51" s="16"/>
      <c r="EA51" s="16"/>
      <c r="EB51" s="16"/>
      <c r="EC51" s="16"/>
      <c r="ED51" s="16"/>
      <c r="EE51" s="15"/>
      <c r="EF51" s="15"/>
      <c r="EG51" s="15"/>
      <c r="EH51" s="15"/>
    </row>
    <row r="52" spans="2:138" x14ac:dyDescent="0.25">
      <c r="B52" s="4" t="s">
        <v>311</v>
      </c>
      <c r="C52" s="5" t="s">
        <v>249</v>
      </c>
      <c r="D52" s="1">
        <v>135.11000000000001</v>
      </c>
      <c r="E52" s="98" t="s">
        <v>95</v>
      </c>
      <c r="F52" s="1" t="s">
        <v>104</v>
      </c>
      <c r="G52" s="1">
        <v>166.11</v>
      </c>
      <c r="H52" s="22">
        <f t="shared" si="8"/>
        <v>59.787488000000003</v>
      </c>
      <c r="I52" s="22">
        <f t="shared" si="8"/>
        <v>1.0065168</v>
      </c>
      <c r="J52" s="22">
        <f t="shared" si="8"/>
        <v>14.311446400000001</v>
      </c>
      <c r="K52" s="22">
        <f t="shared" si="8"/>
        <v>3.6799999999999999E-2</v>
      </c>
      <c r="L52" s="22">
        <f t="shared" si="8"/>
        <v>8.4724640000000004</v>
      </c>
      <c r="M52" s="22">
        <f t="shared" si="8"/>
        <v>0.23872160000000001</v>
      </c>
      <c r="N52" s="22">
        <f t="shared" si="8"/>
        <v>2.849056</v>
      </c>
      <c r="O52" s="22">
        <f t="shared" si="8"/>
        <v>4.1933600000000002</v>
      </c>
      <c r="P52" s="22">
        <f t="shared" si="8"/>
        <v>4.2816064000000003</v>
      </c>
      <c r="Q52" s="22">
        <f t="shared" si="8"/>
        <v>1.9964</v>
      </c>
      <c r="R52" s="22">
        <f t="shared" si="8"/>
        <v>0.28428000000000003</v>
      </c>
      <c r="S52" s="1" t="s">
        <v>315</v>
      </c>
      <c r="T52" s="96">
        <f>DW52</f>
        <v>8</v>
      </c>
      <c r="V52" s="5" t="s">
        <v>249</v>
      </c>
      <c r="W52" s="1">
        <v>135.1</v>
      </c>
      <c r="X52" s="98" t="s">
        <v>95</v>
      </c>
      <c r="Y52" s="1" t="s">
        <v>104</v>
      </c>
      <c r="Z52" s="1">
        <v>166.1</v>
      </c>
      <c r="AA52" s="22">
        <v>60.66</v>
      </c>
      <c r="AB52" s="22">
        <v>1.079</v>
      </c>
      <c r="AC52" s="22">
        <v>15.47</v>
      </c>
      <c r="AD52" s="22">
        <v>0.04</v>
      </c>
      <c r="AE52" s="22">
        <v>7.69</v>
      </c>
      <c r="AF52" s="22">
        <v>0.19900000000000001</v>
      </c>
      <c r="AG52" s="22">
        <v>1.236</v>
      </c>
      <c r="AH52" s="22">
        <v>4.43</v>
      </c>
      <c r="AI52" s="22">
        <v>4.6500000000000004</v>
      </c>
      <c r="AJ52" s="22">
        <v>2.17</v>
      </c>
      <c r="AK52" s="22">
        <v>0.309</v>
      </c>
      <c r="AL52" s="22">
        <v>5.6000000000000001E-2</v>
      </c>
      <c r="AM52" s="22">
        <v>0.22900000000000001</v>
      </c>
      <c r="AO52" s="22">
        <v>98.218000000000004</v>
      </c>
      <c r="AP52" s="3">
        <v>99.073897000000002</v>
      </c>
      <c r="AR52" s="4" t="s">
        <v>311</v>
      </c>
      <c r="AS52" s="1" t="s">
        <v>316</v>
      </c>
      <c r="AT52" s="1" t="s">
        <v>316</v>
      </c>
      <c r="AU52" s="16" t="s">
        <v>80</v>
      </c>
      <c r="AV52" s="13" t="s">
        <v>80</v>
      </c>
      <c r="AW52" s="13" t="s">
        <v>80</v>
      </c>
      <c r="AX52" s="13" t="s">
        <v>80</v>
      </c>
      <c r="AY52" s="13" t="s">
        <v>80</v>
      </c>
      <c r="AZ52" s="13" t="s">
        <v>80</v>
      </c>
      <c r="BA52" s="16" t="s">
        <v>80</v>
      </c>
      <c r="BB52" s="16" t="s">
        <v>80</v>
      </c>
      <c r="BC52" s="13" t="s">
        <v>80</v>
      </c>
      <c r="BD52" s="104" t="s">
        <v>80</v>
      </c>
      <c r="BE52" s="16" t="s">
        <v>80</v>
      </c>
      <c r="BF52" s="13" t="s">
        <v>80</v>
      </c>
      <c r="BG52" s="16" t="s">
        <v>80</v>
      </c>
      <c r="BH52" s="16" t="s">
        <v>80</v>
      </c>
      <c r="BI52" s="16" t="s">
        <v>80</v>
      </c>
      <c r="BJ52" s="16" t="s">
        <v>80</v>
      </c>
      <c r="BK52" s="16" t="s">
        <v>80</v>
      </c>
      <c r="BL52" s="16" t="s">
        <v>80</v>
      </c>
      <c r="BM52" s="16" t="s">
        <v>80</v>
      </c>
      <c r="BN52" s="16" t="s">
        <v>80</v>
      </c>
      <c r="BO52" s="16" t="s">
        <v>80</v>
      </c>
      <c r="BP52" s="16" t="s">
        <v>80</v>
      </c>
      <c r="BQ52" s="16" t="s">
        <v>80</v>
      </c>
      <c r="BR52" s="16" t="s">
        <v>80</v>
      </c>
      <c r="BS52" s="16"/>
      <c r="BT52" s="16" t="s">
        <v>80</v>
      </c>
      <c r="BU52" s="16" t="s">
        <v>80</v>
      </c>
      <c r="BV52" s="16" t="s">
        <v>80</v>
      </c>
      <c r="BW52" s="16" t="s">
        <v>80</v>
      </c>
      <c r="BX52" s="16" t="s">
        <v>80</v>
      </c>
      <c r="BY52" s="16" t="s">
        <v>80</v>
      </c>
      <c r="BZ52" s="16" t="s">
        <v>80</v>
      </c>
      <c r="CA52" s="16" t="s">
        <v>80</v>
      </c>
      <c r="CB52" s="16" t="s">
        <v>80</v>
      </c>
      <c r="CC52" s="16" t="s">
        <v>80</v>
      </c>
      <c r="CD52" s="16" t="s">
        <v>80</v>
      </c>
      <c r="CE52" s="16" t="s">
        <v>80</v>
      </c>
      <c r="CF52" s="16" t="s">
        <v>80</v>
      </c>
      <c r="CG52" s="16" t="s">
        <v>80</v>
      </c>
      <c r="CH52" s="16" t="s">
        <v>80</v>
      </c>
      <c r="CI52" s="16" t="s">
        <v>80</v>
      </c>
      <c r="CJ52" s="16" t="s">
        <v>80</v>
      </c>
      <c r="CK52" s="16" t="s">
        <v>80</v>
      </c>
      <c r="CL52" s="16" t="s">
        <v>80</v>
      </c>
      <c r="CM52" s="16" t="s">
        <v>80</v>
      </c>
      <c r="CP52" s="1">
        <v>136</v>
      </c>
      <c r="CQ52" s="1" t="s">
        <v>95</v>
      </c>
      <c r="CR52" s="1" t="s">
        <v>104</v>
      </c>
      <c r="CS52" s="1">
        <v>167</v>
      </c>
      <c r="CT52" s="22">
        <v>54.08</v>
      </c>
      <c r="CU52" s="22">
        <v>0.188</v>
      </c>
      <c r="CV52" s="22">
        <v>1.0740000000000001</v>
      </c>
      <c r="CW52" s="22">
        <v>0</v>
      </c>
      <c r="CX52" s="22">
        <v>18.989999999999998</v>
      </c>
      <c r="CY52" s="22">
        <v>0.75600000000000001</v>
      </c>
      <c r="CZ52" s="22">
        <v>23.26</v>
      </c>
      <c r="DA52" s="22">
        <v>1.6</v>
      </c>
      <c r="DB52" s="22">
        <v>4.9000000000000002E-2</v>
      </c>
      <c r="DN52" s="16">
        <v>0.68590674927601902</v>
      </c>
      <c r="DO52" s="16">
        <v>3.2396940613672737E-2</v>
      </c>
      <c r="DP52" s="16">
        <v>6.1225362743215772E-3</v>
      </c>
      <c r="DQ52" s="16"/>
      <c r="DR52" s="16">
        <v>0.45792412898037427</v>
      </c>
      <c r="DS52" s="16">
        <v>3.4896843252641134</v>
      </c>
      <c r="DT52" s="16">
        <v>1.6679653336454159</v>
      </c>
      <c r="DU52" s="16">
        <v>0.13122222135256223</v>
      </c>
      <c r="DV52" s="16">
        <v>0.27454055533609906</v>
      </c>
      <c r="DW52" s="13">
        <v>8</v>
      </c>
      <c r="DX52" s="16"/>
      <c r="DY52" s="16"/>
      <c r="DZ52" s="16"/>
      <c r="EA52" s="16"/>
      <c r="EB52" s="16"/>
      <c r="EC52" s="16"/>
      <c r="ED52" s="16"/>
      <c r="EE52" s="15"/>
      <c r="EF52" s="15"/>
      <c r="EG52" s="15"/>
      <c r="EH52" s="15"/>
    </row>
    <row r="53" spans="2:138" x14ac:dyDescent="0.25">
      <c r="B53" s="4" t="s">
        <v>311</v>
      </c>
      <c r="C53" s="5" t="s">
        <v>249</v>
      </c>
      <c r="D53" s="1">
        <v>135.21</v>
      </c>
      <c r="E53" s="98" t="s">
        <v>95</v>
      </c>
      <c r="F53" s="1" t="s">
        <v>104</v>
      </c>
      <c r="G53" s="1">
        <v>166.21</v>
      </c>
      <c r="H53" s="22">
        <f t="shared" si="8"/>
        <v>59.661799999999992</v>
      </c>
      <c r="I53" s="22">
        <f t="shared" si="8"/>
        <v>1.0704719999999999</v>
      </c>
      <c r="J53" s="22">
        <f t="shared" si="8"/>
        <v>14.621511999999999</v>
      </c>
      <c r="K53" s="22">
        <f t="shared" si="8"/>
        <v>0</v>
      </c>
      <c r="L53" s="22">
        <f t="shared" si="8"/>
        <v>6.9569399999999995</v>
      </c>
      <c r="M53" s="22">
        <f t="shared" si="8"/>
        <v>0.24374199999999996</v>
      </c>
      <c r="N53" s="22">
        <f t="shared" si="8"/>
        <v>2.559056</v>
      </c>
      <c r="O53" s="22">
        <f t="shared" si="8"/>
        <v>5.3576239999999995</v>
      </c>
      <c r="P53" s="22">
        <f t="shared" si="8"/>
        <v>4.3054631999999993</v>
      </c>
      <c r="Q53" s="22">
        <f t="shared" si="8"/>
        <v>2.2470512</v>
      </c>
      <c r="R53" s="22">
        <f t="shared" si="8"/>
        <v>0.28199999999999997</v>
      </c>
      <c r="S53" s="1" t="s">
        <v>312</v>
      </c>
      <c r="T53" s="96">
        <f>DW53</f>
        <v>6</v>
      </c>
      <c r="V53" s="5" t="s">
        <v>249</v>
      </c>
      <c r="W53" s="1">
        <v>135.19999999999999</v>
      </c>
      <c r="X53" s="98" t="s">
        <v>95</v>
      </c>
      <c r="Y53" s="1" t="s">
        <v>104</v>
      </c>
      <c r="Z53" s="1">
        <v>166.2</v>
      </c>
      <c r="AA53" s="22">
        <v>60.35</v>
      </c>
      <c r="AB53" s="22">
        <v>1.0980000000000001</v>
      </c>
      <c r="AC53" s="22">
        <v>15.4</v>
      </c>
      <c r="AD53" s="22">
        <v>0</v>
      </c>
      <c r="AE53" s="22">
        <v>6.87</v>
      </c>
      <c r="AF53" s="22">
        <v>0.23499999999999999</v>
      </c>
      <c r="AG53" s="22">
        <v>1.85</v>
      </c>
      <c r="AH53" s="22">
        <v>4.46</v>
      </c>
      <c r="AI53" s="22">
        <v>4.5599999999999996</v>
      </c>
      <c r="AJ53" s="22">
        <v>2.39</v>
      </c>
      <c r="AK53" s="22">
        <v>0.3</v>
      </c>
      <c r="AL53" s="22">
        <v>6.3E-2</v>
      </c>
      <c r="AM53" s="22">
        <v>0.27700000000000002</v>
      </c>
      <c r="AO53" s="22">
        <v>97.852999999999994</v>
      </c>
      <c r="AP53" s="3">
        <v>98.617631000000003</v>
      </c>
      <c r="AR53" s="4" t="s">
        <v>311</v>
      </c>
      <c r="AS53" s="1" t="s">
        <v>260</v>
      </c>
      <c r="AT53" s="1" t="s">
        <v>260</v>
      </c>
      <c r="AU53" s="16" t="s">
        <v>80</v>
      </c>
      <c r="AV53" s="13" t="s">
        <v>80</v>
      </c>
      <c r="AW53" s="13" t="s">
        <v>80</v>
      </c>
      <c r="AX53" s="13" t="s">
        <v>80</v>
      </c>
      <c r="AY53" s="13" t="s">
        <v>80</v>
      </c>
      <c r="AZ53" s="13" t="s">
        <v>80</v>
      </c>
      <c r="BA53" s="16" t="s">
        <v>80</v>
      </c>
      <c r="BB53" s="16" t="s">
        <v>80</v>
      </c>
      <c r="BC53" s="13" t="s">
        <v>80</v>
      </c>
      <c r="BD53" s="104" t="s">
        <v>80</v>
      </c>
      <c r="BE53" s="16" t="s">
        <v>80</v>
      </c>
      <c r="BF53" s="13" t="s">
        <v>80</v>
      </c>
      <c r="BG53" s="16" t="s">
        <v>80</v>
      </c>
      <c r="BH53" s="16" t="s">
        <v>80</v>
      </c>
      <c r="BI53" s="16" t="s">
        <v>80</v>
      </c>
      <c r="BJ53" s="16" t="s">
        <v>80</v>
      </c>
      <c r="BK53" s="16" t="s">
        <v>80</v>
      </c>
      <c r="BL53" s="16" t="s">
        <v>80</v>
      </c>
      <c r="BM53" s="16" t="s">
        <v>80</v>
      </c>
      <c r="BN53" s="16" t="s">
        <v>80</v>
      </c>
      <c r="BO53" s="16" t="s">
        <v>80</v>
      </c>
      <c r="BP53" s="16" t="s">
        <v>80</v>
      </c>
      <c r="BQ53" s="16" t="s">
        <v>80</v>
      </c>
      <c r="BR53" s="16" t="s">
        <v>80</v>
      </c>
      <c r="BS53" s="16"/>
      <c r="BT53" s="16" t="s">
        <v>80</v>
      </c>
      <c r="BU53" s="16" t="s">
        <v>80</v>
      </c>
      <c r="BV53" s="16" t="s">
        <v>80</v>
      </c>
      <c r="BW53" s="16" t="s">
        <v>80</v>
      </c>
      <c r="BX53" s="16" t="s">
        <v>80</v>
      </c>
      <c r="BY53" s="16" t="s">
        <v>80</v>
      </c>
      <c r="BZ53" s="16" t="s">
        <v>80</v>
      </c>
      <c r="CA53" s="16" t="s">
        <v>80</v>
      </c>
      <c r="CB53" s="16" t="s">
        <v>80</v>
      </c>
      <c r="CC53" s="16" t="s">
        <v>80</v>
      </c>
      <c r="CD53" s="16" t="s">
        <v>80</v>
      </c>
      <c r="CE53" s="16" t="s">
        <v>80</v>
      </c>
      <c r="CF53" s="16" t="s">
        <v>80</v>
      </c>
      <c r="CG53" s="16" t="s">
        <v>80</v>
      </c>
      <c r="CH53" s="16" t="s">
        <v>80</v>
      </c>
      <c r="CI53" s="16" t="s">
        <v>80</v>
      </c>
      <c r="CJ53" s="16" t="s">
        <v>80</v>
      </c>
      <c r="CK53" s="16" t="s">
        <v>80</v>
      </c>
      <c r="CL53" s="16" t="s">
        <v>80</v>
      </c>
      <c r="CM53" s="16" t="s">
        <v>80</v>
      </c>
      <c r="CP53" s="1">
        <v>169</v>
      </c>
      <c r="CQ53" s="1" t="s">
        <v>95</v>
      </c>
      <c r="CR53" s="1" t="s">
        <v>104</v>
      </c>
      <c r="CS53" s="1">
        <v>200</v>
      </c>
      <c r="CT53" s="22">
        <v>52</v>
      </c>
      <c r="CU53" s="22">
        <v>0.68</v>
      </c>
      <c r="CV53" s="22">
        <v>2.58</v>
      </c>
      <c r="CW53" s="22">
        <v>0</v>
      </c>
      <c r="CX53" s="22">
        <v>8.85</v>
      </c>
      <c r="CY53" s="22">
        <v>0.40500000000000003</v>
      </c>
      <c r="CZ53" s="22">
        <v>14.54</v>
      </c>
      <c r="DA53" s="22">
        <v>20.66</v>
      </c>
      <c r="DB53" s="22">
        <v>0.33800000000000002</v>
      </c>
      <c r="DC53" s="22">
        <v>8.0000000000000002E-3</v>
      </c>
      <c r="DD53" s="11"/>
      <c r="DE53" s="4"/>
      <c r="DF53" s="4"/>
      <c r="DG53" s="4"/>
      <c r="DH53" s="4"/>
      <c r="DI53" s="4"/>
      <c r="DJ53" s="4"/>
      <c r="DK53" s="4"/>
      <c r="DL53" s="4"/>
      <c r="DM53" s="4"/>
      <c r="DN53" s="16">
        <v>0.74549257361095056</v>
      </c>
      <c r="DO53" s="16">
        <v>0.42933393161989836</v>
      </c>
      <c r="DP53" s="16">
        <v>6.9978642804461977E-2</v>
      </c>
      <c r="DQ53" s="16">
        <v>2.4321133927460523E-2</v>
      </c>
      <c r="DR53" s="17">
        <v>0.34139498554128989</v>
      </c>
      <c r="DS53" s="17">
        <v>2.0828753597020824</v>
      </c>
      <c r="DT53" s="17">
        <v>1.5248135471771498</v>
      </c>
      <c r="DU53" s="17">
        <v>0.16390562399764538</v>
      </c>
      <c r="DV53" s="17">
        <v>0.22389293836830484</v>
      </c>
      <c r="DW53" s="13">
        <v>6</v>
      </c>
      <c r="DX53" s="16"/>
      <c r="DY53" s="16"/>
      <c r="DZ53" s="16"/>
      <c r="EA53" s="16"/>
      <c r="EB53" s="16"/>
      <c r="EC53" s="16"/>
      <c r="ED53" s="16"/>
      <c r="EE53" s="15"/>
      <c r="EF53" s="15"/>
      <c r="EG53" s="15"/>
      <c r="EH53" s="15"/>
    </row>
    <row r="54" spans="2:138" x14ac:dyDescent="0.25">
      <c r="B54" s="4" t="s">
        <v>327</v>
      </c>
      <c r="T54" s="96"/>
      <c r="V54" s="5" t="s">
        <v>249</v>
      </c>
      <c r="W54" s="1">
        <v>145.1</v>
      </c>
      <c r="X54" s="98" t="s">
        <v>95</v>
      </c>
      <c r="Y54" s="1" t="s">
        <v>104</v>
      </c>
      <c r="Z54" s="1">
        <v>176.1</v>
      </c>
      <c r="AA54" s="22">
        <v>60.54</v>
      </c>
      <c r="AB54" s="22">
        <v>1.177</v>
      </c>
      <c r="AC54" s="22">
        <v>14.15</v>
      </c>
      <c r="AD54" s="22">
        <v>0.01</v>
      </c>
      <c r="AE54" s="22">
        <v>8.61</v>
      </c>
      <c r="AF54" s="22">
        <v>0.252</v>
      </c>
      <c r="AG54" s="22">
        <v>2.21</v>
      </c>
      <c r="AH54" s="22">
        <v>4.74</v>
      </c>
      <c r="AI54" s="22">
        <v>3.71</v>
      </c>
      <c r="AJ54" s="22">
        <v>2.31</v>
      </c>
      <c r="AK54" s="22">
        <v>0.55100000000000005</v>
      </c>
      <c r="AL54" s="22">
        <v>4.9000000000000002E-2</v>
      </c>
      <c r="AM54" s="22">
        <v>0.15</v>
      </c>
      <c r="AO54" s="22">
        <v>98.459000000000003</v>
      </c>
      <c r="AP54" s="3">
        <v>99.417293000000001</v>
      </c>
      <c r="AR54" s="4" t="s">
        <v>308</v>
      </c>
      <c r="AS54" s="1" t="s">
        <v>325</v>
      </c>
      <c r="AU54" s="16">
        <v>19.094029009578087</v>
      </c>
      <c r="AV54" s="13">
        <v>28233.228472873023</v>
      </c>
      <c r="AW54" s="13">
        <v>13576.22568387544</v>
      </c>
      <c r="AX54" s="13">
        <v>78934.477403721743</v>
      </c>
      <c r="AY54" s="13">
        <v>282119.76840349316</v>
      </c>
      <c r="AZ54" s="13">
        <v>35226.837786769138</v>
      </c>
      <c r="BA54" s="16">
        <v>65.28</v>
      </c>
      <c r="BB54" s="16">
        <v>24.85927847254791</v>
      </c>
      <c r="BC54" s="13">
        <v>8165.9525123145222</v>
      </c>
      <c r="BD54" s="104">
        <v>137.0004925307972</v>
      </c>
      <c r="BE54" s="16">
        <v>1.9348191557235641</v>
      </c>
      <c r="BF54" s="13">
        <v>1879.8856575095535</v>
      </c>
      <c r="BG54" s="16">
        <v>15.826535307353589</v>
      </c>
      <c r="BH54" s="16" t="s">
        <v>80</v>
      </c>
      <c r="BI54" s="16">
        <v>53.235756996019958</v>
      </c>
      <c r="BJ54" s="16">
        <v>161.40870498989872</v>
      </c>
      <c r="BK54" s="16">
        <v>60.496663774594026</v>
      </c>
      <c r="BL54" s="16">
        <v>165.96316045297624</v>
      </c>
      <c r="BM54" s="16">
        <v>167.69365659262235</v>
      </c>
      <c r="BN54" s="16">
        <v>60.263215718239074</v>
      </c>
      <c r="BO54" s="16">
        <v>277.48380219252294</v>
      </c>
      <c r="BP54" s="16">
        <v>18.409467777494982</v>
      </c>
      <c r="BQ54" s="16">
        <v>1.8528824981884746</v>
      </c>
      <c r="BR54" s="16">
        <v>425.11407910770578</v>
      </c>
      <c r="BS54" s="16">
        <v>1.5320320528574654</v>
      </c>
      <c r="BT54" s="16">
        <v>34.821483094497957</v>
      </c>
      <c r="BU54" s="16">
        <v>73.648560924731783</v>
      </c>
      <c r="BV54" s="16">
        <v>8.9293905143805841</v>
      </c>
      <c r="BW54" s="16">
        <v>41.586618698466033</v>
      </c>
      <c r="BX54" s="16">
        <v>9.2739414989812978</v>
      </c>
      <c r="BY54" s="16">
        <v>2.3637798810128188</v>
      </c>
      <c r="BZ54" s="16">
        <v>9.6570432835286759</v>
      </c>
      <c r="CA54" s="16">
        <v>1.5551289841582947</v>
      </c>
      <c r="CB54" s="16">
        <v>9.7453832415690815</v>
      </c>
      <c r="CC54" s="16">
        <v>2.1618274580628682</v>
      </c>
      <c r="CD54" s="16">
        <v>6.0460182387998032</v>
      </c>
      <c r="CE54" s="16">
        <v>0.80121318441839207</v>
      </c>
      <c r="CF54" s="16">
        <v>6.4430331175006232</v>
      </c>
      <c r="CG54" s="16">
        <v>0.6975203644742427</v>
      </c>
      <c r="CH54" s="16">
        <v>7.5010158942481677</v>
      </c>
      <c r="CI54" s="16">
        <v>0.99874270113870423</v>
      </c>
      <c r="CJ54" s="16">
        <v>18.246041412472234</v>
      </c>
      <c r="CK54" s="16">
        <v>12.737279289262752</v>
      </c>
      <c r="CL54" s="16">
        <v>3.6242825509991272</v>
      </c>
      <c r="CM54" s="16">
        <v>0.75688477913663033</v>
      </c>
      <c r="DN54" s="16"/>
      <c r="DO54" s="16"/>
      <c r="DP54" s="16"/>
      <c r="DQ54" s="16"/>
      <c r="DR54" s="16"/>
      <c r="DS54" s="16"/>
      <c r="DT54" s="16"/>
      <c r="DU54" s="16"/>
      <c r="DV54" s="16"/>
      <c r="DW54" s="16"/>
      <c r="DX54" s="16"/>
      <c r="DY54" s="16"/>
      <c r="DZ54" s="16"/>
      <c r="EA54" s="16"/>
      <c r="EB54" s="16"/>
      <c r="EC54" s="16"/>
      <c r="ED54" s="16"/>
      <c r="EE54" s="15"/>
      <c r="EF54" s="15"/>
      <c r="EG54" s="15"/>
      <c r="EH54" s="15"/>
    </row>
    <row r="55" spans="2:138" x14ac:dyDescent="0.25">
      <c r="B55" s="4" t="s">
        <v>327</v>
      </c>
      <c r="T55" s="96"/>
      <c r="V55" s="5" t="s">
        <v>249</v>
      </c>
      <c r="W55" s="1">
        <v>146.1</v>
      </c>
      <c r="X55" s="98" t="s">
        <v>95</v>
      </c>
      <c r="Y55" s="1" t="s">
        <v>104</v>
      </c>
      <c r="Z55" s="1">
        <v>177.1</v>
      </c>
      <c r="AA55" s="22">
        <v>59.11</v>
      </c>
      <c r="AB55" s="22">
        <v>1.339</v>
      </c>
      <c r="AC55" s="22">
        <v>14.05</v>
      </c>
      <c r="AD55" s="22">
        <v>1.2E-2</v>
      </c>
      <c r="AE55" s="22">
        <v>9.93</v>
      </c>
      <c r="AF55" s="22">
        <v>0.27</v>
      </c>
      <c r="AG55" s="22">
        <v>2.41</v>
      </c>
      <c r="AH55" s="22">
        <v>4.87</v>
      </c>
      <c r="AI55" s="22">
        <v>2.96</v>
      </c>
      <c r="AJ55" s="22">
        <v>2.0499999999999998</v>
      </c>
      <c r="AK55" s="22">
        <v>0.56499999999999995</v>
      </c>
      <c r="AL55" s="22">
        <v>4.3999999999999997E-2</v>
      </c>
      <c r="AM55" s="22">
        <v>0.185</v>
      </c>
      <c r="AO55" s="22">
        <v>97.794999999999987</v>
      </c>
      <c r="AP55" s="3">
        <v>98.90020899999999</v>
      </c>
      <c r="AR55" s="4" t="s">
        <v>308</v>
      </c>
      <c r="AS55" s="1" t="s">
        <v>325</v>
      </c>
      <c r="AU55" s="16">
        <v>7.6003248324726052</v>
      </c>
      <c r="AV55" s="13">
        <v>21952.811054943999</v>
      </c>
      <c r="AW55" s="13">
        <v>12979.571121200966</v>
      </c>
      <c r="AX55" s="13">
        <v>72814.394178326998</v>
      </c>
      <c r="AY55" s="13">
        <v>276442.69621078396</v>
      </c>
      <c r="AZ55" s="13">
        <v>34615.340384427451</v>
      </c>
      <c r="BA55" s="16">
        <v>63.98</v>
      </c>
      <c r="BB55" s="16">
        <v>24.260703736666098</v>
      </c>
      <c r="BC55" s="13">
        <v>8369.4781456065557</v>
      </c>
      <c r="BD55" s="104">
        <v>140.12380225878189</v>
      </c>
      <c r="BE55" s="16">
        <v>5.6775978865722001</v>
      </c>
      <c r="BF55" s="13">
        <v>1946.8121175447261</v>
      </c>
      <c r="BG55" s="16">
        <v>16.071103555736993</v>
      </c>
      <c r="BH55" s="16" t="s">
        <v>80</v>
      </c>
      <c r="BI55" s="16">
        <v>24.893897749063495</v>
      </c>
      <c r="BJ55" s="16">
        <v>173.04827735527402</v>
      </c>
      <c r="BK55" s="16">
        <v>59.96286634315215</v>
      </c>
      <c r="BL55" s="16">
        <v>172.92621474235457</v>
      </c>
      <c r="BM55" s="16">
        <v>167.11305191872384</v>
      </c>
      <c r="BN55" s="16">
        <v>61.809246033664969</v>
      </c>
      <c r="BO55" s="16">
        <v>283.01584733748888</v>
      </c>
      <c r="BP55" s="16">
        <v>18.731677910434204</v>
      </c>
      <c r="BQ55" s="16">
        <v>2.0873365448446166</v>
      </c>
      <c r="BR55" s="16">
        <v>422.58599884499802</v>
      </c>
      <c r="BS55" s="16">
        <v>1.4931531319554534</v>
      </c>
      <c r="BT55" s="16">
        <v>35.40707170979087</v>
      </c>
      <c r="BU55" s="16">
        <v>74.815577803756582</v>
      </c>
      <c r="BV55" s="16">
        <v>9.3578027008992688</v>
      </c>
      <c r="BW55" s="16">
        <v>40.567319132167732</v>
      </c>
      <c r="BX55" s="16">
        <v>9.6403264475655313</v>
      </c>
      <c r="BY55" s="16">
        <v>2.2090698273778462</v>
      </c>
      <c r="BZ55" s="16">
        <v>9.4756304406664711</v>
      </c>
      <c r="CA55" s="16">
        <v>1.9696398755703486</v>
      </c>
      <c r="CB55" s="16">
        <v>11.424445012823918</v>
      </c>
      <c r="CC55" s="16">
        <v>2.0501727773853133</v>
      </c>
      <c r="CD55" s="16">
        <v>6.0531185668040193</v>
      </c>
      <c r="CE55" s="16">
        <v>0.92710953465030399</v>
      </c>
      <c r="CF55" s="16">
        <v>6.1834349798012829</v>
      </c>
      <c r="CG55" s="16">
        <v>1.1626928442215723</v>
      </c>
      <c r="CH55" s="16">
        <v>7.397359478952457</v>
      </c>
      <c r="CI55" s="16">
        <v>1.5178551194660341</v>
      </c>
      <c r="CJ55" s="16">
        <v>16.660975985369845</v>
      </c>
      <c r="CK55" s="16">
        <v>12.487595840811469</v>
      </c>
      <c r="CL55" s="16">
        <v>3.7339373139528287</v>
      </c>
      <c r="CM55" s="16">
        <v>0.70038449177513107</v>
      </c>
      <c r="DN55" s="16"/>
      <c r="DO55" s="16"/>
      <c r="DP55" s="16"/>
      <c r="DQ55" s="16"/>
      <c r="DR55" s="16"/>
      <c r="DS55" s="16"/>
      <c r="DT55" s="16"/>
      <c r="DU55" s="16"/>
      <c r="DV55" s="16"/>
      <c r="DW55" s="16"/>
      <c r="DX55" s="16"/>
      <c r="DY55" s="16"/>
      <c r="DZ55" s="16"/>
      <c r="EA55" s="16"/>
      <c r="EB55" s="16"/>
      <c r="EC55" s="16"/>
      <c r="ED55" s="16"/>
      <c r="EE55" s="15"/>
      <c r="EF55" s="15"/>
      <c r="EG55" s="15"/>
      <c r="EH55" s="15"/>
    </row>
    <row r="56" spans="2:138" x14ac:dyDescent="0.25">
      <c r="B56" s="4" t="s">
        <v>327</v>
      </c>
      <c r="T56" s="96"/>
      <c r="V56" s="5" t="s">
        <v>249</v>
      </c>
      <c r="W56" s="1">
        <v>147.1</v>
      </c>
      <c r="X56" s="98" t="s">
        <v>95</v>
      </c>
      <c r="Y56" s="1" t="s">
        <v>104</v>
      </c>
      <c r="Z56" s="1">
        <v>178.1</v>
      </c>
      <c r="AA56" s="22">
        <v>58.6</v>
      </c>
      <c r="AB56" s="22">
        <v>1.548</v>
      </c>
      <c r="AC56" s="22">
        <v>12.86</v>
      </c>
      <c r="AD56" s="22">
        <v>0</v>
      </c>
      <c r="AE56" s="22">
        <v>9.77</v>
      </c>
      <c r="AF56" s="22">
        <v>0.27800000000000002</v>
      </c>
      <c r="AG56" s="22">
        <v>2.37</v>
      </c>
      <c r="AH56" s="22">
        <v>4.67</v>
      </c>
      <c r="AI56" s="22">
        <v>3.21</v>
      </c>
      <c r="AJ56" s="22">
        <v>2.0499999999999998</v>
      </c>
      <c r="AK56" s="22">
        <v>0.58499999999999996</v>
      </c>
      <c r="AL56" s="22">
        <v>5.0999999999999997E-2</v>
      </c>
      <c r="AM56" s="22">
        <v>0.193</v>
      </c>
      <c r="AO56" s="22">
        <v>96.185000000000002</v>
      </c>
      <c r="AP56" s="3">
        <v>97.272401000000002</v>
      </c>
      <c r="AR56" s="4" t="s">
        <v>308</v>
      </c>
      <c r="AS56" s="1" t="s">
        <v>325</v>
      </c>
      <c r="AU56" s="16" t="s">
        <v>80</v>
      </c>
      <c r="AV56" s="13" t="s">
        <v>80</v>
      </c>
      <c r="AW56" s="13" t="s">
        <v>80</v>
      </c>
      <c r="AX56" s="13" t="s">
        <v>80</v>
      </c>
      <c r="AY56" s="13" t="s">
        <v>80</v>
      </c>
      <c r="AZ56" s="13" t="s">
        <v>80</v>
      </c>
      <c r="BA56" s="16" t="s">
        <v>80</v>
      </c>
      <c r="BB56" s="16" t="s">
        <v>80</v>
      </c>
      <c r="BC56" s="13" t="s">
        <v>80</v>
      </c>
      <c r="BD56" s="104" t="s">
        <v>80</v>
      </c>
      <c r="BE56" s="16" t="s">
        <v>80</v>
      </c>
      <c r="BF56" s="13" t="s">
        <v>80</v>
      </c>
      <c r="BG56" s="16" t="s">
        <v>80</v>
      </c>
      <c r="BH56" s="16" t="s">
        <v>80</v>
      </c>
      <c r="BI56" s="16" t="s">
        <v>80</v>
      </c>
      <c r="BJ56" s="16" t="s">
        <v>80</v>
      </c>
      <c r="BK56" s="16" t="s">
        <v>80</v>
      </c>
      <c r="BL56" s="16" t="s">
        <v>80</v>
      </c>
      <c r="BM56" s="16" t="s">
        <v>80</v>
      </c>
      <c r="BN56" s="16" t="s">
        <v>80</v>
      </c>
      <c r="BO56" s="16" t="s">
        <v>80</v>
      </c>
      <c r="BP56" s="16" t="s">
        <v>80</v>
      </c>
      <c r="BQ56" s="16" t="s">
        <v>80</v>
      </c>
      <c r="BR56" s="16" t="s">
        <v>80</v>
      </c>
      <c r="BS56" s="16"/>
      <c r="BT56" s="16" t="s">
        <v>80</v>
      </c>
      <c r="BU56" s="16" t="s">
        <v>80</v>
      </c>
      <c r="BV56" s="16" t="s">
        <v>80</v>
      </c>
      <c r="BW56" s="16" t="s">
        <v>80</v>
      </c>
      <c r="BX56" s="16" t="s">
        <v>80</v>
      </c>
      <c r="BY56" s="16" t="s">
        <v>80</v>
      </c>
      <c r="BZ56" s="16" t="s">
        <v>80</v>
      </c>
      <c r="CA56" s="16" t="s">
        <v>80</v>
      </c>
      <c r="CB56" s="16" t="s">
        <v>80</v>
      </c>
      <c r="CC56" s="16" t="s">
        <v>80</v>
      </c>
      <c r="CD56" s="16" t="s">
        <v>80</v>
      </c>
      <c r="CE56" s="16" t="s">
        <v>80</v>
      </c>
      <c r="CF56" s="16" t="s">
        <v>80</v>
      </c>
      <c r="CG56" s="16" t="s">
        <v>80</v>
      </c>
      <c r="CH56" s="16" t="s">
        <v>80</v>
      </c>
      <c r="CI56" s="16" t="s">
        <v>80</v>
      </c>
      <c r="CJ56" s="16" t="s">
        <v>80</v>
      </c>
      <c r="CK56" s="16" t="s">
        <v>80</v>
      </c>
      <c r="CL56" s="16" t="s">
        <v>80</v>
      </c>
      <c r="CM56" s="16" t="s">
        <v>80</v>
      </c>
      <c r="DN56" s="16"/>
      <c r="DO56" s="16"/>
      <c r="DP56" s="16"/>
      <c r="DQ56" s="16"/>
      <c r="DR56" s="16"/>
      <c r="DS56" s="16"/>
      <c r="DT56" s="16"/>
      <c r="DU56" s="16"/>
      <c r="DV56" s="16"/>
      <c r="DW56" s="16"/>
      <c r="DX56" s="16"/>
      <c r="DY56" s="16"/>
      <c r="DZ56" s="16"/>
      <c r="EA56" s="16"/>
      <c r="EB56" s="16"/>
      <c r="EC56" s="16"/>
      <c r="ED56" s="16"/>
      <c r="EE56" s="15"/>
      <c r="EF56" s="15"/>
      <c r="EG56" s="15"/>
      <c r="EH56" s="15"/>
    </row>
    <row r="57" spans="2:138" x14ac:dyDescent="0.25">
      <c r="B57" s="4" t="s">
        <v>311</v>
      </c>
      <c r="C57" s="5" t="s">
        <v>249</v>
      </c>
      <c r="D57" s="1">
        <v>154.11000000000001</v>
      </c>
      <c r="E57" s="98" t="s">
        <v>95</v>
      </c>
      <c r="F57" s="1" t="s">
        <v>104</v>
      </c>
      <c r="G57" s="1">
        <v>185.11</v>
      </c>
      <c r="H57" s="22">
        <f t="shared" ref="H57:R64" si="9">(AA57+($DW57/100)*CT57)*((100-$DW57)/100)</f>
        <v>55.000134000000003</v>
      </c>
      <c r="I57" s="22">
        <f t="shared" si="9"/>
        <v>1.4499000000000002</v>
      </c>
      <c r="J57" s="22">
        <f t="shared" si="9"/>
        <v>15.074586</v>
      </c>
      <c r="K57" s="22">
        <f t="shared" si="9"/>
        <v>0</v>
      </c>
      <c r="L57" s="22">
        <f t="shared" si="9"/>
        <v>8.3663480878250702</v>
      </c>
      <c r="M57" s="22">
        <f t="shared" si="9"/>
        <v>0.26406000000000002</v>
      </c>
      <c r="N57" s="22">
        <f t="shared" si="9"/>
        <v>1.9116</v>
      </c>
      <c r="O57" s="22">
        <f t="shared" si="9"/>
        <v>5.6520180000000009</v>
      </c>
      <c r="P57" s="22">
        <f t="shared" si="9"/>
        <v>3.35745</v>
      </c>
      <c r="Q57" s="22">
        <f t="shared" si="9"/>
        <v>2.0804850000000004</v>
      </c>
      <c r="R57" s="22">
        <f t="shared" si="9"/>
        <v>0.44793000000000005</v>
      </c>
      <c r="S57" s="1" t="s">
        <v>314</v>
      </c>
      <c r="T57" s="96">
        <f t="shared" ref="T57:T64" si="10">DW57</f>
        <v>19</v>
      </c>
      <c r="V57" s="5" t="s">
        <v>249</v>
      </c>
      <c r="W57" s="1">
        <v>154.1</v>
      </c>
      <c r="X57" s="98" t="s">
        <v>95</v>
      </c>
      <c r="Y57" s="1" t="s">
        <v>104</v>
      </c>
      <c r="Z57" s="1">
        <v>185.1</v>
      </c>
      <c r="AA57" s="22">
        <v>57.82</v>
      </c>
      <c r="AB57" s="22">
        <v>1.79</v>
      </c>
      <c r="AC57" s="22">
        <v>12.77</v>
      </c>
      <c r="AD57" s="22">
        <v>0</v>
      </c>
      <c r="AE57" s="22">
        <v>10.210000000000001</v>
      </c>
      <c r="AF57" s="22">
        <v>0.32600000000000001</v>
      </c>
      <c r="AG57" s="22">
        <v>2.36</v>
      </c>
      <c r="AH57" s="22">
        <v>4.58</v>
      </c>
      <c r="AI57" s="22">
        <v>3.29</v>
      </c>
      <c r="AJ57" s="22">
        <v>2.54</v>
      </c>
      <c r="AK57" s="22">
        <v>0.55300000000000005</v>
      </c>
      <c r="AL57" s="22">
        <v>8.8999999999999996E-2</v>
      </c>
      <c r="AM57" s="22">
        <v>0.26</v>
      </c>
      <c r="AO57" s="22">
        <v>96.588000000000008</v>
      </c>
      <c r="AP57" s="3">
        <v>97.724373</v>
      </c>
      <c r="AR57" s="4" t="s">
        <v>311</v>
      </c>
      <c r="AS57" s="1" t="s">
        <v>253</v>
      </c>
      <c r="AT57" s="1" t="s">
        <v>253</v>
      </c>
      <c r="AU57" s="16" t="s">
        <v>80</v>
      </c>
      <c r="AV57" s="13" t="s">
        <v>80</v>
      </c>
      <c r="AW57" s="13" t="s">
        <v>80</v>
      </c>
      <c r="AX57" s="13" t="s">
        <v>80</v>
      </c>
      <c r="AY57" s="13" t="s">
        <v>80</v>
      </c>
      <c r="AZ57" s="13" t="s">
        <v>80</v>
      </c>
      <c r="BA57" s="16" t="s">
        <v>80</v>
      </c>
      <c r="BB57" s="16" t="s">
        <v>80</v>
      </c>
      <c r="BC57" s="13" t="s">
        <v>80</v>
      </c>
      <c r="BD57" s="104" t="s">
        <v>80</v>
      </c>
      <c r="BE57" s="16" t="s">
        <v>80</v>
      </c>
      <c r="BF57" s="13" t="s">
        <v>80</v>
      </c>
      <c r="BG57" s="16" t="s">
        <v>80</v>
      </c>
      <c r="BH57" s="16" t="s">
        <v>80</v>
      </c>
      <c r="BI57" s="16" t="s">
        <v>80</v>
      </c>
      <c r="BJ57" s="16" t="s">
        <v>80</v>
      </c>
      <c r="BK57" s="16" t="s">
        <v>80</v>
      </c>
      <c r="BL57" s="16" t="s">
        <v>80</v>
      </c>
      <c r="BM57" s="16" t="s">
        <v>80</v>
      </c>
      <c r="BN57" s="16" t="s">
        <v>80</v>
      </c>
      <c r="BO57" s="16" t="s">
        <v>80</v>
      </c>
      <c r="BP57" s="16" t="s">
        <v>80</v>
      </c>
      <c r="BQ57" s="16" t="s">
        <v>80</v>
      </c>
      <c r="BR57" s="16" t="s">
        <v>80</v>
      </c>
      <c r="BS57" s="16"/>
      <c r="BT57" s="16" t="s">
        <v>80</v>
      </c>
      <c r="BU57" s="16" t="s">
        <v>80</v>
      </c>
      <c r="BV57" s="16" t="s">
        <v>80</v>
      </c>
      <c r="BW57" s="16" t="s">
        <v>80</v>
      </c>
      <c r="BX57" s="16" t="s">
        <v>80</v>
      </c>
      <c r="BY57" s="16" t="s">
        <v>80</v>
      </c>
      <c r="BZ57" s="16" t="s">
        <v>80</v>
      </c>
      <c r="CA57" s="16" t="s">
        <v>80</v>
      </c>
      <c r="CB57" s="16" t="s">
        <v>80</v>
      </c>
      <c r="CC57" s="16" t="s">
        <v>80</v>
      </c>
      <c r="CD57" s="16" t="s">
        <v>80</v>
      </c>
      <c r="CE57" s="16" t="s">
        <v>80</v>
      </c>
      <c r="CF57" s="16" t="s">
        <v>80</v>
      </c>
      <c r="CG57" s="16" t="s">
        <v>80</v>
      </c>
      <c r="CH57" s="16" t="s">
        <v>80</v>
      </c>
      <c r="CI57" s="16" t="s">
        <v>80</v>
      </c>
      <c r="CJ57" s="16" t="s">
        <v>80</v>
      </c>
      <c r="CK57" s="16" t="s">
        <v>80</v>
      </c>
      <c r="CL57" s="16" t="s">
        <v>80</v>
      </c>
      <c r="CM57" s="16" t="s">
        <v>80</v>
      </c>
      <c r="CP57" s="1">
        <v>157</v>
      </c>
      <c r="CQ57" s="1" t="s">
        <v>95</v>
      </c>
      <c r="CR57" s="1" t="s">
        <v>104</v>
      </c>
      <c r="CS57" s="1">
        <v>188</v>
      </c>
      <c r="CT57" s="22">
        <v>53.06</v>
      </c>
      <c r="CV57" s="22">
        <v>30.74</v>
      </c>
      <c r="CX57" s="22">
        <v>0.62539368307387744</v>
      </c>
      <c r="DA57" s="22">
        <v>12.62</v>
      </c>
      <c r="DB57" s="22">
        <v>4.5</v>
      </c>
      <c r="DC57" s="22">
        <v>0.15</v>
      </c>
      <c r="DN57" s="16"/>
      <c r="DO57" s="16"/>
      <c r="DP57" s="16"/>
      <c r="DQ57" s="16"/>
      <c r="DR57" s="16"/>
      <c r="DS57" s="16"/>
      <c r="DT57" s="16"/>
      <c r="DU57" s="16"/>
      <c r="DV57" s="16"/>
      <c r="DW57" s="13">
        <v>19</v>
      </c>
      <c r="DX57" s="16">
        <v>15.780048773538901</v>
      </c>
      <c r="DY57" s="16">
        <v>16.104550758089175</v>
      </c>
      <c r="DZ57" s="16">
        <v>0.60780401017135954</v>
      </c>
      <c r="EA57" s="16">
        <v>0.39219598982864046</v>
      </c>
      <c r="EB57" s="16">
        <v>0.12920093058053925</v>
      </c>
      <c r="EC57" s="16">
        <v>0.19389154907594802</v>
      </c>
      <c r="ED57" s="16">
        <v>0.11293671504068693</v>
      </c>
      <c r="EE57" s="13">
        <v>970.63157371335694</v>
      </c>
      <c r="EF57" s="13">
        <v>989.20769435581803</v>
      </c>
      <c r="EG57" s="13">
        <v>947.2493095726021</v>
      </c>
      <c r="EH57" s="13">
        <v>983.43890963428851</v>
      </c>
    </row>
    <row r="58" spans="2:138" x14ac:dyDescent="0.25">
      <c r="B58" s="4" t="s">
        <v>311</v>
      </c>
      <c r="C58" s="5" t="s">
        <v>249</v>
      </c>
      <c r="D58" s="1">
        <v>173.11</v>
      </c>
      <c r="E58" s="98" t="s">
        <v>95</v>
      </c>
      <c r="F58" s="1" t="s">
        <v>104</v>
      </c>
      <c r="G58" s="1">
        <v>204.11</v>
      </c>
      <c r="H58" s="22">
        <f t="shared" si="9"/>
        <v>61.312723000000013</v>
      </c>
      <c r="I58" s="22">
        <f t="shared" si="9"/>
        <v>0.86793690000000001</v>
      </c>
      <c r="J58" s="22">
        <f t="shared" si="9"/>
        <v>14.882668999999998</v>
      </c>
      <c r="K58" s="22">
        <f t="shared" si="9"/>
        <v>1.15344E-2</v>
      </c>
      <c r="L58" s="22">
        <f t="shared" si="9"/>
        <v>6.4008799999999999</v>
      </c>
      <c r="M58" s="22">
        <f t="shared" si="9"/>
        <v>0.2012468</v>
      </c>
      <c r="N58" s="22">
        <f t="shared" si="9"/>
        <v>2.2961110000000002</v>
      </c>
      <c r="O58" s="22">
        <f t="shared" si="9"/>
        <v>4.9390549999999998</v>
      </c>
      <c r="P58" s="22">
        <f t="shared" si="9"/>
        <v>2.6112600000000001</v>
      </c>
      <c r="Q58" s="22">
        <f t="shared" si="9"/>
        <v>2.2606000000000002</v>
      </c>
      <c r="R58" s="22">
        <f t="shared" si="9"/>
        <v>0.25364999999999999</v>
      </c>
      <c r="S58" s="1" t="s">
        <v>312</v>
      </c>
      <c r="T58" s="96">
        <f t="shared" si="10"/>
        <v>11</v>
      </c>
      <c r="V58" s="5" t="s">
        <v>249</v>
      </c>
      <c r="W58" s="1">
        <v>173.1</v>
      </c>
      <c r="X58" s="98" t="s">
        <v>95</v>
      </c>
      <c r="Y58" s="1" t="s">
        <v>104</v>
      </c>
      <c r="Z58" s="1">
        <v>204.1</v>
      </c>
      <c r="AA58" s="22">
        <v>63.13</v>
      </c>
      <c r="AB58" s="22">
        <v>0.91900000000000004</v>
      </c>
      <c r="AC58" s="22">
        <v>16.489999999999998</v>
      </c>
      <c r="AD58" s="22">
        <v>8.9999999999999993E-3</v>
      </c>
      <c r="AE58" s="22">
        <v>6.18</v>
      </c>
      <c r="AF58" s="22">
        <v>0.183</v>
      </c>
      <c r="AG58" s="22">
        <v>0.94199999999999995</v>
      </c>
      <c r="AH58" s="22">
        <v>3.3</v>
      </c>
      <c r="AI58" s="22">
        <v>2.89</v>
      </c>
      <c r="AJ58" s="22">
        <v>2.54</v>
      </c>
      <c r="AK58" s="22">
        <v>0.28499999999999998</v>
      </c>
      <c r="AL58" s="22">
        <v>3.5999999999999997E-2</v>
      </c>
      <c r="AM58" s="22">
        <v>0.22800000000000001</v>
      </c>
      <c r="AO58" s="22">
        <v>97.132000000000005</v>
      </c>
      <c r="AP58" s="3">
        <v>97.819834</v>
      </c>
      <c r="AR58" s="4" t="s">
        <v>311</v>
      </c>
      <c r="AS58" s="1" t="s">
        <v>260</v>
      </c>
      <c r="AT58" s="1" t="s">
        <v>260</v>
      </c>
      <c r="AU58" s="16" t="s">
        <v>80</v>
      </c>
      <c r="AV58" s="13" t="s">
        <v>80</v>
      </c>
      <c r="AW58" s="13" t="s">
        <v>80</v>
      </c>
      <c r="AX58" s="13" t="s">
        <v>80</v>
      </c>
      <c r="AY58" s="13" t="s">
        <v>80</v>
      </c>
      <c r="AZ58" s="13" t="s">
        <v>80</v>
      </c>
      <c r="BA58" s="16" t="s">
        <v>80</v>
      </c>
      <c r="BB58" s="16" t="s">
        <v>80</v>
      </c>
      <c r="BC58" s="13" t="s">
        <v>80</v>
      </c>
      <c r="BD58" s="104" t="s">
        <v>80</v>
      </c>
      <c r="BE58" s="16" t="s">
        <v>80</v>
      </c>
      <c r="BF58" s="13" t="s">
        <v>80</v>
      </c>
      <c r="BG58" s="16" t="s">
        <v>80</v>
      </c>
      <c r="BH58" s="16" t="s">
        <v>80</v>
      </c>
      <c r="BI58" s="16" t="s">
        <v>80</v>
      </c>
      <c r="BJ58" s="16" t="s">
        <v>80</v>
      </c>
      <c r="BK58" s="16" t="s">
        <v>80</v>
      </c>
      <c r="BL58" s="16" t="s">
        <v>80</v>
      </c>
      <c r="BM58" s="16" t="s">
        <v>80</v>
      </c>
      <c r="BN58" s="16" t="s">
        <v>80</v>
      </c>
      <c r="BO58" s="16" t="s">
        <v>80</v>
      </c>
      <c r="BP58" s="16" t="s">
        <v>80</v>
      </c>
      <c r="BQ58" s="16" t="s">
        <v>80</v>
      </c>
      <c r="BR58" s="16" t="s">
        <v>80</v>
      </c>
      <c r="BS58" s="16"/>
      <c r="BT58" s="16" t="s">
        <v>80</v>
      </c>
      <c r="BU58" s="16" t="s">
        <v>80</v>
      </c>
      <c r="BV58" s="16" t="s">
        <v>80</v>
      </c>
      <c r="BW58" s="16" t="s">
        <v>80</v>
      </c>
      <c r="BX58" s="16" t="s">
        <v>80</v>
      </c>
      <c r="BY58" s="16" t="s">
        <v>80</v>
      </c>
      <c r="BZ58" s="16" t="s">
        <v>80</v>
      </c>
      <c r="CA58" s="16" t="s">
        <v>80</v>
      </c>
      <c r="CB58" s="16" t="s">
        <v>80</v>
      </c>
      <c r="CC58" s="16" t="s">
        <v>80</v>
      </c>
      <c r="CD58" s="16" t="s">
        <v>80</v>
      </c>
      <c r="CE58" s="16" t="s">
        <v>80</v>
      </c>
      <c r="CF58" s="16" t="s">
        <v>80</v>
      </c>
      <c r="CG58" s="16" t="s">
        <v>80</v>
      </c>
      <c r="CH58" s="16" t="s">
        <v>80</v>
      </c>
      <c r="CI58" s="16" t="s">
        <v>80</v>
      </c>
      <c r="CJ58" s="16" t="s">
        <v>80</v>
      </c>
      <c r="CK58" s="16" t="s">
        <v>80</v>
      </c>
      <c r="CL58" s="16" t="s">
        <v>80</v>
      </c>
      <c r="CM58" s="16" t="s">
        <v>80</v>
      </c>
      <c r="CP58" s="1">
        <v>168</v>
      </c>
      <c r="CQ58" s="1" t="s">
        <v>95</v>
      </c>
      <c r="CR58" s="1" t="s">
        <v>104</v>
      </c>
      <c r="CS58" s="1">
        <v>199</v>
      </c>
      <c r="CT58" s="22">
        <v>52.37</v>
      </c>
      <c r="CU58" s="22">
        <v>0.51100000000000001</v>
      </c>
      <c r="CV58" s="22">
        <v>2.11</v>
      </c>
      <c r="CW58" s="22">
        <v>3.5999999999999997E-2</v>
      </c>
      <c r="CX58" s="22">
        <v>9.1999999999999993</v>
      </c>
      <c r="CY58" s="22">
        <v>0.39200000000000002</v>
      </c>
      <c r="CZ58" s="22">
        <v>14.89</v>
      </c>
      <c r="DA58" s="22">
        <v>20.45</v>
      </c>
      <c r="DB58" s="22">
        <v>0.4</v>
      </c>
      <c r="DC58" s="22">
        <v>0</v>
      </c>
      <c r="DN58" s="16">
        <v>0.74263617441681684</v>
      </c>
      <c r="DO58" s="16">
        <v>0.42025440036975542</v>
      </c>
      <c r="DP58" s="16">
        <v>6.3539373168145508E-2</v>
      </c>
      <c r="DQ58" s="16">
        <v>2.8674406407669269E-2</v>
      </c>
      <c r="DR58" s="16">
        <v>0.34655438887728279</v>
      </c>
      <c r="DS58" s="16">
        <v>3.6797290888218117</v>
      </c>
      <c r="DT58" s="16">
        <v>1.5635979050398259</v>
      </c>
      <c r="DU58" s="16">
        <v>9.4179321496801763E-2</v>
      </c>
      <c r="DV58" s="16">
        <v>0.22163907214269121</v>
      </c>
      <c r="DW58" s="13">
        <v>11</v>
      </c>
      <c r="DX58" s="16"/>
      <c r="DY58" s="16"/>
      <c r="DZ58" s="16"/>
      <c r="EA58" s="16"/>
      <c r="EB58" s="16"/>
      <c r="EC58" s="16"/>
      <c r="ED58" s="16"/>
      <c r="EE58" s="15"/>
      <c r="EF58" s="15"/>
      <c r="EG58" s="15"/>
      <c r="EH58" s="15"/>
    </row>
    <row r="59" spans="2:138" x14ac:dyDescent="0.25">
      <c r="B59" s="4" t="s">
        <v>311</v>
      </c>
      <c r="C59" s="5" t="s">
        <v>249</v>
      </c>
      <c r="D59" s="1">
        <v>174.11</v>
      </c>
      <c r="E59" s="98" t="s">
        <v>95</v>
      </c>
      <c r="F59" s="1" t="s">
        <v>104</v>
      </c>
      <c r="G59" s="1">
        <v>205.11</v>
      </c>
      <c r="H59" s="22">
        <f t="shared" si="9"/>
        <v>61.118799999999993</v>
      </c>
      <c r="I59" s="22">
        <f t="shared" si="9"/>
        <v>0.79599199999999992</v>
      </c>
      <c r="J59" s="22">
        <f t="shared" si="9"/>
        <v>14.715511999999999</v>
      </c>
      <c r="K59" s="22">
        <f t="shared" si="9"/>
        <v>0</v>
      </c>
      <c r="L59" s="22">
        <f t="shared" si="9"/>
        <v>5.7255399999999987</v>
      </c>
      <c r="M59" s="22">
        <f t="shared" si="9"/>
        <v>0.19204199999999996</v>
      </c>
      <c r="N59" s="22">
        <f t="shared" si="9"/>
        <v>2.0448759999999995</v>
      </c>
      <c r="O59" s="22">
        <f t="shared" si="9"/>
        <v>4.5116239999999994</v>
      </c>
      <c r="P59" s="22">
        <f t="shared" si="9"/>
        <v>2.1622631999999999</v>
      </c>
      <c r="Q59" s="22">
        <f t="shared" si="9"/>
        <v>2.6606511999999998</v>
      </c>
      <c r="R59" s="22">
        <f t="shared" si="9"/>
        <v>0.24815999999999999</v>
      </c>
      <c r="S59" s="1" t="s">
        <v>312</v>
      </c>
      <c r="T59" s="96">
        <f t="shared" si="10"/>
        <v>6</v>
      </c>
      <c r="V59" s="5" t="s">
        <v>249</v>
      </c>
      <c r="W59" s="1">
        <v>174.1</v>
      </c>
      <c r="X59" s="98" t="s">
        <v>95</v>
      </c>
      <c r="Y59" s="1" t="s">
        <v>104</v>
      </c>
      <c r="Z59" s="1">
        <v>205.1</v>
      </c>
      <c r="AA59" s="22">
        <v>61.9</v>
      </c>
      <c r="AB59" s="22">
        <v>0.80600000000000005</v>
      </c>
      <c r="AC59" s="22">
        <v>15.5</v>
      </c>
      <c r="AD59" s="22">
        <v>0</v>
      </c>
      <c r="AE59" s="22">
        <v>5.56</v>
      </c>
      <c r="AF59" s="22">
        <v>0.18</v>
      </c>
      <c r="AG59" s="22">
        <v>1.3029999999999999</v>
      </c>
      <c r="AH59" s="22">
        <v>3.56</v>
      </c>
      <c r="AI59" s="22">
        <v>2.2799999999999998</v>
      </c>
      <c r="AJ59" s="22">
        <v>2.83</v>
      </c>
      <c r="AK59" s="22">
        <v>0.26400000000000001</v>
      </c>
      <c r="AL59" s="22">
        <v>3.1E-2</v>
      </c>
      <c r="AM59" s="22">
        <v>0.23599999999999999</v>
      </c>
      <c r="AO59" s="22">
        <v>94.45</v>
      </c>
      <c r="AP59" s="3">
        <v>95.068827999999982</v>
      </c>
      <c r="AR59" s="4" t="s">
        <v>311</v>
      </c>
      <c r="AS59" s="1" t="s">
        <v>260</v>
      </c>
      <c r="AT59" s="1" t="s">
        <v>260</v>
      </c>
      <c r="AU59" s="16" t="s">
        <v>80</v>
      </c>
      <c r="AV59" s="13" t="s">
        <v>80</v>
      </c>
      <c r="AW59" s="13" t="s">
        <v>80</v>
      </c>
      <c r="AX59" s="13" t="s">
        <v>80</v>
      </c>
      <c r="AY59" s="13" t="s">
        <v>80</v>
      </c>
      <c r="AZ59" s="13" t="s">
        <v>80</v>
      </c>
      <c r="BA59" s="16" t="s">
        <v>80</v>
      </c>
      <c r="BB59" s="16" t="s">
        <v>80</v>
      </c>
      <c r="BC59" s="13" t="s">
        <v>80</v>
      </c>
      <c r="BD59" s="104" t="s">
        <v>80</v>
      </c>
      <c r="BE59" s="16" t="s">
        <v>80</v>
      </c>
      <c r="BF59" s="13" t="s">
        <v>80</v>
      </c>
      <c r="BG59" s="16" t="s">
        <v>80</v>
      </c>
      <c r="BH59" s="16" t="s">
        <v>80</v>
      </c>
      <c r="BI59" s="16" t="s">
        <v>80</v>
      </c>
      <c r="BJ59" s="16" t="s">
        <v>80</v>
      </c>
      <c r="BK59" s="16" t="s">
        <v>80</v>
      </c>
      <c r="BL59" s="16" t="s">
        <v>80</v>
      </c>
      <c r="BM59" s="16" t="s">
        <v>80</v>
      </c>
      <c r="BN59" s="16" t="s">
        <v>80</v>
      </c>
      <c r="BO59" s="16" t="s">
        <v>80</v>
      </c>
      <c r="BP59" s="16" t="s">
        <v>80</v>
      </c>
      <c r="BQ59" s="16" t="s">
        <v>80</v>
      </c>
      <c r="BR59" s="16" t="s">
        <v>80</v>
      </c>
      <c r="BS59" s="16"/>
      <c r="BT59" s="16" t="s">
        <v>80</v>
      </c>
      <c r="BU59" s="16" t="s">
        <v>80</v>
      </c>
      <c r="BV59" s="16" t="s">
        <v>80</v>
      </c>
      <c r="BW59" s="16" t="s">
        <v>80</v>
      </c>
      <c r="BX59" s="16" t="s">
        <v>80</v>
      </c>
      <c r="BY59" s="16" t="s">
        <v>80</v>
      </c>
      <c r="BZ59" s="16" t="s">
        <v>80</v>
      </c>
      <c r="CA59" s="16" t="s">
        <v>80</v>
      </c>
      <c r="CB59" s="16" t="s">
        <v>80</v>
      </c>
      <c r="CC59" s="16" t="s">
        <v>80</v>
      </c>
      <c r="CD59" s="16" t="s">
        <v>80</v>
      </c>
      <c r="CE59" s="16" t="s">
        <v>80</v>
      </c>
      <c r="CF59" s="16" t="s">
        <v>80</v>
      </c>
      <c r="CG59" s="16" t="s">
        <v>80</v>
      </c>
      <c r="CH59" s="16" t="s">
        <v>80</v>
      </c>
      <c r="CI59" s="16" t="s">
        <v>80</v>
      </c>
      <c r="CJ59" s="16" t="s">
        <v>80</v>
      </c>
      <c r="CK59" s="16" t="s">
        <v>80</v>
      </c>
      <c r="CL59" s="16" t="s">
        <v>80</v>
      </c>
      <c r="CM59" s="16" t="s">
        <v>80</v>
      </c>
      <c r="CP59" s="1">
        <v>169</v>
      </c>
      <c r="CQ59" s="1" t="s">
        <v>95</v>
      </c>
      <c r="CR59" s="1" t="s">
        <v>104</v>
      </c>
      <c r="CS59" s="1">
        <v>200</v>
      </c>
      <c r="CT59" s="22">
        <v>52</v>
      </c>
      <c r="CU59" s="22">
        <v>0.68</v>
      </c>
      <c r="CV59" s="22">
        <v>2.58</v>
      </c>
      <c r="CW59" s="22">
        <v>0</v>
      </c>
      <c r="CX59" s="22">
        <v>8.85</v>
      </c>
      <c r="CY59" s="22">
        <v>0.40500000000000003</v>
      </c>
      <c r="CZ59" s="22">
        <v>14.54</v>
      </c>
      <c r="DA59" s="22">
        <v>20.66</v>
      </c>
      <c r="DB59" s="22">
        <v>0.33800000000000002</v>
      </c>
      <c r="DC59" s="22">
        <v>8.0000000000000002E-3</v>
      </c>
      <c r="DN59" s="16">
        <v>0.74549257361095056</v>
      </c>
      <c r="DO59" s="16">
        <v>0.42933393161989836</v>
      </c>
      <c r="DP59" s="16">
        <v>6.9978642804461977E-2</v>
      </c>
      <c r="DQ59" s="16">
        <v>2.4321133927460523E-2</v>
      </c>
      <c r="DR59" s="16">
        <v>0.34139498554128989</v>
      </c>
      <c r="DS59" s="16">
        <v>2.3933634228809808</v>
      </c>
      <c r="DT59" s="16">
        <v>1.5704631448929571</v>
      </c>
      <c r="DU59" s="16">
        <v>0.14264235104351181</v>
      </c>
      <c r="DV59" s="16">
        <v>0.2173849075360246</v>
      </c>
      <c r="DW59" s="13">
        <v>6</v>
      </c>
      <c r="DX59" s="16"/>
      <c r="DY59" s="16"/>
      <c r="DZ59" s="16"/>
      <c r="EA59" s="16"/>
      <c r="EB59" s="16"/>
      <c r="EC59" s="16"/>
      <c r="ED59" s="16"/>
      <c r="EE59" s="15"/>
      <c r="EF59" s="15"/>
      <c r="EG59" s="15"/>
      <c r="EH59" s="15"/>
    </row>
    <row r="60" spans="2:138" x14ac:dyDescent="0.25">
      <c r="B60" s="4" t="s">
        <v>311</v>
      </c>
      <c r="C60" s="5" t="s">
        <v>249</v>
      </c>
      <c r="D60" s="1">
        <v>174.21</v>
      </c>
      <c r="E60" s="98" t="s">
        <v>95</v>
      </c>
      <c r="F60" s="1" t="s">
        <v>104</v>
      </c>
      <c r="G60" s="1">
        <v>205.21</v>
      </c>
      <c r="H60" s="22">
        <f t="shared" si="9"/>
        <v>60.18</v>
      </c>
      <c r="I60" s="22">
        <f t="shared" si="9"/>
        <v>1.31</v>
      </c>
      <c r="J60" s="22">
        <f t="shared" si="9"/>
        <v>15.07</v>
      </c>
      <c r="K60" s="22">
        <f t="shared" si="9"/>
        <v>2.5999999999999999E-2</v>
      </c>
      <c r="L60" s="22">
        <f t="shared" si="9"/>
        <v>7.31</v>
      </c>
      <c r="M60" s="22">
        <f t="shared" si="9"/>
        <v>0.29199999999999998</v>
      </c>
      <c r="N60" s="22">
        <f t="shared" si="9"/>
        <v>3.01</v>
      </c>
      <c r="O60" s="22">
        <f t="shared" si="9"/>
        <v>3.92</v>
      </c>
      <c r="P60" s="22">
        <f t="shared" si="9"/>
        <v>3.66</v>
      </c>
      <c r="Q60" s="22">
        <f t="shared" si="9"/>
        <v>1.92</v>
      </c>
      <c r="R60" s="22">
        <f t="shared" si="9"/>
        <v>0.255</v>
      </c>
      <c r="S60" s="1" t="s">
        <v>312</v>
      </c>
      <c r="T60" s="96">
        <f t="shared" si="10"/>
        <v>0</v>
      </c>
      <c r="V60" s="5" t="s">
        <v>249</v>
      </c>
      <c r="W60" s="1">
        <v>174.2</v>
      </c>
      <c r="X60" s="98" t="s">
        <v>95</v>
      </c>
      <c r="Y60" s="1" t="s">
        <v>104</v>
      </c>
      <c r="Z60" s="1">
        <v>205.2</v>
      </c>
      <c r="AA60" s="22">
        <v>60.18</v>
      </c>
      <c r="AB60" s="22">
        <v>1.31</v>
      </c>
      <c r="AC60" s="22">
        <v>15.07</v>
      </c>
      <c r="AD60" s="22">
        <v>2.5999999999999999E-2</v>
      </c>
      <c r="AE60" s="22">
        <v>7.31</v>
      </c>
      <c r="AF60" s="22">
        <v>0.29199999999999998</v>
      </c>
      <c r="AG60" s="22">
        <v>3.01</v>
      </c>
      <c r="AH60" s="22">
        <v>3.92</v>
      </c>
      <c r="AI60" s="22">
        <v>3.66</v>
      </c>
      <c r="AJ60" s="22">
        <v>1.92</v>
      </c>
      <c r="AK60" s="22">
        <v>0.255</v>
      </c>
      <c r="AL60" s="22">
        <v>2.8000000000000001E-2</v>
      </c>
      <c r="AM60" s="22">
        <v>0.21099999999999999</v>
      </c>
      <c r="AO60" s="22">
        <v>97.192000000000007</v>
      </c>
      <c r="AP60" s="3">
        <v>98.005603000000008</v>
      </c>
      <c r="AR60" s="4" t="s">
        <v>311</v>
      </c>
      <c r="AS60" s="1" t="s">
        <v>260</v>
      </c>
      <c r="AT60" s="1" t="s">
        <v>260</v>
      </c>
      <c r="AU60" s="16" t="s">
        <v>80</v>
      </c>
      <c r="AV60" s="13" t="s">
        <v>80</v>
      </c>
      <c r="AW60" s="13" t="s">
        <v>80</v>
      </c>
      <c r="AX60" s="13" t="s">
        <v>80</v>
      </c>
      <c r="AY60" s="13" t="s">
        <v>80</v>
      </c>
      <c r="AZ60" s="13" t="s">
        <v>80</v>
      </c>
      <c r="BA60" s="16" t="s">
        <v>80</v>
      </c>
      <c r="BB60" s="16" t="s">
        <v>80</v>
      </c>
      <c r="BC60" s="13" t="s">
        <v>80</v>
      </c>
      <c r="BD60" s="104" t="s">
        <v>80</v>
      </c>
      <c r="BE60" s="16" t="s">
        <v>80</v>
      </c>
      <c r="BF60" s="13" t="s">
        <v>80</v>
      </c>
      <c r="BG60" s="16" t="s">
        <v>80</v>
      </c>
      <c r="BH60" s="16" t="s">
        <v>80</v>
      </c>
      <c r="BI60" s="16" t="s">
        <v>80</v>
      </c>
      <c r="BJ60" s="16" t="s">
        <v>80</v>
      </c>
      <c r="BK60" s="16" t="s">
        <v>80</v>
      </c>
      <c r="BL60" s="16" t="s">
        <v>80</v>
      </c>
      <c r="BM60" s="16" t="s">
        <v>80</v>
      </c>
      <c r="BN60" s="16" t="s">
        <v>80</v>
      </c>
      <c r="BO60" s="16" t="s">
        <v>80</v>
      </c>
      <c r="BP60" s="16" t="s">
        <v>80</v>
      </c>
      <c r="BQ60" s="16" t="s">
        <v>80</v>
      </c>
      <c r="BR60" s="16" t="s">
        <v>80</v>
      </c>
      <c r="BS60" s="16"/>
      <c r="BT60" s="16" t="s">
        <v>80</v>
      </c>
      <c r="BU60" s="16" t="s">
        <v>80</v>
      </c>
      <c r="BV60" s="16" t="s">
        <v>80</v>
      </c>
      <c r="BW60" s="16" t="s">
        <v>80</v>
      </c>
      <c r="BX60" s="16" t="s">
        <v>80</v>
      </c>
      <c r="BY60" s="16" t="s">
        <v>80</v>
      </c>
      <c r="BZ60" s="16" t="s">
        <v>80</v>
      </c>
      <c r="CA60" s="16" t="s">
        <v>80</v>
      </c>
      <c r="CB60" s="16" t="s">
        <v>80</v>
      </c>
      <c r="CC60" s="16" t="s">
        <v>80</v>
      </c>
      <c r="CD60" s="16" t="s">
        <v>80</v>
      </c>
      <c r="CE60" s="16" t="s">
        <v>80</v>
      </c>
      <c r="CF60" s="16" t="s">
        <v>80</v>
      </c>
      <c r="CG60" s="16" t="s">
        <v>80</v>
      </c>
      <c r="CH60" s="16" t="s">
        <v>80</v>
      </c>
      <c r="CI60" s="16" t="s">
        <v>80</v>
      </c>
      <c r="CJ60" s="16" t="s">
        <v>80</v>
      </c>
      <c r="CK60" s="16" t="s">
        <v>80</v>
      </c>
      <c r="CL60" s="16" t="s">
        <v>80</v>
      </c>
      <c r="CM60" s="16" t="s">
        <v>80</v>
      </c>
      <c r="CP60" s="1">
        <v>169</v>
      </c>
      <c r="CQ60" s="1" t="s">
        <v>95</v>
      </c>
      <c r="CR60" s="1" t="s">
        <v>104</v>
      </c>
      <c r="CS60" s="1">
        <v>200</v>
      </c>
      <c r="CT60" s="22">
        <v>52</v>
      </c>
      <c r="CU60" s="22">
        <v>0.68</v>
      </c>
      <c r="CV60" s="22">
        <v>2.58</v>
      </c>
      <c r="CW60" s="22">
        <v>0</v>
      </c>
      <c r="CX60" s="22">
        <v>8.85</v>
      </c>
      <c r="CY60" s="22">
        <v>0.40500000000000003</v>
      </c>
      <c r="CZ60" s="22">
        <v>14.54</v>
      </c>
      <c r="DA60" s="22">
        <v>20.66</v>
      </c>
      <c r="DB60" s="22">
        <v>0.33800000000000002</v>
      </c>
      <c r="DC60" s="22">
        <v>8.0000000000000002E-3</v>
      </c>
      <c r="DD60" s="11"/>
      <c r="DE60" s="4"/>
      <c r="DF60" s="4"/>
      <c r="DG60" s="4"/>
      <c r="DH60" s="4"/>
      <c r="DI60" s="4"/>
      <c r="DJ60" s="4"/>
      <c r="DK60" s="4"/>
      <c r="DL60" s="4"/>
      <c r="DM60" s="4"/>
      <c r="DN60" s="16">
        <v>0.74549257361095056</v>
      </c>
      <c r="DO60" s="16">
        <v>0.42933393161989836</v>
      </c>
      <c r="DP60" s="16">
        <v>6.9978642804461977E-2</v>
      </c>
      <c r="DQ60" s="16">
        <v>2.4321133927460523E-2</v>
      </c>
      <c r="DR60" s="17">
        <v>0.34139498554128989</v>
      </c>
      <c r="DS60" s="17">
        <v>1.3621632369022767</v>
      </c>
      <c r="DT60" s="17">
        <v>1.3621632369022767</v>
      </c>
      <c r="DU60" s="17">
        <v>0.25062707338781454</v>
      </c>
      <c r="DV60" s="17">
        <v>0.25062707338781454</v>
      </c>
      <c r="DW60" s="13">
        <v>0</v>
      </c>
      <c r="DX60" s="16"/>
      <c r="DY60" s="16"/>
      <c r="DZ60" s="16"/>
      <c r="EA60" s="16"/>
      <c r="EB60" s="16"/>
      <c r="EC60" s="16"/>
      <c r="ED60" s="16"/>
      <c r="EE60" s="15"/>
      <c r="EF60" s="15"/>
      <c r="EG60" s="15"/>
      <c r="EH60" s="15"/>
    </row>
    <row r="61" spans="2:138" x14ac:dyDescent="0.25">
      <c r="B61" s="4" t="s">
        <v>311</v>
      </c>
      <c r="C61" s="5" t="s">
        <v>249</v>
      </c>
      <c r="D61" s="1">
        <v>179.11</v>
      </c>
      <c r="E61" s="98" t="s">
        <v>95</v>
      </c>
      <c r="F61" s="1" t="s">
        <v>104</v>
      </c>
      <c r="G61" s="1">
        <v>210.11</v>
      </c>
      <c r="H61" s="22">
        <f t="shared" si="9"/>
        <v>56.91</v>
      </c>
      <c r="I61" s="22">
        <f t="shared" si="9"/>
        <v>1.171632</v>
      </c>
      <c r="J61" s="22">
        <f t="shared" si="9"/>
        <v>14.013551999999999</v>
      </c>
      <c r="K61" s="22">
        <f t="shared" si="9"/>
        <v>8.3999999999999995E-3</v>
      </c>
      <c r="L61" s="22">
        <f t="shared" si="9"/>
        <v>8.3798399999999997</v>
      </c>
      <c r="M61" s="22">
        <f t="shared" si="9"/>
        <v>0.21907200000000002</v>
      </c>
      <c r="N61" s="22">
        <f t="shared" si="9"/>
        <v>3.0747360000000001</v>
      </c>
      <c r="O61" s="22">
        <f t="shared" si="9"/>
        <v>6.3551039999999999</v>
      </c>
      <c r="P61" s="22">
        <f t="shared" si="9"/>
        <v>4.4974271999999997</v>
      </c>
      <c r="Q61" s="22">
        <f t="shared" si="9"/>
        <v>1.4542751999999999</v>
      </c>
      <c r="R61" s="22">
        <f t="shared" si="9"/>
        <v>0.23939999999999997</v>
      </c>
      <c r="S61" s="1" t="s">
        <v>312</v>
      </c>
      <c r="T61" s="96">
        <f t="shared" si="10"/>
        <v>16</v>
      </c>
      <c r="V61" s="5" t="s">
        <v>249</v>
      </c>
      <c r="W61" s="1">
        <v>179.1</v>
      </c>
      <c r="X61" s="98" t="s">
        <v>95</v>
      </c>
      <c r="Y61" s="1" t="s">
        <v>104</v>
      </c>
      <c r="Z61" s="1">
        <v>210.1</v>
      </c>
      <c r="AA61" s="22">
        <v>59.43</v>
      </c>
      <c r="AB61" s="22">
        <v>1.286</v>
      </c>
      <c r="AC61" s="22">
        <v>16.27</v>
      </c>
      <c r="AD61" s="22">
        <v>0.01</v>
      </c>
      <c r="AE61" s="22">
        <v>8.56</v>
      </c>
      <c r="AF61" s="22">
        <v>0.19600000000000001</v>
      </c>
      <c r="AG61" s="22">
        <v>1.3340000000000001</v>
      </c>
      <c r="AH61" s="22">
        <v>4.26</v>
      </c>
      <c r="AI61" s="22">
        <v>5.3</v>
      </c>
      <c r="AJ61" s="22">
        <v>1.73</v>
      </c>
      <c r="AK61" s="22">
        <v>0.28499999999999998</v>
      </c>
      <c r="AL61" s="22">
        <v>4.1000000000000002E-2</v>
      </c>
      <c r="AM61" s="22">
        <v>0.20200000000000001</v>
      </c>
      <c r="AO61" s="22">
        <v>98.904000000000011</v>
      </c>
      <c r="AP61" s="3">
        <v>99.856728000000004</v>
      </c>
      <c r="AR61" s="4" t="s">
        <v>311</v>
      </c>
      <c r="AS61" s="1" t="s">
        <v>260</v>
      </c>
      <c r="AT61" s="1" t="s">
        <v>260</v>
      </c>
      <c r="AU61" s="16" t="s">
        <v>80</v>
      </c>
      <c r="AV61" s="13" t="s">
        <v>80</v>
      </c>
      <c r="AW61" s="13" t="s">
        <v>80</v>
      </c>
      <c r="AX61" s="13" t="s">
        <v>80</v>
      </c>
      <c r="AY61" s="13" t="s">
        <v>80</v>
      </c>
      <c r="AZ61" s="13" t="s">
        <v>80</v>
      </c>
      <c r="BA61" s="16" t="s">
        <v>80</v>
      </c>
      <c r="BB61" s="16" t="s">
        <v>80</v>
      </c>
      <c r="BC61" s="13" t="s">
        <v>80</v>
      </c>
      <c r="BD61" s="104" t="s">
        <v>80</v>
      </c>
      <c r="BE61" s="16" t="s">
        <v>80</v>
      </c>
      <c r="BF61" s="13" t="s">
        <v>80</v>
      </c>
      <c r="BG61" s="16" t="s">
        <v>80</v>
      </c>
      <c r="BH61" s="16" t="s">
        <v>80</v>
      </c>
      <c r="BI61" s="16" t="s">
        <v>80</v>
      </c>
      <c r="BJ61" s="16" t="s">
        <v>80</v>
      </c>
      <c r="BK61" s="16" t="s">
        <v>80</v>
      </c>
      <c r="BL61" s="16" t="s">
        <v>80</v>
      </c>
      <c r="BM61" s="16" t="s">
        <v>80</v>
      </c>
      <c r="BN61" s="16" t="s">
        <v>80</v>
      </c>
      <c r="BO61" s="16" t="s">
        <v>80</v>
      </c>
      <c r="BP61" s="16" t="s">
        <v>80</v>
      </c>
      <c r="BQ61" s="16" t="s">
        <v>80</v>
      </c>
      <c r="BR61" s="16" t="s">
        <v>80</v>
      </c>
      <c r="BS61" s="16"/>
      <c r="BT61" s="16" t="s">
        <v>80</v>
      </c>
      <c r="BU61" s="16" t="s">
        <v>80</v>
      </c>
      <c r="BV61" s="16" t="s">
        <v>80</v>
      </c>
      <c r="BW61" s="16" t="s">
        <v>80</v>
      </c>
      <c r="BX61" s="16" t="s">
        <v>80</v>
      </c>
      <c r="BY61" s="16" t="s">
        <v>80</v>
      </c>
      <c r="BZ61" s="16" t="s">
        <v>80</v>
      </c>
      <c r="CA61" s="16" t="s">
        <v>80</v>
      </c>
      <c r="CB61" s="16" t="s">
        <v>80</v>
      </c>
      <c r="CC61" s="16" t="s">
        <v>80</v>
      </c>
      <c r="CD61" s="16" t="s">
        <v>80</v>
      </c>
      <c r="CE61" s="16" t="s">
        <v>80</v>
      </c>
      <c r="CF61" s="16" t="s">
        <v>80</v>
      </c>
      <c r="CG61" s="16" t="s">
        <v>80</v>
      </c>
      <c r="CH61" s="16" t="s">
        <v>80</v>
      </c>
      <c r="CI61" s="16" t="s">
        <v>80</v>
      </c>
      <c r="CJ61" s="16" t="s">
        <v>80</v>
      </c>
      <c r="CK61" s="16" t="s">
        <v>80</v>
      </c>
      <c r="CL61" s="16" t="s">
        <v>80</v>
      </c>
      <c r="CM61" s="16" t="s">
        <v>80</v>
      </c>
      <c r="CP61" s="1">
        <v>169</v>
      </c>
      <c r="CQ61" s="1" t="s">
        <v>95</v>
      </c>
      <c r="CR61" s="1" t="s">
        <v>104</v>
      </c>
      <c r="CS61" s="1">
        <v>200</v>
      </c>
      <c r="CT61" s="22">
        <v>52</v>
      </c>
      <c r="CU61" s="22">
        <v>0.68</v>
      </c>
      <c r="CV61" s="22">
        <v>2.58</v>
      </c>
      <c r="CW61" s="22">
        <v>0</v>
      </c>
      <c r="CX61" s="22">
        <v>8.85</v>
      </c>
      <c r="CY61" s="22">
        <v>0.40500000000000003</v>
      </c>
      <c r="CZ61" s="22">
        <v>14.54</v>
      </c>
      <c r="DA61" s="22">
        <v>20.66</v>
      </c>
      <c r="DB61" s="22">
        <v>0.33800000000000002</v>
      </c>
      <c r="DC61" s="22">
        <v>8.0000000000000002E-3</v>
      </c>
      <c r="DD61" s="11"/>
      <c r="DE61" s="4"/>
      <c r="DF61" s="4"/>
      <c r="DG61" s="4"/>
      <c r="DH61" s="4"/>
      <c r="DI61" s="4"/>
      <c r="DJ61" s="4"/>
      <c r="DK61" s="4"/>
      <c r="DL61" s="4"/>
      <c r="DM61" s="4"/>
      <c r="DN61" s="16">
        <v>0.74549257361095056</v>
      </c>
      <c r="DO61" s="16">
        <v>0.42933393161989836</v>
      </c>
      <c r="DP61" s="16">
        <v>6.9978642804461977E-2</v>
      </c>
      <c r="DQ61" s="16">
        <v>2.4321133927460523E-2</v>
      </c>
      <c r="DR61" s="17">
        <v>0.34139498554128989</v>
      </c>
      <c r="DS61" s="17">
        <v>3.5991190208653498</v>
      </c>
      <c r="DT61" s="17">
        <v>1.5286433363013971</v>
      </c>
      <c r="DU61" s="17">
        <v>9.4855153042203919E-2</v>
      </c>
      <c r="DV61" s="17">
        <v>0.2233320078229015</v>
      </c>
      <c r="DW61" s="13">
        <v>16</v>
      </c>
      <c r="DX61" s="16"/>
      <c r="DY61" s="16"/>
      <c r="DZ61" s="16"/>
      <c r="EA61" s="16"/>
      <c r="EB61" s="16"/>
      <c r="EC61" s="16"/>
      <c r="ED61" s="16"/>
      <c r="EE61" s="15"/>
      <c r="EF61" s="15"/>
      <c r="EG61" s="15"/>
      <c r="EH61" s="15"/>
    </row>
    <row r="62" spans="2:138" x14ac:dyDescent="0.25">
      <c r="B62" s="4" t="s">
        <v>311</v>
      </c>
      <c r="C62" s="5" t="s">
        <v>249</v>
      </c>
      <c r="D62" s="1">
        <v>179.21</v>
      </c>
      <c r="E62" s="98" t="s">
        <v>95</v>
      </c>
      <c r="F62" s="1" t="s">
        <v>104</v>
      </c>
      <c r="G62" s="1">
        <v>210.21</v>
      </c>
      <c r="H62" s="22">
        <f t="shared" si="9"/>
        <v>59.84</v>
      </c>
      <c r="I62" s="22">
        <f t="shared" si="9"/>
        <v>0.92364799999999991</v>
      </c>
      <c r="J62" s="22">
        <f t="shared" si="9"/>
        <v>14.431647999999999</v>
      </c>
      <c r="K62" s="22">
        <f t="shared" si="9"/>
        <v>0</v>
      </c>
      <c r="L62" s="22">
        <f t="shared" si="9"/>
        <v>6.56656</v>
      </c>
      <c r="M62" s="22">
        <f t="shared" si="9"/>
        <v>0.20732800000000001</v>
      </c>
      <c r="N62" s="22">
        <f t="shared" si="9"/>
        <v>2.4215839999999997</v>
      </c>
      <c r="O62" s="22">
        <f t="shared" si="9"/>
        <v>4.8216960000000002</v>
      </c>
      <c r="P62" s="22">
        <f t="shared" si="9"/>
        <v>4.2068928000000003</v>
      </c>
      <c r="Q62" s="22">
        <f t="shared" si="9"/>
        <v>2.9312448</v>
      </c>
      <c r="R62" s="22">
        <f t="shared" si="9"/>
        <v>0.30096000000000001</v>
      </c>
      <c r="S62" s="1" t="s">
        <v>312</v>
      </c>
      <c r="T62" s="96">
        <f t="shared" si="10"/>
        <v>12</v>
      </c>
      <c r="V62" s="5" t="s">
        <v>249</v>
      </c>
      <c r="W62" s="1">
        <v>179.2</v>
      </c>
      <c r="X62" s="98" t="s">
        <v>95</v>
      </c>
      <c r="Y62" s="1" t="s">
        <v>104</v>
      </c>
      <c r="Z62" s="1">
        <v>210.2</v>
      </c>
      <c r="AA62" s="22">
        <v>61.76</v>
      </c>
      <c r="AB62" s="22">
        <v>0.96799999999999997</v>
      </c>
      <c r="AC62" s="22">
        <v>16.09</v>
      </c>
      <c r="AD62" s="22">
        <v>0</v>
      </c>
      <c r="AE62" s="22">
        <v>6.4</v>
      </c>
      <c r="AF62" s="22">
        <v>0.187</v>
      </c>
      <c r="AG62" s="22">
        <v>1.0069999999999999</v>
      </c>
      <c r="AH62" s="22">
        <v>3</v>
      </c>
      <c r="AI62" s="22">
        <v>4.74</v>
      </c>
      <c r="AJ62" s="22">
        <v>3.33</v>
      </c>
      <c r="AK62" s="22">
        <v>0.34200000000000003</v>
      </c>
      <c r="AL62" s="22">
        <v>4.7E-2</v>
      </c>
      <c r="AM62" s="22">
        <v>0.30199999999999999</v>
      </c>
      <c r="AO62" s="22">
        <v>98.173000000000002</v>
      </c>
      <c r="AP62" s="3">
        <v>98.885319999999993</v>
      </c>
      <c r="AR62" s="4" t="s">
        <v>311</v>
      </c>
      <c r="AS62" s="1" t="s">
        <v>260</v>
      </c>
      <c r="AT62" s="1" t="s">
        <v>260</v>
      </c>
      <c r="AU62" s="16" t="s">
        <v>80</v>
      </c>
      <c r="AV62" s="13" t="s">
        <v>80</v>
      </c>
      <c r="AW62" s="13" t="s">
        <v>80</v>
      </c>
      <c r="AX62" s="13" t="s">
        <v>80</v>
      </c>
      <c r="AY62" s="13" t="s">
        <v>80</v>
      </c>
      <c r="AZ62" s="13" t="s">
        <v>80</v>
      </c>
      <c r="BA62" s="16" t="s">
        <v>80</v>
      </c>
      <c r="BB62" s="16" t="s">
        <v>80</v>
      </c>
      <c r="BC62" s="13" t="s">
        <v>80</v>
      </c>
      <c r="BD62" s="104" t="s">
        <v>80</v>
      </c>
      <c r="BE62" s="16" t="s">
        <v>80</v>
      </c>
      <c r="BF62" s="13" t="s">
        <v>80</v>
      </c>
      <c r="BG62" s="16" t="s">
        <v>80</v>
      </c>
      <c r="BH62" s="16" t="s">
        <v>80</v>
      </c>
      <c r="BI62" s="16" t="s">
        <v>80</v>
      </c>
      <c r="BJ62" s="16" t="s">
        <v>80</v>
      </c>
      <c r="BK62" s="16" t="s">
        <v>80</v>
      </c>
      <c r="BL62" s="16" t="s">
        <v>80</v>
      </c>
      <c r="BM62" s="16" t="s">
        <v>80</v>
      </c>
      <c r="BN62" s="16" t="s">
        <v>80</v>
      </c>
      <c r="BO62" s="16" t="s">
        <v>80</v>
      </c>
      <c r="BP62" s="16" t="s">
        <v>80</v>
      </c>
      <c r="BQ62" s="16" t="s">
        <v>80</v>
      </c>
      <c r="BR62" s="16" t="s">
        <v>80</v>
      </c>
      <c r="BS62" s="16"/>
      <c r="BT62" s="16" t="s">
        <v>80</v>
      </c>
      <c r="BU62" s="16" t="s">
        <v>80</v>
      </c>
      <c r="BV62" s="16" t="s">
        <v>80</v>
      </c>
      <c r="BW62" s="16" t="s">
        <v>80</v>
      </c>
      <c r="BX62" s="16" t="s">
        <v>80</v>
      </c>
      <c r="BY62" s="16" t="s">
        <v>80</v>
      </c>
      <c r="BZ62" s="16" t="s">
        <v>80</v>
      </c>
      <c r="CA62" s="16" t="s">
        <v>80</v>
      </c>
      <c r="CB62" s="16" t="s">
        <v>80</v>
      </c>
      <c r="CC62" s="16" t="s">
        <v>80</v>
      </c>
      <c r="CD62" s="16" t="s">
        <v>80</v>
      </c>
      <c r="CE62" s="16" t="s">
        <v>80</v>
      </c>
      <c r="CF62" s="16" t="s">
        <v>80</v>
      </c>
      <c r="CG62" s="16" t="s">
        <v>80</v>
      </c>
      <c r="CH62" s="16" t="s">
        <v>80</v>
      </c>
      <c r="CI62" s="16" t="s">
        <v>80</v>
      </c>
      <c r="CJ62" s="16" t="s">
        <v>80</v>
      </c>
      <c r="CK62" s="16" t="s">
        <v>80</v>
      </c>
      <c r="CL62" s="16" t="s">
        <v>80</v>
      </c>
      <c r="CM62" s="16" t="s">
        <v>80</v>
      </c>
      <c r="CP62" s="1">
        <v>169</v>
      </c>
      <c r="CQ62" s="1" t="s">
        <v>95</v>
      </c>
      <c r="CR62" s="1" t="s">
        <v>104</v>
      </c>
      <c r="CS62" s="1">
        <v>200</v>
      </c>
      <c r="CT62" s="22">
        <v>52</v>
      </c>
      <c r="CU62" s="22">
        <v>0.68</v>
      </c>
      <c r="CV62" s="22">
        <v>2.58</v>
      </c>
      <c r="CW62" s="22">
        <v>0</v>
      </c>
      <c r="CX62" s="22">
        <v>8.85</v>
      </c>
      <c r="CY62" s="22">
        <v>0.40500000000000003</v>
      </c>
      <c r="CZ62" s="22">
        <v>14.54</v>
      </c>
      <c r="DA62" s="22">
        <v>20.66</v>
      </c>
      <c r="DB62" s="22">
        <v>0.33800000000000002</v>
      </c>
      <c r="DC62" s="22">
        <v>8.0000000000000002E-3</v>
      </c>
      <c r="DD62" s="11"/>
      <c r="DE62" s="4"/>
      <c r="DF62" s="4"/>
      <c r="DG62" s="4"/>
      <c r="DH62" s="4"/>
      <c r="DI62" s="4"/>
      <c r="DJ62" s="4"/>
      <c r="DK62" s="4"/>
      <c r="DL62" s="4"/>
      <c r="DM62" s="4"/>
      <c r="DN62" s="16">
        <v>0.74549257361095056</v>
      </c>
      <c r="DO62" s="16">
        <v>0.42933393161989836</v>
      </c>
      <c r="DP62" s="16">
        <v>6.9978642804461977E-2</v>
      </c>
      <c r="DQ62" s="16">
        <v>2.4321133927460523E-2</v>
      </c>
      <c r="DR62" s="17">
        <v>0.34139498554128989</v>
      </c>
      <c r="DS62" s="17">
        <v>3.564747532754367</v>
      </c>
      <c r="DT62" s="17">
        <v>1.5209560056167197</v>
      </c>
      <c r="DU62" s="17">
        <v>9.5769751547455262E-2</v>
      </c>
      <c r="DV62" s="17">
        <v>0.22446078931971505</v>
      </c>
      <c r="DW62" s="13">
        <v>12</v>
      </c>
      <c r="DX62" s="16"/>
      <c r="DY62" s="16"/>
      <c r="DZ62" s="16"/>
      <c r="EA62" s="16"/>
      <c r="EB62" s="16"/>
      <c r="EC62" s="16"/>
      <c r="ED62" s="16"/>
      <c r="EE62" s="15"/>
      <c r="EF62" s="15"/>
      <c r="EG62" s="15"/>
      <c r="EH62" s="15"/>
    </row>
    <row r="63" spans="2:138" x14ac:dyDescent="0.25">
      <c r="B63" s="4" t="s">
        <v>311</v>
      </c>
      <c r="C63" s="5" t="s">
        <v>249</v>
      </c>
      <c r="D63" s="1">
        <v>179.31</v>
      </c>
      <c r="E63" s="98" t="s">
        <v>95</v>
      </c>
      <c r="F63" s="1" t="s">
        <v>104</v>
      </c>
      <c r="G63" s="1">
        <v>210.31</v>
      </c>
      <c r="H63" s="22">
        <f t="shared" si="9"/>
        <v>57.4495</v>
      </c>
      <c r="I63" s="22">
        <f t="shared" si="9"/>
        <v>1.184412</v>
      </c>
      <c r="J63" s="22">
        <f t="shared" si="9"/>
        <v>14.270082</v>
      </c>
      <c r="K63" s="22">
        <f t="shared" si="9"/>
        <v>0</v>
      </c>
      <c r="L63" s="22">
        <f t="shared" si="9"/>
        <v>8.3068149999999985</v>
      </c>
      <c r="M63" s="22">
        <f t="shared" si="9"/>
        <v>0.2327795</v>
      </c>
      <c r="N63" s="22">
        <f t="shared" si="9"/>
        <v>2.9898660000000001</v>
      </c>
      <c r="O63" s="22">
        <f t="shared" si="9"/>
        <v>6.4370139999999996</v>
      </c>
      <c r="P63" s="22">
        <f t="shared" si="9"/>
        <v>4.1804902000000004</v>
      </c>
      <c r="Q63" s="22">
        <f t="shared" si="9"/>
        <v>1.5315832</v>
      </c>
      <c r="R63" s="22">
        <f t="shared" si="9"/>
        <v>0.24208000000000002</v>
      </c>
      <c r="S63" s="1" t="s">
        <v>312</v>
      </c>
      <c r="T63" s="96">
        <f t="shared" si="10"/>
        <v>11</v>
      </c>
      <c r="V63" s="5" t="s">
        <v>249</v>
      </c>
      <c r="W63" s="1">
        <v>179.29999999999998</v>
      </c>
      <c r="X63" s="98" t="s">
        <v>95</v>
      </c>
      <c r="Y63" s="1" t="s">
        <v>104</v>
      </c>
      <c r="Z63" s="1">
        <v>210.29999999999998</v>
      </c>
      <c r="AA63" s="22">
        <v>58.83</v>
      </c>
      <c r="AB63" s="22">
        <v>1.256</v>
      </c>
      <c r="AC63" s="22">
        <v>15.75</v>
      </c>
      <c r="AD63" s="22">
        <v>0</v>
      </c>
      <c r="AE63" s="22">
        <v>8.36</v>
      </c>
      <c r="AF63" s="22">
        <v>0.217</v>
      </c>
      <c r="AG63" s="22">
        <v>1.76</v>
      </c>
      <c r="AH63" s="22">
        <v>4.96</v>
      </c>
      <c r="AI63" s="22">
        <v>4.66</v>
      </c>
      <c r="AJ63" s="22">
        <v>1.72</v>
      </c>
      <c r="AK63" s="22">
        <v>0.27200000000000002</v>
      </c>
      <c r="AL63" s="22">
        <v>0.11700000000000001</v>
      </c>
      <c r="AM63" s="22">
        <v>0.19400000000000001</v>
      </c>
      <c r="AO63" s="22">
        <v>98.096000000000004</v>
      </c>
      <c r="AP63" s="3">
        <v>99.026468000000008</v>
      </c>
      <c r="AR63" s="4" t="s">
        <v>311</v>
      </c>
      <c r="AS63" s="1" t="s">
        <v>260</v>
      </c>
      <c r="AT63" s="1" t="s">
        <v>260</v>
      </c>
      <c r="AU63" s="16" t="s">
        <v>80</v>
      </c>
      <c r="AV63" s="13" t="s">
        <v>80</v>
      </c>
      <c r="AW63" s="13" t="s">
        <v>80</v>
      </c>
      <c r="AX63" s="13" t="s">
        <v>80</v>
      </c>
      <c r="AY63" s="13" t="s">
        <v>80</v>
      </c>
      <c r="AZ63" s="13" t="s">
        <v>80</v>
      </c>
      <c r="BA63" s="16" t="s">
        <v>80</v>
      </c>
      <c r="BB63" s="16" t="s">
        <v>80</v>
      </c>
      <c r="BC63" s="13" t="s">
        <v>80</v>
      </c>
      <c r="BD63" s="104" t="s">
        <v>80</v>
      </c>
      <c r="BE63" s="16" t="s">
        <v>80</v>
      </c>
      <c r="BF63" s="13" t="s">
        <v>80</v>
      </c>
      <c r="BG63" s="16" t="s">
        <v>80</v>
      </c>
      <c r="BH63" s="16" t="s">
        <v>80</v>
      </c>
      <c r="BI63" s="16" t="s">
        <v>80</v>
      </c>
      <c r="BJ63" s="16" t="s">
        <v>80</v>
      </c>
      <c r="BK63" s="16" t="s">
        <v>80</v>
      </c>
      <c r="BL63" s="16" t="s">
        <v>80</v>
      </c>
      <c r="BM63" s="16" t="s">
        <v>80</v>
      </c>
      <c r="BN63" s="16" t="s">
        <v>80</v>
      </c>
      <c r="BO63" s="16" t="s">
        <v>80</v>
      </c>
      <c r="BP63" s="16" t="s">
        <v>80</v>
      </c>
      <c r="BQ63" s="16" t="s">
        <v>80</v>
      </c>
      <c r="BR63" s="16" t="s">
        <v>80</v>
      </c>
      <c r="BS63" s="16"/>
      <c r="BT63" s="16" t="s">
        <v>80</v>
      </c>
      <c r="BU63" s="16" t="s">
        <v>80</v>
      </c>
      <c r="BV63" s="16" t="s">
        <v>80</v>
      </c>
      <c r="BW63" s="16" t="s">
        <v>80</v>
      </c>
      <c r="BX63" s="16" t="s">
        <v>80</v>
      </c>
      <c r="BY63" s="16" t="s">
        <v>80</v>
      </c>
      <c r="BZ63" s="16" t="s">
        <v>80</v>
      </c>
      <c r="CA63" s="16" t="s">
        <v>80</v>
      </c>
      <c r="CB63" s="16" t="s">
        <v>80</v>
      </c>
      <c r="CC63" s="16" t="s">
        <v>80</v>
      </c>
      <c r="CD63" s="16" t="s">
        <v>80</v>
      </c>
      <c r="CE63" s="16" t="s">
        <v>80</v>
      </c>
      <c r="CF63" s="16" t="s">
        <v>80</v>
      </c>
      <c r="CG63" s="16" t="s">
        <v>80</v>
      </c>
      <c r="CH63" s="16" t="s">
        <v>80</v>
      </c>
      <c r="CI63" s="16" t="s">
        <v>80</v>
      </c>
      <c r="CJ63" s="16" t="s">
        <v>80</v>
      </c>
      <c r="CK63" s="16" t="s">
        <v>80</v>
      </c>
      <c r="CL63" s="16" t="s">
        <v>80</v>
      </c>
      <c r="CM63" s="16" t="s">
        <v>80</v>
      </c>
      <c r="CP63" s="1">
        <v>169</v>
      </c>
      <c r="CQ63" s="1" t="s">
        <v>95</v>
      </c>
      <c r="CR63" s="1" t="s">
        <v>104</v>
      </c>
      <c r="CS63" s="1">
        <v>200</v>
      </c>
      <c r="CT63" s="22">
        <v>52</v>
      </c>
      <c r="CU63" s="22">
        <v>0.68</v>
      </c>
      <c r="CV63" s="22">
        <v>2.58</v>
      </c>
      <c r="CW63" s="22">
        <v>0</v>
      </c>
      <c r="CX63" s="22">
        <v>8.85</v>
      </c>
      <c r="CY63" s="22">
        <v>0.40500000000000003</v>
      </c>
      <c r="CZ63" s="22">
        <v>14.54</v>
      </c>
      <c r="DA63" s="22">
        <v>20.66</v>
      </c>
      <c r="DB63" s="22">
        <v>0.33800000000000002</v>
      </c>
      <c r="DC63" s="22">
        <v>8.0000000000000002E-3</v>
      </c>
      <c r="DD63" s="11"/>
      <c r="DE63" s="4"/>
      <c r="DF63" s="4"/>
      <c r="DG63" s="4"/>
      <c r="DH63" s="4"/>
      <c r="DI63" s="4"/>
      <c r="DJ63" s="4"/>
      <c r="DK63" s="4"/>
      <c r="DL63" s="4"/>
      <c r="DM63" s="4"/>
      <c r="DN63" s="16">
        <v>0.74549257361095056</v>
      </c>
      <c r="DO63" s="16">
        <v>0.42933393161989836</v>
      </c>
      <c r="DP63" s="16">
        <v>6.9978642804461977E-2</v>
      </c>
      <c r="DQ63" s="16">
        <v>2.4321133927460523E-2</v>
      </c>
      <c r="DR63" s="17">
        <v>0.34139498554128989</v>
      </c>
      <c r="DS63" s="17">
        <v>2.664231036882394</v>
      </c>
      <c r="DT63" s="17">
        <v>1.5583359423670153</v>
      </c>
      <c r="DU63" s="17">
        <v>0.12814015782234126</v>
      </c>
      <c r="DV63" s="17">
        <v>0.21907662928106</v>
      </c>
      <c r="DW63" s="13">
        <v>11</v>
      </c>
      <c r="DX63" s="16"/>
      <c r="DY63" s="16"/>
      <c r="DZ63" s="16"/>
      <c r="EA63" s="16"/>
      <c r="EB63" s="16"/>
      <c r="EC63" s="16"/>
      <c r="ED63" s="16"/>
      <c r="EE63" s="15"/>
      <c r="EF63" s="15"/>
      <c r="EG63" s="15"/>
      <c r="EH63" s="15"/>
    </row>
    <row r="64" spans="2:138" x14ac:dyDescent="0.25">
      <c r="B64" s="4" t="s">
        <v>311</v>
      </c>
      <c r="C64" s="5" t="s">
        <v>249</v>
      </c>
      <c r="D64" s="1">
        <v>179.41</v>
      </c>
      <c r="E64" s="98" t="s">
        <v>95</v>
      </c>
      <c r="F64" s="1" t="s">
        <v>104</v>
      </c>
      <c r="G64" s="1">
        <v>210.41</v>
      </c>
      <c r="H64" s="22">
        <f t="shared" si="9"/>
        <v>57.727999999999994</v>
      </c>
      <c r="I64" s="22">
        <f t="shared" si="9"/>
        <v>1.3214079999999999</v>
      </c>
      <c r="J64" s="22">
        <f t="shared" si="9"/>
        <v>13.974048</v>
      </c>
      <c r="K64" s="22">
        <f t="shared" si="9"/>
        <v>8.8000000000000005E-3</v>
      </c>
      <c r="L64" s="22">
        <f t="shared" si="9"/>
        <v>8.3617599999999985</v>
      </c>
      <c r="M64" s="22">
        <f t="shared" si="9"/>
        <v>0.262768</v>
      </c>
      <c r="N64" s="22">
        <f t="shared" si="9"/>
        <v>3.0490239999999997</v>
      </c>
      <c r="O64" s="22">
        <f t="shared" si="9"/>
        <v>6.1680960000000002</v>
      </c>
      <c r="P64" s="22">
        <f t="shared" si="9"/>
        <v>4.1892927999999996</v>
      </c>
      <c r="Q64" s="22">
        <f t="shared" si="9"/>
        <v>1.2944448</v>
      </c>
      <c r="R64" s="22">
        <f t="shared" si="9"/>
        <v>0.2596</v>
      </c>
      <c r="S64" s="1" t="s">
        <v>312</v>
      </c>
      <c r="T64" s="96">
        <f t="shared" si="10"/>
        <v>12</v>
      </c>
      <c r="V64" s="5" t="s">
        <v>249</v>
      </c>
      <c r="W64" s="1">
        <v>179.39999999999998</v>
      </c>
      <c r="X64" s="98" t="s">
        <v>95</v>
      </c>
      <c r="Y64" s="1" t="s">
        <v>104</v>
      </c>
      <c r="Z64" s="1">
        <v>210.39999999999998</v>
      </c>
      <c r="AA64" s="22">
        <v>59.36</v>
      </c>
      <c r="AB64" s="22">
        <v>1.42</v>
      </c>
      <c r="AC64" s="22">
        <v>15.57</v>
      </c>
      <c r="AD64" s="22">
        <v>0.01</v>
      </c>
      <c r="AE64" s="22">
        <v>8.44</v>
      </c>
      <c r="AF64" s="22">
        <v>0.25</v>
      </c>
      <c r="AG64" s="22">
        <v>1.72</v>
      </c>
      <c r="AH64" s="22">
        <v>4.53</v>
      </c>
      <c r="AI64" s="22">
        <v>4.72</v>
      </c>
      <c r="AJ64" s="22">
        <v>1.47</v>
      </c>
      <c r="AK64" s="22">
        <v>0.29499999999999998</v>
      </c>
      <c r="AL64" s="22">
        <v>2.3E-2</v>
      </c>
      <c r="AM64" s="22">
        <v>0.16300000000000001</v>
      </c>
      <c r="AO64" s="22">
        <v>97.970999999999989</v>
      </c>
      <c r="AP64" s="3">
        <v>98.91037200000001</v>
      </c>
      <c r="AR64" s="4" t="s">
        <v>311</v>
      </c>
      <c r="AS64" s="1" t="s">
        <v>260</v>
      </c>
      <c r="AT64" s="1" t="s">
        <v>260</v>
      </c>
      <c r="AU64" s="16" t="s">
        <v>80</v>
      </c>
      <c r="AV64" s="13" t="s">
        <v>80</v>
      </c>
      <c r="AW64" s="13" t="s">
        <v>80</v>
      </c>
      <c r="AX64" s="13" t="s">
        <v>80</v>
      </c>
      <c r="AY64" s="13" t="s">
        <v>80</v>
      </c>
      <c r="AZ64" s="13" t="s">
        <v>80</v>
      </c>
      <c r="BA64" s="16" t="s">
        <v>80</v>
      </c>
      <c r="BB64" s="16" t="s">
        <v>80</v>
      </c>
      <c r="BC64" s="13" t="s">
        <v>80</v>
      </c>
      <c r="BD64" s="104" t="s">
        <v>80</v>
      </c>
      <c r="BE64" s="16" t="s">
        <v>80</v>
      </c>
      <c r="BF64" s="13" t="s">
        <v>80</v>
      </c>
      <c r="BG64" s="16" t="s">
        <v>80</v>
      </c>
      <c r="BH64" s="16" t="s">
        <v>80</v>
      </c>
      <c r="BI64" s="16" t="s">
        <v>80</v>
      </c>
      <c r="BJ64" s="16" t="s">
        <v>80</v>
      </c>
      <c r="BK64" s="16" t="s">
        <v>80</v>
      </c>
      <c r="BL64" s="16" t="s">
        <v>80</v>
      </c>
      <c r="BM64" s="16" t="s">
        <v>80</v>
      </c>
      <c r="BN64" s="16" t="s">
        <v>80</v>
      </c>
      <c r="BO64" s="16" t="s">
        <v>80</v>
      </c>
      <c r="BP64" s="16" t="s">
        <v>80</v>
      </c>
      <c r="BQ64" s="16" t="s">
        <v>80</v>
      </c>
      <c r="BR64" s="16" t="s">
        <v>80</v>
      </c>
      <c r="BS64" s="16"/>
      <c r="BT64" s="16" t="s">
        <v>80</v>
      </c>
      <c r="BU64" s="16" t="s">
        <v>80</v>
      </c>
      <c r="BV64" s="16" t="s">
        <v>80</v>
      </c>
      <c r="BW64" s="16" t="s">
        <v>80</v>
      </c>
      <c r="BX64" s="16" t="s">
        <v>80</v>
      </c>
      <c r="BY64" s="16" t="s">
        <v>80</v>
      </c>
      <c r="BZ64" s="16" t="s">
        <v>80</v>
      </c>
      <c r="CA64" s="16" t="s">
        <v>80</v>
      </c>
      <c r="CB64" s="16" t="s">
        <v>80</v>
      </c>
      <c r="CC64" s="16" t="s">
        <v>80</v>
      </c>
      <c r="CD64" s="16" t="s">
        <v>80</v>
      </c>
      <c r="CE64" s="16" t="s">
        <v>80</v>
      </c>
      <c r="CF64" s="16" t="s">
        <v>80</v>
      </c>
      <c r="CG64" s="16" t="s">
        <v>80</v>
      </c>
      <c r="CH64" s="16" t="s">
        <v>80</v>
      </c>
      <c r="CI64" s="16" t="s">
        <v>80</v>
      </c>
      <c r="CJ64" s="16" t="s">
        <v>80</v>
      </c>
      <c r="CK64" s="16" t="s">
        <v>80</v>
      </c>
      <c r="CL64" s="16" t="s">
        <v>80</v>
      </c>
      <c r="CM64" s="16" t="s">
        <v>80</v>
      </c>
      <c r="CP64" s="1">
        <v>169</v>
      </c>
      <c r="CQ64" s="1" t="s">
        <v>95</v>
      </c>
      <c r="CR64" s="1" t="s">
        <v>104</v>
      </c>
      <c r="CS64" s="1">
        <v>200</v>
      </c>
      <c r="CT64" s="22">
        <v>52</v>
      </c>
      <c r="CU64" s="22">
        <v>0.68</v>
      </c>
      <c r="CV64" s="22">
        <v>2.58</v>
      </c>
      <c r="CW64" s="22">
        <v>0</v>
      </c>
      <c r="CX64" s="22">
        <v>8.85</v>
      </c>
      <c r="CY64" s="22">
        <v>0.40500000000000003</v>
      </c>
      <c r="CZ64" s="22">
        <v>14.54</v>
      </c>
      <c r="DA64" s="22">
        <v>20.66</v>
      </c>
      <c r="DB64" s="22">
        <v>0.33800000000000002</v>
      </c>
      <c r="DC64" s="22">
        <v>8.0000000000000002E-3</v>
      </c>
      <c r="DD64" s="11"/>
      <c r="DE64" s="4"/>
      <c r="DF64" s="4"/>
      <c r="DG64" s="4"/>
      <c r="DH64" s="4"/>
      <c r="DI64" s="4"/>
      <c r="DJ64" s="4"/>
      <c r="DK64" s="4"/>
      <c r="DL64" s="4"/>
      <c r="DM64" s="4"/>
      <c r="DN64" s="16">
        <v>0.74549257361095056</v>
      </c>
      <c r="DO64" s="16">
        <v>0.42933393161989836</v>
      </c>
      <c r="DP64" s="16">
        <v>6.9978642804461977E-2</v>
      </c>
      <c r="DQ64" s="16">
        <v>2.4321133927460523E-2</v>
      </c>
      <c r="DR64" s="17">
        <v>0.34139498554128989</v>
      </c>
      <c r="DS64" s="17">
        <v>2.7522778398148597</v>
      </c>
      <c r="DT64" s="17">
        <v>1.5382082242132304</v>
      </c>
      <c r="DU64" s="17">
        <v>0.1240408873706787</v>
      </c>
      <c r="DV64" s="17">
        <v>0.22194328450942205</v>
      </c>
      <c r="DW64" s="13">
        <v>12</v>
      </c>
      <c r="DX64" s="16"/>
      <c r="DY64" s="16"/>
      <c r="DZ64" s="16"/>
      <c r="EA64" s="16"/>
      <c r="EB64" s="16"/>
      <c r="EC64" s="16"/>
      <c r="ED64" s="16"/>
      <c r="EE64" s="15"/>
      <c r="EF64" s="15"/>
      <c r="EG64" s="15"/>
      <c r="EH64" s="15"/>
    </row>
    <row r="65" spans="2:131" x14ac:dyDescent="0.25">
      <c r="B65" s="4" t="s">
        <v>327</v>
      </c>
      <c r="T65" s="96"/>
      <c r="V65" s="5" t="s">
        <v>249</v>
      </c>
      <c r="W65" s="1">
        <v>179.49999999999997</v>
      </c>
      <c r="X65" s="98" t="s">
        <v>95</v>
      </c>
      <c r="Y65" s="1" t="s">
        <v>104</v>
      </c>
      <c r="Z65" s="1">
        <v>210.49999999999997</v>
      </c>
      <c r="AA65" s="22">
        <v>58.04</v>
      </c>
      <c r="AB65" s="22">
        <v>1.331</v>
      </c>
      <c r="AC65" s="22">
        <v>14.07</v>
      </c>
      <c r="AD65" s="22">
        <v>0</v>
      </c>
      <c r="AE65" s="22">
        <v>8.86</v>
      </c>
      <c r="AF65" s="22">
        <v>0.29099999999999998</v>
      </c>
      <c r="AG65" s="22">
        <v>2</v>
      </c>
      <c r="AH65" s="22">
        <v>4.68</v>
      </c>
      <c r="AI65" s="22">
        <v>3.26</v>
      </c>
      <c r="AJ65" s="22">
        <v>2.04</v>
      </c>
      <c r="AK65" s="22">
        <v>0.54</v>
      </c>
      <c r="AL65" s="22">
        <v>4.7E-2</v>
      </c>
      <c r="AM65" s="22">
        <v>0.17399999999999999</v>
      </c>
      <c r="AO65" s="22">
        <v>95.333000000000013</v>
      </c>
      <c r="AP65" s="3">
        <v>96.319118000000003</v>
      </c>
      <c r="AR65" s="4" t="s">
        <v>308</v>
      </c>
      <c r="AS65" s="1" t="s">
        <v>325</v>
      </c>
      <c r="AU65" s="16" t="s">
        <v>80</v>
      </c>
      <c r="AV65" s="13" t="s">
        <v>80</v>
      </c>
      <c r="AW65" s="13" t="s">
        <v>80</v>
      </c>
      <c r="AX65" s="13" t="s">
        <v>80</v>
      </c>
      <c r="AY65" s="13" t="s">
        <v>80</v>
      </c>
      <c r="AZ65" s="13" t="s">
        <v>80</v>
      </c>
      <c r="BA65" s="16" t="s">
        <v>80</v>
      </c>
      <c r="BB65" s="16" t="s">
        <v>80</v>
      </c>
      <c r="BC65" s="13" t="s">
        <v>80</v>
      </c>
      <c r="BD65" s="104" t="s">
        <v>80</v>
      </c>
      <c r="BE65" s="16" t="s">
        <v>80</v>
      </c>
      <c r="BF65" s="13" t="s">
        <v>80</v>
      </c>
      <c r="BG65" s="16" t="s">
        <v>80</v>
      </c>
      <c r="BH65" s="16" t="s">
        <v>80</v>
      </c>
      <c r="BI65" s="16" t="s">
        <v>80</v>
      </c>
      <c r="BJ65" s="16" t="s">
        <v>80</v>
      </c>
      <c r="BK65" s="16" t="s">
        <v>80</v>
      </c>
      <c r="BL65" s="16" t="s">
        <v>80</v>
      </c>
      <c r="BM65" s="16" t="s">
        <v>80</v>
      </c>
      <c r="BN65" s="16" t="s">
        <v>80</v>
      </c>
      <c r="BO65" s="16" t="s">
        <v>80</v>
      </c>
      <c r="BP65" s="16" t="s">
        <v>80</v>
      </c>
      <c r="BQ65" s="16" t="s">
        <v>80</v>
      </c>
      <c r="BR65" s="16" t="s">
        <v>80</v>
      </c>
      <c r="BS65" s="16"/>
      <c r="BT65" s="16" t="s">
        <v>80</v>
      </c>
      <c r="BU65" s="16" t="s">
        <v>80</v>
      </c>
      <c r="BV65" s="16" t="s">
        <v>80</v>
      </c>
      <c r="BW65" s="16" t="s">
        <v>80</v>
      </c>
      <c r="BX65" s="16" t="s">
        <v>80</v>
      </c>
      <c r="BY65" s="16" t="s">
        <v>80</v>
      </c>
      <c r="BZ65" s="16" t="s">
        <v>80</v>
      </c>
      <c r="CA65" s="16" t="s">
        <v>80</v>
      </c>
      <c r="CB65" s="16" t="s">
        <v>80</v>
      </c>
      <c r="CC65" s="16" t="s">
        <v>80</v>
      </c>
      <c r="CD65" s="16" t="s">
        <v>80</v>
      </c>
      <c r="CE65" s="16" t="s">
        <v>80</v>
      </c>
      <c r="CF65" s="16" t="s">
        <v>80</v>
      </c>
      <c r="CG65" s="16" t="s">
        <v>80</v>
      </c>
      <c r="CH65" s="16" t="s">
        <v>80</v>
      </c>
      <c r="CI65" s="16" t="s">
        <v>80</v>
      </c>
      <c r="CJ65" s="16" t="s">
        <v>80</v>
      </c>
      <c r="CK65" s="16" t="s">
        <v>80</v>
      </c>
      <c r="CL65" s="16" t="s">
        <v>80</v>
      </c>
      <c r="CM65" s="16" t="s">
        <v>80</v>
      </c>
      <c r="DN65" s="16"/>
      <c r="DO65" s="16"/>
      <c r="DP65" s="16"/>
      <c r="DQ65" s="16"/>
      <c r="DR65" s="16"/>
      <c r="DS65" s="16"/>
      <c r="DT65" s="16"/>
      <c r="DU65" s="16"/>
      <c r="DV65" s="16"/>
      <c r="DW65" s="16"/>
      <c r="DX65" s="16"/>
      <c r="DY65" s="16"/>
      <c r="DZ65" s="16"/>
      <c r="EA65" s="16"/>
    </row>
    <row r="66" spans="2:131" x14ac:dyDescent="0.25">
      <c r="B66" s="4" t="s">
        <v>311</v>
      </c>
      <c r="C66" s="5" t="s">
        <v>188</v>
      </c>
      <c r="D66" s="1">
        <v>361.01</v>
      </c>
      <c r="E66" s="98" t="s">
        <v>98</v>
      </c>
      <c r="F66" s="1" t="s">
        <v>106</v>
      </c>
      <c r="G66" s="1">
        <v>26.01</v>
      </c>
      <c r="H66" s="22">
        <f t="shared" ref="H66:R71" si="11">(AA66+($DW66/100)*CT66)*((100-$DW66)/100)</f>
        <v>72.771336000000005</v>
      </c>
      <c r="I66" s="22">
        <f t="shared" si="11"/>
        <v>0.1174041</v>
      </c>
      <c r="J66" s="22">
        <f t="shared" si="11"/>
        <v>15.343178400000001</v>
      </c>
      <c r="K66" s="22">
        <f t="shared" si="11"/>
        <v>6.9300000000000004E-5</v>
      </c>
      <c r="L66" s="22">
        <f t="shared" si="11"/>
        <v>0.85258800000000001</v>
      </c>
      <c r="M66" s="22">
        <f t="shared" si="11"/>
        <v>2.1799799999999998E-2</v>
      </c>
      <c r="N66" s="22">
        <f t="shared" si="11"/>
        <v>0.24284700000000001</v>
      </c>
      <c r="O66" s="22">
        <f t="shared" si="11"/>
        <v>1.2591810000000001</v>
      </c>
      <c r="P66" s="22">
        <f t="shared" si="11"/>
        <v>4.8239432999999998</v>
      </c>
      <c r="Q66" s="22">
        <f t="shared" si="11"/>
        <v>3.3165</v>
      </c>
      <c r="R66" s="22">
        <f t="shared" si="11"/>
        <v>2.9699999999999997E-2</v>
      </c>
      <c r="S66" s="1" t="s">
        <v>312</v>
      </c>
      <c r="T66" s="96">
        <f t="shared" ref="T66:T71" si="12">DW66</f>
        <v>1</v>
      </c>
      <c r="V66" s="5" t="s">
        <v>188</v>
      </c>
      <c r="W66" s="1">
        <v>361</v>
      </c>
      <c r="X66" s="98" t="s">
        <v>98</v>
      </c>
      <c r="Y66" s="1" t="s">
        <v>106</v>
      </c>
      <c r="Z66" s="1">
        <v>26</v>
      </c>
      <c r="AA66" s="22">
        <v>73</v>
      </c>
      <c r="AB66" s="22">
        <v>0.112</v>
      </c>
      <c r="AC66" s="22">
        <v>15.48</v>
      </c>
      <c r="AD66" s="22">
        <v>0</v>
      </c>
      <c r="AE66" s="22">
        <v>0.747</v>
      </c>
      <c r="AF66" s="22">
        <v>1.7999999999999999E-2</v>
      </c>
      <c r="AG66" s="22">
        <v>9.8000000000000004E-2</v>
      </c>
      <c r="AH66" s="22">
        <v>1.0860000000000001</v>
      </c>
      <c r="AI66" s="22">
        <v>4.87</v>
      </c>
      <c r="AJ66" s="22">
        <v>3.35</v>
      </c>
      <c r="AK66" s="22">
        <v>0.03</v>
      </c>
      <c r="AL66" s="22">
        <v>1.2999999999999999E-2</v>
      </c>
      <c r="AM66" s="22">
        <v>0.20899999999999999</v>
      </c>
      <c r="AO66" s="22">
        <v>99.013000000000005</v>
      </c>
      <c r="AP66" s="3">
        <v>99.096141099999997</v>
      </c>
      <c r="AR66" s="4" t="s">
        <v>311</v>
      </c>
      <c r="AS66" s="1" t="s">
        <v>260</v>
      </c>
      <c r="AT66" s="1" t="s">
        <v>260</v>
      </c>
      <c r="AU66" s="16" t="s">
        <v>80</v>
      </c>
      <c r="AV66" s="13" t="s">
        <v>80</v>
      </c>
      <c r="AW66" s="13" t="s">
        <v>80</v>
      </c>
      <c r="AX66" s="13" t="s">
        <v>80</v>
      </c>
      <c r="AY66" s="13" t="s">
        <v>80</v>
      </c>
      <c r="AZ66" s="13" t="s">
        <v>80</v>
      </c>
      <c r="BA66" s="16" t="s">
        <v>80</v>
      </c>
      <c r="BB66" s="16" t="s">
        <v>80</v>
      </c>
      <c r="BC66" s="13" t="s">
        <v>80</v>
      </c>
      <c r="BD66" s="104" t="s">
        <v>80</v>
      </c>
      <c r="BE66" s="16" t="s">
        <v>80</v>
      </c>
      <c r="BF66" s="13" t="s">
        <v>80</v>
      </c>
      <c r="BG66" s="16" t="s">
        <v>80</v>
      </c>
      <c r="BH66" s="16" t="s">
        <v>80</v>
      </c>
      <c r="BI66" s="16" t="s">
        <v>80</v>
      </c>
      <c r="BJ66" s="16" t="s">
        <v>80</v>
      </c>
      <c r="BK66" s="16" t="s">
        <v>80</v>
      </c>
      <c r="BL66" s="16" t="s">
        <v>80</v>
      </c>
      <c r="BM66" s="16" t="s">
        <v>80</v>
      </c>
      <c r="BN66" s="16" t="s">
        <v>80</v>
      </c>
      <c r="BO66" s="16" t="s">
        <v>80</v>
      </c>
      <c r="BP66" s="16" t="s">
        <v>80</v>
      </c>
      <c r="BQ66" s="16" t="s">
        <v>80</v>
      </c>
      <c r="BR66" s="16" t="s">
        <v>80</v>
      </c>
      <c r="BS66" s="16"/>
      <c r="BT66" s="16" t="s">
        <v>80</v>
      </c>
      <c r="BU66" s="16" t="s">
        <v>80</v>
      </c>
      <c r="BV66" s="16" t="s">
        <v>80</v>
      </c>
      <c r="BW66" s="16" t="s">
        <v>80</v>
      </c>
      <c r="BX66" s="16" t="s">
        <v>80</v>
      </c>
      <c r="BY66" s="16" t="s">
        <v>80</v>
      </c>
      <c r="BZ66" s="16" t="s">
        <v>80</v>
      </c>
      <c r="CA66" s="16" t="s">
        <v>80</v>
      </c>
      <c r="CB66" s="16" t="s">
        <v>80</v>
      </c>
      <c r="CC66" s="16" t="s">
        <v>80</v>
      </c>
      <c r="CD66" s="16" t="s">
        <v>80</v>
      </c>
      <c r="CE66" s="16" t="s">
        <v>80</v>
      </c>
      <c r="CF66" s="16" t="s">
        <v>80</v>
      </c>
      <c r="CG66" s="16" t="s">
        <v>80</v>
      </c>
      <c r="CH66" s="16" t="s">
        <v>80</v>
      </c>
      <c r="CI66" s="16" t="s">
        <v>80</v>
      </c>
      <c r="CJ66" s="16" t="s">
        <v>80</v>
      </c>
      <c r="CK66" s="16" t="s">
        <v>80</v>
      </c>
      <c r="CL66" s="16" t="s">
        <v>80</v>
      </c>
      <c r="CM66" s="16" t="s">
        <v>80</v>
      </c>
      <c r="CP66" s="1">
        <v>360</v>
      </c>
      <c r="CQ66" s="1" t="s">
        <v>98</v>
      </c>
      <c r="CR66" s="1" t="s">
        <v>317</v>
      </c>
      <c r="CS66" s="1">
        <v>25</v>
      </c>
      <c r="CT66" s="22">
        <v>50.64</v>
      </c>
      <c r="CU66" s="22">
        <v>0.65900000000000003</v>
      </c>
      <c r="CV66" s="22">
        <v>1.8160000000000001</v>
      </c>
      <c r="CW66" s="22">
        <v>7.0000000000000001E-3</v>
      </c>
      <c r="CX66" s="22">
        <v>11.42</v>
      </c>
      <c r="CY66" s="22">
        <v>0.40200000000000002</v>
      </c>
      <c r="CZ66" s="22">
        <v>14.73</v>
      </c>
      <c r="DA66" s="22">
        <v>18.59</v>
      </c>
      <c r="DB66" s="22">
        <v>0.26700000000000002</v>
      </c>
      <c r="DN66" s="16">
        <v>0.69693591333726024</v>
      </c>
      <c r="DO66" s="16">
        <v>0.38473478463754696</v>
      </c>
      <c r="DP66" s="16">
        <v>8.1171462573601083E-2</v>
      </c>
      <c r="DQ66" s="16">
        <v>1.9613815282569839E-2</v>
      </c>
      <c r="DR66" s="16">
        <v>0.43485215909096281</v>
      </c>
      <c r="DS66" s="16">
        <v>4.2753610838907585</v>
      </c>
      <c r="DT66" s="16">
        <v>1.9691769639437144</v>
      </c>
      <c r="DU66" s="16">
        <v>0.10171121235337369</v>
      </c>
      <c r="DV66" s="16">
        <v>0.22082939575937083</v>
      </c>
      <c r="DW66" s="13">
        <v>1</v>
      </c>
      <c r="DX66" s="16"/>
      <c r="DY66" s="16"/>
      <c r="DZ66" s="16"/>
      <c r="EA66" s="16"/>
    </row>
    <row r="67" spans="2:131" x14ac:dyDescent="0.25">
      <c r="B67" s="4" t="s">
        <v>311</v>
      </c>
      <c r="C67" s="5" t="s">
        <v>188</v>
      </c>
      <c r="D67" s="1">
        <v>362.01</v>
      </c>
      <c r="E67" s="98" t="s">
        <v>98</v>
      </c>
      <c r="F67" s="1" t="s">
        <v>106</v>
      </c>
      <c r="G67" s="1">
        <v>27.01</v>
      </c>
      <c r="H67" s="22">
        <f t="shared" si="11"/>
        <v>72.458100000000002</v>
      </c>
      <c r="I67" s="22">
        <f t="shared" si="11"/>
        <v>1.6063125000000001E-2</v>
      </c>
      <c r="J67" s="22">
        <f t="shared" si="11"/>
        <v>14.601015</v>
      </c>
      <c r="K67" s="22">
        <f t="shared" si="11"/>
        <v>1.7062500000000001E-4</v>
      </c>
      <c r="L67" s="22">
        <f t="shared" si="11"/>
        <v>1.3411125000000002</v>
      </c>
      <c r="M67" s="22">
        <f t="shared" si="11"/>
        <v>0.10827375</v>
      </c>
      <c r="N67" s="22">
        <f t="shared" si="11"/>
        <v>0.40194374999999999</v>
      </c>
      <c r="O67" s="22">
        <f t="shared" si="11"/>
        <v>1.0517812499999999</v>
      </c>
      <c r="P67" s="22">
        <f t="shared" si="11"/>
        <v>4.3160081250000006</v>
      </c>
      <c r="Q67" s="22">
        <f t="shared" si="11"/>
        <v>4.5629999999999997</v>
      </c>
      <c r="R67" s="22">
        <f t="shared" si="11"/>
        <v>3.9E-2</v>
      </c>
      <c r="S67" s="1" t="s">
        <v>312</v>
      </c>
      <c r="T67" s="96">
        <f t="shared" si="12"/>
        <v>2.5</v>
      </c>
      <c r="V67" s="5" t="s">
        <v>188</v>
      </c>
      <c r="W67" s="1">
        <v>362</v>
      </c>
      <c r="X67" s="98" t="s">
        <v>98</v>
      </c>
      <c r="Y67" s="1" t="s">
        <v>106</v>
      </c>
      <c r="Z67" s="1">
        <v>27</v>
      </c>
      <c r="AA67" s="22">
        <v>73.05</v>
      </c>
      <c r="AB67" s="22">
        <v>0</v>
      </c>
      <c r="AC67" s="22">
        <v>14.93</v>
      </c>
      <c r="AD67" s="22">
        <v>0</v>
      </c>
      <c r="AE67" s="22">
        <v>1.0900000000000001</v>
      </c>
      <c r="AF67" s="22">
        <v>0.10100000000000001</v>
      </c>
      <c r="AG67" s="22">
        <v>4.3999999999999997E-2</v>
      </c>
      <c r="AH67" s="22">
        <v>0.61399999999999999</v>
      </c>
      <c r="AI67" s="22">
        <v>4.42</v>
      </c>
      <c r="AJ67" s="22">
        <v>4.68</v>
      </c>
      <c r="AK67" s="22">
        <v>0.04</v>
      </c>
      <c r="AL67" s="22">
        <v>0.01</v>
      </c>
      <c r="AM67" s="22">
        <v>0.32300000000000001</v>
      </c>
      <c r="AO67" s="22">
        <v>99.302000000000007</v>
      </c>
      <c r="AP67" s="3">
        <v>99.423316999999983</v>
      </c>
      <c r="AR67" s="4" t="s">
        <v>311</v>
      </c>
      <c r="AS67" s="1" t="s">
        <v>260</v>
      </c>
      <c r="AT67" s="1" t="s">
        <v>260</v>
      </c>
      <c r="AU67" s="16" t="s">
        <v>80</v>
      </c>
      <c r="AV67" s="13" t="s">
        <v>80</v>
      </c>
      <c r="AW67" s="13" t="s">
        <v>80</v>
      </c>
      <c r="AX67" s="13" t="s">
        <v>80</v>
      </c>
      <c r="AY67" s="13" t="s">
        <v>80</v>
      </c>
      <c r="AZ67" s="13" t="s">
        <v>80</v>
      </c>
      <c r="BA67" s="16" t="s">
        <v>80</v>
      </c>
      <c r="BB67" s="16" t="s">
        <v>80</v>
      </c>
      <c r="BC67" s="13" t="s">
        <v>80</v>
      </c>
      <c r="BD67" s="104" t="s">
        <v>80</v>
      </c>
      <c r="BE67" s="16" t="s">
        <v>80</v>
      </c>
      <c r="BF67" s="13" t="s">
        <v>80</v>
      </c>
      <c r="BG67" s="16" t="s">
        <v>80</v>
      </c>
      <c r="BH67" s="16" t="s">
        <v>80</v>
      </c>
      <c r="BI67" s="16" t="s">
        <v>80</v>
      </c>
      <c r="BJ67" s="16" t="s">
        <v>80</v>
      </c>
      <c r="BK67" s="16" t="s">
        <v>80</v>
      </c>
      <c r="BL67" s="16" t="s">
        <v>80</v>
      </c>
      <c r="BM67" s="16" t="s">
        <v>80</v>
      </c>
      <c r="BN67" s="16" t="s">
        <v>80</v>
      </c>
      <c r="BO67" s="16" t="s">
        <v>80</v>
      </c>
      <c r="BP67" s="16" t="s">
        <v>80</v>
      </c>
      <c r="BQ67" s="16" t="s">
        <v>80</v>
      </c>
      <c r="BR67" s="16" t="s">
        <v>80</v>
      </c>
      <c r="BS67" s="16"/>
      <c r="BT67" s="16" t="s">
        <v>80</v>
      </c>
      <c r="BU67" s="16" t="s">
        <v>80</v>
      </c>
      <c r="BV67" s="16" t="s">
        <v>80</v>
      </c>
      <c r="BW67" s="16" t="s">
        <v>80</v>
      </c>
      <c r="BX67" s="16" t="s">
        <v>80</v>
      </c>
      <c r="BY67" s="16" t="s">
        <v>80</v>
      </c>
      <c r="BZ67" s="16" t="s">
        <v>80</v>
      </c>
      <c r="CA67" s="16" t="s">
        <v>80</v>
      </c>
      <c r="CB67" s="16" t="s">
        <v>80</v>
      </c>
      <c r="CC67" s="16" t="s">
        <v>80</v>
      </c>
      <c r="CD67" s="16" t="s">
        <v>80</v>
      </c>
      <c r="CE67" s="16" t="s">
        <v>80</v>
      </c>
      <c r="CF67" s="16" t="s">
        <v>80</v>
      </c>
      <c r="CG67" s="16" t="s">
        <v>80</v>
      </c>
      <c r="CH67" s="16" t="s">
        <v>80</v>
      </c>
      <c r="CI67" s="16" t="s">
        <v>80</v>
      </c>
      <c r="CJ67" s="16" t="s">
        <v>80</v>
      </c>
      <c r="CK67" s="16" t="s">
        <v>80</v>
      </c>
      <c r="CL67" s="16" t="s">
        <v>80</v>
      </c>
      <c r="CM67" s="16" t="s">
        <v>80</v>
      </c>
      <c r="CP67" s="1">
        <v>360</v>
      </c>
      <c r="CQ67" s="1" t="s">
        <v>98</v>
      </c>
      <c r="CR67" s="1" t="s">
        <v>317</v>
      </c>
      <c r="CS67" s="1">
        <v>25</v>
      </c>
      <c r="CT67" s="22">
        <v>50.64</v>
      </c>
      <c r="CU67" s="22">
        <v>0.65900000000000003</v>
      </c>
      <c r="CV67" s="22">
        <v>1.8160000000000001</v>
      </c>
      <c r="CW67" s="22">
        <v>7.0000000000000001E-3</v>
      </c>
      <c r="CX67" s="22">
        <v>11.42</v>
      </c>
      <c r="CY67" s="22">
        <v>0.40200000000000002</v>
      </c>
      <c r="CZ67" s="22">
        <v>14.73</v>
      </c>
      <c r="DA67" s="22">
        <v>18.59</v>
      </c>
      <c r="DB67" s="22">
        <v>0.26700000000000002</v>
      </c>
      <c r="DN67" s="16">
        <v>0.69693591333726024</v>
      </c>
      <c r="DO67" s="16">
        <v>0.38473478463754696</v>
      </c>
      <c r="DP67" s="16">
        <v>8.1171462573601083E-2</v>
      </c>
      <c r="DQ67" s="16">
        <v>1.9613815282569839E-2</v>
      </c>
      <c r="DR67" s="16">
        <v>0.43485215909096281</v>
      </c>
      <c r="DS67" s="16">
        <v>13.894793445941673</v>
      </c>
      <c r="DT67" s="16">
        <v>1.8714498949828517</v>
      </c>
      <c r="DU67" s="16">
        <v>3.1296050623766017E-2</v>
      </c>
      <c r="DV67" s="16">
        <v>0.23236110154845871</v>
      </c>
      <c r="DW67" s="13">
        <v>2.5</v>
      </c>
      <c r="DX67" s="16"/>
      <c r="DY67" s="16"/>
      <c r="DZ67" s="16"/>
      <c r="EA67" s="16"/>
    </row>
    <row r="68" spans="2:131" x14ac:dyDescent="0.25">
      <c r="B68" s="4" t="s">
        <v>311</v>
      </c>
      <c r="C68" s="5" t="s">
        <v>188</v>
      </c>
      <c r="D68" s="1">
        <v>378.01</v>
      </c>
      <c r="E68" s="98" t="s">
        <v>98</v>
      </c>
      <c r="F68" s="1" t="s">
        <v>106</v>
      </c>
      <c r="G68" s="1">
        <v>48.01</v>
      </c>
      <c r="H68" s="22">
        <f t="shared" si="11"/>
        <v>72.650000000000006</v>
      </c>
      <c r="I68" s="22">
        <f t="shared" si="11"/>
        <v>0.1</v>
      </c>
      <c r="J68" s="22">
        <f t="shared" si="11"/>
        <v>14.97</v>
      </c>
      <c r="K68" s="22">
        <f t="shared" si="11"/>
        <v>0</v>
      </c>
      <c r="L68" s="22">
        <f t="shared" si="11"/>
        <v>0.68100000000000005</v>
      </c>
      <c r="M68" s="22">
        <f t="shared" si="11"/>
        <v>7.2999999999999995E-2</v>
      </c>
      <c r="N68" s="22">
        <f t="shared" si="11"/>
        <v>0.17</v>
      </c>
      <c r="O68" s="22">
        <f t="shared" si="11"/>
        <v>1.2849999999999999</v>
      </c>
      <c r="P68" s="22">
        <f t="shared" si="11"/>
        <v>4.97</v>
      </c>
      <c r="Q68" s="22">
        <f t="shared" si="11"/>
        <v>3.29</v>
      </c>
      <c r="R68" s="22">
        <f t="shared" si="11"/>
        <v>5.8000000000000003E-2</v>
      </c>
      <c r="S68" s="1" t="s">
        <v>315</v>
      </c>
      <c r="T68" s="96">
        <f t="shared" si="12"/>
        <v>0</v>
      </c>
      <c r="V68" s="5" t="s">
        <v>188</v>
      </c>
      <c r="W68" s="1">
        <v>378</v>
      </c>
      <c r="X68" s="98" t="s">
        <v>98</v>
      </c>
      <c r="Y68" s="1" t="s">
        <v>106</v>
      </c>
      <c r="Z68" s="1">
        <v>48</v>
      </c>
      <c r="AA68" s="22">
        <v>72.650000000000006</v>
      </c>
      <c r="AB68" s="22">
        <v>0.1</v>
      </c>
      <c r="AC68" s="22">
        <v>14.97</v>
      </c>
      <c r="AD68" s="22">
        <v>0</v>
      </c>
      <c r="AE68" s="22">
        <v>0.68100000000000005</v>
      </c>
      <c r="AF68" s="22">
        <v>7.2999999999999995E-2</v>
      </c>
      <c r="AG68" s="22">
        <v>0.17</v>
      </c>
      <c r="AH68" s="22">
        <v>1.2849999999999999</v>
      </c>
      <c r="AI68" s="22">
        <v>4.97</v>
      </c>
      <c r="AJ68" s="22">
        <v>3.29</v>
      </c>
      <c r="AK68" s="22">
        <v>5.8000000000000003E-2</v>
      </c>
      <c r="AL68" s="22">
        <v>0</v>
      </c>
      <c r="AM68" s="22">
        <v>0.16900000000000001</v>
      </c>
      <c r="AO68" s="22">
        <v>98.415999999999997</v>
      </c>
      <c r="AP68" s="3">
        <v>98.491795299999993</v>
      </c>
      <c r="AR68" s="4" t="s">
        <v>311</v>
      </c>
      <c r="AS68" s="1" t="s">
        <v>316</v>
      </c>
      <c r="AT68" s="1" t="s">
        <v>316</v>
      </c>
      <c r="AU68" s="16" t="s">
        <v>80</v>
      </c>
      <c r="AV68" s="13" t="s">
        <v>80</v>
      </c>
      <c r="AW68" s="13" t="s">
        <v>80</v>
      </c>
      <c r="AX68" s="13" t="s">
        <v>80</v>
      </c>
      <c r="AY68" s="13" t="s">
        <v>80</v>
      </c>
      <c r="AZ68" s="13" t="s">
        <v>80</v>
      </c>
      <c r="BA68" s="16" t="s">
        <v>80</v>
      </c>
      <c r="BB68" s="16" t="s">
        <v>80</v>
      </c>
      <c r="BC68" s="13" t="s">
        <v>80</v>
      </c>
      <c r="BD68" s="104" t="s">
        <v>80</v>
      </c>
      <c r="BE68" s="16" t="s">
        <v>80</v>
      </c>
      <c r="BF68" s="13" t="s">
        <v>80</v>
      </c>
      <c r="BG68" s="16" t="s">
        <v>80</v>
      </c>
      <c r="BH68" s="16" t="s">
        <v>80</v>
      </c>
      <c r="BI68" s="16" t="s">
        <v>80</v>
      </c>
      <c r="BJ68" s="16" t="s">
        <v>80</v>
      </c>
      <c r="BK68" s="16" t="s">
        <v>80</v>
      </c>
      <c r="BL68" s="16" t="s">
        <v>80</v>
      </c>
      <c r="BM68" s="16" t="s">
        <v>80</v>
      </c>
      <c r="BN68" s="16" t="s">
        <v>80</v>
      </c>
      <c r="BO68" s="16" t="s">
        <v>80</v>
      </c>
      <c r="BP68" s="16" t="s">
        <v>80</v>
      </c>
      <c r="BQ68" s="16" t="s">
        <v>80</v>
      </c>
      <c r="BR68" s="16" t="s">
        <v>80</v>
      </c>
      <c r="BS68" s="16"/>
      <c r="BT68" s="16" t="s">
        <v>80</v>
      </c>
      <c r="BU68" s="16" t="s">
        <v>80</v>
      </c>
      <c r="BV68" s="16" t="s">
        <v>80</v>
      </c>
      <c r="BW68" s="16" t="s">
        <v>80</v>
      </c>
      <c r="BX68" s="16" t="s">
        <v>80</v>
      </c>
      <c r="BY68" s="16" t="s">
        <v>80</v>
      </c>
      <c r="BZ68" s="16" t="s">
        <v>80</v>
      </c>
      <c r="CA68" s="16" t="s">
        <v>80</v>
      </c>
      <c r="CB68" s="16" t="s">
        <v>80</v>
      </c>
      <c r="CC68" s="16" t="s">
        <v>80</v>
      </c>
      <c r="CD68" s="16" t="s">
        <v>80</v>
      </c>
      <c r="CE68" s="16" t="s">
        <v>80</v>
      </c>
      <c r="CF68" s="16" t="s">
        <v>80</v>
      </c>
      <c r="CG68" s="16" t="s">
        <v>80</v>
      </c>
      <c r="CH68" s="16" t="s">
        <v>80</v>
      </c>
      <c r="CI68" s="16" t="s">
        <v>80</v>
      </c>
      <c r="CJ68" s="16" t="s">
        <v>80</v>
      </c>
      <c r="CK68" s="16" t="s">
        <v>80</v>
      </c>
      <c r="CL68" s="16" t="s">
        <v>80</v>
      </c>
      <c r="CM68" s="16" t="s">
        <v>80</v>
      </c>
      <c r="CP68" s="1">
        <v>375</v>
      </c>
      <c r="CQ68" s="1" t="s">
        <v>98</v>
      </c>
      <c r="CR68" s="1" t="s">
        <v>318</v>
      </c>
      <c r="CS68" s="1">
        <v>45</v>
      </c>
      <c r="CT68" s="22">
        <v>51.96</v>
      </c>
      <c r="CU68" s="22">
        <v>0.26300000000000001</v>
      </c>
      <c r="CV68" s="22">
        <v>0.85</v>
      </c>
      <c r="CW68" s="22">
        <v>5.1999999999999998E-2</v>
      </c>
      <c r="CX68" s="22">
        <v>22.3</v>
      </c>
      <c r="CY68" s="22">
        <v>0.64500000000000002</v>
      </c>
      <c r="CZ68" s="22">
        <v>21.5</v>
      </c>
      <c r="DA68" s="22">
        <v>1.84</v>
      </c>
      <c r="DB68" s="22">
        <v>1.2999999999999999E-2</v>
      </c>
      <c r="DC68" s="22">
        <v>1.0999999999999999E-2</v>
      </c>
      <c r="DN68" s="16">
        <v>0.63220672283007939</v>
      </c>
      <c r="DO68" s="16">
        <v>3.7041522493825543E-2</v>
      </c>
      <c r="DP68" s="16">
        <v>4.7661421247759961E-2</v>
      </c>
      <c r="DQ68" s="16"/>
      <c r="DR68" s="16">
        <v>0.58176109789451547</v>
      </c>
      <c r="DS68" s="16">
        <v>2.2468623357484958</v>
      </c>
      <c r="DT68" s="16">
        <v>2.2468623357484958</v>
      </c>
      <c r="DU68" s="16">
        <v>0.25892155858347848</v>
      </c>
      <c r="DV68" s="16">
        <v>0.25892155858347848</v>
      </c>
      <c r="DW68" s="13">
        <v>0</v>
      </c>
      <c r="DX68" s="16"/>
      <c r="DY68" s="16"/>
      <c r="DZ68" s="16"/>
      <c r="EA68" s="16"/>
    </row>
    <row r="69" spans="2:131" x14ac:dyDescent="0.25">
      <c r="B69" s="4" t="s">
        <v>311</v>
      </c>
      <c r="C69" s="5" t="s">
        <v>188</v>
      </c>
      <c r="D69" s="1">
        <v>379.01</v>
      </c>
      <c r="E69" s="98" t="s">
        <v>98</v>
      </c>
      <c r="F69" s="1" t="s">
        <v>106</v>
      </c>
      <c r="G69" s="1">
        <v>49.01</v>
      </c>
      <c r="H69" s="22">
        <f t="shared" si="11"/>
        <v>71.748669440000015</v>
      </c>
      <c r="I69" s="22">
        <f t="shared" si="11"/>
        <v>7.7112531999999998E-2</v>
      </c>
      <c r="J69" s="22">
        <f t="shared" si="11"/>
        <v>15.342489400000002</v>
      </c>
      <c r="K69" s="22">
        <f t="shared" si="11"/>
        <v>3.1012800000000001E-4</v>
      </c>
      <c r="L69" s="22">
        <f t="shared" si="11"/>
        <v>0.99081920000000012</v>
      </c>
      <c r="M69" s="22">
        <f t="shared" si="11"/>
        <v>3.6648780000000006E-2</v>
      </c>
      <c r="N69" s="22">
        <f t="shared" si="11"/>
        <v>0.22265600000000002</v>
      </c>
      <c r="O69" s="22">
        <f t="shared" si="11"/>
        <v>1.38666976</v>
      </c>
      <c r="P69" s="22">
        <f t="shared" si="11"/>
        <v>4.9402575320000004</v>
      </c>
      <c r="Q69" s="22">
        <f t="shared" si="11"/>
        <v>3.2504456040000003</v>
      </c>
      <c r="R69" s="22">
        <f t="shared" si="11"/>
        <v>4.6718000000000003E-2</v>
      </c>
      <c r="S69" s="1" t="s">
        <v>315</v>
      </c>
      <c r="T69" s="96">
        <f t="shared" si="12"/>
        <v>0.6</v>
      </c>
      <c r="V69" s="5" t="s">
        <v>188</v>
      </c>
      <c r="W69" s="1">
        <v>379</v>
      </c>
      <c r="X69" s="98" t="s">
        <v>98</v>
      </c>
      <c r="Y69" s="1" t="s">
        <v>106</v>
      </c>
      <c r="Z69" s="1">
        <v>49</v>
      </c>
      <c r="AA69" s="22">
        <v>71.87</v>
      </c>
      <c r="AB69" s="22">
        <v>7.5999999999999998E-2</v>
      </c>
      <c r="AC69" s="22">
        <v>15.43</v>
      </c>
      <c r="AD69" s="22">
        <v>0</v>
      </c>
      <c r="AE69" s="22">
        <v>0.86299999999999999</v>
      </c>
      <c r="AF69" s="22">
        <v>3.3000000000000002E-2</v>
      </c>
      <c r="AG69" s="22">
        <v>9.5000000000000001E-2</v>
      </c>
      <c r="AH69" s="22">
        <v>1.3839999999999999</v>
      </c>
      <c r="AI69" s="22">
        <v>4.97</v>
      </c>
      <c r="AJ69" s="22">
        <v>3.27</v>
      </c>
      <c r="AK69" s="22">
        <v>4.7E-2</v>
      </c>
      <c r="AL69" s="22">
        <v>1.7000000000000001E-2</v>
      </c>
      <c r="AM69" s="22">
        <v>0.189</v>
      </c>
      <c r="AO69" s="22">
        <v>98.243999999999986</v>
      </c>
      <c r="AP69" s="3">
        <v>98.340051900000006</v>
      </c>
      <c r="AR69" s="4" t="s">
        <v>311</v>
      </c>
      <c r="AS69" s="1" t="s">
        <v>316</v>
      </c>
      <c r="AT69" s="1" t="s">
        <v>316</v>
      </c>
      <c r="AU69" s="16" t="s">
        <v>80</v>
      </c>
      <c r="AV69" s="13" t="s">
        <v>80</v>
      </c>
      <c r="AW69" s="13" t="s">
        <v>80</v>
      </c>
      <c r="AX69" s="13" t="s">
        <v>80</v>
      </c>
      <c r="AY69" s="13" t="s">
        <v>80</v>
      </c>
      <c r="AZ69" s="13" t="s">
        <v>80</v>
      </c>
      <c r="BA69" s="16" t="s">
        <v>80</v>
      </c>
      <c r="BB69" s="16" t="s">
        <v>80</v>
      </c>
      <c r="BC69" s="13" t="s">
        <v>80</v>
      </c>
      <c r="BD69" s="104" t="s">
        <v>80</v>
      </c>
      <c r="BE69" s="16" t="s">
        <v>80</v>
      </c>
      <c r="BF69" s="13" t="s">
        <v>80</v>
      </c>
      <c r="BG69" s="16" t="s">
        <v>80</v>
      </c>
      <c r="BH69" s="16" t="s">
        <v>80</v>
      </c>
      <c r="BI69" s="16" t="s">
        <v>80</v>
      </c>
      <c r="BJ69" s="16" t="s">
        <v>80</v>
      </c>
      <c r="BK69" s="16" t="s">
        <v>80</v>
      </c>
      <c r="BL69" s="16" t="s">
        <v>80</v>
      </c>
      <c r="BM69" s="16" t="s">
        <v>80</v>
      </c>
      <c r="BN69" s="16" t="s">
        <v>80</v>
      </c>
      <c r="BO69" s="16" t="s">
        <v>80</v>
      </c>
      <c r="BP69" s="16" t="s">
        <v>80</v>
      </c>
      <c r="BQ69" s="16" t="s">
        <v>80</v>
      </c>
      <c r="BR69" s="16" t="s">
        <v>80</v>
      </c>
      <c r="BS69" s="16"/>
      <c r="BT69" s="16" t="s">
        <v>80</v>
      </c>
      <c r="BU69" s="16" t="s">
        <v>80</v>
      </c>
      <c r="BV69" s="16" t="s">
        <v>80</v>
      </c>
      <c r="BW69" s="16" t="s">
        <v>80</v>
      </c>
      <c r="BX69" s="16" t="s">
        <v>80</v>
      </c>
      <c r="BY69" s="16" t="s">
        <v>80</v>
      </c>
      <c r="BZ69" s="16" t="s">
        <v>80</v>
      </c>
      <c r="CA69" s="16" t="s">
        <v>80</v>
      </c>
      <c r="CB69" s="16" t="s">
        <v>80</v>
      </c>
      <c r="CC69" s="16" t="s">
        <v>80</v>
      </c>
      <c r="CD69" s="16" t="s">
        <v>80</v>
      </c>
      <c r="CE69" s="16" t="s">
        <v>80</v>
      </c>
      <c r="CF69" s="16" t="s">
        <v>80</v>
      </c>
      <c r="CG69" s="16" t="s">
        <v>80</v>
      </c>
      <c r="CH69" s="16" t="s">
        <v>80</v>
      </c>
      <c r="CI69" s="16" t="s">
        <v>80</v>
      </c>
      <c r="CJ69" s="16" t="s">
        <v>80</v>
      </c>
      <c r="CK69" s="16" t="s">
        <v>80</v>
      </c>
      <c r="CL69" s="16" t="s">
        <v>80</v>
      </c>
      <c r="CM69" s="16" t="s">
        <v>80</v>
      </c>
      <c r="CP69" s="1">
        <v>375</v>
      </c>
      <c r="CQ69" s="1" t="s">
        <v>98</v>
      </c>
      <c r="CR69" s="1" t="s">
        <v>318</v>
      </c>
      <c r="CS69" s="1">
        <v>45</v>
      </c>
      <c r="CT69" s="22">
        <v>51.96</v>
      </c>
      <c r="CU69" s="22">
        <v>0.26300000000000001</v>
      </c>
      <c r="CV69" s="22">
        <v>0.85</v>
      </c>
      <c r="CW69" s="22">
        <v>5.1999999999999998E-2</v>
      </c>
      <c r="CX69" s="22">
        <v>22.3</v>
      </c>
      <c r="CY69" s="22">
        <v>0.64500000000000002</v>
      </c>
      <c r="CZ69" s="22">
        <v>21.5</v>
      </c>
      <c r="DA69" s="22">
        <v>1.84</v>
      </c>
      <c r="DB69" s="22">
        <v>1.2999999999999999E-2</v>
      </c>
      <c r="DC69" s="22">
        <v>1.0999999999999999E-2</v>
      </c>
      <c r="DN69" s="16">
        <v>0.63220672283007939</v>
      </c>
      <c r="DO69" s="16">
        <v>3.7041522493825543E-2</v>
      </c>
      <c r="DP69" s="16">
        <v>4.7661421247759961E-2</v>
      </c>
      <c r="DQ69" s="16"/>
      <c r="DR69" s="16">
        <v>0.58176109789451547</v>
      </c>
      <c r="DS69" s="16">
        <v>5.0952496062703734</v>
      </c>
      <c r="DT69" s="16">
        <v>2.4959638135003481</v>
      </c>
      <c r="DU69" s="16">
        <v>0.11417715379018568</v>
      </c>
      <c r="DV69" s="16">
        <v>0.23308074209563628</v>
      </c>
      <c r="DW69" s="13">
        <v>0.6</v>
      </c>
      <c r="DX69" s="16"/>
      <c r="DY69" s="16"/>
      <c r="DZ69" s="16"/>
      <c r="EA69" s="16"/>
    </row>
    <row r="70" spans="2:131" x14ac:dyDescent="0.25">
      <c r="B70" s="4" t="s">
        <v>311</v>
      </c>
      <c r="C70" s="5" t="s">
        <v>188</v>
      </c>
      <c r="D70" s="1">
        <v>385.01</v>
      </c>
      <c r="E70" s="98" t="s">
        <v>98</v>
      </c>
      <c r="F70" s="1" t="s">
        <v>106</v>
      </c>
      <c r="G70" s="1">
        <v>55.01</v>
      </c>
      <c r="H70" s="22">
        <f t="shared" si="11"/>
        <v>72.77449073999999</v>
      </c>
      <c r="I70" s="22">
        <f t="shared" si="11"/>
        <v>7.0902132000000007E-2</v>
      </c>
      <c r="J70" s="22">
        <f t="shared" si="11"/>
        <v>14.789786382000001</v>
      </c>
      <c r="K70" s="22">
        <f t="shared" si="11"/>
        <v>2.4378900000000003E-4</v>
      </c>
      <c r="L70" s="22">
        <f t="shared" si="11"/>
        <v>1.1942305199999999</v>
      </c>
      <c r="M70" s="22">
        <f t="shared" si="11"/>
        <v>5.4112275000000001E-2</v>
      </c>
      <c r="N70" s="22">
        <f t="shared" si="11"/>
        <v>0.36085707</v>
      </c>
      <c r="O70" s="22">
        <f t="shared" si="11"/>
        <v>1.0737276900000001</v>
      </c>
      <c r="P70" s="22">
        <f t="shared" si="11"/>
        <v>4.8068952959999995</v>
      </c>
      <c r="Q70" s="22">
        <f t="shared" si="11"/>
        <v>3.2965799999999996</v>
      </c>
      <c r="R70" s="22">
        <f t="shared" si="11"/>
        <v>4.8363000000000003E-2</v>
      </c>
      <c r="S70" s="1" t="s">
        <v>315</v>
      </c>
      <c r="T70" s="96">
        <f t="shared" si="12"/>
        <v>1.3</v>
      </c>
      <c r="V70" s="5" t="s">
        <v>188</v>
      </c>
      <c r="W70" s="1">
        <v>385</v>
      </c>
      <c r="X70" s="98" t="s">
        <v>98</v>
      </c>
      <c r="Y70" s="1" t="s">
        <v>106</v>
      </c>
      <c r="Z70" s="1">
        <v>55</v>
      </c>
      <c r="AA70" s="22">
        <v>73.05</v>
      </c>
      <c r="AB70" s="22">
        <v>6.7000000000000004E-2</v>
      </c>
      <c r="AC70" s="22">
        <v>14.97</v>
      </c>
      <c r="AD70" s="22">
        <v>0</v>
      </c>
      <c r="AE70" s="22">
        <v>0.95099999999999996</v>
      </c>
      <c r="AF70" s="22">
        <v>4.8000000000000001E-2</v>
      </c>
      <c r="AG70" s="22">
        <v>6.7000000000000004E-2</v>
      </c>
      <c r="AH70" s="22">
        <v>1.0620000000000001</v>
      </c>
      <c r="AI70" s="22">
        <v>4.87</v>
      </c>
      <c r="AJ70" s="22">
        <v>3.34</v>
      </c>
      <c r="AK70" s="22">
        <v>4.9000000000000002E-2</v>
      </c>
      <c r="AL70" s="22">
        <v>0</v>
      </c>
      <c r="AM70" s="22">
        <v>0.18</v>
      </c>
      <c r="AO70" s="22">
        <v>98.653999999999996</v>
      </c>
      <c r="AP70" s="3">
        <v>98.759846299999992</v>
      </c>
      <c r="AR70" s="4" t="s">
        <v>311</v>
      </c>
      <c r="AS70" s="1" t="s">
        <v>316</v>
      </c>
      <c r="AT70" s="1" t="s">
        <v>316</v>
      </c>
      <c r="AU70" s="16" t="s">
        <v>80</v>
      </c>
      <c r="AV70" s="13" t="s">
        <v>80</v>
      </c>
      <c r="AW70" s="13" t="s">
        <v>80</v>
      </c>
      <c r="AX70" s="13" t="s">
        <v>80</v>
      </c>
      <c r="AY70" s="13" t="s">
        <v>80</v>
      </c>
      <c r="AZ70" s="13" t="s">
        <v>80</v>
      </c>
      <c r="BA70" s="16" t="s">
        <v>80</v>
      </c>
      <c r="BB70" s="16" t="s">
        <v>80</v>
      </c>
      <c r="BC70" s="13" t="s">
        <v>80</v>
      </c>
      <c r="BD70" s="104" t="s">
        <v>80</v>
      </c>
      <c r="BE70" s="16" t="s">
        <v>80</v>
      </c>
      <c r="BF70" s="13" t="s">
        <v>80</v>
      </c>
      <c r="BG70" s="16" t="s">
        <v>80</v>
      </c>
      <c r="BH70" s="16" t="s">
        <v>80</v>
      </c>
      <c r="BI70" s="16" t="s">
        <v>80</v>
      </c>
      <c r="BJ70" s="16" t="s">
        <v>80</v>
      </c>
      <c r="BK70" s="16" t="s">
        <v>80</v>
      </c>
      <c r="BL70" s="16" t="s">
        <v>80</v>
      </c>
      <c r="BM70" s="16" t="s">
        <v>80</v>
      </c>
      <c r="BN70" s="16" t="s">
        <v>80</v>
      </c>
      <c r="BO70" s="16" t="s">
        <v>80</v>
      </c>
      <c r="BP70" s="16" t="s">
        <v>80</v>
      </c>
      <c r="BQ70" s="16" t="s">
        <v>80</v>
      </c>
      <c r="BR70" s="16" t="s">
        <v>80</v>
      </c>
      <c r="BS70" s="16"/>
      <c r="BT70" s="16" t="s">
        <v>80</v>
      </c>
      <c r="BU70" s="16" t="s">
        <v>80</v>
      </c>
      <c r="BV70" s="16" t="s">
        <v>80</v>
      </c>
      <c r="BW70" s="16" t="s">
        <v>80</v>
      </c>
      <c r="BX70" s="16" t="s">
        <v>80</v>
      </c>
      <c r="BY70" s="16" t="s">
        <v>80</v>
      </c>
      <c r="BZ70" s="16" t="s">
        <v>80</v>
      </c>
      <c r="CA70" s="16" t="s">
        <v>80</v>
      </c>
      <c r="CB70" s="16" t="s">
        <v>80</v>
      </c>
      <c r="CC70" s="16" t="s">
        <v>80</v>
      </c>
      <c r="CD70" s="16" t="s">
        <v>80</v>
      </c>
      <c r="CE70" s="16" t="s">
        <v>80</v>
      </c>
      <c r="CF70" s="16" t="s">
        <v>80</v>
      </c>
      <c r="CG70" s="16" t="s">
        <v>80</v>
      </c>
      <c r="CH70" s="16" t="s">
        <v>80</v>
      </c>
      <c r="CI70" s="16" t="s">
        <v>80</v>
      </c>
      <c r="CJ70" s="16" t="s">
        <v>80</v>
      </c>
      <c r="CK70" s="16" t="s">
        <v>80</v>
      </c>
      <c r="CL70" s="16" t="s">
        <v>80</v>
      </c>
      <c r="CM70" s="16" t="s">
        <v>80</v>
      </c>
      <c r="CP70" s="1">
        <v>384</v>
      </c>
      <c r="CQ70" s="1" t="s">
        <v>98</v>
      </c>
      <c r="CR70" s="1" t="s">
        <v>318</v>
      </c>
      <c r="CS70" s="1">
        <v>54</v>
      </c>
      <c r="CT70" s="22">
        <v>52.54</v>
      </c>
      <c r="CU70" s="22">
        <v>0.372</v>
      </c>
      <c r="CV70" s="22">
        <v>1.1220000000000001</v>
      </c>
      <c r="CW70" s="22">
        <v>1.9E-2</v>
      </c>
      <c r="CX70" s="22">
        <v>19.920000000000002</v>
      </c>
      <c r="CY70" s="22">
        <v>0.52500000000000002</v>
      </c>
      <c r="CZ70" s="22">
        <v>22.97</v>
      </c>
      <c r="DA70" s="22">
        <v>1.99</v>
      </c>
      <c r="DB70" s="22">
        <v>1.6E-2</v>
      </c>
      <c r="DN70" s="16">
        <v>0.67275980206023178</v>
      </c>
      <c r="DO70" s="16">
        <v>3.9866103375340411E-2</v>
      </c>
      <c r="DP70" s="16">
        <v>4.8030629760151156E-2</v>
      </c>
      <c r="DQ70" s="16"/>
      <c r="DR70" s="16">
        <v>0.48641461177918377</v>
      </c>
      <c r="DS70" s="16">
        <v>7.9612999719565005</v>
      </c>
      <c r="DT70" s="16">
        <v>1.856227579509498</v>
      </c>
      <c r="DU70" s="16">
        <v>6.1097385287901256E-2</v>
      </c>
      <c r="DV70" s="16">
        <v>0.26204470677443398</v>
      </c>
      <c r="DW70" s="13">
        <v>1.3</v>
      </c>
      <c r="DX70" s="16"/>
      <c r="DY70" s="16"/>
      <c r="DZ70" s="16"/>
      <c r="EA70" s="16"/>
    </row>
    <row r="71" spans="2:131" x14ac:dyDescent="0.25">
      <c r="B71" s="4" t="s">
        <v>311</v>
      </c>
      <c r="C71" s="5" t="s">
        <v>188</v>
      </c>
      <c r="D71" s="1">
        <v>386.01</v>
      </c>
      <c r="E71" s="98" t="s">
        <v>98</v>
      </c>
      <c r="F71" s="1" t="s">
        <v>106</v>
      </c>
      <c r="G71" s="1">
        <v>56.01</v>
      </c>
      <c r="H71" s="22">
        <f t="shared" si="11"/>
        <v>73.369354240000007</v>
      </c>
      <c r="I71" s="22">
        <f t="shared" si="11"/>
        <v>4.4104319999999997E-3</v>
      </c>
      <c r="J71" s="22">
        <f t="shared" si="11"/>
        <v>14.783902432</v>
      </c>
      <c r="K71" s="22">
        <f t="shared" si="11"/>
        <v>2.25264E-4</v>
      </c>
      <c r="L71" s="22">
        <f t="shared" si="11"/>
        <v>1.13031152</v>
      </c>
      <c r="M71" s="22">
        <f t="shared" si="11"/>
        <v>3.2900399999999996E-2</v>
      </c>
      <c r="N71" s="22">
        <f t="shared" si="11"/>
        <v>0.34840831999999999</v>
      </c>
      <c r="O71" s="22">
        <f t="shared" si="11"/>
        <v>1.10841744</v>
      </c>
      <c r="P71" s="22">
        <f t="shared" si="11"/>
        <v>4.7919896959999999</v>
      </c>
      <c r="Q71" s="22">
        <f t="shared" si="11"/>
        <v>3.2208799999999997</v>
      </c>
      <c r="R71" s="22">
        <f t="shared" si="11"/>
        <v>2.6675999999999998E-2</v>
      </c>
      <c r="S71" s="1" t="s">
        <v>315</v>
      </c>
      <c r="T71" s="96">
        <f t="shared" si="12"/>
        <v>1.2</v>
      </c>
      <c r="V71" s="5" t="s">
        <v>188</v>
      </c>
      <c r="W71" s="1">
        <v>386</v>
      </c>
      <c r="X71" s="98" t="s">
        <v>98</v>
      </c>
      <c r="Y71" s="1" t="s">
        <v>106</v>
      </c>
      <c r="Z71" s="1">
        <v>56</v>
      </c>
      <c r="AA71" s="22">
        <v>73.63</v>
      </c>
      <c r="AB71" s="22">
        <v>0</v>
      </c>
      <c r="AC71" s="22">
        <v>14.95</v>
      </c>
      <c r="AD71" s="22">
        <v>0</v>
      </c>
      <c r="AE71" s="22">
        <v>0.90500000000000003</v>
      </c>
      <c r="AF71" s="22">
        <v>2.7E-2</v>
      </c>
      <c r="AG71" s="22">
        <v>7.6999999999999999E-2</v>
      </c>
      <c r="AH71" s="22">
        <v>1.0980000000000001</v>
      </c>
      <c r="AI71" s="22">
        <v>4.8499999999999996</v>
      </c>
      <c r="AJ71" s="22">
        <v>3.26</v>
      </c>
      <c r="AK71" s="22">
        <v>2.7E-2</v>
      </c>
      <c r="AL71" s="22">
        <v>0.01</v>
      </c>
      <c r="AM71" s="22">
        <v>0.16700000000000001</v>
      </c>
      <c r="AO71" s="22">
        <v>99.001000000000005</v>
      </c>
      <c r="AP71" s="3">
        <v>99.101726499999998</v>
      </c>
      <c r="AR71" s="4" t="s">
        <v>311</v>
      </c>
      <c r="AS71" s="1" t="s">
        <v>316</v>
      </c>
      <c r="AT71" s="1" t="s">
        <v>316</v>
      </c>
      <c r="AU71" s="16" t="s">
        <v>80</v>
      </c>
      <c r="AV71" s="13" t="s">
        <v>80</v>
      </c>
      <c r="AW71" s="13" t="s">
        <v>80</v>
      </c>
      <c r="AX71" s="13" t="s">
        <v>80</v>
      </c>
      <c r="AY71" s="13" t="s">
        <v>80</v>
      </c>
      <c r="AZ71" s="13" t="s">
        <v>80</v>
      </c>
      <c r="BA71" s="16" t="s">
        <v>80</v>
      </c>
      <c r="BB71" s="16" t="s">
        <v>80</v>
      </c>
      <c r="BC71" s="13" t="s">
        <v>80</v>
      </c>
      <c r="BD71" s="104" t="s">
        <v>80</v>
      </c>
      <c r="BE71" s="16" t="s">
        <v>80</v>
      </c>
      <c r="BF71" s="13" t="s">
        <v>80</v>
      </c>
      <c r="BG71" s="16" t="s">
        <v>80</v>
      </c>
      <c r="BH71" s="16" t="s">
        <v>80</v>
      </c>
      <c r="BI71" s="16" t="s">
        <v>80</v>
      </c>
      <c r="BJ71" s="16" t="s">
        <v>80</v>
      </c>
      <c r="BK71" s="16" t="s">
        <v>80</v>
      </c>
      <c r="BL71" s="16" t="s">
        <v>80</v>
      </c>
      <c r="BM71" s="16" t="s">
        <v>80</v>
      </c>
      <c r="BN71" s="16" t="s">
        <v>80</v>
      </c>
      <c r="BO71" s="16" t="s">
        <v>80</v>
      </c>
      <c r="BP71" s="16" t="s">
        <v>80</v>
      </c>
      <c r="BQ71" s="16" t="s">
        <v>80</v>
      </c>
      <c r="BR71" s="16" t="s">
        <v>80</v>
      </c>
      <c r="BS71" s="16"/>
      <c r="BT71" s="16" t="s">
        <v>80</v>
      </c>
      <c r="BU71" s="16" t="s">
        <v>80</v>
      </c>
      <c r="BV71" s="16" t="s">
        <v>80</v>
      </c>
      <c r="BW71" s="16" t="s">
        <v>80</v>
      </c>
      <c r="BX71" s="16" t="s">
        <v>80</v>
      </c>
      <c r="BY71" s="16" t="s">
        <v>80</v>
      </c>
      <c r="BZ71" s="16" t="s">
        <v>80</v>
      </c>
      <c r="CA71" s="16" t="s">
        <v>80</v>
      </c>
      <c r="CB71" s="16" t="s">
        <v>80</v>
      </c>
      <c r="CC71" s="16" t="s">
        <v>80</v>
      </c>
      <c r="CD71" s="16" t="s">
        <v>80</v>
      </c>
      <c r="CE71" s="16" t="s">
        <v>80</v>
      </c>
      <c r="CF71" s="16" t="s">
        <v>80</v>
      </c>
      <c r="CG71" s="16" t="s">
        <v>80</v>
      </c>
      <c r="CH71" s="16" t="s">
        <v>80</v>
      </c>
      <c r="CI71" s="16" t="s">
        <v>80</v>
      </c>
      <c r="CJ71" s="16" t="s">
        <v>80</v>
      </c>
      <c r="CK71" s="16" t="s">
        <v>80</v>
      </c>
      <c r="CL71" s="16" t="s">
        <v>80</v>
      </c>
      <c r="CM71" s="16" t="s">
        <v>80</v>
      </c>
      <c r="CP71" s="1">
        <v>384</v>
      </c>
      <c r="CQ71" s="1" t="s">
        <v>98</v>
      </c>
      <c r="CR71" s="1" t="s">
        <v>318</v>
      </c>
      <c r="CS71" s="1">
        <v>54</v>
      </c>
      <c r="CT71" s="22">
        <v>52.54</v>
      </c>
      <c r="CU71" s="22">
        <v>0.372</v>
      </c>
      <c r="CV71" s="22">
        <v>1.1220000000000001</v>
      </c>
      <c r="CW71" s="22">
        <v>1.9E-2</v>
      </c>
      <c r="CX71" s="22">
        <v>19.920000000000002</v>
      </c>
      <c r="CY71" s="22">
        <v>0.52500000000000002</v>
      </c>
      <c r="CZ71" s="22">
        <v>22.97</v>
      </c>
      <c r="DA71" s="22">
        <v>1.99</v>
      </c>
      <c r="DB71" s="22">
        <v>1.6E-2</v>
      </c>
      <c r="DN71" s="16">
        <v>0.67275980206023178</v>
      </c>
      <c r="DO71" s="16">
        <v>3.9866103375340411E-2</v>
      </c>
      <c r="DP71" s="16">
        <v>4.8030629760151156E-2</v>
      </c>
      <c r="DQ71" s="16"/>
      <c r="DR71" s="16">
        <v>0.48641461177918377</v>
      </c>
      <c r="DS71" s="16">
        <v>6.592287322976258</v>
      </c>
      <c r="DT71" s="16">
        <v>1.8196502026428825</v>
      </c>
      <c r="DU71" s="16">
        <v>7.3785408303408018E-2</v>
      </c>
      <c r="DV71" s="16">
        <v>0.26731215212281412</v>
      </c>
      <c r="DW71" s="13">
        <v>1.2</v>
      </c>
      <c r="DX71" s="16"/>
      <c r="DY71" s="16"/>
      <c r="DZ71" s="16"/>
      <c r="EA71" s="16"/>
    </row>
    <row r="72" spans="2:131" x14ac:dyDescent="0.25">
      <c r="B72" s="4" t="s">
        <v>327</v>
      </c>
      <c r="V72" s="5" t="s">
        <v>86</v>
      </c>
      <c r="W72" s="1">
        <v>557.79999999999995</v>
      </c>
      <c r="X72" s="98" t="s">
        <v>96</v>
      </c>
      <c r="Y72" s="1" t="s">
        <v>105</v>
      </c>
      <c r="Z72" s="1">
        <v>68.8</v>
      </c>
      <c r="AA72" s="22">
        <v>78.790000000000006</v>
      </c>
      <c r="AB72" s="22">
        <v>5.1756123125219294E-2</v>
      </c>
      <c r="AC72" s="22">
        <v>11.89</v>
      </c>
      <c r="AE72" s="22">
        <v>0.20876451003329435</v>
      </c>
      <c r="AF72" s="22">
        <v>0</v>
      </c>
      <c r="AG72" s="22">
        <v>0.21450763090387545</v>
      </c>
      <c r="AH72" s="22">
        <v>0.20399999999999999</v>
      </c>
      <c r="AI72" s="22">
        <v>4.5</v>
      </c>
      <c r="AJ72" s="22">
        <v>4.72</v>
      </c>
      <c r="AK72" s="22">
        <v>0</v>
      </c>
      <c r="AO72" s="22">
        <v>100.79565767962204</v>
      </c>
      <c r="AP72" s="3">
        <v>100.81889316958876</v>
      </c>
      <c r="AR72" s="4" t="s">
        <v>308</v>
      </c>
      <c r="AS72" s="1" t="s">
        <v>325</v>
      </c>
      <c r="AU72" s="16" t="s">
        <v>80</v>
      </c>
      <c r="AV72" s="13" t="s">
        <v>80</v>
      </c>
      <c r="AW72" s="13" t="s">
        <v>80</v>
      </c>
      <c r="AX72" s="13" t="s">
        <v>80</v>
      </c>
      <c r="AY72" s="13" t="s">
        <v>80</v>
      </c>
      <c r="AZ72" s="13" t="s">
        <v>80</v>
      </c>
      <c r="BA72" s="16" t="s">
        <v>80</v>
      </c>
      <c r="BB72" s="16" t="s">
        <v>80</v>
      </c>
      <c r="BC72" s="13" t="s">
        <v>80</v>
      </c>
      <c r="BD72" s="104" t="s">
        <v>80</v>
      </c>
      <c r="BE72" s="16" t="s">
        <v>80</v>
      </c>
      <c r="BF72" s="13" t="s">
        <v>80</v>
      </c>
      <c r="BG72" s="16" t="s">
        <v>80</v>
      </c>
      <c r="BH72" s="16" t="s">
        <v>80</v>
      </c>
      <c r="BI72" s="16" t="s">
        <v>80</v>
      </c>
      <c r="BJ72" s="16" t="s">
        <v>80</v>
      </c>
      <c r="BK72" s="16" t="s">
        <v>80</v>
      </c>
      <c r="BL72" s="16" t="s">
        <v>80</v>
      </c>
      <c r="BM72" s="16" t="s">
        <v>80</v>
      </c>
      <c r="BN72" s="16" t="s">
        <v>80</v>
      </c>
      <c r="BO72" s="16" t="s">
        <v>80</v>
      </c>
      <c r="BP72" s="16" t="s">
        <v>80</v>
      </c>
      <c r="BQ72" s="16" t="s">
        <v>80</v>
      </c>
      <c r="BR72" s="16" t="s">
        <v>80</v>
      </c>
      <c r="BS72" s="16"/>
      <c r="BT72" s="16" t="s">
        <v>80</v>
      </c>
      <c r="BU72" s="16" t="s">
        <v>80</v>
      </c>
      <c r="BV72" s="16" t="s">
        <v>80</v>
      </c>
      <c r="BW72" s="16" t="s">
        <v>80</v>
      </c>
      <c r="BX72" s="16" t="s">
        <v>80</v>
      </c>
      <c r="BY72" s="16" t="s">
        <v>80</v>
      </c>
      <c r="BZ72" s="16" t="s">
        <v>80</v>
      </c>
      <c r="CA72" s="16" t="s">
        <v>80</v>
      </c>
      <c r="CB72" s="16" t="s">
        <v>80</v>
      </c>
      <c r="CC72" s="16" t="s">
        <v>80</v>
      </c>
      <c r="CD72" s="16" t="s">
        <v>80</v>
      </c>
      <c r="CE72" s="16" t="s">
        <v>80</v>
      </c>
      <c r="CF72" s="16" t="s">
        <v>80</v>
      </c>
      <c r="CG72" s="16" t="s">
        <v>80</v>
      </c>
      <c r="CH72" s="16" t="s">
        <v>80</v>
      </c>
      <c r="CI72" s="16" t="s">
        <v>80</v>
      </c>
      <c r="CJ72" s="16" t="s">
        <v>80</v>
      </c>
      <c r="CK72" s="16" t="s">
        <v>80</v>
      </c>
      <c r="CL72" s="16" t="s">
        <v>80</v>
      </c>
      <c r="CM72" s="16" t="s">
        <v>80</v>
      </c>
      <c r="DW72" s="22"/>
    </row>
    <row r="73" spans="2:131" x14ac:dyDescent="0.25">
      <c r="B73" s="4" t="s">
        <v>327</v>
      </c>
      <c r="V73" s="5" t="s">
        <v>86</v>
      </c>
      <c r="W73" s="1">
        <v>558.79999999999995</v>
      </c>
      <c r="X73" s="98" t="s">
        <v>96</v>
      </c>
      <c r="Y73" s="1" t="s">
        <v>105</v>
      </c>
      <c r="Z73" s="1">
        <v>69.8</v>
      </c>
      <c r="AA73" s="22">
        <v>75.05</v>
      </c>
      <c r="AB73" s="22">
        <v>0.2616935951788435</v>
      </c>
      <c r="AC73" s="22">
        <v>12.87</v>
      </c>
      <c r="AE73" s="22">
        <v>0.38513452713038782</v>
      </c>
      <c r="AF73" s="22">
        <v>0.04</v>
      </c>
      <c r="AG73" s="22">
        <v>0.37277713677807356</v>
      </c>
      <c r="AH73" s="22">
        <v>0.19600000000000001</v>
      </c>
      <c r="AI73" s="22">
        <v>4.8099999999999996</v>
      </c>
      <c r="AJ73" s="22">
        <v>5.61</v>
      </c>
      <c r="AK73" s="22">
        <v>0.02</v>
      </c>
      <c r="AO73" s="22">
        <v>99.299921911503262</v>
      </c>
      <c r="AP73" s="3">
        <v>99.342787384372855</v>
      </c>
      <c r="AR73" s="4" t="s">
        <v>308</v>
      </c>
      <c r="AS73" s="1" t="s">
        <v>325</v>
      </c>
      <c r="AU73" s="16" t="s">
        <v>80</v>
      </c>
      <c r="AV73" s="13" t="s">
        <v>80</v>
      </c>
      <c r="AW73" s="13" t="s">
        <v>80</v>
      </c>
      <c r="AX73" s="13" t="s">
        <v>80</v>
      </c>
      <c r="AY73" s="13" t="s">
        <v>80</v>
      </c>
      <c r="AZ73" s="13" t="s">
        <v>80</v>
      </c>
      <c r="BA73" s="16" t="s">
        <v>80</v>
      </c>
      <c r="BB73" s="16" t="s">
        <v>80</v>
      </c>
      <c r="BC73" s="13" t="s">
        <v>80</v>
      </c>
      <c r="BD73" s="104" t="s">
        <v>80</v>
      </c>
      <c r="BE73" s="16" t="s">
        <v>80</v>
      </c>
      <c r="BF73" s="13" t="s">
        <v>80</v>
      </c>
      <c r="BG73" s="16" t="s">
        <v>80</v>
      </c>
      <c r="BH73" s="16" t="s">
        <v>80</v>
      </c>
      <c r="BI73" s="16" t="s">
        <v>80</v>
      </c>
      <c r="BJ73" s="16" t="s">
        <v>80</v>
      </c>
      <c r="BK73" s="16" t="s">
        <v>80</v>
      </c>
      <c r="BL73" s="16" t="s">
        <v>80</v>
      </c>
      <c r="BM73" s="16" t="s">
        <v>80</v>
      </c>
      <c r="BN73" s="16" t="s">
        <v>80</v>
      </c>
      <c r="BO73" s="16" t="s">
        <v>80</v>
      </c>
      <c r="BP73" s="16" t="s">
        <v>80</v>
      </c>
      <c r="BQ73" s="16" t="s">
        <v>80</v>
      </c>
      <c r="BR73" s="16" t="s">
        <v>80</v>
      </c>
      <c r="BS73" s="16"/>
      <c r="BT73" s="16" t="s">
        <v>80</v>
      </c>
      <c r="BU73" s="16" t="s">
        <v>80</v>
      </c>
      <c r="BV73" s="16" t="s">
        <v>80</v>
      </c>
      <c r="BW73" s="16" t="s">
        <v>80</v>
      </c>
      <c r="BX73" s="16" t="s">
        <v>80</v>
      </c>
      <c r="BY73" s="16" t="s">
        <v>80</v>
      </c>
      <c r="BZ73" s="16" t="s">
        <v>80</v>
      </c>
      <c r="CA73" s="16" t="s">
        <v>80</v>
      </c>
      <c r="CB73" s="16" t="s">
        <v>80</v>
      </c>
      <c r="CC73" s="16" t="s">
        <v>80</v>
      </c>
      <c r="CD73" s="16" t="s">
        <v>80</v>
      </c>
      <c r="CE73" s="16" t="s">
        <v>80</v>
      </c>
      <c r="CF73" s="16" t="s">
        <v>80</v>
      </c>
      <c r="CG73" s="16" t="s">
        <v>80</v>
      </c>
      <c r="CH73" s="16" t="s">
        <v>80</v>
      </c>
      <c r="CI73" s="16" t="s">
        <v>80</v>
      </c>
      <c r="CJ73" s="16" t="s">
        <v>80</v>
      </c>
      <c r="CK73" s="16" t="s">
        <v>80</v>
      </c>
      <c r="CL73" s="16" t="s">
        <v>80</v>
      </c>
      <c r="CM73" s="16" t="s">
        <v>80</v>
      </c>
      <c r="DW73" s="22"/>
    </row>
    <row r="74" spans="2:131" x14ac:dyDescent="0.25">
      <c r="B74" s="4" t="s">
        <v>327</v>
      </c>
      <c r="V74" s="5" t="s">
        <v>86</v>
      </c>
      <c r="W74" s="1">
        <v>559.79999999999995</v>
      </c>
      <c r="X74" s="98" t="s">
        <v>96</v>
      </c>
      <c r="Y74" s="1" t="s">
        <v>105</v>
      </c>
      <c r="Z74" s="1">
        <v>70.8</v>
      </c>
      <c r="AA74" s="22">
        <v>71.78</v>
      </c>
      <c r="AB74" s="22">
        <v>0.29518822231936803</v>
      </c>
      <c r="AC74" s="22">
        <v>16.100000000000001</v>
      </c>
      <c r="AE74" s="22">
        <v>0.20786466300728879</v>
      </c>
      <c r="AF74" s="22">
        <v>0.04</v>
      </c>
      <c r="AG74" s="22">
        <v>0.30760519367128519</v>
      </c>
      <c r="AH74" s="22">
        <v>0.376</v>
      </c>
      <c r="AI74" s="22">
        <v>6.58</v>
      </c>
      <c r="AJ74" s="22">
        <v>5.62</v>
      </c>
      <c r="AK74" s="22">
        <v>0.1</v>
      </c>
      <c r="AO74" s="22">
        <v>101.68380124730155</v>
      </c>
      <c r="AP74" s="3">
        <v>101.70693658429425</v>
      </c>
      <c r="AR74" s="4" t="s">
        <v>308</v>
      </c>
      <c r="AS74" s="1" t="s">
        <v>325</v>
      </c>
      <c r="AU74" s="16" t="s">
        <v>80</v>
      </c>
      <c r="AV74" s="13" t="s">
        <v>80</v>
      </c>
      <c r="AW74" s="13" t="s">
        <v>80</v>
      </c>
      <c r="AX74" s="13" t="s">
        <v>80</v>
      </c>
      <c r="AY74" s="13" t="s">
        <v>80</v>
      </c>
      <c r="AZ74" s="13" t="s">
        <v>80</v>
      </c>
      <c r="BA74" s="16" t="s">
        <v>80</v>
      </c>
      <c r="BB74" s="16" t="s">
        <v>80</v>
      </c>
      <c r="BC74" s="13" t="s">
        <v>80</v>
      </c>
      <c r="BD74" s="104" t="s">
        <v>80</v>
      </c>
      <c r="BE74" s="16" t="s">
        <v>80</v>
      </c>
      <c r="BF74" s="13" t="s">
        <v>80</v>
      </c>
      <c r="BG74" s="16" t="s">
        <v>80</v>
      </c>
      <c r="BH74" s="16" t="s">
        <v>80</v>
      </c>
      <c r="BI74" s="16" t="s">
        <v>80</v>
      </c>
      <c r="BJ74" s="16" t="s">
        <v>80</v>
      </c>
      <c r="BK74" s="16" t="s">
        <v>80</v>
      </c>
      <c r="BL74" s="16" t="s">
        <v>80</v>
      </c>
      <c r="BM74" s="16" t="s">
        <v>80</v>
      </c>
      <c r="BN74" s="16" t="s">
        <v>80</v>
      </c>
      <c r="BO74" s="16" t="s">
        <v>80</v>
      </c>
      <c r="BP74" s="16" t="s">
        <v>80</v>
      </c>
      <c r="BQ74" s="16" t="s">
        <v>80</v>
      </c>
      <c r="BR74" s="16" t="s">
        <v>80</v>
      </c>
      <c r="BS74" s="16"/>
      <c r="BT74" s="16" t="s">
        <v>80</v>
      </c>
      <c r="BU74" s="16" t="s">
        <v>80</v>
      </c>
      <c r="BV74" s="16" t="s">
        <v>80</v>
      </c>
      <c r="BW74" s="16" t="s">
        <v>80</v>
      </c>
      <c r="BX74" s="16" t="s">
        <v>80</v>
      </c>
      <c r="BY74" s="16" t="s">
        <v>80</v>
      </c>
      <c r="BZ74" s="16" t="s">
        <v>80</v>
      </c>
      <c r="CA74" s="16" t="s">
        <v>80</v>
      </c>
      <c r="CB74" s="16" t="s">
        <v>80</v>
      </c>
      <c r="CC74" s="16" t="s">
        <v>80</v>
      </c>
      <c r="CD74" s="16" t="s">
        <v>80</v>
      </c>
      <c r="CE74" s="16" t="s">
        <v>80</v>
      </c>
      <c r="CF74" s="16" t="s">
        <v>80</v>
      </c>
      <c r="CG74" s="16" t="s">
        <v>80</v>
      </c>
      <c r="CH74" s="16" t="s">
        <v>80</v>
      </c>
      <c r="CI74" s="16" t="s">
        <v>80</v>
      </c>
      <c r="CJ74" s="16" t="s">
        <v>80</v>
      </c>
      <c r="CK74" s="16" t="s">
        <v>80</v>
      </c>
      <c r="CL74" s="16" t="s">
        <v>80</v>
      </c>
      <c r="CM74" s="16" t="s">
        <v>80</v>
      </c>
      <c r="DW74" s="22"/>
    </row>
    <row r="75" spans="2:131" x14ac:dyDescent="0.25">
      <c r="B75" s="4" t="s">
        <v>327</v>
      </c>
      <c r="V75" s="5" t="s">
        <v>86</v>
      </c>
      <c r="W75" s="1">
        <v>560.79999999999995</v>
      </c>
      <c r="X75" s="98" t="s">
        <v>96</v>
      </c>
      <c r="Y75" s="1" t="s">
        <v>105</v>
      </c>
      <c r="Z75" s="1">
        <v>71.8</v>
      </c>
      <c r="AA75" s="22">
        <v>81.400000000000006</v>
      </c>
      <c r="AB75" s="22">
        <v>0</v>
      </c>
      <c r="AC75" s="22">
        <v>10.63</v>
      </c>
      <c r="AE75" s="22">
        <v>0.1286781247187978</v>
      </c>
      <c r="AF75" s="22">
        <v>0</v>
      </c>
      <c r="AG75" s="22">
        <v>0.17832273964650827</v>
      </c>
      <c r="AH75" s="22">
        <v>0.14399999999999999</v>
      </c>
      <c r="AI75" s="22">
        <v>3.86</v>
      </c>
      <c r="AJ75" s="22">
        <v>4.71</v>
      </c>
      <c r="AK75" s="22">
        <v>0</v>
      </c>
      <c r="AO75" s="22">
        <v>100.91210915049523</v>
      </c>
      <c r="AP75" s="3">
        <v>100.92643102577642</v>
      </c>
      <c r="AR75" s="4" t="s">
        <v>308</v>
      </c>
      <c r="AS75" s="1" t="s">
        <v>325</v>
      </c>
      <c r="AU75" s="16" t="s">
        <v>80</v>
      </c>
      <c r="AV75" s="13" t="s">
        <v>80</v>
      </c>
      <c r="AW75" s="13" t="s">
        <v>80</v>
      </c>
      <c r="AX75" s="13" t="s">
        <v>80</v>
      </c>
      <c r="AY75" s="13" t="s">
        <v>80</v>
      </c>
      <c r="AZ75" s="13" t="s">
        <v>80</v>
      </c>
      <c r="BA75" s="16" t="s">
        <v>80</v>
      </c>
      <c r="BB75" s="16" t="s">
        <v>80</v>
      </c>
      <c r="BC75" s="13" t="s">
        <v>80</v>
      </c>
      <c r="BD75" s="104" t="s">
        <v>80</v>
      </c>
      <c r="BE75" s="16" t="s">
        <v>80</v>
      </c>
      <c r="BF75" s="13" t="s">
        <v>80</v>
      </c>
      <c r="BG75" s="16" t="s">
        <v>80</v>
      </c>
      <c r="BH75" s="16" t="s">
        <v>80</v>
      </c>
      <c r="BI75" s="16" t="s">
        <v>80</v>
      </c>
      <c r="BJ75" s="16" t="s">
        <v>80</v>
      </c>
      <c r="BK75" s="16" t="s">
        <v>80</v>
      </c>
      <c r="BL75" s="16" t="s">
        <v>80</v>
      </c>
      <c r="BM75" s="16" t="s">
        <v>80</v>
      </c>
      <c r="BN75" s="16" t="s">
        <v>80</v>
      </c>
      <c r="BO75" s="16" t="s">
        <v>80</v>
      </c>
      <c r="BP75" s="16" t="s">
        <v>80</v>
      </c>
      <c r="BQ75" s="16" t="s">
        <v>80</v>
      </c>
      <c r="BR75" s="16" t="s">
        <v>80</v>
      </c>
      <c r="BS75" s="16"/>
      <c r="BT75" s="16" t="s">
        <v>80</v>
      </c>
      <c r="BU75" s="16" t="s">
        <v>80</v>
      </c>
      <c r="BV75" s="16" t="s">
        <v>80</v>
      </c>
      <c r="BW75" s="16" t="s">
        <v>80</v>
      </c>
      <c r="BX75" s="16" t="s">
        <v>80</v>
      </c>
      <c r="BY75" s="16" t="s">
        <v>80</v>
      </c>
      <c r="BZ75" s="16" t="s">
        <v>80</v>
      </c>
      <c r="CA75" s="16" t="s">
        <v>80</v>
      </c>
      <c r="CB75" s="16" t="s">
        <v>80</v>
      </c>
      <c r="CC75" s="16" t="s">
        <v>80</v>
      </c>
      <c r="CD75" s="16" t="s">
        <v>80</v>
      </c>
      <c r="CE75" s="16" t="s">
        <v>80</v>
      </c>
      <c r="CF75" s="16" t="s">
        <v>80</v>
      </c>
      <c r="CG75" s="16" t="s">
        <v>80</v>
      </c>
      <c r="CH75" s="16" t="s">
        <v>80</v>
      </c>
      <c r="CI75" s="16" t="s">
        <v>80</v>
      </c>
      <c r="CJ75" s="16" t="s">
        <v>80</v>
      </c>
      <c r="CK75" s="16" t="s">
        <v>80</v>
      </c>
      <c r="CL75" s="16" t="s">
        <v>80</v>
      </c>
      <c r="CM75" s="16" t="s">
        <v>80</v>
      </c>
      <c r="DW75" s="22"/>
    </row>
    <row r="76" spans="2:131" x14ac:dyDescent="0.25">
      <c r="B76" s="4" t="s">
        <v>311</v>
      </c>
      <c r="R76" s="22"/>
      <c r="V76" s="5" t="s">
        <v>254</v>
      </c>
      <c r="W76" s="1">
        <v>766.8</v>
      </c>
      <c r="X76" s="98" t="s">
        <v>95</v>
      </c>
      <c r="Y76" s="1" t="s">
        <v>106</v>
      </c>
      <c r="Z76" s="1">
        <v>277.8</v>
      </c>
      <c r="AA76" s="22">
        <v>61.84</v>
      </c>
      <c r="AB76" s="22">
        <v>0.97</v>
      </c>
      <c r="AC76" s="22">
        <v>13.68</v>
      </c>
      <c r="AE76" s="22">
        <v>7.52</v>
      </c>
      <c r="AF76" s="22">
        <v>0.19</v>
      </c>
      <c r="AG76" s="22">
        <v>1.77</v>
      </c>
      <c r="AH76" s="22">
        <v>1.341</v>
      </c>
      <c r="AI76" s="22">
        <v>6.43</v>
      </c>
      <c r="AJ76" s="22">
        <v>2.46</v>
      </c>
      <c r="AK76" s="22">
        <v>0.26</v>
      </c>
      <c r="AO76" s="22">
        <v>96.464829974757293</v>
      </c>
      <c r="AP76" s="3">
        <v>97.302108837350659</v>
      </c>
      <c r="AR76" s="4" t="s">
        <v>311</v>
      </c>
      <c r="AS76" s="1" t="s">
        <v>260</v>
      </c>
      <c r="AT76" s="1" t="s">
        <v>260</v>
      </c>
      <c r="AU76" s="16" t="s">
        <v>80</v>
      </c>
      <c r="AV76" s="13" t="s">
        <v>80</v>
      </c>
      <c r="AW76" s="13" t="s">
        <v>80</v>
      </c>
      <c r="AX76" s="13" t="s">
        <v>80</v>
      </c>
      <c r="AY76" s="13" t="s">
        <v>80</v>
      </c>
      <c r="AZ76" s="13" t="s">
        <v>80</v>
      </c>
      <c r="BA76" s="16" t="s">
        <v>80</v>
      </c>
      <c r="BB76" s="16" t="s">
        <v>80</v>
      </c>
      <c r="BC76" s="13" t="s">
        <v>80</v>
      </c>
      <c r="BD76" s="104" t="s">
        <v>80</v>
      </c>
      <c r="BE76" s="16" t="s">
        <v>80</v>
      </c>
      <c r="BF76" s="13" t="s">
        <v>80</v>
      </c>
      <c r="BG76" s="16" t="s">
        <v>80</v>
      </c>
      <c r="BH76" s="16" t="s">
        <v>80</v>
      </c>
      <c r="BI76" s="16" t="s">
        <v>80</v>
      </c>
      <c r="BJ76" s="16" t="s">
        <v>80</v>
      </c>
      <c r="BK76" s="16" t="s">
        <v>80</v>
      </c>
      <c r="BL76" s="16" t="s">
        <v>80</v>
      </c>
      <c r="BM76" s="16" t="s">
        <v>80</v>
      </c>
      <c r="BN76" s="16" t="s">
        <v>80</v>
      </c>
      <c r="BO76" s="16" t="s">
        <v>80</v>
      </c>
      <c r="BP76" s="16" t="s">
        <v>80</v>
      </c>
      <c r="BQ76" s="16" t="s">
        <v>80</v>
      </c>
      <c r="BR76" s="16" t="s">
        <v>80</v>
      </c>
      <c r="BS76" s="16"/>
      <c r="BT76" s="16" t="s">
        <v>80</v>
      </c>
      <c r="BU76" s="16" t="s">
        <v>80</v>
      </c>
      <c r="BV76" s="16" t="s">
        <v>80</v>
      </c>
      <c r="BW76" s="16" t="s">
        <v>80</v>
      </c>
      <c r="BX76" s="16" t="s">
        <v>80</v>
      </c>
      <c r="BY76" s="16" t="s">
        <v>80</v>
      </c>
      <c r="BZ76" s="16" t="s">
        <v>80</v>
      </c>
      <c r="CA76" s="16" t="s">
        <v>80</v>
      </c>
      <c r="CB76" s="16" t="s">
        <v>80</v>
      </c>
      <c r="CC76" s="16" t="s">
        <v>80</v>
      </c>
      <c r="CD76" s="16" t="s">
        <v>80</v>
      </c>
      <c r="CE76" s="16" t="s">
        <v>80</v>
      </c>
      <c r="CF76" s="16" t="s">
        <v>80</v>
      </c>
      <c r="CG76" s="16" t="s">
        <v>80</v>
      </c>
      <c r="CH76" s="16" t="s">
        <v>80</v>
      </c>
      <c r="CI76" s="16" t="s">
        <v>80</v>
      </c>
      <c r="CJ76" s="16" t="s">
        <v>80</v>
      </c>
      <c r="CK76" s="16" t="s">
        <v>80</v>
      </c>
      <c r="CL76" s="16" t="s">
        <v>80</v>
      </c>
      <c r="CM76" s="16" t="s">
        <v>80</v>
      </c>
      <c r="DN76" s="22" t="e">
        <f>INDEX(#REF!, MATCH('S8 Glass'!CP76,#REF!,0))</f>
        <v>#REF!</v>
      </c>
      <c r="DO76" s="22" t="e">
        <f>INDEX(#REF!, MATCH('S8 Glass'!CP76,#REF!,0))</f>
        <v>#REF!</v>
      </c>
      <c r="DP76" s="22" t="e">
        <f>INDEX(#REF!, MATCH('S8 Glass'!CP76,#REF!,0))</f>
        <v>#REF!</v>
      </c>
      <c r="DQ76" s="22" t="e">
        <f>INDEX(#REF!, MATCH('S8 Glass'!CP76,#REF!,0))</f>
        <v>#REF!</v>
      </c>
      <c r="DW76" s="22"/>
    </row>
    <row r="77" spans="2:131" x14ac:dyDescent="0.25">
      <c r="B77" s="4" t="s">
        <v>311</v>
      </c>
      <c r="C77" s="5" t="s">
        <v>92</v>
      </c>
      <c r="D77" s="1">
        <v>988.01</v>
      </c>
      <c r="E77" s="98" t="s">
        <v>255</v>
      </c>
      <c r="F77" s="1" t="s">
        <v>106</v>
      </c>
      <c r="G77" s="1">
        <v>146.01</v>
      </c>
      <c r="H77" s="22">
        <f t="shared" ref="H77:R83" si="13">(AA77+($DW77/100)*CT77)*((100-$DW77)/100)</f>
        <v>76.517397000000003</v>
      </c>
      <c r="I77" s="22">
        <f t="shared" si="13"/>
        <v>3.0105899999999998E-2</v>
      </c>
      <c r="J77" s="22">
        <f t="shared" si="13"/>
        <v>11.312126099999999</v>
      </c>
      <c r="K77" s="22">
        <f t="shared" si="13"/>
        <v>9.9000000000000008E-5</v>
      </c>
      <c r="L77" s="22">
        <f t="shared" si="13"/>
        <v>1.2931380000000001</v>
      </c>
      <c r="M77" s="22">
        <f t="shared" si="13"/>
        <v>2.7383399999999999E-2</v>
      </c>
      <c r="N77" s="22">
        <f t="shared" si="13"/>
        <v>0.31640400000000002</v>
      </c>
      <c r="O77" s="22">
        <f t="shared" si="13"/>
        <v>0.83120400000000005</v>
      </c>
      <c r="P77" s="22">
        <f t="shared" si="13"/>
        <v>2.9546945999999998</v>
      </c>
      <c r="Q77" s="22">
        <f t="shared" si="13"/>
        <v>4.7420999999999998</v>
      </c>
      <c r="R77" s="22">
        <f t="shared" si="13"/>
        <v>0</v>
      </c>
      <c r="S77" s="1" t="s">
        <v>312</v>
      </c>
      <c r="T77" s="96">
        <f t="shared" ref="T77:T83" si="14">DW77</f>
        <v>1</v>
      </c>
      <c r="V77" s="5" t="s">
        <v>92</v>
      </c>
      <c r="W77" s="1">
        <v>988</v>
      </c>
      <c r="X77" s="98" t="s">
        <v>255</v>
      </c>
      <c r="Y77" s="1" t="s">
        <v>106</v>
      </c>
      <c r="Z77" s="1">
        <v>146</v>
      </c>
      <c r="AA77" s="22">
        <v>76.760000000000005</v>
      </c>
      <c r="AB77" s="22">
        <v>2.9000000000000001E-2</v>
      </c>
      <c r="AC77" s="22">
        <v>11.42</v>
      </c>
      <c r="AD77" s="22">
        <v>0</v>
      </c>
      <c r="AE77" s="22">
        <v>1.1890000000000001</v>
      </c>
      <c r="AF77" s="22">
        <v>2.3E-2</v>
      </c>
      <c r="AG77" s="22">
        <v>0.19400000000000001</v>
      </c>
      <c r="AH77" s="22">
        <v>0.627</v>
      </c>
      <c r="AI77" s="22">
        <v>2.98</v>
      </c>
      <c r="AJ77" s="22">
        <v>4.79</v>
      </c>
      <c r="AK77" s="22">
        <v>0</v>
      </c>
      <c r="AL77" s="22">
        <v>0</v>
      </c>
      <c r="AM77" s="22">
        <v>0.28399999999999997</v>
      </c>
      <c r="AO77" s="22">
        <v>98.296000000000006</v>
      </c>
      <c r="AP77" s="3">
        <v>98.428335700000005</v>
      </c>
      <c r="AR77" s="4" t="s">
        <v>311</v>
      </c>
      <c r="AS77" s="1" t="s">
        <v>260</v>
      </c>
      <c r="AT77" s="1" t="s">
        <v>260</v>
      </c>
      <c r="AU77" s="16" t="s">
        <v>80</v>
      </c>
      <c r="AV77" s="13" t="s">
        <v>80</v>
      </c>
      <c r="AW77" s="13" t="s">
        <v>80</v>
      </c>
      <c r="AX77" s="13" t="s">
        <v>80</v>
      </c>
      <c r="AY77" s="13" t="s">
        <v>80</v>
      </c>
      <c r="AZ77" s="13" t="s">
        <v>80</v>
      </c>
      <c r="BA77" s="16" t="s">
        <v>80</v>
      </c>
      <c r="BB77" s="16" t="s">
        <v>80</v>
      </c>
      <c r="BC77" s="13" t="s">
        <v>80</v>
      </c>
      <c r="BD77" s="104" t="s">
        <v>80</v>
      </c>
      <c r="BE77" s="16" t="s">
        <v>80</v>
      </c>
      <c r="BF77" s="13" t="s">
        <v>80</v>
      </c>
      <c r="BG77" s="16" t="s">
        <v>80</v>
      </c>
      <c r="BH77" s="16" t="s">
        <v>80</v>
      </c>
      <c r="BI77" s="16" t="s">
        <v>80</v>
      </c>
      <c r="BJ77" s="16" t="s">
        <v>80</v>
      </c>
      <c r="BK77" s="16" t="s">
        <v>80</v>
      </c>
      <c r="BL77" s="16" t="s">
        <v>80</v>
      </c>
      <c r="BM77" s="16" t="s">
        <v>80</v>
      </c>
      <c r="BN77" s="16" t="s">
        <v>80</v>
      </c>
      <c r="BO77" s="16" t="s">
        <v>80</v>
      </c>
      <c r="BP77" s="16" t="s">
        <v>80</v>
      </c>
      <c r="BQ77" s="16" t="s">
        <v>80</v>
      </c>
      <c r="BR77" s="16" t="s">
        <v>80</v>
      </c>
      <c r="BS77" s="16"/>
      <c r="BT77" s="16" t="s">
        <v>80</v>
      </c>
      <c r="BU77" s="16" t="s">
        <v>80</v>
      </c>
      <c r="BV77" s="16" t="s">
        <v>80</v>
      </c>
      <c r="BW77" s="16" t="s">
        <v>80</v>
      </c>
      <c r="BX77" s="16" t="s">
        <v>80</v>
      </c>
      <c r="BY77" s="16" t="s">
        <v>80</v>
      </c>
      <c r="BZ77" s="16" t="s">
        <v>80</v>
      </c>
      <c r="CA77" s="16" t="s">
        <v>80</v>
      </c>
      <c r="CB77" s="16" t="s">
        <v>80</v>
      </c>
      <c r="CC77" s="16" t="s">
        <v>80</v>
      </c>
      <c r="CD77" s="16" t="s">
        <v>80</v>
      </c>
      <c r="CE77" s="16" t="s">
        <v>80</v>
      </c>
      <c r="CF77" s="16" t="s">
        <v>80</v>
      </c>
      <c r="CG77" s="16" t="s">
        <v>80</v>
      </c>
      <c r="CH77" s="16" t="s">
        <v>80</v>
      </c>
      <c r="CI77" s="16" t="s">
        <v>80</v>
      </c>
      <c r="CJ77" s="16" t="s">
        <v>80</v>
      </c>
      <c r="CK77" s="16" t="s">
        <v>80</v>
      </c>
      <c r="CL77" s="16" t="s">
        <v>80</v>
      </c>
      <c r="CM77" s="16" t="s">
        <v>80</v>
      </c>
      <c r="CP77" s="1">
        <v>983</v>
      </c>
      <c r="CQ77" s="1" t="s">
        <v>255</v>
      </c>
      <c r="CR77" s="1" t="s">
        <v>106</v>
      </c>
      <c r="CS77" s="1">
        <v>141</v>
      </c>
      <c r="CT77" s="22">
        <v>53.03</v>
      </c>
      <c r="CU77" s="22">
        <v>0.14099999999999999</v>
      </c>
      <c r="CV77" s="22">
        <v>0.63900000000000001</v>
      </c>
      <c r="CW77" s="22">
        <v>0.01</v>
      </c>
      <c r="CX77" s="22">
        <v>11.72</v>
      </c>
      <c r="CY77" s="22">
        <v>0.46600000000000003</v>
      </c>
      <c r="CZ77" s="22">
        <v>12.56</v>
      </c>
      <c r="DA77" s="22">
        <v>21.26</v>
      </c>
      <c r="DB77" s="22">
        <v>0.45400000000000001</v>
      </c>
      <c r="DN77" s="22" t="e">
        <f>INDEX(#REF!, MATCH('S8 Glass'!CP77,#REF!,0))</f>
        <v>#REF!</v>
      </c>
      <c r="DO77" s="22" t="e">
        <f>INDEX(#REF!, MATCH('S8 Glass'!CP77,#REF!,0))</f>
        <v>#REF!</v>
      </c>
      <c r="DP77" s="22" t="e">
        <f>INDEX(#REF!, MATCH('S8 Glass'!CP77,#REF!,0))</f>
        <v>#REF!</v>
      </c>
      <c r="DQ77" s="22" t="e">
        <f>INDEX(#REF!, MATCH('S8 Glass'!CP77,#REF!,0))</f>
        <v>#REF!</v>
      </c>
      <c r="DR77" s="22">
        <f t="shared" ref="DR77:DR83" si="15">(CX77/71.85)/(CZ77/40.3)</f>
        <v>0.52337894321591782</v>
      </c>
      <c r="DS77" s="22">
        <f t="shared" ref="DS77:DS83" si="16">(AE77/71.85)/(AG77/40.3)</f>
        <v>3.4376242027706638</v>
      </c>
      <c r="DT77" s="22">
        <f t="shared" ref="DT77:DT83" si="17">(L77/71.85)/(N77/40.3)</f>
        <v>2.2923513473261203</v>
      </c>
      <c r="DU77" s="22">
        <f t="shared" ref="DU77:DU83" si="18">DR77/DS77</f>
        <v>0.15225019151135943</v>
      </c>
      <c r="DV77" s="22">
        <f t="shared" ref="DV77:DV83" si="19">DR77/DT77</f>
        <v>0.22831532514699612</v>
      </c>
      <c r="DW77" s="14">
        <v>1</v>
      </c>
    </row>
    <row r="78" spans="2:131" x14ac:dyDescent="0.25">
      <c r="B78" s="4" t="s">
        <v>311</v>
      </c>
      <c r="C78" s="5" t="s">
        <v>92</v>
      </c>
      <c r="D78" s="1">
        <v>989.01</v>
      </c>
      <c r="E78" s="98" t="s">
        <v>255</v>
      </c>
      <c r="F78" s="1" t="s">
        <v>106</v>
      </c>
      <c r="G78" s="1">
        <v>147.01</v>
      </c>
      <c r="H78" s="22">
        <f t="shared" si="13"/>
        <v>78.71671825</v>
      </c>
      <c r="I78" s="22">
        <f t="shared" si="13"/>
        <v>9.7628275E-2</v>
      </c>
      <c r="J78" s="22">
        <f t="shared" si="13"/>
        <v>9.957941224999999</v>
      </c>
      <c r="K78" s="22">
        <f t="shared" si="13"/>
        <v>1.4774999999999999E-4</v>
      </c>
      <c r="L78" s="22">
        <f t="shared" si="13"/>
        <v>1.493063</v>
      </c>
      <c r="M78" s="22">
        <f t="shared" si="13"/>
        <v>5.5150150000000002E-2</v>
      </c>
      <c r="N78" s="22">
        <f t="shared" si="13"/>
        <v>0.33824900000000002</v>
      </c>
      <c r="O78" s="22">
        <f t="shared" si="13"/>
        <v>0.82730150000000002</v>
      </c>
      <c r="P78" s="22">
        <f t="shared" si="13"/>
        <v>1.7797078500000001</v>
      </c>
      <c r="Q78" s="22">
        <f t="shared" si="13"/>
        <v>4.7378499999999999</v>
      </c>
      <c r="R78" s="22">
        <f t="shared" si="13"/>
        <v>2.2654999999999998E-2</v>
      </c>
      <c r="S78" s="1" t="s">
        <v>312</v>
      </c>
      <c r="T78" s="96">
        <f t="shared" si="14"/>
        <v>1.5</v>
      </c>
      <c r="V78" s="5" t="s">
        <v>92</v>
      </c>
      <c r="W78" s="1">
        <v>989</v>
      </c>
      <c r="X78" s="98" t="s">
        <v>255</v>
      </c>
      <c r="Y78" s="1" t="s">
        <v>106</v>
      </c>
      <c r="Z78" s="1">
        <v>147</v>
      </c>
      <c r="AA78" s="22">
        <v>79.12</v>
      </c>
      <c r="AB78" s="22">
        <v>9.7000000000000003E-2</v>
      </c>
      <c r="AC78" s="22">
        <v>10.1</v>
      </c>
      <c r="AD78" s="22">
        <v>0</v>
      </c>
      <c r="AE78" s="22">
        <v>1.34</v>
      </c>
      <c r="AF78" s="22">
        <v>4.9000000000000002E-2</v>
      </c>
      <c r="AG78" s="22">
        <v>0.155</v>
      </c>
      <c r="AH78" s="22">
        <v>0.52100000000000002</v>
      </c>
      <c r="AI78" s="22">
        <v>1.8</v>
      </c>
      <c r="AJ78" s="22">
        <v>4.8099999999999996</v>
      </c>
      <c r="AK78" s="22">
        <v>2.3E-2</v>
      </c>
      <c r="AL78" s="22">
        <v>0.01</v>
      </c>
      <c r="AM78" s="22">
        <v>0.318</v>
      </c>
      <c r="AO78" s="22">
        <v>98.343000000000004</v>
      </c>
      <c r="AP78" s="3">
        <v>98.492141999999987</v>
      </c>
      <c r="AR78" s="4" t="s">
        <v>311</v>
      </c>
      <c r="AS78" s="1" t="s">
        <v>260</v>
      </c>
      <c r="AT78" s="1" t="s">
        <v>260</v>
      </c>
      <c r="AU78" s="16" t="s">
        <v>80</v>
      </c>
      <c r="AV78" s="13" t="s">
        <v>80</v>
      </c>
      <c r="AW78" s="13" t="s">
        <v>80</v>
      </c>
      <c r="AX78" s="13" t="s">
        <v>80</v>
      </c>
      <c r="AY78" s="13" t="s">
        <v>80</v>
      </c>
      <c r="AZ78" s="13" t="s">
        <v>80</v>
      </c>
      <c r="BA78" s="16" t="s">
        <v>80</v>
      </c>
      <c r="BB78" s="16" t="s">
        <v>80</v>
      </c>
      <c r="BC78" s="13" t="s">
        <v>80</v>
      </c>
      <c r="BD78" s="104" t="s">
        <v>80</v>
      </c>
      <c r="BE78" s="16" t="s">
        <v>80</v>
      </c>
      <c r="BF78" s="13" t="s">
        <v>80</v>
      </c>
      <c r="BG78" s="16" t="s">
        <v>80</v>
      </c>
      <c r="BH78" s="16" t="s">
        <v>80</v>
      </c>
      <c r="BI78" s="16" t="s">
        <v>80</v>
      </c>
      <c r="BJ78" s="16" t="s">
        <v>80</v>
      </c>
      <c r="BK78" s="16" t="s">
        <v>80</v>
      </c>
      <c r="BL78" s="16" t="s">
        <v>80</v>
      </c>
      <c r="BM78" s="16" t="s">
        <v>80</v>
      </c>
      <c r="BN78" s="16" t="s">
        <v>80</v>
      </c>
      <c r="BO78" s="16" t="s">
        <v>80</v>
      </c>
      <c r="BP78" s="16" t="s">
        <v>80</v>
      </c>
      <c r="BQ78" s="16" t="s">
        <v>80</v>
      </c>
      <c r="BR78" s="16" t="s">
        <v>80</v>
      </c>
      <c r="BS78" s="16"/>
      <c r="BT78" s="16" t="s">
        <v>80</v>
      </c>
      <c r="BU78" s="16" t="s">
        <v>80</v>
      </c>
      <c r="BV78" s="16" t="s">
        <v>80</v>
      </c>
      <c r="BW78" s="16" t="s">
        <v>80</v>
      </c>
      <c r="BX78" s="16" t="s">
        <v>80</v>
      </c>
      <c r="BY78" s="16" t="s">
        <v>80</v>
      </c>
      <c r="BZ78" s="16" t="s">
        <v>80</v>
      </c>
      <c r="CA78" s="16" t="s">
        <v>80</v>
      </c>
      <c r="CB78" s="16" t="s">
        <v>80</v>
      </c>
      <c r="CC78" s="16" t="s">
        <v>80</v>
      </c>
      <c r="CD78" s="16" t="s">
        <v>80</v>
      </c>
      <c r="CE78" s="16" t="s">
        <v>80</v>
      </c>
      <c r="CF78" s="16" t="s">
        <v>80</v>
      </c>
      <c r="CG78" s="16" t="s">
        <v>80</v>
      </c>
      <c r="CH78" s="16" t="s">
        <v>80</v>
      </c>
      <c r="CI78" s="16" t="s">
        <v>80</v>
      </c>
      <c r="CJ78" s="16" t="s">
        <v>80</v>
      </c>
      <c r="CK78" s="16" t="s">
        <v>80</v>
      </c>
      <c r="CL78" s="16" t="s">
        <v>80</v>
      </c>
      <c r="CM78" s="16" t="s">
        <v>80</v>
      </c>
      <c r="CP78" s="1">
        <v>983</v>
      </c>
      <c r="CQ78" s="1" t="s">
        <v>255</v>
      </c>
      <c r="CR78" s="1" t="s">
        <v>106</v>
      </c>
      <c r="CS78" s="1">
        <v>141</v>
      </c>
      <c r="CT78" s="22">
        <v>53.03</v>
      </c>
      <c r="CU78" s="22">
        <v>0.14099999999999999</v>
      </c>
      <c r="CV78" s="22">
        <v>0.63900000000000001</v>
      </c>
      <c r="CW78" s="22">
        <v>0.01</v>
      </c>
      <c r="CX78" s="22">
        <v>11.72</v>
      </c>
      <c r="CY78" s="22">
        <v>0.46600000000000003</v>
      </c>
      <c r="CZ78" s="22">
        <v>12.56</v>
      </c>
      <c r="DA78" s="22">
        <v>21.26</v>
      </c>
      <c r="DB78" s="22">
        <v>0.45400000000000001</v>
      </c>
      <c r="DN78" s="22" t="e">
        <f>INDEX(#REF!, MATCH('S8 Glass'!CP78,#REF!,0))</f>
        <v>#REF!</v>
      </c>
      <c r="DO78" s="22" t="e">
        <f>INDEX(#REF!, MATCH('S8 Glass'!CP78,#REF!,0))</f>
        <v>#REF!</v>
      </c>
      <c r="DP78" s="22" t="e">
        <f>INDEX(#REF!, MATCH('S8 Glass'!CP78,#REF!,0))</f>
        <v>#REF!</v>
      </c>
      <c r="DQ78" s="22" t="e">
        <f>INDEX(#REF!, MATCH('S8 Glass'!CP78,#REF!,0))</f>
        <v>#REF!</v>
      </c>
      <c r="DR78" s="22">
        <f t="shared" si="15"/>
        <v>0.52337894321591782</v>
      </c>
      <c r="DS78" s="22">
        <f t="shared" si="16"/>
        <v>4.848990953375087</v>
      </c>
      <c r="DT78" s="22">
        <f t="shared" si="17"/>
        <v>2.4758246670792587</v>
      </c>
      <c r="DU78" s="22">
        <f t="shared" si="18"/>
        <v>0.10793564026998764</v>
      </c>
      <c r="DV78" s="22">
        <f t="shared" si="19"/>
        <v>0.21139580285115678</v>
      </c>
      <c r="DW78" s="14">
        <v>1.5</v>
      </c>
    </row>
    <row r="79" spans="2:131" x14ac:dyDescent="0.25">
      <c r="B79" s="4" t="s">
        <v>311</v>
      </c>
      <c r="C79" s="5" t="s">
        <v>92</v>
      </c>
      <c r="D79" s="1">
        <v>990.01</v>
      </c>
      <c r="E79" s="98" t="s">
        <v>255</v>
      </c>
      <c r="F79" s="1" t="s">
        <v>106</v>
      </c>
      <c r="G79" s="1">
        <v>148.01</v>
      </c>
      <c r="H79" s="22">
        <f t="shared" si="13"/>
        <v>76.190697</v>
      </c>
      <c r="I79" s="22">
        <f t="shared" si="13"/>
        <v>8.3565899999999999E-2</v>
      </c>
      <c r="J79" s="22">
        <f t="shared" si="13"/>
        <v>11.173526099999998</v>
      </c>
      <c r="K79" s="22">
        <f t="shared" si="13"/>
        <v>9.9000000000000008E-5</v>
      </c>
      <c r="L79" s="22">
        <f t="shared" si="13"/>
        <v>1.5713279999999998</v>
      </c>
      <c r="M79" s="22">
        <f t="shared" si="13"/>
        <v>4.8173399999999991E-2</v>
      </c>
      <c r="N79" s="22">
        <f t="shared" si="13"/>
        <v>0.40055400000000008</v>
      </c>
      <c r="O79" s="22">
        <f t="shared" si="13"/>
        <v>0.90248399999999995</v>
      </c>
      <c r="P79" s="22">
        <f t="shared" si="13"/>
        <v>3.0437946</v>
      </c>
      <c r="Q79" s="22">
        <f t="shared" si="13"/>
        <v>4.6827000000000005</v>
      </c>
      <c r="R79" s="22">
        <f t="shared" si="13"/>
        <v>1.881E-2</v>
      </c>
      <c r="S79" s="1" t="s">
        <v>312</v>
      </c>
      <c r="T79" s="96">
        <f t="shared" si="14"/>
        <v>1</v>
      </c>
      <c r="V79" s="5" t="s">
        <v>92</v>
      </c>
      <c r="W79" s="1">
        <v>990</v>
      </c>
      <c r="X79" s="98" t="s">
        <v>255</v>
      </c>
      <c r="Y79" s="1" t="s">
        <v>106</v>
      </c>
      <c r="Z79" s="1">
        <v>148</v>
      </c>
      <c r="AA79" s="22">
        <v>76.430000000000007</v>
      </c>
      <c r="AB79" s="22">
        <v>8.3000000000000004E-2</v>
      </c>
      <c r="AC79" s="22">
        <v>11.28</v>
      </c>
      <c r="AD79" s="22">
        <v>0</v>
      </c>
      <c r="AE79" s="22">
        <v>1.47</v>
      </c>
      <c r="AF79" s="22">
        <v>4.3999999999999997E-2</v>
      </c>
      <c r="AG79" s="22">
        <v>0.27900000000000003</v>
      </c>
      <c r="AH79" s="22">
        <v>0.69899999999999995</v>
      </c>
      <c r="AI79" s="22">
        <v>3.07</v>
      </c>
      <c r="AJ79" s="22">
        <v>4.7300000000000004</v>
      </c>
      <c r="AK79" s="22">
        <v>1.9E-2</v>
      </c>
      <c r="AL79" s="22">
        <v>0</v>
      </c>
      <c r="AM79" s="22">
        <v>0.3</v>
      </c>
      <c r="AO79" s="22">
        <v>98.403999999999996</v>
      </c>
      <c r="AP79" s="3">
        <v>98.567611000000014</v>
      </c>
      <c r="AR79" s="4" t="s">
        <v>311</v>
      </c>
      <c r="AS79" s="1" t="s">
        <v>260</v>
      </c>
      <c r="AT79" s="1" t="s">
        <v>260</v>
      </c>
      <c r="AU79" s="16" t="s">
        <v>80</v>
      </c>
      <c r="AV79" s="13" t="s">
        <v>80</v>
      </c>
      <c r="AW79" s="13" t="s">
        <v>80</v>
      </c>
      <c r="AX79" s="13" t="s">
        <v>80</v>
      </c>
      <c r="AY79" s="13" t="s">
        <v>80</v>
      </c>
      <c r="AZ79" s="13" t="s">
        <v>80</v>
      </c>
      <c r="BA79" s="16" t="s">
        <v>80</v>
      </c>
      <c r="BB79" s="16" t="s">
        <v>80</v>
      </c>
      <c r="BC79" s="13" t="s">
        <v>80</v>
      </c>
      <c r="BD79" s="104" t="s">
        <v>80</v>
      </c>
      <c r="BE79" s="16" t="s">
        <v>80</v>
      </c>
      <c r="BF79" s="13" t="s">
        <v>80</v>
      </c>
      <c r="BG79" s="16" t="s">
        <v>80</v>
      </c>
      <c r="BH79" s="16" t="s">
        <v>80</v>
      </c>
      <c r="BI79" s="16" t="s">
        <v>80</v>
      </c>
      <c r="BJ79" s="16" t="s">
        <v>80</v>
      </c>
      <c r="BK79" s="16" t="s">
        <v>80</v>
      </c>
      <c r="BL79" s="16" t="s">
        <v>80</v>
      </c>
      <c r="BM79" s="16" t="s">
        <v>80</v>
      </c>
      <c r="BN79" s="16" t="s">
        <v>80</v>
      </c>
      <c r="BO79" s="16" t="s">
        <v>80</v>
      </c>
      <c r="BP79" s="16" t="s">
        <v>80</v>
      </c>
      <c r="BQ79" s="16" t="s">
        <v>80</v>
      </c>
      <c r="BR79" s="16" t="s">
        <v>80</v>
      </c>
      <c r="BS79" s="16"/>
      <c r="BT79" s="16" t="s">
        <v>80</v>
      </c>
      <c r="BU79" s="16" t="s">
        <v>80</v>
      </c>
      <c r="BV79" s="16" t="s">
        <v>80</v>
      </c>
      <c r="BW79" s="16" t="s">
        <v>80</v>
      </c>
      <c r="BX79" s="16" t="s">
        <v>80</v>
      </c>
      <c r="BY79" s="16" t="s">
        <v>80</v>
      </c>
      <c r="BZ79" s="16" t="s">
        <v>80</v>
      </c>
      <c r="CA79" s="16" t="s">
        <v>80</v>
      </c>
      <c r="CB79" s="16" t="s">
        <v>80</v>
      </c>
      <c r="CC79" s="16" t="s">
        <v>80</v>
      </c>
      <c r="CD79" s="16" t="s">
        <v>80</v>
      </c>
      <c r="CE79" s="16" t="s">
        <v>80</v>
      </c>
      <c r="CF79" s="16" t="s">
        <v>80</v>
      </c>
      <c r="CG79" s="16" t="s">
        <v>80</v>
      </c>
      <c r="CH79" s="16" t="s">
        <v>80</v>
      </c>
      <c r="CI79" s="16" t="s">
        <v>80</v>
      </c>
      <c r="CJ79" s="16" t="s">
        <v>80</v>
      </c>
      <c r="CK79" s="16" t="s">
        <v>80</v>
      </c>
      <c r="CL79" s="16" t="s">
        <v>80</v>
      </c>
      <c r="CM79" s="16" t="s">
        <v>80</v>
      </c>
      <c r="CP79" s="1">
        <v>983</v>
      </c>
      <c r="CQ79" s="1" t="s">
        <v>255</v>
      </c>
      <c r="CR79" s="1" t="s">
        <v>106</v>
      </c>
      <c r="CS79" s="1">
        <v>141</v>
      </c>
      <c r="CT79" s="22">
        <v>53.03</v>
      </c>
      <c r="CU79" s="22">
        <v>0.14099999999999999</v>
      </c>
      <c r="CV79" s="22">
        <v>0.63900000000000001</v>
      </c>
      <c r="CW79" s="22">
        <v>0.01</v>
      </c>
      <c r="CX79" s="22">
        <v>11.72</v>
      </c>
      <c r="CY79" s="22">
        <v>0.46600000000000003</v>
      </c>
      <c r="CZ79" s="22">
        <v>12.56</v>
      </c>
      <c r="DA79" s="22">
        <v>21.26</v>
      </c>
      <c r="DB79" s="22">
        <v>0.45400000000000001</v>
      </c>
      <c r="DN79" s="22" t="e">
        <f>INDEX(#REF!, MATCH('S8 Glass'!CP79,#REF!,0))</f>
        <v>#REF!</v>
      </c>
      <c r="DO79" s="22" t="e">
        <f>INDEX(#REF!, MATCH('S8 Glass'!CP79,#REF!,0))</f>
        <v>#REF!</v>
      </c>
      <c r="DP79" s="22" t="e">
        <f>INDEX(#REF!, MATCH('S8 Glass'!CP79,#REF!,0))</f>
        <v>#REF!</v>
      </c>
      <c r="DQ79" s="22" t="e">
        <f>INDEX(#REF!, MATCH('S8 Glass'!CP79,#REF!,0))</f>
        <v>#REF!</v>
      </c>
      <c r="DR79" s="22">
        <f t="shared" si="15"/>
        <v>0.52337894321591782</v>
      </c>
      <c r="DS79" s="22">
        <f t="shared" si="16"/>
        <v>2.9552308049176519</v>
      </c>
      <c r="DT79" s="22">
        <f t="shared" si="17"/>
        <v>2.2003108992583886</v>
      </c>
      <c r="DU79" s="22">
        <f t="shared" si="18"/>
        <v>0.17710256076953079</v>
      </c>
      <c r="DV79" s="22">
        <f t="shared" si="19"/>
        <v>0.23786590494657908</v>
      </c>
      <c r="DW79" s="14">
        <v>1</v>
      </c>
    </row>
    <row r="80" spans="2:131" x14ac:dyDescent="0.25">
      <c r="B80" s="4" t="s">
        <v>311</v>
      </c>
      <c r="C80" s="5" t="s">
        <v>92</v>
      </c>
      <c r="D80" s="1">
        <v>1002.01</v>
      </c>
      <c r="E80" s="98" t="s">
        <v>255</v>
      </c>
      <c r="F80" s="1" t="s">
        <v>106</v>
      </c>
      <c r="G80" s="1">
        <v>160.01</v>
      </c>
      <c r="H80" s="22">
        <f t="shared" si="13"/>
        <v>76.540000000000006</v>
      </c>
      <c r="I80" s="22">
        <f t="shared" si="13"/>
        <v>0.107</v>
      </c>
      <c r="J80" s="22">
        <f t="shared" si="13"/>
        <v>11.34</v>
      </c>
      <c r="K80" s="22">
        <f t="shared" si="13"/>
        <v>0</v>
      </c>
      <c r="L80" s="22">
        <f t="shared" si="13"/>
        <v>1.1830000000000001</v>
      </c>
      <c r="M80" s="22">
        <f t="shared" si="13"/>
        <v>0</v>
      </c>
      <c r="N80" s="22">
        <f t="shared" si="13"/>
        <v>0.26700000000000002</v>
      </c>
      <c r="O80" s="22">
        <f t="shared" si="13"/>
        <v>0.68700000000000006</v>
      </c>
      <c r="P80" s="22">
        <f t="shared" si="13"/>
        <v>2.71</v>
      </c>
      <c r="Q80" s="22">
        <f t="shared" si="13"/>
        <v>4.97</v>
      </c>
      <c r="R80" s="22">
        <f t="shared" si="13"/>
        <v>1.2999999999999999E-2</v>
      </c>
      <c r="S80" s="1" t="s">
        <v>312</v>
      </c>
      <c r="T80" s="96">
        <f t="shared" si="14"/>
        <v>0</v>
      </c>
      <c r="V80" s="5" t="s">
        <v>92</v>
      </c>
      <c r="W80" s="1">
        <v>1002</v>
      </c>
      <c r="X80" s="98" t="s">
        <v>255</v>
      </c>
      <c r="Y80" s="1" t="s">
        <v>106</v>
      </c>
      <c r="Z80" s="1">
        <v>160</v>
      </c>
      <c r="AA80" s="22">
        <v>76.540000000000006</v>
      </c>
      <c r="AB80" s="22">
        <v>0.107</v>
      </c>
      <c r="AC80" s="22">
        <v>11.34</v>
      </c>
      <c r="AD80" s="22">
        <v>0</v>
      </c>
      <c r="AE80" s="22">
        <v>1.1830000000000001</v>
      </c>
      <c r="AF80" s="22">
        <v>0</v>
      </c>
      <c r="AG80" s="22">
        <v>0.26700000000000002</v>
      </c>
      <c r="AH80" s="22">
        <v>0.68700000000000006</v>
      </c>
      <c r="AI80" s="22">
        <v>2.71</v>
      </c>
      <c r="AJ80" s="22">
        <v>4.97</v>
      </c>
      <c r="AK80" s="22">
        <v>1.2999999999999999E-2</v>
      </c>
      <c r="AL80" s="22">
        <v>0</v>
      </c>
      <c r="AM80" s="22">
        <v>0.29599999999999999</v>
      </c>
      <c r="AO80" s="22">
        <v>98.113000000000014</v>
      </c>
      <c r="AP80" s="3">
        <v>98.24466790000001</v>
      </c>
      <c r="AR80" s="4" t="s">
        <v>311</v>
      </c>
      <c r="AS80" s="1" t="s">
        <v>260</v>
      </c>
      <c r="AT80" s="1" t="s">
        <v>260</v>
      </c>
      <c r="AU80" s="16" t="s">
        <v>80</v>
      </c>
      <c r="AV80" s="13" t="s">
        <v>80</v>
      </c>
      <c r="AW80" s="13" t="s">
        <v>80</v>
      </c>
      <c r="AX80" s="13" t="s">
        <v>80</v>
      </c>
      <c r="AY80" s="13" t="s">
        <v>80</v>
      </c>
      <c r="AZ80" s="13" t="s">
        <v>80</v>
      </c>
      <c r="BA80" s="16" t="s">
        <v>80</v>
      </c>
      <c r="BB80" s="16" t="s">
        <v>80</v>
      </c>
      <c r="BC80" s="13" t="s">
        <v>80</v>
      </c>
      <c r="BD80" s="104" t="s">
        <v>80</v>
      </c>
      <c r="BE80" s="16" t="s">
        <v>80</v>
      </c>
      <c r="BF80" s="13" t="s">
        <v>80</v>
      </c>
      <c r="BG80" s="16" t="s">
        <v>80</v>
      </c>
      <c r="BH80" s="16" t="s">
        <v>80</v>
      </c>
      <c r="BI80" s="16" t="s">
        <v>80</v>
      </c>
      <c r="BJ80" s="16" t="s">
        <v>80</v>
      </c>
      <c r="BK80" s="16" t="s">
        <v>80</v>
      </c>
      <c r="BL80" s="16" t="s">
        <v>80</v>
      </c>
      <c r="BM80" s="16" t="s">
        <v>80</v>
      </c>
      <c r="BN80" s="16" t="s">
        <v>80</v>
      </c>
      <c r="BO80" s="16" t="s">
        <v>80</v>
      </c>
      <c r="BP80" s="16" t="s">
        <v>80</v>
      </c>
      <c r="BQ80" s="16" t="s">
        <v>80</v>
      </c>
      <c r="BR80" s="16" t="s">
        <v>80</v>
      </c>
      <c r="BS80" s="16"/>
      <c r="BT80" s="16" t="s">
        <v>80</v>
      </c>
      <c r="BU80" s="16" t="s">
        <v>80</v>
      </c>
      <c r="BV80" s="16" t="s">
        <v>80</v>
      </c>
      <c r="BW80" s="16" t="s">
        <v>80</v>
      </c>
      <c r="BX80" s="16" t="s">
        <v>80</v>
      </c>
      <c r="BY80" s="16" t="s">
        <v>80</v>
      </c>
      <c r="BZ80" s="16" t="s">
        <v>80</v>
      </c>
      <c r="CA80" s="16" t="s">
        <v>80</v>
      </c>
      <c r="CB80" s="16" t="s">
        <v>80</v>
      </c>
      <c r="CC80" s="16" t="s">
        <v>80</v>
      </c>
      <c r="CD80" s="16" t="s">
        <v>80</v>
      </c>
      <c r="CE80" s="16" t="s">
        <v>80</v>
      </c>
      <c r="CF80" s="16" t="s">
        <v>80</v>
      </c>
      <c r="CG80" s="16" t="s">
        <v>80</v>
      </c>
      <c r="CH80" s="16" t="s">
        <v>80</v>
      </c>
      <c r="CI80" s="16" t="s">
        <v>80</v>
      </c>
      <c r="CJ80" s="16" t="s">
        <v>80</v>
      </c>
      <c r="CK80" s="16" t="s">
        <v>80</v>
      </c>
      <c r="CL80" s="16" t="s">
        <v>80</v>
      </c>
      <c r="CM80" s="16" t="s">
        <v>80</v>
      </c>
      <c r="CP80" s="1">
        <v>999</v>
      </c>
      <c r="CQ80" s="1" t="s">
        <v>255</v>
      </c>
      <c r="CR80" s="1" t="s">
        <v>106</v>
      </c>
      <c r="CS80" s="1">
        <v>157</v>
      </c>
      <c r="CT80" s="22">
        <v>52.25</v>
      </c>
      <c r="CU80" s="22">
        <v>7.4999999999999997E-2</v>
      </c>
      <c r="CV80" s="22">
        <v>0.41299999999999998</v>
      </c>
      <c r="CW80" s="22">
        <v>4.2000000000000003E-2</v>
      </c>
      <c r="CX80" s="22">
        <v>15.54</v>
      </c>
      <c r="CY80" s="22">
        <v>0.46500000000000002</v>
      </c>
      <c r="CZ80" s="22">
        <v>11.06</v>
      </c>
      <c r="DA80" s="22">
        <v>20.079999999999998</v>
      </c>
      <c r="DB80" s="22">
        <v>0.34300000000000003</v>
      </c>
      <c r="DN80" s="22" t="e">
        <f>INDEX(#REF!, MATCH('S8 Glass'!CP80,#REF!,0))</f>
        <v>#REF!</v>
      </c>
      <c r="DO80" s="22" t="e">
        <f>INDEX(#REF!, MATCH('S8 Glass'!CP80,#REF!,0))</f>
        <v>#REF!</v>
      </c>
      <c r="DP80" s="22" t="e">
        <f>INDEX(#REF!, MATCH('S8 Glass'!CP80,#REF!,0))</f>
        <v>#REF!</v>
      </c>
      <c r="DQ80" s="22" t="e">
        <f>INDEX(#REF!, MATCH('S8 Glass'!CP80,#REF!,0))</f>
        <v>#REF!</v>
      </c>
      <c r="DR80" s="22">
        <f t="shared" si="15"/>
        <v>0.78808699558679718</v>
      </c>
      <c r="DS80" s="22">
        <f t="shared" si="16"/>
        <v>2.4851451343440738</v>
      </c>
      <c r="DT80" s="22">
        <f t="shared" si="17"/>
        <v>2.4851451343440738</v>
      </c>
      <c r="DU80" s="22">
        <f t="shared" si="18"/>
        <v>0.31711910290293926</v>
      </c>
      <c r="DV80" s="22">
        <f t="shared" si="19"/>
        <v>0.31711910290293926</v>
      </c>
      <c r="DW80" s="14">
        <v>0</v>
      </c>
    </row>
    <row r="81" spans="2:127" x14ac:dyDescent="0.25">
      <c r="B81" s="4" t="s">
        <v>311</v>
      </c>
      <c r="C81" s="5" t="s">
        <v>92</v>
      </c>
      <c r="D81" s="1">
        <v>1004.01</v>
      </c>
      <c r="E81" s="98" t="s">
        <v>255</v>
      </c>
      <c r="F81" s="1" t="s">
        <v>106</v>
      </c>
      <c r="G81" s="1">
        <v>162.01</v>
      </c>
      <c r="H81" s="22">
        <f t="shared" si="13"/>
        <v>78.465221549999995</v>
      </c>
      <c r="I81" s="22">
        <f t="shared" si="13"/>
        <v>3.1339079999999998E-2</v>
      </c>
      <c r="J81" s="22">
        <f t="shared" si="13"/>
        <v>8.4115510710000017</v>
      </c>
      <c r="K81" s="22">
        <f t="shared" si="13"/>
        <v>0</v>
      </c>
      <c r="L81" s="22">
        <f t="shared" si="13"/>
        <v>1.5310371899999997</v>
      </c>
      <c r="M81" s="22">
        <f t="shared" si="13"/>
        <v>3.2895111000000005E-2</v>
      </c>
      <c r="N81" s="22">
        <f t="shared" si="13"/>
        <v>0.32779923</v>
      </c>
      <c r="O81" s="22">
        <f t="shared" si="13"/>
        <v>0.54772787700000003</v>
      </c>
      <c r="P81" s="22">
        <f t="shared" si="13"/>
        <v>1.8869432849999999</v>
      </c>
      <c r="Q81" s="22">
        <f t="shared" si="13"/>
        <v>4.1507399999999999</v>
      </c>
      <c r="R81" s="22">
        <f t="shared" si="13"/>
        <v>0</v>
      </c>
      <c r="S81" s="1" t="s">
        <v>312</v>
      </c>
      <c r="T81" s="96">
        <f t="shared" si="14"/>
        <v>0.7</v>
      </c>
      <c r="V81" s="5" t="s">
        <v>92</v>
      </c>
      <c r="W81" s="1">
        <v>1004</v>
      </c>
      <c r="X81" s="98" t="s">
        <v>255</v>
      </c>
      <c r="Y81" s="1" t="s">
        <v>106</v>
      </c>
      <c r="Z81" s="1">
        <v>162</v>
      </c>
      <c r="AA81" s="22">
        <v>78.64</v>
      </c>
      <c r="AB81" s="22">
        <v>3.1E-2</v>
      </c>
      <c r="AC81" s="22">
        <v>8.4700000000000006</v>
      </c>
      <c r="AD81" s="22">
        <v>0</v>
      </c>
      <c r="AE81" s="22">
        <v>1.39</v>
      </c>
      <c r="AF81" s="22">
        <v>2.5000000000000001E-2</v>
      </c>
      <c r="AG81" s="22">
        <v>0.17799999999999999</v>
      </c>
      <c r="AH81" s="22">
        <v>0.54300000000000004</v>
      </c>
      <c r="AI81" s="22">
        <v>1.9</v>
      </c>
      <c r="AJ81" s="22">
        <v>4.18</v>
      </c>
      <c r="AK81" s="22">
        <v>0</v>
      </c>
      <c r="AL81" s="22">
        <v>0</v>
      </c>
      <c r="AM81" s="22">
        <v>0.25600000000000001</v>
      </c>
      <c r="AO81" s="22">
        <v>95.613000000000028</v>
      </c>
      <c r="AP81" s="3">
        <v>95.767707000000001</v>
      </c>
      <c r="AR81" s="4" t="s">
        <v>311</v>
      </c>
      <c r="AS81" s="1" t="s">
        <v>260</v>
      </c>
      <c r="AT81" s="1" t="s">
        <v>260</v>
      </c>
      <c r="AU81" s="16" t="s">
        <v>80</v>
      </c>
      <c r="AV81" s="13" t="s">
        <v>80</v>
      </c>
      <c r="AW81" s="13" t="s">
        <v>80</v>
      </c>
      <c r="AX81" s="13" t="s">
        <v>80</v>
      </c>
      <c r="AY81" s="13" t="s">
        <v>80</v>
      </c>
      <c r="AZ81" s="13" t="s">
        <v>80</v>
      </c>
      <c r="BA81" s="16" t="s">
        <v>80</v>
      </c>
      <c r="BB81" s="16" t="s">
        <v>80</v>
      </c>
      <c r="BC81" s="13" t="s">
        <v>80</v>
      </c>
      <c r="BD81" s="104" t="s">
        <v>80</v>
      </c>
      <c r="BE81" s="16" t="s">
        <v>80</v>
      </c>
      <c r="BF81" s="13" t="s">
        <v>80</v>
      </c>
      <c r="BG81" s="16" t="s">
        <v>80</v>
      </c>
      <c r="BH81" s="16" t="s">
        <v>80</v>
      </c>
      <c r="BI81" s="16" t="s">
        <v>80</v>
      </c>
      <c r="BJ81" s="16" t="s">
        <v>80</v>
      </c>
      <c r="BK81" s="16" t="s">
        <v>80</v>
      </c>
      <c r="BL81" s="16" t="s">
        <v>80</v>
      </c>
      <c r="BM81" s="16" t="s">
        <v>80</v>
      </c>
      <c r="BN81" s="16" t="s">
        <v>80</v>
      </c>
      <c r="BO81" s="16" t="s">
        <v>80</v>
      </c>
      <c r="BP81" s="16" t="s">
        <v>80</v>
      </c>
      <c r="BQ81" s="16" t="s">
        <v>80</v>
      </c>
      <c r="BR81" s="16" t="s">
        <v>80</v>
      </c>
      <c r="BS81" s="16"/>
      <c r="BT81" s="16" t="s">
        <v>80</v>
      </c>
      <c r="BU81" s="16" t="s">
        <v>80</v>
      </c>
      <c r="BV81" s="16" t="s">
        <v>80</v>
      </c>
      <c r="BW81" s="16" t="s">
        <v>80</v>
      </c>
      <c r="BX81" s="16" t="s">
        <v>80</v>
      </c>
      <c r="BY81" s="16" t="s">
        <v>80</v>
      </c>
      <c r="BZ81" s="16" t="s">
        <v>80</v>
      </c>
      <c r="CA81" s="16" t="s">
        <v>80</v>
      </c>
      <c r="CB81" s="16" t="s">
        <v>80</v>
      </c>
      <c r="CC81" s="16" t="s">
        <v>80</v>
      </c>
      <c r="CD81" s="16" t="s">
        <v>80</v>
      </c>
      <c r="CE81" s="16" t="s">
        <v>80</v>
      </c>
      <c r="CF81" s="16" t="s">
        <v>80</v>
      </c>
      <c r="CG81" s="16" t="s">
        <v>80</v>
      </c>
      <c r="CH81" s="16" t="s">
        <v>80</v>
      </c>
      <c r="CI81" s="16" t="s">
        <v>80</v>
      </c>
      <c r="CJ81" s="16" t="s">
        <v>80</v>
      </c>
      <c r="CK81" s="16" t="s">
        <v>80</v>
      </c>
      <c r="CL81" s="16" t="s">
        <v>80</v>
      </c>
      <c r="CM81" s="16" t="s">
        <v>80</v>
      </c>
      <c r="CP81" s="1">
        <v>1001</v>
      </c>
      <c r="CQ81" s="1" t="s">
        <v>255</v>
      </c>
      <c r="CR81" s="1" t="s">
        <v>106</v>
      </c>
      <c r="CS81" s="1">
        <v>159</v>
      </c>
      <c r="CT81" s="22">
        <v>54.05</v>
      </c>
      <c r="CU81" s="22">
        <v>0.08</v>
      </c>
      <c r="CV81" s="22">
        <v>0.121</v>
      </c>
      <c r="CW81" s="22">
        <v>0</v>
      </c>
      <c r="CX81" s="22">
        <v>21.69</v>
      </c>
      <c r="CY81" s="22">
        <v>1.161</v>
      </c>
      <c r="CZ81" s="22">
        <v>21.73</v>
      </c>
      <c r="DA81" s="22">
        <v>1.2270000000000001</v>
      </c>
      <c r="DB81" s="22">
        <v>3.5000000000000003E-2</v>
      </c>
      <c r="DN81" s="22" t="e">
        <f>INDEX(#REF!, MATCH('S8 Glass'!CP81,#REF!,0))</f>
        <v>#REF!</v>
      </c>
      <c r="DO81" s="22" t="e">
        <f>INDEX(#REF!, MATCH('S8 Glass'!CP81,#REF!,0))</f>
        <v>#REF!</v>
      </c>
      <c r="DP81" s="22" t="e">
        <f>INDEX(#REF!, MATCH('S8 Glass'!CP81,#REF!,0))</f>
        <v>#REF!</v>
      </c>
      <c r="DQ81" s="22" t="e">
        <f>INDEX(#REF!, MATCH('S8 Glass'!CP81,#REF!,0))</f>
        <v>#REF!</v>
      </c>
      <c r="DR81" s="22">
        <f t="shared" si="15"/>
        <v>0.55985827199824767</v>
      </c>
      <c r="DS81" s="22">
        <f t="shared" si="16"/>
        <v>4.3799895224914573</v>
      </c>
      <c r="DT81" s="22">
        <f t="shared" si="17"/>
        <v>2.6197272931966094</v>
      </c>
      <c r="DU81" s="22">
        <f t="shared" si="18"/>
        <v>0.12782182905309442</v>
      </c>
      <c r="DV81" s="22">
        <f t="shared" si="19"/>
        <v>0.21370860755323304</v>
      </c>
      <c r="DW81" s="14">
        <v>0.7</v>
      </c>
    </row>
    <row r="82" spans="2:127" x14ac:dyDescent="0.25">
      <c r="B82" s="4" t="s">
        <v>311</v>
      </c>
      <c r="C82" s="5" t="s">
        <v>92</v>
      </c>
      <c r="D82" s="1">
        <v>1005.01</v>
      </c>
      <c r="E82" s="98" t="s">
        <v>255</v>
      </c>
      <c r="F82" s="1" t="s">
        <v>106</v>
      </c>
      <c r="G82" s="1">
        <v>163.01</v>
      </c>
      <c r="H82" s="22">
        <f t="shared" si="13"/>
        <v>74.56</v>
      </c>
      <c r="I82" s="22">
        <f t="shared" si="13"/>
        <v>0.19700000000000001</v>
      </c>
      <c r="J82" s="22">
        <f t="shared" si="13"/>
        <v>11.06</v>
      </c>
      <c r="K82" s="22">
        <f t="shared" si="13"/>
        <v>0</v>
      </c>
      <c r="L82" s="22">
        <f t="shared" si="13"/>
        <v>1.39</v>
      </c>
      <c r="M82" s="22">
        <f t="shared" si="13"/>
        <v>0</v>
      </c>
      <c r="N82" s="22">
        <f t="shared" si="13"/>
        <v>0.34699999999999998</v>
      </c>
      <c r="O82" s="22">
        <f t="shared" si="13"/>
        <v>0.85699999999999998</v>
      </c>
      <c r="P82" s="22">
        <f t="shared" si="13"/>
        <v>2.71</v>
      </c>
      <c r="Q82" s="22">
        <f t="shared" si="13"/>
        <v>4.92</v>
      </c>
      <c r="R82" s="22">
        <f t="shared" si="13"/>
        <v>1.9E-2</v>
      </c>
      <c r="S82" s="1" t="s">
        <v>312</v>
      </c>
      <c r="T82" s="96">
        <f t="shared" si="14"/>
        <v>0</v>
      </c>
      <c r="V82" s="5" t="s">
        <v>92</v>
      </c>
      <c r="W82" s="1">
        <v>1005</v>
      </c>
      <c r="X82" s="98" t="s">
        <v>255</v>
      </c>
      <c r="Y82" s="1" t="s">
        <v>106</v>
      </c>
      <c r="Z82" s="1">
        <v>163</v>
      </c>
      <c r="AA82" s="22">
        <v>74.56</v>
      </c>
      <c r="AB82" s="22">
        <v>0.19700000000000001</v>
      </c>
      <c r="AC82" s="22">
        <v>11.06</v>
      </c>
      <c r="AD82" s="22">
        <v>0</v>
      </c>
      <c r="AE82" s="22">
        <v>1.39</v>
      </c>
      <c r="AF82" s="22">
        <v>0</v>
      </c>
      <c r="AG82" s="22">
        <v>0.34699999999999998</v>
      </c>
      <c r="AH82" s="22">
        <v>0.85699999999999998</v>
      </c>
      <c r="AI82" s="22">
        <v>2.71</v>
      </c>
      <c r="AJ82" s="22">
        <v>4.92</v>
      </c>
      <c r="AK82" s="22">
        <v>1.9E-2</v>
      </c>
      <c r="AL82" s="22">
        <v>0</v>
      </c>
      <c r="AM82" s="22">
        <v>0.28699999999999998</v>
      </c>
      <c r="AO82" s="22">
        <v>96.347000000000008</v>
      </c>
      <c r="AP82" s="3">
        <v>96.50170700000001</v>
      </c>
      <c r="AR82" s="4" t="s">
        <v>311</v>
      </c>
      <c r="AS82" s="1" t="s">
        <v>260</v>
      </c>
      <c r="AT82" s="1" t="s">
        <v>260</v>
      </c>
      <c r="AU82" s="16" t="s">
        <v>80</v>
      </c>
      <c r="AV82" s="13" t="s">
        <v>80</v>
      </c>
      <c r="AW82" s="13" t="s">
        <v>80</v>
      </c>
      <c r="AX82" s="13" t="s">
        <v>80</v>
      </c>
      <c r="AY82" s="13" t="s">
        <v>80</v>
      </c>
      <c r="AZ82" s="13" t="s">
        <v>80</v>
      </c>
      <c r="BA82" s="16" t="s">
        <v>80</v>
      </c>
      <c r="BB82" s="16" t="s">
        <v>80</v>
      </c>
      <c r="BC82" s="13" t="s">
        <v>80</v>
      </c>
      <c r="BD82" s="104" t="s">
        <v>80</v>
      </c>
      <c r="BE82" s="16" t="s">
        <v>80</v>
      </c>
      <c r="BF82" s="13" t="s">
        <v>80</v>
      </c>
      <c r="BG82" s="16" t="s">
        <v>80</v>
      </c>
      <c r="BH82" s="16" t="s">
        <v>80</v>
      </c>
      <c r="BI82" s="16" t="s">
        <v>80</v>
      </c>
      <c r="BJ82" s="16" t="s">
        <v>80</v>
      </c>
      <c r="BK82" s="16" t="s">
        <v>80</v>
      </c>
      <c r="BL82" s="16" t="s">
        <v>80</v>
      </c>
      <c r="BM82" s="16" t="s">
        <v>80</v>
      </c>
      <c r="BN82" s="16" t="s">
        <v>80</v>
      </c>
      <c r="BO82" s="16" t="s">
        <v>80</v>
      </c>
      <c r="BP82" s="16" t="s">
        <v>80</v>
      </c>
      <c r="BQ82" s="16" t="s">
        <v>80</v>
      </c>
      <c r="BR82" s="16" t="s">
        <v>80</v>
      </c>
      <c r="BS82" s="16"/>
      <c r="BT82" s="16" t="s">
        <v>80</v>
      </c>
      <c r="BU82" s="16" t="s">
        <v>80</v>
      </c>
      <c r="BV82" s="16" t="s">
        <v>80</v>
      </c>
      <c r="BW82" s="16" t="s">
        <v>80</v>
      </c>
      <c r="BX82" s="16" t="s">
        <v>80</v>
      </c>
      <c r="BY82" s="16" t="s">
        <v>80</v>
      </c>
      <c r="BZ82" s="16" t="s">
        <v>80</v>
      </c>
      <c r="CA82" s="16" t="s">
        <v>80</v>
      </c>
      <c r="CB82" s="16" t="s">
        <v>80</v>
      </c>
      <c r="CC82" s="16" t="s">
        <v>80</v>
      </c>
      <c r="CD82" s="16" t="s">
        <v>80</v>
      </c>
      <c r="CE82" s="16" t="s">
        <v>80</v>
      </c>
      <c r="CF82" s="16" t="s">
        <v>80</v>
      </c>
      <c r="CG82" s="16" t="s">
        <v>80</v>
      </c>
      <c r="CH82" s="16" t="s">
        <v>80</v>
      </c>
      <c r="CI82" s="16" t="s">
        <v>80</v>
      </c>
      <c r="CJ82" s="16" t="s">
        <v>80</v>
      </c>
      <c r="CK82" s="16" t="s">
        <v>80</v>
      </c>
      <c r="CL82" s="16" t="s">
        <v>80</v>
      </c>
      <c r="CM82" s="16" t="s">
        <v>80</v>
      </c>
      <c r="CP82" s="1">
        <v>1008</v>
      </c>
      <c r="CQ82" s="1" t="s">
        <v>255</v>
      </c>
      <c r="CR82" s="1" t="s">
        <v>106</v>
      </c>
      <c r="CS82" s="1">
        <v>166</v>
      </c>
      <c r="CT82" s="22">
        <v>52.54</v>
      </c>
      <c r="CU82" s="22">
        <v>0.434</v>
      </c>
      <c r="CV82" s="22">
        <v>0.97599999999999998</v>
      </c>
      <c r="CW82" s="22">
        <v>0</v>
      </c>
      <c r="CX82" s="22">
        <v>12.83</v>
      </c>
      <c r="CY82" s="22">
        <v>0.45800000000000002</v>
      </c>
      <c r="CZ82" s="22">
        <v>13.18</v>
      </c>
      <c r="DA82" s="22">
        <v>19.84</v>
      </c>
      <c r="DB82" s="22">
        <v>0.34</v>
      </c>
      <c r="DC82" s="22">
        <v>8.9999999999999993E-3</v>
      </c>
      <c r="DN82" s="22" t="e">
        <f>INDEX(#REF!, MATCH('S8 Glass'!CP82,#REF!,0))</f>
        <v>#REF!</v>
      </c>
      <c r="DO82" s="22" t="e">
        <f>INDEX(#REF!, MATCH('S8 Glass'!CP82,#REF!,0))</f>
        <v>#REF!</v>
      </c>
      <c r="DP82" s="22" t="e">
        <f>INDEX(#REF!, MATCH('S8 Glass'!CP82,#REF!,0))</f>
        <v>#REF!</v>
      </c>
      <c r="DQ82" s="22" t="e">
        <f>INDEX(#REF!, MATCH('S8 Glass'!CP82,#REF!,0))</f>
        <v>#REF!</v>
      </c>
      <c r="DR82" s="22">
        <f t="shared" si="15"/>
        <v>0.54599607384715465</v>
      </c>
      <c r="DS82" s="22">
        <f t="shared" si="16"/>
        <v>2.2467957781080101</v>
      </c>
      <c r="DT82" s="22">
        <f t="shared" si="17"/>
        <v>2.2467957781080101</v>
      </c>
      <c r="DU82" s="22">
        <f t="shared" si="18"/>
        <v>0.24301099332976717</v>
      </c>
      <c r="DV82" s="22">
        <f t="shared" si="19"/>
        <v>0.24301099332976717</v>
      </c>
      <c r="DW82" s="14">
        <v>0</v>
      </c>
    </row>
    <row r="83" spans="2:127" x14ac:dyDescent="0.25">
      <c r="B83" s="4" t="s">
        <v>311</v>
      </c>
      <c r="C83" s="5" t="s">
        <v>92</v>
      </c>
      <c r="D83" s="1">
        <v>1009.01</v>
      </c>
      <c r="E83" s="98" t="s">
        <v>255</v>
      </c>
      <c r="F83" s="1" t="s">
        <v>106</v>
      </c>
      <c r="G83" s="1">
        <v>167.01</v>
      </c>
      <c r="H83" s="22">
        <f t="shared" si="13"/>
        <v>76.918446000000003</v>
      </c>
      <c r="I83" s="22">
        <f t="shared" si="13"/>
        <v>0.1320066</v>
      </c>
      <c r="J83" s="22">
        <f t="shared" si="13"/>
        <v>11.107562400000001</v>
      </c>
      <c r="K83" s="22">
        <f t="shared" si="13"/>
        <v>0</v>
      </c>
      <c r="L83" s="22">
        <f t="shared" si="13"/>
        <v>1.4239170000000001</v>
      </c>
      <c r="M83" s="22">
        <f t="shared" si="13"/>
        <v>7.6804199999999989E-2</v>
      </c>
      <c r="N83" s="22">
        <f t="shared" si="13"/>
        <v>0.34234199999999998</v>
      </c>
      <c r="O83" s="22">
        <f t="shared" si="13"/>
        <v>1.0210859999999999</v>
      </c>
      <c r="P83" s="22">
        <f t="shared" si="13"/>
        <v>1.5081660000000001</v>
      </c>
      <c r="Q83" s="22">
        <f t="shared" si="13"/>
        <v>4.9698890999999996</v>
      </c>
      <c r="R83" s="22">
        <f t="shared" si="13"/>
        <v>3.168E-2</v>
      </c>
      <c r="S83" s="1" t="s">
        <v>312</v>
      </c>
      <c r="T83" s="96">
        <f t="shared" si="14"/>
        <v>1</v>
      </c>
      <c r="V83" s="5" t="s">
        <v>92</v>
      </c>
      <c r="W83" s="1">
        <v>1009</v>
      </c>
      <c r="X83" s="98" t="s">
        <v>255</v>
      </c>
      <c r="Y83" s="1" t="s">
        <v>106</v>
      </c>
      <c r="Z83" s="1">
        <v>167</v>
      </c>
      <c r="AA83" s="22">
        <v>77.17</v>
      </c>
      <c r="AB83" s="22">
        <v>0.129</v>
      </c>
      <c r="AC83" s="22">
        <v>11.21</v>
      </c>
      <c r="AD83" s="22">
        <v>0</v>
      </c>
      <c r="AE83" s="22">
        <v>1.31</v>
      </c>
      <c r="AF83" s="22">
        <v>7.2999999999999995E-2</v>
      </c>
      <c r="AG83" s="22">
        <v>0.214</v>
      </c>
      <c r="AH83" s="22">
        <v>0.83299999999999996</v>
      </c>
      <c r="AI83" s="22">
        <v>1.52</v>
      </c>
      <c r="AJ83" s="22">
        <v>5.0199999999999996</v>
      </c>
      <c r="AK83" s="22">
        <v>3.2000000000000001E-2</v>
      </c>
      <c r="AL83" s="22">
        <v>0</v>
      </c>
      <c r="AM83" s="22">
        <v>0.33300000000000002</v>
      </c>
      <c r="AO83" s="22">
        <v>97.843999999999994</v>
      </c>
      <c r="AP83" s="3">
        <v>97.989803000000023</v>
      </c>
      <c r="AR83" s="4" t="s">
        <v>311</v>
      </c>
      <c r="AS83" s="1" t="s">
        <v>260</v>
      </c>
      <c r="AU83" s="16" t="s">
        <v>80</v>
      </c>
      <c r="AV83" s="13" t="s">
        <v>80</v>
      </c>
      <c r="AW83" s="13" t="s">
        <v>80</v>
      </c>
      <c r="AX83" s="13" t="s">
        <v>80</v>
      </c>
      <c r="AY83" s="13" t="s">
        <v>80</v>
      </c>
      <c r="AZ83" s="13" t="s">
        <v>80</v>
      </c>
      <c r="BA83" s="16" t="s">
        <v>80</v>
      </c>
      <c r="BB83" s="16" t="s">
        <v>80</v>
      </c>
      <c r="BC83" s="13" t="s">
        <v>80</v>
      </c>
      <c r="BD83" s="104" t="s">
        <v>80</v>
      </c>
      <c r="BE83" s="16" t="s">
        <v>80</v>
      </c>
      <c r="BF83" s="13" t="s">
        <v>80</v>
      </c>
      <c r="BG83" s="16" t="s">
        <v>80</v>
      </c>
      <c r="BH83" s="16" t="s">
        <v>80</v>
      </c>
      <c r="BI83" s="16" t="s">
        <v>80</v>
      </c>
      <c r="BJ83" s="16" t="s">
        <v>80</v>
      </c>
      <c r="BK83" s="16" t="s">
        <v>80</v>
      </c>
      <c r="BL83" s="16" t="s">
        <v>80</v>
      </c>
      <c r="BM83" s="16" t="s">
        <v>80</v>
      </c>
      <c r="BN83" s="16" t="s">
        <v>80</v>
      </c>
      <c r="BO83" s="16" t="s">
        <v>80</v>
      </c>
      <c r="BP83" s="16" t="s">
        <v>80</v>
      </c>
      <c r="BQ83" s="16" t="s">
        <v>80</v>
      </c>
      <c r="BR83" s="16" t="s">
        <v>80</v>
      </c>
      <c r="BS83" s="16"/>
      <c r="BT83" s="16" t="s">
        <v>80</v>
      </c>
      <c r="BU83" s="16" t="s">
        <v>80</v>
      </c>
      <c r="BV83" s="16" t="s">
        <v>80</v>
      </c>
      <c r="BW83" s="16" t="s">
        <v>80</v>
      </c>
      <c r="BX83" s="16" t="s">
        <v>80</v>
      </c>
      <c r="BY83" s="16" t="s">
        <v>80</v>
      </c>
      <c r="BZ83" s="16" t="s">
        <v>80</v>
      </c>
      <c r="CA83" s="16" t="s">
        <v>80</v>
      </c>
      <c r="CB83" s="16" t="s">
        <v>80</v>
      </c>
      <c r="CC83" s="16" t="s">
        <v>80</v>
      </c>
      <c r="CD83" s="16" t="s">
        <v>80</v>
      </c>
      <c r="CE83" s="16" t="s">
        <v>80</v>
      </c>
      <c r="CF83" s="16" t="s">
        <v>80</v>
      </c>
      <c r="CG83" s="16" t="s">
        <v>80</v>
      </c>
      <c r="CH83" s="16" t="s">
        <v>80</v>
      </c>
      <c r="CI83" s="16" t="s">
        <v>80</v>
      </c>
      <c r="CJ83" s="16" t="s">
        <v>80</v>
      </c>
      <c r="CK83" s="16" t="s">
        <v>80</v>
      </c>
      <c r="CL83" s="16" t="s">
        <v>80</v>
      </c>
      <c r="CM83" s="16" t="s">
        <v>80</v>
      </c>
      <c r="CP83" s="1">
        <v>1008</v>
      </c>
      <c r="CQ83" s="1" t="s">
        <v>255</v>
      </c>
      <c r="CR83" s="1" t="s">
        <v>319</v>
      </c>
      <c r="CS83" s="1">
        <v>166</v>
      </c>
      <c r="CT83" s="22">
        <v>52.54</v>
      </c>
      <c r="CU83" s="22">
        <v>0.434</v>
      </c>
      <c r="CV83" s="22">
        <v>0.97599999999999998</v>
      </c>
      <c r="CW83" s="22">
        <v>0</v>
      </c>
      <c r="CX83" s="22">
        <v>12.83</v>
      </c>
      <c r="CY83" s="22">
        <v>0.45800000000000002</v>
      </c>
      <c r="CZ83" s="22">
        <v>13.18</v>
      </c>
      <c r="DA83" s="22">
        <v>19.84</v>
      </c>
      <c r="DB83" s="22">
        <v>0.34</v>
      </c>
      <c r="DC83" s="22">
        <v>8.9999999999999993E-3</v>
      </c>
      <c r="DR83" s="22">
        <f t="shared" si="15"/>
        <v>0.54599607384715465</v>
      </c>
      <c r="DS83" s="22">
        <f t="shared" si="16"/>
        <v>3.4334900721258594</v>
      </c>
      <c r="DT83" s="22">
        <f t="shared" si="17"/>
        <v>2.3329356794910034</v>
      </c>
      <c r="DU83" s="22">
        <f t="shared" si="18"/>
        <v>0.15902072304787501</v>
      </c>
      <c r="DV83" s="22">
        <f t="shared" si="19"/>
        <v>0.23403820287333396</v>
      </c>
      <c r="DW83" s="14">
        <v>1</v>
      </c>
    </row>
    <row r="84" spans="2:127" x14ac:dyDescent="0.25">
      <c r="B84" s="4" t="s">
        <v>327</v>
      </c>
      <c r="V84" s="5" t="s">
        <v>92</v>
      </c>
      <c r="W84" s="1">
        <v>1057.8</v>
      </c>
      <c r="X84" s="98" t="s">
        <v>255</v>
      </c>
      <c r="Y84" s="1" t="s">
        <v>106</v>
      </c>
      <c r="Z84" s="1">
        <v>215.8</v>
      </c>
      <c r="AA84" s="22">
        <v>76.33</v>
      </c>
      <c r="AB84" s="22">
        <v>0.10947908884663993</v>
      </c>
      <c r="AC84" s="22">
        <v>10.92</v>
      </c>
      <c r="AE84" s="22">
        <v>0.873</v>
      </c>
      <c r="AF84" s="22">
        <v>7.0000000000000007E-2</v>
      </c>
      <c r="AG84" s="22">
        <v>0.37776852853802939</v>
      </c>
      <c r="AH84" s="22">
        <v>0.435</v>
      </c>
      <c r="AI84" s="22">
        <v>2.71</v>
      </c>
      <c r="AJ84" s="22">
        <v>5.66</v>
      </c>
      <c r="AK84" s="22">
        <v>0.03</v>
      </c>
      <c r="AO84" s="22">
        <v>96.322762976694577</v>
      </c>
      <c r="AP84" s="3">
        <v>96.323343863943734</v>
      </c>
      <c r="AR84" s="4" t="s">
        <v>308</v>
      </c>
      <c r="AS84" s="1" t="s">
        <v>325</v>
      </c>
      <c r="AU84" s="16" t="s">
        <v>80</v>
      </c>
      <c r="AV84" s="13" t="s">
        <v>80</v>
      </c>
      <c r="AW84" s="13" t="s">
        <v>80</v>
      </c>
      <c r="AX84" s="13" t="s">
        <v>80</v>
      </c>
      <c r="AY84" s="13" t="s">
        <v>80</v>
      </c>
      <c r="AZ84" s="13" t="s">
        <v>80</v>
      </c>
      <c r="BA84" s="16" t="s">
        <v>80</v>
      </c>
      <c r="BB84" s="16" t="s">
        <v>80</v>
      </c>
      <c r="BC84" s="13" t="s">
        <v>80</v>
      </c>
      <c r="BD84" s="104" t="s">
        <v>80</v>
      </c>
      <c r="BE84" s="16" t="s">
        <v>80</v>
      </c>
      <c r="BF84" s="13" t="s">
        <v>80</v>
      </c>
      <c r="BG84" s="16" t="s">
        <v>80</v>
      </c>
      <c r="BH84" s="16" t="s">
        <v>80</v>
      </c>
      <c r="BI84" s="16" t="s">
        <v>80</v>
      </c>
      <c r="BJ84" s="16" t="s">
        <v>80</v>
      </c>
      <c r="BK84" s="16" t="s">
        <v>80</v>
      </c>
      <c r="BL84" s="16" t="s">
        <v>80</v>
      </c>
      <c r="BM84" s="16" t="s">
        <v>80</v>
      </c>
      <c r="BN84" s="16" t="s">
        <v>80</v>
      </c>
      <c r="BO84" s="16" t="s">
        <v>80</v>
      </c>
      <c r="BP84" s="16" t="s">
        <v>80</v>
      </c>
      <c r="BQ84" s="16" t="s">
        <v>80</v>
      </c>
      <c r="BR84" s="16" t="s">
        <v>80</v>
      </c>
      <c r="BS84" s="16"/>
      <c r="BT84" s="16" t="s">
        <v>80</v>
      </c>
      <c r="BU84" s="16" t="s">
        <v>80</v>
      </c>
      <c r="BV84" s="16" t="s">
        <v>80</v>
      </c>
      <c r="BW84" s="16" t="s">
        <v>80</v>
      </c>
      <c r="BX84" s="16" t="s">
        <v>80</v>
      </c>
      <c r="BY84" s="16" t="s">
        <v>80</v>
      </c>
      <c r="BZ84" s="16" t="s">
        <v>80</v>
      </c>
      <c r="CA84" s="16" t="s">
        <v>80</v>
      </c>
      <c r="CB84" s="16" t="s">
        <v>80</v>
      </c>
      <c r="CC84" s="16" t="s">
        <v>80</v>
      </c>
      <c r="CD84" s="16" t="s">
        <v>80</v>
      </c>
      <c r="CE84" s="16" t="s">
        <v>80</v>
      </c>
      <c r="CF84" s="16" t="s">
        <v>80</v>
      </c>
      <c r="CG84" s="16" t="s">
        <v>80</v>
      </c>
      <c r="CH84" s="16" t="s">
        <v>80</v>
      </c>
      <c r="CI84" s="16" t="s">
        <v>80</v>
      </c>
      <c r="CJ84" s="16" t="s">
        <v>80</v>
      </c>
      <c r="CK84" s="16" t="s">
        <v>80</v>
      </c>
      <c r="CL84" s="16" t="s">
        <v>80</v>
      </c>
      <c r="CM84" s="16" t="s">
        <v>80</v>
      </c>
      <c r="DW84" s="22"/>
    </row>
    <row r="85" spans="2:127" x14ac:dyDescent="0.25">
      <c r="B85" s="4" t="s">
        <v>327</v>
      </c>
      <c r="V85" s="5" t="s">
        <v>92</v>
      </c>
      <c r="W85" s="1">
        <v>1071.8</v>
      </c>
      <c r="X85" s="98" t="s">
        <v>255</v>
      </c>
      <c r="Y85" s="1" t="s">
        <v>106</v>
      </c>
      <c r="Z85" s="1">
        <v>229.8</v>
      </c>
      <c r="AA85" s="22">
        <v>74.23</v>
      </c>
      <c r="AB85" s="22">
        <v>0.3788235327145531</v>
      </c>
      <c r="AC85" s="22">
        <v>10.45</v>
      </c>
      <c r="AE85" s="22">
        <v>2.64</v>
      </c>
      <c r="AF85" s="22">
        <v>0.02</v>
      </c>
      <c r="AG85" s="22">
        <v>0.44432357914145326</v>
      </c>
      <c r="AH85" s="22">
        <v>1.2789999999999999</v>
      </c>
      <c r="AI85" s="22">
        <v>2.42</v>
      </c>
      <c r="AJ85" s="22">
        <v>5.0199999999999996</v>
      </c>
      <c r="AK85" s="22">
        <v>0.09</v>
      </c>
      <c r="AO85" s="22">
        <v>96.713805430556079</v>
      </c>
      <c r="AP85" s="3">
        <v>97.007637430556073</v>
      </c>
      <c r="AR85" s="4" t="s">
        <v>308</v>
      </c>
      <c r="AS85" s="1" t="s">
        <v>325</v>
      </c>
      <c r="AU85" s="16" t="s">
        <v>80</v>
      </c>
      <c r="AV85" s="13" t="s">
        <v>80</v>
      </c>
      <c r="AW85" s="13" t="s">
        <v>80</v>
      </c>
      <c r="AX85" s="13" t="s">
        <v>80</v>
      </c>
      <c r="AY85" s="13" t="s">
        <v>80</v>
      </c>
      <c r="AZ85" s="13" t="s">
        <v>80</v>
      </c>
      <c r="BA85" s="16" t="s">
        <v>80</v>
      </c>
      <c r="BB85" s="16" t="s">
        <v>80</v>
      </c>
      <c r="BC85" s="13" t="s">
        <v>80</v>
      </c>
      <c r="BD85" s="104" t="s">
        <v>80</v>
      </c>
      <c r="BE85" s="16" t="s">
        <v>80</v>
      </c>
      <c r="BF85" s="13" t="s">
        <v>80</v>
      </c>
      <c r="BG85" s="16" t="s">
        <v>80</v>
      </c>
      <c r="BH85" s="16" t="s">
        <v>80</v>
      </c>
      <c r="BI85" s="16" t="s">
        <v>80</v>
      </c>
      <c r="BJ85" s="16" t="s">
        <v>80</v>
      </c>
      <c r="BK85" s="16" t="s">
        <v>80</v>
      </c>
      <c r="BL85" s="16" t="s">
        <v>80</v>
      </c>
      <c r="BM85" s="16" t="s">
        <v>80</v>
      </c>
      <c r="BN85" s="16" t="s">
        <v>80</v>
      </c>
      <c r="BO85" s="16" t="s">
        <v>80</v>
      </c>
      <c r="BP85" s="16" t="s">
        <v>80</v>
      </c>
      <c r="BQ85" s="16" t="s">
        <v>80</v>
      </c>
      <c r="BR85" s="16" t="s">
        <v>80</v>
      </c>
      <c r="BS85" s="16"/>
      <c r="BT85" s="16" t="s">
        <v>80</v>
      </c>
      <c r="BU85" s="16" t="s">
        <v>80</v>
      </c>
      <c r="BV85" s="16" t="s">
        <v>80</v>
      </c>
      <c r="BW85" s="16" t="s">
        <v>80</v>
      </c>
      <c r="BX85" s="16" t="s">
        <v>80</v>
      </c>
      <c r="BY85" s="16" t="s">
        <v>80</v>
      </c>
      <c r="BZ85" s="16" t="s">
        <v>80</v>
      </c>
      <c r="CA85" s="16" t="s">
        <v>80</v>
      </c>
      <c r="CB85" s="16" t="s">
        <v>80</v>
      </c>
      <c r="CC85" s="16" t="s">
        <v>80</v>
      </c>
      <c r="CD85" s="16" t="s">
        <v>80</v>
      </c>
      <c r="CE85" s="16" t="s">
        <v>80</v>
      </c>
      <c r="CF85" s="16" t="s">
        <v>80</v>
      </c>
      <c r="CG85" s="16" t="s">
        <v>80</v>
      </c>
      <c r="CH85" s="16" t="s">
        <v>80</v>
      </c>
      <c r="CI85" s="16" t="s">
        <v>80</v>
      </c>
      <c r="CJ85" s="16" t="s">
        <v>80</v>
      </c>
      <c r="CK85" s="16" t="s">
        <v>80</v>
      </c>
      <c r="CL85" s="16" t="s">
        <v>80</v>
      </c>
      <c r="CM85" s="16" t="s">
        <v>80</v>
      </c>
      <c r="DW85" s="22"/>
    </row>
    <row r="86" spans="2:127" x14ac:dyDescent="0.25">
      <c r="B86" s="4" t="s">
        <v>327</v>
      </c>
      <c r="V86" s="5" t="s">
        <v>92</v>
      </c>
      <c r="W86" s="1">
        <v>1073.8</v>
      </c>
      <c r="X86" s="98" t="s">
        <v>255</v>
      </c>
      <c r="Y86" s="1" t="s">
        <v>106</v>
      </c>
      <c r="Z86" s="1">
        <v>231.8</v>
      </c>
      <c r="AA86" s="22">
        <v>75.61</v>
      </c>
      <c r="AB86" s="22">
        <v>0.11998810384738576</v>
      </c>
      <c r="AC86" s="22">
        <v>11.33</v>
      </c>
      <c r="AE86" s="22">
        <v>1.83</v>
      </c>
      <c r="AF86" s="22">
        <v>0.06</v>
      </c>
      <c r="AG86" s="22">
        <v>0.42586838076690037</v>
      </c>
      <c r="AH86" s="22">
        <v>0.47</v>
      </c>
      <c r="AI86" s="22">
        <v>2.72</v>
      </c>
      <c r="AJ86" s="22">
        <v>5.5</v>
      </c>
      <c r="AK86" s="22">
        <v>0.02</v>
      </c>
      <c r="AO86" s="22">
        <v>98.129225494469352</v>
      </c>
      <c r="AP86" s="3">
        <v>98.332904494469361</v>
      </c>
      <c r="AR86" s="4" t="s">
        <v>308</v>
      </c>
      <c r="AS86" s="1" t="s">
        <v>325</v>
      </c>
      <c r="AU86" s="16" t="s">
        <v>80</v>
      </c>
      <c r="AV86" s="13" t="s">
        <v>80</v>
      </c>
      <c r="AW86" s="13" t="s">
        <v>80</v>
      </c>
      <c r="AX86" s="13" t="s">
        <v>80</v>
      </c>
      <c r="AY86" s="13" t="s">
        <v>80</v>
      </c>
      <c r="AZ86" s="13" t="s">
        <v>80</v>
      </c>
      <c r="BA86" s="16" t="s">
        <v>80</v>
      </c>
      <c r="BB86" s="16" t="s">
        <v>80</v>
      </c>
      <c r="BC86" s="13" t="s">
        <v>80</v>
      </c>
      <c r="BD86" s="104" t="s">
        <v>80</v>
      </c>
      <c r="BE86" s="16" t="s">
        <v>80</v>
      </c>
      <c r="BF86" s="13" t="s">
        <v>80</v>
      </c>
      <c r="BG86" s="16" t="s">
        <v>80</v>
      </c>
      <c r="BH86" s="16" t="s">
        <v>80</v>
      </c>
      <c r="BI86" s="16" t="s">
        <v>80</v>
      </c>
      <c r="BJ86" s="16" t="s">
        <v>80</v>
      </c>
      <c r="BK86" s="16" t="s">
        <v>80</v>
      </c>
      <c r="BL86" s="16" t="s">
        <v>80</v>
      </c>
      <c r="BM86" s="16" t="s">
        <v>80</v>
      </c>
      <c r="BN86" s="16" t="s">
        <v>80</v>
      </c>
      <c r="BO86" s="16" t="s">
        <v>80</v>
      </c>
      <c r="BP86" s="16" t="s">
        <v>80</v>
      </c>
      <c r="BQ86" s="16" t="s">
        <v>80</v>
      </c>
      <c r="BR86" s="16" t="s">
        <v>80</v>
      </c>
      <c r="BS86" s="16"/>
      <c r="BT86" s="16" t="s">
        <v>80</v>
      </c>
      <c r="BU86" s="16" t="s">
        <v>80</v>
      </c>
      <c r="BV86" s="16" t="s">
        <v>80</v>
      </c>
      <c r="BW86" s="16" t="s">
        <v>80</v>
      </c>
      <c r="BX86" s="16" t="s">
        <v>80</v>
      </c>
      <c r="BY86" s="16" t="s">
        <v>80</v>
      </c>
      <c r="BZ86" s="16" t="s">
        <v>80</v>
      </c>
      <c r="CA86" s="16" t="s">
        <v>80</v>
      </c>
      <c r="CB86" s="16" t="s">
        <v>80</v>
      </c>
      <c r="CC86" s="16" t="s">
        <v>80</v>
      </c>
      <c r="CD86" s="16" t="s">
        <v>80</v>
      </c>
      <c r="CE86" s="16" t="s">
        <v>80</v>
      </c>
      <c r="CF86" s="16" t="s">
        <v>80</v>
      </c>
      <c r="CG86" s="16" t="s">
        <v>80</v>
      </c>
      <c r="CH86" s="16" t="s">
        <v>80</v>
      </c>
      <c r="CI86" s="16" t="s">
        <v>80</v>
      </c>
      <c r="CJ86" s="16" t="s">
        <v>80</v>
      </c>
      <c r="CK86" s="16" t="s">
        <v>80</v>
      </c>
      <c r="CL86" s="16" t="s">
        <v>80</v>
      </c>
      <c r="CM86" s="16" t="s">
        <v>80</v>
      </c>
      <c r="DW86" s="22"/>
    </row>
    <row r="87" spans="2:127" x14ac:dyDescent="0.25">
      <c r="B87" s="4" t="s">
        <v>311</v>
      </c>
      <c r="C87" s="5" t="s">
        <v>93</v>
      </c>
      <c r="D87" s="1">
        <v>1114.0999999999999</v>
      </c>
      <c r="E87" s="98" t="s">
        <v>101</v>
      </c>
      <c r="F87" s="1" t="s">
        <v>107</v>
      </c>
      <c r="G87" s="1">
        <v>272.10000000000002</v>
      </c>
      <c r="H87" s="22">
        <v>46.579000000000001</v>
      </c>
      <c r="I87" s="22">
        <v>0.90500000000000003</v>
      </c>
      <c r="J87" s="22">
        <v>18.721</v>
      </c>
      <c r="K87" s="22">
        <v>0</v>
      </c>
      <c r="L87" s="22">
        <v>10.069000000000001</v>
      </c>
      <c r="M87" s="22">
        <v>6.4000000000000001E-2</v>
      </c>
      <c r="N87" s="22">
        <v>6.4459999999999997</v>
      </c>
      <c r="O87" s="22">
        <v>11.522</v>
      </c>
      <c r="P87" s="22">
        <v>3.2160000000000002</v>
      </c>
      <c r="Q87" s="22">
        <v>0.27400000000000002</v>
      </c>
      <c r="R87" s="1">
        <v>0.16</v>
      </c>
      <c r="S87" s="1" t="s">
        <v>310</v>
      </c>
      <c r="T87" s="96">
        <v>0.83599999999999997</v>
      </c>
      <c r="V87" s="5" t="s">
        <v>93</v>
      </c>
      <c r="W87" s="1">
        <v>1114</v>
      </c>
      <c r="X87" s="98" t="s">
        <v>101</v>
      </c>
      <c r="Y87" s="1" t="s">
        <v>107</v>
      </c>
      <c r="Z87" s="1">
        <v>272</v>
      </c>
      <c r="AA87" s="22">
        <v>50.04</v>
      </c>
      <c r="AB87" s="22">
        <v>1.111</v>
      </c>
      <c r="AC87" s="22">
        <v>22.99</v>
      </c>
      <c r="AD87" s="22">
        <v>0</v>
      </c>
      <c r="AE87" s="22">
        <v>4.9800000000000004</v>
      </c>
      <c r="AF87" s="22">
        <v>7.9000000000000001E-2</v>
      </c>
      <c r="AG87" s="22">
        <v>2.4500000000000002</v>
      </c>
      <c r="AH87" s="22">
        <v>14.15</v>
      </c>
      <c r="AI87" s="22">
        <v>3.95</v>
      </c>
      <c r="AJ87" s="22">
        <v>0.33600000000000002</v>
      </c>
      <c r="AK87" s="22">
        <v>0.19600000000000001</v>
      </c>
      <c r="AL87" s="22">
        <v>2.3E-2</v>
      </c>
      <c r="AM87" s="22">
        <v>8.7999999999999995E-2</v>
      </c>
      <c r="AO87" s="22">
        <v>100.39299999999999</v>
      </c>
      <c r="AP87" s="3">
        <v>100.94727399999999</v>
      </c>
      <c r="AR87" s="4" t="s">
        <v>311</v>
      </c>
      <c r="AS87" s="1" t="s">
        <v>266</v>
      </c>
      <c r="AT87" s="1" t="s">
        <v>266</v>
      </c>
      <c r="AU87" s="16" t="s">
        <v>80</v>
      </c>
      <c r="AV87" s="13" t="s">
        <v>80</v>
      </c>
      <c r="AW87" s="13" t="s">
        <v>80</v>
      </c>
      <c r="AX87" s="13" t="s">
        <v>80</v>
      </c>
      <c r="AY87" s="13" t="s">
        <v>80</v>
      </c>
      <c r="AZ87" s="13" t="s">
        <v>80</v>
      </c>
      <c r="BA87" s="16" t="s">
        <v>80</v>
      </c>
      <c r="BB87" s="16" t="s">
        <v>80</v>
      </c>
      <c r="BC87" s="13" t="s">
        <v>80</v>
      </c>
      <c r="BD87" s="104" t="s">
        <v>80</v>
      </c>
      <c r="BE87" s="16" t="s">
        <v>80</v>
      </c>
      <c r="BF87" s="13" t="s">
        <v>80</v>
      </c>
      <c r="BG87" s="16" t="s">
        <v>80</v>
      </c>
      <c r="BH87" s="16" t="s">
        <v>80</v>
      </c>
      <c r="BI87" s="16" t="s">
        <v>80</v>
      </c>
      <c r="BJ87" s="16" t="s">
        <v>80</v>
      </c>
      <c r="BK87" s="16" t="s">
        <v>80</v>
      </c>
      <c r="BL87" s="16" t="s">
        <v>80</v>
      </c>
      <c r="BM87" s="16" t="s">
        <v>80</v>
      </c>
      <c r="BN87" s="16" t="s">
        <v>80</v>
      </c>
      <c r="BO87" s="16" t="s">
        <v>80</v>
      </c>
      <c r="BP87" s="16" t="s">
        <v>80</v>
      </c>
      <c r="BQ87" s="16" t="s">
        <v>80</v>
      </c>
      <c r="BR87" s="16" t="s">
        <v>80</v>
      </c>
      <c r="BS87" s="16"/>
      <c r="BT87" s="16" t="s">
        <v>80</v>
      </c>
      <c r="BU87" s="16" t="s">
        <v>80</v>
      </c>
      <c r="BV87" s="16" t="s">
        <v>80</v>
      </c>
      <c r="BW87" s="16" t="s">
        <v>80</v>
      </c>
      <c r="BX87" s="16" t="s">
        <v>80</v>
      </c>
      <c r="BY87" s="16" t="s">
        <v>80</v>
      </c>
      <c r="BZ87" s="16" t="s">
        <v>80</v>
      </c>
      <c r="CA87" s="16" t="s">
        <v>80</v>
      </c>
      <c r="CB87" s="16" t="s">
        <v>80</v>
      </c>
      <c r="CC87" s="16" t="s">
        <v>80</v>
      </c>
      <c r="CD87" s="16" t="s">
        <v>80</v>
      </c>
      <c r="CE87" s="16" t="s">
        <v>80</v>
      </c>
      <c r="CF87" s="16" t="s">
        <v>80</v>
      </c>
      <c r="CG87" s="16" t="s">
        <v>80</v>
      </c>
      <c r="CH87" s="16" t="s">
        <v>80</v>
      </c>
      <c r="CI87" s="16" t="s">
        <v>80</v>
      </c>
      <c r="CJ87" s="16" t="s">
        <v>80</v>
      </c>
      <c r="CK87" s="16" t="s">
        <v>80</v>
      </c>
      <c r="CL87" s="16" t="s">
        <v>80</v>
      </c>
      <c r="CM87" s="16" t="s">
        <v>80</v>
      </c>
      <c r="CP87" s="1">
        <v>1109</v>
      </c>
      <c r="CQ87" s="1" t="s">
        <v>101</v>
      </c>
      <c r="CR87" s="1" t="s">
        <v>107</v>
      </c>
      <c r="CS87" s="1">
        <v>267</v>
      </c>
      <c r="CT87" s="22">
        <v>39.880000000000003</v>
      </c>
      <c r="CU87" s="22">
        <v>0</v>
      </c>
      <c r="CV87" s="22">
        <v>3.2000000000000001E-2</v>
      </c>
      <c r="CW87" s="22">
        <v>1.2999999999999999E-2</v>
      </c>
      <c r="CX87" s="22">
        <v>17.43</v>
      </c>
      <c r="CY87" s="22">
        <v>0.311</v>
      </c>
      <c r="CZ87" s="22">
        <v>42.26</v>
      </c>
      <c r="DA87" s="22">
        <v>0.21</v>
      </c>
      <c r="DR87" s="22">
        <f>(CX87/71.85)/(CZ87/40.3)</f>
        <v>0.23133756929713367</v>
      </c>
      <c r="DS87" s="22">
        <f>(AE87/71.85)/(AG87/40.3)</f>
        <v>1.1400962890375357</v>
      </c>
      <c r="DT87" s="22">
        <f>(L87/71.85)/(N87/40.3)</f>
        <v>0.87614162386690497</v>
      </c>
      <c r="DU87" s="22">
        <f t="shared" ref="DU87:DU89" si="20">DR87/DS87</f>
        <v>0.20291055371509703</v>
      </c>
      <c r="DV87" s="22">
        <f t="shared" ref="DV87:DV89" si="21">DR87/DT87</f>
        <v>0.26404129537426962</v>
      </c>
    </row>
    <row r="88" spans="2:127" x14ac:dyDescent="0.25">
      <c r="B88" s="4" t="s">
        <v>311</v>
      </c>
      <c r="C88" s="5" t="s">
        <v>93</v>
      </c>
      <c r="D88" s="1">
        <v>1115.0999999999999</v>
      </c>
      <c r="E88" s="98" t="s">
        <v>101</v>
      </c>
      <c r="F88" s="1" t="s">
        <v>107</v>
      </c>
      <c r="G88" s="1">
        <v>273.10000000000002</v>
      </c>
      <c r="H88" s="22">
        <v>46.354999999999997</v>
      </c>
      <c r="I88" s="22">
        <v>1.0680000000000001</v>
      </c>
      <c r="J88" s="22">
        <v>18.649999999999999</v>
      </c>
      <c r="K88" s="22">
        <v>0</v>
      </c>
      <c r="L88" s="22">
        <v>10.114000000000001</v>
      </c>
      <c r="M88" s="22">
        <v>0.10199999999999999</v>
      </c>
      <c r="N88" s="22">
        <v>6.4429999999999996</v>
      </c>
      <c r="O88" s="22">
        <v>11.624000000000001</v>
      </c>
      <c r="P88" s="22">
        <v>3.1669999999999998</v>
      </c>
      <c r="Q88" s="22">
        <v>0.28699999999999998</v>
      </c>
      <c r="R88" s="1">
        <v>0.16600000000000001</v>
      </c>
      <c r="S88" s="1" t="s">
        <v>310</v>
      </c>
      <c r="T88" s="96">
        <v>0.83299999999999996</v>
      </c>
      <c r="V88" s="5" t="s">
        <v>93</v>
      </c>
      <c r="W88" s="1">
        <v>1115</v>
      </c>
      <c r="X88" s="98" t="s">
        <v>101</v>
      </c>
      <c r="Y88" s="1" t="s">
        <v>107</v>
      </c>
      <c r="Z88" s="1">
        <v>273</v>
      </c>
      <c r="AA88" s="22">
        <v>50.3</v>
      </c>
      <c r="AB88" s="22">
        <v>1.329</v>
      </c>
      <c r="AC88" s="22">
        <v>23.2</v>
      </c>
      <c r="AD88" s="22">
        <v>0</v>
      </c>
      <c r="AE88" s="22">
        <v>4.8</v>
      </c>
      <c r="AF88" s="22">
        <v>0.127</v>
      </c>
      <c r="AG88" s="22">
        <v>2.5</v>
      </c>
      <c r="AH88" s="22">
        <v>14.46</v>
      </c>
      <c r="AI88" s="22">
        <v>3.94</v>
      </c>
      <c r="AJ88" s="22">
        <v>0.35699999999999998</v>
      </c>
      <c r="AK88" s="22">
        <v>0.20699999999999999</v>
      </c>
      <c r="AL88" s="22">
        <v>0.03</v>
      </c>
      <c r="AM88" s="22">
        <v>9.6000000000000002E-2</v>
      </c>
      <c r="AO88" s="22">
        <v>101.34599999999998</v>
      </c>
      <c r="AP88" s="3">
        <v>101.88023999999999</v>
      </c>
      <c r="AR88" s="4" t="s">
        <v>311</v>
      </c>
      <c r="AS88" s="1" t="s">
        <v>266</v>
      </c>
      <c r="AT88" s="1" t="s">
        <v>266</v>
      </c>
      <c r="AU88" s="16" t="s">
        <v>80</v>
      </c>
      <c r="AV88" s="13" t="s">
        <v>80</v>
      </c>
      <c r="AW88" s="13" t="s">
        <v>80</v>
      </c>
      <c r="AX88" s="13" t="s">
        <v>80</v>
      </c>
      <c r="AY88" s="13" t="s">
        <v>80</v>
      </c>
      <c r="AZ88" s="13" t="s">
        <v>80</v>
      </c>
      <c r="BA88" s="16" t="s">
        <v>80</v>
      </c>
      <c r="BB88" s="16" t="s">
        <v>80</v>
      </c>
      <c r="BC88" s="13" t="s">
        <v>80</v>
      </c>
      <c r="BD88" s="104" t="s">
        <v>80</v>
      </c>
      <c r="BE88" s="16" t="s">
        <v>80</v>
      </c>
      <c r="BF88" s="13" t="s">
        <v>80</v>
      </c>
      <c r="BG88" s="16" t="s">
        <v>80</v>
      </c>
      <c r="BH88" s="16" t="s">
        <v>80</v>
      </c>
      <c r="BI88" s="16" t="s">
        <v>80</v>
      </c>
      <c r="BJ88" s="16" t="s">
        <v>80</v>
      </c>
      <c r="BK88" s="16" t="s">
        <v>80</v>
      </c>
      <c r="BL88" s="16" t="s">
        <v>80</v>
      </c>
      <c r="BM88" s="16" t="s">
        <v>80</v>
      </c>
      <c r="BN88" s="16" t="s">
        <v>80</v>
      </c>
      <c r="BO88" s="16" t="s">
        <v>80</v>
      </c>
      <c r="BP88" s="16" t="s">
        <v>80</v>
      </c>
      <c r="BQ88" s="16" t="s">
        <v>80</v>
      </c>
      <c r="BR88" s="16" t="s">
        <v>80</v>
      </c>
      <c r="BS88" s="16"/>
      <c r="BT88" s="16" t="s">
        <v>80</v>
      </c>
      <c r="BU88" s="16" t="s">
        <v>80</v>
      </c>
      <c r="BV88" s="16" t="s">
        <v>80</v>
      </c>
      <c r="BW88" s="16" t="s">
        <v>80</v>
      </c>
      <c r="BX88" s="16" t="s">
        <v>80</v>
      </c>
      <c r="BY88" s="16" t="s">
        <v>80</v>
      </c>
      <c r="BZ88" s="16" t="s">
        <v>80</v>
      </c>
      <c r="CA88" s="16" t="s">
        <v>80</v>
      </c>
      <c r="CB88" s="16" t="s">
        <v>80</v>
      </c>
      <c r="CC88" s="16" t="s">
        <v>80</v>
      </c>
      <c r="CD88" s="16" t="s">
        <v>80</v>
      </c>
      <c r="CE88" s="16" t="s">
        <v>80</v>
      </c>
      <c r="CF88" s="16" t="s">
        <v>80</v>
      </c>
      <c r="CG88" s="16" t="s">
        <v>80</v>
      </c>
      <c r="CH88" s="16" t="s">
        <v>80</v>
      </c>
      <c r="CI88" s="16" t="s">
        <v>80</v>
      </c>
      <c r="CJ88" s="16" t="s">
        <v>80</v>
      </c>
      <c r="CK88" s="16" t="s">
        <v>80</v>
      </c>
      <c r="CL88" s="16" t="s">
        <v>80</v>
      </c>
      <c r="CM88" s="16" t="s">
        <v>80</v>
      </c>
      <c r="CP88" s="1">
        <v>1109</v>
      </c>
      <c r="CQ88" s="1" t="s">
        <v>101</v>
      </c>
      <c r="CR88" s="1" t="s">
        <v>107</v>
      </c>
      <c r="CS88" s="1">
        <v>267</v>
      </c>
      <c r="CT88" s="22">
        <v>39.880000000000003</v>
      </c>
      <c r="CU88" s="22">
        <v>0</v>
      </c>
      <c r="CV88" s="22">
        <v>3.2000000000000001E-2</v>
      </c>
      <c r="CW88" s="22">
        <v>1.2999999999999999E-2</v>
      </c>
      <c r="CX88" s="22">
        <v>17.43</v>
      </c>
      <c r="CY88" s="22">
        <v>0.311</v>
      </c>
      <c r="CZ88" s="22">
        <v>42.26</v>
      </c>
      <c r="DA88" s="22">
        <v>0.21</v>
      </c>
      <c r="DR88" s="22">
        <f>(CX88/71.85)/(CZ88/40.3)</f>
        <v>0.23133756929713367</v>
      </c>
      <c r="DS88" s="22">
        <f>(AE88/71.85)/(AG88/40.3)</f>
        <v>1.0769102296450941</v>
      </c>
      <c r="DT88" s="22">
        <f>(L88/71.85)/(N88/40.3)</f>
        <v>0.88046701706555575</v>
      </c>
      <c r="DU88" s="22">
        <f t="shared" si="20"/>
        <v>0.21481601987695217</v>
      </c>
      <c r="DV88" s="22">
        <f t="shared" si="21"/>
        <v>0.26274416282865631</v>
      </c>
    </row>
    <row r="89" spans="2:127" x14ac:dyDescent="0.25">
      <c r="B89" s="4" t="s">
        <v>311</v>
      </c>
      <c r="C89" s="5" t="s">
        <v>93</v>
      </c>
      <c r="D89" s="1">
        <v>1116.0999999999999</v>
      </c>
      <c r="E89" s="98" t="s">
        <v>101</v>
      </c>
      <c r="F89" s="1" t="s">
        <v>107</v>
      </c>
      <c r="G89" s="1">
        <v>274.10000000000002</v>
      </c>
      <c r="H89" s="22">
        <v>46.064</v>
      </c>
      <c r="I89" s="22">
        <v>0.84699999999999998</v>
      </c>
      <c r="J89" s="22">
        <v>18.390999999999998</v>
      </c>
      <c r="K89" s="22">
        <v>0</v>
      </c>
      <c r="L89" s="22">
        <v>10.003</v>
      </c>
      <c r="M89" s="22">
        <v>7.9000000000000001E-2</v>
      </c>
      <c r="N89" s="22">
        <v>6.16</v>
      </c>
      <c r="O89" s="22">
        <v>12.141</v>
      </c>
      <c r="P89" s="22">
        <v>3.7650000000000001</v>
      </c>
      <c r="Q89" s="22">
        <v>0.26700000000000002</v>
      </c>
      <c r="R89" s="1">
        <v>0.17499999999999999</v>
      </c>
      <c r="S89" s="1" t="s">
        <v>310</v>
      </c>
      <c r="T89" s="96">
        <v>0.83699999999999997</v>
      </c>
      <c r="V89" s="5" t="s">
        <v>93</v>
      </c>
      <c r="W89" s="1">
        <v>1116</v>
      </c>
      <c r="X89" s="98" t="s">
        <v>101</v>
      </c>
      <c r="Y89" s="1" t="s">
        <v>107</v>
      </c>
      <c r="Z89" s="1">
        <v>274</v>
      </c>
      <c r="AA89" s="22">
        <v>48.2</v>
      </c>
      <c r="AB89" s="22">
        <v>1.012</v>
      </c>
      <c r="AC89" s="22">
        <v>21.98</v>
      </c>
      <c r="AD89" s="22">
        <v>0</v>
      </c>
      <c r="AE89" s="22">
        <v>4.5</v>
      </c>
      <c r="AF89" s="22">
        <v>9.4E-2</v>
      </c>
      <c r="AG89" s="22">
        <v>2.35</v>
      </c>
      <c r="AH89" s="22">
        <v>14.51</v>
      </c>
      <c r="AI89" s="22">
        <v>4.5</v>
      </c>
      <c r="AJ89" s="22">
        <v>0.31900000000000001</v>
      </c>
      <c r="AK89" s="22">
        <v>0.20899999999999999</v>
      </c>
      <c r="AL89" s="22">
        <v>4.1000000000000002E-2</v>
      </c>
      <c r="AM89" s="22">
        <v>0.10199999999999999</v>
      </c>
      <c r="AO89" s="22">
        <v>97.817000000000007</v>
      </c>
      <c r="AP89" s="3">
        <v>98.317850000000007</v>
      </c>
      <c r="AR89" s="4" t="s">
        <v>311</v>
      </c>
      <c r="AS89" s="1" t="s">
        <v>266</v>
      </c>
      <c r="AT89" s="1" t="s">
        <v>266</v>
      </c>
      <c r="AU89" s="16" t="s">
        <v>80</v>
      </c>
      <c r="AV89" s="13" t="s">
        <v>80</v>
      </c>
      <c r="AW89" s="13" t="s">
        <v>80</v>
      </c>
      <c r="AX89" s="13" t="s">
        <v>80</v>
      </c>
      <c r="AY89" s="13" t="s">
        <v>80</v>
      </c>
      <c r="AZ89" s="13" t="s">
        <v>80</v>
      </c>
      <c r="BA89" s="16" t="s">
        <v>80</v>
      </c>
      <c r="BB89" s="16" t="s">
        <v>80</v>
      </c>
      <c r="BC89" s="13" t="s">
        <v>80</v>
      </c>
      <c r="BD89" s="104" t="s">
        <v>80</v>
      </c>
      <c r="BE89" s="16" t="s">
        <v>80</v>
      </c>
      <c r="BF89" s="13" t="s">
        <v>80</v>
      </c>
      <c r="BG89" s="16" t="s">
        <v>80</v>
      </c>
      <c r="BH89" s="16" t="s">
        <v>80</v>
      </c>
      <c r="BI89" s="16" t="s">
        <v>80</v>
      </c>
      <c r="BJ89" s="16" t="s">
        <v>80</v>
      </c>
      <c r="BK89" s="16" t="s">
        <v>80</v>
      </c>
      <c r="BL89" s="16" t="s">
        <v>80</v>
      </c>
      <c r="BM89" s="16" t="s">
        <v>80</v>
      </c>
      <c r="BN89" s="16" t="s">
        <v>80</v>
      </c>
      <c r="BO89" s="16" t="s">
        <v>80</v>
      </c>
      <c r="BP89" s="16" t="s">
        <v>80</v>
      </c>
      <c r="BQ89" s="16" t="s">
        <v>80</v>
      </c>
      <c r="BR89" s="16" t="s">
        <v>80</v>
      </c>
      <c r="BS89" s="16"/>
      <c r="BT89" s="16" t="s">
        <v>80</v>
      </c>
      <c r="BU89" s="16" t="s">
        <v>80</v>
      </c>
      <c r="BV89" s="16" t="s">
        <v>80</v>
      </c>
      <c r="BW89" s="16" t="s">
        <v>80</v>
      </c>
      <c r="BX89" s="16" t="s">
        <v>80</v>
      </c>
      <c r="BY89" s="16" t="s">
        <v>80</v>
      </c>
      <c r="BZ89" s="16" t="s">
        <v>80</v>
      </c>
      <c r="CA89" s="16" t="s">
        <v>80</v>
      </c>
      <c r="CB89" s="16" t="s">
        <v>80</v>
      </c>
      <c r="CC89" s="16" t="s">
        <v>80</v>
      </c>
      <c r="CD89" s="16" t="s">
        <v>80</v>
      </c>
      <c r="CE89" s="16" t="s">
        <v>80</v>
      </c>
      <c r="CF89" s="16" t="s">
        <v>80</v>
      </c>
      <c r="CG89" s="16" t="s">
        <v>80</v>
      </c>
      <c r="CH89" s="16" t="s">
        <v>80</v>
      </c>
      <c r="CI89" s="16" t="s">
        <v>80</v>
      </c>
      <c r="CJ89" s="16" t="s">
        <v>80</v>
      </c>
      <c r="CK89" s="16" t="s">
        <v>80</v>
      </c>
      <c r="CL89" s="16" t="s">
        <v>80</v>
      </c>
      <c r="CM89" s="16" t="s">
        <v>80</v>
      </c>
      <c r="CP89" s="1">
        <v>1124</v>
      </c>
      <c r="CQ89" s="1" t="s">
        <v>101</v>
      </c>
      <c r="CR89" s="1" t="s">
        <v>107</v>
      </c>
      <c r="CS89" s="1">
        <v>282</v>
      </c>
      <c r="CT89" s="22">
        <v>39.24</v>
      </c>
      <c r="CU89" s="22">
        <v>0</v>
      </c>
      <c r="CV89" s="22">
        <v>3.6999999999999998E-2</v>
      </c>
      <c r="CW89" s="22">
        <v>0</v>
      </c>
      <c r="CX89" s="22">
        <v>19.04</v>
      </c>
      <c r="CY89" s="22">
        <v>0.38600000000000001</v>
      </c>
      <c r="CZ89" s="22">
        <v>40.020000000000003</v>
      </c>
      <c r="DA89" s="22">
        <v>0.17199999999999999</v>
      </c>
      <c r="DB89" s="22">
        <v>1.0999999999999999E-2</v>
      </c>
      <c r="DR89" s="22">
        <f>(CX89/71.85)/(CZ89/40.3)</f>
        <v>0.26685056914827204</v>
      </c>
      <c r="DS89" s="22">
        <f>(AE89/71.85)/(AG89/40.3)</f>
        <v>1.07404610669391</v>
      </c>
      <c r="DT89" s="22">
        <f>(L89/71.85)/(N89/40.3)</f>
        <v>0.91081008413993814</v>
      </c>
      <c r="DU89" s="22">
        <f t="shared" si="20"/>
        <v>0.24845355100227665</v>
      </c>
      <c r="DV89" s="22">
        <f t="shared" si="21"/>
        <v>0.29298157079612741</v>
      </c>
    </row>
    <row r="90" spans="2:127" x14ac:dyDescent="0.25">
      <c r="B90" s="4" t="s">
        <v>311</v>
      </c>
      <c r="C90" s="1" t="s">
        <v>256</v>
      </c>
      <c r="D90" s="1">
        <v>1228.0999999999999</v>
      </c>
      <c r="E90" s="98" t="s">
        <v>99</v>
      </c>
      <c r="F90" s="1" t="s">
        <v>105</v>
      </c>
      <c r="G90" s="1">
        <v>61.1</v>
      </c>
      <c r="H90" s="22">
        <f t="shared" ref="H90:R91" si="22">(AA90+($DW90/100)*CT90)*((100-$DW90)/100)</f>
        <v>79.58</v>
      </c>
      <c r="I90" s="22">
        <f t="shared" si="22"/>
        <v>9.7000000000000003E-2</v>
      </c>
      <c r="J90" s="22">
        <f t="shared" si="22"/>
        <v>9.57</v>
      </c>
      <c r="K90" s="22">
        <f t="shared" si="22"/>
        <v>0</v>
      </c>
      <c r="L90" s="22">
        <f t="shared" si="22"/>
        <v>0.44542427787276162</v>
      </c>
      <c r="M90" s="22">
        <f t="shared" si="22"/>
        <v>3.9E-2</v>
      </c>
      <c r="N90" s="22">
        <f t="shared" si="22"/>
        <v>0.53900000000000003</v>
      </c>
      <c r="O90" s="22">
        <f t="shared" si="22"/>
        <v>1.73</v>
      </c>
      <c r="P90" s="22">
        <f t="shared" si="22"/>
        <v>2.27</v>
      </c>
      <c r="Q90" s="22">
        <f t="shared" si="22"/>
        <v>4.6399999999999997</v>
      </c>
      <c r="R90" s="22">
        <f t="shared" si="22"/>
        <v>3.3000000000000002E-2</v>
      </c>
      <c r="S90" s="1" t="s">
        <v>312</v>
      </c>
      <c r="T90" s="96">
        <f>DW90</f>
        <v>0</v>
      </c>
      <c r="V90" s="1" t="s">
        <v>256</v>
      </c>
      <c r="W90" s="1">
        <v>1228</v>
      </c>
      <c r="X90" s="98" t="s">
        <v>99</v>
      </c>
      <c r="Y90" s="1" t="s">
        <v>105</v>
      </c>
      <c r="Z90" s="1">
        <v>61</v>
      </c>
      <c r="AA90" s="22">
        <v>79.58</v>
      </c>
      <c r="AB90" s="22">
        <v>9.7000000000000003E-2</v>
      </c>
      <c r="AC90" s="22">
        <v>9.57</v>
      </c>
      <c r="AD90" s="22">
        <v>0</v>
      </c>
      <c r="AE90" s="22">
        <v>0.44542427787276162</v>
      </c>
      <c r="AF90" s="22">
        <v>3.9E-2</v>
      </c>
      <c r="AG90" s="22">
        <v>0.53900000000000003</v>
      </c>
      <c r="AH90" s="22">
        <v>1.73</v>
      </c>
      <c r="AI90" s="22">
        <v>2.27</v>
      </c>
      <c r="AJ90" s="22">
        <v>4.6399999999999997</v>
      </c>
      <c r="AK90" s="22">
        <v>3.3000000000000002E-2</v>
      </c>
      <c r="AL90" s="22">
        <v>0</v>
      </c>
      <c r="AM90" s="22">
        <v>0.25</v>
      </c>
      <c r="AO90" s="1">
        <v>99.193424277872751</v>
      </c>
      <c r="AP90" s="1">
        <v>99.242999999999995</v>
      </c>
      <c r="AQ90" s="1"/>
      <c r="AR90" s="4" t="s">
        <v>311</v>
      </c>
      <c r="AS90" s="1" t="s">
        <v>260</v>
      </c>
      <c r="AT90" s="1" t="s">
        <v>260</v>
      </c>
      <c r="AU90" s="16" t="s">
        <v>80</v>
      </c>
      <c r="AV90" s="13" t="s">
        <v>80</v>
      </c>
      <c r="AW90" s="13" t="s">
        <v>80</v>
      </c>
      <c r="AX90" s="13" t="s">
        <v>80</v>
      </c>
      <c r="AY90" s="13" t="s">
        <v>80</v>
      </c>
      <c r="AZ90" s="13" t="s">
        <v>80</v>
      </c>
      <c r="BA90" s="16" t="s">
        <v>80</v>
      </c>
      <c r="BB90" s="16" t="s">
        <v>80</v>
      </c>
      <c r="BC90" s="13" t="s">
        <v>80</v>
      </c>
      <c r="BD90" s="104" t="s">
        <v>80</v>
      </c>
      <c r="BE90" s="16" t="s">
        <v>80</v>
      </c>
      <c r="BF90" s="13" t="s">
        <v>80</v>
      </c>
      <c r="BG90" s="16" t="s">
        <v>80</v>
      </c>
      <c r="BH90" s="16" t="s">
        <v>80</v>
      </c>
      <c r="BI90" s="16" t="s">
        <v>80</v>
      </c>
      <c r="BJ90" s="16" t="s">
        <v>80</v>
      </c>
      <c r="BK90" s="16" t="s">
        <v>80</v>
      </c>
      <c r="BL90" s="16" t="s">
        <v>80</v>
      </c>
      <c r="BM90" s="16" t="s">
        <v>80</v>
      </c>
      <c r="BN90" s="16" t="s">
        <v>80</v>
      </c>
      <c r="BO90" s="16" t="s">
        <v>80</v>
      </c>
      <c r="BP90" s="16" t="s">
        <v>80</v>
      </c>
      <c r="BQ90" s="16" t="s">
        <v>80</v>
      </c>
      <c r="BR90" s="16" t="s">
        <v>80</v>
      </c>
      <c r="BS90" s="16"/>
      <c r="BT90" s="16" t="s">
        <v>80</v>
      </c>
      <c r="BU90" s="16" t="s">
        <v>80</v>
      </c>
      <c r="BV90" s="16" t="s">
        <v>80</v>
      </c>
      <c r="BW90" s="16" t="s">
        <v>80</v>
      </c>
      <c r="BX90" s="16" t="s">
        <v>80</v>
      </c>
      <c r="BY90" s="16" t="s">
        <v>80</v>
      </c>
      <c r="BZ90" s="16" t="s">
        <v>80</v>
      </c>
      <c r="CA90" s="16" t="s">
        <v>80</v>
      </c>
      <c r="CB90" s="16" t="s">
        <v>80</v>
      </c>
      <c r="CC90" s="16" t="s">
        <v>80</v>
      </c>
      <c r="CD90" s="16" t="s">
        <v>80</v>
      </c>
      <c r="CE90" s="16" t="s">
        <v>80</v>
      </c>
      <c r="CF90" s="16" t="s">
        <v>80</v>
      </c>
      <c r="CG90" s="16" t="s">
        <v>80</v>
      </c>
      <c r="CH90" s="16" t="s">
        <v>80</v>
      </c>
      <c r="CI90" s="16" t="s">
        <v>80</v>
      </c>
      <c r="CJ90" s="16" t="s">
        <v>80</v>
      </c>
      <c r="CK90" s="16" t="s">
        <v>80</v>
      </c>
      <c r="CL90" s="16" t="s">
        <v>80</v>
      </c>
      <c r="CM90" s="16" t="s">
        <v>80</v>
      </c>
      <c r="CP90" s="1">
        <v>1205</v>
      </c>
      <c r="CQ90" s="1" t="s">
        <v>99</v>
      </c>
      <c r="CR90" s="1" t="s">
        <v>104</v>
      </c>
      <c r="CS90" s="1">
        <v>38</v>
      </c>
      <c r="CT90" s="22">
        <v>50.83</v>
      </c>
      <c r="CU90" s="22">
        <v>0.53600000000000003</v>
      </c>
      <c r="CV90" s="22">
        <v>1.353</v>
      </c>
      <c r="CW90" s="22">
        <v>0.01</v>
      </c>
      <c r="CX90" s="22">
        <v>10.5</v>
      </c>
      <c r="CY90" s="22">
        <v>0.33</v>
      </c>
      <c r="CZ90" s="22">
        <v>12.24</v>
      </c>
      <c r="DA90" s="22">
        <v>22.47</v>
      </c>
      <c r="DB90" s="22">
        <v>0.53400000000000003</v>
      </c>
      <c r="DC90" s="22">
        <v>0.01</v>
      </c>
      <c r="DN90" s="22" t="e">
        <f>INDEX(#REF!, MATCH('S8 Glass'!CP90,#REF!,0))</f>
        <v>#REF!</v>
      </c>
      <c r="DO90" s="22" t="e">
        <f>INDEX(#REF!, MATCH('S8 Glass'!CP90,#REF!,0))</f>
        <v>#REF!</v>
      </c>
      <c r="DP90" s="22" t="e">
        <f>INDEX(#REF!, MATCH('S8 Glass'!CP90,#REF!,0))</f>
        <v>#REF!</v>
      </c>
      <c r="DQ90" s="22" t="e">
        <f>INDEX(#REF!, MATCH('S8 Glass'!CP90,#REF!,0))</f>
        <v>#REF!</v>
      </c>
      <c r="DR90" s="22">
        <f>(CX90/71.85)/(CZ90/40.3)</f>
        <v>0.48115627601075228</v>
      </c>
      <c r="DS90" s="22">
        <f>(AE90/71.85)/(AG90/40.3)</f>
        <v>0.46351457306495036</v>
      </c>
      <c r="DT90" s="22">
        <f>(L90/71.85)/(N90/40.3)</f>
        <v>0.46351457306495036</v>
      </c>
      <c r="DU90" s="22">
        <f t="shared" ref="DU90:DU91" si="23">DR90/DS90</f>
        <v>1.0380607298474946</v>
      </c>
      <c r="DV90" s="22">
        <f t="shared" ref="DV90:DV91" si="24">DR90/DT90</f>
        <v>1.0380607298474946</v>
      </c>
      <c r="DW90" s="14">
        <v>0</v>
      </c>
    </row>
    <row r="91" spans="2:127" x14ac:dyDescent="0.25">
      <c r="B91" s="4" t="s">
        <v>311</v>
      </c>
      <c r="C91" s="1" t="s">
        <v>256</v>
      </c>
      <c r="D91" s="1">
        <v>1229.0999999999999</v>
      </c>
      <c r="E91" s="98" t="s">
        <v>99</v>
      </c>
      <c r="F91" s="1" t="s">
        <v>105</v>
      </c>
      <c r="G91" s="1">
        <v>62.1</v>
      </c>
      <c r="H91" s="22">
        <f t="shared" si="22"/>
        <v>69.254102529999997</v>
      </c>
      <c r="I91" s="22">
        <f t="shared" si="22"/>
        <v>0.29870917599999997</v>
      </c>
      <c r="J91" s="22">
        <f t="shared" si="22"/>
        <v>16.454546823000001</v>
      </c>
      <c r="K91" s="22">
        <f t="shared" si="22"/>
        <v>2.991E-5</v>
      </c>
      <c r="L91" s="22">
        <f t="shared" si="22"/>
        <v>0.43691616318725823</v>
      </c>
      <c r="M91" s="22">
        <f t="shared" si="22"/>
        <v>9.8703000000000007E-4</v>
      </c>
      <c r="N91" s="22">
        <f t="shared" si="22"/>
        <v>0.11636984</v>
      </c>
      <c r="O91" s="22">
        <f t="shared" si="22"/>
        <v>2.3503377700000003</v>
      </c>
      <c r="P91" s="22">
        <f t="shared" si="22"/>
        <v>4.268757194</v>
      </c>
      <c r="Q91" s="22">
        <f t="shared" si="22"/>
        <v>5.1644899099999995</v>
      </c>
      <c r="R91" s="22">
        <f t="shared" si="22"/>
        <v>2.1933999999999999E-2</v>
      </c>
      <c r="S91" s="1" t="s">
        <v>312</v>
      </c>
      <c r="T91" s="96">
        <f>DW91</f>
        <v>0.3</v>
      </c>
      <c r="V91" s="1" t="s">
        <v>256</v>
      </c>
      <c r="W91" s="1">
        <v>1229</v>
      </c>
      <c r="X91" s="98" t="s">
        <v>99</v>
      </c>
      <c r="Y91" s="1" t="s">
        <v>105</v>
      </c>
      <c r="Z91" s="1">
        <v>62</v>
      </c>
      <c r="AA91" s="22">
        <v>69.31</v>
      </c>
      <c r="AB91" s="22">
        <v>0.29799999999999999</v>
      </c>
      <c r="AC91" s="22">
        <v>16.5</v>
      </c>
      <c r="AD91" s="22">
        <v>0</v>
      </c>
      <c r="AE91" s="22">
        <v>0.40673085575452178</v>
      </c>
      <c r="AF91" s="22">
        <v>0</v>
      </c>
      <c r="AG91" s="22">
        <v>0.08</v>
      </c>
      <c r="AH91" s="22">
        <v>2.29</v>
      </c>
      <c r="AI91" s="22">
        <v>4.28</v>
      </c>
      <c r="AJ91" s="22">
        <v>5.18</v>
      </c>
      <c r="AK91" s="22">
        <v>2.1999999999999999E-2</v>
      </c>
      <c r="AL91" s="22">
        <v>0</v>
      </c>
      <c r="AM91" s="22">
        <v>0.60499999999999998</v>
      </c>
      <c r="AO91" s="1">
        <v>98.971730855754544</v>
      </c>
      <c r="AP91" s="1">
        <v>99.016999999999996</v>
      </c>
      <c r="AQ91" s="1"/>
      <c r="AR91" s="4" t="s">
        <v>311</v>
      </c>
      <c r="AS91" s="1" t="s">
        <v>260</v>
      </c>
      <c r="AT91" s="1" t="s">
        <v>260</v>
      </c>
      <c r="AU91" s="16" t="s">
        <v>80</v>
      </c>
      <c r="AV91" s="13" t="s">
        <v>80</v>
      </c>
      <c r="AW91" s="13" t="s">
        <v>80</v>
      </c>
      <c r="AX91" s="13" t="s">
        <v>80</v>
      </c>
      <c r="AY91" s="13" t="s">
        <v>80</v>
      </c>
      <c r="AZ91" s="13" t="s">
        <v>80</v>
      </c>
      <c r="BA91" s="16" t="s">
        <v>80</v>
      </c>
      <c r="BB91" s="16" t="s">
        <v>80</v>
      </c>
      <c r="BC91" s="13" t="s">
        <v>80</v>
      </c>
      <c r="BD91" s="104" t="s">
        <v>80</v>
      </c>
      <c r="BE91" s="16" t="s">
        <v>80</v>
      </c>
      <c r="BF91" s="13" t="s">
        <v>80</v>
      </c>
      <c r="BG91" s="16" t="s">
        <v>80</v>
      </c>
      <c r="BH91" s="16" t="s">
        <v>80</v>
      </c>
      <c r="BI91" s="16" t="s">
        <v>80</v>
      </c>
      <c r="BJ91" s="16" t="s">
        <v>80</v>
      </c>
      <c r="BK91" s="16" t="s">
        <v>80</v>
      </c>
      <c r="BL91" s="16" t="s">
        <v>80</v>
      </c>
      <c r="BM91" s="16" t="s">
        <v>80</v>
      </c>
      <c r="BN91" s="16" t="s">
        <v>80</v>
      </c>
      <c r="BO91" s="16" t="s">
        <v>80</v>
      </c>
      <c r="BP91" s="16" t="s">
        <v>80</v>
      </c>
      <c r="BQ91" s="16" t="s">
        <v>80</v>
      </c>
      <c r="BR91" s="16" t="s">
        <v>80</v>
      </c>
      <c r="BS91" s="16"/>
      <c r="BT91" s="16" t="s">
        <v>80</v>
      </c>
      <c r="BU91" s="16" t="s">
        <v>80</v>
      </c>
      <c r="BV91" s="16" t="s">
        <v>80</v>
      </c>
      <c r="BW91" s="16" t="s">
        <v>80</v>
      </c>
      <c r="BX91" s="16" t="s">
        <v>80</v>
      </c>
      <c r="BY91" s="16" t="s">
        <v>80</v>
      </c>
      <c r="BZ91" s="16" t="s">
        <v>80</v>
      </c>
      <c r="CA91" s="16" t="s">
        <v>80</v>
      </c>
      <c r="CB91" s="16" t="s">
        <v>80</v>
      </c>
      <c r="CC91" s="16" t="s">
        <v>80</v>
      </c>
      <c r="CD91" s="16" t="s">
        <v>80</v>
      </c>
      <c r="CE91" s="16" t="s">
        <v>80</v>
      </c>
      <c r="CF91" s="16" t="s">
        <v>80</v>
      </c>
      <c r="CG91" s="16" t="s">
        <v>80</v>
      </c>
      <c r="CH91" s="16" t="s">
        <v>80</v>
      </c>
      <c r="CI91" s="16" t="s">
        <v>80</v>
      </c>
      <c r="CJ91" s="16" t="s">
        <v>80</v>
      </c>
      <c r="CK91" s="16" t="s">
        <v>80</v>
      </c>
      <c r="CL91" s="16" t="s">
        <v>80</v>
      </c>
      <c r="CM91" s="16" t="s">
        <v>80</v>
      </c>
      <c r="CP91" s="1">
        <v>1205</v>
      </c>
      <c r="CQ91" s="1" t="s">
        <v>99</v>
      </c>
      <c r="CR91" s="1" t="s">
        <v>104</v>
      </c>
      <c r="CS91" s="1">
        <v>38</v>
      </c>
      <c r="CT91" s="22">
        <v>50.83</v>
      </c>
      <c r="CU91" s="22">
        <v>0.53600000000000003</v>
      </c>
      <c r="CV91" s="22">
        <v>1.353</v>
      </c>
      <c r="CW91" s="22">
        <v>0.01</v>
      </c>
      <c r="CX91" s="22">
        <v>10.5</v>
      </c>
      <c r="CY91" s="22">
        <v>0.33</v>
      </c>
      <c r="CZ91" s="22">
        <v>12.24</v>
      </c>
      <c r="DA91" s="22">
        <v>22.47</v>
      </c>
      <c r="DB91" s="22">
        <v>0.53400000000000003</v>
      </c>
      <c r="DC91" s="22">
        <v>0.01</v>
      </c>
      <c r="DN91" s="22" t="e">
        <f>INDEX(#REF!, MATCH('S8 Glass'!CP91,#REF!,0))</f>
        <v>#REF!</v>
      </c>
      <c r="DO91" s="22" t="e">
        <f>INDEX(#REF!, MATCH('S8 Glass'!CP91,#REF!,0))</f>
        <v>#REF!</v>
      </c>
      <c r="DP91" s="22" t="e">
        <f>INDEX(#REF!, MATCH('S8 Glass'!CP91,#REF!,0))</f>
        <v>#REF!</v>
      </c>
      <c r="DQ91" s="22" t="e">
        <f>INDEX(#REF!, MATCH('S8 Glass'!CP91,#REF!,0))</f>
        <v>#REF!</v>
      </c>
      <c r="DR91" s="22">
        <f>(CX91/71.85)/(CZ91/40.3)</f>
        <v>0.48115627601075228</v>
      </c>
      <c r="DS91" s="22">
        <f>(AE91/71.85)/(AG91/40.3)</f>
        <v>2.8516446567340346</v>
      </c>
      <c r="DT91" s="22">
        <f>(L91/71.85)/(N91/40.3)</f>
        <v>2.1058912867875046</v>
      </c>
      <c r="DU91" s="22">
        <f t="shared" si="23"/>
        <v>0.16872939441263227</v>
      </c>
      <c r="DV91" s="22">
        <f t="shared" si="24"/>
        <v>0.22848106121600734</v>
      </c>
      <c r="DW91" s="14">
        <v>0.3</v>
      </c>
    </row>
    <row r="92" spans="2:127" x14ac:dyDescent="0.25">
      <c r="B92" s="4" t="s">
        <v>327</v>
      </c>
      <c r="V92" s="1" t="s">
        <v>85</v>
      </c>
      <c r="W92" s="1">
        <v>1377.8</v>
      </c>
      <c r="X92" s="98" t="s">
        <v>98</v>
      </c>
      <c r="Y92" s="1" t="s">
        <v>105</v>
      </c>
      <c r="Z92" s="1">
        <v>384.8</v>
      </c>
      <c r="AA92" s="22">
        <v>76.98</v>
      </c>
      <c r="AB92" s="22">
        <v>0.15690805152000992</v>
      </c>
      <c r="AC92" s="22">
        <v>12.17</v>
      </c>
      <c r="AE92" s="22">
        <v>0.35299999999999998</v>
      </c>
      <c r="AF92" s="22">
        <v>0.04</v>
      </c>
      <c r="AG92" s="22">
        <v>0.26003752786544465</v>
      </c>
      <c r="AH92" s="22">
        <v>0.22800000000000001</v>
      </c>
      <c r="AI92" s="22">
        <v>4.7</v>
      </c>
      <c r="AJ92" s="22">
        <v>4.5</v>
      </c>
      <c r="AK92" s="22">
        <v>0.05</v>
      </c>
      <c r="AO92" s="22">
        <v>99.322828280883769</v>
      </c>
      <c r="AP92" s="22">
        <v>99.324090208356111</v>
      </c>
      <c r="AR92" s="4" t="s">
        <v>308</v>
      </c>
      <c r="AS92" s="1" t="s">
        <v>325</v>
      </c>
      <c r="AU92" s="16" t="s">
        <v>80</v>
      </c>
      <c r="AV92" s="13" t="s">
        <v>80</v>
      </c>
      <c r="AW92" s="13" t="s">
        <v>80</v>
      </c>
      <c r="AX92" s="13" t="s">
        <v>80</v>
      </c>
      <c r="AY92" s="13" t="s">
        <v>80</v>
      </c>
      <c r="AZ92" s="13" t="s">
        <v>80</v>
      </c>
      <c r="BA92" s="16" t="s">
        <v>80</v>
      </c>
      <c r="BB92" s="16" t="s">
        <v>80</v>
      </c>
      <c r="BC92" s="13" t="s">
        <v>80</v>
      </c>
      <c r="BD92" s="104" t="s">
        <v>80</v>
      </c>
      <c r="BE92" s="16" t="s">
        <v>80</v>
      </c>
      <c r="BF92" s="13" t="s">
        <v>80</v>
      </c>
      <c r="BG92" s="16" t="s">
        <v>80</v>
      </c>
      <c r="BH92" s="16" t="s">
        <v>80</v>
      </c>
      <c r="BI92" s="16" t="s">
        <v>80</v>
      </c>
      <c r="BJ92" s="16" t="s">
        <v>80</v>
      </c>
      <c r="BK92" s="16" t="s">
        <v>80</v>
      </c>
      <c r="BL92" s="16" t="s">
        <v>80</v>
      </c>
      <c r="BM92" s="16" t="s">
        <v>80</v>
      </c>
      <c r="BN92" s="16" t="s">
        <v>80</v>
      </c>
      <c r="BO92" s="16" t="s">
        <v>80</v>
      </c>
      <c r="BP92" s="16" t="s">
        <v>80</v>
      </c>
      <c r="BQ92" s="16" t="s">
        <v>80</v>
      </c>
      <c r="BR92" s="16" t="s">
        <v>80</v>
      </c>
      <c r="BS92" s="16"/>
      <c r="BT92" s="16" t="s">
        <v>80</v>
      </c>
      <c r="BU92" s="16" t="s">
        <v>80</v>
      </c>
      <c r="BV92" s="16" t="s">
        <v>80</v>
      </c>
      <c r="BW92" s="16" t="s">
        <v>80</v>
      </c>
      <c r="BX92" s="16" t="s">
        <v>80</v>
      </c>
      <c r="BY92" s="16" t="s">
        <v>80</v>
      </c>
      <c r="BZ92" s="16" t="s">
        <v>80</v>
      </c>
      <c r="CA92" s="16" t="s">
        <v>80</v>
      </c>
      <c r="CB92" s="16" t="s">
        <v>80</v>
      </c>
      <c r="CC92" s="16" t="s">
        <v>80</v>
      </c>
      <c r="CD92" s="16" t="s">
        <v>80</v>
      </c>
      <c r="CE92" s="16" t="s">
        <v>80</v>
      </c>
      <c r="CF92" s="16" t="s">
        <v>80</v>
      </c>
      <c r="CG92" s="16" t="s">
        <v>80</v>
      </c>
      <c r="CH92" s="16" t="s">
        <v>80</v>
      </c>
      <c r="CI92" s="16" t="s">
        <v>80</v>
      </c>
      <c r="CJ92" s="16" t="s">
        <v>80</v>
      </c>
      <c r="CK92" s="16" t="s">
        <v>80</v>
      </c>
      <c r="CL92" s="16" t="s">
        <v>80</v>
      </c>
      <c r="CM92" s="16" t="s">
        <v>80</v>
      </c>
      <c r="DW92" s="22"/>
    </row>
    <row r="93" spans="2:127" x14ac:dyDescent="0.25">
      <c r="B93" s="4" t="s">
        <v>327</v>
      </c>
      <c r="V93" s="1" t="s">
        <v>85</v>
      </c>
      <c r="W93" s="1">
        <v>1378.8</v>
      </c>
      <c r="X93" s="98" t="s">
        <v>98</v>
      </c>
      <c r="Y93" s="1" t="s">
        <v>105</v>
      </c>
      <c r="Z93" s="1">
        <v>385.8</v>
      </c>
      <c r="AA93" s="22">
        <v>79.430000000000007</v>
      </c>
      <c r="AB93" s="22">
        <v>6.9939532819028372E-2</v>
      </c>
      <c r="AC93" s="22">
        <v>10.91</v>
      </c>
      <c r="AE93" s="22">
        <v>0.193</v>
      </c>
      <c r="AF93" s="22">
        <v>0.02</v>
      </c>
      <c r="AG93" s="22">
        <v>7.7540524473268688E-2</v>
      </c>
      <c r="AH93" s="22">
        <v>0.19600000000000001</v>
      </c>
      <c r="AI93" s="22">
        <v>4.18</v>
      </c>
      <c r="AJ93" s="22">
        <v>4.1500000000000004</v>
      </c>
      <c r="AK93" s="22">
        <v>0</v>
      </c>
      <c r="AO93" s="22">
        <v>99.051163284604911</v>
      </c>
      <c r="AP93" s="22">
        <v>99.052545395646021</v>
      </c>
      <c r="AR93" s="4" t="s">
        <v>308</v>
      </c>
      <c r="AS93" s="1" t="s">
        <v>325</v>
      </c>
      <c r="AU93" s="16" t="s">
        <v>80</v>
      </c>
      <c r="AV93" s="13" t="s">
        <v>80</v>
      </c>
      <c r="AW93" s="13" t="s">
        <v>80</v>
      </c>
      <c r="AX93" s="13" t="s">
        <v>80</v>
      </c>
      <c r="AY93" s="13" t="s">
        <v>80</v>
      </c>
      <c r="AZ93" s="13" t="s">
        <v>80</v>
      </c>
      <c r="BA93" s="16" t="s">
        <v>80</v>
      </c>
      <c r="BB93" s="16" t="s">
        <v>80</v>
      </c>
      <c r="BC93" s="13" t="s">
        <v>80</v>
      </c>
      <c r="BD93" s="104" t="s">
        <v>80</v>
      </c>
      <c r="BE93" s="16" t="s">
        <v>80</v>
      </c>
      <c r="BF93" s="13" t="s">
        <v>80</v>
      </c>
      <c r="BG93" s="16" t="s">
        <v>80</v>
      </c>
      <c r="BH93" s="16" t="s">
        <v>80</v>
      </c>
      <c r="BI93" s="16" t="s">
        <v>80</v>
      </c>
      <c r="BJ93" s="16" t="s">
        <v>80</v>
      </c>
      <c r="BK93" s="16" t="s">
        <v>80</v>
      </c>
      <c r="BL93" s="16" t="s">
        <v>80</v>
      </c>
      <c r="BM93" s="16" t="s">
        <v>80</v>
      </c>
      <c r="BN93" s="16" t="s">
        <v>80</v>
      </c>
      <c r="BO93" s="16" t="s">
        <v>80</v>
      </c>
      <c r="BP93" s="16" t="s">
        <v>80</v>
      </c>
      <c r="BQ93" s="16" t="s">
        <v>80</v>
      </c>
      <c r="BR93" s="16" t="s">
        <v>80</v>
      </c>
      <c r="BS93" s="16"/>
      <c r="BT93" s="16" t="s">
        <v>80</v>
      </c>
      <c r="BU93" s="16" t="s">
        <v>80</v>
      </c>
      <c r="BV93" s="16" t="s">
        <v>80</v>
      </c>
      <c r="BW93" s="16" t="s">
        <v>80</v>
      </c>
      <c r="BX93" s="16" t="s">
        <v>80</v>
      </c>
      <c r="BY93" s="16" t="s">
        <v>80</v>
      </c>
      <c r="BZ93" s="16" t="s">
        <v>80</v>
      </c>
      <c r="CA93" s="16" t="s">
        <v>80</v>
      </c>
      <c r="CB93" s="16" t="s">
        <v>80</v>
      </c>
      <c r="CC93" s="16" t="s">
        <v>80</v>
      </c>
      <c r="CD93" s="16" t="s">
        <v>80</v>
      </c>
      <c r="CE93" s="16" t="s">
        <v>80</v>
      </c>
      <c r="CF93" s="16" t="s">
        <v>80</v>
      </c>
      <c r="CG93" s="16" t="s">
        <v>80</v>
      </c>
      <c r="CH93" s="16" t="s">
        <v>80</v>
      </c>
      <c r="CI93" s="16" t="s">
        <v>80</v>
      </c>
      <c r="CJ93" s="16" t="s">
        <v>80</v>
      </c>
      <c r="CK93" s="16" t="s">
        <v>80</v>
      </c>
      <c r="CL93" s="16" t="s">
        <v>80</v>
      </c>
      <c r="CM93" s="16" t="s">
        <v>80</v>
      </c>
      <c r="DW93" s="22"/>
    </row>
    <row r="94" spans="2:127" x14ac:dyDescent="0.25">
      <c r="B94" s="4" t="s">
        <v>327</v>
      </c>
      <c r="V94" s="1" t="s">
        <v>91</v>
      </c>
      <c r="W94" s="1">
        <v>1480.8</v>
      </c>
      <c r="X94" s="98" t="s">
        <v>96</v>
      </c>
      <c r="Y94" s="1" t="s">
        <v>104</v>
      </c>
      <c r="Z94" s="1">
        <v>487.8</v>
      </c>
      <c r="AA94" s="22">
        <v>77.209999999999994</v>
      </c>
      <c r="AB94" s="22">
        <v>6.4852665485185174E-2</v>
      </c>
      <c r="AC94" s="22">
        <v>12.42</v>
      </c>
      <c r="AE94" s="22">
        <v>0.45800000000000002</v>
      </c>
      <c r="AF94" s="22">
        <v>0.03</v>
      </c>
      <c r="AG94" s="22">
        <v>0.27014066073548315</v>
      </c>
      <c r="AH94" s="22">
        <v>8.5000000000000006E-2</v>
      </c>
      <c r="AI94" s="22">
        <v>4.0599999999999996</v>
      </c>
      <c r="AJ94" s="22">
        <v>5.91</v>
      </c>
      <c r="AK94" s="22">
        <v>0.04</v>
      </c>
      <c r="AO94" s="22">
        <v>99.91660127408214</v>
      </c>
      <c r="AP94" s="22">
        <v>99.91808353809725</v>
      </c>
      <c r="AR94" s="4" t="s">
        <v>308</v>
      </c>
      <c r="AS94" s="1" t="s">
        <v>325</v>
      </c>
      <c r="AU94" s="16" t="s">
        <v>80</v>
      </c>
      <c r="AV94" s="13" t="s">
        <v>80</v>
      </c>
      <c r="AW94" s="13" t="s">
        <v>80</v>
      </c>
      <c r="AX94" s="13" t="s">
        <v>80</v>
      </c>
      <c r="AY94" s="13" t="s">
        <v>80</v>
      </c>
      <c r="AZ94" s="13" t="s">
        <v>80</v>
      </c>
      <c r="BA94" s="16" t="s">
        <v>80</v>
      </c>
      <c r="BB94" s="16" t="s">
        <v>80</v>
      </c>
      <c r="BC94" s="13" t="s">
        <v>80</v>
      </c>
      <c r="BD94" s="104" t="s">
        <v>80</v>
      </c>
      <c r="BE94" s="16" t="s">
        <v>80</v>
      </c>
      <c r="BF94" s="13" t="s">
        <v>80</v>
      </c>
      <c r="BG94" s="16" t="s">
        <v>80</v>
      </c>
      <c r="BH94" s="16" t="s">
        <v>80</v>
      </c>
      <c r="BI94" s="16" t="s">
        <v>80</v>
      </c>
      <c r="BJ94" s="16" t="s">
        <v>80</v>
      </c>
      <c r="BK94" s="16" t="s">
        <v>80</v>
      </c>
      <c r="BL94" s="16" t="s">
        <v>80</v>
      </c>
      <c r="BM94" s="16" t="s">
        <v>80</v>
      </c>
      <c r="BN94" s="16" t="s">
        <v>80</v>
      </c>
      <c r="BO94" s="16" t="s">
        <v>80</v>
      </c>
      <c r="BP94" s="16" t="s">
        <v>80</v>
      </c>
      <c r="BQ94" s="16" t="s">
        <v>80</v>
      </c>
      <c r="BR94" s="16" t="s">
        <v>80</v>
      </c>
      <c r="BS94" s="16"/>
      <c r="BT94" s="16" t="s">
        <v>80</v>
      </c>
      <c r="BU94" s="16" t="s">
        <v>80</v>
      </c>
      <c r="BV94" s="16" t="s">
        <v>80</v>
      </c>
      <c r="BW94" s="16" t="s">
        <v>80</v>
      </c>
      <c r="BX94" s="16" t="s">
        <v>80</v>
      </c>
      <c r="BY94" s="16" t="s">
        <v>80</v>
      </c>
      <c r="BZ94" s="16" t="s">
        <v>80</v>
      </c>
      <c r="CA94" s="16" t="s">
        <v>80</v>
      </c>
      <c r="CB94" s="16" t="s">
        <v>80</v>
      </c>
      <c r="CC94" s="16" t="s">
        <v>80</v>
      </c>
      <c r="CD94" s="16" t="s">
        <v>80</v>
      </c>
      <c r="CE94" s="16" t="s">
        <v>80</v>
      </c>
      <c r="CF94" s="16" t="s">
        <v>80</v>
      </c>
      <c r="CG94" s="16" t="s">
        <v>80</v>
      </c>
      <c r="CH94" s="16" t="s">
        <v>80</v>
      </c>
      <c r="CI94" s="16" t="s">
        <v>80</v>
      </c>
      <c r="CJ94" s="16" t="s">
        <v>80</v>
      </c>
      <c r="CK94" s="16" t="s">
        <v>80</v>
      </c>
      <c r="CL94" s="16" t="s">
        <v>80</v>
      </c>
      <c r="CM94" s="16" t="s">
        <v>80</v>
      </c>
      <c r="DW94" s="22"/>
    </row>
    <row r="95" spans="2:127" x14ac:dyDescent="0.25">
      <c r="B95" s="4" t="s">
        <v>327</v>
      </c>
      <c r="V95" s="1" t="s">
        <v>91</v>
      </c>
      <c r="W95" s="1">
        <v>1513.8</v>
      </c>
      <c r="X95" s="98" t="s">
        <v>96</v>
      </c>
      <c r="Y95" s="1" t="s">
        <v>104</v>
      </c>
      <c r="Z95" s="1">
        <v>520.79999999999995</v>
      </c>
      <c r="AA95" s="22">
        <v>80.010000000000005</v>
      </c>
      <c r="AB95" s="22">
        <v>0</v>
      </c>
      <c r="AC95" s="22">
        <v>10.69</v>
      </c>
      <c r="AE95" s="22">
        <v>0.34899999999999998</v>
      </c>
      <c r="AF95" s="22">
        <v>0.03</v>
      </c>
      <c r="AG95" s="22">
        <v>1.6657217771841676E-2</v>
      </c>
      <c r="AH95" s="22">
        <v>0.23599999999999999</v>
      </c>
      <c r="AI95" s="22">
        <v>2.36</v>
      </c>
      <c r="AJ95" s="22">
        <v>4.9800000000000004</v>
      </c>
      <c r="AK95" s="22">
        <v>0</v>
      </c>
      <c r="AO95" s="22">
        <v>98.330935810411106</v>
      </c>
      <c r="AP95" s="22">
        <v>98.331857217771855</v>
      </c>
      <c r="AR95" s="4" t="s">
        <v>308</v>
      </c>
      <c r="AS95" s="1" t="s">
        <v>325</v>
      </c>
      <c r="AU95" s="16" t="s">
        <v>80</v>
      </c>
      <c r="AV95" s="13" t="s">
        <v>80</v>
      </c>
      <c r="AW95" s="13" t="s">
        <v>80</v>
      </c>
      <c r="AX95" s="13" t="s">
        <v>80</v>
      </c>
      <c r="AY95" s="13" t="s">
        <v>80</v>
      </c>
      <c r="AZ95" s="13" t="s">
        <v>80</v>
      </c>
      <c r="BA95" s="16" t="s">
        <v>80</v>
      </c>
      <c r="BB95" s="16" t="s">
        <v>80</v>
      </c>
      <c r="BC95" s="13" t="s">
        <v>80</v>
      </c>
      <c r="BD95" s="104" t="s">
        <v>80</v>
      </c>
      <c r="BE95" s="16" t="s">
        <v>80</v>
      </c>
      <c r="BF95" s="13" t="s">
        <v>80</v>
      </c>
      <c r="BG95" s="16" t="s">
        <v>80</v>
      </c>
      <c r="BH95" s="16" t="s">
        <v>80</v>
      </c>
      <c r="BI95" s="16" t="s">
        <v>80</v>
      </c>
      <c r="BJ95" s="16" t="s">
        <v>80</v>
      </c>
      <c r="BK95" s="16" t="s">
        <v>80</v>
      </c>
      <c r="BL95" s="16" t="s">
        <v>80</v>
      </c>
      <c r="BM95" s="16" t="s">
        <v>80</v>
      </c>
      <c r="BN95" s="16" t="s">
        <v>80</v>
      </c>
      <c r="BO95" s="16" t="s">
        <v>80</v>
      </c>
      <c r="BP95" s="16" t="s">
        <v>80</v>
      </c>
      <c r="BQ95" s="16" t="s">
        <v>80</v>
      </c>
      <c r="BR95" s="16" t="s">
        <v>80</v>
      </c>
      <c r="BS95" s="16"/>
      <c r="BT95" s="16" t="s">
        <v>80</v>
      </c>
      <c r="BU95" s="16" t="s">
        <v>80</v>
      </c>
      <c r="BV95" s="16" t="s">
        <v>80</v>
      </c>
      <c r="BW95" s="16" t="s">
        <v>80</v>
      </c>
      <c r="BX95" s="16" t="s">
        <v>80</v>
      </c>
      <c r="BY95" s="16" t="s">
        <v>80</v>
      </c>
      <c r="BZ95" s="16" t="s">
        <v>80</v>
      </c>
      <c r="CA95" s="16" t="s">
        <v>80</v>
      </c>
      <c r="CB95" s="16" t="s">
        <v>80</v>
      </c>
      <c r="CC95" s="16" t="s">
        <v>80</v>
      </c>
      <c r="CD95" s="16" t="s">
        <v>80</v>
      </c>
      <c r="CE95" s="16" t="s">
        <v>80</v>
      </c>
      <c r="CF95" s="16" t="s">
        <v>80</v>
      </c>
      <c r="CG95" s="16" t="s">
        <v>80</v>
      </c>
      <c r="CH95" s="16" t="s">
        <v>80</v>
      </c>
      <c r="CI95" s="16" t="s">
        <v>80</v>
      </c>
      <c r="CJ95" s="16" t="s">
        <v>80</v>
      </c>
      <c r="CK95" s="16" t="s">
        <v>80</v>
      </c>
      <c r="CL95" s="16" t="s">
        <v>80</v>
      </c>
      <c r="CM95" s="16" t="s">
        <v>80</v>
      </c>
      <c r="DW95" s="22"/>
    </row>
    <row r="96" spans="2:127" x14ac:dyDescent="0.25">
      <c r="AU96" s="16"/>
      <c r="AV96" s="13"/>
      <c r="AW96" s="13"/>
      <c r="AX96" s="13"/>
      <c r="AY96" s="13"/>
      <c r="AZ96" s="13"/>
      <c r="BA96" s="16"/>
      <c r="BB96" s="16"/>
      <c r="BC96" s="13"/>
      <c r="BD96" s="104"/>
      <c r="BE96" s="16"/>
      <c r="BF96" s="13"/>
      <c r="BG96" s="16"/>
      <c r="BH96" s="16"/>
      <c r="BI96" s="16"/>
      <c r="BJ96" s="16"/>
      <c r="BK96" s="16"/>
      <c r="BL96" s="16"/>
      <c r="BM96" s="16"/>
      <c r="BN96" s="16"/>
      <c r="BO96" s="16"/>
      <c r="BP96" s="16"/>
      <c r="BQ96" s="16"/>
      <c r="BR96" s="16"/>
      <c r="BS96" s="16"/>
    </row>
    <row r="97" spans="47:71" x14ac:dyDescent="0.25">
      <c r="AU97" s="16"/>
      <c r="AV97" s="13"/>
      <c r="AW97" s="13"/>
      <c r="AX97" s="13"/>
      <c r="AY97" s="13"/>
      <c r="AZ97" s="13"/>
      <c r="BA97" s="16"/>
      <c r="BB97" s="16"/>
      <c r="BC97" s="13"/>
      <c r="BD97" s="104"/>
      <c r="BE97" s="16"/>
      <c r="BF97" s="13"/>
      <c r="BG97" s="16"/>
      <c r="BH97" s="16"/>
      <c r="BI97" s="16"/>
      <c r="BJ97" s="16"/>
      <c r="BK97" s="16"/>
      <c r="BL97" s="16"/>
      <c r="BM97" s="16"/>
      <c r="BN97" s="16"/>
      <c r="BO97" s="16"/>
      <c r="BP97" s="16"/>
      <c r="BQ97" s="16"/>
      <c r="BR97" s="16"/>
      <c r="BS97" s="16"/>
    </row>
  </sheetData>
  <autoFilter ref="A1:AP95" xr:uid="{00000000-0001-0000-0600-000000000000}"/>
  <conditionalFormatting sqref="H1:T1048576">
    <cfRule type="colorScale" priority="2">
      <colorScale>
        <cfvo type="min"/>
        <cfvo type="max"/>
        <color rgb="FFFCFCFF"/>
        <color rgb="FF63BE7B"/>
      </colorScale>
    </cfRule>
  </conditionalFormatting>
  <conditionalFormatting sqref="AA1:AN1">
    <cfRule type="colorScale" priority="358">
      <colorScale>
        <cfvo type="min"/>
        <cfvo type="max"/>
        <color rgb="FFFCFCFF"/>
        <color rgb="FFF8696B"/>
      </colorScale>
    </cfRule>
  </conditionalFormatting>
  <conditionalFormatting sqref="AA1:AN1048576">
    <cfRule type="colorScale" priority="3">
      <colorScale>
        <cfvo type="min"/>
        <cfvo type="max"/>
        <color rgb="FFFCFCFF"/>
        <color rgb="FF63BE7B"/>
      </colorScale>
    </cfRule>
  </conditionalFormatting>
  <conditionalFormatting sqref="AA87:AN89 AA2:AN71 AA76:AN83 AA72:AF75 AH72:AN75 AA84:AF86 AH84:AN86">
    <cfRule type="colorScale" priority="2071">
      <colorScale>
        <cfvo type="min"/>
        <cfvo type="max"/>
        <color rgb="FFFCFCFF"/>
        <color rgb="FFF8696B"/>
      </colorScale>
    </cfRule>
  </conditionalFormatting>
  <conditionalFormatting sqref="AG95">
    <cfRule type="colorScale" priority="22">
      <colorScale>
        <cfvo type="min"/>
        <cfvo type="max"/>
        <color rgb="FFFCFCFF"/>
        <color rgb="FF63BE7B"/>
      </colorScale>
    </cfRule>
    <cfRule type="colorScale" priority="23">
      <colorScale>
        <cfvo type="min"/>
        <cfvo type="percentile" val="50"/>
        <cfvo type="max"/>
        <color rgb="FFF8696B"/>
        <color rgb="FFFCFCFF"/>
        <color rgb="FF63BE7B"/>
      </colorScale>
    </cfRule>
    <cfRule type="colorScale" priority="24">
      <colorScale>
        <cfvo type="min"/>
        <cfvo type="max"/>
        <color rgb="FFFCFCFF"/>
        <color rgb="FFF8696B"/>
      </colorScale>
    </cfRule>
  </conditionalFormatting>
  <conditionalFormatting sqref="AO2:AO89">
    <cfRule type="colorScale" priority="2102">
      <colorScale>
        <cfvo type="min"/>
        <cfvo type="percentile" val="90"/>
        <cfvo type="max"/>
        <color rgb="FF5A8AC6"/>
        <color rgb="FFFCFCFF"/>
        <color rgb="FFF8696B"/>
      </colorScale>
    </cfRule>
  </conditionalFormatting>
  <conditionalFormatting sqref="AO1:AP1048576">
    <cfRule type="colorScale" priority="5">
      <colorScale>
        <cfvo type="min"/>
        <cfvo type="max"/>
        <color rgb="FFFCFCFF"/>
        <color rgb="FFF8696B"/>
      </colorScale>
    </cfRule>
  </conditionalFormatting>
  <conditionalFormatting sqref="AP1">
    <cfRule type="colorScale" priority="359">
      <colorScale>
        <cfvo type="min"/>
        <cfvo type="percentile" val="50"/>
        <cfvo type="max"/>
        <color rgb="FF5A8AC6"/>
        <color rgb="FFFCFCFF"/>
        <color rgb="FFF8696B"/>
      </colorScale>
    </cfRule>
    <cfRule type="colorScale" priority="1998">
      <colorScale>
        <cfvo type="min"/>
        <cfvo type="max"/>
        <color rgb="FFFCFCFF"/>
        <color rgb="FFF8696B"/>
      </colorScale>
    </cfRule>
  </conditionalFormatting>
  <conditionalFormatting sqref="AP2:AP89">
    <cfRule type="colorScale" priority="2104">
      <colorScale>
        <cfvo type="min"/>
        <cfvo type="percentile" val="50"/>
        <cfvo type="max"/>
        <color rgb="FF5A8AC6"/>
        <color rgb="FFFCFCFF"/>
        <color rgb="FFF8696B"/>
      </colorScale>
    </cfRule>
  </conditionalFormatting>
  <conditionalFormatting sqref="CT1:DD1048576">
    <cfRule type="colorScale" priority="1">
      <colorScale>
        <cfvo type="min"/>
        <cfvo type="max"/>
        <color rgb="FFFCFCFF"/>
        <color rgb="FF63BE7B"/>
      </colorScale>
    </cfRule>
  </conditionalFormatting>
  <conditionalFormatting sqref="DE1:DQ1 AU1:CM1">
    <cfRule type="colorScale" priority="2000">
      <colorScale>
        <cfvo type="min"/>
        <cfvo type="max"/>
        <color rgb="FFFCFCFF"/>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S1 EMPA SRMs</vt:lpstr>
      <vt:lpstr>S2 LA-ICP-MS SRMs</vt:lpstr>
      <vt:lpstr>S3 Olivine</vt:lpstr>
      <vt:lpstr>S4 Clinopyroxene</vt:lpstr>
      <vt:lpstr>S5 Orthopyroxene</vt:lpstr>
      <vt:lpstr>S6 Feldspar</vt:lpstr>
      <vt:lpstr>S7 Other Minerals</vt:lpstr>
      <vt:lpstr>S8 Glass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ref52</dc:creator>
  <cp:keywords/>
  <dc:description/>
  <cp:lastModifiedBy>Ralf Halama</cp:lastModifiedBy>
  <cp:revision/>
  <dcterms:created xsi:type="dcterms:W3CDTF">2016-05-17T16:27:42Z</dcterms:created>
  <dcterms:modified xsi:type="dcterms:W3CDTF">2023-09-13T12:19:29Z</dcterms:modified>
  <cp:category/>
  <cp:contentStatus/>
</cp:coreProperties>
</file>